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Gem. Wijdemeren/Archief/"/>
    </mc:Choice>
  </mc:AlternateContent>
  <xr:revisionPtr revIDLastSave="0" documentId="13_ncr:1_{77CFB91E-C634-DC44-AE1C-285C908C9454}" xr6:coauthVersionLast="47" xr6:coauthVersionMax="47" xr10:uidLastSave="{00000000-0000-0000-0000-000000000000}"/>
  <bookViews>
    <workbookView xWindow="0" yWindow="500" windowWidth="44860" windowHeight="27200" xr2:uid="{00000000-000D-0000-FFFF-FFFF00000000}"/>
  </bookViews>
  <sheets>
    <sheet name="export_095337" sheetId="1" r:id="rId1"/>
  </sheets>
  <definedNames>
    <definedName name="_xlnm._FilterDatabase" localSheetId="0" hidden="1">export_095337!$A$1:$DH$1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</calcChain>
</file>

<file path=xl/sharedStrings.xml><?xml version="1.0" encoding="utf-8"?>
<sst xmlns="http://schemas.openxmlformats.org/spreadsheetml/2006/main" count="127930" uniqueCount="2160">
  <si>
    <t>Drager</t>
  </si>
  <si>
    <t>Stadsdeel</t>
  </si>
  <si>
    <t>Wijk</t>
  </si>
  <si>
    <t>Buurt</t>
  </si>
  <si>
    <t>Straatnaam</t>
  </si>
  <si>
    <t>Wegvak</t>
  </si>
  <si>
    <t>Identificatie</t>
  </si>
  <si>
    <t>Soort</t>
  </si>
  <si>
    <t>Lokatie</t>
  </si>
  <si>
    <t>Opmerking</t>
  </si>
  <si>
    <t>Waarschuwing</t>
  </si>
  <si>
    <t>Eigenaar</t>
  </si>
  <si>
    <t>Geo Type</t>
  </si>
  <si>
    <t>X</t>
  </si>
  <si>
    <t>Y</t>
  </si>
  <si>
    <t>Geverifieerd</t>
  </si>
  <si>
    <t>Status</t>
  </si>
  <si>
    <t>Code</t>
  </si>
  <si>
    <t>Type</t>
  </si>
  <si>
    <t>Levensduur</t>
  </si>
  <si>
    <t>Datum Inkoop</t>
  </si>
  <si>
    <t>Datum Gebruikname</t>
  </si>
  <si>
    <t>Datum Plaatsing</t>
  </si>
  <si>
    <t>Datum Onderhoud</t>
  </si>
  <si>
    <t>Brandstand</t>
  </si>
  <si>
    <t>LPH</t>
  </si>
  <si>
    <t>VSA/Driver Sealed for Life</t>
  </si>
  <si>
    <t>VSA/Driver Wattage</t>
  </si>
  <si>
    <t>Lamp Sealed for Life</t>
  </si>
  <si>
    <t>Lamp Wattage</t>
  </si>
  <si>
    <t>Lamp Lumen</t>
  </si>
  <si>
    <t>Wattage</t>
  </si>
  <si>
    <t>Levensduur Factor</t>
  </si>
  <si>
    <t>Is Dimmer</t>
  </si>
  <si>
    <t>Schakelschema</t>
  </si>
  <si>
    <t>Fitting</t>
  </si>
  <si>
    <t>Soort Lamp</t>
  </si>
  <si>
    <t>Kleur Lamp</t>
  </si>
  <si>
    <t>Lumen</t>
  </si>
  <si>
    <t>Ra-waarde</t>
  </si>
  <si>
    <t>Aansturings Code</t>
  </si>
  <si>
    <t>Aansturings Systeem</t>
  </si>
  <si>
    <t>LED Aantal</t>
  </si>
  <si>
    <t>Wattage (w)</t>
  </si>
  <si>
    <t>Aardingsweerstand (Ohm)</t>
  </si>
  <si>
    <t>Ankeveen</t>
  </si>
  <si>
    <t>Wijk 02 Ankeveen</t>
  </si>
  <si>
    <t>Ankeveense Rade</t>
  </si>
  <si>
    <t>Herenweg</t>
  </si>
  <si>
    <t>Lichtmast</t>
  </si>
  <si>
    <t>Dorpsweg</t>
  </si>
  <si>
    <t>Wijdemeren</t>
  </si>
  <si>
    <t>POINT</t>
  </si>
  <si>
    <t>Nee</t>
  </si>
  <si>
    <t>In Gebruik</t>
  </si>
  <si>
    <t>OVL Mast</t>
  </si>
  <si>
    <t>verjo_onbek_staal_6_verzi_groen</t>
  </si>
  <si>
    <t>Iris 2550</t>
  </si>
  <si>
    <t>EVSA</t>
  </si>
  <si>
    <t>PLL 24w</t>
  </si>
  <si>
    <t>AAN OV /UIT OV (N1)</t>
  </si>
  <si>
    <t>2G11</t>
  </si>
  <si>
    <t>PLL</t>
  </si>
  <si>
    <t>Dorpsweg t/s</t>
  </si>
  <si>
    <t>Iris 2551</t>
  </si>
  <si>
    <t>PLL 36w</t>
  </si>
  <si>
    <t>Dorpsweg, sts10</t>
  </si>
  <si>
    <t>Dorpsweg, PEN model</t>
  </si>
  <si>
    <t>Stichts End</t>
  </si>
  <si>
    <t>verjo_onbek_staal_9_verzi_groen</t>
  </si>
  <si>
    <t>Philips SRM</t>
  </si>
  <si>
    <t>SOX 55w</t>
  </si>
  <si>
    <t>BY22D</t>
  </si>
  <si>
    <t>SOX</t>
  </si>
  <si>
    <t>n/b 100</t>
  </si>
  <si>
    <t>verjo_onbek_staal_9_verzi_onbek</t>
  </si>
  <si>
    <t>Eclatec EBX690/10</t>
  </si>
  <si>
    <t>Eclatec EBX690 driver 250ma</t>
  </si>
  <si>
    <t>3a</t>
  </si>
  <si>
    <t>Onbekend</t>
  </si>
  <si>
    <t>n/b 111</t>
  </si>
  <si>
    <t>6 mtr cil EU staal verzinkt</t>
  </si>
  <si>
    <t>parkeerplaats nst kerk</t>
  </si>
  <si>
    <t>verjo_onbek_staal_6_verf_groen</t>
  </si>
  <si>
    <t>Philips FGS103</t>
  </si>
  <si>
    <t>Saled PS-L 13 watt</t>
  </si>
  <si>
    <t>led</t>
  </si>
  <si>
    <t>Stichtse Kade</t>
  </si>
  <si>
    <t>tussen 22 en Barthold Ingellaan</t>
  </si>
  <si>
    <t>conis_onbek_staal_5_verzi_onbek</t>
  </si>
  <si>
    <t>Hollandsch Ankeveen</t>
  </si>
  <si>
    <t>Iris 2552</t>
  </si>
  <si>
    <t>PLL 55w</t>
  </si>
  <si>
    <t>n/b 24</t>
  </si>
  <si>
    <t>28/30</t>
  </si>
  <si>
    <t>n/b 30</t>
  </si>
  <si>
    <t>5 mtr cil pt staal verzinkt</t>
  </si>
  <si>
    <t>n/b 25</t>
  </si>
  <si>
    <t>n/b 25b</t>
  </si>
  <si>
    <t>voorbij 25</t>
  </si>
  <si>
    <t>4 mtr con PT staal verzinkt</t>
  </si>
  <si>
    <t>n/b 25/27</t>
  </si>
  <si>
    <t>t/o 29</t>
  </si>
  <si>
    <t>t/o 31</t>
  </si>
  <si>
    <t>t/o 33</t>
  </si>
  <si>
    <t>t/o 35</t>
  </si>
  <si>
    <t>t/o 39</t>
  </si>
  <si>
    <t>t/o 41</t>
  </si>
  <si>
    <t>t/o 43</t>
  </si>
  <si>
    <t>sts10</t>
  </si>
  <si>
    <t>t/o 45a</t>
  </si>
  <si>
    <t>6 mtr cil EU staal verzinkt RAL 6005</t>
  </si>
  <si>
    <t>s-Graveland</t>
  </si>
  <si>
    <t>Wijk 00 's-Graveland</t>
  </si>
  <si>
    <t>'s-Graveland</t>
  </si>
  <si>
    <t>t.o. 47a</t>
  </si>
  <si>
    <t>Philips FGS104</t>
  </si>
  <si>
    <t>t.o. 47a/47b</t>
  </si>
  <si>
    <t>t.o. 47b</t>
  </si>
  <si>
    <t>LM staat scheef</t>
  </si>
  <si>
    <t>47c</t>
  </si>
  <si>
    <t>n/b 50</t>
  </si>
  <si>
    <t>kv-station</t>
  </si>
  <si>
    <t>n/b 48</t>
  </si>
  <si>
    <t>t/o Cannenburgerweg</t>
  </si>
  <si>
    <t>Hollands End</t>
  </si>
  <si>
    <t>t/o 25</t>
  </si>
  <si>
    <t>41/43</t>
  </si>
  <si>
    <t>schuin t/o 45</t>
  </si>
  <si>
    <t>t/o 47</t>
  </si>
  <si>
    <t>t/o 10</t>
  </si>
  <si>
    <t>verjo_onbek_staal_6_verzi_onbek</t>
  </si>
  <si>
    <t>10b</t>
  </si>
  <si>
    <t>53/55</t>
  </si>
  <si>
    <t>t/o 59</t>
  </si>
  <si>
    <t>n/b 67a</t>
  </si>
  <si>
    <t>n/b 69</t>
  </si>
  <si>
    <t>n/b 71</t>
  </si>
  <si>
    <t>t/o 85</t>
  </si>
  <si>
    <t>n/b 89</t>
  </si>
  <si>
    <t>89/91</t>
  </si>
  <si>
    <t>n/b 91</t>
  </si>
  <si>
    <t>n/b 93</t>
  </si>
  <si>
    <t>n/b 32</t>
  </si>
  <si>
    <t>t/o 101</t>
  </si>
  <si>
    <t>Ja</t>
  </si>
  <si>
    <t>Onbekend 24w</t>
  </si>
  <si>
    <t>Trapgans</t>
  </si>
  <si>
    <t>n/b Cannenburgerweg 61a</t>
  </si>
  <si>
    <t>n/b Cannenburgerweg 61b</t>
  </si>
  <si>
    <t>t.o. 2a</t>
  </si>
  <si>
    <t>t.o. 4a</t>
  </si>
  <si>
    <t>7a</t>
  </si>
  <si>
    <t>Cannenburgerweg</t>
  </si>
  <si>
    <t>nst 75</t>
  </si>
  <si>
    <t>mast scheef</t>
  </si>
  <si>
    <t>67/71</t>
  </si>
  <si>
    <t>5 mtr con staal verzinkt RAL 6005</t>
  </si>
  <si>
    <t>65/67</t>
  </si>
  <si>
    <t>PEN-model groen</t>
  </si>
  <si>
    <t>verjo_onbek_alumi_9_geen_grijs</t>
  </si>
  <si>
    <t>CVSA</t>
  </si>
  <si>
    <t>n/b 35a</t>
  </si>
  <si>
    <t>n/b 16</t>
  </si>
  <si>
    <t>RVS noodluik</t>
  </si>
  <si>
    <t>n/b 63a</t>
  </si>
  <si>
    <t>n/b 14</t>
  </si>
  <si>
    <t>63a</t>
  </si>
  <si>
    <t>t/o 14, hoek Trapgans</t>
  </si>
  <si>
    <t>n/b 12</t>
  </si>
  <si>
    <t>6 mtr cil EU staal verzinkt RAL 7016</t>
  </si>
  <si>
    <t>arm_aresa</t>
  </si>
  <si>
    <t>Xitanium 40watt LED Driver</t>
  </si>
  <si>
    <t>16 leds 19w - 350mA lens 5102</t>
  </si>
  <si>
    <t>LED</t>
  </si>
  <si>
    <t>n/b 8</t>
  </si>
  <si>
    <t>n/b 4a</t>
  </si>
  <si>
    <t>t/o 55</t>
  </si>
  <si>
    <t>t/o 51b</t>
  </si>
  <si>
    <t>n/b 109</t>
  </si>
  <si>
    <t>Kortenhoef</t>
  </si>
  <si>
    <t>Wijk 01 Kortenhoef</t>
  </si>
  <si>
    <t>Oud-Kortenhoef</t>
  </si>
  <si>
    <t>verjo_enkel_staal_6_verf_groen</t>
  </si>
  <si>
    <t>Rade. Oranjebuurt. Munniksveen en omgeving</t>
  </si>
  <si>
    <t>led 15w</t>
  </si>
  <si>
    <t>n/b 97</t>
  </si>
  <si>
    <t>t/o 114</t>
  </si>
  <si>
    <t>t/o 108</t>
  </si>
  <si>
    <t>t/o 93</t>
  </si>
  <si>
    <t>n/b 92, hoek Graaflandhof</t>
  </si>
  <si>
    <t>t/o 90</t>
  </si>
  <si>
    <t>n/b 90a</t>
  </si>
  <si>
    <t>hoek Harinxmahof</t>
  </si>
  <si>
    <t>t/o 87</t>
  </si>
  <si>
    <t>hoek Schimmelpenninckhof</t>
  </si>
  <si>
    <t>t/o 84</t>
  </si>
  <si>
    <t>Hoek De Kwakel</t>
  </si>
  <si>
    <t>hoek W. ten Damstraat</t>
  </si>
  <si>
    <t>t/o 81</t>
  </si>
  <si>
    <t>t/o 79</t>
  </si>
  <si>
    <t>t/o 75</t>
  </si>
  <si>
    <t>PEN model</t>
  </si>
  <si>
    <t>t/o 72</t>
  </si>
  <si>
    <t>t/o 69/70</t>
  </si>
  <si>
    <t>t/o 65</t>
  </si>
  <si>
    <t>t/o 63</t>
  </si>
  <si>
    <t>t/o 61b</t>
  </si>
  <si>
    <t>t/o 54</t>
  </si>
  <si>
    <t>t/o 49a</t>
  </si>
  <si>
    <t>t/o 48/49</t>
  </si>
  <si>
    <t>t/o 45</t>
  </si>
  <si>
    <t>t/o 37</t>
  </si>
  <si>
    <t>t/o 24</t>
  </si>
  <si>
    <t>t/o 21</t>
  </si>
  <si>
    <t>t/o 16/17</t>
  </si>
  <si>
    <t>t/o 14/15</t>
  </si>
  <si>
    <t>t/o  9</t>
  </si>
  <si>
    <t>t/o  6</t>
  </si>
  <si>
    <t>n/b 2</t>
  </si>
  <si>
    <t>onbek_onbek_onbek_6_onbek_onbek</t>
  </si>
  <si>
    <t>n/b 6</t>
  </si>
  <si>
    <t>Industria 2000</t>
  </si>
  <si>
    <t>t/o 17</t>
  </si>
  <si>
    <t>t/o 13a</t>
  </si>
  <si>
    <t>decor_onbek_gieti_3_verf_groen</t>
  </si>
  <si>
    <t>Valencay type ?</t>
  </si>
  <si>
    <t>Plt 32w</t>
  </si>
  <si>
    <t>GX24d-3</t>
  </si>
  <si>
    <t>Plt</t>
  </si>
  <si>
    <t>t/o 13</t>
  </si>
  <si>
    <t>Plt 24w</t>
  </si>
  <si>
    <t>decor_onbek_gieti_3_onbek_onbek</t>
  </si>
  <si>
    <t>n/b 1</t>
  </si>
  <si>
    <t>Dammerkade</t>
  </si>
  <si>
    <t>conis_onbek_staal_6_verzi_groen</t>
  </si>
  <si>
    <t>n/b 10</t>
  </si>
  <si>
    <t>achter 9</t>
  </si>
  <si>
    <t>voetpad bij schoolplein - luik niet goed dicht</t>
  </si>
  <si>
    <t>conis_paalt_alumi_4_geen_grijs</t>
  </si>
  <si>
    <t>t/o 23</t>
  </si>
  <si>
    <t>conis_paalt_staal_4_verzi_onbek</t>
  </si>
  <si>
    <t>t/o 11</t>
  </si>
  <si>
    <t>arm_bart</t>
  </si>
  <si>
    <t>LED2WELL 2150 lumen code 7</t>
  </si>
  <si>
    <t>t/o Barthold Ingellaan</t>
  </si>
  <si>
    <t>4 mtr cil PT staal verzinkt RAL 7016</t>
  </si>
  <si>
    <t>Barthold Ingellaan</t>
  </si>
  <si>
    <t>t.o. 6</t>
  </si>
  <si>
    <t>t/o 14</t>
  </si>
  <si>
    <t>LED2WELL 1800 lumen code LC-N</t>
  </si>
  <si>
    <t>schuin t.o. 16</t>
  </si>
  <si>
    <t>hoek Van Breelaan</t>
  </si>
  <si>
    <t>t.o. 22</t>
  </si>
  <si>
    <t>van Breelaan</t>
  </si>
  <si>
    <t>n/b 21</t>
  </si>
  <si>
    <t>van Blarcumlaan</t>
  </si>
  <si>
    <t>n/b 11/13</t>
  </si>
  <si>
    <t>n/b gemeentewerf</t>
  </si>
  <si>
    <t>n/b 13</t>
  </si>
  <si>
    <t>n/b 11</t>
  </si>
  <si>
    <t>n/b 9</t>
  </si>
  <si>
    <t>n/b 20</t>
  </si>
  <si>
    <t>t/o E. de Walelaan</t>
  </si>
  <si>
    <t>t/o RK kerk</t>
  </si>
  <si>
    <t>Joseph Lokinlaan</t>
  </si>
  <si>
    <t>1e mast v/a Stichts End</t>
  </si>
  <si>
    <t>2e mast v/a Stichts End</t>
  </si>
  <si>
    <t>schuin t/o 4</t>
  </si>
  <si>
    <t>4 mtr cil PT staal verzinkt RAL 6005</t>
  </si>
  <si>
    <t>n/b Buhrmannln 1</t>
  </si>
  <si>
    <t>Mr.J.C.Buhrmannlaan</t>
  </si>
  <si>
    <t>t/o 3</t>
  </si>
  <si>
    <t>t/o 7</t>
  </si>
  <si>
    <t>zijgevel</t>
  </si>
  <si>
    <t>t/o 9</t>
  </si>
  <si>
    <t>n/b 36</t>
  </si>
  <si>
    <t>n/b 44</t>
  </si>
  <si>
    <t>t/o 19/20</t>
  </si>
  <si>
    <t>n/b 54</t>
  </si>
  <si>
    <t>in laatste bocht</t>
  </si>
  <si>
    <t>t/o 27</t>
  </si>
  <si>
    <t>14/16</t>
  </si>
  <si>
    <t>t/o 6</t>
  </si>
  <si>
    <t>achter 6</t>
  </si>
  <si>
    <t>achter 7</t>
  </si>
  <si>
    <t>achter 21</t>
  </si>
  <si>
    <t>achter 33</t>
  </si>
  <si>
    <t>n/b 29</t>
  </si>
  <si>
    <t>t/o Joseph Lokinlaan</t>
  </si>
  <si>
    <t>t/o 30</t>
  </si>
  <si>
    <t>t/o 52</t>
  </si>
  <si>
    <t>n/b 63</t>
  </si>
  <si>
    <t>t/o NH kerk</t>
  </si>
  <si>
    <t>n/b 66</t>
  </si>
  <si>
    <t>Arnoud Voetlaan</t>
  </si>
  <si>
    <t>achter Dorpsweg</t>
  </si>
  <si>
    <t>t/o 4</t>
  </si>
  <si>
    <t>t/o 16</t>
  </si>
  <si>
    <t>n/b 67</t>
  </si>
  <si>
    <t>n/b 73</t>
  </si>
  <si>
    <t>Wim de Kwanthof</t>
  </si>
  <si>
    <t>t/o 77/79</t>
  </si>
  <si>
    <t>n/b 77/79</t>
  </si>
  <si>
    <t>t/o 8</t>
  </si>
  <si>
    <t>t/o 5</t>
  </si>
  <si>
    <t>achter 13</t>
  </si>
  <si>
    <t>n/b 72</t>
  </si>
  <si>
    <t>n/b 31</t>
  </si>
  <si>
    <t>n/b 80</t>
  </si>
  <si>
    <t>n/b 82</t>
  </si>
  <si>
    <t>Frans Fennishof</t>
  </si>
  <si>
    <t>n/b 15</t>
  </si>
  <si>
    <t>n/b 27</t>
  </si>
  <si>
    <t>n/b 23</t>
  </si>
  <si>
    <t>achter 23</t>
  </si>
  <si>
    <t>n/b 88</t>
  </si>
  <si>
    <t>Voor Frans Fennishof 5</t>
  </si>
  <si>
    <t>n/b 90</t>
  </si>
  <si>
    <t>naast Stichts End 87</t>
  </si>
  <si>
    <t>Voor Frans Fennishof 22</t>
  </si>
  <si>
    <t>t/o 95</t>
  </si>
  <si>
    <t>n/b 103</t>
  </si>
  <si>
    <t>n/b 107</t>
  </si>
  <si>
    <t>t/o 1</t>
  </si>
  <si>
    <t>t/o Bergsepad</t>
  </si>
  <si>
    <t>n/b 98</t>
  </si>
  <si>
    <t>t/o 111</t>
  </si>
  <si>
    <t>49a</t>
  </si>
  <si>
    <t>voetpad</t>
  </si>
  <si>
    <t>60/ 61</t>
  </si>
  <si>
    <t>67/ 68</t>
  </si>
  <si>
    <t>n/b 87</t>
  </si>
  <si>
    <t>S10 starter</t>
  </si>
  <si>
    <t>n/b 9/11</t>
  </si>
  <si>
    <t>11a</t>
  </si>
  <si>
    <t>11a/11b</t>
  </si>
  <si>
    <t>13/15</t>
  </si>
  <si>
    <t>19/21</t>
  </si>
  <si>
    <t>23/27</t>
  </si>
  <si>
    <t>bord zit onder los</t>
  </si>
  <si>
    <t>n/b51</t>
  </si>
  <si>
    <t>Schreder Aresa</t>
  </si>
  <si>
    <t>n/b 51</t>
  </si>
  <si>
    <t>t/o 21a</t>
  </si>
  <si>
    <t>kier bij luik</t>
  </si>
  <si>
    <t>tussen 51/51a</t>
  </si>
  <si>
    <t>51a</t>
  </si>
  <si>
    <t>n/b 51a</t>
  </si>
  <si>
    <t>mast slecht bij luik</t>
  </si>
  <si>
    <t>n/b kruispunt</t>
  </si>
  <si>
    <t>Schreder onix2</t>
  </si>
  <si>
    <t>SONT 100w</t>
  </si>
  <si>
    <t>E40</t>
  </si>
  <si>
    <t>SONT</t>
  </si>
  <si>
    <t>Wessel ten Damstraat</t>
  </si>
  <si>
    <t>Lightronics BRISA</t>
  </si>
  <si>
    <t>Harinxmahof</t>
  </si>
  <si>
    <t>Schimmelpenninckhof</t>
  </si>
  <si>
    <t>n/b 84</t>
  </si>
  <si>
    <t>Faget LS94</t>
  </si>
  <si>
    <t>SONT 70w</t>
  </si>
  <si>
    <t>E27</t>
  </si>
  <si>
    <t>n/b bushalte</t>
  </si>
  <si>
    <t>Graaflandhof</t>
  </si>
  <si>
    <t>9 mtr cil EU staal verzinkt RAL 6005</t>
  </si>
  <si>
    <t>verjo_enkel_alumi_9_geen_grijs</t>
  </si>
  <si>
    <t>Loosdrecht</t>
  </si>
  <si>
    <t>Wijk 04 Nieuw-Loosdrecht</t>
  </si>
  <si>
    <t>Nieuw-Loosdrechtsedijk</t>
  </si>
  <si>
    <t>t BreukeleveenseMeentje</t>
  </si>
  <si>
    <t>TEGENOVER NR. 1</t>
  </si>
  <si>
    <t>verjo_enkel_staal_7_verzi_groen</t>
  </si>
  <si>
    <t>Philips Residium FGS225</t>
  </si>
  <si>
    <t>Saled PS-L 26w</t>
  </si>
  <si>
    <t>VOOR NR. 3</t>
  </si>
  <si>
    <t>verjo_enkel_staal_7_verzi_onbek</t>
  </si>
  <si>
    <t>S/V  NR. 3</t>
  </si>
  <si>
    <t>S/V  NR. 5</t>
  </si>
  <si>
    <t>BIJ NR. 5</t>
  </si>
  <si>
    <t>BIJ NR. 7</t>
  </si>
  <si>
    <t>Muijeveld</t>
  </si>
  <si>
    <t>BIJ NR. 2</t>
  </si>
  <si>
    <t>TO NR 6</t>
  </si>
  <si>
    <t>VOOR 9A</t>
  </si>
  <si>
    <t>BIJ NR. 10</t>
  </si>
  <si>
    <t>VOOR 12</t>
  </si>
  <si>
    <t>Breukeleveen</t>
  </si>
  <si>
    <t>Wijk 05 Breukeleveen</t>
  </si>
  <si>
    <t>LINKS VOOR  3</t>
  </si>
  <si>
    <t>Indal LIBRA 2570</t>
  </si>
  <si>
    <t>VOOR 3</t>
  </si>
  <si>
    <t>RECHTS VAN 3</t>
  </si>
  <si>
    <t>VOOR 7</t>
  </si>
  <si>
    <t>VOOR 13</t>
  </si>
  <si>
    <t>RECHTS VAN 13</t>
  </si>
  <si>
    <t>RECHTS VAN 17</t>
  </si>
  <si>
    <t>VOOR 25</t>
  </si>
  <si>
    <t>VOOR 27</t>
  </si>
  <si>
    <t>VOOR 29</t>
  </si>
  <si>
    <t>VOOR 31</t>
  </si>
  <si>
    <t>VOOR 33</t>
  </si>
  <si>
    <t>VOOR 39</t>
  </si>
  <si>
    <t>RECHTS VAN 43</t>
  </si>
  <si>
    <t>VOOR 47 A</t>
  </si>
  <si>
    <t>RECHTS VAN 49</t>
  </si>
  <si>
    <t>VOOR 51</t>
  </si>
  <si>
    <t>TUSSEN 55 / 57</t>
  </si>
  <si>
    <t>VOOR 59</t>
  </si>
  <si>
    <t>RECHTS VAN 67</t>
  </si>
  <si>
    <t>RECHTS VAN 73</t>
  </si>
  <si>
    <t>VOOR 79</t>
  </si>
  <si>
    <t>VOOR 85</t>
  </si>
  <si>
    <t>VOOR 89</t>
  </si>
  <si>
    <t>VOOR 97</t>
  </si>
  <si>
    <t>RECHTS VAN 101</t>
  </si>
  <si>
    <t>RECHTS VAN 103</t>
  </si>
  <si>
    <t>TUSSEN 105 / 107</t>
  </si>
  <si>
    <t>VOOR 111</t>
  </si>
  <si>
    <t>VOOR 113</t>
  </si>
  <si>
    <t>RECHTS VAN 115</t>
  </si>
  <si>
    <t>VOOR 117</t>
  </si>
  <si>
    <t>RECHTS VAN 119</t>
  </si>
  <si>
    <t>VOOR 123</t>
  </si>
  <si>
    <t>VOOR 129</t>
  </si>
  <si>
    <t>Overig Hilversum</t>
  </si>
  <si>
    <t>Vreelandseweg</t>
  </si>
  <si>
    <t>Provincie</t>
  </si>
  <si>
    <t>Zuidereinde</t>
  </si>
  <si>
    <t>Hilversum</t>
  </si>
  <si>
    <t>Rozenhof</t>
  </si>
  <si>
    <t>onbek_onbek_onbek_onbek_onbek_onbek</t>
  </si>
  <si>
    <t>led 24w</t>
  </si>
  <si>
    <t>Kromme Rade (RV)</t>
  </si>
  <si>
    <t>s-Gravelandsevaartweg</t>
  </si>
  <si>
    <t>TUSSEN NR 1 EN 2</t>
  </si>
  <si>
    <t>led 55w</t>
  </si>
  <si>
    <t>TO NR 2</t>
  </si>
  <si>
    <t>TUSSEN NR 2-3</t>
  </si>
  <si>
    <t>led 25w</t>
  </si>
  <si>
    <t>Wijk 03 Loosdrecht</t>
  </si>
  <si>
    <t>Oud Loosdrecht</t>
  </si>
  <si>
    <t>TO NR 3</t>
  </si>
  <si>
    <t>TUSSEN NR  4-5</t>
  </si>
  <si>
    <t>TO NR 10</t>
  </si>
  <si>
    <t>TUSSEN NR 5-6</t>
  </si>
  <si>
    <t>TUSSEN NR 8-6</t>
  </si>
  <si>
    <t>TO NR 8</t>
  </si>
  <si>
    <t>TUSSEN NR 9-8</t>
  </si>
  <si>
    <t>TO NR 9</t>
  </si>
  <si>
    <t>TUSSEN NR 8-10</t>
  </si>
  <si>
    <t>BIJ NR.1</t>
  </si>
  <si>
    <t>Koninginneweg</t>
  </si>
  <si>
    <t>n/b 95</t>
  </si>
  <si>
    <t>verjo_enkel_staal_4_verf_groen</t>
  </si>
  <si>
    <t>tussen 87/89</t>
  </si>
  <si>
    <t>n/b 86</t>
  </si>
  <si>
    <t>n/b 83</t>
  </si>
  <si>
    <t>n/b 79</t>
  </si>
  <si>
    <t>n/b 78</t>
  </si>
  <si>
    <t>n/b 77</t>
  </si>
  <si>
    <t>n/b 64</t>
  </si>
  <si>
    <t>n/b 62</t>
  </si>
  <si>
    <t>n/b 60</t>
  </si>
  <si>
    <t>n/b 58</t>
  </si>
  <si>
    <t>n/b 55/55a</t>
  </si>
  <si>
    <t>verjo_enkel_staal_6_verzi_onbek</t>
  </si>
  <si>
    <t>n/b 52</t>
  </si>
  <si>
    <t>n/b 47</t>
  </si>
  <si>
    <t>conis_enkel_staal_6_verzi_onbek</t>
  </si>
  <si>
    <t>Emmaweg</t>
  </si>
  <si>
    <t>n/b 3</t>
  </si>
  <si>
    <t>n/b 18</t>
  </si>
  <si>
    <t>n/b 19b</t>
  </si>
  <si>
    <t>24a</t>
  </si>
  <si>
    <t>24d</t>
  </si>
  <si>
    <t>conis_paalt_alumi_3_5_geen_grijs</t>
  </si>
  <si>
    <t>29b</t>
  </si>
  <si>
    <t>29c</t>
  </si>
  <si>
    <t>nst 30</t>
  </si>
  <si>
    <t>verjo_paalt_staal_4_verzi_onbek</t>
  </si>
  <si>
    <t>n/b 33</t>
  </si>
  <si>
    <t>35/36</t>
  </si>
  <si>
    <t>n/b 40</t>
  </si>
  <si>
    <t>t/o 44</t>
  </si>
  <si>
    <t>50/51</t>
  </si>
  <si>
    <t>52/55</t>
  </si>
  <si>
    <t>tussen 55/56</t>
  </si>
  <si>
    <t>n/b 58a</t>
  </si>
  <si>
    <t>n/b 59</t>
  </si>
  <si>
    <t>59a</t>
  </si>
  <si>
    <t>t/o 65a</t>
  </si>
  <si>
    <t>t/o 70</t>
  </si>
  <si>
    <t>70a</t>
  </si>
  <si>
    <t>n/b 76</t>
  </si>
  <si>
    <t>n/b 74</t>
  </si>
  <si>
    <t>tussen 75/76</t>
  </si>
  <si>
    <t>conis_enkel_staal_6_verf_groen</t>
  </si>
  <si>
    <t>n/b 81</t>
  </si>
  <si>
    <t>Moleneind</t>
  </si>
  <si>
    <t>Zuwe</t>
  </si>
  <si>
    <t>n/b 70</t>
  </si>
  <si>
    <t>n/b 56</t>
  </si>
  <si>
    <t>ruimte l. 5</t>
  </si>
  <si>
    <t>n/b 41</t>
  </si>
  <si>
    <t>n/b 45</t>
  </si>
  <si>
    <t>n/b 39</t>
  </si>
  <si>
    <t>n/b 34</t>
  </si>
  <si>
    <t>schuin voor 8</t>
  </si>
  <si>
    <t>voor 7/6a</t>
  </si>
  <si>
    <t>n/b 4</t>
  </si>
  <si>
    <t>schuin voor 2</t>
  </si>
  <si>
    <t>Kromme Rade</t>
  </si>
  <si>
    <t>Kortenhoefsedijk</t>
  </si>
  <si>
    <t>m_giet_4</t>
  </si>
  <si>
    <t>Hollandse Kap</t>
  </si>
  <si>
    <t>n/b 187</t>
  </si>
  <si>
    <t>schuin voor 193</t>
  </si>
  <si>
    <t>n/b 199</t>
  </si>
  <si>
    <t>n/b 181</t>
  </si>
  <si>
    <t>n/b 178</t>
  </si>
  <si>
    <t>n/b 176</t>
  </si>
  <si>
    <t>n/b 173</t>
  </si>
  <si>
    <t>n/b 166</t>
  </si>
  <si>
    <t>n/b 157</t>
  </si>
  <si>
    <t>n/b 169</t>
  </si>
  <si>
    <t>n/b 146</t>
  </si>
  <si>
    <t>n/b 144</t>
  </si>
  <si>
    <t>n/b 140</t>
  </si>
  <si>
    <t>led 35w</t>
  </si>
  <si>
    <t>n/b 131</t>
  </si>
  <si>
    <t>n/b 124</t>
  </si>
  <si>
    <t>n/b 115</t>
  </si>
  <si>
    <t>n/b 112</t>
  </si>
  <si>
    <t>n/b 105</t>
  </si>
  <si>
    <t>n/b 101</t>
  </si>
  <si>
    <t>n/b 96</t>
  </si>
  <si>
    <t>n/b 57</t>
  </si>
  <si>
    <t>n/b 55</t>
  </si>
  <si>
    <t>48/52</t>
  </si>
  <si>
    <t>45/52</t>
  </si>
  <si>
    <t>n/b 42</t>
  </si>
  <si>
    <t>n/b 37</t>
  </si>
  <si>
    <t>32/37</t>
  </si>
  <si>
    <t>t/o 15</t>
  </si>
  <si>
    <t>De Kwakel</t>
  </si>
  <si>
    <t>Philips FGS223</t>
  </si>
  <si>
    <t>n/b 28</t>
  </si>
  <si>
    <t>n/b 38</t>
  </si>
  <si>
    <t>Philips LIBRA 66</t>
  </si>
  <si>
    <t>onbek_enkel_staal_6_verf_groen</t>
  </si>
  <si>
    <t>Parklaan</t>
  </si>
  <si>
    <t>Lightronics KFK</t>
  </si>
  <si>
    <t>J.C.Ritsemalaan</t>
  </si>
  <si>
    <t>conis_enkel_alumi_7_5_geen_grijs</t>
  </si>
  <si>
    <t>led 20w</t>
  </si>
  <si>
    <t>Industria 2650</t>
  </si>
  <si>
    <t>led 70w</t>
  </si>
  <si>
    <t>conis_enkel_alumi_7_geen_grijs</t>
  </si>
  <si>
    <t>Industria 2600</t>
  </si>
  <si>
    <t>led 36w</t>
  </si>
  <si>
    <t>nst 25</t>
  </si>
  <si>
    <t>J.F.van Heumenhof</t>
  </si>
  <si>
    <t>conis_paalt_staal_4_verf_zwart</t>
  </si>
  <si>
    <t>Industria osiris 2310</t>
  </si>
  <si>
    <t>SON 50w</t>
  </si>
  <si>
    <t>SON</t>
  </si>
  <si>
    <t>nst 1</t>
  </si>
  <si>
    <t>nst 2</t>
  </si>
  <si>
    <t>nst 11</t>
  </si>
  <si>
    <t>voor 17</t>
  </si>
  <si>
    <t>Anton Smeerdijkgaarde</t>
  </si>
  <si>
    <t>n/b 1 brug</t>
  </si>
  <si>
    <t>n/b 5</t>
  </si>
  <si>
    <t>n/b 7</t>
  </si>
  <si>
    <t>n/b 17</t>
  </si>
  <si>
    <t>n/b 22</t>
  </si>
  <si>
    <t>conis_paalt_staal_3_5_verzi_onbek</t>
  </si>
  <si>
    <t>n/b 26</t>
  </si>
  <si>
    <t>achter 47</t>
  </si>
  <si>
    <t>achter 35</t>
  </si>
  <si>
    <t>n/b 35</t>
  </si>
  <si>
    <t>n/b 43</t>
  </si>
  <si>
    <t>conis_paalt_staal_3_5_onbek_onbek</t>
  </si>
  <si>
    <t>Oudergaarde</t>
  </si>
  <si>
    <t>conis_paalt_staal_4_onbek_onbek</t>
  </si>
  <si>
    <t>Zorgcentrum</t>
  </si>
  <si>
    <t>A.W.van Voordenlaan</t>
  </si>
  <si>
    <t>conis_paalt_alumi_3_geen_grijs</t>
  </si>
  <si>
    <t>n/b 19</t>
  </si>
  <si>
    <t>Reigerlaan</t>
  </si>
  <si>
    <t>achter 25</t>
  </si>
  <si>
    <t>C.Vreedenburghgaarde</t>
  </si>
  <si>
    <t>t/o 19</t>
  </si>
  <si>
    <t>t/o 28</t>
  </si>
  <si>
    <t>nst 28</t>
  </si>
  <si>
    <t>Elbert Mooijlaan</t>
  </si>
  <si>
    <t>n/b 99</t>
  </si>
  <si>
    <t>t/o 58</t>
  </si>
  <si>
    <t>schuin t/o 46</t>
  </si>
  <si>
    <t>t/o 32</t>
  </si>
  <si>
    <t>t/o 26</t>
  </si>
  <si>
    <t>tussen 2/4</t>
  </si>
  <si>
    <t>n/b 61</t>
  </si>
  <si>
    <t>n/b 53</t>
  </si>
  <si>
    <t>P.J.C.Gabrielgaarde</t>
  </si>
  <si>
    <t>Bernard van Beeklaan</t>
  </si>
  <si>
    <t>n/b 2/4</t>
  </si>
  <si>
    <t>conis_enkel_alumi_6_geen_grijs</t>
  </si>
  <si>
    <t>n/b 6/8</t>
  </si>
  <si>
    <t>n/b 16/18</t>
  </si>
  <si>
    <t>achter 41</t>
  </si>
  <si>
    <t>conis_enkel_staal_5_verzi_onbek</t>
  </si>
  <si>
    <t>Industria 2500</t>
  </si>
  <si>
    <t>nst 39</t>
  </si>
  <si>
    <t>n/b 184</t>
  </si>
  <si>
    <t>n/b 106</t>
  </si>
  <si>
    <t>n/b 108</t>
  </si>
  <si>
    <t>140/142</t>
  </si>
  <si>
    <t>nst 125</t>
  </si>
  <si>
    <t>t/o 137</t>
  </si>
  <si>
    <t>Industria 2700</t>
  </si>
  <si>
    <t>n/b 119</t>
  </si>
  <si>
    <t>n/b 85</t>
  </si>
  <si>
    <t>achter 81</t>
  </si>
  <si>
    <t>achter 73</t>
  </si>
  <si>
    <t>achter 69</t>
  </si>
  <si>
    <t>achter 83</t>
  </si>
  <si>
    <t>achter 126</t>
  </si>
  <si>
    <t>achter 154</t>
  </si>
  <si>
    <t>achter 164</t>
  </si>
  <si>
    <t>conis_paalt_staal_3_verzi_onbek</t>
  </si>
  <si>
    <t>n/b 75</t>
  </si>
  <si>
    <t>achter 20</t>
  </si>
  <si>
    <t>Claes Heynensoenlaan</t>
  </si>
  <si>
    <t>Huijbert van Schadijcklaan</t>
  </si>
  <si>
    <t>Rijck Loeverehof</t>
  </si>
  <si>
    <t>t/o 34</t>
  </si>
  <si>
    <t>t/o 5/7</t>
  </si>
  <si>
    <t>Egidius Blocklaan</t>
  </si>
  <si>
    <t>n/b 1a</t>
  </si>
  <si>
    <t>n/b 12/14</t>
  </si>
  <si>
    <t>n/b 24/26</t>
  </si>
  <si>
    <t>Pieter van der Leelaan</t>
  </si>
  <si>
    <t>t/o 13/15</t>
  </si>
  <si>
    <t>Jan Stadelaarstraat</t>
  </si>
  <si>
    <t>n/b 5/7</t>
  </si>
  <si>
    <t>n/b 17/19</t>
  </si>
  <si>
    <t>n/b 29/31</t>
  </si>
  <si>
    <t>t/o 20</t>
  </si>
  <si>
    <t>Cornelis de Wijsstraat</t>
  </si>
  <si>
    <t>Willem Pauwstraat</t>
  </si>
  <si>
    <t>nst 26</t>
  </si>
  <si>
    <t>rechts van 25</t>
  </si>
  <si>
    <t>t/o 12</t>
  </si>
  <si>
    <t>Johan A.Wincklerhof</t>
  </si>
  <si>
    <t>t/o 2</t>
  </si>
  <si>
    <t>Kerklaan</t>
  </si>
  <si>
    <t>tussen Parklaan en Kortenhoef</t>
  </si>
  <si>
    <t>t/o 54a</t>
  </si>
  <si>
    <t>verjo_enkel_staal_5_verzi_onbek</t>
  </si>
  <si>
    <t>conis_paalt_staal_6_verzi_onbek</t>
  </si>
  <si>
    <t>Krabbescheer</t>
  </si>
  <si>
    <t>22/26</t>
  </si>
  <si>
    <t>46/50</t>
  </si>
  <si>
    <t>nst 15</t>
  </si>
  <si>
    <t>achter 26</t>
  </si>
  <si>
    <t>achter 1</t>
  </si>
  <si>
    <t>Kikkerbeet</t>
  </si>
  <si>
    <t>led 50w</t>
  </si>
  <si>
    <t>Zwanebloem</t>
  </si>
  <si>
    <t>achter 28</t>
  </si>
  <si>
    <t>achter 8</t>
  </si>
  <si>
    <t>Moeraszegge</t>
  </si>
  <si>
    <t>Open aansluitplaat</t>
  </si>
  <si>
    <t>Hoflaan</t>
  </si>
  <si>
    <t>verjo_enkel_staal_9_verf_groen</t>
  </si>
  <si>
    <t>Zuidsingel</t>
  </si>
  <si>
    <t>n/b 68</t>
  </si>
  <si>
    <t>2b</t>
  </si>
  <si>
    <t>1b</t>
  </si>
  <si>
    <t>verjo_paalt_staal_3_verf_groen</t>
  </si>
  <si>
    <t>conis_paalt_staal_4_verf_groen</t>
  </si>
  <si>
    <t>achter 50</t>
  </si>
  <si>
    <t>onbek_onbek_staal_6_verzi_onbek</t>
  </si>
  <si>
    <t>FWC121 wand</t>
  </si>
  <si>
    <t>PLC 18w</t>
  </si>
  <si>
    <t>GX24q-3</t>
  </si>
  <si>
    <t>PLC</t>
  </si>
  <si>
    <t>onbek_onbek_staal_4_verzi_onbek</t>
  </si>
  <si>
    <t>Meenthof</t>
  </si>
  <si>
    <t>verjo_paalt_staal_4_verf_zwart</t>
  </si>
  <si>
    <t>n/b 19a</t>
  </si>
  <si>
    <t>nst 46</t>
  </si>
  <si>
    <t>t/o 46</t>
  </si>
  <si>
    <t>nst 91a</t>
  </si>
  <si>
    <t>nst super 91a</t>
  </si>
  <si>
    <t>Dodaarslaan</t>
  </si>
  <si>
    <t>9 mtr cil EU staal verzinkt</t>
  </si>
  <si>
    <t>onbek_enkel_staal_6_verzi_onbek</t>
  </si>
  <si>
    <t>verjo_paalt_staal_4_onbek_onbek</t>
  </si>
  <si>
    <t>t/o 2a</t>
  </si>
  <si>
    <t>a/r 27</t>
  </si>
  <si>
    <t>a/r 47</t>
  </si>
  <si>
    <t>Pijlkruid</t>
  </si>
  <si>
    <t>Eslaan</t>
  </si>
  <si>
    <t>verjo_enkel_alumi_6_geen_grijs</t>
  </si>
  <si>
    <t>conis_enkel_alumi_4_geen_grijs</t>
  </si>
  <si>
    <t>Fuikestee</t>
  </si>
  <si>
    <t>nst 19</t>
  </si>
  <si>
    <t>Suikerpot</t>
  </si>
  <si>
    <t>Zoete Inval</t>
  </si>
  <si>
    <t>onbek_muur_onbek_4_onbek_onbek</t>
  </si>
  <si>
    <t>onbek_muur_staal_4_verzi_onbek</t>
  </si>
  <si>
    <t>Zuiderhoek</t>
  </si>
  <si>
    <t>Dopheigang</t>
  </si>
  <si>
    <t>onbek_muur_onbek_3_onbek_onbek</t>
  </si>
  <si>
    <t>Salomonstempel</t>
  </si>
  <si>
    <t>Sporthal</t>
  </si>
  <si>
    <t>Bruinjoost</t>
  </si>
  <si>
    <t>TLD 18w</t>
  </si>
  <si>
    <t>G13</t>
  </si>
  <si>
    <t>TLD</t>
  </si>
  <si>
    <t>n/b 49</t>
  </si>
  <si>
    <t>n/b 22/24</t>
  </si>
  <si>
    <t>n/b 21/23</t>
  </si>
  <si>
    <t>n/b 13/15</t>
  </si>
  <si>
    <t>n/b 7/9</t>
  </si>
  <si>
    <t>n/b garages</t>
  </si>
  <si>
    <t>achter 26/28</t>
  </si>
  <si>
    <t>achter 40/42</t>
  </si>
  <si>
    <t>Helderoord</t>
  </si>
  <si>
    <t>Aalscholverlaan</t>
  </si>
  <si>
    <t>Julianaweg</t>
  </si>
  <si>
    <t>schuin voor 37</t>
  </si>
  <si>
    <t>n/b 34/36</t>
  </si>
  <si>
    <t>voor 23</t>
  </si>
  <si>
    <t>schuin voor 79</t>
  </si>
  <si>
    <t>conis_paalt_staal_6_verf_groen</t>
  </si>
  <si>
    <t>TLS 20w</t>
  </si>
  <si>
    <t>R18s</t>
  </si>
  <si>
    <t>TLS</t>
  </si>
  <si>
    <t>Lepelaarlaan</t>
  </si>
  <si>
    <t>PLL 50w</t>
  </si>
  <si>
    <t>Elzenhof</t>
  </si>
  <si>
    <t>Beatrixweg</t>
  </si>
  <si>
    <t>TLE 40w</t>
  </si>
  <si>
    <t>G10q</t>
  </si>
  <si>
    <t>TLE</t>
  </si>
  <si>
    <t>nst 94</t>
  </si>
  <si>
    <t>Ireneweg</t>
  </si>
  <si>
    <t>1e va Curtevenneweg</t>
  </si>
  <si>
    <t>Curtevenneweg</t>
  </si>
  <si>
    <t>schuin t/o 3</t>
  </si>
  <si>
    <t>schuin t/o 5</t>
  </si>
  <si>
    <t>nst 5</t>
  </si>
  <si>
    <t>schuin t/o 7</t>
  </si>
  <si>
    <t>van Nes van Meerkerklaan</t>
  </si>
  <si>
    <t>achter 29</t>
  </si>
  <si>
    <t>t/o 27/29</t>
  </si>
  <si>
    <t>achter 1/3</t>
  </si>
  <si>
    <t>J.H.Valkenburglaan</t>
  </si>
  <si>
    <t>schuin t/o 36</t>
  </si>
  <si>
    <t>Onbekend 36w</t>
  </si>
  <si>
    <t>A.N.van Pellecomhof</t>
  </si>
  <si>
    <t>nst 10</t>
  </si>
  <si>
    <t>Jonkheer Sixhof</t>
  </si>
  <si>
    <t>Dotterbloem</t>
  </si>
  <si>
    <t>Broekbos</t>
  </si>
  <si>
    <t>nst 16</t>
  </si>
  <si>
    <t>Klaverkamp</t>
  </si>
  <si>
    <t>led 40w</t>
  </si>
  <si>
    <t>Roerdomplaan</t>
  </si>
  <si>
    <t>conis_paalt_staal_3_onbek_onbek</t>
  </si>
  <si>
    <t>Berkenhof</t>
  </si>
  <si>
    <t>Peppelhof</t>
  </si>
  <si>
    <t>Wilhelminahof</t>
  </si>
  <si>
    <t>Mr.Johannes Sandersonhof</t>
  </si>
  <si>
    <t>n/b 10/12</t>
  </si>
  <si>
    <t>nst 18</t>
  </si>
  <si>
    <t>Hazenest</t>
  </si>
  <si>
    <t>Oostindie</t>
  </si>
  <si>
    <t>Moerendael</t>
  </si>
  <si>
    <t>Witte Water</t>
  </si>
  <si>
    <t>Oranjeweg</t>
  </si>
  <si>
    <t>t/o 13/14</t>
  </si>
  <si>
    <t>t/o 18</t>
  </si>
  <si>
    <t>t/o 30/32</t>
  </si>
  <si>
    <t>t/o 41/43</t>
  </si>
  <si>
    <t>t/o 71</t>
  </si>
  <si>
    <t>nst 81</t>
  </si>
  <si>
    <t>n/b 174</t>
  </si>
  <si>
    <t>t/o 84/86</t>
  </si>
  <si>
    <t>t/o 103</t>
  </si>
  <si>
    <t>v/b 109</t>
  </si>
  <si>
    <t>n/b 102</t>
  </si>
  <si>
    <t>brandweer</t>
  </si>
  <si>
    <t>SOX 35w</t>
  </si>
  <si>
    <t>verjo_paalt_staal_6_verzi_onbek</t>
  </si>
  <si>
    <t>Zandheuvel</t>
  </si>
  <si>
    <t>Kalkakker</t>
  </si>
  <si>
    <t>Piramide</t>
  </si>
  <si>
    <t>Kleine Wije</t>
  </si>
  <si>
    <t>Saled BS-S 36watt</t>
  </si>
  <si>
    <t>Barent Udolaan</t>
  </si>
  <si>
    <t>verjo_enkel_staal_4_verzi_onbek</t>
  </si>
  <si>
    <t>Oud-Loosdrechtsedijk</t>
  </si>
  <si>
    <t>TEGENOVER NR 149</t>
  </si>
  <si>
    <t>verjo_onbek_staal_7_verf_groen</t>
  </si>
  <si>
    <t>teceo</t>
  </si>
  <si>
    <t>Schreder Teceo</t>
  </si>
  <si>
    <t>VOOR NR.296</t>
  </si>
  <si>
    <t>LED2WELL 2700 lumen code LC-N</t>
  </si>
  <si>
    <t>HOEK VEENDIJK</t>
  </si>
  <si>
    <t>Philips SGS 203</t>
  </si>
  <si>
    <t>SCHUIN TEGENOVER NO. 138</t>
  </si>
  <si>
    <t>Oppad</t>
  </si>
  <si>
    <t>EERSTE LINKS V.A. OUD LOOSDRECHTSEDIJK</t>
  </si>
  <si>
    <t>conis_paalt_staal_4_verzi_groen</t>
  </si>
  <si>
    <t>Industria 2050</t>
  </si>
  <si>
    <t>TWEEDE LINKS V.A. OUD LOOSDRECHTSEDIJK</t>
  </si>
  <si>
    <t>DERDE LINKS V.A. OUD LOOSDRECHTSEDIJK</t>
  </si>
  <si>
    <t>VIERDE LINKS V.A. OUD LOOSDRECHTSEDIJK</t>
  </si>
  <si>
    <t>Drie Kampjes</t>
  </si>
  <si>
    <t>CIRCA 8.5 METER RECHTSTO NR.7</t>
  </si>
  <si>
    <t>Philips CPS 200</t>
  </si>
  <si>
    <t>TEGENOVER NR 5-7</t>
  </si>
  <si>
    <t>Lightronics GFK 5148</t>
  </si>
  <si>
    <t>NR 13-15</t>
  </si>
  <si>
    <t>TEGENOVER NR 19-21</t>
  </si>
  <si>
    <t>hk nr 59</t>
  </si>
  <si>
    <t>HOEK NR 44</t>
  </si>
  <si>
    <t>NR 52-54</t>
  </si>
  <si>
    <t>NR 67-69</t>
  </si>
  <si>
    <t>ACHTER NR 67-69</t>
  </si>
  <si>
    <t>NR 38-40</t>
  </si>
  <si>
    <t>NR 28-30</t>
  </si>
  <si>
    <t>NR 18-20</t>
  </si>
  <si>
    <t>NR 8 - 10</t>
  </si>
  <si>
    <t>de Kreek</t>
  </si>
  <si>
    <t>BIJ NR. 25</t>
  </si>
  <si>
    <t>verjo_enkel_staal_6_verzi_groen</t>
  </si>
  <si>
    <t>TEGENOVER NR 1/A</t>
  </si>
  <si>
    <t>onbek_onbek_staal_10_onbek_onbek</t>
  </si>
  <si>
    <t>Philips XGS 201</t>
  </si>
  <si>
    <t>SOX 90w</t>
  </si>
  <si>
    <t>Horndijk</t>
  </si>
  <si>
    <t>TEGENOVER NR 1 /PWS NR.53 (T32)</t>
  </si>
  <si>
    <t>NAAST NR 2 BIJ PARKEERPLAATS</t>
  </si>
  <si>
    <t>T.O. NR 2 (PARKEERPLAATS)</t>
  </si>
  <si>
    <t>led 18w</t>
  </si>
  <si>
    <t>VOOR NR 3/A</t>
  </si>
  <si>
    <t>VOOR NR 6</t>
  </si>
  <si>
    <t>VOOR NR.7</t>
  </si>
  <si>
    <t>Aansluiting aanwezig voor lichtornamenten</t>
  </si>
  <si>
    <t>TEGENOVER NR 8</t>
  </si>
  <si>
    <t>TEGENOVER NR 9/A</t>
  </si>
  <si>
    <t>TEGENOVER NR 10</t>
  </si>
  <si>
    <t>TEGENOVER NR 11</t>
  </si>
  <si>
    <t>TEGENOVER NR 12</t>
  </si>
  <si>
    <t>TEGENOVER NR 16</t>
  </si>
  <si>
    <t>TEGENOVER NR 18</t>
  </si>
  <si>
    <t>TEGENOVER NR 22</t>
  </si>
  <si>
    <t>TEGENOVER NR 25</t>
  </si>
  <si>
    <t>TUSSEN NR 25 EN 27</t>
  </si>
  <si>
    <t>TEGENOVER NR 27</t>
  </si>
  <si>
    <t>T/O NR.27A</t>
  </si>
  <si>
    <t>TEGENOVER NR 28</t>
  </si>
  <si>
    <t>TEGENOVER NR 29</t>
  </si>
  <si>
    <t>TEGENOVER NR 30</t>
  </si>
  <si>
    <t>TEGENOVER NR 31</t>
  </si>
  <si>
    <t>TEGENOVER NR 32</t>
  </si>
  <si>
    <t>TEGENOVER NR 33</t>
  </si>
  <si>
    <t>TEGENOVER NR 34</t>
  </si>
  <si>
    <t>TEGENOVER NR 36</t>
  </si>
  <si>
    <t>VOOR NR.36</t>
  </si>
  <si>
    <t>BIJ NR 4</t>
  </si>
  <si>
    <t>VOOR NR. 6</t>
  </si>
  <si>
    <t>BIJ NR 10</t>
  </si>
  <si>
    <t>BIJ NR. 16</t>
  </si>
  <si>
    <t>BIJ NR 22</t>
  </si>
  <si>
    <t>VOOR NR.26</t>
  </si>
  <si>
    <t>BIJ NR 5</t>
  </si>
  <si>
    <t>VOOR NR.9</t>
  </si>
  <si>
    <t>BIJ NR.15</t>
  </si>
  <si>
    <t>BIJ NR. 21</t>
  </si>
  <si>
    <t>ACHTIENDE LINKS V.A. OUD LOOSDRECHTSEDIJK</t>
  </si>
  <si>
    <t>NEGENTIENDE LINKS V.A. OUD LOOSDRECHTSEDIJK</t>
  </si>
  <si>
    <t>25/E LINKS V.A. OUD LOOSDRECHTSEDIJK</t>
  </si>
  <si>
    <t>26/E LINKS V.A. OUD LOOSDRECHTSEDIJK</t>
  </si>
  <si>
    <t>verjo_enkel_staal_6_verzi_grijs</t>
  </si>
  <si>
    <t>27/E LINKS V.A. OUD LOOSDRECHTSEDIJK</t>
  </si>
  <si>
    <t>VOOR NR. 2</t>
  </si>
  <si>
    <t>Bleekveld</t>
  </si>
  <si>
    <t>BIJ NR.36</t>
  </si>
  <si>
    <t>BIJ NR.28</t>
  </si>
  <si>
    <t>BIJ NR.24</t>
  </si>
  <si>
    <t>BIJ NR.18-20</t>
  </si>
  <si>
    <t>BIJ SCHOOL DE ROERGANGER NR.1</t>
  </si>
  <si>
    <t>BIJ NR.14</t>
  </si>
  <si>
    <t>BIJ NR.10</t>
  </si>
  <si>
    <t>BIJ NR.3</t>
  </si>
  <si>
    <t>BIJ NR.5</t>
  </si>
  <si>
    <t>BIJ NR.7</t>
  </si>
  <si>
    <t>3E MAST RECHTS VAN NR.2</t>
  </si>
  <si>
    <t>2E MAST RECHTS VAN NR.2</t>
  </si>
  <si>
    <t>1E MAST RECHTS VAN NR.2</t>
  </si>
  <si>
    <t>BIJ NR.4</t>
  </si>
  <si>
    <t>De Zodde</t>
  </si>
  <si>
    <t>TO NR.6</t>
  </si>
  <si>
    <t>TO NR.8</t>
  </si>
  <si>
    <t>NAAST NR.8</t>
  </si>
  <si>
    <t>2E MAST VANAF NR.8</t>
  </si>
  <si>
    <t>EERSTE RECHT VOORBY 2</t>
  </si>
  <si>
    <t>VOOR NR.44</t>
  </si>
  <si>
    <t>VOOR NR.40</t>
  </si>
  <si>
    <t>VOOR NR.38</t>
  </si>
  <si>
    <t>TO NR.34</t>
  </si>
  <si>
    <t>TO NR.26</t>
  </si>
  <si>
    <t>23/E LINKS V.A. OUD LOOSDRECHTSEDIJK</t>
  </si>
  <si>
    <t>TO NR 1</t>
  </si>
  <si>
    <t>BIJ NR 2 TER HOOGTE VAN MSR PARKEERPLAATS</t>
  </si>
  <si>
    <t>BY RN 2</t>
  </si>
  <si>
    <t>4E LM VANAF INFOBORD</t>
  </si>
  <si>
    <t>3E RECHTS VANAF OUD LOOSDRECHTSEDIJK OT</t>
  </si>
  <si>
    <t>20E MAST VANAF OUD LOOSDRECHTSEDIJK</t>
  </si>
  <si>
    <t>SOX 36w</t>
  </si>
  <si>
    <t>BIJ NR 1</t>
  </si>
  <si>
    <t>BIJ NR 2</t>
  </si>
  <si>
    <t>NST NR 2 OP PARKEERPLAATS</t>
  </si>
  <si>
    <t>NST NR 4A OP PARKEERPLAATS</t>
  </si>
  <si>
    <t>1E MAST VANAF  S GRAVELANDSEVAARTWEG</t>
  </si>
  <si>
    <t>VOOR NR 291</t>
  </si>
  <si>
    <t>verjo_enkel_staal_8_verzi_zwart</t>
  </si>
  <si>
    <t>Lightronics MAK</t>
  </si>
  <si>
    <t>VOOR NR 287</t>
  </si>
  <si>
    <t>VOOR NR 286</t>
  </si>
  <si>
    <t>VOOR NR 277</t>
  </si>
  <si>
    <t>VOOR NR 283</t>
  </si>
  <si>
    <t>VOOR NR 272</t>
  </si>
  <si>
    <t>VOOR NR 269 - 271</t>
  </si>
  <si>
    <t>VOOR NR 268 A</t>
  </si>
  <si>
    <t>VOOR NR 262 A</t>
  </si>
  <si>
    <t>TEGENOVER NR 262</t>
  </si>
  <si>
    <t>VOOR NR 258</t>
  </si>
  <si>
    <t>SCHUIN VOOR NR 249</t>
  </si>
  <si>
    <t>VOOR NR 250</t>
  </si>
  <si>
    <t>VOOR NR 246</t>
  </si>
  <si>
    <t>VOOR NR 237 - 239</t>
  </si>
  <si>
    <t>TEGENOVER NR 45</t>
  </si>
  <si>
    <t>TEGENOVER NR 241</t>
  </si>
  <si>
    <t>NABIJ NR 140</t>
  </si>
  <si>
    <t>VOOR NR 153</t>
  </si>
  <si>
    <t>NR 148</t>
  </si>
  <si>
    <t>VOOR NR 161</t>
  </si>
  <si>
    <t>TEGENOVER NR 203</t>
  </si>
  <si>
    <t>NR 184</t>
  </si>
  <si>
    <t>SCHUIN VOOR NR 197</t>
  </si>
  <si>
    <t>NR 182</t>
  </si>
  <si>
    <t>TEGENOVER NR 187</t>
  </si>
  <si>
    <t>VOOR NR 185</t>
  </si>
  <si>
    <t>NR 172</t>
  </si>
  <si>
    <t>TEGENOVER NR 168</t>
  </si>
  <si>
    <t>NR 162</t>
  </si>
  <si>
    <t>TEGENOVER NR 158</t>
  </si>
  <si>
    <t>SCHUIN NAAST NR 161</t>
  </si>
  <si>
    <t>VOOR NR 276</t>
  </si>
  <si>
    <t>TO 207</t>
  </si>
  <si>
    <t>conis_paalt_staal_4_verzi_grijs</t>
  </si>
  <si>
    <t>LINKS VAN 2</t>
  </si>
  <si>
    <t>verjo_enkel_staal_8_verzi_groen</t>
  </si>
  <si>
    <t>RECHTS VAN 2</t>
  </si>
  <si>
    <t>VOOR 4</t>
  </si>
  <si>
    <t>TO DE ZODDE</t>
  </si>
  <si>
    <t>TUSSEN DE ZODDE EN PERCEEL 7</t>
  </si>
  <si>
    <t>Saled PS-L 18 watt</t>
  </si>
  <si>
    <t>3E LINKS VAN PERCEEL 7</t>
  </si>
  <si>
    <t>1E LINKS VAN PERCEEL 7</t>
  </si>
  <si>
    <t>TO 8</t>
  </si>
  <si>
    <t>LINKS VAN ZODDE 13</t>
  </si>
  <si>
    <t>RECHTS VAN 20</t>
  </si>
  <si>
    <t>RECHTS VAN 16</t>
  </si>
  <si>
    <t>VOOR 6</t>
  </si>
  <si>
    <t>VOOR 5</t>
  </si>
  <si>
    <t>VOOR 4A</t>
  </si>
  <si>
    <t>RECHTS VAN 3A</t>
  </si>
  <si>
    <t>VOOR 2</t>
  </si>
  <si>
    <t>Vuntuslaan</t>
  </si>
  <si>
    <t>VOOR NR.1</t>
  </si>
  <si>
    <t>m_st6_uitl</t>
  </si>
  <si>
    <t>Heulakker</t>
  </si>
  <si>
    <t>NR 9-11</t>
  </si>
  <si>
    <t>NR 25-27</t>
  </si>
  <si>
    <t>NR 37</t>
  </si>
  <si>
    <t>TEGENOVER NR 25 OP PARKEERPLAATS</t>
  </si>
  <si>
    <t>PARKEERPLAATS TEGENOVER NR 15</t>
  </si>
  <si>
    <t>PARKEERPLAATS TEGENOVER NR 3</t>
  </si>
  <si>
    <t>NR 9</t>
  </si>
  <si>
    <t>NR 19</t>
  </si>
  <si>
    <t>NR 31</t>
  </si>
  <si>
    <t>NR 39</t>
  </si>
  <si>
    <t>BIJ NR.47</t>
  </si>
  <si>
    <t>SCHUIN TEGENOVER NR 79</t>
  </si>
  <si>
    <t>TEGENOVER NR 81</t>
  </si>
  <si>
    <t>20-22</t>
  </si>
  <si>
    <t>NR 51-53</t>
  </si>
  <si>
    <t>NR 2/A</t>
  </si>
  <si>
    <t>VOOR NR 89</t>
  </si>
  <si>
    <t>NR 42-44</t>
  </si>
  <si>
    <t>TEGENOVER NR 189 OP PARKEERPLAATS TWEEDE MAST</t>
  </si>
  <si>
    <t>TEGENOVER NR 189 OP PARKEERPLAATS DERDE MAST</t>
  </si>
  <si>
    <t>TEGENOVER NR 189 OP PARKEERPLAATS EERSTE MAST</t>
  </si>
  <si>
    <t>Nederhorst den Berg</t>
  </si>
  <si>
    <t>Wijk 06 Nederhorst den Berg</t>
  </si>
  <si>
    <t>Horn en Kuijerpolder</t>
  </si>
  <si>
    <t>Kerkstraat</t>
  </si>
  <si>
    <t>nst 36</t>
  </si>
  <si>
    <t>PLL 20w</t>
  </si>
  <si>
    <t>voor 28</t>
  </si>
  <si>
    <t>Spiegelpolder</t>
  </si>
  <si>
    <t>Dammerweg</t>
  </si>
  <si>
    <t>n/b 127a</t>
  </si>
  <si>
    <t>Middenweg</t>
  </si>
  <si>
    <t>verjo_enkel_staal_7_5_verzi_onbek</t>
  </si>
  <si>
    <t>Inolumus mini Nicole  24 W moonlight</t>
  </si>
  <si>
    <t>Horstermeer</t>
  </si>
  <si>
    <t>32a</t>
  </si>
  <si>
    <t>31a</t>
  </si>
  <si>
    <t>verjo_enkel_staal_7_verf_groen</t>
  </si>
  <si>
    <t>Machineweg</t>
  </si>
  <si>
    <t>voor 2</t>
  </si>
  <si>
    <t>Saled SA-LS-S-22 watt e27</t>
  </si>
  <si>
    <t>voor 12</t>
  </si>
  <si>
    <t>voor 11</t>
  </si>
  <si>
    <t>voor 24</t>
  </si>
  <si>
    <t>verjo_enkel_staal_5_onbek_onbek</t>
  </si>
  <si>
    <t>voor 36</t>
  </si>
  <si>
    <t>voor 38</t>
  </si>
  <si>
    <t>voor 42</t>
  </si>
  <si>
    <t>voor 46</t>
  </si>
  <si>
    <t>t/o 49</t>
  </si>
  <si>
    <t>Saled fitting BY22D</t>
  </si>
  <si>
    <t>voor 56</t>
  </si>
  <si>
    <t>voor 55</t>
  </si>
  <si>
    <t>onbek_onbek_staal_5_verzi_onbek</t>
  </si>
  <si>
    <t>Dwarsweg</t>
  </si>
  <si>
    <t>voor 6</t>
  </si>
  <si>
    <t>voor 14</t>
  </si>
  <si>
    <t>voor 22</t>
  </si>
  <si>
    <t>Nieuw Walden</t>
  </si>
  <si>
    <t>Saled led tube SA-T8-10W 3000K</t>
  </si>
  <si>
    <t>Radioweg</t>
  </si>
  <si>
    <t>Blijkpolder</t>
  </si>
  <si>
    <t>Randweg</t>
  </si>
  <si>
    <t>7 mtr cil EU staal verzinkt</t>
  </si>
  <si>
    <t>Philips SGS253</t>
  </si>
  <si>
    <t>Saled fitting E27</t>
  </si>
  <si>
    <t>Kooikerboog</t>
  </si>
  <si>
    <t>De Kooi</t>
  </si>
  <si>
    <t>68a</t>
  </si>
  <si>
    <t>70c</t>
  </si>
  <si>
    <t>Esdoornlaan</t>
  </si>
  <si>
    <t>Wethouder Bloklaan</t>
  </si>
  <si>
    <t>Acacialaan</t>
  </si>
  <si>
    <t>Meidoornlaan</t>
  </si>
  <si>
    <t>Lightronics BART</t>
  </si>
  <si>
    <t>LED2WELL 1600 lumen code 7</t>
  </si>
  <si>
    <t>Kastanjelaan</t>
  </si>
  <si>
    <t>Prunuslaan</t>
  </si>
  <si>
    <t>Uiterdijksehof</t>
  </si>
  <si>
    <t>Meerhoekweg</t>
  </si>
  <si>
    <t>Overmeerseweg</t>
  </si>
  <si>
    <t>Slotlaan</t>
  </si>
  <si>
    <t>voor 84</t>
  </si>
  <si>
    <t>m_st4</t>
  </si>
  <si>
    <t>voor 4</t>
  </si>
  <si>
    <t>6 mtr cil staal verzinkt boogmast RAL 6005</t>
  </si>
  <si>
    <t>Rivierahof</t>
  </si>
  <si>
    <t>Lange Wetering</t>
  </si>
  <si>
    <t>1a</t>
  </si>
  <si>
    <t>De Vijnen</t>
  </si>
  <si>
    <t>Industria 2037</t>
  </si>
  <si>
    <t>Zoddeland</t>
  </si>
  <si>
    <t>De Grienden</t>
  </si>
  <si>
    <t>Legakker</t>
  </si>
  <si>
    <t>Turfstekerslaan</t>
  </si>
  <si>
    <t>Rietsnijderslaan</t>
  </si>
  <si>
    <t>Hoepelbuigerslaan</t>
  </si>
  <si>
    <t>De Biezen</t>
  </si>
  <si>
    <t>achter 17</t>
  </si>
  <si>
    <t>Veenderij</t>
  </si>
  <si>
    <t>Dobbelaan</t>
  </si>
  <si>
    <t>Blijklaan</t>
  </si>
  <si>
    <t>nst 3</t>
  </si>
  <si>
    <t>Brilhoek</t>
  </si>
  <si>
    <t>conis_paalt_staal_4_5_verzi_onbek</t>
  </si>
  <si>
    <t>Nieuwe Overmeerseweg</t>
  </si>
  <si>
    <t>t/o 48</t>
  </si>
  <si>
    <t>t/o 50</t>
  </si>
  <si>
    <t>t/o 73</t>
  </si>
  <si>
    <t>t/o 78</t>
  </si>
  <si>
    <t>t/o 80</t>
  </si>
  <si>
    <t>t/o 83</t>
  </si>
  <si>
    <t>t/o 84b</t>
  </si>
  <si>
    <t>t/o 84f</t>
  </si>
  <si>
    <t>plaats mast niet te vinden</t>
  </si>
  <si>
    <t>decor_enkel_staal_6_verf_groen</t>
  </si>
  <si>
    <t>voor 60</t>
  </si>
  <si>
    <t>Voorstraat</t>
  </si>
  <si>
    <t>Reeweg</t>
  </si>
  <si>
    <t>voor 18</t>
  </si>
  <si>
    <t>voor 8</t>
  </si>
  <si>
    <t>voor 5</t>
  </si>
  <si>
    <t>t/o 62</t>
  </si>
  <si>
    <t>t/o 36</t>
  </si>
  <si>
    <t>overzijde van nr. 2</t>
  </si>
  <si>
    <t>Hinderdam</t>
  </si>
  <si>
    <t>nst 17</t>
  </si>
  <si>
    <t>5 mtr cil staal geschilderd RAL 6005</t>
  </si>
  <si>
    <t>nst 6</t>
  </si>
  <si>
    <t>nst 4</t>
  </si>
  <si>
    <t>voor 1</t>
  </si>
  <si>
    <t>Vaartweg</t>
  </si>
  <si>
    <t>plaats mast niet vinden op de kaart!</t>
  </si>
  <si>
    <t>Ankeveensepad</t>
  </si>
  <si>
    <t>Eilandseweg</t>
  </si>
  <si>
    <t>voor 7</t>
  </si>
  <si>
    <t>voor 9</t>
  </si>
  <si>
    <t>voor 10</t>
  </si>
  <si>
    <t>voor 11a</t>
  </si>
  <si>
    <t>nst 14b</t>
  </si>
  <si>
    <t>voor 19</t>
  </si>
  <si>
    <t>voor 26</t>
  </si>
  <si>
    <t>Torenweg</t>
  </si>
  <si>
    <t>tussen 11</t>
  </si>
  <si>
    <t>nst 12</t>
  </si>
  <si>
    <t>Brugstraat</t>
  </si>
  <si>
    <t>Jacob van Ruysdaelstraat</t>
  </si>
  <si>
    <t>Philips van Wassenaerlaan</t>
  </si>
  <si>
    <t>Eksterlaan</t>
  </si>
  <si>
    <t>10a</t>
  </si>
  <si>
    <t>Jozef Israelslaan</t>
  </si>
  <si>
    <t>Vincent van Goghstraat</t>
  </si>
  <si>
    <t>voor 16</t>
  </si>
  <si>
    <t>Gebroeders Marislaan</t>
  </si>
  <si>
    <t>Rembrand van Rijnhof</t>
  </si>
  <si>
    <t>Meindert Hobbemastraat</t>
  </si>
  <si>
    <t>Meinder Hobbemastraat</t>
  </si>
  <si>
    <t>Kuijerpad</t>
  </si>
  <si>
    <t>Rembrandt van Rijnhof</t>
  </si>
  <si>
    <t>Anton Mauvelaan</t>
  </si>
  <si>
    <t>Jan Josephsz v Goyenstr</t>
  </si>
  <si>
    <t>Johannes Bosboomlaan</t>
  </si>
  <si>
    <t>Paulus Potterstraat</t>
  </si>
  <si>
    <t>Jan Steenhof</t>
  </si>
  <si>
    <t>Frans Halshof</t>
  </si>
  <si>
    <t>Hendrik Willem Mesdagln</t>
  </si>
  <si>
    <t>Johannes Vermeerhof</t>
  </si>
  <si>
    <t>Aelbert Cuypstraat</t>
  </si>
  <si>
    <t>Pieter de Hooghlaan</t>
  </si>
  <si>
    <t>Zijpad</t>
  </si>
  <si>
    <t>Johanne Vermeerhof</t>
  </si>
  <si>
    <t>G Hendrik Breitnerln</t>
  </si>
  <si>
    <t>Areas</t>
  </si>
  <si>
    <t>led 24 W</t>
  </si>
  <si>
    <t>Juliana-Bernhardplein</t>
  </si>
  <si>
    <t>t/o 38</t>
  </si>
  <si>
    <t>voor 3</t>
  </si>
  <si>
    <t>Meerlaan</t>
  </si>
  <si>
    <t>Lijsterlaan</t>
  </si>
  <si>
    <t>Fazantenlaan</t>
  </si>
  <si>
    <t>Patrijslaan</t>
  </si>
  <si>
    <t>Kievitslaan</t>
  </si>
  <si>
    <t>Hardlooppad</t>
  </si>
  <si>
    <t>Philips Urbanstar BDS100</t>
  </si>
  <si>
    <t>LED 28-2S Clearfield (AMBER kleurig) DGR CLO C5K spiegel DRW</t>
  </si>
  <si>
    <t>Onbekend 18w</t>
  </si>
  <si>
    <t>Core pro led 13W E27</t>
  </si>
  <si>
    <t>Onbekend 20w</t>
  </si>
  <si>
    <t>PL-E</t>
  </si>
  <si>
    <t>Zijweg</t>
  </si>
  <si>
    <t>Particulier</t>
  </si>
  <si>
    <t>PLL 18w</t>
  </si>
  <si>
    <t>verjo_enkel_staal_7_5_verf_groen</t>
  </si>
  <si>
    <t>Hazelaarlaan</t>
  </si>
  <si>
    <t>Woningbouw</t>
  </si>
  <si>
    <t>Vrijheid</t>
  </si>
  <si>
    <t>Jasmijnlaan</t>
  </si>
  <si>
    <t>Prinses Margrietstraat</t>
  </si>
  <si>
    <t>Godelindehof</t>
  </si>
  <si>
    <t>van Mijndenlaan</t>
  </si>
  <si>
    <t>Godelindelaan</t>
  </si>
  <si>
    <t>van Collenstraat</t>
  </si>
  <si>
    <t>de Mollstraat</t>
  </si>
  <si>
    <t>van Dorenwerdestraat</t>
  </si>
  <si>
    <t>Tjotter</t>
  </si>
  <si>
    <t>Schouw</t>
  </si>
  <si>
    <t>4 mtr con PT staal verzinkt RAL 6005</t>
  </si>
  <si>
    <t>Schakel</t>
  </si>
  <si>
    <t>lieve Geelvincklaan</t>
  </si>
  <si>
    <t>Graaf Wichmanlaan</t>
  </si>
  <si>
    <t>Molenmeent</t>
  </si>
  <si>
    <t>HALSLAAN F. VOOR NO. 2.</t>
  </si>
  <si>
    <t>VOOR NR 12</t>
  </si>
  <si>
    <t>NAAST NR 26/28</t>
  </si>
  <si>
    <t>Prinses Beatrixstraat</t>
  </si>
  <si>
    <t>TUSSEN 24 EN 26</t>
  </si>
  <si>
    <t>T/O 56</t>
  </si>
  <si>
    <t>Beukenlaan</t>
  </si>
  <si>
    <t>VOOR 14</t>
  </si>
  <si>
    <t>Prinses Marijkestraat</t>
  </si>
  <si>
    <t>HOEK NOOTWEG</t>
  </si>
  <si>
    <t>Hellux 303</t>
  </si>
  <si>
    <t>Alewijnlaan</t>
  </si>
  <si>
    <t>VOOR NR 14</t>
  </si>
  <si>
    <t>Lindelaan</t>
  </si>
  <si>
    <t>T/O KASTANJELAAN</t>
  </si>
  <si>
    <t>EERSTE LINKS V/A RADING</t>
  </si>
  <si>
    <t>T/O LIJSTERBESLAAN</t>
  </si>
  <si>
    <t>T/O MEIDOORNLAAN</t>
  </si>
  <si>
    <t>BIJ NR.91</t>
  </si>
  <si>
    <t>TUSSEN BEUKENLAAN EN EIKENLAAN</t>
  </si>
  <si>
    <t>Elzenlaan</t>
  </si>
  <si>
    <t>SCHUIN TEGENOVER NR 1</t>
  </si>
  <si>
    <t>Bremlaan</t>
  </si>
  <si>
    <t>NR 14</t>
  </si>
  <si>
    <t>NR 5</t>
  </si>
  <si>
    <t>VOOR NR 4</t>
  </si>
  <si>
    <t>VOOR NR 11</t>
  </si>
  <si>
    <t>VOOR NR 25</t>
  </si>
  <si>
    <t>VOOR NR 28</t>
  </si>
  <si>
    <t>VOOR NR 9</t>
  </si>
  <si>
    <t>VOOR NR 5</t>
  </si>
  <si>
    <t>T/O NR.2</t>
  </si>
  <si>
    <t>TEGENOVER REMBRANDTLAAN</t>
  </si>
  <si>
    <t>TEGENOVER NR 4</t>
  </si>
  <si>
    <t>VOOR NR 6-8</t>
  </si>
  <si>
    <t>TEGENOVER NR 10-12</t>
  </si>
  <si>
    <t>NR 20</t>
  </si>
  <si>
    <t>NR 24</t>
  </si>
  <si>
    <t>TEGENOVER NR 28-30</t>
  </si>
  <si>
    <t>Eikenlaan</t>
  </si>
  <si>
    <t>EERST LINKS VB DENNENLAAN T/O BUSHALTE</t>
  </si>
  <si>
    <t>TEGENOVER LARIXLAAN</t>
  </si>
  <si>
    <t>NAAST MOERBEILAAN 1</t>
  </si>
  <si>
    <t>SCHUIN TEGENOVER MOERBEILAAN</t>
  </si>
  <si>
    <t>NAAST LAAN VAN EIKENRODE 3</t>
  </si>
  <si>
    <t>VOOR NR. 39</t>
  </si>
  <si>
    <t>verjo_onbek_staal_5_verf_groen</t>
  </si>
  <si>
    <t>BIJ WIJKGEBOUW HERV.KERK</t>
  </si>
  <si>
    <t>BIJ 34</t>
  </si>
  <si>
    <t>hoek eikenln / lindenln</t>
  </si>
  <si>
    <t>VOORBIJ NR 17, NAAR LINDELAAN</t>
  </si>
  <si>
    <t>VOOR NR 21</t>
  </si>
  <si>
    <t>TEGENOVER NR 23</t>
  </si>
  <si>
    <t>VOOR NR. 25-27</t>
  </si>
  <si>
    <t>VOOR NR 30</t>
  </si>
  <si>
    <t>NAAST BERKENLAAN 25</t>
  </si>
  <si>
    <t>EIKENLAAN/MEIDOORNLAAN</t>
  </si>
  <si>
    <t>BIJ 46</t>
  </si>
  <si>
    <t>hk meidoorn / eikenln</t>
  </si>
  <si>
    <t>Laan van Eikenrode</t>
  </si>
  <si>
    <t>TEGENOVER NR 58, SPLITSING ACACIALAAN</t>
  </si>
  <si>
    <t>MAST BESTAAT NIET</t>
  </si>
  <si>
    <t>NR 62</t>
  </si>
  <si>
    <t>HOEK FRANS VAN HALSLAAN</t>
  </si>
  <si>
    <t>verjo_onbek_staal_7_verzi_groen</t>
  </si>
  <si>
    <t>OP DE HOEK EIKENLAAN TEGENOVER NR 3</t>
  </si>
  <si>
    <t>TEGENOVER BEUKENLAAN</t>
  </si>
  <si>
    <t>NR 80-82</t>
  </si>
  <si>
    <t>SCHUIN NAAST NR 25</t>
  </si>
  <si>
    <t>Dennenlaan</t>
  </si>
  <si>
    <t>EERSTE LINKS VANAF DE LAAN VAN EIKENRODE</t>
  </si>
  <si>
    <t>EERSTE LINKS VANAF DE MOERBEILAAN</t>
  </si>
  <si>
    <t>DENNENLAAN</t>
  </si>
  <si>
    <t>NR 8-10</t>
  </si>
  <si>
    <t>NAAST NR 1</t>
  </si>
  <si>
    <t>HOEK FRANS HALSLAAN</t>
  </si>
  <si>
    <t>St. Annepad</t>
  </si>
  <si>
    <t>HK FRANS HALSLAAN</t>
  </si>
  <si>
    <t>Rembrandtlaan</t>
  </si>
  <si>
    <t>VOOR 18/16</t>
  </si>
  <si>
    <t>VOOR 11/13</t>
  </si>
  <si>
    <t>SCHUIN VOOR 30</t>
  </si>
  <si>
    <t>VOOR 40/42</t>
  </si>
  <si>
    <t>TO VAN  OSTADELAAN</t>
  </si>
  <si>
    <t>TO 52</t>
  </si>
  <si>
    <t>TO VD HELSTLAAN</t>
  </si>
  <si>
    <t>TO 31 A</t>
  </si>
  <si>
    <t>TO VERMEERLAAN</t>
  </si>
  <si>
    <t>TO RUYSDAELLAAN</t>
  </si>
  <si>
    <t>Ruysdaellaan</t>
  </si>
  <si>
    <t>VOOR 12/14</t>
  </si>
  <si>
    <t>T/O NR.39</t>
  </si>
  <si>
    <t>VOOR NR 49</t>
  </si>
  <si>
    <t>VOOR NR 53</t>
  </si>
  <si>
    <t>VOOR NR 57</t>
  </si>
  <si>
    <t>TO NR 57, OP PARKEERPLAATS</t>
  </si>
  <si>
    <t>ACHTER NR 156/158, OP VOETPAD</t>
  </si>
  <si>
    <t>ACHTER NR 144/146, OP VOETPAD</t>
  </si>
  <si>
    <t>ACHTER NR 132/134</t>
  </si>
  <si>
    <t>ACHTER NR 120/122,OP VOETPAD</t>
  </si>
  <si>
    <t>VOOR/NAAST NR 19</t>
  </si>
  <si>
    <t>VOOR NR 19</t>
  </si>
  <si>
    <t>VOOR NR 26</t>
  </si>
  <si>
    <t>TO NR 20</t>
  </si>
  <si>
    <t>VOOR NR 18</t>
  </si>
  <si>
    <t>NAAST NR 18, OP PARKEERPLAATS</t>
  </si>
  <si>
    <t>NAAST NR 16</t>
  </si>
  <si>
    <t>NAAST NR 9</t>
  </si>
  <si>
    <t>TO NR 11</t>
  </si>
  <si>
    <t>VOOR NR 36</t>
  </si>
  <si>
    <t>TO NR 7</t>
  </si>
  <si>
    <t>VOOR NR 1</t>
  </si>
  <si>
    <t>TO N R4</t>
  </si>
  <si>
    <t>Spanker</t>
  </si>
  <si>
    <t>VOOR NR 46</t>
  </si>
  <si>
    <t>VOOR NR 35</t>
  </si>
  <si>
    <t>NAAST NR 21</t>
  </si>
  <si>
    <t>VOOR NR 44</t>
  </si>
  <si>
    <t>VOOR NR 17</t>
  </si>
  <si>
    <t>VOOR NR 24</t>
  </si>
  <si>
    <t>NAAST NR 22</t>
  </si>
  <si>
    <t>ACHTER NR 22</t>
  </si>
  <si>
    <t>VOOR NR 12 (VOETPAD)</t>
  </si>
  <si>
    <t>VOETPAD, VOOR NR 8</t>
  </si>
  <si>
    <t>VOOR NR 2</t>
  </si>
  <si>
    <t>SCHUIN TEGENOVER NR 2</t>
  </si>
  <si>
    <t>VOOR NR 7</t>
  </si>
  <si>
    <t>TEGENOVER NR 64</t>
  </si>
  <si>
    <t>TEGENOVER NR 60</t>
  </si>
  <si>
    <t>VOOR NR 22</t>
  </si>
  <si>
    <t>NAAST NR 46</t>
  </si>
  <si>
    <t>VOOR NR 52</t>
  </si>
  <si>
    <t>ACHTER NR 33</t>
  </si>
  <si>
    <t>Pampus</t>
  </si>
  <si>
    <t>VOOR NR 15</t>
  </si>
  <si>
    <t>VOOR NR 16</t>
  </si>
  <si>
    <t>VOOR NR 8</t>
  </si>
  <si>
    <t>HOEK TJALK</t>
  </si>
  <si>
    <t>Flits</t>
  </si>
  <si>
    <t>NAAST NR 25 (PJALK)</t>
  </si>
  <si>
    <t>VOOR NR 10</t>
  </si>
  <si>
    <t>VOOR NR 20</t>
  </si>
  <si>
    <t>TEGENOVER NR 7</t>
  </si>
  <si>
    <t>NAAST NR 71</t>
  </si>
  <si>
    <t>TEGENOVER NR 20</t>
  </si>
  <si>
    <t>TEGENOVER NR 15</t>
  </si>
  <si>
    <t>NAAST NR 38</t>
  </si>
  <si>
    <t>ACHTER-NAAST NR 38</t>
  </si>
  <si>
    <t>NAAST NR. 36</t>
  </si>
  <si>
    <t>VOOR NR 38</t>
  </si>
  <si>
    <t>VOOR NR 50</t>
  </si>
  <si>
    <t>TEGENOVER NR 56</t>
  </si>
  <si>
    <t>SCHUIN TEGENOVER NR 56</t>
  </si>
  <si>
    <t>NAAST NR 56</t>
  </si>
  <si>
    <t>NAAST NR 58</t>
  </si>
  <si>
    <t>VOOR NR 58</t>
  </si>
  <si>
    <t>VOOR NR 27</t>
  </si>
  <si>
    <t>VOOR NR 70</t>
  </si>
  <si>
    <t>VOOR NR 68</t>
  </si>
  <si>
    <t>VOOR NR 74</t>
  </si>
  <si>
    <t>VOOR NR 82</t>
  </si>
  <si>
    <t>VOOR NR 88</t>
  </si>
  <si>
    <t>NAAST NR 92</t>
  </si>
  <si>
    <t>VOOR 98</t>
  </si>
  <si>
    <t>VOOR NR 108</t>
  </si>
  <si>
    <t>VOOR NR 112</t>
  </si>
  <si>
    <t>Regenboog</t>
  </si>
  <si>
    <t>TEGENOVER NR 69</t>
  </si>
  <si>
    <t>VOOR NR 50-52</t>
  </si>
  <si>
    <t>VOOR NR 51</t>
  </si>
  <si>
    <t>VOOR NR 43</t>
  </si>
  <si>
    <t>VOOR NR 37</t>
  </si>
  <si>
    <t>TEGENOVER NR 38</t>
  </si>
  <si>
    <t>VOOR NR 31</t>
  </si>
  <si>
    <t>VOOR NR 34</t>
  </si>
  <si>
    <t>TEGENOVER NR 21</t>
  </si>
  <si>
    <t>TEGENOVER NR 2 EN NR 4</t>
  </si>
  <si>
    <t>TEGENOVER NR 14 EN NR 16</t>
  </si>
  <si>
    <t>TEGENOVER NR 26 EN 28</t>
  </si>
  <si>
    <t>SCHUIN TEGENOVER NR 26 EN NR 28</t>
  </si>
  <si>
    <t>TEGENOVER NR 13</t>
  </si>
  <si>
    <t>TEGENOVER NR 5</t>
  </si>
  <si>
    <t>TEGENOVER NR 9 (OP HET VOETPAD)</t>
  </si>
  <si>
    <t>onbek_paalt_staal_4_verf_groen</t>
  </si>
  <si>
    <t>TEGENOVER NR 9 OP HET VOETPAD</t>
  </si>
  <si>
    <t>NAAST DE GODELINDELAAN 9</t>
  </si>
  <si>
    <t>HOEK HALLINCKLAAN</t>
  </si>
  <si>
    <t>T.H.V. NR 2 OP DE PARKEERPLAATS</t>
  </si>
  <si>
    <t>TEGENOVER NR 4 OP DE PARKEERPLAATS</t>
  </si>
  <si>
    <t>VOOR NR 13</t>
  </si>
  <si>
    <t>Rading</t>
  </si>
  <si>
    <t>NAAST NR 108C OP VOETPAD</t>
  </si>
  <si>
    <t>VOOR NR 148</t>
  </si>
  <si>
    <t>TEGENOVER NR 152</t>
  </si>
  <si>
    <t>Industrieweg</t>
  </si>
  <si>
    <t>TUSSEN RADING EN VRIJHEID</t>
  </si>
  <si>
    <t>NAAST NR 32</t>
  </si>
  <si>
    <t>TEGENOVER NR 1(BIJ NR.18)</t>
  </si>
  <si>
    <t>SCHUIN TEGENOVER NR 6</t>
  </si>
  <si>
    <t>TUSSEN NR 6 EN RADING</t>
  </si>
  <si>
    <t>HOEK RADING</t>
  </si>
  <si>
    <t>Tjalk</t>
  </si>
  <si>
    <t>TUSSEN RADING EN HALLINCKLAAN</t>
  </si>
  <si>
    <t>TUSSEN RADING EN HALLICKLAAN</t>
  </si>
  <si>
    <t>Hallincklaan</t>
  </si>
  <si>
    <t>HALLINCKLAAN TEGENOVER NR 34</t>
  </si>
  <si>
    <t>NAAST NR 51</t>
  </si>
  <si>
    <t>TEGENOVER NR 51</t>
  </si>
  <si>
    <t>VOOR-NAAST NR 47</t>
  </si>
  <si>
    <t>TEGENOVER NR 80</t>
  </si>
  <si>
    <t>NAAST NR.2 PARKEERKPLAATSJE</t>
  </si>
  <si>
    <t>T/O NR.1</t>
  </si>
  <si>
    <t>VOOR NR.8</t>
  </si>
  <si>
    <t>HOEK ALEWEIJNLAAN</t>
  </si>
  <si>
    <t>VOOR NR.6</t>
  </si>
  <si>
    <t>VOOR NR.5</t>
  </si>
  <si>
    <t>VOOR NR.11</t>
  </si>
  <si>
    <t>VOOR NR.28</t>
  </si>
  <si>
    <t>HOEK LIEVE GEELVINCKLAAN</t>
  </si>
  <si>
    <t>T/O NR.13</t>
  </si>
  <si>
    <t>VOOR NR.23</t>
  </si>
  <si>
    <t>T/O NR.25</t>
  </si>
  <si>
    <t>VOOR NR.35</t>
  </si>
  <si>
    <t>T/O NR.37</t>
  </si>
  <si>
    <t>T/O NR.45</t>
  </si>
  <si>
    <t>Jhr. van Sypesteynlaan</t>
  </si>
  <si>
    <t>VOOR NR.55</t>
  </si>
  <si>
    <t>T/O NR.36</t>
  </si>
  <si>
    <t>VOOR NR.43</t>
  </si>
  <si>
    <t>T/O NR.35</t>
  </si>
  <si>
    <t>VOOR NR.27</t>
  </si>
  <si>
    <t>NAAST NR.27</t>
  </si>
  <si>
    <t>VOOR NR.25</t>
  </si>
  <si>
    <t>T/O NR.19</t>
  </si>
  <si>
    <t>HOEK PR.BEATRIXSTRAAT</t>
  </si>
  <si>
    <t>HOEK PR. BEATRIXSTRAAT</t>
  </si>
  <si>
    <t>VOOR NR.2</t>
  </si>
  <si>
    <t>VOOR NR.37</t>
  </si>
  <si>
    <t>TEGENOVER NR 44</t>
  </si>
  <si>
    <t>VOOR NR 45</t>
  </si>
  <si>
    <t>VOOR NR 23</t>
  </si>
  <si>
    <t>OP DE HOEK VAN MIJNDESLAAN</t>
  </si>
  <si>
    <t>TEGENOVER 5</t>
  </si>
  <si>
    <t>Luitgardeweg</t>
  </si>
  <si>
    <t>HOEKWEG NOODWEG</t>
  </si>
  <si>
    <t>TEGENOVER PRINSES MARGRIETSTRAAT</t>
  </si>
  <si>
    <t>TUSSEN VAN MIJNDENLAAN EN GODELINDEHOF</t>
  </si>
  <si>
    <t>TEGENOVER SPANHER</t>
  </si>
  <si>
    <t>TUSSEN SPANHER EN  T TJALK</t>
  </si>
  <si>
    <t>HOEK  T TJALK</t>
  </si>
  <si>
    <t>HOEK ALEWIJNLAAN</t>
  </si>
  <si>
    <t>VOOR 20/22</t>
  </si>
  <si>
    <t>HOEK LIEVE GEELVINKLAAN</t>
  </si>
  <si>
    <t>T/O 1</t>
  </si>
  <si>
    <t>VOOR NR.3</t>
  </si>
  <si>
    <t>T/O NR.9</t>
  </si>
  <si>
    <t>VOOR NR.13</t>
  </si>
  <si>
    <t>Lightronics GAM</t>
  </si>
  <si>
    <t>VOOR NR.72</t>
  </si>
  <si>
    <t>VOOR NR.86</t>
  </si>
  <si>
    <t>VOOR NR.31</t>
  </si>
  <si>
    <t>VOOR NR.98</t>
  </si>
  <si>
    <t>VOOR NR.102</t>
  </si>
  <si>
    <t>VOOR NR.33</t>
  </si>
  <si>
    <t>VOOR NR.41</t>
  </si>
  <si>
    <t>VOOR NR.118</t>
  </si>
  <si>
    <t>T/O NR.47</t>
  </si>
  <si>
    <t>VOOR NR.61</t>
  </si>
  <si>
    <t>T/O NR.55</t>
  </si>
  <si>
    <t>VOOR NR.47</t>
  </si>
  <si>
    <t>HOEK REGENBOOG</t>
  </si>
  <si>
    <t>THV  NR.41</t>
  </si>
  <si>
    <t>T/O NR.68</t>
  </si>
  <si>
    <t>VOOR NR.62</t>
  </si>
  <si>
    <t>VOOR NR.39</t>
  </si>
  <si>
    <t>T/O NR.33</t>
  </si>
  <si>
    <t>VOOR NR.58</t>
  </si>
  <si>
    <t>VOOR NR.52</t>
  </si>
  <si>
    <t>TUSSEN FLITS EN SCHAKEL</t>
  </si>
  <si>
    <t>TUSSEN SCHAKEL EN NR.1</t>
  </si>
  <si>
    <t>SCHUIN T/O NR.1</t>
  </si>
  <si>
    <t>HOEK NIEUW-LOOSDRECHTSEDIJK</t>
  </si>
  <si>
    <t>OP PARKEERPLAATS SPORTPARK NR.194</t>
  </si>
  <si>
    <t>t Jagerspaadje</t>
  </si>
  <si>
    <t>VOOR 24/26</t>
  </si>
  <si>
    <t>VOOR 36</t>
  </si>
  <si>
    <t>Vermeerlaan</t>
  </si>
  <si>
    <t>VOOR 41</t>
  </si>
  <si>
    <t>VOOR 21</t>
  </si>
  <si>
    <t>VOOR 11</t>
  </si>
  <si>
    <t>van der Helstlaan</t>
  </si>
  <si>
    <t>van Ostadelaan</t>
  </si>
  <si>
    <t>TEGENOVER NR 2</t>
  </si>
  <si>
    <t>NR 3-5</t>
  </si>
  <si>
    <t>NAAST NR. 17</t>
  </si>
  <si>
    <t>Nootweg</t>
  </si>
  <si>
    <t>NR 45</t>
  </si>
  <si>
    <t>BZR 5464</t>
  </si>
  <si>
    <t>led 32w</t>
  </si>
  <si>
    <t>TUSSEN NR 194 EN 192 (BIJ BUSHALTE)</t>
  </si>
  <si>
    <t>VOOR NR 3</t>
  </si>
  <si>
    <t>Jol</t>
  </si>
  <si>
    <t>onbek_enkel_staal_6_verzi_groen</t>
  </si>
  <si>
    <t>t Laantje</t>
  </si>
  <si>
    <t>HOEK NIEUWE LOOSDRECHTSEWEG</t>
  </si>
  <si>
    <t>TEGENOVER DE LINDELAAN</t>
  </si>
  <si>
    <t>MIDDENGELEIDER, EERSTE V.A. NIEUW LOOSDRECHTSEDIJK</t>
  </si>
  <si>
    <t>HOEK NIEUWE LOOSDRECHTSEDIJK</t>
  </si>
  <si>
    <t>HOEK NIEUW LOOSDRECHTSEDIJK</t>
  </si>
  <si>
    <t>TEGENOVER BREMLAAN</t>
  </si>
  <si>
    <t>VOOR NR 32</t>
  </si>
  <si>
    <t>SCHUIN VOOR NR 37</t>
  </si>
  <si>
    <t>TEGENOVER NR 41</t>
  </si>
  <si>
    <t>VOOR NR 47</t>
  </si>
  <si>
    <t>VOOR NR 59</t>
  </si>
  <si>
    <t>VOOR NR 76</t>
  </si>
  <si>
    <t>VOOR NR 73</t>
  </si>
  <si>
    <t>NR 8</t>
  </si>
  <si>
    <t>NR 23</t>
  </si>
  <si>
    <t>NR 37-39</t>
  </si>
  <si>
    <t>TEGENOVER NR 43-45</t>
  </si>
  <si>
    <t>TEGENOVER NR 59</t>
  </si>
  <si>
    <t>NR 67</t>
  </si>
  <si>
    <t>TEGENOVER 75</t>
  </si>
  <si>
    <t>NR 68</t>
  </si>
  <si>
    <t>NR 7</t>
  </si>
  <si>
    <t>Berkenlaan</t>
  </si>
  <si>
    <t>NR 17</t>
  </si>
  <si>
    <t>KOPGEVEL MEIDOORNLAAN I</t>
  </si>
  <si>
    <t>Larixlaan</t>
  </si>
  <si>
    <t>NAAST NR.23</t>
  </si>
  <si>
    <t>VOETPAD TUSSEN NR.11-13</t>
  </si>
  <si>
    <t>HOEK MARGRIETSTRAAT PARKEERPLAATSJE</t>
  </si>
  <si>
    <t>BIJ NR 40</t>
  </si>
  <si>
    <t>T.O. 10 PARKEERPLAATS</t>
  </si>
  <si>
    <t>NAAST 1</t>
  </si>
  <si>
    <t>NR.3-5</t>
  </si>
  <si>
    <t>SCHUIN NAAST NR.1</t>
  </si>
  <si>
    <t>TUSSEN FLITS EN SCHAKEL IN BOCHT</t>
  </si>
  <si>
    <t>PLAN EIKENRODE VOOR NR.34</t>
  </si>
  <si>
    <t>PLAN EIKENRODE VOOR NR.26</t>
  </si>
  <si>
    <t>VOETPAD TUSSEN NR 18-20</t>
  </si>
  <si>
    <t>VOETPAD TUSSEN NR 25-27</t>
  </si>
  <si>
    <t>VOETPAD TUSSEN NR 14-16</t>
  </si>
  <si>
    <t>VOOR NR.15</t>
  </si>
  <si>
    <t>VOOR NR.46</t>
  </si>
  <si>
    <t>BIJ ZIJGEVEL L.V.EIKENRODE NR.10</t>
  </si>
  <si>
    <t>TUSSEN NR.20 EN 22</t>
  </si>
  <si>
    <t>BIJ ZIJGEVEL LAAN V.EIKENRODE NR.18</t>
  </si>
  <si>
    <t>TUSSEN NR.12 EN 14</t>
  </si>
  <si>
    <t>TUSSEN NR.4 EN NR.6</t>
  </si>
  <si>
    <t>BIJ NR.11</t>
  </si>
  <si>
    <t>CIRCA 13 METER LINKS VAN NR.1</t>
  </si>
  <si>
    <t>NAAST NR.106 A PARKEERPLAATS</t>
  </si>
  <si>
    <t>VOOR NR. 5</t>
  </si>
  <si>
    <t>VOOR NR. 17</t>
  </si>
  <si>
    <t>VOOR NR. 33</t>
  </si>
  <si>
    <t>NAAST NR. 41</t>
  </si>
  <si>
    <t>ACHTER NAAST SCHUURTJE VAN NR. 41</t>
  </si>
  <si>
    <t>ACHTER NR.24 LANGS VOETPAD</t>
  </si>
  <si>
    <t>Taxuslaan</t>
  </si>
  <si>
    <t>TO NR 12</t>
  </si>
  <si>
    <t>NAAST NR.36 VAN LAAN VAN EIKENRODE</t>
  </si>
  <si>
    <t>VOOR NR.42</t>
  </si>
  <si>
    <t>NAAST NR.44 VAN LAAN VAN EIKENRODE</t>
  </si>
  <si>
    <t>VOOR NR.34</t>
  </si>
  <si>
    <t>VOOR NR.24</t>
  </si>
  <si>
    <t>ACHTER NR.24</t>
  </si>
  <si>
    <t>VOOR NR.16</t>
  </si>
  <si>
    <t>TO NR 17</t>
  </si>
  <si>
    <t>TEGENOVER NR. 44</t>
  </si>
  <si>
    <t>VOOR NR. 41</t>
  </si>
  <si>
    <t>VOOR NR. 30</t>
  </si>
  <si>
    <t>TEGENOVER NR. 26</t>
  </si>
  <si>
    <t>NAAST NR. 21</t>
  </si>
  <si>
    <t>TEGENOVER NR. 5</t>
  </si>
  <si>
    <t>NAAST LAAN VAN EIKENRODE 24</t>
  </si>
  <si>
    <t>VOOR NR 48</t>
  </si>
  <si>
    <t>VOOR NR 54</t>
  </si>
  <si>
    <t>VOOR 34</t>
  </si>
  <si>
    <t>Moerbeilaan</t>
  </si>
  <si>
    <t>TO 22</t>
  </si>
  <si>
    <t>VOOR 3-5</t>
  </si>
  <si>
    <t>VOOR 23</t>
  </si>
  <si>
    <t>TO MIERISLN</t>
  </si>
  <si>
    <t>EIKENLAAN HK LINDELAAN</t>
  </si>
  <si>
    <t>HOEK SCHAKEL</t>
  </si>
  <si>
    <t>OP PARKEERPLAATS</t>
  </si>
  <si>
    <t>VOOR 52</t>
  </si>
  <si>
    <t>NAST NR 5</t>
  </si>
  <si>
    <t>2E VANAF NOOTWG</t>
  </si>
  <si>
    <t>TO MIJNDENLN</t>
  </si>
  <si>
    <t>TO 10</t>
  </si>
  <si>
    <t>VOOR 8</t>
  </si>
  <si>
    <t>T O 4</t>
  </si>
  <si>
    <t>NABIJ NR 21</t>
  </si>
  <si>
    <t>PARKEERPLAATS T/O 83</t>
  </si>
  <si>
    <t>PARKEERPL T/O 83</t>
  </si>
  <si>
    <t>VOOR 9</t>
  </si>
  <si>
    <t>VOOR 16</t>
  </si>
  <si>
    <t>BIJ 31 OP GEMEENTEWERF</t>
  </si>
  <si>
    <t>BIJ 28</t>
  </si>
  <si>
    <t>verjo_onbek_staal_4_verzi_groen</t>
  </si>
  <si>
    <t>BIJ 41</t>
  </si>
  <si>
    <t>NABIJ EIKENRODE 54</t>
  </si>
  <si>
    <t>BIJ 16</t>
  </si>
  <si>
    <t>BIJ 4</t>
  </si>
  <si>
    <t>BIJ 27</t>
  </si>
  <si>
    <t>BIJ 17</t>
  </si>
  <si>
    <t>VOOR 48</t>
  </si>
  <si>
    <t>BIJ VIJVER</t>
  </si>
  <si>
    <t>LMB 419</t>
  </si>
  <si>
    <t>muur_onbek_onbek_onbek_onbek_onbek</t>
  </si>
  <si>
    <t>Lightronics LZR 150 ZUIL</t>
  </si>
  <si>
    <t>VOOR NR.96</t>
  </si>
  <si>
    <t>VOOR NR.100</t>
  </si>
  <si>
    <t>VOOR NR.104</t>
  </si>
  <si>
    <t>T/O 38</t>
  </si>
  <si>
    <t>BIJ 44</t>
  </si>
  <si>
    <t>T/O 5</t>
  </si>
  <si>
    <t>T/O 11</t>
  </si>
  <si>
    <t>HK LINDELAAN</t>
  </si>
  <si>
    <t>BIJ 92</t>
  </si>
  <si>
    <t>PARKEERPLAATS SPORTHAL</t>
  </si>
  <si>
    <t>1E MAST V.A.ROTONDE MOLENMEENT</t>
  </si>
  <si>
    <t>2E MAST V.A.ROTONDE MOLENMEENT</t>
  </si>
  <si>
    <t>3E MAST V.A.ROTONDE MOLENMEENT</t>
  </si>
  <si>
    <t>4E MAST V.A.ROTONDE MOLENMEENT</t>
  </si>
  <si>
    <t>BY KANTOORGEBOUW KNOR</t>
  </si>
  <si>
    <t>T/O OUDE MOLENMEENT</t>
  </si>
  <si>
    <t>T/O 42</t>
  </si>
  <si>
    <t>T/O 44</t>
  </si>
  <si>
    <t>T/O 48</t>
  </si>
  <si>
    <t>T/O 52</t>
  </si>
  <si>
    <t>BIJ 56</t>
  </si>
  <si>
    <t>2E MAST V.A. 56</t>
  </si>
  <si>
    <t>3E MAST V.A 56</t>
  </si>
  <si>
    <t>BY AFSLAG TOMIN GROEP</t>
  </si>
  <si>
    <t>BY AFSLAG NAAR TOMIN GROEP</t>
  </si>
  <si>
    <t>BIJ 3</t>
  </si>
  <si>
    <t>BIJ 7</t>
  </si>
  <si>
    <t>BIJ 23</t>
  </si>
  <si>
    <t>BIJ 29</t>
  </si>
  <si>
    <t>BIJ 51</t>
  </si>
  <si>
    <t>2E MAST V.A.51</t>
  </si>
  <si>
    <t>3E MAST V.A 51</t>
  </si>
  <si>
    <t>BIJ 58</t>
  </si>
  <si>
    <t>BIJ 60</t>
  </si>
  <si>
    <t>BIJ 62</t>
  </si>
  <si>
    <t>BIJ 64</t>
  </si>
  <si>
    <t>BIJ 66</t>
  </si>
  <si>
    <t>BY AFSLAG LINDELN</t>
  </si>
  <si>
    <t>BIJ 74A</t>
  </si>
  <si>
    <t>BIJ 76</t>
  </si>
  <si>
    <t>BIJ 80</t>
  </si>
  <si>
    <t>BIJ 84</t>
  </si>
  <si>
    <t>BIJ 86A</t>
  </si>
  <si>
    <t>BY AFSLAG NOOTWG</t>
  </si>
  <si>
    <t>BIJ KRUISING MET NW LOOSDRECHTSEDIJK</t>
  </si>
  <si>
    <t>HOEK LUITGARDEWEG</t>
  </si>
  <si>
    <t>HOEK SPANKER</t>
  </si>
  <si>
    <t>OP PARKEERPLAATS BEGRAAFPLAATS</t>
  </si>
  <si>
    <t>TUSSEN PR MARGRIETSTRAAT EN MIJNDENLAAN</t>
  </si>
  <si>
    <t>RECHT VOOR VAN DER HELSTLAAN</t>
  </si>
  <si>
    <t>BIJ NR 32</t>
  </si>
  <si>
    <t>OVERZIJDE NR 30 - 31</t>
  </si>
  <si>
    <t>BIJ NR 29</t>
  </si>
  <si>
    <t>RECHT VOOR VAN OSTADELAAN</t>
  </si>
  <si>
    <t>BIJ NR 28</t>
  </si>
  <si>
    <t>OVERZIJDE NR 27</t>
  </si>
  <si>
    <t>BIJ NR 25- 26</t>
  </si>
  <si>
    <t>RECHT VOOR VAN MIERISLAAN</t>
  </si>
  <si>
    <t>BIJ NR 24</t>
  </si>
  <si>
    <t>OVERZIJDE NR 23</t>
  </si>
  <si>
    <t>BIJ NR 21 - 22</t>
  </si>
  <si>
    <t>RECHT VOOR P POTTERLAAN</t>
  </si>
  <si>
    <t>BIJ NR 20</t>
  </si>
  <si>
    <t>NAAST NR 34</t>
  </si>
  <si>
    <t>PARKEERPLAATS VOOR BRANDWEERKAZERNE</t>
  </si>
  <si>
    <t>verjo_enkel_staal_8_verzi_onbek</t>
  </si>
  <si>
    <t>SONT 150w</t>
  </si>
  <si>
    <t>OVERZIJDE NR 19</t>
  </si>
  <si>
    <t>BIJ NR 17 - 18</t>
  </si>
  <si>
    <t>RECHT VOOR P DE HOOGHLAAN</t>
  </si>
  <si>
    <t>BIJ NR 14</t>
  </si>
  <si>
    <t>OVERZIJDE NR 15</t>
  </si>
  <si>
    <t>BIJ NR 13</t>
  </si>
  <si>
    <t>RECHT VOOR JAN STEENLAAN</t>
  </si>
  <si>
    <t>BIJ NR 12 A - B</t>
  </si>
  <si>
    <t>OVERZIJDE NR 12 A - B</t>
  </si>
  <si>
    <t>BIJ NR 11</t>
  </si>
  <si>
    <t>OVERZIJDE OUD LOOSDRECHTSEDIJK NR 15</t>
  </si>
  <si>
    <t>LINKS VAN FRANS HALSLAAN NR 32</t>
  </si>
  <si>
    <t>OVERZIJDE TEGENOVER NR 42</t>
  </si>
  <si>
    <t>OP SCHEIDING NR 41 - 42</t>
  </si>
  <si>
    <t>RECHT VOOR RUYSDAELLAAN</t>
  </si>
  <si>
    <t>OP SCHEIDING NR 40- 41</t>
  </si>
  <si>
    <t>OVERZIJDE NR 39</t>
  </si>
  <si>
    <t>BIJ NR 37</t>
  </si>
  <si>
    <t>RECHT VOOR VERMEERLAAN</t>
  </si>
  <si>
    <t>BIJ NR 36</t>
  </si>
  <si>
    <t>OVERZIJDE NR 34 - 35</t>
  </si>
  <si>
    <t>BIJ NR 31</t>
  </si>
  <si>
    <t>HOEK ACACIALAAN</t>
  </si>
  <si>
    <t>OP PARKEERPLAATS ACHTER BRANDWEERKAZERNE</t>
  </si>
  <si>
    <t>MOLENMEENT VOOR NR.1</t>
  </si>
  <si>
    <t>verjo_enkel_staal_10_verzi_groen</t>
  </si>
  <si>
    <t>BIJ NR 100 - 012</t>
  </si>
  <si>
    <t>TEGENOVER NR 108 A</t>
  </si>
  <si>
    <t>TEGENOVER NR 108 C</t>
  </si>
  <si>
    <t>TEGENOVER NR 112</t>
  </si>
  <si>
    <t>BIJ NR. 40/41</t>
  </si>
  <si>
    <t>TEGENOVER NR 120 - 122</t>
  </si>
  <si>
    <t>TEGENOVER NR 124</t>
  </si>
  <si>
    <t>TEGENOVER NR. 126</t>
  </si>
  <si>
    <t>TEGENOVER NR. 128</t>
  </si>
  <si>
    <t>TEGENOVER NR. 130</t>
  </si>
  <si>
    <t>TEGENOVER NR 134</t>
  </si>
  <si>
    <t>TEGENOVER NR. 136</t>
  </si>
  <si>
    <t>TEGENOVER NR 142</t>
  </si>
  <si>
    <t>TEGENOVER DE TJALK</t>
  </si>
  <si>
    <t>TEGENOVER BONI SUPERMARKT</t>
  </si>
  <si>
    <t>BIJ NR 106</t>
  </si>
  <si>
    <t>VOOR NR. 19-21</t>
  </si>
  <si>
    <t>VOOR NR.13-17</t>
  </si>
  <si>
    <t>VOOR NR.9-11</t>
  </si>
  <si>
    <t>VOOR NR.5-7</t>
  </si>
  <si>
    <t>VOOR NR.1-3</t>
  </si>
  <si>
    <t>NR 15</t>
  </si>
  <si>
    <t>NR 21</t>
  </si>
  <si>
    <t>NR 27</t>
  </si>
  <si>
    <t>Boomhoek</t>
  </si>
  <si>
    <t>BIJ NR 203</t>
  </si>
  <si>
    <t>BIJ NR 200</t>
  </si>
  <si>
    <t>BIJ NR 202</t>
  </si>
  <si>
    <t>BIJ NR 204</t>
  </si>
  <si>
    <t>BIJ NR 205 A</t>
  </si>
  <si>
    <t>NABIJ NR 205 A</t>
  </si>
  <si>
    <t>BIJ NR 207 A</t>
  </si>
  <si>
    <t>TEGENOVER NR 204 A</t>
  </si>
  <si>
    <t>TEGENOVER NR 207 A</t>
  </si>
  <si>
    <t>BIJ NR 209</t>
  </si>
  <si>
    <t>BIJ NR 211</t>
  </si>
  <si>
    <t>BIJ NR 211 A</t>
  </si>
  <si>
    <t>BIJ NR 204 B</t>
  </si>
  <si>
    <t>BIJ NR 206</t>
  </si>
  <si>
    <t>BIJ NR 208</t>
  </si>
  <si>
    <t>BIJ NR 213  A</t>
  </si>
  <si>
    <t>BIJ NR 214</t>
  </si>
  <si>
    <t>BIJ NR 218</t>
  </si>
  <si>
    <t>BIJ NR 219</t>
  </si>
  <si>
    <t>BIJ NR 222 - 220</t>
  </si>
  <si>
    <t>BIJ NR 221</t>
  </si>
  <si>
    <t>BIJ NR 223</t>
  </si>
  <si>
    <t>BIJ NR 228</t>
  </si>
  <si>
    <t>BIJ NR 230</t>
  </si>
  <si>
    <t>BIJ NR 232</t>
  </si>
  <si>
    <t>BIJ NR 229</t>
  </si>
  <si>
    <t>BIJ NR 231</t>
  </si>
  <si>
    <t>BIJ NR 238</t>
  </si>
  <si>
    <t>BIJ NR 240</t>
  </si>
  <si>
    <t>BIJ NR 240 C</t>
  </si>
  <si>
    <t>TEGENOVER NR 245</t>
  </si>
  <si>
    <t>TEGENOVER NR 247</t>
  </si>
  <si>
    <t>TEGENOVER NR 249</t>
  </si>
  <si>
    <t>TEGENOVER NR 251</t>
  </si>
  <si>
    <t>BIJ NR 242</t>
  </si>
  <si>
    <t>BIJ NR 117 BAKKER</t>
  </si>
  <si>
    <t>BIJ NR 122</t>
  </si>
  <si>
    <t>BIJ NR 121</t>
  </si>
  <si>
    <t>BIJ NR 125</t>
  </si>
  <si>
    <t>BIJ NR 127</t>
  </si>
  <si>
    <t>VOOR NR 138</t>
  </si>
  <si>
    <t>TEGENOVER NR 133</t>
  </si>
  <si>
    <t>VOOR NR 144</t>
  </si>
  <si>
    <t>VOOR NR.141</t>
  </si>
  <si>
    <t>BIJ NR 148 MUSEUM</t>
  </si>
  <si>
    <t>BIJ NR 151</t>
  </si>
  <si>
    <t>TEGENOVER NR 151 MUSEUM</t>
  </si>
  <si>
    <t>BIJ NR 157</t>
  </si>
  <si>
    <t>BIJ NR 163</t>
  </si>
  <si>
    <t>VOOR 156</t>
  </si>
  <si>
    <t>BIJ NR 164</t>
  </si>
  <si>
    <t>BIJ NR 173</t>
  </si>
  <si>
    <t>BIJ NR 170</t>
  </si>
  <si>
    <t>VOOR NR 175</t>
  </si>
  <si>
    <t>BIJ NR 176</t>
  </si>
  <si>
    <t>BIJ NR 180</t>
  </si>
  <si>
    <t>BIJ NR 184</t>
  </si>
  <si>
    <t>BIJ NR 186</t>
  </si>
  <si>
    <t>BIJ NR 188</t>
  </si>
  <si>
    <t>BIJ NR 190</t>
  </si>
  <si>
    <t>BIJ NR 192</t>
  </si>
  <si>
    <t>BIJ NR 194</t>
  </si>
  <si>
    <t>NAAST NR 194</t>
  </si>
  <si>
    <t>BIJ NR 194 B</t>
  </si>
  <si>
    <t>BIJ NR 191</t>
  </si>
  <si>
    <t>TEGENOVER NR 191</t>
  </si>
  <si>
    <t>BIJ NR 193</t>
  </si>
  <si>
    <t>BIJ NR 195</t>
  </si>
  <si>
    <t>BIJ NR 197</t>
  </si>
  <si>
    <t>NAAST NR 196</t>
  </si>
  <si>
    <t>TUSSEN NR 197 - 199</t>
  </si>
  <si>
    <t>BIJ NR 199</t>
  </si>
  <si>
    <t>TEGENOVER NR 199</t>
  </si>
  <si>
    <t>BIJ NR 201</t>
  </si>
  <si>
    <t>NABIJ NR 25</t>
  </si>
  <si>
    <t>NST 24</t>
  </si>
  <si>
    <t>BIJ NR 39 A</t>
  </si>
  <si>
    <t>T.O. NR.38</t>
  </si>
  <si>
    <t>BIJ NR 43  RABOBANK</t>
  </si>
  <si>
    <t>BIJ NR 45</t>
  </si>
  <si>
    <t>TEGENOVER NR 49</t>
  </si>
  <si>
    <t>BIJ NR 57</t>
  </si>
  <si>
    <t>BIJ NR 59</t>
  </si>
  <si>
    <t>BIJ NR 59 A</t>
  </si>
  <si>
    <t>BIJ NR 58</t>
  </si>
  <si>
    <t>TEGENOVER NR 65</t>
  </si>
  <si>
    <t>TEGENOVER NR 67</t>
  </si>
  <si>
    <t>BIJ NR 67</t>
  </si>
  <si>
    <t>BIJ NR 71</t>
  </si>
  <si>
    <t>VOOR NR 72</t>
  </si>
  <si>
    <t>BIJ NR 77</t>
  </si>
  <si>
    <t>BIJ NR 82</t>
  </si>
  <si>
    <t>BIJ NR 87</t>
  </si>
  <si>
    <t>BIJ NR 86</t>
  </si>
  <si>
    <t>BIJ NR 89 A</t>
  </si>
  <si>
    <t>BIJ NR 88 A</t>
  </si>
  <si>
    <t>BIJ NR 90</t>
  </si>
  <si>
    <t>BIJ NR 92</t>
  </si>
  <si>
    <t>BIJ NR 94</t>
  </si>
  <si>
    <t>BIJ NR 100</t>
  </si>
  <si>
    <t>BIJ NR 102</t>
  </si>
  <si>
    <t>BIJ NR 104</t>
  </si>
  <si>
    <t>BIJ NR 108</t>
  </si>
  <si>
    <t>BIJ NR 114</t>
  </si>
  <si>
    <t>TEGENOVER NR 201</t>
  </si>
  <si>
    <t>BIJ NR 198</t>
  </si>
  <si>
    <t>NABIJ NR 198</t>
  </si>
  <si>
    <t>BIJ NR 244</t>
  </si>
  <si>
    <t>BIJ NR 246</t>
  </si>
  <si>
    <t>TEGENOVER NR 259</t>
  </si>
  <si>
    <t>BIJ NR 250</t>
  </si>
  <si>
    <t>BIJ NR 254</t>
  </si>
  <si>
    <t>BIJ NR 256</t>
  </si>
  <si>
    <t>BIJ NR 258</t>
  </si>
  <si>
    <t>TEGENOVER NR 265</t>
  </si>
  <si>
    <t>BIJ NR 264</t>
  </si>
  <si>
    <t>TEGENOVER NR 269</t>
  </si>
  <si>
    <t>TEGENOVER NR 271</t>
  </si>
  <si>
    <t>TEGENOVER NR 277</t>
  </si>
  <si>
    <t>BIJ NR 270</t>
  </si>
  <si>
    <t>BIJ NR 272 A</t>
  </si>
  <si>
    <t>BIJ NR 274</t>
  </si>
  <si>
    <t>TEGENOVER NR 281 A</t>
  </si>
  <si>
    <t>BIJ NR 278</t>
  </si>
  <si>
    <t>BIJ NR 280</t>
  </si>
  <si>
    <t>TEGENOVER NR 291</t>
  </si>
  <si>
    <t>BIJ NR 288</t>
  </si>
  <si>
    <t>TEGENOVER NR 290</t>
  </si>
  <si>
    <t>BIJ NR 292</t>
  </si>
  <si>
    <t>BIJ NR 294</t>
  </si>
  <si>
    <t>TEGENOVER NR 297</t>
  </si>
  <si>
    <t>BIJ NR 296</t>
  </si>
  <si>
    <t>BIJ NR.302</t>
  </si>
  <si>
    <t>Jan Steenlaan</t>
  </si>
  <si>
    <t>2E MAST VOOR NR. 2 OP PLANTSOEN</t>
  </si>
  <si>
    <t>VOOR NR. 2 OP PLANTSOEN</t>
  </si>
  <si>
    <t>TEGENOVER NR 4 PLANTSOEN</t>
  </si>
  <si>
    <t>TEGENOVER NR 4 - 6  PLANTSOEN</t>
  </si>
  <si>
    <t>TEGENOVER NR. 10 OP PLANTSOEN</t>
  </si>
  <si>
    <t>BIJ NR 12 - 14</t>
  </si>
  <si>
    <t>BIJ NR. 3</t>
  </si>
  <si>
    <t>BIJ NR. 20</t>
  </si>
  <si>
    <t>BIJ DE NRS. 9 EN 11</t>
  </si>
  <si>
    <t>LINKS VAN NR. 26</t>
  </si>
  <si>
    <t>BIJ NR 15</t>
  </si>
  <si>
    <t>NABIJ NR 9</t>
  </si>
  <si>
    <t>BIJ NR 3</t>
  </si>
  <si>
    <t>BIJ NR 7</t>
  </si>
  <si>
    <t>BIJ NR 9</t>
  </si>
  <si>
    <t>van Mierislaan</t>
  </si>
  <si>
    <t>BIJ NR 26</t>
  </si>
  <si>
    <t>BIJ NR 23</t>
  </si>
  <si>
    <t>TEGENOVER NR 17 - 19</t>
  </si>
  <si>
    <t>BIJ NR 7 - 9</t>
  </si>
  <si>
    <t>VOOR REMBRANDTLAAN</t>
  </si>
  <si>
    <t>BIJ NR 17</t>
  </si>
  <si>
    <t>BIJ NR 11 - 13</t>
  </si>
  <si>
    <t>BIJ NR 5 - 7</t>
  </si>
  <si>
    <t>RECHTS VOOR NR 1</t>
  </si>
  <si>
    <t>NABIJ REMBRANDTLAAN</t>
  </si>
  <si>
    <t>verjo_onbek_staal_4_verzi_onbek</t>
  </si>
  <si>
    <t>Paulus Potterlaan</t>
  </si>
  <si>
    <t>RECHTS VAN NR 1</t>
  </si>
  <si>
    <t>BIJ NR 3 - 5</t>
  </si>
  <si>
    <t>BIJ NR 9 - 11</t>
  </si>
  <si>
    <t>BIJ NR 15 - 17</t>
  </si>
  <si>
    <t>BIJ VIJVER VOOR MAST NR. 139-678</t>
  </si>
  <si>
    <t>onbek_onbek_hout_onbek_onbek_onbek</t>
  </si>
  <si>
    <t>BIJ VIJVER VOOR MAST NR. 139-679</t>
  </si>
  <si>
    <t>TERRA GRONDSPOT</t>
  </si>
  <si>
    <t>SONT 50w</t>
  </si>
  <si>
    <t>BIJ VIJVER VOOR MAST NR.139-681</t>
  </si>
  <si>
    <t>BIJ VIJVER VOOR MAST NR. 139-682</t>
  </si>
  <si>
    <t>LINKS VAN NR 21</t>
  </si>
  <si>
    <t>NABIJ NR 23</t>
  </si>
  <si>
    <t>BIJ KRUISING MET DE EIKENLAAN</t>
  </si>
  <si>
    <t>VOOR NR. 118</t>
  </si>
  <si>
    <t>Lijsterbeslaan</t>
  </si>
  <si>
    <t>VOOR NR. 49</t>
  </si>
  <si>
    <t>Industria 2400</t>
  </si>
  <si>
    <t>VOOR NR. 21</t>
  </si>
  <si>
    <t>VOOR NR. 7</t>
  </si>
  <si>
    <t>VOOR NR. 44</t>
  </si>
  <si>
    <t>VOOR NR. 8</t>
  </si>
  <si>
    <t>VOOR NR. 32</t>
  </si>
  <si>
    <t>VOOR NR. 20</t>
  </si>
  <si>
    <t>VOOR NR.29</t>
  </si>
  <si>
    <t>T.O. NR.23</t>
  </si>
  <si>
    <t>VOOR NR. 23</t>
  </si>
  <si>
    <t>T.O. NR.21</t>
  </si>
  <si>
    <t>T.O. NR.9</t>
  </si>
  <si>
    <t>T.O. NR.5</t>
  </si>
  <si>
    <t>T.O. NR.1</t>
  </si>
  <si>
    <t>T.O. NR.89</t>
  </si>
  <si>
    <t>NST. NR.57</t>
  </si>
  <si>
    <t>T.O. NR. 43</t>
  </si>
  <si>
    <t>T.O. NR.29</t>
  </si>
  <si>
    <t>T.O. NR.15</t>
  </si>
  <si>
    <t>T.O. NR.101</t>
  </si>
  <si>
    <t>NAAST RADING NR. 162</t>
  </si>
  <si>
    <t>TO 13 IN PARK</t>
  </si>
  <si>
    <t>TO 27 IN PARK</t>
  </si>
  <si>
    <t>T.O. NR. 29</t>
  </si>
  <si>
    <t>Oude Molenmeent</t>
  </si>
  <si>
    <t>VOOR NR. 1</t>
  </si>
  <si>
    <t>VOOR NR. 4</t>
  </si>
  <si>
    <t>VOOR NR. 5-6</t>
  </si>
  <si>
    <t>VOOR NR. 9</t>
  </si>
  <si>
    <t>VOOR NR. 14</t>
  </si>
  <si>
    <t>VOOR NR. 15</t>
  </si>
  <si>
    <t>T/O 4</t>
  </si>
  <si>
    <t>T/O 9</t>
  </si>
  <si>
    <t>T/O 12</t>
  </si>
  <si>
    <t>T/O 17</t>
  </si>
  <si>
    <t>T/O 20</t>
  </si>
  <si>
    <t>T/O 19</t>
  </si>
  <si>
    <t>T/O 22</t>
  </si>
  <si>
    <t>VOOR 35</t>
  </si>
  <si>
    <t>Lighttronics SGR</t>
  </si>
  <si>
    <t>VOOR 35 A</t>
  </si>
  <si>
    <t>VOOR 37</t>
  </si>
  <si>
    <t>TO 18</t>
  </si>
  <si>
    <t>TO 20</t>
  </si>
  <si>
    <t>TO 24 A</t>
  </si>
  <si>
    <t>TO 28</t>
  </si>
  <si>
    <t>TO 30</t>
  </si>
  <si>
    <t>VOOR 61</t>
  </si>
  <si>
    <t>VOOR 65</t>
  </si>
  <si>
    <t>VOOR 67</t>
  </si>
  <si>
    <t>VOOR 82</t>
  </si>
  <si>
    <t>VOOR 2 C</t>
  </si>
  <si>
    <t>VOOR 19</t>
  </si>
  <si>
    <t>VOOR 10 A</t>
  </si>
  <si>
    <t>VOOR 38</t>
  </si>
  <si>
    <t>VOOR 73</t>
  </si>
  <si>
    <t>VOOR 44</t>
  </si>
  <si>
    <t>VOOR 87</t>
  </si>
  <si>
    <t>VOOR 60</t>
  </si>
  <si>
    <t>VOOR 93</t>
  </si>
  <si>
    <t>VOOR 68</t>
  </si>
  <si>
    <t>VOOR 72</t>
  </si>
  <si>
    <t>VOOR 101</t>
  </si>
  <si>
    <t>VOOR 105</t>
  </si>
  <si>
    <t>VOOR 80</t>
  </si>
  <si>
    <t>TUSSEN PLITS EN SCHAKEL</t>
  </si>
  <si>
    <t>Fietspad</t>
  </si>
  <si>
    <t>TUSSEN NR 186 - 188</t>
  </si>
  <si>
    <t>Loodijk</t>
  </si>
  <si>
    <t>J.H.Burgerlaan</t>
  </si>
  <si>
    <t>2e vanaf Zuidereinde</t>
  </si>
  <si>
    <t>Cornelis Tromplaan</t>
  </si>
  <si>
    <t>Beresteinseweg</t>
  </si>
  <si>
    <t>1e v/a C. Tromplaan</t>
  </si>
  <si>
    <t>27e v/a C. Tromplaan</t>
  </si>
  <si>
    <t>3e v/a C. Tromplaan</t>
  </si>
  <si>
    <t>4e v/a C. Tromplaan</t>
  </si>
  <si>
    <t>2e v/a C. Tromplaan</t>
  </si>
  <si>
    <t>6e v/a C. Tromplaan</t>
  </si>
  <si>
    <t>7e v/a C. Tromplaan</t>
  </si>
  <si>
    <t>5e v/a C. Tromplaan</t>
  </si>
  <si>
    <t>9e v/a C. Tromplaan</t>
  </si>
  <si>
    <t>8e v/a C. Tromplaan</t>
  </si>
  <si>
    <t>12e v/a C. Tromplaan</t>
  </si>
  <si>
    <t>13e v/a C. Tromplaan</t>
  </si>
  <si>
    <t>11e v/a C. Tromplaan</t>
  </si>
  <si>
    <t>15e v/a C. Tromplaan</t>
  </si>
  <si>
    <t>16e v/a C. Tromplaan</t>
  </si>
  <si>
    <t>14e v/a C. Tromplaan</t>
  </si>
  <si>
    <t>19e v/a C. Tromplaan</t>
  </si>
  <si>
    <t>17e v/a C. Tromplaan</t>
  </si>
  <si>
    <t>21e v/a C. Tromplaan</t>
  </si>
  <si>
    <t>22e v/a C. Tromplaan</t>
  </si>
  <si>
    <t>23e v/a C. Tromplaan</t>
  </si>
  <si>
    <t>24e v/a C. Tromplaan</t>
  </si>
  <si>
    <t>25e v/a C. Tromplaan</t>
  </si>
  <si>
    <t>26e v/a C. Tromplaan</t>
  </si>
  <si>
    <t>Kininelaantje</t>
  </si>
  <si>
    <t>t/o 197</t>
  </si>
  <si>
    <t>n/b 266</t>
  </si>
  <si>
    <t>t/o 264</t>
  </si>
  <si>
    <t>n/b 154</t>
  </si>
  <si>
    <t>n/b 244</t>
  </si>
  <si>
    <t>n/b 161</t>
  </si>
  <si>
    <t>n/b 224</t>
  </si>
  <si>
    <t>t/o 220</t>
  </si>
  <si>
    <t>t/op 206</t>
  </si>
  <si>
    <t>conis_paalt_staal_5_verf_groen</t>
  </si>
  <si>
    <t>t/o 202</t>
  </si>
  <si>
    <t>n/b 202</t>
  </si>
  <si>
    <t>nst 509</t>
  </si>
  <si>
    <t>Fietspad n/b 111</t>
  </si>
  <si>
    <t>n/b 190</t>
  </si>
  <si>
    <t>t/o 182</t>
  </si>
  <si>
    <t>Fietspad t/o 178</t>
  </si>
  <si>
    <t>n/b 170/172</t>
  </si>
  <si>
    <t>t/o 164</t>
  </si>
  <si>
    <t>t/o 158</t>
  </si>
  <si>
    <t>n/b 156a</t>
  </si>
  <si>
    <t>t/o 156</t>
  </si>
  <si>
    <t>t/o 146</t>
  </si>
  <si>
    <t>Fietspad n/b 107</t>
  </si>
  <si>
    <t>Fietspad n/b 83</t>
  </si>
  <si>
    <t>t/o 140</t>
  </si>
  <si>
    <t>n/b 130</t>
  </si>
  <si>
    <t>t/o 122a</t>
  </si>
  <si>
    <t>n/b 116</t>
  </si>
  <si>
    <t>n/b 110</t>
  </si>
  <si>
    <t>t/o 100</t>
  </si>
  <si>
    <t>Trompenbrug (5e) t/o</t>
  </si>
  <si>
    <t>t/o 41 (4e)</t>
  </si>
  <si>
    <t>t/o 41 (3e)</t>
  </si>
  <si>
    <t>t/o 82</t>
  </si>
  <si>
    <t>n/b 52a</t>
  </si>
  <si>
    <t>t/o 26a</t>
  </si>
  <si>
    <t>verjo_enkel_staal_6_onbek_onbek</t>
  </si>
  <si>
    <t>Fietspad n/b 16</t>
  </si>
  <si>
    <t>Fietspad n/b 24</t>
  </si>
  <si>
    <t>Fietspad n/b 3</t>
  </si>
  <si>
    <t>Fietspad n/b 7</t>
  </si>
  <si>
    <t>Fietspad n/b 9</t>
  </si>
  <si>
    <t>Fietspad n/b 54</t>
  </si>
  <si>
    <t>Fietspad n/b 66</t>
  </si>
  <si>
    <t>Fietspad n/b 17</t>
  </si>
  <si>
    <t>Fietspad n/b 80</t>
  </si>
  <si>
    <t>Fietspad n/b 35</t>
  </si>
  <si>
    <t>Fietspad n/b 41</t>
  </si>
  <si>
    <t>decor_onbek_staal_1_onbek_onbek</t>
  </si>
  <si>
    <t>Fietspad n/b 45</t>
  </si>
  <si>
    <t>Fietspad 45 n/b</t>
  </si>
  <si>
    <t>Fietspad n/b 112</t>
  </si>
  <si>
    <t>Fietspad t/o 122</t>
  </si>
  <si>
    <t>Fietspad t/o 136</t>
  </si>
  <si>
    <t>Noordereinde</t>
  </si>
  <si>
    <t>n/b 137</t>
  </si>
  <si>
    <t>t/o 145</t>
  </si>
  <si>
    <t>n/b 151</t>
  </si>
  <si>
    <t>n/b 163</t>
  </si>
  <si>
    <t>t/o 171</t>
  </si>
  <si>
    <t>n/b 175</t>
  </si>
  <si>
    <t>t/o 185</t>
  </si>
  <si>
    <t>n/b 193</t>
  </si>
  <si>
    <t>n/b 203</t>
  </si>
  <si>
    <t>t/o 211</t>
  </si>
  <si>
    <t>t/o 219</t>
  </si>
  <si>
    <t>n/b 227/229</t>
  </si>
  <si>
    <t>t/o 235</t>
  </si>
  <si>
    <t>n/b 245</t>
  </si>
  <si>
    <t>t/o 249</t>
  </si>
  <si>
    <t>t/o 40</t>
  </si>
  <si>
    <t>verjo_paalt_staal_4_verf_groen</t>
  </si>
  <si>
    <t>n/b 261</t>
  </si>
  <si>
    <t>Lightronics SGR</t>
  </si>
  <si>
    <t>n/b 267</t>
  </si>
  <si>
    <t>CDO-ET 70W</t>
  </si>
  <si>
    <t>n/b 269</t>
  </si>
  <si>
    <t>n/b 277</t>
  </si>
  <si>
    <t>t/s 52/54</t>
  </si>
  <si>
    <t>n/b 281</t>
  </si>
  <si>
    <t>n/b 283a</t>
  </si>
  <si>
    <t>n/b 285</t>
  </si>
  <si>
    <t>t/o 56</t>
  </si>
  <si>
    <t>3e over brug</t>
  </si>
  <si>
    <t>2e over brug</t>
  </si>
  <si>
    <t>1e over brug</t>
  </si>
  <si>
    <t>n/b 289</t>
  </si>
  <si>
    <t>n/b 357</t>
  </si>
  <si>
    <t>verjo_paalt_staal_7_5_verzi_onbek</t>
  </si>
  <si>
    <t>Fietspad n/b 28</t>
  </si>
  <si>
    <t>Fietspad n/b 56</t>
  </si>
  <si>
    <t>Fietspad t/o 265</t>
  </si>
  <si>
    <t>Fietspad t/o 261</t>
  </si>
  <si>
    <t>Lightronics GBM</t>
  </si>
  <si>
    <t>Leeuwenlaan</t>
  </si>
  <si>
    <t>verjo_dubbe_staal_10_verzi_onbek</t>
  </si>
  <si>
    <t>Inolumus mini Victoria  730 40W</t>
  </si>
  <si>
    <t>t/o 310</t>
  </si>
  <si>
    <t>n/b 304</t>
  </si>
  <si>
    <t>Franse Kampweg</t>
  </si>
  <si>
    <t>Fietspad sportpark</t>
  </si>
  <si>
    <t>Hilversumse Meentweg</t>
  </si>
  <si>
    <t>Oude Meentweg</t>
  </si>
  <si>
    <t>Bachlaan</t>
  </si>
  <si>
    <t>Voetbalclub</t>
  </si>
  <si>
    <t>Vlaar</t>
  </si>
  <si>
    <t>n/b 127</t>
  </si>
  <si>
    <t>Sniplaan</t>
  </si>
  <si>
    <t>In haag.</t>
  </si>
  <si>
    <t>Mastnummer nog onbekend.</t>
  </si>
  <si>
    <t>Nedervecht</t>
  </si>
  <si>
    <t>Wilgenlaan</t>
  </si>
  <si>
    <t>Armatuur aan muur</t>
  </si>
  <si>
    <t>Op muur</t>
  </si>
  <si>
    <t>Gangpad</t>
  </si>
  <si>
    <t>Naast sporthal</t>
  </si>
  <si>
    <t>Parkeerterrein</t>
  </si>
  <si>
    <t>2a</t>
  </si>
  <si>
    <t>Aan muur</t>
  </si>
  <si>
    <t>Olmenlaan</t>
  </si>
  <si>
    <t>olmenlaan</t>
  </si>
  <si>
    <t>Platanenlaan</t>
  </si>
  <si>
    <t>Cederlaan</t>
  </si>
  <si>
    <t>Cedrlaan</t>
  </si>
  <si>
    <t>cederlaan</t>
  </si>
  <si>
    <t>achter 4</t>
  </si>
  <si>
    <t>7 mtr cil EU staal RAL 6005</t>
  </si>
  <si>
    <t>achter 27</t>
  </si>
  <si>
    <t>IN/UIT vanaf mast 251916</t>
  </si>
  <si>
    <t>PLS 11</t>
  </si>
  <si>
    <t>2G7</t>
  </si>
  <si>
    <t>Elisabeth de Walelaan</t>
  </si>
  <si>
    <t>Dirk Smorenberglaan</t>
  </si>
  <si>
    <t>Carl Heinrich Knorrlaan</t>
  </si>
  <si>
    <t>Venenburg</t>
  </si>
  <si>
    <t>Armaturen zijn oud en moeten nog verled worden</t>
  </si>
  <si>
    <t>tegenover 1</t>
  </si>
  <si>
    <t>t.o. 14</t>
  </si>
  <si>
    <t>nb kruising Meerhoekweg</t>
  </si>
  <si>
    <t>96/98</t>
  </si>
  <si>
    <t>111e</t>
  </si>
  <si>
    <t>113b</t>
  </si>
  <si>
    <t>nb VOP</t>
  </si>
  <si>
    <t>arm_mak_2</t>
  </si>
  <si>
    <t>In gang achter woningen.</t>
  </si>
  <si>
    <t>Voor huisnr 5</t>
  </si>
  <si>
    <t>nr 29</t>
  </si>
  <si>
    <t>Einde generatie bereikt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</si>
</sst>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4893"/>
  <sheetViews>
    <sheetView tabSelected="1" topLeftCell="A2809" workbookViewId="0">
      <selection activeCell="D2845" sqref="A1:XFD1048576"/>
    </sheetView>
  </sheetViews>
  <sheetFormatPr baseColWidth="10" defaultColWidth="8.83203125" defaultRowHeight="15" x14ac:dyDescent="0.2"/>
  <cols>
    <col min="1" max="1" width="18.5" bestFit="1" customWidth="1"/>
    <col min="2" max="2" width="23" bestFit="1" customWidth="1"/>
    <col min="3" max="3" width="36.33203125" bestFit="1" customWidth="1"/>
    <col min="4" max="4" width="21.83203125" bestFit="1" customWidth="1"/>
    <col min="5" max="5" width="9.5" bestFit="1" customWidth="1"/>
    <col min="6" max="6" width="13" bestFit="1" customWidth="1"/>
    <col min="7" max="7" width="8.6640625" bestFit="1" customWidth="1"/>
    <col min="8" max="8" width="46" bestFit="1" customWidth="1"/>
    <col min="9" max="9" width="39.1640625" bestFit="1" customWidth="1"/>
    <col min="10" max="10" width="14.83203125" bestFit="1" customWidth="1"/>
    <col min="11" max="11" width="11.5" bestFit="1" customWidth="1"/>
    <col min="12" max="12" width="10.5" bestFit="1" customWidth="1"/>
    <col min="13" max="14" width="12.1640625" bestFit="1" customWidth="1"/>
    <col min="15" max="15" width="12.83203125" bestFit="1" customWidth="1"/>
    <col min="16" max="16" width="9" bestFit="1" customWidth="1"/>
    <col min="17" max="17" width="8.6640625" bestFit="1" customWidth="1"/>
    <col min="18" max="18" width="12.83203125" bestFit="1" customWidth="1"/>
    <col min="19" max="19" width="9.33203125" bestFit="1" customWidth="1"/>
    <col min="20" max="20" width="34" bestFit="1" customWidth="1"/>
    <col min="21" max="21" width="12.33203125" bestFit="1" customWidth="1"/>
    <col min="22" max="22" width="14.5" bestFit="1" customWidth="1"/>
    <col min="23" max="23" width="19.5" bestFit="1" customWidth="1"/>
    <col min="24" max="24" width="16" bestFit="1" customWidth="1"/>
    <col min="25" max="25" width="17.83203125" bestFit="1" customWidth="1"/>
    <col min="26" max="26" width="11.5" bestFit="1" customWidth="1"/>
    <col min="27" max="27" width="12" bestFit="1" customWidth="1"/>
    <col min="28" max="28" width="9" bestFit="1" customWidth="1"/>
    <col min="29" max="29" width="12.83203125" bestFit="1" customWidth="1"/>
    <col min="30" max="30" width="7.5" bestFit="1" customWidth="1"/>
    <col min="31" max="31" width="30.83203125" bestFit="1" customWidth="1"/>
    <col min="32" max="32" width="12.33203125" bestFit="1" customWidth="1"/>
    <col min="33" max="33" width="14.5" bestFit="1" customWidth="1"/>
    <col min="34" max="34" width="19.5" bestFit="1" customWidth="1"/>
    <col min="35" max="35" width="16" bestFit="1" customWidth="1"/>
    <col min="36" max="36" width="17.83203125" bestFit="1" customWidth="1"/>
    <col min="37" max="37" width="10.5" bestFit="1" customWidth="1"/>
    <col min="38" max="38" width="12" bestFit="1" customWidth="1"/>
    <col min="39" max="39" width="12.33203125" bestFit="1" customWidth="1"/>
    <col min="40" max="40" width="6.6640625" bestFit="1" customWidth="1"/>
    <col min="41" max="41" width="9" bestFit="1" customWidth="1"/>
    <col min="42" max="42" width="22.6640625" bestFit="1" customWidth="1"/>
    <col min="43" max="44" width="18.5" bestFit="1" customWidth="1"/>
    <col min="45" max="45" width="14.5" bestFit="1" customWidth="1"/>
    <col min="46" max="46" width="13.33203125" bestFit="1" customWidth="1"/>
    <col min="47" max="47" width="12.83203125" bestFit="1" customWidth="1"/>
    <col min="48" max="48" width="7.5" bestFit="1" customWidth="1"/>
    <col min="49" max="49" width="22.5" bestFit="1" customWidth="1"/>
    <col min="50" max="50" width="12.33203125" bestFit="1" customWidth="1"/>
    <col min="51" max="51" width="14.5" bestFit="1" customWidth="1"/>
    <col min="52" max="52" width="19.5" bestFit="1" customWidth="1"/>
    <col min="53" max="53" width="16" bestFit="1" customWidth="1"/>
    <col min="54" max="54" width="17.83203125" bestFit="1" customWidth="1"/>
    <col min="55" max="55" width="10.5" bestFit="1" customWidth="1"/>
    <col min="56" max="56" width="12" bestFit="1" customWidth="1"/>
    <col min="57" max="57" width="9" bestFit="1" customWidth="1"/>
    <col min="58" max="58" width="10" bestFit="1" customWidth="1"/>
    <col min="59" max="59" width="17.5" bestFit="1" customWidth="1"/>
    <col min="60" max="60" width="11.33203125" bestFit="1" customWidth="1"/>
    <col min="61" max="61" width="12.83203125" bestFit="1" customWidth="1"/>
    <col min="62" max="62" width="7.5" bestFit="1" customWidth="1"/>
    <col min="63" max="63" width="26" bestFit="1" customWidth="1"/>
    <col min="64" max="64" width="12.33203125" bestFit="1" customWidth="1"/>
    <col min="65" max="65" width="14.5" bestFit="1" customWidth="1"/>
    <col min="66" max="66" width="19.5" bestFit="1" customWidth="1"/>
    <col min="67" max="67" width="16" bestFit="1" customWidth="1"/>
    <col min="68" max="68" width="17.83203125" bestFit="1" customWidth="1"/>
    <col min="69" max="69" width="10.5" bestFit="1" customWidth="1"/>
    <col min="70" max="70" width="12" bestFit="1" customWidth="1"/>
    <col min="71" max="71" width="16.5" bestFit="1" customWidth="1"/>
    <col min="72" max="72" width="9" bestFit="1" customWidth="1"/>
    <col min="73" max="73" width="8.6640625" bestFit="1" customWidth="1"/>
    <col min="74" max="74" width="12.33203125" bestFit="1" customWidth="1"/>
    <col min="75" max="75" width="12.1640625" bestFit="1" customWidth="1"/>
    <col min="76" max="76" width="10" bestFit="1" customWidth="1"/>
    <col min="78" max="78" width="11.5" bestFit="1" customWidth="1"/>
    <col min="79" max="79" width="12.83203125" bestFit="1" customWidth="1"/>
    <col min="80" max="80" width="7.5" bestFit="1" customWidth="1"/>
    <col min="81" max="81" width="49.5" bestFit="1" customWidth="1"/>
    <col min="82" max="82" width="12.33203125" bestFit="1" customWidth="1"/>
    <col min="83" max="83" width="14.5" bestFit="1" customWidth="1"/>
    <col min="84" max="84" width="19.5" bestFit="1" customWidth="1"/>
    <col min="85" max="85" width="16" bestFit="1" customWidth="1"/>
    <col min="86" max="86" width="17.83203125" bestFit="1" customWidth="1"/>
    <col min="87" max="87" width="10.5" bestFit="1" customWidth="1"/>
    <col min="88" max="88" width="12" bestFit="1" customWidth="1"/>
    <col min="89" max="89" width="15" bestFit="1" customWidth="1"/>
    <col min="90" max="90" width="16.6640625" bestFit="1" customWidth="1"/>
    <col min="91" max="91" width="9" bestFit="1" customWidth="1"/>
    <col min="93" max="93" width="12.33203125" bestFit="1" customWidth="1"/>
    <col min="94" max="94" width="12.1640625" bestFit="1" customWidth="1"/>
    <col min="95" max="95" width="19.1640625" bestFit="1" customWidth="1"/>
    <col min="96" max="96" width="10" bestFit="1" customWidth="1"/>
    <col min="98" max="98" width="11.5" bestFit="1" customWidth="1"/>
    <col min="99" max="99" width="11.6640625" bestFit="1" customWidth="1"/>
    <col min="100" max="100" width="12.83203125" bestFit="1" customWidth="1"/>
    <col min="101" max="101" width="7.5" bestFit="1" customWidth="1"/>
    <col min="102" max="102" width="15.33203125" bestFit="1" customWidth="1"/>
    <col min="103" max="103" width="12.33203125" bestFit="1" customWidth="1"/>
    <col min="104" max="104" width="14.5" bestFit="1" customWidth="1"/>
    <col min="105" max="105" width="19.5" bestFit="1" customWidth="1"/>
    <col min="106" max="106" width="16" bestFit="1" customWidth="1"/>
    <col min="107" max="107" width="17.83203125" bestFit="1" customWidth="1"/>
    <col min="108" max="108" width="10.5" bestFit="1" customWidth="1"/>
    <col min="109" max="109" width="12" bestFit="1" customWidth="1"/>
    <col min="110" max="110" width="9" bestFit="1" customWidth="1"/>
    <col min="111" max="111" width="12.6640625" bestFit="1" customWidth="1"/>
    <col min="112" max="112" width="23.1640625" bestFit="1" customWidth="1"/>
  </cols>
  <sheetData>
    <row r="1" spans="1:112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0</v>
      </c>
      <c r="R1" t="s">
        <v>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11</v>
      </c>
      <c r="AA1" t="s">
        <v>9</v>
      </c>
      <c r="AB1" t="s">
        <v>16</v>
      </c>
      <c r="AC1" t="s">
        <v>6</v>
      </c>
      <c r="AD1" t="s">
        <v>17</v>
      </c>
      <c r="AE1" t="s">
        <v>18</v>
      </c>
      <c r="AF1" t="s">
        <v>19</v>
      </c>
      <c r="AG1" t="s">
        <v>20</v>
      </c>
      <c r="AH1" t="s">
        <v>21</v>
      </c>
      <c r="AI1" t="s">
        <v>22</v>
      </c>
      <c r="AJ1" t="s">
        <v>23</v>
      </c>
      <c r="AK1" t="s">
        <v>11</v>
      </c>
      <c r="AL1" t="s">
        <v>9</v>
      </c>
      <c r="AM1" t="s">
        <v>24</v>
      </c>
      <c r="AN1" t="s">
        <v>25</v>
      </c>
      <c r="AO1" t="s">
        <v>16</v>
      </c>
      <c r="AP1" t="s">
        <v>26</v>
      </c>
      <c r="AQ1" t="s">
        <v>27</v>
      </c>
      <c r="AR1" t="s">
        <v>28</v>
      </c>
      <c r="AS1" t="s">
        <v>29</v>
      </c>
      <c r="AT1" t="s">
        <v>30</v>
      </c>
      <c r="AU1" t="s">
        <v>6</v>
      </c>
      <c r="AV1" t="s">
        <v>17</v>
      </c>
      <c r="AW1" t="s">
        <v>18</v>
      </c>
      <c r="AX1" t="s">
        <v>19</v>
      </c>
      <c r="AY1" t="s">
        <v>20</v>
      </c>
      <c r="AZ1" t="s">
        <v>21</v>
      </c>
      <c r="BA1" t="s">
        <v>22</v>
      </c>
      <c r="BB1" t="s">
        <v>23</v>
      </c>
      <c r="BC1" t="s">
        <v>11</v>
      </c>
      <c r="BD1" t="s">
        <v>9</v>
      </c>
      <c r="BE1" t="s">
        <v>16</v>
      </c>
      <c r="BF1" t="s">
        <v>31</v>
      </c>
      <c r="BG1" t="s">
        <v>32</v>
      </c>
      <c r="BH1" t="s">
        <v>33</v>
      </c>
      <c r="BI1" t="s">
        <v>6</v>
      </c>
      <c r="BJ1" t="s">
        <v>17</v>
      </c>
      <c r="BK1" t="s">
        <v>18</v>
      </c>
      <c r="BL1" t="s">
        <v>19</v>
      </c>
      <c r="BM1" t="s">
        <v>20</v>
      </c>
      <c r="BN1" t="s">
        <v>21</v>
      </c>
      <c r="BO1" t="s">
        <v>22</v>
      </c>
      <c r="BP1" t="s">
        <v>23</v>
      </c>
      <c r="BQ1" t="s">
        <v>11</v>
      </c>
      <c r="BR1" t="s">
        <v>9</v>
      </c>
      <c r="BS1" t="s">
        <v>34</v>
      </c>
      <c r="BT1" t="s">
        <v>16</v>
      </c>
      <c r="BU1" t="s">
        <v>35</v>
      </c>
      <c r="BV1" t="s">
        <v>36</v>
      </c>
      <c r="BW1" t="s">
        <v>37</v>
      </c>
      <c r="BX1" t="s">
        <v>31</v>
      </c>
      <c r="BY1" t="s">
        <v>38</v>
      </c>
      <c r="BZ1" t="s">
        <v>39</v>
      </c>
      <c r="CA1" t="s">
        <v>6</v>
      </c>
      <c r="CB1" t="s">
        <v>17</v>
      </c>
      <c r="CC1" t="s">
        <v>18</v>
      </c>
      <c r="CD1" t="s">
        <v>19</v>
      </c>
      <c r="CE1" t="s">
        <v>20</v>
      </c>
      <c r="CF1" t="s">
        <v>21</v>
      </c>
      <c r="CG1" t="s">
        <v>22</v>
      </c>
      <c r="CH1" t="s">
        <v>23</v>
      </c>
      <c r="CI1" t="s">
        <v>11</v>
      </c>
      <c r="CJ1" t="s">
        <v>9</v>
      </c>
      <c r="CK1" t="s">
        <v>34</v>
      </c>
      <c r="CL1" t="s">
        <v>40</v>
      </c>
      <c r="CM1" t="s">
        <v>16</v>
      </c>
      <c r="CN1" t="s">
        <v>35</v>
      </c>
      <c r="CO1" t="s">
        <v>36</v>
      </c>
      <c r="CP1" t="s">
        <v>37</v>
      </c>
      <c r="CQ1" t="s">
        <v>41</v>
      </c>
      <c r="CR1" t="s">
        <v>31</v>
      </c>
      <c r="CS1" t="s">
        <v>38</v>
      </c>
      <c r="CT1" t="s">
        <v>39</v>
      </c>
      <c r="CU1" t="s">
        <v>42</v>
      </c>
      <c r="CV1" t="s">
        <v>6</v>
      </c>
      <c r="CW1" t="s">
        <v>17</v>
      </c>
      <c r="CX1" t="s">
        <v>18</v>
      </c>
      <c r="CY1" t="s">
        <v>19</v>
      </c>
      <c r="CZ1" t="s">
        <v>20</v>
      </c>
      <c r="DA1" t="s">
        <v>21</v>
      </c>
      <c r="DB1" t="s">
        <v>22</v>
      </c>
      <c r="DC1" t="s">
        <v>23</v>
      </c>
      <c r="DD1" t="s">
        <v>11</v>
      </c>
      <c r="DE1" t="s">
        <v>9</v>
      </c>
      <c r="DF1" t="s">
        <v>16</v>
      </c>
      <c r="DG1" t="s">
        <v>43</v>
      </c>
      <c r="DH1" t="s">
        <v>44</v>
      </c>
    </row>
    <row r="2" spans="1:112" x14ac:dyDescent="0.2">
      <c r="A2" t="s">
        <v>45</v>
      </c>
      <c r="B2" t="s">
        <v>46</v>
      </c>
      <c r="C2" t="s">
        <v>47</v>
      </c>
      <c r="D2" t="s">
        <v>48</v>
      </c>
      <c r="F2" t="str">
        <f>"1082"</f>
        <v>1082</v>
      </c>
      <c r="G2" t="s">
        <v>49</v>
      </c>
      <c r="I2" t="s">
        <v>50</v>
      </c>
      <c r="K2" t="s">
        <v>51</v>
      </c>
      <c r="L2" t="s">
        <v>52</v>
      </c>
      <c r="M2">
        <v>135698.60999999999</v>
      </c>
      <c r="N2">
        <v>473885.86</v>
      </c>
      <c r="O2" t="s">
        <v>53</v>
      </c>
      <c r="P2" t="s">
        <v>54</v>
      </c>
      <c r="Q2" t="s">
        <v>55</v>
      </c>
      <c r="T2" t="s">
        <v>56</v>
      </c>
      <c r="U2">
        <v>40</v>
      </c>
      <c r="V2" s="1">
        <v>22647</v>
      </c>
      <c r="W2" s="1">
        <v>22647</v>
      </c>
      <c r="X2" s="1">
        <v>22647</v>
      </c>
      <c r="Y2" s="1">
        <v>37257</v>
      </c>
      <c r="Z2" t="s">
        <v>51</v>
      </c>
      <c r="AB2" t="s">
        <v>54</v>
      </c>
      <c r="AC2">
        <v>1</v>
      </c>
      <c r="AE2" t="s">
        <v>57</v>
      </c>
      <c r="AF2">
        <v>20</v>
      </c>
      <c r="AG2" s="1">
        <v>43473</v>
      </c>
      <c r="AH2" s="1">
        <v>43473</v>
      </c>
      <c r="AI2" s="1">
        <v>43473</v>
      </c>
      <c r="AJ2" s="1">
        <v>50778</v>
      </c>
      <c r="AK2" t="s">
        <v>51</v>
      </c>
      <c r="AN2">
        <v>0</v>
      </c>
      <c r="AO2" t="s">
        <v>54</v>
      </c>
      <c r="AP2" t="s">
        <v>53</v>
      </c>
      <c r="AQ2">
        <v>0</v>
      </c>
      <c r="AR2" t="s">
        <v>53</v>
      </c>
      <c r="AS2">
        <v>0</v>
      </c>
      <c r="AT2">
        <v>0</v>
      </c>
      <c r="AW2" t="s">
        <v>58</v>
      </c>
      <c r="AX2">
        <v>20</v>
      </c>
      <c r="AY2" s="1">
        <v>30682</v>
      </c>
      <c r="AZ2" s="1">
        <v>30682</v>
      </c>
      <c r="BA2" s="1">
        <v>43473</v>
      </c>
      <c r="BB2" s="1">
        <v>37987</v>
      </c>
      <c r="BC2" t="s">
        <v>51</v>
      </c>
      <c r="BE2" t="s">
        <v>54</v>
      </c>
      <c r="BF2">
        <v>2</v>
      </c>
      <c r="BG2">
        <v>0</v>
      </c>
      <c r="BH2" t="s">
        <v>53</v>
      </c>
      <c r="BK2" t="s">
        <v>59</v>
      </c>
      <c r="BL2">
        <v>14000</v>
      </c>
      <c r="BM2" s="1">
        <v>44322</v>
      </c>
      <c r="BN2" s="1">
        <v>44322</v>
      </c>
      <c r="BO2" s="1">
        <v>44322</v>
      </c>
      <c r="BP2" s="1">
        <v>45544</v>
      </c>
      <c r="BQ2" t="s">
        <v>51</v>
      </c>
      <c r="BS2" t="s">
        <v>60</v>
      </c>
      <c r="BT2" t="s">
        <v>54</v>
      </c>
      <c r="BU2" t="s">
        <v>61</v>
      </c>
      <c r="BV2" t="s">
        <v>62</v>
      </c>
      <c r="BX2">
        <v>24</v>
      </c>
      <c r="BY2">
        <v>0</v>
      </c>
      <c r="BZ2">
        <v>0</v>
      </c>
    </row>
    <row r="3" spans="1:112" x14ac:dyDescent="0.2">
      <c r="A3" t="s">
        <v>45</v>
      </c>
      <c r="B3" t="s">
        <v>46</v>
      </c>
      <c r="C3" t="s">
        <v>47</v>
      </c>
      <c r="D3" t="s">
        <v>48</v>
      </c>
      <c r="F3" t="str">
        <f>"1083"</f>
        <v>1083</v>
      </c>
      <c r="G3" t="s">
        <v>49</v>
      </c>
      <c r="H3">
        <v>2</v>
      </c>
      <c r="I3" t="s">
        <v>63</v>
      </c>
      <c r="K3" t="s">
        <v>51</v>
      </c>
      <c r="L3" t="s">
        <v>52</v>
      </c>
      <c r="M3">
        <v>135630.32999999999</v>
      </c>
      <c r="N3">
        <v>473912.91</v>
      </c>
      <c r="O3" t="s">
        <v>53</v>
      </c>
      <c r="P3" t="s">
        <v>54</v>
      </c>
      <c r="Q3" t="s">
        <v>55</v>
      </c>
      <c r="T3" t="s">
        <v>56</v>
      </c>
      <c r="U3">
        <v>40</v>
      </c>
      <c r="V3" s="1">
        <v>30682</v>
      </c>
      <c r="W3" s="1">
        <v>30682</v>
      </c>
      <c r="X3" s="1">
        <v>30682</v>
      </c>
      <c r="Y3" s="1">
        <v>45292</v>
      </c>
      <c r="Z3" t="s">
        <v>51</v>
      </c>
      <c r="AB3" t="s">
        <v>54</v>
      </c>
      <c r="AC3">
        <v>1</v>
      </c>
      <c r="AE3" t="s">
        <v>64</v>
      </c>
      <c r="AF3">
        <v>20</v>
      </c>
      <c r="AG3" s="1">
        <v>35431</v>
      </c>
      <c r="AH3" s="1">
        <v>35431</v>
      </c>
      <c r="AI3" s="1">
        <v>35431</v>
      </c>
      <c r="AJ3" s="1">
        <v>42736</v>
      </c>
      <c r="AK3" t="s">
        <v>51</v>
      </c>
      <c r="AN3">
        <v>0</v>
      </c>
      <c r="AO3" t="s">
        <v>54</v>
      </c>
      <c r="AP3" t="s">
        <v>53</v>
      </c>
      <c r="AQ3">
        <v>0</v>
      </c>
      <c r="AR3" t="s">
        <v>53</v>
      </c>
      <c r="AS3">
        <v>0</v>
      </c>
      <c r="AT3">
        <v>0</v>
      </c>
      <c r="AW3" t="s">
        <v>58</v>
      </c>
      <c r="AX3">
        <v>20</v>
      </c>
      <c r="AY3" s="1">
        <v>35431</v>
      </c>
      <c r="AZ3" s="1">
        <v>35431</v>
      </c>
      <c r="BA3" s="1">
        <v>35431</v>
      </c>
      <c r="BB3" s="1">
        <v>42736</v>
      </c>
      <c r="BC3" t="s">
        <v>51</v>
      </c>
      <c r="BE3" t="s">
        <v>54</v>
      </c>
      <c r="BF3">
        <v>2</v>
      </c>
      <c r="BG3">
        <v>0</v>
      </c>
      <c r="BH3" t="s">
        <v>53</v>
      </c>
      <c r="BK3" t="s">
        <v>59</v>
      </c>
      <c r="BL3">
        <v>14000</v>
      </c>
      <c r="BM3" s="1">
        <v>44322</v>
      </c>
      <c r="BN3" s="1">
        <v>44322</v>
      </c>
      <c r="BO3" s="1">
        <v>44322</v>
      </c>
      <c r="BP3" s="1">
        <v>45544</v>
      </c>
      <c r="BQ3" t="s">
        <v>51</v>
      </c>
      <c r="BS3" t="s">
        <v>60</v>
      </c>
      <c r="BT3" t="s">
        <v>54</v>
      </c>
      <c r="BU3" t="s">
        <v>61</v>
      </c>
      <c r="BV3" t="s">
        <v>62</v>
      </c>
      <c r="BX3">
        <v>24</v>
      </c>
      <c r="BY3">
        <v>0</v>
      </c>
      <c r="BZ3">
        <v>0</v>
      </c>
    </row>
    <row r="4" spans="1:112" x14ac:dyDescent="0.2">
      <c r="A4" t="s">
        <v>45</v>
      </c>
      <c r="B4" t="s">
        <v>46</v>
      </c>
      <c r="C4" t="s">
        <v>47</v>
      </c>
      <c r="D4" t="s">
        <v>48</v>
      </c>
      <c r="F4" t="str">
        <f>"1084"</f>
        <v>1084</v>
      </c>
      <c r="G4" t="s">
        <v>49</v>
      </c>
      <c r="I4" t="s">
        <v>50</v>
      </c>
      <c r="K4" t="s">
        <v>51</v>
      </c>
      <c r="L4" t="s">
        <v>52</v>
      </c>
      <c r="M4">
        <v>135597.82999999999</v>
      </c>
      <c r="N4">
        <v>473932.57</v>
      </c>
      <c r="O4" t="s">
        <v>53</v>
      </c>
      <c r="P4" t="s">
        <v>54</v>
      </c>
      <c r="Q4" t="s">
        <v>55</v>
      </c>
      <c r="T4" t="s">
        <v>56</v>
      </c>
      <c r="U4">
        <v>40</v>
      </c>
      <c r="V4" s="1">
        <v>22647</v>
      </c>
      <c r="W4" s="1">
        <v>22647</v>
      </c>
      <c r="X4" s="1">
        <v>22647</v>
      </c>
      <c r="Y4" s="1">
        <v>37257</v>
      </c>
      <c r="Z4" t="s">
        <v>51</v>
      </c>
      <c r="AB4" t="s">
        <v>54</v>
      </c>
      <c r="AC4">
        <v>1</v>
      </c>
      <c r="AE4" t="s">
        <v>64</v>
      </c>
      <c r="AF4">
        <v>20</v>
      </c>
      <c r="AG4" s="1">
        <v>30682</v>
      </c>
      <c r="AH4" s="1">
        <v>30682</v>
      </c>
      <c r="AI4" s="1">
        <v>30682</v>
      </c>
      <c r="AJ4" s="1">
        <v>37987</v>
      </c>
      <c r="AK4" t="s">
        <v>51</v>
      </c>
      <c r="AN4">
        <v>0</v>
      </c>
      <c r="AO4" t="s">
        <v>54</v>
      </c>
      <c r="AP4" t="s">
        <v>53</v>
      </c>
      <c r="AQ4">
        <v>0</v>
      </c>
      <c r="AR4" t="s">
        <v>53</v>
      </c>
      <c r="AS4">
        <v>0</v>
      </c>
      <c r="AT4">
        <v>0</v>
      </c>
      <c r="AW4" t="s">
        <v>58</v>
      </c>
      <c r="AX4">
        <v>20</v>
      </c>
      <c r="AY4" s="1">
        <v>30682</v>
      </c>
      <c r="AZ4" s="1">
        <v>30682</v>
      </c>
      <c r="BA4" s="1">
        <v>30682</v>
      </c>
      <c r="BB4" s="1">
        <v>37987</v>
      </c>
      <c r="BC4" t="s">
        <v>51</v>
      </c>
      <c r="BE4" t="s">
        <v>54</v>
      </c>
      <c r="BF4">
        <v>2</v>
      </c>
      <c r="BG4">
        <v>0</v>
      </c>
      <c r="BH4" t="s">
        <v>53</v>
      </c>
      <c r="BK4" t="s">
        <v>59</v>
      </c>
      <c r="BL4">
        <v>14000</v>
      </c>
      <c r="BM4" s="1">
        <v>44322</v>
      </c>
      <c r="BN4" s="1">
        <v>44322</v>
      </c>
      <c r="BO4" s="1">
        <v>44322</v>
      </c>
      <c r="BP4" s="1">
        <v>45544</v>
      </c>
      <c r="BQ4" t="s">
        <v>51</v>
      </c>
      <c r="BS4" t="s">
        <v>60</v>
      </c>
      <c r="BT4" t="s">
        <v>54</v>
      </c>
      <c r="BU4" t="s">
        <v>61</v>
      </c>
      <c r="BV4" t="s">
        <v>62</v>
      </c>
      <c r="BX4">
        <v>24</v>
      </c>
      <c r="BY4">
        <v>0</v>
      </c>
      <c r="BZ4">
        <v>0</v>
      </c>
    </row>
    <row r="5" spans="1:112" x14ac:dyDescent="0.2">
      <c r="A5" t="s">
        <v>45</v>
      </c>
      <c r="B5" t="s">
        <v>46</v>
      </c>
      <c r="C5" t="s">
        <v>47</v>
      </c>
      <c r="D5" t="s">
        <v>48</v>
      </c>
      <c r="F5" t="str">
        <f>"1085"</f>
        <v>1085</v>
      </c>
      <c r="G5" t="s">
        <v>49</v>
      </c>
      <c r="H5">
        <v>2</v>
      </c>
      <c r="I5" t="s">
        <v>63</v>
      </c>
      <c r="K5" t="s">
        <v>51</v>
      </c>
      <c r="L5" t="s">
        <v>52</v>
      </c>
      <c r="M5">
        <v>135560.26</v>
      </c>
      <c r="N5">
        <v>473938.22</v>
      </c>
      <c r="O5" t="s">
        <v>53</v>
      </c>
      <c r="P5" t="s">
        <v>54</v>
      </c>
      <c r="Q5" t="s">
        <v>55</v>
      </c>
      <c r="T5" t="s">
        <v>56</v>
      </c>
      <c r="U5">
        <v>40</v>
      </c>
      <c r="V5" s="1">
        <v>30682</v>
      </c>
      <c r="W5" s="1">
        <v>30682</v>
      </c>
      <c r="X5" s="1">
        <v>30682</v>
      </c>
      <c r="Y5" s="1">
        <v>45292</v>
      </c>
      <c r="Z5" t="s">
        <v>51</v>
      </c>
      <c r="AB5" t="s">
        <v>54</v>
      </c>
      <c r="AC5">
        <v>1</v>
      </c>
      <c r="AE5" t="s">
        <v>64</v>
      </c>
      <c r="AF5">
        <v>20</v>
      </c>
      <c r="AG5" s="1">
        <v>29952</v>
      </c>
      <c r="AH5" s="1">
        <v>29952</v>
      </c>
      <c r="AI5" s="1">
        <v>30682</v>
      </c>
      <c r="AJ5" s="1">
        <v>37257</v>
      </c>
      <c r="AK5" t="s">
        <v>51</v>
      </c>
      <c r="AN5">
        <v>0</v>
      </c>
      <c r="AO5" t="s">
        <v>54</v>
      </c>
      <c r="AP5" t="s">
        <v>53</v>
      </c>
      <c r="AQ5">
        <v>0</v>
      </c>
      <c r="AR5" t="s">
        <v>53</v>
      </c>
      <c r="AS5">
        <v>0</v>
      </c>
      <c r="AT5">
        <v>0</v>
      </c>
      <c r="AW5" t="s">
        <v>58</v>
      </c>
      <c r="AX5">
        <v>20</v>
      </c>
      <c r="AY5" s="1">
        <v>29952</v>
      </c>
      <c r="AZ5" s="1">
        <v>29952</v>
      </c>
      <c r="BA5" s="1">
        <v>30682</v>
      </c>
      <c r="BB5" s="1">
        <v>37257</v>
      </c>
      <c r="BC5" t="s">
        <v>51</v>
      </c>
      <c r="BE5" t="s">
        <v>54</v>
      </c>
      <c r="BF5">
        <v>2</v>
      </c>
      <c r="BG5">
        <v>0</v>
      </c>
      <c r="BH5" t="s">
        <v>53</v>
      </c>
      <c r="BK5" t="s">
        <v>65</v>
      </c>
      <c r="BL5">
        <v>14000</v>
      </c>
      <c r="BM5" s="1">
        <v>44322</v>
      </c>
      <c r="BN5" s="1">
        <v>44322</v>
      </c>
      <c r="BO5" s="1">
        <v>44322</v>
      </c>
      <c r="BP5" s="1">
        <v>45544</v>
      </c>
      <c r="BQ5" t="s">
        <v>51</v>
      </c>
      <c r="BS5" t="s">
        <v>60</v>
      </c>
      <c r="BT5" t="s">
        <v>54</v>
      </c>
      <c r="BU5" t="s">
        <v>61</v>
      </c>
      <c r="BV5" t="s">
        <v>62</v>
      </c>
      <c r="BX5">
        <v>36</v>
      </c>
      <c r="BY5">
        <v>0</v>
      </c>
      <c r="BZ5">
        <v>0</v>
      </c>
    </row>
    <row r="6" spans="1:112" x14ac:dyDescent="0.2">
      <c r="A6" t="s">
        <v>45</v>
      </c>
      <c r="B6" t="s">
        <v>46</v>
      </c>
      <c r="C6" t="s">
        <v>47</v>
      </c>
      <c r="D6" t="s">
        <v>48</v>
      </c>
      <c r="F6" t="str">
        <f>"1086"</f>
        <v>1086</v>
      </c>
      <c r="G6" t="s">
        <v>49</v>
      </c>
      <c r="I6" t="s">
        <v>66</v>
      </c>
      <c r="K6" t="s">
        <v>51</v>
      </c>
      <c r="L6" t="s">
        <v>52</v>
      </c>
      <c r="M6">
        <v>135528.32000000001</v>
      </c>
      <c r="N6">
        <v>473958.67</v>
      </c>
      <c r="O6" t="s">
        <v>53</v>
      </c>
      <c r="P6" t="s">
        <v>54</v>
      </c>
      <c r="Q6" t="s">
        <v>55</v>
      </c>
      <c r="T6" t="s">
        <v>56</v>
      </c>
      <c r="U6">
        <v>40</v>
      </c>
      <c r="V6" s="1">
        <v>22647</v>
      </c>
      <c r="W6" s="1">
        <v>22647</v>
      </c>
      <c r="X6" s="1">
        <v>22647</v>
      </c>
      <c r="Y6" s="1">
        <v>37257</v>
      </c>
      <c r="Z6" t="s">
        <v>51</v>
      </c>
      <c r="AB6" t="s">
        <v>54</v>
      </c>
      <c r="AC6">
        <v>1</v>
      </c>
      <c r="AE6" t="s">
        <v>64</v>
      </c>
      <c r="AF6">
        <v>20</v>
      </c>
      <c r="AG6" s="1">
        <v>30682</v>
      </c>
      <c r="AH6" s="1">
        <v>30682</v>
      </c>
      <c r="AI6" s="1">
        <v>30682</v>
      </c>
      <c r="AJ6" s="1">
        <v>37987</v>
      </c>
      <c r="AK6" t="s">
        <v>51</v>
      </c>
      <c r="AN6">
        <v>0</v>
      </c>
      <c r="AO6" t="s">
        <v>54</v>
      </c>
      <c r="AP6" t="s">
        <v>53</v>
      </c>
      <c r="AQ6">
        <v>0</v>
      </c>
      <c r="AR6" t="s">
        <v>53</v>
      </c>
      <c r="AS6">
        <v>0</v>
      </c>
      <c r="AT6">
        <v>0</v>
      </c>
      <c r="AW6" t="s">
        <v>58</v>
      </c>
      <c r="AX6">
        <v>20</v>
      </c>
      <c r="AY6" s="1">
        <v>30682</v>
      </c>
      <c r="AZ6" s="1">
        <v>30682</v>
      </c>
      <c r="BA6" s="1">
        <v>30682</v>
      </c>
      <c r="BB6" s="1">
        <v>37987</v>
      </c>
      <c r="BC6" t="s">
        <v>51</v>
      </c>
      <c r="BE6" t="s">
        <v>54</v>
      </c>
      <c r="BF6">
        <v>2</v>
      </c>
      <c r="BG6">
        <v>0</v>
      </c>
      <c r="BH6" t="s">
        <v>53</v>
      </c>
      <c r="BK6" t="s">
        <v>65</v>
      </c>
      <c r="BL6">
        <v>14000</v>
      </c>
      <c r="BM6" s="1">
        <v>44322</v>
      </c>
      <c r="BN6" s="1">
        <v>44322</v>
      </c>
      <c r="BO6" s="1">
        <v>44322</v>
      </c>
      <c r="BP6" s="1">
        <v>45544</v>
      </c>
      <c r="BQ6" t="s">
        <v>51</v>
      </c>
      <c r="BS6" t="s">
        <v>60</v>
      </c>
      <c r="BT6" t="s">
        <v>54</v>
      </c>
      <c r="BU6" t="s">
        <v>61</v>
      </c>
      <c r="BV6" t="s">
        <v>62</v>
      </c>
      <c r="BX6">
        <v>36</v>
      </c>
      <c r="BY6">
        <v>0</v>
      </c>
      <c r="BZ6">
        <v>0</v>
      </c>
    </row>
    <row r="7" spans="1:112" x14ac:dyDescent="0.2">
      <c r="A7" t="s">
        <v>45</v>
      </c>
      <c r="B7" t="s">
        <v>46</v>
      </c>
      <c r="C7" t="s">
        <v>47</v>
      </c>
      <c r="D7" t="s">
        <v>48</v>
      </c>
      <c r="F7" t="str">
        <f>"1087"</f>
        <v>1087</v>
      </c>
      <c r="G7" t="s">
        <v>49</v>
      </c>
      <c r="H7">
        <v>2</v>
      </c>
      <c r="I7" t="s">
        <v>63</v>
      </c>
      <c r="K7" t="s">
        <v>51</v>
      </c>
      <c r="L7" t="s">
        <v>52</v>
      </c>
      <c r="M7">
        <v>135491.5</v>
      </c>
      <c r="N7">
        <v>473964.97</v>
      </c>
      <c r="O7" t="s">
        <v>53</v>
      </c>
      <c r="P7" t="s">
        <v>54</v>
      </c>
      <c r="Q7" t="s">
        <v>55</v>
      </c>
      <c r="T7" t="s">
        <v>56</v>
      </c>
      <c r="U7">
        <v>40</v>
      </c>
      <c r="V7" s="1">
        <v>30682</v>
      </c>
      <c r="W7" s="1">
        <v>30682</v>
      </c>
      <c r="X7" s="1">
        <v>30682</v>
      </c>
      <c r="Y7" s="1">
        <v>45292</v>
      </c>
      <c r="Z7" t="s">
        <v>51</v>
      </c>
      <c r="AB7" t="s">
        <v>54</v>
      </c>
      <c r="AC7">
        <v>1</v>
      </c>
      <c r="AE7" t="s">
        <v>64</v>
      </c>
      <c r="AF7">
        <v>20</v>
      </c>
      <c r="AG7" s="1">
        <v>30682</v>
      </c>
      <c r="AH7" s="1">
        <v>30682</v>
      </c>
      <c r="AI7" s="1">
        <v>30682</v>
      </c>
      <c r="AJ7" s="1">
        <v>37987</v>
      </c>
      <c r="AK7" t="s">
        <v>51</v>
      </c>
      <c r="AN7">
        <v>0</v>
      </c>
      <c r="AO7" t="s">
        <v>54</v>
      </c>
      <c r="AP7" t="s">
        <v>53</v>
      </c>
      <c r="AQ7">
        <v>0</v>
      </c>
      <c r="AR7" t="s">
        <v>53</v>
      </c>
      <c r="AS7">
        <v>0</v>
      </c>
      <c r="AT7">
        <v>0</v>
      </c>
      <c r="AW7" t="s">
        <v>58</v>
      </c>
      <c r="AX7">
        <v>20</v>
      </c>
      <c r="AY7" s="1">
        <v>30682</v>
      </c>
      <c r="AZ7" s="1">
        <v>30682</v>
      </c>
      <c r="BA7" s="1">
        <v>30682</v>
      </c>
      <c r="BB7" s="1">
        <v>37987</v>
      </c>
      <c r="BC7" t="s">
        <v>51</v>
      </c>
      <c r="BE7" t="s">
        <v>54</v>
      </c>
      <c r="BF7">
        <v>2</v>
      </c>
      <c r="BG7">
        <v>0</v>
      </c>
      <c r="BH7" t="s">
        <v>53</v>
      </c>
      <c r="BK7" t="s">
        <v>65</v>
      </c>
      <c r="BL7">
        <v>14000</v>
      </c>
      <c r="BM7" s="1">
        <v>44322</v>
      </c>
      <c r="BN7" s="1">
        <v>44322</v>
      </c>
      <c r="BO7" s="1">
        <v>44322</v>
      </c>
      <c r="BP7" s="1">
        <v>45544</v>
      </c>
      <c r="BQ7" t="s">
        <v>51</v>
      </c>
      <c r="BS7" t="s">
        <v>60</v>
      </c>
      <c r="BT7" t="s">
        <v>54</v>
      </c>
      <c r="BU7" t="s">
        <v>61</v>
      </c>
      <c r="BV7" t="s">
        <v>62</v>
      </c>
      <c r="BX7">
        <v>36</v>
      </c>
      <c r="BY7">
        <v>0</v>
      </c>
      <c r="BZ7">
        <v>0</v>
      </c>
    </row>
    <row r="8" spans="1:112" x14ac:dyDescent="0.2">
      <c r="A8" t="s">
        <v>45</v>
      </c>
      <c r="B8" t="s">
        <v>46</v>
      </c>
      <c r="C8" t="s">
        <v>47</v>
      </c>
      <c r="D8" t="s">
        <v>48</v>
      </c>
      <c r="F8" t="str">
        <f>"1088"</f>
        <v>1088</v>
      </c>
      <c r="G8" t="s">
        <v>49</v>
      </c>
      <c r="I8" t="s">
        <v>67</v>
      </c>
      <c r="K8" t="s">
        <v>51</v>
      </c>
      <c r="L8" t="s">
        <v>52</v>
      </c>
      <c r="M8">
        <v>135459.89000000001</v>
      </c>
      <c r="N8">
        <v>473986.53</v>
      </c>
      <c r="O8" t="s">
        <v>53</v>
      </c>
      <c r="P8" t="s">
        <v>54</v>
      </c>
      <c r="Q8" t="s">
        <v>55</v>
      </c>
      <c r="T8" t="s">
        <v>56</v>
      </c>
      <c r="U8">
        <v>40</v>
      </c>
      <c r="V8" s="1">
        <v>38252</v>
      </c>
      <c r="W8" s="1">
        <v>38252</v>
      </c>
      <c r="X8" s="1">
        <v>38252</v>
      </c>
      <c r="Y8" s="1">
        <v>52862</v>
      </c>
      <c r="Z8" t="s">
        <v>51</v>
      </c>
      <c r="AB8" t="s">
        <v>54</v>
      </c>
      <c r="AC8">
        <v>1</v>
      </c>
      <c r="AE8" t="s">
        <v>64</v>
      </c>
      <c r="AF8">
        <v>20</v>
      </c>
      <c r="AG8" s="1">
        <v>37987</v>
      </c>
      <c r="AH8" s="1">
        <v>37987</v>
      </c>
      <c r="AI8" s="1">
        <v>38252</v>
      </c>
      <c r="AJ8" s="1">
        <v>45292</v>
      </c>
      <c r="AK8" t="s">
        <v>51</v>
      </c>
      <c r="AN8">
        <v>0</v>
      </c>
      <c r="AO8" t="s">
        <v>54</v>
      </c>
      <c r="AP8" t="s">
        <v>53</v>
      </c>
      <c r="AQ8">
        <v>0</v>
      </c>
      <c r="AR8" t="s">
        <v>53</v>
      </c>
      <c r="AS8">
        <v>0</v>
      </c>
      <c r="AT8">
        <v>0</v>
      </c>
      <c r="AW8" t="s">
        <v>58</v>
      </c>
      <c r="AX8">
        <v>20</v>
      </c>
      <c r="AY8" s="1">
        <v>37987</v>
      </c>
      <c r="AZ8" s="1">
        <v>37987</v>
      </c>
      <c r="BA8" s="1">
        <v>38252</v>
      </c>
      <c r="BB8" s="1">
        <v>45292</v>
      </c>
      <c r="BC8" t="s">
        <v>51</v>
      </c>
      <c r="BE8" t="s">
        <v>54</v>
      </c>
      <c r="BF8">
        <v>2</v>
      </c>
      <c r="BG8">
        <v>0</v>
      </c>
      <c r="BH8" t="s">
        <v>53</v>
      </c>
      <c r="BK8" t="s">
        <v>65</v>
      </c>
      <c r="BL8">
        <v>14000</v>
      </c>
      <c r="BM8" s="1">
        <v>44322</v>
      </c>
      <c r="BN8" s="1">
        <v>44322</v>
      </c>
      <c r="BO8" s="1">
        <v>44322</v>
      </c>
      <c r="BP8" s="1">
        <v>45544</v>
      </c>
      <c r="BQ8" t="s">
        <v>51</v>
      </c>
      <c r="BS8" t="s">
        <v>60</v>
      </c>
      <c r="BT8" t="s">
        <v>54</v>
      </c>
      <c r="BU8" t="s">
        <v>61</v>
      </c>
      <c r="BV8" t="s">
        <v>62</v>
      </c>
      <c r="BX8">
        <v>36</v>
      </c>
      <c r="BY8">
        <v>0</v>
      </c>
      <c r="BZ8">
        <v>0</v>
      </c>
    </row>
    <row r="9" spans="1:112" x14ac:dyDescent="0.2">
      <c r="A9" t="s">
        <v>45</v>
      </c>
      <c r="B9" t="s">
        <v>46</v>
      </c>
      <c r="C9" t="s">
        <v>47</v>
      </c>
      <c r="D9" t="s">
        <v>48</v>
      </c>
      <c r="F9" t="str">
        <f>"1089"</f>
        <v>1089</v>
      </c>
      <c r="G9" t="s">
        <v>49</v>
      </c>
      <c r="H9">
        <v>2</v>
      </c>
      <c r="I9" t="s">
        <v>63</v>
      </c>
      <c r="K9" t="s">
        <v>51</v>
      </c>
      <c r="L9" t="s">
        <v>52</v>
      </c>
      <c r="M9">
        <v>135422.15</v>
      </c>
      <c r="N9">
        <v>473992.81</v>
      </c>
      <c r="O9" t="s">
        <v>53</v>
      </c>
      <c r="P9" t="s">
        <v>54</v>
      </c>
      <c r="Q9" t="s">
        <v>55</v>
      </c>
      <c r="T9" t="s">
        <v>56</v>
      </c>
      <c r="U9">
        <v>40</v>
      </c>
      <c r="V9" s="1">
        <v>30682</v>
      </c>
      <c r="W9" s="1">
        <v>30682</v>
      </c>
      <c r="X9" s="1">
        <v>30682</v>
      </c>
      <c r="Y9" s="1">
        <v>45292</v>
      </c>
      <c r="Z9" t="s">
        <v>51</v>
      </c>
      <c r="AB9" t="s">
        <v>54</v>
      </c>
      <c r="AC9">
        <v>1</v>
      </c>
      <c r="AE9" t="s">
        <v>64</v>
      </c>
      <c r="AF9">
        <v>20</v>
      </c>
      <c r="AG9" s="1">
        <v>30682</v>
      </c>
      <c r="AH9" s="1">
        <v>30682</v>
      </c>
      <c r="AI9" s="1">
        <v>30682</v>
      </c>
      <c r="AJ9" s="1">
        <v>37987</v>
      </c>
      <c r="AK9" t="s">
        <v>51</v>
      </c>
      <c r="AN9">
        <v>0</v>
      </c>
      <c r="AO9" t="s">
        <v>54</v>
      </c>
      <c r="AP9" t="s">
        <v>53</v>
      </c>
      <c r="AQ9">
        <v>0</v>
      </c>
      <c r="AR9" t="s">
        <v>53</v>
      </c>
      <c r="AS9">
        <v>0</v>
      </c>
      <c r="AT9">
        <v>0</v>
      </c>
      <c r="AW9" t="s">
        <v>58</v>
      </c>
      <c r="AX9">
        <v>20</v>
      </c>
      <c r="AY9" s="1">
        <v>30682</v>
      </c>
      <c r="AZ9" s="1">
        <v>30682</v>
      </c>
      <c r="BA9" s="1">
        <v>30682</v>
      </c>
      <c r="BB9" s="1">
        <v>37987</v>
      </c>
      <c r="BC9" t="s">
        <v>51</v>
      </c>
      <c r="BE9" t="s">
        <v>54</v>
      </c>
      <c r="BF9">
        <v>2</v>
      </c>
      <c r="BG9">
        <v>0</v>
      </c>
      <c r="BH9" t="s">
        <v>53</v>
      </c>
      <c r="BK9" t="s">
        <v>65</v>
      </c>
      <c r="BL9">
        <v>14000</v>
      </c>
      <c r="BM9" s="1">
        <v>44322</v>
      </c>
      <c r="BN9" s="1">
        <v>44322</v>
      </c>
      <c r="BO9" s="1">
        <v>44322</v>
      </c>
      <c r="BP9" s="1">
        <v>45544</v>
      </c>
      <c r="BQ9" t="s">
        <v>51</v>
      </c>
      <c r="BS9" t="s">
        <v>60</v>
      </c>
      <c r="BT9" t="s">
        <v>54</v>
      </c>
      <c r="BU9" t="s">
        <v>61</v>
      </c>
      <c r="BV9" t="s">
        <v>62</v>
      </c>
      <c r="BX9">
        <v>36</v>
      </c>
      <c r="BY9">
        <v>0</v>
      </c>
      <c r="BZ9">
        <v>0</v>
      </c>
    </row>
    <row r="10" spans="1:112" x14ac:dyDescent="0.2">
      <c r="A10" t="s">
        <v>45</v>
      </c>
      <c r="B10" t="s">
        <v>46</v>
      </c>
      <c r="C10" t="s">
        <v>47</v>
      </c>
      <c r="D10" t="s">
        <v>48</v>
      </c>
      <c r="F10" t="str">
        <f>"1090"</f>
        <v>1090</v>
      </c>
      <c r="G10" t="s">
        <v>49</v>
      </c>
      <c r="I10" t="s">
        <v>50</v>
      </c>
      <c r="K10" t="s">
        <v>51</v>
      </c>
      <c r="L10" t="s">
        <v>52</v>
      </c>
      <c r="M10">
        <v>135391.59</v>
      </c>
      <c r="N10">
        <v>474013.03</v>
      </c>
      <c r="O10" t="s">
        <v>53</v>
      </c>
      <c r="P10" t="s">
        <v>54</v>
      </c>
      <c r="Q10" t="s">
        <v>55</v>
      </c>
      <c r="T10" t="s">
        <v>56</v>
      </c>
      <c r="U10">
        <v>40</v>
      </c>
      <c r="V10" s="1">
        <v>22647</v>
      </c>
      <c r="W10" s="1">
        <v>22647</v>
      </c>
      <c r="X10" s="1">
        <v>22647</v>
      </c>
      <c r="Y10" s="1">
        <v>37257</v>
      </c>
      <c r="Z10" t="s">
        <v>51</v>
      </c>
      <c r="AB10" t="s">
        <v>54</v>
      </c>
      <c r="AC10">
        <v>1</v>
      </c>
      <c r="AE10" t="s">
        <v>64</v>
      </c>
      <c r="AF10">
        <v>20</v>
      </c>
      <c r="AG10" s="1">
        <v>30682</v>
      </c>
      <c r="AH10" s="1">
        <v>30682</v>
      </c>
      <c r="AI10" s="1">
        <v>30682</v>
      </c>
      <c r="AJ10" s="1">
        <v>37987</v>
      </c>
      <c r="AK10" t="s">
        <v>51</v>
      </c>
      <c r="AN10">
        <v>0</v>
      </c>
      <c r="AO10" t="s">
        <v>54</v>
      </c>
      <c r="AP10" t="s">
        <v>53</v>
      </c>
      <c r="AQ10">
        <v>0</v>
      </c>
      <c r="AR10" t="s">
        <v>53</v>
      </c>
      <c r="AS10">
        <v>0</v>
      </c>
      <c r="AT10">
        <v>0</v>
      </c>
      <c r="AW10" t="s">
        <v>58</v>
      </c>
      <c r="AX10">
        <v>20</v>
      </c>
      <c r="AY10" s="1">
        <v>30682</v>
      </c>
      <c r="AZ10" s="1">
        <v>30682</v>
      </c>
      <c r="BA10" s="1">
        <v>30682</v>
      </c>
      <c r="BB10" s="1">
        <v>37987</v>
      </c>
      <c r="BC10" t="s">
        <v>51</v>
      </c>
      <c r="BE10" t="s">
        <v>54</v>
      </c>
      <c r="BF10">
        <v>2</v>
      </c>
      <c r="BG10">
        <v>0</v>
      </c>
      <c r="BH10" t="s">
        <v>53</v>
      </c>
      <c r="BK10" t="s">
        <v>65</v>
      </c>
      <c r="BL10">
        <v>14000</v>
      </c>
      <c r="BM10" s="1">
        <v>44322</v>
      </c>
      <c r="BN10" s="1">
        <v>44322</v>
      </c>
      <c r="BO10" s="1">
        <v>44322</v>
      </c>
      <c r="BP10" s="1">
        <v>45544</v>
      </c>
      <c r="BQ10" t="s">
        <v>51</v>
      </c>
      <c r="BS10" t="s">
        <v>60</v>
      </c>
      <c r="BT10" t="s">
        <v>54</v>
      </c>
      <c r="BU10" t="s">
        <v>61</v>
      </c>
      <c r="BV10" t="s">
        <v>62</v>
      </c>
      <c r="BX10">
        <v>36</v>
      </c>
      <c r="BY10">
        <v>0</v>
      </c>
      <c r="BZ10">
        <v>0</v>
      </c>
    </row>
    <row r="11" spans="1:112" x14ac:dyDescent="0.2">
      <c r="A11" t="s">
        <v>45</v>
      </c>
      <c r="B11" t="s">
        <v>46</v>
      </c>
      <c r="C11" t="s">
        <v>47</v>
      </c>
      <c r="D11" t="s">
        <v>48</v>
      </c>
      <c r="F11" t="str">
        <f>"1091"</f>
        <v>1091</v>
      </c>
      <c r="G11" t="s">
        <v>49</v>
      </c>
      <c r="H11">
        <v>2</v>
      </c>
      <c r="I11" t="s">
        <v>63</v>
      </c>
      <c r="K11" t="s">
        <v>51</v>
      </c>
      <c r="L11" t="s">
        <v>52</v>
      </c>
      <c r="M11">
        <v>135356.01</v>
      </c>
      <c r="N11">
        <v>474019.58</v>
      </c>
      <c r="O11" t="s">
        <v>53</v>
      </c>
      <c r="P11" t="s">
        <v>54</v>
      </c>
      <c r="Q11" t="s">
        <v>55</v>
      </c>
      <c r="T11" t="s">
        <v>56</v>
      </c>
      <c r="U11">
        <v>40</v>
      </c>
      <c r="V11" s="1">
        <v>30682</v>
      </c>
      <c r="W11" s="1">
        <v>30682</v>
      </c>
      <c r="X11" s="1">
        <v>30682</v>
      </c>
      <c r="Y11" s="1">
        <v>45292</v>
      </c>
      <c r="Z11" t="s">
        <v>51</v>
      </c>
      <c r="AB11" t="s">
        <v>54</v>
      </c>
      <c r="AC11">
        <v>1</v>
      </c>
      <c r="AE11" t="s">
        <v>64</v>
      </c>
      <c r="AF11">
        <v>20</v>
      </c>
      <c r="AG11" s="1">
        <v>30682</v>
      </c>
      <c r="AH11" s="1">
        <v>30682</v>
      </c>
      <c r="AI11" s="1">
        <v>30682</v>
      </c>
      <c r="AJ11" s="1">
        <v>37987</v>
      </c>
      <c r="AK11" t="s">
        <v>51</v>
      </c>
      <c r="AN11">
        <v>0</v>
      </c>
      <c r="AO11" t="s">
        <v>54</v>
      </c>
      <c r="AP11" t="s">
        <v>53</v>
      </c>
      <c r="AQ11">
        <v>0</v>
      </c>
      <c r="AR11" t="s">
        <v>53</v>
      </c>
      <c r="AS11">
        <v>0</v>
      </c>
      <c r="AT11">
        <v>0</v>
      </c>
      <c r="AW11" t="s">
        <v>58</v>
      </c>
      <c r="AX11">
        <v>20</v>
      </c>
      <c r="AY11" s="1">
        <v>30682</v>
      </c>
      <c r="AZ11" s="1">
        <v>30682</v>
      </c>
      <c r="BA11" s="1">
        <v>30682</v>
      </c>
      <c r="BB11" s="1">
        <v>37987</v>
      </c>
      <c r="BC11" t="s">
        <v>51</v>
      </c>
      <c r="BE11" t="s">
        <v>54</v>
      </c>
      <c r="BF11">
        <v>2</v>
      </c>
      <c r="BG11">
        <v>0</v>
      </c>
      <c r="BH11" t="s">
        <v>53</v>
      </c>
      <c r="BK11" t="s">
        <v>65</v>
      </c>
      <c r="BL11">
        <v>14000</v>
      </c>
      <c r="BM11" s="1">
        <v>44341</v>
      </c>
      <c r="BN11" s="1">
        <v>44341</v>
      </c>
      <c r="BO11" s="1">
        <v>44341</v>
      </c>
      <c r="BP11" s="1">
        <v>45556</v>
      </c>
      <c r="BQ11" t="s">
        <v>51</v>
      </c>
      <c r="BS11" t="s">
        <v>60</v>
      </c>
      <c r="BT11" t="s">
        <v>54</v>
      </c>
      <c r="BU11" t="s">
        <v>61</v>
      </c>
      <c r="BV11" t="s">
        <v>62</v>
      </c>
      <c r="BX11">
        <v>36</v>
      </c>
      <c r="BY11">
        <v>0</v>
      </c>
      <c r="BZ11">
        <v>0</v>
      </c>
    </row>
    <row r="12" spans="1:112" x14ac:dyDescent="0.2">
      <c r="A12" t="s">
        <v>45</v>
      </c>
      <c r="B12" t="s">
        <v>46</v>
      </c>
      <c r="C12" t="s">
        <v>47</v>
      </c>
      <c r="D12" t="s">
        <v>48</v>
      </c>
      <c r="F12" t="str">
        <f>"1092"</f>
        <v>1092</v>
      </c>
      <c r="G12" t="s">
        <v>49</v>
      </c>
      <c r="I12" t="s">
        <v>50</v>
      </c>
      <c r="K12" t="s">
        <v>51</v>
      </c>
      <c r="L12" t="s">
        <v>52</v>
      </c>
      <c r="M12">
        <v>135326.44</v>
      </c>
      <c r="N12">
        <v>474040.42</v>
      </c>
      <c r="O12" t="s">
        <v>53</v>
      </c>
      <c r="P12" t="s">
        <v>54</v>
      </c>
      <c r="Q12" t="s">
        <v>55</v>
      </c>
      <c r="T12" t="s">
        <v>56</v>
      </c>
      <c r="U12">
        <v>40</v>
      </c>
      <c r="V12" s="1">
        <v>22647</v>
      </c>
      <c r="W12" s="1">
        <v>22647</v>
      </c>
      <c r="X12" s="1">
        <v>22647</v>
      </c>
      <c r="Y12" s="1">
        <v>37257</v>
      </c>
      <c r="Z12" t="s">
        <v>51</v>
      </c>
      <c r="AB12" t="s">
        <v>54</v>
      </c>
      <c r="AC12">
        <v>1</v>
      </c>
      <c r="AE12" t="s">
        <v>64</v>
      </c>
      <c r="AF12">
        <v>20</v>
      </c>
      <c r="AG12" s="1">
        <v>44341</v>
      </c>
      <c r="AH12" s="1">
        <v>44341</v>
      </c>
      <c r="AI12" s="1">
        <v>44341</v>
      </c>
      <c r="AJ12" s="1">
        <v>51646</v>
      </c>
      <c r="AK12" t="s">
        <v>51</v>
      </c>
      <c r="AN12">
        <v>0</v>
      </c>
      <c r="AO12" t="s">
        <v>54</v>
      </c>
      <c r="AP12" t="s">
        <v>53</v>
      </c>
      <c r="AQ12">
        <v>0</v>
      </c>
      <c r="AR12" t="s">
        <v>53</v>
      </c>
      <c r="AS12">
        <v>0</v>
      </c>
      <c r="AT12">
        <v>0</v>
      </c>
      <c r="AW12" t="s">
        <v>58</v>
      </c>
      <c r="AX12">
        <v>20</v>
      </c>
      <c r="AY12" s="1">
        <v>30682</v>
      </c>
      <c r="AZ12" s="1">
        <v>30682</v>
      </c>
      <c r="BA12" s="1">
        <v>44341</v>
      </c>
      <c r="BB12" s="1">
        <v>37987</v>
      </c>
      <c r="BC12" t="s">
        <v>51</v>
      </c>
      <c r="BE12" t="s">
        <v>54</v>
      </c>
      <c r="BF12">
        <v>2</v>
      </c>
      <c r="BG12">
        <v>0</v>
      </c>
      <c r="BH12" t="s">
        <v>53</v>
      </c>
      <c r="BK12" t="s">
        <v>65</v>
      </c>
      <c r="BL12">
        <v>14000</v>
      </c>
      <c r="BM12" s="1">
        <v>44341</v>
      </c>
      <c r="BN12" s="1">
        <v>44341</v>
      </c>
      <c r="BO12" s="1">
        <v>44341</v>
      </c>
      <c r="BP12" s="1">
        <v>45556</v>
      </c>
      <c r="BQ12" t="s">
        <v>51</v>
      </c>
      <c r="BS12" t="s">
        <v>60</v>
      </c>
      <c r="BT12" t="s">
        <v>54</v>
      </c>
      <c r="BU12" t="s">
        <v>61</v>
      </c>
      <c r="BV12" t="s">
        <v>62</v>
      </c>
      <c r="BX12">
        <v>36</v>
      </c>
      <c r="BY12">
        <v>0</v>
      </c>
      <c r="BZ12">
        <v>0</v>
      </c>
    </row>
    <row r="13" spans="1:112" x14ac:dyDescent="0.2">
      <c r="A13" t="s">
        <v>45</v>
      </c>
      <c r="B13" t="s">
        <v>46</v>
      </c>
      <c r="C13" t="s">
        <v>47</v>
      </c>
      <c r="D13" t="s">
        <v>48</v>
      </c>
      <c r="F13" t="str">
        <f>"1093"</f>
        <v>1093</v>
      </c>
      <c r="G13" t="s">
        <v>49</v>
      </c>
      <c r="H13">
        <v>2</v>
      </c>
      <c r="I13" t="s">
        <v>63</v>
      </c>
      <c r="K13" t="s">
        <v>51</v>
      </c>
      <c r="L13" t="s">
        <v>52</v>
      </c>
      <c r="M13">
        <v>135287.16</v>
      </c>
      <c r="N13">
        <v>474047.3</v>
      </c>
      <c r="O13" t="s">
        <v>53</v>
      </c>
      <c r="P13" t="s">
        <v>54</v>
      </c>
      <c r="Q13" t="s">
        <v>55</v>
      </c>
      <c r="T13" t="s">
        <v>56</v>
      </c>
      <c r="U13">
        <v>40</v>
      </c>
      <c r="V13" s="1">
        <v>30682</v>
      </c>
      <c r="W13" s="1">
        <v>30682</v>
      </c>
      <c r="X13" s="1">
        <v>30682</v>
      </c>
      <c r="Y13" s="1">
        <v>45292</v>
      </c>
      <c r="Z13" t="s">
        <v>51</v>
      </c>
      <c r="AB13" t="s">
        <v>54</v>
      </c>
      <c r="AC13">
        <v>1</v>
      </c>
      <c r="AE13" t="s">
        <v>64</v>
      </c>
      <c r="AF13">
        <v>20</v>
      </c>
      <c r="AG13" s="1">
        <v>30682</v>
      </c>
      <c r="AH13" s="1">
        <v>30682</v>
      </c>
      <c r="AI13" s="1">
        <v>30682</v>
      </c>
      <c r="AJ13" s="1">
        <v>37987</v>
      </c>
      <c r="AK13" t="s">
        <v>51</v>
      </c>
      <c r="AN13">
        <v>0</v>
      </c>
      <c r="AO13" t="s">
        <v>54</v>
      </c>
      <c r="AP13" t="s">
        <v>53</v>
      </c>
      <c r="AQ13">
        <v>0</v>
      </c>
      <c r="AR13" t="s">
        <v>53</v>
      </c>
      <c r="AS13">
        <v>0</v>
      </c>
      <c r="AT13">
        <v>0</v>
      </c>
      <c r="AW13" t="s">
        <v>58</v>
      </c>
      <c r="AX13">
        <v>20</v>
      </c>
      <c r="AY13" s="1">
        <v>30682</v>
      </c>
      <c r="AZ13" s="1">
        <v>30682</v>
      </c>
      <c r="BA13" s="1">
        <v>30682</v>
      </c>
      <c r="BB13" s="1">
        <v>37987</v>
      </c>
      <c r="BC13" t="s">
        <v>51</v>
      </c>
      <c r="BE13" t="s">
        <v>54</v>
      </c>
      <c r="BF13">
        <v>2</v>
      </c>
      <c r="BG13">
        <v>0</v>
      </c>
      <c r="BH13" t="s">
        <v>53</v>
      </c>
      <c r="BK13" t="s">
        <v>65</v>
      </c>
      <c r="BL13">
        <v>14000</v>
      </c>
      <c r="BM13" s="1">
        <v>44322</v>
      </c>
      <c r="BN13" s="1">
        <v>44322</v>
      </c>
      <c r="BO13" s="1">
        <v>44322</v>
      </c>
      <c r="BP13" s="1">
        <v>45544</v>
      </c>
      <c r="BQ13" t="s">
        <v>51</v>
      </c>
      <c r="BS13" t="s">
        <v>60</v>
      </c>
      <c r="BT13" t="s">
        <v>54</v>
      </c>
      <c r="BU13" t="s">
        <v>61</v>
      </c>
      <c r="BV13" t="s">
        <v>62</v>
      </c>
      <c r="BX13">
        <v>36</v>
      </c>
      <c r="BY13">
        <v>0</v>
      </c>
      <c r="BZ13">
        <v>0</v>
      </c>
    </row>
    <row r="14" spans="1:112" x14ac:dyDescent="0.2">
      <c r="A14" t="s">
        <v>45</v>
      </c>
      <c r="B14" t="s">
        <v>46</v>
      </c>
      <c r="C14" t="s">
        <v>47</v>
      </c>
      <c r="D14" t="s">
        <v>48</v>
      </c>
      <c r="F14" t="str">
        <f>"1094"</f>
        <v>1094</v>
      </c>
      <c r="G14" t="s">
        <v>49</v>
      </c>
      <c r="I14" t="s">
        <v>50</v>
      </c>
      <c r="K14" t="s">
        <v>51</v>
      </c>
      <c r="L14" t="s">
        <v>52</v>
      </c>
      <c r="M14">
        <v>135256.62</v>
      </c>
      <c r="N14">
        <v>474067.56</v>
      </c>
      <c r="O14" t="s">
        <v>53</v>
      </c>
      <c r="P14" t="s">
        <v>54</v>
      </c>
      <c r="Q14" t="s">
        <v>55</v>
      </c>
      <c r="T14" t="s">
        <v>56</v>
      </c>
      <c r="U14">
        <v>40</v>
      </c>
      <c r="V14" s="1">
        <v>24838</v>
      </c>
      <c r="W14" s="1">
        <v>24838</v>
      </c>
      <c r="X14" s="1">
        <v>24838</v>
      </c>
      <c r="Y14" s="1">
        <v>39448</v>
      </c>
      <c r="Z14" t="s">
        <v>51</v>
      </c>
      <c r="AB14" t="s">
        <v>54</v>
      </c>
      <c r="AC14">
        <v>1</v>
      </c>
      <c r="AE14" t="s">
        <v>64</v>
      </c>
      <c r="AF14">
        <v>20</v>
      </c>
      <c r="AG14" s="1">
        <v>30682</v>
      </c>
      <c r="AH14" s="1">
        <v>30682</v>
      </c>
      <c r="AI14" s="1">
        <v>30682</v>
      </c>
      <c r="AJ14" s="1">
        <v>37987</v>
      </c>
      <c r="AK14" t="s">
        <v>51</v>
      </c>
      <c r="AN14">
        <v>0</v>
      </c>
      <c r="AO14" t="s">
        <v>54</v>
      </c>
      <c r="AP14" t="s">
        <v>53</v>
      </c>
      <c r="AQ14">
        <v>0</v>
      </c>
      <c r="AR14" t="s">
        <v>53</v>
      </c>
      <c r="AS14">
        <v>0</v>
      </c>
      <c r="AT14">
        <v>0</v>
      </c>
      <c r="AW14" t="s">
        <v>58</v>
      </c>
      <c r="AX14">
        <v>20</v>
      </c>
      <c r="AY14" s="1">
        <v>30682</v>
      </c>
      <c r="AZ14" s="1">
        <v>30682</v>
      </c>
      <c r="BA14" s="1">
        <v>30682</v>
      </c>
      <c r="BB14" s="1">
        <v>37987</v>
      </c>
      <c r="BC14" t="s">
        <v>51</v>
      </c>
      <c r="BE14" t="s">
        <v>54</v>
      </c>
      <c r="BF14">
        <v>2</v>
      </c>
      <c r="BG14">
        <v>0</v>
      </c>
      <c r="BH14" t="s">
        <v>53</v>
      </c>
      <c r="BK14" t="s">
        <v>65</v>
      </c>
      <c r="BL14">
        <v>14000</v>
      </c>
      <c r="BM14" s="1">
        <v>44322</v>
      </c>
      <c r="BN14" s="1">
        <v>44322</v>
      </c>
      <c r="BO14" s="1">
        <v>44322</v>
      </c>
      <c r="BP14" s="1">
        <v>45544</v>
      </c>
      <c r="BQ14" t="s">
        <v>51</v>
      </c>
      <c r="BS14" t="s">
        <v>60</v>
      </c>
      <c r="BT14" t="s">
        <v>54</v>
      </c>
      <c r="BU14" t="s">
        <v>61</v>
      </c>
      <c r="BV14" t="s">
        <v>62</v>
      </c>
      <c r="BX14">
        <v>36</v>
      </c>
      <c r="BY14">
        <v>0</v>
      </c>
      <c r="BZ14">
        <v>0</v>
      </c>
    </row>
    <row r="15" spans="1:112" x14ac:dyDescent="0.2">
      <c r="A15" t="s">
        <v>45</v>
      </c>
      <c r="B15" t="s">
        <v>46</v>
      </c>
      <c r="C15" t="s">
        <v>47</v>
      </c>
      <c r="D15" t="s">
        <v>48</v>
      </c>
      <c r="F15" t="str">
        <f>"1095"</f>
        <v>1095</v>
      </c>
      <c r="G15" t="s">
        <v>49</v>
      </c>
      <c r="H15">
        <v>2</v>
      </c>
      <c r="I15" t="s">
        <v>63</v>
      </c>
      <c r="K15" t="s">
        <v>51</v>
      </c>
      <c r="L15" t="s">
        <v>52</v>
      </c>
      <c r="M15">
        <v>135219.73000000001</v>
      </c>
      <c r="N15">
        <v>474074.22</v>
      </c>
      <c r="O15" t="s">
        <v>53</v>
      </c>
      <c r="P15" t="s">
        <v>54</v>
      </c>
      <c r="Q15" t="s">
        <v>55</v>
      </c>
      <c r="T15" t="s">
        <v>56</v>
      </c>
      <c r="U15">
        <v>40</v>
      </c>
      <c r="V15" s="1">
        <v>39587</v>
      </c>
      <c r="W15" s="1">
        <v>39587</v>
      </c>
      <c r="X15" s="1">
        <v>39587</v>
      </c>
      <c r="Y15" s="1">
        <v>54197</v>
      </c>
      <c r="Z15" t="s">
        <v>51</v>
      </c>
      <c r="AB15" t="s">
        <v>54</v>
      </c>
      <c r="AC15">
        <v>1</v>
      </c>
      <c r="AE15" t="s">
        <v>64</v>
      </c>
      <c r="AF15">
        <v>20</v>
      </c>
      <c r="AG15" s="1">
        <v>30682</v>
      </c>
      <c r="AH15" s="1">
        <v>30682</v>
      </c>
      <c r="AI15" s="1">
        <v>39587</v>
      </c>
      <c r="AJ15" s="1">
        <v>37987</v>
      </c>
      <c r="AK15" t="s">
        <v>51</v>
      </c>
      <c r="AN15">
        <v>0</v>
      </c>
      <c r="AO15" t="s">
        <v>54</v>
      </c>
      <c r="AP15" t="s">
        <v>53</v>
      </c>
      <c r="AQ15">
        <v>0</v>
      </c>
      <c r="AR15" t="s">
        <v>53</v>
      </c>
      <c r="AS15">
        <v>0</v>
      </c>
      <c r="AT15">
        <v>0</v>
      </c>
      <c r="AW15" t="s">
        <v>58</v>
      </c>
      <c r="AX15">
        <v>20</v>
      </c>
      <c r="AY15" s="1">
        <v>30682</v>
      </c>
      <c r="AZ15" s="1">
        <v>30682</v>
      </c>
      <c r="BA15" s="1">
        <v>39587</v>
      </c>
      <c r="BB15" s="1">
        <v>37987</v>
      </c>
      <c r="BC15" t="s">
        <v>51</v>
      </c>
      <c r="BE15" t="s">
        <v>54</v>
      </c>
      <c r="BF15">
        <v>2</v>
      </c>
      <c r="BG15">
        <v>0</v>
      </c>
      <c r="BH15" t="s">
        <v>53</v>
      </c>
      <c r="BK15" t="s">
        <v>65</v>
      </c>
      <c r="BL15">
        <v>14000</v>
      </c>
      <c r="BM15" s="1">
        <v>44322</v>
      </c>
      <c r="BN15" s="1">
        <v>44322</v>
      </c>
      <c r="BO15" s="1">
        <v>44322</v>
      </c>
      <c r="BP15" s="1">
        <v>45544</v>
      </c>
      <c r="BQ15" t="s">
        <v>51</v>
      </c>
      <c r="BS15" t="s">
        <v>60</v>
      </c>
      <c r="BT15" t="s">
        <v>54</v>
      </c>
      <c r="BU15" t="s">
        <v>61</v>
      </c>
      <c r="BV15" t="s">
        <v>62</v>
      </c>
      <c r="BX15">
        <v>36</v>
      </c>
      <c r="BY15">
        <v>0</v>
      </c>
      <c r="BZ15">
        <v>0</v>
      </c>
    </row>
    <row r="16" spans="1:112" x14ac:dyDescent="0.2">
      <c r="A16" t="s">
        <v>45</v>
      </c>
      <c r="B16" t="s">
        <v>46</v>
      </c>
      <c r="C16" t="s">
        <v>47</v>
      </c>
      <c r="D16" t="s">
        <v>48</v>
      </c>
      <c r="F16" t="str">
        <f>"1097"</f>
        <v>1097</v>
      </c>
      <c r="G16" t="s">
        <v>49</v>
      </c>
      <c r="H16">
        <v>2</v>
      </c>
      <c r="I16" t="s">
        <v>63</v>
      </c>
      <c r="K16" t="s">
        <v>51</v>
      </c>
      <c r="L16" t="s">
        <v>52</v>
      </c>
      <c r="M16">
        <v>135150.89000000001</v>
      </c>
      <c r="N16">
        <v>474101.88</v>
      </c>
      <c r="O16" t="s">
        <v>53</v>
      </c>
      <c r="P16" t="s">
        <v>54</v>
      </c>
      <c r="Q16" t="s">
        <v>55</v>
      </c>
      <c r="T16" t="s">
        <v>56</v>
      </c>
      <c r="U16">
        <v>40</v>
      </c>
      <c r="V16" s="1">
        <v>30682</v>
      </c>
      <c r="W16" s="1">
        <v>30682</v>
      </c>
      <c r="X16" s="1">
        <v>30682</v>
      </c>
      <c r="Y16" s="1">
        <v>45292</v>
      </c>
      <c r="Z16" t="s">
        <v>51</v>
      </c>
      <c r="AB16" t="s">
        <v>54</v>
      </c>
      <c r="AC16">
        <v>1</v>
      </c>
      <c r="AE16" t="s">
        <v>64</v>
      </c>
      <c r="AF16">
        <v>20</v>
      </c>
      <c r="AG16" s="1">
        <v>30682</v>
      </c>
      <c r="AH16" s="1">
        <v>30682</v>
      </c>
      <c r="AI16" s="1">
        <v>30682</v>
      </c>
      <c r="AJ16" s="1">
        <v>37987</v>
      </c>
      <c r="AK16" t="s">
        <v>51</v>
      </c>
      <c r="AN16">
        <v>0</v>
      </c>
      <c r="AO16" t="s">
        <v>54</v>
      </c>
      <c r="AP16" t="s">
        <v>53</v>
      </c>
      <c r="AQ16">
        <v>0</v>
      </c>
      <c r="AR16" t="s">
        <v>53</v>
      </c>
      <c r="AS16">
        <v>0</v>
      </c>
      <c r="AT16">
        <v>0</v>
      </c>
      <c r="AW16" t="s">
        <v>58</v>
      </c>
      <c r="AX16">
        <v>20</v>
      </c>
      <c r="AY16" s="1">
        <v>30682</v>
      </c>
      <c r="AZ16" s="1">
        <v>30682</v>
      </c>
      <c r="BA16" s="1">
        <v>30682</v>
      </c>
      <c r="BB16" s="1">
        <v>37987</v>
      </c>
      <c r="BC16" t="s">
        <v>51</v>
      </c>
      <c r="BE16" t="s">
        <v>54</v>
      </c>
      <c r="BF16">
        <v>2</v>
      </c>
      <c r="BG16">
        <v>0</v>
      </c>
      <c r="BH16" t="s">
        <v>53</v>
      </c>
      <c r="BK16" t="s">
        <v>65</v>
      </c>
      <c r="BL16">
        <v>14000</v>
      </c>
      <c r="BM16" s="1">
        <v>44322</v>
      </c>
      <c r="BN16" s="1">
        <v>44322</v>
      </c>
      <c r="BO16" s="1">
        <v>44322</v>
      </c>
      <c r="BP16" s="1">
        <v>45544</v>
      </c>
      <c r="BQ16" t="s">
        <v>51</v>
      </c>
      <c r="BS16" t="s">
        <v>60</v>
      </c>
      <c r="BT16" t="s">
        <v>54</v>
      </c>
      <c r="BU16" t="s">
        <v>61</v>
      </c>
      <c r="BV16" t="s">
        <v>62</v>
      </c>
      <c r="BX16">
        <v>36</v>
      </c>
      <c r="BY16">
        <v>0</v>
      </c>
      <c r="BZ16">
        <v>0</v>
      </c>
    </row>
    <row r="17" spans="1:99" x14ac:dyDescent="0.2">
      <c r="A17" t="s">
        <v>45</v>
      </c>
      <c r="B17" t="s">
        <v>46</v>
      </c>
      <c r="C17" t="s">
        <v>47</v>
      </c>
      <c r="D17" t="s">
        <v>48</v>
      </c>
      <c r="F17" t="str">
        <f>"1099"</f>
        <v>1099</v>
      </c>
      <c r="G17" t="s">
        <v>49</v>
      </c>
      <c r="H17">
        <v>2</v>
      </c>
      <c r="I17" t="s">
        <v>63</v>
      </c>
      <c r="K17" t="s">
        <v>51</v>
      </c>
      <c r="L17" t="s">
        <v>52</v>
      </c>
      <c r="M17">
        <v>135082.12</v>
      </c>
      <c r="N17">
        <v>474128.6</v>
      </c>
      <c r="O17" t="s">
        <v>53</v>
      </c>
      <c r="P17" t="s">
        <v>54</v>
      </c>
      <c r="Q17" t="s">
        <v>55</v>
      </c>
      <c r="T17" t="s">
        <v>56</v>
      </c>
      <c r="U17">
        <v>40</v>
      </c>
      <c r="V17" s="1">
        <v>30682</v>
      </c>
      <c r="W17" s="1">
        <v>30682</v>
      </c>
      <c r="X17" s="1">
        <v>30682</v>
      </c>
      <c r="Y17" s="1">
        <v>45292</v>
      </c>
      <c r="Z17" t="s">
        <v>51</v>
      </c>
      <c r="AB17" t="s">
        <v>54</v>
      </c>
      <c r="AC17">
        <v>1</v>
      </c>
      <c r="AE17" t="s">
        <v>64</v>
      </c>
      <c r="AF17">
        <v>20</v>
      </c>
      <c r="AG17" s="1">
        <v>35431</v>
      </c>
      <c r="AH17" s="1">
        <v>35431</v>
      </c>
      <c r="AI17" s="1">
        <v>35431</v>
      </c>
      <c r="AJ17" s="1">
        <v>42736</v>
      </c>
      <c r="AK17" t="s">
        <v>51</v>
      </c>
      <c r="AN17">
        <v>0</v>
      </c>
      <c r="AO17" t="s">
        <v>54</v>
      </c>
      <c r="AP17" t="s">
        <v>53</v>
      </c>
      <c r="AQ17">
        <v>0</v>
      </c>
      <c r="AR17" t="s">
        <v>53</v>
      </c>
      <c r="AS17">
        <v>0</v>
      </c>
      <c r="AT17">
        <v>0</v>
      </c>
      <c r="AW17" t="s">
        <v>58</v>
      </c>
      <c r="AX17">
        <v>20</v>
      </c>
      <c r="AY17" s="1">
        <v>35431</v>
      </c>
      <c r="AZ17" s="1">
        <v>35431</v>
      </c>
      <c r="BA17" s="1">
        <v>35431</v>
      </c>
      <c r="BB17" s="1">
        <v>42736</v>
      </c>
      <c r="BC17" t="s">
        <v>51</v>
      </c>
      <c r="BE17" t="s">
        <v>54</v>
      </c>
      <c r="BF17">
        <v>2</v>
      </c>
      <c r="BG17">
        <v>0</v>
      </c>
      <c r="BH17" t="s">
        <v>53</v>
      </c>
      <c r="BK17" t="s">
        <v>65</v>
      </c>
      <c r="BL17">
        <v>14000</v>
      </c>
      <c r="BM17" s="1">
        <v>44322</v>
      </c>
      <c r="BN17" s="1">
        <v>44322</v>
      </c>
      <c r="BO17" s="1">
        <v>44322</v>
      </c>
      <c r="BP17" s="1">
        <v>45544</v>
      </c>
      <c r="BQ17" t="s">
        <v>51</v>
      </c>
      <c r="BS17" t="s">
        <v>60</v>
      </c>
      <c r="BT17" t="s">
        <v>54</v>
      </c>
      <c r="BU17" t="s">
        <v>61</v>
      </c>
      <c r="BV17" t="s">
        <v>62</v>
      </c>
      <c r="BX17">
        <v>36</v>
      </c>
      <c r="BY17">
        <v>0</v>
      </c>
      <c r="BZ17">
        <v>0</v>
      </c>
    </row>
    <row r="18" spans="1:99" x14ac:dyDescent="0.2">
      <c r="A18" t="s">
        <v>45</v>
      </c>
      <c r="B18" t="s">
        <v>46</v>
      </c>
      <c r="C18" t="s">
        <v>47</v>
      </c>
      <c r="D18" t="s">
        <v>68</v>
      </c>
      <c r="F18" t="str">
        <f>"1115"</f>
        <v>1115</v>
      </c>
      <c r="G18" t="s">
        <v>49</v>
      </c>
      <c r="K18" t="s">
        <v>51</v>
      </c>
      <c r="L18" t="s">
        <v>52</v>
      </c>
      <c r="M18">
        <v>134981.70000000001</v>
      </c>
      <c r="N18">
        <v>474196.73</v>
      </c>
      <c r="O18" t="s">
        <v>53</v>
      </c>
      <c r="P18" t="s">
        <v>54</v>
      </c>
      <c r="Q18" t="s">
        <v>55</v>
      </c>
      <c r="T18" t="s">
        <v>69</v>
      </c>
      <c r="U18">
        <v>40</v>
      </c>
      <c r="V18" s="1">
        <v>34700</v>
      </c>
      <c r="W18" s="1">
        <v>34700</v>
      </c>
      <c r="X18" s="1">
        <v>34700</v>
      </c>
      <c r="Y18" s="1">
        <v>49310</v>
      </c>
      <c r="Z18" t="s">
        <v>51</v>
      </c>
      <c r="AB18" t="s">
        <v>54</v>
      </c>
      <c r="AC18">
        <v>1</v>
      </c>
      <c r="AE18" t="s">
        <v>70</v>
      </c>
      <c r="AF18">
        <v>20</v>
      </c>
      <c r="AG18" s="1">
        <v>34700</v>
      </c>
      <c r="AH18" s="1">
        <v>34700</v>
      </c>
      <c r="AI18" s="1">
        <v>34700</v>
      </c>
      <c r="AJ18" s="1">
        <v>42005</v>
      </c>
      <c r="AK18" t="s">
        <v>51</v>
      </c>
      <c r="AN18">
        <v>0</v>
      </c>
      <c r="AO18" t="s">
        <v>54</v>
      </c>
      <c r="AP18" t="s">
        <v>53</v>
      </c>
      <c r="AQ18">
        <v>0</v>
      </c>
      <c r="AR18" t="s">
        <v>53</v>
      </c>
      <c r="AS18">
        <v>0</v>
      </c>
      <c r="AT18">
        <v>0</v>
      </c>
      <c r="AW18" t="s">
        <v>58</v>
      </c>
      <c r="AX18">
        <v>20</v>
      </c>
      <c r="AY18" s="1">
        <v>34700</v>
      </c>
      <c r="AZ18" s="1">
        <v>34700</v>
      </c>
      <c r="BA18" s="1">
        <v>34700</v>
      </c>
      <c r="BB18" s="1">
        <v>42005</v>
      </c>
      <c r="BC18" t="s">
        <v>51</v>
      </c>
      <c r="BE18" t="s">
        <v>54</v>
      </c>
      <c r="BF18">
        <v>2</v>
      </c>
      <c r="BG18">
        <v>0</v>
      </c>
      <c r="BH18" t="s">
        <v>53</v>
      </c>
      <c r="BK18" t="s">
        <v>71</v>
      </c>
      <c r="BL18">
        <v>12000</v>
      </c>
      <c r="BM18" s="1">
        <v>44323</v>
      </c>
      <c r="BN18" s="1">
        <v>44323</v>
      </c>
      <c r="BO18" s="1">
        <v>44323</v>
      </c>
      <c r="BP18" s="1">
        <v>45333</v>
      </c>
      <c r="BQ18" t="s">
        <v>51</v>
      </c>
      <c r="BS18" t="s">
        <v>60</v>
      </c>
      <c r="BT18" t="s">
        <v>54</v>
      </c>
      <c r="BU18" t="s">
        <v>72</v>
      </c>
      <c r="BV18" t="s">
        <v>73</v>
      </c>
      <c r="BX18">
        <v>55</v>
      </c>
      <c r="BY18">
        <v>0</v>
      </c>
      <c r="BZ18">
        <v>0</v>
      </c>
    </row>
    <row r="19" spans="1:99" x14ac:dyDescent="0.2">
      <c r="A19" t="s">
        <v>45</v>
      </c>
      <c r="B19" t="s">
        <v>46</v>
      </c>
      <c r="C19" t="s">
        <v>47</v>
      </c>
      <c r="D19" t="s">
        <v>68</v>
      </c>
      <c r="F19" t="str">
        <f>"1116"</f>
        <v>1116</v>
      </c>
      <c r="G19" t="s">
        <v>49</v>
      </c>
      <c r="H19" t="s">
        <v>74</v>
      </c>
      <c r="K19" t="s">
        <v>51</v>
      </c>
      <c r="L19" t="s">
        <v>52</v>
      </c>
      <c r="M19">
        <v>134971.20000000001</v>
      </c>
      <c r="N19">
        <v>474234.89</v>
      </c>
      <c r="O19" t="s">
        <v>53</v>
      </c>
      <c r="P19" t="s">
        <v>54</v>
      </c>
      <c r="Q19" t="s">
        <v>55</v>
      </c>
      <c r="T19" t="s">
        <v>75</v>
      </c>
      <c r="U19">
        <v>40</v>
      </c>
      <c r="V19" s="1">
        <v>34700</v>
      </c>
      <c r="W19" s="1">
        <v>34700</v>
      </c>
      <c r="X19" s="1">
        <v>34700</v>
      </c>
      <c r="Y19" s="1">
        <v>49310</v>
      </c>
      <c r="Z19" t="s">
        <v>51</v>
      </c>
      <c r="AB19" t="s">
        <v>54</v>
      </c>
      <c r="AC19">
        <v>1</v>
      </c>
      <c r="AE19" t="s">
        <v>76</v>
      </c>
      <c r="AF19">
        <v>20</v>
      </c>
      <c r="AG19" s="1">
        <v>44341</v>
      </c>
      <c r="AH19" s="1">
        <v>44341</v>
      </c>
      <c r="AI19" s="1">
        <v>44341</v>
      </c>
      <c r="AJ19" s="1">
        <v>51646</v>
      </c>
      <c r="AK19" t="s">
        <v>51</v>
      </c>
      <c r="AN19">
        <v>0</v>
      </c>
      <c r="AO19" t="s">
        <v>54</v>
      </c>
      <c r="AP19" t="s">
        <v>53</v>
      </c>
      <c r="AQ19">
        <v>0</v>
      </c>
      <c r="AR19" t="s">
        <v>53</v>
      </c>
      <c r="AS19">
        <v>0</v>
      </c>
      <c r="AT19">
        <v>0</v>
      </c>
      <c r="CC19" t="s">
        <v>77</v>
      </c>
      <c r="CD19">
        <v>20</v>
      </c>
      <c r="CE19" s="1">
        <v>44341</v>
      </c>
      <c r="CF19" s="1">
        <v>44341</v>
      </c>
      <c r="CG19" s="1">
        <v>44341</v>
      </c>
      <c r="CH19" s="1">
        <v>44342</v>
      </c>
      <c r="CI19" t="s">
        <v>51</v>
      </c>
      <c r="CK19" t="s">
        <v>78</v>
      </c>
      <c r="CM19" t="s">
        <v>54</v>
      </c>
      <c r="CN19" t="s">
        <v>79</v>
      </c>
      <c r="CR19">
        <v>0</v>
      </c>
      <c r="CS19">
        <v>0</v>
      </c>
      <c r="CT19">
        <v>0</v>
      </c>
      <c r="CU19">
        <v>0</v>
      </c>
    </row>
    <row r="20" spans="1:99" x14ac:dyDescent="0.2">
      <c r="A20" t="s">
        <v>45</v>
      </c>
      <c r="B20" t="s">
        <v>46</v>
      </c>
      <c r="C20" t="s">
        <v>47</v>
      </c>
      <c r="D20" t="s">
        <v>68</v>
      </c>
      <c r="F20" t="str">
        <f>"1117"</f>
        <v>1117</v>
      </c>
      <c r="G20" t="s">
        <v>49</v>
      </c>
      <c r="H20" t="s">
        <v>74</v>
      </c>
      <c r="K20" t="s">
        <v>51</v>
      </c>
      <c r="L20" t="s">
        <v>52</v>
      </c>
      <c r="M20">
        <v>134959.43</v>
      </c>
      <c r="N20">
        <v>474262.79</v>
      </c>
      <c r="O20" t="s">
        <v>53</v>
      </c>
      <c r="P20" t="s">
        <v>54</v>
      </c>
      <c r="Q20" t="s">
        <v>55</v>
      </c>
      <c r="T20" t="s">
        <v>69</v>
      </c>
      <c r="U20">
        <v>40</v>
      </c>
      <c r="V20" s="1">
        <v>34700</v>
      </c>
      <c r="W20" s="1">
        <v>34700</v>
      </c>
      <c r="X20" s="1">
        <v>34700</v>
      </c>
      <c r="Y20" s="1">
        <v>49310</v>
      </c>
      <c r="Z20" t="s">
        <v>51</v>
      </c>
      <c r="AB20" t="s">
        <v>54</v>
      </c>
      <c r="AC20">
        <v>1</v>
      </c>
      <c r="AE20" t="s">
        <v>76</v>
      </c>
      <c r="AF20">
        <v>20</v>
      </c>
      <c r="AG20" s="1">
        <v>44341</v>
      </c>
      <c r="AH20" s="1">
        <v>44341</v>
      </c>
      <c r="AI20" s="1">
        <v>44341</v>
      </c>
      <c r="AJ20" s="1">
        <v>51646</v>
      </c>
      <c r="AK20" t="s">
        <v>51</v>
      </c>
      <c r="AN20">
        <v>0</v>
      </c>
      <c r="AO20" t="s">
        <v>54</v>
      </c>
      <c r="AP20" t="s">
        <v>53</v>
      </c>
      <c r="AQ20">
        <v>0</v>
      </c>
      <c r="AR20" t="s">
        <v>53</v>
      </c>
      <c r="AS20">
        <v>0</v>
      </c>
      <c r="AT20">
        <v>0</v>
      </c>
      <c r="CC20" t="s">
        <v>77</v>
      </c>
      <c r="CD20">
        <v>20</v>
      </c>
      <c r="CE20" s="1">
        <v>44341</v>
      </c>
      <c r="CF20" s="1">
        <v>44341</v>
      </c>
      <c r="CG20" s="1">
        <v>44341</v>
      </c>
      <c r="CH20" s="1">
        <v>44342</v>
      </c>
      <c r="CI20" t="s">
        <v>51</v>
      </c>
      <c r="CK20" t="s">
        <v>78</v>
      </c>
      <c r="CM20" t="s">
        <v>54</v>
      </c>
      <c r="CN20" t="s">
        <v>79</v>
      </c>
      <c r="CR20">
        <v>0</v>
      </c>
      <c r="CS20">
        <v>0</v>
      </c>
      <c r="CT20">
        <v>0</v>
      </c>
      <c r="CU20">
        <v>0</v>
      </c>
    </row>
    <row r="21" spans="1:99" x14ac:dyDescent="0.2">
      <c r="A21" t="s">
        <v>45</v>
      </c>
      <c r="B21" t="s">
        <v>46</v>
      </c>
      <c r="C21" t="s">
        <v>47</v>
      </c>
      <c r="D21" t="s">
        <v>68</v>
      </c>
      <c r="F21" t="str">
        <f>"1118"</f>
        <v>1118</v>
      </c>
      <c r="G21" t="s">
        <v>49</v>
      </c>
      <c r="H21" t="s">
        <v>74</v>
      </c>
      <c r="K21" t="s">
        <v>51</v>
      </c>
      <c r="L21" t="s">
        <v>52</v>
      </c>
      <c r="M21">
        <v>134949.26999999999</v>
      </c>
      <c r="N21">
        <v>474289.83</v>
      </c>
      <c r="O21" t="s">
        <v>53</v>
      </c>
      <c r="P21" t="s">
        <v>54</v>
      </c>
      <c r="Q21" t="s">
        <v>55</v>
      </c>
      <c r="T21" t="s">
        <v>69</v>
      </c>
      <c r="U21">
        <v>40</v>
      </c>
      <c r="V21" s="1">
        <v>38845</v>
      </c>
      <c r="W21" s="1">
        <v>38845</v>
      </c>
      <c r="X21" s="1">
        <v>38845</v>
      </c>
      <c r="Y21" s="1">
        <v>53455</v>
      </c>
      <c r="Z21" t="s">
        <v>51</v>
      </c>
      <c r="AB21" t="s">
        <v>54</v>
      </c>
      <c r="AC21">
        <v>1</v>
      </c>
      <c r="AE21" t="s">
        <v>76</v>
      </c>
      <c r="AF21">
        <v>20</v>
      </c>
      <c r="AG21" s="1">
        <v>44341</v>
      </c>
      <c r="AH21" s="1">
        <v>44341</v>
      </c>
      <c r="AI21" s="1">
        <v>44341</v>
      </c>
      <c r="AJ21" s="1">
        <v>51646</v>
      </c>
      <c r="AK21" t="s">
        <v>51</v>
      </c>
      <c r="AN21">
        <v>0</v>
      </c>
      <c r="AO21" t="s">
        <v>54</v>
      </c>
      <c r="AP21" t="s">
        <v>53</v>
      </c>
      <c r="AQ21">
        <v>0</v>
      </c>
      <c r="AR21" t="s">
        <v>53</v>
      </c>
      <c r="AS21">
        <v>0</v>
      </c>
      <c r="AT21">
        <v>0</v>
      </c>
      <c r="CC21" t="s">
        <v>77</v>
      </c>
      <c r="CD21">
        <v>20</v>
      </c>
      <c r="CE21" s="1">
        <v>44341</v>
      </c>
      <c r="CF21" s="1">
        <v>44341</v>
      </c>
      <c r="CG21" s="1">
        <v>44341</v>
      </c>
      <c r="CH21" s="1">
        <v>44342</v>
      </c>
      <c r="CI21" t="s">
        <v>51</v>
      </c>
      <c r="CK21" t="s">
        <v>78</v>
      </c>
      <c r="CM21" t="s">
        <v>54</v>
      </c>
      <c r="CN21" t="s">
        <v>79</v>
      </c>
      <c r="CR21">
        <v>0</v>
      </c>
      <c r="CS21">
        <v>0</v>
      </c>
      <c r="CT21">
        <v>0</v>
      </c>
      <c r="CU21">
        <v>0</v>
      </c>
    </row>
    <row r="22" spans="1:99" x14ac:dyDescent="0.2">
      <c r="A22" t="s">
        <v>45</v>
      </c>
      <c r="B22" t="s">
        <v>46</v>
      </c>
      <c r="C22" t="s">
        <v>47</v>
      </c>
      <c r="D22" t="s">
        <v>68</v>
      </c>
      <c r="F22" t="str">
        <f>"1119"</f>
        <v>1119</v>
      </c>
      <c r="G22" t="s">
        <v>49</v>
      </c>
      <c r="H22" t="s">
        <v>80</v>
      </c>
      <c r="K22" t="s">
        <v>51</v>
      </c>
      <c r="L22" t="s">
        <v>52</v>
      </c>
      <c r="M22">
        <v>134944.57999999999</v>
      </c>
      <c r="N22">
        <v>474318.44</v>
      </c>
      <c r="O22" t="s">
        <v>53</v>
      </c>
      <c r="P22" t="s">
        <v>54</v>
      </c>
      <c r="Q22" t="s">
        <v>55</v>
      </c>
      <c r="T22" t="s">
        <v>69</v>
      </c>
      <c r="U22">
        <v>40</v>
      </c>
      <c r="V22" s="1">
        <v>34700</v>
      </c>
      <c r="W22" s="1">
        <v>34700</v>
      </c>
      <c r="X22" s="1">
        <v>34700</v>
      </c>
      <c r="Y22" s="1">
        <v>49310</v>
      </c>
      <c r="Z22" t="s">
        <v>51</v>
      </c>
      <c r="AB22" t="s">
        <v>54</v>
      </c>
      <c r="AC22">
        <v>1</v>
      </c>
      <c r="AE22" t="s">
        <v>76</v>
      </c>
      <c r="AF22">
        <v>20</v>
      </c>
      <c r="AG22" s="1">
        <v>44341</v>
      </c>
      <c r="AH22" s="1">
        <v>44341</v>
      </c>
      <c r="AI22" s="1">
        <v>44341</v>
      </c>
      <c r="AJ22" s="1">
        <v>51646</v>
      </c>
      <c r="AK22" t="s">
        <v>51</v>
      </c>
      <c r="AN22">
        <v>0</v>
      </c>
      <c r="AO22" t="s">
        <v>54</v>
      </c>
      <c r="AP22" t="s">
        <v>53</v>
      </c>
      <c r="AQ22">
        <v>0</v>
      </c>
      <c r="AR22" t="s">
        <v>53</v>
      </c>
      <c r="AS22">
        <v>0</v>
      </c>
      <c r="AT22">
        <v>0</v>
      </c>
      <c r="CC22" t="s">
        <v>77</v>
      </c>
      <c r="CD22">
        <v>20</v>
      </c>
      <c r="CE22" s="1">
        <v>44341</v>
      </c>
      <c r="CF22" s="1">
        <v>44341</v>
      </c>
      <c r="CG22" s="1">
        <v>44341</v>
      </c>
      <c r="CH22" s="1">
        <v>44342</v>
      </c>
      <c r="CI22" t="s">
        <v>51</v>
      </c>
      <c r="CK22" t="s">
        <v>78</v>
      </c>
      <c r="CM22" t="s">
        <v>54</v>
      </c>
      <c r="CN22" t="s">
        <v>79</v>
      </c>
      <c r="CR22">
        <v>0</v>
      </c>
      <c r="CS22">
        <v>0</v>
      </c>
      <c r="CT22">
        <v>0</v>
      </c>
      <c r="CU22">
        <v>0</v>
      </c>
    </row>
    <row r="23" spans="1:99" x14ac:dyDescent="0.2">
      <c r="A23" t="s">
        <v>45</v>
      </c>
      <c r="B23" t="s">
        <v>46</v>
      </c>
      <c r="C23" t="s">
        <v>47</v>
      </c>
      <c r="D23" t="s">
        <v>68</v>
      </c>
      <c r="F23" t="str">
        <f>"1120"</f>
        <v>1120</v>
      </c>
      <c r="G23" t="s">
        <v>49</v>
      </c>
      <c r="H23" t="s">
        <v>80</v>
      </c>
      <c r="K23" t="s">
        <v>51</v>
      </c>
      <c r="L23" t="s">
        <v>52</v>
      </c>
      <c r="M23">
        <v>134945.73000000001</v>
      </c>
      <c r="N23">
        <v>474349.84</v>
      </c>
      <c r="O23" t="s">
        <v>53</v>
      </c>
      <c r="P23" t="s">
        <v>54</v>
      </c>
      <c r="Q23" t="s">
        <v>55</v>
      </c>
      <c r="T23" t="s">
        <v>81</v>
      </c>
      <c r="U23">
        <v>40</v>
      </c>
      <c r="V23" s="1">
        <v>34700</v>
      </c>
      <c r="W23" s="1">
        <v>34700</v>
      </c>
      <c r="X23" s="1">
        <v>34700</v>
      </c>
      <c r="Y23" s="1">
        <v>49310</v>
      </c>
      <c r="Z23" t="s">
        <v>51</v>
      </c>
      <c r="AB23" t="s">
        <v>54</v>
      </c>
      <c r="AC23">
        <v>1</v>
      </c>
      <c r="AE23" t="s">
        <v>76</v>
      </c>
      <c r="AF23">
        <v>20</v>
      </c>
      <c r="AG23" s="1">
        <v>44341</v>
      </c>
      <c r="AH23" s="1">
        <v>44341</v>
      </c>
      <c r="AI23" s="1">
        <v>44341</v>
      </c>
      <c r="AJ23" s="1">
        <v>51646</v>
      </c>
      <c r="AK23" t="s">
        <v>51</v>
      </c>
      <c r="AN23">
        <v>0</v>
      </c>
      <c r="AO23" t="s">
        <v>54</v>
      </c>
      <c r="AP23" t="s">
        <v>53</v>
      </c>
      <c r="AQ23">
        <v>0</v>
      </c>
      <c r="AR23" t="s">
        <v>53</v>
      </c>
      <c r="AS23">
        <v>0</v>
      </c>
      <c r="AT23">
        <v>0</v>
      </c>
      <c r="CC23" t="s">
        <v>77</v>
      </c>
      <c r="CD23">
        <v>20</v>
      </c>
      <c r="CE23" s="1">
        <v>44341</v>
      </c>
      <c r="CF23" s="1">
        <v>44341</v>
      </c>
      <c r="CG23" s="1">
        <v>44341</v>
      </c>
      <c r="CH23" s="1">
        <v>44342</v>
      </c>
      <c r="CI23" t="s">
        <v>51</v>
      </c>
      <c r="CK23" t="s">
        <v>78</v>
      </c>
      <c r="CM23" t="s">
        <v>54</v>
      </c>
      <c r="CN23" t="s">
        <v>79</v>
      </c>
      <c r="CR23">
        <v>0</v>
      </c>
      <c r="CS23">
        <v>0</v>
      </c>
      <c r="CT23">
        <v>0</v>
      </c>
      <c r="CU23">
        <v>0</v>
      </c>
    </row>
    <row r="24" spans="1:99" x14ac:dyDescent="0.2">
      <c r="A24" t="s">
        <v>45</v>
      </c>
      <c r="B24" t="s">
        <v>46</v>
      </c>
      <c r="C24" t="s">
        <v>47</v>
      </c>
      <c r="D24" t="s">
        <v>68</v>
      </c>
      <c r="F24" t="str">
        <f>"1161"</f>
        <v>1161</v>
      </c>
      <c r="G24" t="s">
        <v>49</v>
      </c>
      <c r="I24" t="s">
        <v>82</v>
      </c>
      <c r="K24" t="s">
        <v>51</v>
      </c>
      <c r="L24" t="s">
        <v>52</v>
      </c>
      <c r="M24">
        <v>135333.23000000001</v>
      </c>
      <c r="N24">
        <v>475314.4</v>
      </c>
      <c r="O24" t="s">
        <v>53</v>
      </c>
      <c r="P24" t="s">
        <v>54</v>
      </c>
      <c r="Q24" t="s">
        <v>55</v>
      </c>
      <c r="T24" t="s">
        <v>83</v>
      </c>
      <c r="U24">
        <v>40</v>
      </c>
      <c r="V24" s="1">
        <v>34700</v>
      </c>
      <c r="W24" s="1">
        <v>34700</v>
      </c>
      <c r="X24" s="1">
        <v>34700</v>
      </c>
      <c r="Y24" s="1">
        <v>49310</v>
      </c>
      <c r="Z24" t="s">
        <v>51</v>
      </c>
      <c r="AB24" t="s">
        <v>54</v>
      </c>
      <c r="AC24">
        <v>1</v>
      </c>
      <c r="AE24" t="s">
        <v>84</v>
      </c>
      <c r="AF24">
        <v>20</v>
      </c>
      <c r="AG24" s="1">
        <v>34700</v>
      </c>
      <c r="AH24" s="1">
        <v>34700</v>
      </c>
      <c r="AI24" s="1">
        <v>34700</v>
      </c>
      <c r="AJ24" s="1">
        <v>42005</v>
      </c>
      <c r="AK24" t="s">
        <v>51</v>
      </c>
      <c r="AN24">
        <v>0</v>
      </c>
      <c r="AO24" t="s">
        <v>54</v>
      </c>
      <c r="AP24" t="s">
        <v>53</v>
      </c>
      <c r="AQ24">
        <v>0</v>
      </c>
      <c r="AR24" t="s">
        <v>53</v>
      </c>
      <c r="AS24">
        <v>0</v>
      </c>
      <c r="AT24">
        <v>0</v>
      </c>
      <c r="BK24" t="s">
        <v>85</v>
      </c>
      <c r="BL24">
        <v>50000</v>
      </c>
      <c r="BM24" s="1">
        <v>44341</v>
      </c>
      <c r="BN24" s="1">
        <v>44341</v>
      </c>
      <c r="BO24" s="1">
        <v>44341</v>
      </c>
      <c r="BP24" s="1">
        <v>48573</v>
      </c>
      <c r="BQ24" t="s">
        <v>51</v>
      </c>
      <c r="BS24" t="s">
        <v>60</v>
      </c>
      <c r="BT24" t="s">
        <v>54</v>
      </c>
      <c r="BU24" t="s">
        <v>61</v>
      </c>
      <c r="BV24" t="s">
        <v>86</v>
      </c>
      <c r="BX24">
        <v>13</v>
      </c>
      <c r="BY24">
        <v>1430</v>
      </c>
      <c r="BZ24">
        <v>0</v>
      </c>
    </row>
    <row r="25" spans="1:99" x14ac:dyDescent="0.2">
      <c r="A25" t="s">
        <v>45</v>
      </c>
      <c r="B25" t="s">
        <v>46</v>
      </c>
      <c r="C25" t="s">
        <v>47</v>
      </c>
      <c r="D25" t="s">
        <v>87</v>
      </c>
      <c r="F25" t="str">
        <f>"1260"</f>
        <v>1260</v>
      </c>
      <c r="G25" t="s">
        <v>49</v>
      </c>
      <c r="H25" t="s">
        <v>88</v>
      </c>
      <c r="K25" t="s">
        <v>51</v>
      </c>
      <c r="L25" t="s">
        <v>52</v>
      </c>
      <c r="M25">
        <v>135546.20000000001</v>
      </c>
      <c r="N25">
        <v>475390.89</v>
      </c>
      <c r="O25" t="s">
        <v>53</v>
      </c>
      <c r="P25" t="s">
        <v>54</v>
      </c>
      <c r="Q25" t="s">
        <v>55</v>
      </c>
      <c r="T25" t="s">
        <v>89</v>
      </c>
      <c r="U25">
        <v>40</v>
      </c>
      <c r="V25" s="1">
        <v>35431</v>
      </c>
      <c r="W25" s="1">
        <v>35431</v>
      </c>
      <c r="X25" s="1">
        <v>35431</v>
      </c>
      <c r="Y25" s="1">
        <v>50041</v>
      </c>
      <c r="Z25" t="s">
        <v>51</v>
      </c>
      <c r="AB25" t="s">
        <v>54</v>
      </c>
      <c r="AC25">
        <v>1</v>
      </c>
      <c r="AE25" t="s">
        <v>84</v>
      </c>
      <c r="AF25">
        <v>20</v>
      </c>
      <c r="AG25" s="1">
        <v>35431</v>
      </c>
      <c r="AH25" s="1">
        <v>35431</v>
      </c>
      <c r="AI25" s="1">
        <v>35431</v>
      </c>
      <c r="AJ25" s="1">
        <v>42736</v>
      </c>
      <c r="AK25" t="s">
        <v>51</v>
      </c>
      <c r="AN25">
        <v>0</v>
      </c>
      <c r="AO25" t="s">
        <v>54</v>
      </c>
      <c r="AP25" t="s">
        <v>53</v>
      </c>
      <c r="AQ25">
        <v>0</v>
      </c>
      <c r="AR25" t="s">
        <v>53</v>
      </c>
      <c r="AS25">
        <v>0</v>
      </c>
      <c r="AT25">
        <v>0</v>
      </c>
      <c r="AW25" t="s">
        <v>58</v>
      </c>
      <c r="AX25">
        <v>20</v>
      </c>
      <c r="AY25" s="1">
        <v>35431</v>
      </c>
      <c r="AZ25" s="1">
        <v>35431</v>
      </c>
      <c r="BA25" s="1">
        <v>35431</v>
      </c>
      <c r="BB25" s="1">
        <v>42736</v>
      </c>
      <c r="BC25" t="s">
        <v>51</v>
      </c>
      <c r="BE25" t="s">
        <v>54</v>
      </c>
      <c r="BF25">
        <v>2</v>
      </c>
      <c r="BG25">
        <v>0</v>
      </c>
      <c r="BH25" t="s">
        <v>53</v>
      </c>
      <c r="BK25" t="s">
        <v>59</v>
      </c>
      <c r="BL25">
        <v>14000</v>
      </c>
      <c r="BM25" s="1">
        <v>44327</v>
      </c>
      <c r="BN25" s="1">
        <v>44327</v>
      </c>
      <c r="BO25" s="1">
        <v>44327</v>
      </c>
      <c r="BP25" s="1">
        <v>45547</v>
      </c>
      <c r="BQ25" t="s">
        <v>51</v>
      </c>
      <c r="BS25" t="s">
        <v>60</v>
      </c>
      <c r="BT25" t="s">
        <v>54</v>
      </c>
      <c r="BU25" t="s">
        <v>61</v>
      </c>
      <c r="BV25" t="s">
        <v>62</v>
      </c>
      <c r="BX25">
        <v>24</v>
      </c>
      <c r="BY25">
        <v>0</v>
      </c>
      <c r="BZ25">
        <v>0</v>
      </c>
    </row>
    <row r="26" spans="1:99" x14ac:dyDescent="0.2">
      <c r="A26" t="s">
        <v>45</v>
      </c>
      <c r="B26" t="s">
        <v>46</v>
      </c>
      <c r="C26" t="s">
        <v>90</v>
      </c>
      <c r="D26" t="s">
        <v>87</v>
      </c>
      <c r="F26" t="str">
        <f>"1261"</f>
        <v>1261</v>
      </c>
      <c r="G26" t="s">
        <v>49</v>
      </c>
      <c r="H26" t="s">
        <v>88</v>
      </c>
      <c r="K26" t="s">
        <v>51</v>
      </c>
      <c r="L26" t="s">
        <v>52</v>
      </c>
      <c r="M26">
        <v>135574.01</v>
      </c>
      <c r="N26">
        <v>475381.14</v>
      </c>
      <c r="O26" t="s">
        <v>53</v>
      </c>
      <c r="P26" t="s">
        <v>54</v>
      </c>
      <c r="Q26" t="s">
        <v>55</v>
      </c>
      <c r="T26" t="s">
        <v>89</v>
      </c>
      <c r="U26">
        <v>40</v>
      </c>
      <c r="V26" s="1">
        <v>35431</v>
      </c>
      <c r="W26" s="1">
        <v>35431</v>
      </c>
      <c r="X26" s="1">
        <v>35431</v>
      </c>
      <c r="Y26" s="1">
        <v>50041</v>
      </c>
      <c r="Z26" t="s">
        <v>51</v>
      </c>
      <c r="AB26" t="s">
        <v>54</v>
      </c>
      <c r="AC26">
        <v>1</v>
      </c>
      <c r="AE26" t="s">
        <v>91</v>
      </c>
      <c r="AF26">
        <v>20</v>
      </c>
      <c r="AG26" s="1">
        <v>38049</v>
      </c>
      <c r="AH26" s="1">
        <v>38049</v>
      </c>
      <c r="AI26" s="1">
        <v>38049</v>
      </c>
      <c r="AJ26" s="1">
        <v>45354</v>
      </c>
      <c r="AK26" t="s">
        <v>51</v>
      </c>
      <c r="AN26">
        <v>0</v>
      </c>
      <c r="AO26" t="s">
        <v>54</v>
      </c>
      <c r="AP26" t="s">
        <v>53</v>
      </c>
      <c r="AQ26">
        <v>0</v>
      </c>
      <c r="AR26" t="s">
        <v>53</v>
      </c>
      <c r="AS26">
        <v>0</v>
      </c>
      <c r="AT26">
        <v>0</v>
      </c>
      <c r="AW26" t="s">
        <v>58</v>
      </c>
      <c r="AX26">
        <v>20</v>
      </c>
      <c r="AY26" s="1">
        <v>38049</v>
      </c>
      <c r="AZ26" s="1">
        <v>38049</v>
      </c>
      <c r="BA26" s="1">
        <v>38049</v>
      </c>
      <c r="BB26" s="1">
        <v>45354</v>
      </c>
      <c r="BC26" t="s">
        <v>51</v>
      </c>
      <c r="BE26" t="s">
        <v>54</v>
      </c>
      <c r="BF26">
        <v>2</v>
      </c>
      <c r="BG26">
        <v>0</v>
      </c>
      <c r="BH26" t="s">
        <v>53</v>
      </c>
      <c r="BK26" t="s">
        <v>92</v>
      </c>
      <c r="BL26">
        <v>14000</v>
      </c>
      <c r="BM26" s="1">
        <v>44327</v>
      </c>
      <c r="BN26" s="1">
        <v>44327</v>
      </c>
      <c r="BO26" s="1">
        <v>44327</v>
      </c>
      <c r="BP26" s="1">
        <v>45547</v>
      </c>
      <c r="BQ26" t="s">
        <v>51</v>
      </c>
      <c r="BS26" t="s">
        <v>60</v>
      </c>
      <c r="BT26" t="s">
        <v>54</v>
      </c>
      <c r="BU26" t="s">
        <v>61</v>
      </c>
      <c r="BV26" t="s">
        <v>62</v>
      </c>
      <c r="BX26">
        <v>55</v>
      </c>
      <c r="BY26">
        <v>0</v>
      </c>
      <c r="BZ26">
        <v>0</v>
      </c>
    </row>
    <row r="27" spans="1:99" x14ac:dyDescent="0.2">
      <c r="A27" t="s">
        <v>45</v>
      </c>
      <c r="B27" t="s">
        <v>46</v>
      </c>
      <c r="C27" t="s">
        <v>47</v>
      </c>
      <c r="D27" t="s">
        <v>87</v>
      </c>
      <c r="F27" t="str">
        <f>"1262"</f>
        <v>1262</v>
      </c>
      <c r="G27" t="s">
        <v>49</v>
      </c>
      <c r="H27" t="s">
        <v>88</v>
      </c>
      <c r="K27" t="s">
        <v>51</v>
      </c>
      <c r="L27" t="s">
        <v>52</v>
      </c>
      <c r="M27">
        <v>135597.57999999999</v>
      </c>
      <c r="N27">
        <v>475364.07</v>
      </c>
      <c r="O27" t="s">
        <v>53</v>
      </c>
      <c r="P27" t="s">
        <v>54</v>
      </c>
      <c r="Q27" t="s">
        <v>55</v>
      </c>
      <c r="T27" t="s">
        <v>89</v>
      </c>
      <c r="U27">
        <v>40</v>
      </c>
      <c r="V27" s="1">
        <v>35431</v>
      </c>
      <c r="W27" s="1">
        <v>35431</v>
      </c>
      <c r="X27" s="1">
        <v>35431</v>
      </c>
      <c r="Y27" s="1">
        <v>50041</v>
      </c>
      <c r="Z27" t="s">
        <v>51</v>
      </c>
      <c r="AB27" t="s">
        <v>54</v>
      </c>
      <c r="AC27">
        <v>1</v>
      </c>
      <c r="AE27" t="s">
        <v>84</v>
      </c>
      <c r="AF27">
        <v>20</v>
      </c>
      <c r="AG27" s="1">
        <v>35431</v>
      </c>
      <c r="AH27" s="1">
        <v>35431</v>
      </c>
      <c r="AI27" s="1">
        <v>35431</v>
      </c>
      <c r="AJ27" s="1">
        <v>42736</v>
      </c>
      <c r="AK27" t="s">
        <v>51</v>
      </c>
      <c r="AN27">
        <v>0</v>
      </c>
      <c r="AO27" t="s">
        <v>54</v>
      </c>
      <c r="AP27" t="s">
        <v>53</v>
      </c>
      <c r="AQ27">
        <v>0</v>
      </c>
      <c r="AR27" t="s">
        <v>53</v>
      </c>
      <c r="AS27">
        <v>0</v>
      </c>
      <c r="AT27">
        <v>0</v>
      </c>
      <c r="AW27" t="s">
        <v>58</v>
      </c>
      <c r="AX27">
        <v>20</v>
      </c>
      <c r="AY27" s="1">
        <v>35431</v>
      </c>
      <c r="AZ27" s="1">
        <v>35431</v>
      </c>
      <c r="BA27" s="1">
        <v>35431</v>
      </c>
      <c r="BB27" s="1">
        <v>42736</v>
      </c>
      <c r="BC27" t="s">
        <v>51</v>
      </c>
      <c r="BE27" t="s">
        <v>54</v>
      </c>
      <c r="BF27">
        <v>2</v>
      </c>
      <c r="BG27">
        <v>0</v>
      </c>
      <c r="BH27" t="s">
        <v>53</v>
      </c>
      <c r="BK27" t="s">
        <v>59</v>
      </c>
      <c r="BL27">
        <v>14000</v>
      </c>
      <c r="BM27" s="1">
        <v>44327</v>
      </c>
      <c r="BN27" s="1">
        <v>44327</v>
      </c>
      <c r="BO27" s="1">
        <v>44327</v>
      </c>
      <c r="BP27" s="1">
        <v>45547</v>
      </c>
      <c r="BQ27" t="s">
        <v>51</v>
      </c>
      <c r="BS27" t="s">
        <v>60</v>
      </c>
      <c r="BT27" t="s">
        <v>54</v>
      </c>
      <c r="BU27" t="s">
        <v>61</v>
      </c>
      <c r="BV27" t="s">
        <v>62</v>
      </c>
      <c r="BX27">
        <v>24</v>
      </c>
      <c r="BY27">
        <v>0</v>
      </c>
      <c r="BZ27">
        <v>0</v>
      </c>
    </row>
    <row r="28" spans="1:99" x14ac:dyDescent="0.2">
      <c r="A28" t="s">
        <v>45</v>
      </c>
      <c r="B28" t="s">
        <v>46</v>
      </c>
      <c r="C28" t="s">
        <v>90</v>
      </c>
      <c r="D28" t="s">
        <v>87</v>
      </c>
      <c r="F28" t="str">
        <f>"1263"</f>
        <v>1263</v>
      </c>
      <c r="G28" t="s">
        <v>49</v>
      </c>
      <c r="H28" t="s">
        <v>88</v>
      </c>
      <c r="K28" t="s">
        <v>51</v>
      </c>
      <c r="L28" t="s">
        <v>52</v>
      </c>
      <c r="M28">
        <v>135626</v>
      </c>
      <c r="N28">
        <v>475354.11</v>
      </c>
      <c r="O28" t="s">
        <v>53</v>
      </c>
      <c r="P28" t="s">
        <v>54</v>
      </c>
      <c r="Q28" t="s">
        <v>55</v>
      </c>
      <c r="T28" t="s">
        <v>89</v>
      </c>
      <c r="U28">
        <v>40</v>
      </c>
      <c r="V28" s="1">
        <v>35431</v>
      </c>
      <c r="W28" s="1">
        <v>35431</v>
      </c>
      <c r="X28" s="1">
        <v>35431</v>
      </c>
      <c r="Y28" s="1">
        <v>50041</v>
      </c>
      <c r="Z28" t="s">
        <v>51</v>
      </c>
      <c r="AB28" t="s">
        <v>54</v>
      </c>
      <c r="AC28">
        <v>1</v>
      </c>
      <c r="AE28" t="s">
        <v>84</v>
      </c>
      <c r="AF28">
        <v>20</v>
      </c>
      <c r="AG28" s="1">
        <v>35431</v>
      </c>
      <c r="AH28" s="1">
        <v>35431</v>
      </c>
      <c r="AI28" s="1">
        <v>35431</v>
      </c>
      <c r="AJ28" s="1">
        <v>42736</v>
      </c>
      <c r="AK28" t="s">
        <v>51</v>
      </c>
      <c r="AN28">
        <v>0</v>
      </c>
      <c r="AO28" t="s">
        <v>54</v>
      </c>
      <c r="AP28" t="s">
        <v>53</v>
      </c>
      <c r="AQ28">
        <v>0</v>
      </c>
      <c r="AR28" t="s">
        <v>53</v>
      </c>
      <c r="AS28">
        <v>0</v>
      </c>
      <c r="AT28">
        <v>0</v>
      </c>
      <c r="AW28" t="s">
        <v>58</v>
      </c>
      <c r="AX28">
        <v>20</v>
      </c>
      <c r="AY28" s="1">
        <v>35431</v>
      </c>
      <c r="AZ28" s="1">
        <v>35431</v>
      </c>
      <c r="BA28" s="1">
        <v>35431</v>
      </c>
      <c r="BB28" s="1">
        <v>42736</v>
      </c>
      <c r="BC28" t="s">
        <v>51</v>
      </c>
      <c r="BE28" t="s">
        <v>54</v>
      </c>
      <c r="BF28">
        <v>2</v>
      </c>
      <c r="BG28">
        <v>0</v>
      </c>
      <c r="BH28" t="s">
        <v>53</v>
      </c>
      <c r="BK28" t="s">
        <v>59</v>
      </c>
      <c r="BL28">
        <v>14000</v>
      </c>
      <c r="BM28" s="1">
        <v>44327</v>
      </c>
      <c r="BN28" s="1">
        <v>44327</v>
      </c>
      <c r="BO28" s="1">
        <v>44327</v>
      </c>
      <c r="BP28" s="1">
        <v>45547</v>
      </c>
      <c r="BQ28" t="s">
        <v>51</v>
      </c>
      <c r="BS28" t="s">
        <v>60</v>
      </c>
      <c r="BT28" t="s">
        <v>54</v>
      </c>
      <c r="BU28" t="s">
        <v>61</v>
      </c>
      <c r="BV28" t="s">
        <v>62</v>
      </c>
      <c r="BX28">
        <v>24</v>
      </c>
      <c r="BY28">
        <v>0</v>
      </c>
      <c r="BZ28">
        <v>0</v>
      </c>
    </row>
    <row r="29" spans="1:99" x14ac:dyDescent="0.2">
      <c r="A29" t="s">
        <v>45</v>
      </c>
      <c r="B29" t="s">
        <v>46</v>
      </c>
      <c r="C29" t="s">
        <v>47</v>
      </c>
      <c r="D29" t="s">
        <v>87</v>
      </c>
      <c r="F29" t="str">
        <f>"1264"</f>
        <v>1264</v>
      </c>
      <c r="G29" t="s">
        <v>49</v>
      </c>
      <c r="H29" t="s">
        <v>88</v>
      </c>
      <c r="K29" t="s">
        <v>51</v>
      </c>
      <c r="L29" t="s">
        <v>52</v>
      </c>
      <c r="M29">
        <v>135649.70000000001</v>
      </c>
      <c r="N29">
        <v>475336.94</v>
      </c>
      <c r="O29" t="s">
        <v>53</v>
      </c>
      <c r="P29" t="s">
        <v>54</v>
      </c>
      <c r="Q29" t="s">
        <v>55</v>
      </c>
      <c r="T29" t="s">
        <v>89</v>
      </c>
      <c r="U29">
        <v>40</v>
      </c>
      <c r="V29" s="1">
        <v>35431</v>
      </c>
      <c r="W29" s="1">
        <v>35431</v>
      </c>
      <c r="X29" s="1">
        <v>35431</v>
      </c>
      <c r="Y29" s="1">
        <v>50041</v>
      </c>
      <c r="Z29" t="s">
        <v>51</v>
      </c>
      <c r="AB29" t="s">
        <v>54</v>
      </c>
      <c r="AC29">
        <v>1</v>
      </c>
      <c r="AE29" t="s">
        <v>84</v>
      </c>
      <c r="AF29">
        <v>20</v>
      </c>
      <c r="AG29" s="1">
        <v>35431</v>
      </c>
      <c r="AH29" s="1">
        <v>35431</v>
      </c>
      <c r="AI29" s="1">
        <v>35431</v>
      </c>
      <c r="AJ29" s="1">
        <v>42736</v>
      </c>
      <c r="AK29" t="s">
        <v>51</v>
      </c>
      <c r="AN29">
        <v>0</v>
      </c>
      <c r="AO29" t="s">
        <v>54</v>
      </c>
      <c r="AP29" t="s">
        <v>53</v>
      </c>
      <c r="AQ29">
        <v>0</v>
      </c>
      <c r="AR29" t="s">
        <v>53</v>
      </c>
      <c r="AS29">
        <v>0</v>
      </c>
      <c r="AT29">
        <v>0</v>
      </c>
      <c r="AW29" t="s">
        <v>58</v>
      </c>
      <c r="AX29">
        <v>20</v>
      </c>
      <c r="AY29" s="1">
        <v>44102</v>
      </c>
      <c r="AZ29" s="1">
        <v>44102</v>
      </c>
      <c r="BA29" s="1">
        <v>44102</v>
      </c>
      <c r="BB29" s="1">
        <v>51407</v>
      </c>
      <c r="BC29" t="s">
        <v>51</v>
      </c>
      <c r="BE29" t="s">
        <v>54</v>
      </c>
      <c r="BF29">
        <v>2</v>
      </c>
      <c r="BG29">
        <v>0</v>
      </c>
      <c r="BH29" t="s">
        <v>53</v>
      </c>
      <c r="BK29" t="s">
        <v>59</v>
      </c>
      <c r="BL29">
        <v>14000</v>
      </c>
      <c r="BM29" s="1">
        <v>44327</v>
      </c>
      <c r="BN29" s="1">
        <v>44327</v>
      </c>
      <c r="BO29" s="1">
        <v>44327</v>
      </c>
      <c r="BP29" s="1">
        <v>45547</v>
      </c>
      <c r="BQ29" t="s">
        <v>51</v>
      </c>
      <c r="BS29" t="s">
        <v>60</v>
      </c>
      <c r="BT29" t="s">
        <v>54</v>
      </c>
      <c r="BU29" t="s">
        <v>61</v>
      </c>
      <c r="BV29" t="s">
        <v>62</v>
      </c>
      <c r="BX29">
        <v>24</v>
      </c>
      <c r="BY29">
        <v>0</v>
      </c>
      <c r="BZ29">
        <v>0</v>
      </c>
    </row>
    <row r="30" spans="1:99" x14ac:dyDescent="0.2">
      <c r="A30" t="s">
        <v>45</v>
      </c>
      <c r="B30" t="s">
        <v>46</v>
      </c>
      <c r="C30" t="s">
        <v>90</v>
      </c>
      <c r="D30" t="s">
        <v>87</v>
      </c>
      <c r="F30" t="str">
        <f>"1265"</f>
        <v>1265</v>
      </c>
      <c r="G30" t="s">
        <v>49</v>
      </c>
      <c r="H30" t="s">
        <v>88</v>
      </c>
      <c r="K30" t="s">
        <v>51</v>
      </c>
      <c r="L30" t="s">
        <v>52</v>
      </c>
      <c r="M30">
        <v>135677.46</v>
      </c>
      <c r="N30">
        <v>475327.61</v>
      </c>
      <c r="O30" t="s">
        <v>53</v>
      </c>
      <c r="P30" t="s">
        <v>54</v>
      </c>
      <c r="Q30" t="s">
        <v>55</v>
      </c>
      <c r="T30" t="s">
        <v>89</v>
      </c>
      <c r="U30">
        <v>40</v>
      </c>
      <c r="V30" s="1">
        <v>35431</v>
      </c>
      <c r="W30" s="1">
        <v>35431</v>
      </c>
      <c r="X30" s="1">
        <v>35431</v>
      </c>
      <c r="Y30" s="1">
        <v>50041</v>
      </c>
      <c r="Z30" t="s">
        <v>51</v>
      </c>
      <c r="AB30" t="s">
        <v>54</v>
      </c>
      <c r="AC30">
        <v>1</v>
      </c>
      <c r="AE30" t="s">
        <v>84</v>
      </c>
      <c r="AF30">
        <v>20</v>
      </c>
      <c r="AG30" s="1">
        <v>35431</v>
      </c>
      <c r="AH30" s="1">
        <v>35431</v>
      </c>
      <c r="AI30" s="1">
        <v>35431</v>
      </c>
      <c r="AJ30" s="1">
        <v>42736</v>
      </c>
      <c r="AK30" t="s">
        <v>51</v>
      </c>
      <c r="AN30">
        <v>0</v>
      </c>
      <c r="AO30" t="s">
        <v>54</v>
      </c>
      <c r="AP30" t="s">
        <v>53</v>
      </c>
      <c r="AQ30">
        <v>0</v>
      </c>
      <c r="AR30" t="s">
        <v>53</v>
      </c>
      <c r="AS30">
        <v>0</v>
      </c>
      <c r="AT30">
        <v>0</v>
      </c>
      <c r="AW30" t="s">
        <v>58</v>
      </c>
      <c r="AX30">
        <v>20</v>
      </c>
      <c r="AY30" s="1">
        <v>43353</v>
      </c>
      <c r="AZ30" s="1">
        <v>43353</v>
      </c>
      <c r="BA30" s="1">
        <v>43353</v>
      </c>
      <c r="BB30" s="1">
        <v>50658</v>
      </c>
      <c r="BC30" t="s">
        <v>51</v>
      </c>
      <c r="BE30" t="s">
        <v>54</v>
      </c>
      <c r="BF30">
        <v>2</v>
      </c>
      <c r="BG30">
        <v>0</v>
      </c>
      <c r="BH30" t="s">
        <v>53</v>
      </c>
      <c r="BK30" t="s">
        <v>59</v>
      </c>
      <c r="BL30">
        <v>14000</v>
      </c>
      <c r="BM30" s="1">
        <v>44327</v>
      </c>
      <c r="BN30" s="1">
        <v>44327</v>
      </c>
      <c r="BO30" s="1">
        <v>44327</v>
      </c>
      <c r="BP30" s="1">
        <v>45547</v>
      </c>
      <c r="BQ30" t="s">
        <v>51</v>
      </c>
      <c r="BS30" t="s">
        <v>60</v>
      </c>
      <c r="BT30" t="s">
        <v>54</v>
      </c>
      <c r="BU30" t="s">
        <v>61</v>
      </c>
      <c r="BV30" t="s">
        <v>62</v>
      </c>
      <c r="BX30">
        <v>24</v>
      </c>
      <c r="BY30">
        <v>0</v>
      </c>
      <c r="BZ30">
        <v>0</v>
      </c>
    </row>
    <row r="31" spans="1:99" x14ac:dyDescent="0.2">
      <c r="A31" t="s">
        <v>45</v>
      </c>
      <c r="B31" t="s">
        <v>46</v>
      </c>
      <c r="C31" t="s">
        <v>47</v>
      </c>
      <c r="D31" t="s">
        <v>87</v>
      </c>
      <c r="F31" t="str">
        <f>"1266"</f>
        <v>1266</v>
      </c>
      <c r="G31" t="s">
        <v>49</v>
      </c>
      <c r="H31" t="s">
        <v>88</v>
      </c>
      <c r="K31" t="s">
        <v>51</v>
      </c>
      <c r="L31" t="s">
        <v>52</v>
      </c>
      <c r="M31">
        <v>135701.22</v>
      </c>
      <c r="N31">
        <v>475310.04</v>
      </c>
      <c r="O31" t="s">
        <v>53</v>
      </c>
      <c r="P31" t="s">
        <v>54</v>
      </c>
      <c r="Q31" t="s">
        <v>55</v>
      </c>
      <c r="T31" t="s">
        <v>89</v>
      </c>
      <c r="U31">
        <v>40</v>
      </c>
      <c r="V31" s="1">
        <v>35431</v>
      </c>
      <c r="W31" s="1">
        <v>35431</v>
      </c>
      <c r="X31" s="1">
        <v>35431</v>
      </c>
      <c r="Y31" s="1">
        <v>50041</v>
      </c>
      <c r="Z31" t="s">
        <v>51</v>
      </c>
      <c r="AB31" t="s">
        <v>54</v>
      </c>
      <c r="AC31">
        <v>1</v>
      </c>
      <c r="AE31" t="s">
        <v>84</v>
      </c>
      <c r="AF31">
        <v>20</v>
      </c>
      <c r="AG31" s="1">
        <v>35431</v>
      </c>
      <c r="AH31" s="1">
        <v>35431</v>
      </c>
      <c r="AI31" s="1">
        <v>35431</v>
      </c>
      <c r="AJ31" s="1">
        <v>42736</v>
      </c>
      <c r="AK31" t="s">
        <v>51</v>
      </c>
      <c r="AN31">
        <v>0</v>
      </c>
      <c r="AO31" t="s">
        <v>54</v>
      </c>
      <c r="AP31" t="s">
        <v>53</v>
      </c>
      <c r="AQ31">
        <v>0</v>
      </c>
      <c r="AR31" t="s">
        <v>53</v>
      </c>
      <c r="AS31">
        <v>0</v>
      </c>
      <c r="AT31">
        <v>0</v>
      </c>
      <c r="AW31" t="s">
        <v>58</v>
      </c>
      <c r="AX31">
        <v>20</v>
      </c>
      <c r="AY31" s="1">
        <v>35431</v>
      </c>
      <c r="AZ31" s="1">
        <v>35431</v>
      </c>
      <c r="BA31" s="1">
        <v>35431</v>
      </c>
      <c r="BB31" s="1">
        <v>42736</v>
      </c>
      <c r="BC31" t="s">
        <v>51</v>
      </c>
      <c r="BE31" t="s">
        <v>54</v>
      </c>
      <c r="BF31">
        <v>2</v>
      </c>
      <c r="BG31">
        <v>0</v>
      </c>
      <c r="BH31" t="s">
        <v>53</v>
      </c>
      <c r="BK31" t="s">
        <v>59</v>
      </c>
      <c r="BL31">
        <v>14000</v>
      </c>
      <c r="BM31" s="1">
        <v>44327</v>
      </c>
      <c r="BN31" s="1">
        <v>44327</v>
      </c>
      <c r="BO31" s="1">
        <v>44327</v>
      </c>
      <c r="BP31" s="1">
        <v>45547</v>
      </c>
      <c r="BQ31" t="s">
        <v>51</v>
      </c>
      <c r="BS31" t="s">
        <v>60</v>
      </c>
      <c r="BT31" t="s">
        <v>54</v>
      </c>
      <c r="BU31" t="s">
        <v>61</v>
      </c>
      <c r="BV31" t="s">
        <v>62</v>
      </c>
      <c r="BX31">
        <v>24</v>
      </c>
      <c r="BY31">
        <v>0</v>
      </c>
      <c r="BZ31">
        <v>0</v>
      </c>
    </row>
    <row r="32" spans="1:99" x14ac:dyDescent="0.2">
      <c r="A32" t="s">
        <v>45</v>
      </c>
      <c r="B32" t="s">
        <v>46</v>
      </c>
      <c r="C32" t="s">
        <v>90</v>
      </c>
      <c r="D32" t="s">
        <v>87</v>
      </c>
      <c r="F32" t="str">
        <f>"1267"</f>
        <v>1267</v>
      </c>
      <c r="G32" t="s">
        <v>49</v>
      </c>
      <c r="H32" t="s">
        <v>88</v>
      </c>
      <c r="K32" t="s">
        <v>51</v>
      </c>
      <c r="L32" t="s">
        <v>52</v>
      </c>
      <c r="M32">
        <v>135727.64000000001</v>
      </c>
      <c r="N32">
        <v>475300.97</v>
      </c>
      <c r="O32" t="s">
        <v>53</v>
      </c>
      <c r="P32" t="s">
        <v>54</v>
      </c>
      <c r="Q32" t="s">
        <v>55</v>
      </c>
      <c r="T32" t="s">
        <v>89</v>
      </c>
      <c r="U32">
        <v>40</v>
      </c>
      <c r="V32" s="1">
        <v>35431</v>
      </c>
      <c r="W32" s="1">
        <v>35431</v>
      </c>
      <c r="X32" s="1">
        <v>35431</v>
      </c>
      <c r="Y32" s="1">
        <v>50041</v>
      </c>
      <c r="Z32" t="s">
        <v>51</v>
      </c>
      <c r="AB32" t="s">
        <v>54</v>
      </c>
      <c r="AC32">
        <v>1</v>
      </c>
      <c r="AE32" t="s">
        <v>84</v>
      </c>
      <c r="AF32">
        <v>20</v>
      </c>
      <c r="AG32" s="1">
        <v>35431</v>
      </c>
      <c r="AH32" s="1">
        <v>35431</v>
      </c>
      <c r="AI32" s="1">
        <v>35431</v>
      </c>
      <c r="AJ32" s="1">
        <v>42736</v>
      </c>
      <c r="AK32" t="s">
        <v>51</v>
      </c>
      <c r="AN32">
        <v>0</v>
      </c>
      <c r="AO32" t="s">
        <v>54</v>
      </c>
      <c r="AP32" t="s">
        <v>53</v>
      </c>
      <c r="AQ32">
        <v>0</v>
      </c>
      <c r="AR32" t="s">
        <v>53</v>
      </c>
      <c r="AS32">
        <v>0</v>
      </c>
      <c r="AT32">
        <v>0</v>
      </c>
      <c r="AW32" t="s">
        <v>58</v>
      </c>
      <c r="AX32">
        <v>20</v>
      </c>
      <c r="AY32" s="1">
        <v>35431</v>
      </c>
      <c r="AZ32" s="1">
        <v>35431</v>
      </c>
      <c r="BA32" s="1">
        <v>35431</v>
      </c>
      <c r="BB32" s="1">
        <v>42736</v>
      </c>
      <c r="BC32" t="s">
        <v>51</v>
      </c>
      <c r="BE32" t="s">
        <v>54</v>
      </c>
      <c r="BF32">
        <v>2</v>
      </c>
      <c r="BG32">
        <v>0</v>
      </c>
      <c r="BH32" t="s">
        <v>53</v>
      </c>
      <c r="BK32" t="s">
        <v>59</v>
      </c>
      <c r="BL32">
        <v>14000</v>
      </c>
      <c r="BM32" s="1">
        <v>44327</v>
      </c>
      <c r="BN32" s="1">
        <v>44327</v>
      </c>
      <c r="BO32" s="1">
        <v>44327</v>
      </c>
      <c r="BP32" s="1">
        <v>45547</v>
      </c>
      <c r="BQ32" t="s">
        <v>51</v>
      </c>
      <c r="BS32" t="s">
        <v>60</v>
      </c>
      <c r="BT32" t="s">
        <v>54</v>
      </c>
      <c r="BU32" t="s">
        <v>61</v>
      </c>
      <c r="BV32" t="s">
        <v>62</v>
      </c>
      <c r="BX32">
        <v>24</v>
      </c>
      <c r="BY32">
        <v>0</v>
      </c>
      <c r="BZ32">
        <v>0</v>
      </c>
    </row>
    <row r="33" spans="1:78" x14ac:dyDescent="0.2">
      <c r="A33" t="s">
        <v>45</v>
      </c>
      <c r="B33" t="s">
        <v>46</v>
      </c>
      <c r="C33" t="s">
        <v>47</v>
      </c>
      <c r="D33" t="s">
        <v>87</v>
      </c>
      <c r="F33" t="str">
        <f>"1268"</f>
        <v>1268</v>
      </c>
      <c r="G33" t="s">
        <v>49</v>
      </c>
      <c r="H33" t="s">
        <v>93</v>
      </c>
      <c r="K33" t="s">
        <v>51</v>
      </c>
      <c r="L33" t="s">
        <v>52</v>
      </c>
      <c r="M33">
        <v>135757.07999999999</v>
      </c>
      <c r="N33">
        <v>475285.56</v>
      </c>
      <c r="O33" t="s">
        <v>53</v>
      </c>
      <c r="P33" t="s">
        <v>54</v>
      </c>
      <c r="Q33" t="s">
        <v>55</v>
      </c>
      <c r="T33" t="s">
        <v>89</v>
      </c>
      <c r="U33">
        <v>40</v>
      </c>
      <c r="V33" s="1">
        <v>35431</v>
      </c>
      <c r="W33" s="1">
        <v>35431</v>
      </c>
      <c r="X33" s="1">
        <v>35431</v>
      </c>
      <c r="Y33" s="1">
        <v>50041</v>
      </c>
      <c r="Z33" t="s">
        <v>51</v>
      </c>
      <c r="AB33" t="s">
        <v>54</v>
      </c>
      <c r="AC33">
        <v>1</v>
      </c>
      <c r="AE33" t="s">
        <v>84</v>
      </c>
      <c r="AF33">
        <v>20</v>
      </c>
      <c r="AG33" s="1">
        <v>35431</v>
      </c>
      <c r="AH33" s="1">
        <v>35431</v>
      </c>
      <c r="AI33" s="1">
        <v>35431</v>
      </c>
      <c r="AJ33" s="1">
        <v>42736</v>
      </c>
      <c r="AK33" t="s">
        <v>51</v>
      </c>
      <c r="AN33">
        <v>0</v>
      </c>
      <c r="AO33" t="s">
        <v>54</v>
      </c>
      <c r="AP33" t="s">
        <v>53</v>
      </c>
      <c r="AQ33">
        <v>0</v>
      </c>
      <c r="AR33" t="s">
        <v>53</v>
      </c>
      <c r="AS33">
        <v>0</v>
      </c>
      <c r="AT33">
        <v>0</v>
      </c>
      <c r="AW33" t="s">
        <v>58</v>
      </c>
      <c r="AX33">
        <v>20</v>
      </c>
      <c r="AY33" s="1">
        <v>35431</v>
      </c>
      <c r="AZ33" s="1">
        <v>35431</v>
      </c>
      <c r="BA33" s="1">
        <v>35431</v>
      </c>
      <c r="BB33" s="1">
        <v>42736</v>
      </c>
      <c r="BC33" t="s">
        <v>51</v>
      </c>
      <c r="BE33" t="s">
        <v>54</v>
      </c>
      <c r="BF33">
        <v>2</v>
      </c>
      <c r="BG33">
        <v>0</v>
      </c>
      <c r="BH33" t="s">
        <v>53</v>
      </c>
      <c r="BK33" t="s">
        <v>59</v>
      </c>
      <c r="BL33">
        <v>14000</v>
      </c>
      <c r="BM33" s="1">
        <v>44327</v>
      </c>
      <c r="BN33" s="1">
        <v>44327</v>
      </c>
      <c r="BO33" s="1">
        <v>44327</v>
      </c>
      <c r="BP33" s="1">
        <v>45547</v>
      </c>
      <c r="BQ33" t="s">
        <v>51</v>
      </c>
      <c r="BS33" t="s">
        <v>60</v>
      </c>
      <c r="BT33" t="s">
        <v>54</v>
      </c>
      <c r="BU33" t="s">
        <v>61</v>
      </c>
      <c r="BV33" t="s">
        <v>62</v>
      </c>
      <c r="BX33">
        <v>24</v>
      </c>
      <c r="BY33">
        <v>0</v>
      </c>
      <c r="BZ33">
        <v>0</v>
      </c>
    </row>
    <row r="34" spans="1:78" x14ac:dyDescent="0.2">
      <c r="A34" t="s">
        <v>45</v>
      </c>
      <c r="B34" t="s">
        <v>46</v>
      </c>
      <c r="C34" t="s">
        <v>90</v>
      </c>
      <c r="D34" t="s">
        <v>87</v>
      </c>
      <c r="F34" t="str">
        <f>"1269"</f>
        <v>1269</v>
      </c>
      <c r="G34" t="s">
        <v>49</v>
      </c>
      <c r="H34" t="s">
        <v>94</v>
      </c>
      <c r="K34" t="s">
        <v>51</v>
      </c>
      <c r="L34" t="s">
        <v>52</v>
      </c>
      <c r="M34">
        <v>135778.22</v>
      </c>
      <c r="N34">
        <v>475274.97</v>
      </c>
      <c r="O34" t="s">
        <v>53</v>
      </c>
      <c r="P34" t="s">
        <v>54</v>
      </c>
      <c r="Q34" t="s">
        <v>55</v>
      </c>
      <c r="T34" t="s">
        <v>89</v>
      </c>
      <c r="U34">
        <v>40</v>
      </c>
      <c r="V34" s="1">
        <v>35431</v>
      </c>
      <c r="W34" s="1">
        <v>35431</v>
      </c>
      <c r="X34" s="1">
        <v>35431</v>
      </c>
      <c r="Y34" s="1">
        <v>50041</v>
      </c>
      <c r="Z34" t="s">
        <v>51</v>
      </c>
      <c r="AB34" t="s">
        <v>54</v>
      </c>
      <c r="AC34">
        <v>1</v>
      </c>
      <c r="AE34" t="s">
        <v>84</v>
      </c>
      <c r="AF34">
        <v>20</v>
      </c>
      <c r="AG34" s="1">
        <v>35431</v>
      </c>
      <c r="AH34" s="1">
        <v>35431</v>
      </c>
      <c r="AI34" s="1">
        <v>35431</v>
      </c>
      <c r="AJ34" s="1">
        <v>42736</v>
      </c>
      <c r="AK34" t="s">
        <v>51</v>
      </c>
      <c r="AN34">
        <v>0</v>
      </c>
      <c r="AO34" t="s">
        <v>54</v>
      </c>
      <c r="AP34" t="s">
        <v>53</v>
      </c>
      <c r="AQ34">
        <v>0</v>
      </c>
      <c r="AR34" t="s">
        <v>53</v>
      </c>
      <c r="AS34">
        <v>0</v>
      </c>
      <c r="AT34">
        <v>0</v>
      </c>
      <c r="AW34" t="s">
        <v>58</v>
      </c>
      <c r="AX34">
        <v>20</v>
      </c>
      <c r="AY34" s="1">
        <v>43598</v>
      </c>
      <c r="AZ34" s="1">
        <v>43598</v>
      </c>
      <c r="BA34" s="1">
        <v>43598</v>
      </c>
      <c r="BB34" s="1">
        <v>50903</v>
      </c>
      <c r="BC34" t="s">
        <v>51</v>
      </c>
      <c r="BE34" t="s">
        <v>54</v>
      </c>
      <c r="BF34">
        <v>2</v>
      </c>
      <c r="BG34">
        <v>0</v>
      </c>
      <c r="BH34" t="s">
        <v>53</v>
      </c>
      <c r="BK34" t="s">
        <v>59</v>
      </c>
      <c r="BL34">
        <v>14000</v>
      </c>
      <c r="BM34" s="1">
        <v>44327</v>
      </c>
      <c r="BN34" s="1">
        <v>44327</v>
      </c>
      <c r="BO34" s="1">
        <v>44327</v>
      </c>
      <c r="BP34" s="1">
        <v>45547</v>
      </c>
      <c r="BQ34" t="s">
        <v>51</v>
      </c>
      <c r="BS34" t="s">
        <v>60</v>
      </c>
      <c r="BT34" t="s">
        <v>54</v>
      </c>
      <c r="BU34" t="s">
        <v>61</v>
      </c>
      <c r="BV34" t="s">
        <v>62</v>
      </c>
      <c r="BX34">
        <v>24</v>
      </c>
      <c r="BY34">
        <v>0</v>
      </c>
      <c r="BZ34">
        <v>0</v>
      </c>
    </row>
    <row r="35" spans="1:78" x14ac:dyDescent="0.2">
      <c r="A35" t="s">
        <v>45</v>
      </c>
      <c r="B35" t="s">
        <v>46</v>
      </c>
      <c r="C35" t="s">
        <v>47</v>
      </c>
      <c r="D35" t="s">
        <v>87</v>
      </c>
      <c r="F35" t="str">
        <f>"1271"</f>
        <v>1271</v>
      </c>
      <c r="G35" t="s">
        <v>49</v>
      </c>
      <c r="H35" t="s">
        <v>95</v>
      </c>
      <c r="K35" t="s">
        <v>51</v>
      </c>
      <c r="L35" t="s">
        <v>52</v>
      </c>
      <c r="M35">
        <v>135830.39000000001</v>
      </c>
      <c r="N35">
        <v>475244.27</v>
      </c>
      <c r="O35" t="s">
        <v>53</v>
      </c>
      <c r="P35" t="s">
        <v>54</v>
      </c>
      <c r="Q35" t="s">
        <v>55</v>
      </c>
      <c r="T35" t="s">
        <v>96</v>
      </c>
      <c r="U35">
        <v>30</v>
      </c>
      <c r="V35" s="1">
        <v>35431</v>
      </c>
      <c r="W35" s="1">
        <v>35431</v>
      </c>
      <c r="X35" s="1">
        <v>35431</v>
      </c>
      <c r="Y35" s="1">
        <v>46388</v>
      </c>
      <c r="Z35" t="s">
        <v>51</v>
      </c>
      <c r="AB35" t="s">
        <v>54</v>
      </c>
      <c r="AC35">
        <v>1</v>
      </c>
      <c r="AE35" t="s">
        <v>84</v>
      </c>
      <c r="AF35">
        <v>20</v>
      </c>
      <c r="AG35" s="1">
        <v>35431</v>
      </c>
      <c r="AH35" s="1">
        <v>35431</v>
      </c>
      <c r="AI35" s="1">
        <v>35431</v>
      </c>
      <c r="AJ35" s="1">
        <v>42736</v>
      </c>
      <c r="AK35" t="s">
        <v>51</v>
      </c>
      <c r="AN35">
        <v>0</v>
      </c>
      <c r="AO35" t="s">
        <v>54</v>
      </c>
      <c r="AP35" t="s">
        <v>53</v>
      </c>
      <c r="AQ35">
        <v>0</v>
      </c>
      <c r="AR35" t="s">
        <v>53</v>
      </c>
      <c r="AS35">
        <v>0</v>
      </c>
      <c r="AT35">
        <v>0</v>
      </c>
      <c r="AW35" t="s">
        <v>58</v>
      </c>
      <c r="AX35">
        <v>20</v>
      </c>
      <c r="AY35" s="1">
        <v>44004</v>
      </c>
      <c r="AZ35" s="1">
        <v>44004</v>
      </c>
      <c r="BA35" s="1">
        <v>44004</v>
      </c>
      <c r="BB35" s="1">
        <v>51309</v>
      </c>
      <c r="BC35" t="s">
        <v>51</v>
      </c>
      <c r="BE35" t="s">
        <v>54</v>
      </c>
      <c r="BF35">
        <v>2</v>
      </c>
      <c r="BG35">
        <v>0</v>
      </c>
      <c r="BH35" t="s">
        <v>53</v>
      </c>
      <c r="BK35" t="s">
        <v>59</v>
      </c>
      <c r="BL35">
        <v>14000</v>
      </c>
      <c r="BM35" s="1">
        <v>44334</v>
      </c>
      <c r="BN35" s="1">
        <v>44334</v>
      </c>
      <c r="BO35" s="1">
        <v>44334</v>
      </c>
      <c r="BP35" s="1">
        <v>45551</v>
      </c>
      <c r="BQ35" t="s">
        <v>51</v>
      </c>
      <c r="BS35" t="s">
        <v>60</v>
      </c>
      <c r="BT35" t="s">
        <v>54</v>
      </c>
      <c r="BU35" t="s">
        <v>61</v>
      </c>
      <c r="BV35" t="s">
        <v>62</v>
      </c>
      <c r="BX35">
        <v>24</v>
      </c>
      <c r="BY35">
        <v>0</v>
      </c>
      <c r="BZ35">
        <v>0</v>
      </c>
    </row>
    <row r="36" spans="1:78" x14ac:dyDescent="0.2">
      <c r="A36" t="s">
        <v>45</v>
      </c>
      <c r="B36" t="s">
        <v>46</v>
      </c>
      <c r="C36" t="s">
        <v>90</v>
      </c>
      <c r="D36" t="s">
        <v>87</v>
      </c>
      <c r="F36" t="str">
        <f>"1273"</f>
        <v>1273</v>
      </c>
      <c r="G36" t="s">
        <v>49</v>
      </c>
      <c r="H36" t="s">
        <v>95</v>
      </c>
      <c r="K36" t="s">
        <v>51</v>
      </c>
      <c r="L36" t="s">
        <v>52</v>
      </c>
      <c r="M36">
        <v>135881.51</v>
      </c>
      <c r="N36">
        <v>475217.63</v>
      </c>
      <c r="O36" t="s">
        <v>53</v>
      </c>
      <c r="P36" t="s">
        <v>54</v>
      </c>
      <c r="Q36" t="s">
        <v>55</v>
      </c>
      <c r="T36" t="s">
        <v>96</v>
      </c>
      <c r="U36">
        <v>30</v>
      </c>
      <c r="V36" s="1">
        <v>35431</v>
      </c>
      <c r="W36" s="1">
        <v>35431</v>
      </c>
      <c r="X36" s="1">
        <v>35431</v>
      </c>
      <c r="Y36" s="1">
        <v>46388</v>
      </c>
      <c r="Z36" t="s">
        <v>51</v>
      </c>
      <c r="AB36" t="s">
        <v>54</v>
      </c>
      <c r="AC36">
        <v>1</v>
      </c>
      <c r="AE36" t="s">
        <v>84</v>
      </c>
      <c r="AF36">
        <v>20</v>
      </c>
      <c r="AG36" s="1">
        <v>35431</v>
      </c>
      <c r="AH36" s="1">
        <v>35431</v>
      </c>
      <c r="AI36" s="1">
        <v>35431</v>
      </c>
      <c r="AJ36" s="1">
        <v>42736</v>
      </c>
      <c r="AK36" t="s">
        <v>51</v>
      </c>
      <c r="AN36">
        <v>0</v>
      </c>
      <c r="AO36" t="s">
        <v>54</v>
      </c>
      <c r="AP36" t="s">
        <v>53</v>
      </c>
      <c r="AQ36">
        <v>0</v>
      </c>
      <c r="AR36" t="s">
        <v>53</v>
      </c>
      <c r="AS36">
        <v>0</v>
      </c>
      <c r="AT36">
        <v>0</v>
      </c>
      <c r="AW36" t="s">
        <v>58</v>
      </c>
      <c r="AX36">
        <v>20</v>
      </c>
      <c r="AY36" s="1">
        <v>35431</v>
      </c>
      <c r="AZ36" s="1">
        <v>35431</v>
      </c>
      <c r="BA36" s="1">
        <v>35431</v>
      </c>
      <c r="BB36" s="1">
        <v>42736</v>
      </c>
      <c r="BC36" t="s">
        <v>51</v>
      </c>
      <c r="BE36" t="s">
        <v>54</v>
      </c>
      <c r="BF36">
        <v>2</v>
      </c>
      <c r="BG36">
        <v>0</v>
      </c>
      <c r="BH36" t="s">
        <v>53</v>
      </c>
      <c r="BK36" t="s">
        <v>59</v>
      </c>
      <c r="BL36">
        <v>14000</v>
      </c>
      <c r="BM36" s="1">
        <v>44334</v>
      </c>
      <c r="BN36" s="1">
        <v>44334</v>
      </c>
      <c r="BO36" s="1">
        <v>44334</v>
      </c>
      <c r="BP36" s="1">
        <v>45551</v>
      </c>
      <c r="BQ36" t="s">
        <v>51</v>
      </c>
      <c r="BS36" t="s">
        <v>60</v>
      </c>
      <c r="BT36" t="s">
        <v>54</v>
      </c>
      <c r="BU36" t="s">
        <v>61</v>
      </c>
      <c r="BV36" t="s">
        <v>62</v>
      </c>
      <c r="BX36">
        <v>24</v>
      </c>
      <c r="BY36">
        <v>0</v>
      </c>
      <c r="BZ36">
        <v>0</v>
      </c>
    </row>
    <row r="37" spans="1:78" x14ac:dyDescent="0.2">
      <c r="A37" t="s">
        <v>45</v>
      </c>
      <c r="B37" t="s">
        <v>46</v>
      </c>
      <c r="C37" t="s">
        <v>90</v>
      </c>
      <c r="D37" t="s">
        <v>87</v>
      </c>
      <c r="F37" t="str">
        <f>"1274"</f>
        <v>1274</v>
      </c>
      <c r="G37" t="s">
        <v>49</v>
      </c>
      <c r="H37" t="s">
        <v>95</v>
      </c>
      <c r="K37" t="s">
        <v>51</v>
      </c>
      <c r="L37" t="s">
        <v>52</v>
      </c>
      <c r="M37">
        <v>135909.97</v>
      </c>
      <c r="N37">
        <v>475206.7</v>
      </c>
      <c r="O37" t="s">
        <v>53</v>
      </c>
      <c r="P37" t="s">
        <v>54</v>
      </c>
      <c r="Q37" t="s">
        <v>55</v>
      </c>
      <c r="T37" t="s">
        <v>96</v>
      </c>
      <c r="U37">
        <v>30</v>
      </c>
      <c r="V37" s="1">
        <v>35431</v>
      </c>
      <c r="W37" s="1">
        <v>35431</v>
      </c>
      <c r="X37" s="1">
        <v>35431</v>
      </c>
      <c r="Y37" s="1">
        <v>46388</v>
      </c>
      <c r="Z37" t="s">
        <v>51</v>
      </c>
      <c r="AB37" t="s">
        <v>54</v>
      </c>
      <c r="AC37">
        <v>1</v>
      </c>
      <c r="AE37" t="s">
        <v>84</v>
      </c>
      <c r="AF37">
        <v>20</v>
      </c>
      <c r="AG37" s="1">
        <v>35431</v>
      </c>
      <c r="AH37" s="1">
        <v>35431</v>
      </c>
      <c r="AI37" s="1">
        <v>35431</v>
      </c>
      <c r="AJ37" s="1">
        <v>42736</v>
      </c>
      <c r="AK37" t="s">
        <v>51</v>
      </c>
      <c r="AN37">
        <v>0</v>
      </c>
      <c r="AO37" t="s">
        <v>54</v>
      </c>
      <c r="AP37" t="s">
        <v>53</v>
      </c>
      <c r="AQ37">
        <v>0</v>
      </c>
      <c r="AR37" t="s">
        <v>53</v>
      </c>
      <c r="AS37">
        <v>0</v>
      </c>
      <c r="AT37">
        <v>0</v>
      </c>
      <c r="AW37" t="s">
        <v>58</v>
      </c>
      <c r="AX37">
        <v>20</v>
      </c>
      <c r="AY37" s="1">
        <v>35431</v>
      </c>
      <c r="AZ37" s="1">
        <v>35431</v>
      </c>
      <c r="BA37" s="1">
        <v>35431</v>
      </c>
      <c r="BB37" s="1">
        <v>42736</v>
      </c>
      <c r="BC37" t="s">
        <v>51</v>
      </c>
      <c r="BE37" t="s">
        <v>54</v>
      </c>
      <c r="BF37">
        <v>2</v>
      </c>
      <c r="BG37">
        <v>0</v>
      </c>
      <c r="BH37" t="s">
        <v>53</v>
      </c>
      <c r="BK37" t="s">
        <v>59</v>
      </c>
      <c r="BL37">
        <v>14000</v>
      </c>
      <c r="BM37" s="1">
        <v>44334</v>
      </c>
      <c r="BN37" s="1">
        <v>44334</v>
      </c>
      <c r="BO37" s="1">
        <v>44334</v>
      </c>
      <c r="BP37" s="1">
        <v>45551</v>
      </c>
      <c r="BQ37" t="s">
        <v>51</v>
      </c>
      <c r="BS37" t="s">
        <v>60</v>
      </c>
      <c r="BT37" t="s">
        <v>54</v>
      </c>
      <c r="BU37" t="s">
        <v>61</v>
      </c>
      <c r="BV37" t="s">
        <v>62</v>
      </c>
      <c r="BX37">
        <v>24</v>
      </c>
      <c r="BY37">
        <v>0</v>
      </c>
      <c r="BZ37">
        <v>0</v>
      </c>
    </row>
    <row r="38" spans="1:78" x14ac:dyDescent="0.2">
      <c r="A38" t="s">
        <v>45</v>
      </c>
      <c r="B38" t="s">
        <v>46</v>
      </c>
      <c r="C38" t="s">
        <v>90</v>
      </c>
      <c r="D38" t="s">
        <v>87</v>
      </c>
      <c r="F38" t="str">
        <f>"1275"</f>
        <v>1275</v>
      </c>
      <c r="G38" t="s">
        <v>49</v>
      </c>
      <c r="H38" t="s">
        <v>95</v>
      </c>
      <c r="K38" t="s">
        <v>51</v>
      </c>
      <c r="L38" t="s">
        <v>52</v>
      </c>
      <c r="M38">
        <v>135936.26999999999</v>
      </c>
      <c r="N38">
        <v>475194.72</v>
      </c>
      <c r="O38" t="s">
        <v>53</v>
      </c>
      <c r="P38" t="s">
        <v>54</v>
      </c>
      <c r="Q38" t="s">
        <v>55</v>
      </c>
      <c r="T38" t="s">
        <v>96</v>
      </c>
      <c r="U38">
        <v>30</v>
      </c>
      <c r="V38" s="1">
        <v>35431</v>
      </c>
      <c r="W38" s="1">
        <v>35431</v>
      </c>
      <c r="X38" s="1">
        <v>35431</v>
      </c>
      <c r="Y38" s="1">
        <v>46388</v>
      </c>
      <c r="Z38" t="s">
        <v>51</v>
      </c>
      <c r="AB38" t="s">
        <v>54</v>
      </c>
      <c r="AC38">
        <v>1</v>
      </c>
      <c r="AE38" t="s">
        <v>84</v>
      </c>
      <c r="AF38">
        <v>20</v>
      </c>
      <c r="AG38" s="1">
        <v>35431</v>
      </c>
      <c r="AH38" s="1">
        <v>35431</v>
      </c>
      <c r="AI38" s="1">
        <v>35431</v>
      </c>
      <c r="AJ38" s="1">
        <v>42736</v>
      </c>
      <c r="AK38" t="s">
        <v>51</v>
      </c>
      <c r="AN38">
        <v>0</v>
      </c>
      <c r="AO38" t="s">
        <v>54</v>
      </c>
      <c r="AP38" t="s">
        <v>53</v>
      </c>
      <c r="AQ38">
        <v>0</v>
      </c>
      <c r="AR38" t="s">
        <v>53</v>
      </c>
      <c r="AS38">
        <v>0</v>
      </c>
      <c r="AT38">
        <v>0</v>
      </c>
      <c r="AW38" t="s">
        <v>58</v>
      </c>
      <c r="AX38">
        <v>20</v>
      </c>
      <c r="AY38" s="1">
        <v>35431</v>
      </c>
      <c r="AZ38" s="1">
        <v>35431</v>
      </c>
      <c r="BA38" s="1">
        <v>35431</v>
      </c>
      <c r="BB38" s="1">
        <v>42736</v>
      </c>
      <c r="BC38" t="s">
        <v>51</v>
      </c>
      <c r="BE38" t="s">
        <v>54</v>
      </c>
      <c r="BF38">
        <v>2</v>
      </c>
      <c r="BG38">
        <v>0</v>
      </c>
      <c r="BH38" t="s">
        <v>53</v>
      </c>
      <c r="BK38" t="s">
        <v>59</v>
      </c>
      <c r="BL38">
        <v>14000</v>
      </c>
      <c r="BM38" s="1">
        <v>44334</v>
      </c>
      <c r="BN38" s="1">
        <v>44334</v>
      </c>
      <c r="BO38" s="1">
        <v>44334</v>
      </c>
      <c r="BP38" s="1">
        <v>45551</v>
      </c>
      <c r="BQ38" t="s">
        <v>51</v>
      </c>
      <c r="BS38" t="s">
        <v>60</v>
      </c>
      <c r="BT38" t="s">
        <v>54</v>
      </c>
      <c r="BU38" t="s">
        <v>61</v>
      </c>
      <c r="BV38" t="s">
        <v>62</v>
      </c>
      <c r="BX38">
        <v>24</v>
      </c>
      <c r="BY38">
        <v>0</v>
      </c>
      <c r="BZ38">
        <v>0</v>
      </c>
    </row>
    <row r="39" spans="1:78" x14ac:dyDescent="0.2">
      <c r="A39" t="s">
        <v>45</v>
      </c>
      <c r="B39" t="s">
        <v>46</v>
      </c>
      <c r="C39" t="s">
        <v>90</v>
      </c>
      <c r="D39" t="s">
        <v>87</v>
      </c>
      <c r="F39" t="str">
        <f>"1276"</f>
        <v>1276</v>
      </c>
      <c r="G39" t="s">
        <v>49</v>
      </c>
      <c r="H39" t="s">
        <v>95</v>
      </c>
      <c r="K39" t="s">
        <v>51</v>
      </c>
      <c r="L39" t="s">
        <v>52</v>
      </c>
      <c r="M39">
        <v>135961.94</v>
      </c>
      <c r="N39">
        <v>475182.15</v>
      </c>
      <c r="O39" t="s">
        <v>53</v>
      </c>
      <c r="P39" t="s">
        <v>54</v>
      </c>
      <c r="Q39" t="s">
        <v>55</v>
      </c>
      <c r="T39" t="s">
        <v>96</v>
      </c>
      <c r="U39">
        <v>30</v>
      </c>
      <c r="V39" s="1">
        <v>35431</v>
      </c>
      <c r="W39" s="1">
        <v>35431</v>
      </c>
      <c r="X39" s="1">
        <v>35431</v>
      </c>
      <c r="Y39" s="1">
        <v>46388</v>
      </c>
      <c r="Z39" t="s">
        <v>51</v>
      </c>
      <c r="AB39" t="s">
        <v>54</v>
      </c>
      <c r="AC39">
        <v>1</v>
      </c>
      <c r="AE39" t="s">
        <v>84</v>
      </c>
      <c r="AF39">
        <v>20</v>
      </c>
      <c r="AG39" s="1">
        <v>35431</v>
      </c>
      <c r="AH39" s="1">
        <v>35431</v>
      </c>
      <c r="AI39" s="1">
        <v>35431</v>
      </c>
      <c r="AJ39" s="1">
        <v>42736</v>
      </c>
      <c r="AK39" t="s">
        <v>51</v>
      </c>
      <c r="AN39">
        <v>0</v>
      </c>
      <c r="AO39" t="s">
        <v>54</v>
      </c>
      <c r="AP39" t="s">
        <v>53</v>
      </c>
      <c r="AQ39">
        <v>0</v>
      </c>
      <c r="AR39" t="s">
        <v>53</v>
      </c>
      <c r="AS39">
        <v>0</v>
      </c>
      <c r="AT39">
        <v>0</v>
      </c>
      <c r="AW39" t="s">
        <v>58</v>
      </c>
      <c r="AX39">
        <v>20</v>
      </c>
      <c r="AY39" s="1">
        <v>35431</v>
      </c>
      <c r="AZ39" s="1">
        <v>35431</v>
      </c>
      <c r="BA39" s="1">
        <v>35431</v>
      </c>
      <c r="BB39" s="1">
        <v>42736</v>
      </c>
      <c r="BC39" t="s">
        <v>51</v>
      </c>
      <c r="BE39" t="s">
        <v>54</v>
      </c>
      <c r="BF39">
        <v>2</v>
      </c>
      <c r="BG39">
        <v>0</v>
      </c>
      <c r="BH39" t="s">
        <v>53</v>
      </c>
      <c r="BK39" t="s">
        <v>59</v>
      </c>
      <c r="BL39">
        <v>14000</v>
      </c>
      <c r="BM39" s="1">
        <v>44334</v>
      </c>
      <c r="BN39" s="1">
        <v>44334</v>
      </c>
      <c r="BO39" s="1">
        <v>44334</v>
      </c>
      <c r="BP39" s="1">
        <v>45551</v>
      </c>
      <c r="BQ39" t="s">
        <v>51</v>
      </c>
      <c r="BS39" t="s">
        <v>60</v>
      </c>
      <c r="BT39" t="s">
        <v>54</v>
      </c>
      <c r="BU39" t="s">
        <v>61</v>
      </c>
      <c r="BV39" t="s">
        <v>62</v>
      </c>
      <c r="BX39">
        <v>24</v>
      </c>
      <c r="BY39">
        <v>0</v>
      </c>
      <c r="BZ39">
        <v>0</v>
      </c>
    </row>
    <row r="40" spans="1:78" x14ac:dyDescent="0.2">
      <c r="A40" t="s">
        <v>45</v>
      </c>
      <c r="B40" t="s">
        <v>46</v>
      </c>
      <c r="C40" t="s">
        <v>90</v>
      </c>
      <c r="D40" t="s">
        <v>87</v>
      </c>
      <c r="F40" t="str">
        <f>"1277"</f>
        <v>1277</v>
      </c>
      <c r="G40" t="s">
        <v>49</v>
      </c>
      <c r="H40" t="s">
        <v>95</v>
      </c>
      <c r="K40" t="s">
        <v>51</v>
      </c>
      <c r="L40" t="s">
        <v>52</v>
      </c>
      <c r="M40">
        <v>135987.88</v>
      </c>
      <c r="N40">
        <v>475168.66</v>
      </c>
      <c r="O40" t="s">
        <v>53</v>
      </c>
      <c r="P40" t="s">
        <v>54</v>
      </c>
      <c r="Q40" t="s">
        <v>55</v>
      </c>
      <c r="T40" t="s">
        <v>96</v>
      </c>
      <c r="U40">
        <v>30</v>
      </c>
      <c r="V40" s="1">
        <v>35431</v>
      </c>
      <c r="W40" s="1">
        <v>35431</v>
      </c>
      <c r="X40" s="1">
        <v>35431</v>
      </c>
      <c r="Y40" s="1">
        <v>46388</v>
      </c>
      <c r="Z40" t="s">
        <v>51</v>
      </c>
      <c r="AB40" t="s">
        <v>54</v>
      </c>
      <c r="AC40">
        <v>1</v>
      </c>
      <c r="AE40" t="s">
        <v>84</v>
      </c>
      <c r="AF40">
        <v>20</v>
      </c>
      <c r="AG40" s="1">
        <v>35431</v>
      </c>
      <c r="AH40" s="1">
        <v>35431</v>
      </c>
      <c r="AI40" s="1">
        <v>35431</v>
      </c>
      <c r="AJ40" s="1">
        <v>42736</v>
      </c>
      <c r="AK40" t="s">
        <v>51</v>
      </c>
      <c r="AN40">
        <v>0</v>
      </c>
      <c r="AO40" t="s">
        <v>54</v>
      </c>
      <c r="AP40" t="s">
        <v>53</v>
      </c>
      <c r="AQ40">
        <v>0</v>
      </c>
      <c r="AR40" t="s">
        <v>53</v>
      </c>
      <c r="AS40">
        <v>0</v>
      </c>
      <c r="AT40">
        <v>0</v>
      </c>
      <c r="AW40" t="s">
        <v>58</v>
      </c>
      <c r="AX40">
        <v>20</v>
      </c>
      <c r="AY40" s="1">
        <v>35431</v>
      </c>
      <c r="AZ40" s="1">
        <v>35431</v>
      </c>
      <c r="BA40" s="1">
        <v>35431</v>
      </c>
      <c r="BB40" s="1">
        <v>42736</v>
      </c>
      <c r="BC40" t="s">
        <v>51</v>
      </c>
      <c r="BE40" t="s">
        <v>54</v>
      </c>
      <c r="BF40">
        <v>2</v>
      </c>
      <c r="BG40">
        <v>0</v>
      </c>
      <c r="BH40" t="s">
        <v>53</v>
      </c>
      <c r="BK40" t="s">
        <v>59</v>
      </c>
      <c r="BL40">
        <v>14000</v>
      </c>
      <c r="BM40" s="1">
        <v>44334</v>
      </c>
      <c r="BN40" s="1">
        <v>44334</v>
      </c>
      <c r="BO40" s="1">
        <v>44334</v>
      </c>
      <c r="BP40" s="1">
        <v>45551</v>
      </c>
      <c r="BQ40" t="s">
        <v>51</v>
      </c>
      <c r="BS40" t="s">
        <v>60</v>
      </c>
      <c r="BT40" t="s">
        <v>54</v>
      </c>
      <c r="BU40" t="s">
        <v>61</v>
      </c>
      <c r="BV40" t="s">
        <v>62</v>
      </c>
      <c r="BX40">
        <v>24</v>
      </c>
      <c r="BY40">
        <v>0</v>
      </c>
      <c r="BZ40">
        <v>0</v>
      </c>
    </row>
    <row r="41" spans="1:78" x14ac:dyDescent="0.2">
      <c r="A41" t="s">
        <v>45</v>
      </c>
      <c r="B41" t="s">
        <v>46</v>
      </c>
      <c r="C41" t="s">
        <v>90</v>
      </c>
      <c r="D41" t="s">
        <v>87</v>
      </c>
      <c r="F41" t="str">
        <f>"1278"</f>
        <v>1278</v>
      </c>
      <c r="G41" t="s">
        <v>49</v>
      </c>
      <c r="H41" t="s">
        <v>95</v>
      </c>
      <c r="K41" t="s">
        <v>51</v>
      </c>
      <c r="L41" t="s">
        <v>52</v>
      </c>
      <c r="M41">
        <v>136013.64000000001</v>
      </c>
      <c r="N41">
        <v>475155.59</v>
      </c>
      <c r="O41" t="s">
        <v>53</v>
      </c>
      <c r="P41" t="s">
        <v>54</v>
      </c>
      <c r="Q41" t="s">
        <v>55</v>
      </c>
      <c r="T41" t="s">
        <v>96</v>
      </c>
      <c r="U41">
        <v>30</v>
      </c>
      <c r="V41" s="1">
        <v>35431</v>
      </c>
      <c r="W41" s="1">
        <v>35431</v>
      </c>
      <c r="X41" s="1">
        <v>35431</v>
      </c>
      <c r="Y41" s="1">
        <v>46388</v>
      </c>
      <c r="Z41" t="s">
        <v>51</v>
      </c>
      <c r="AB41" t="s">
        <v>54</v>
      </c>
      <c r="AC41">
        <v>1</v>
      </c>
      <c r="AE41" t="s">
        <v>84</v>
      </c>
      <c r="AF41">
        <v>20</v>
      </c>
      <c r="AG41" s="1">
        <v>35431</v>
      </c>
      <c r="AH41" s="1">
        <v>35431</v>
      </c>
      <c r="AI41" s="1">
        <v>35431</v>
      </c>
      <c r="AJ41" s="1">
        <v>42736</v>
      </c>
      <c r="AK41" t="s">
        <v>51</v>
      </c>
      <c r="AN41">
        <v>0</v>
      </c>
      <c r="AO41" t="s">
        <v>54</v>
      </c>
      <c r="AP41" t="s">
        <v>53</v>
      </c>
      <c r="AQ41">
        <v>0</v>
      </c>
      <c r="AR41" t="s">
        <v>53</v>
      </c>
      <c r="AS41">
        <v>0</v>
      </c>
      <c r="AT41">
        <v>0</v>
      </c>
      <c r="AW41" t="s">
        <v>58</v>
      </c>
      <c r="AX41">
        <v>20</v>
      </c>
      <c r="AY41" s="1">
        <v>43514</v>
      </c>
      <c r="AZ41" s="1">
        <v>43514</v>
      </c>
      <c r="BA41" s="1">
        <v>43514</v>
      </c>
      <c r="BB41" s="1">
        <v>50819</v>
      </c>
      <c r="BC41" t="s">
        <v>51</v>
      </c>
      <c r="BE41" t="s">
        <v>54</v>
      </c>
      <c r="BF41">
        <v>2</v>
      </c>
      <c r="BG41">
        <v>0</v>
      </c>
      <c r="BH41" t="s">
        <v>53</v>
      </c>
      <c r="BK41" t="s">
        <v>59</v>
      </c>
      <c r="BL41">
        <v>14000</v>
      </c>
      <c r="BM41" s="1">
        <v>44334</v>
      </c>
      <c r="BN41" s="1">
        <v>44334</v>
      </c>
      <c r="BO41" s="1">
        <v>44334</v>
      </c>
      <c r="BP41" s="1">
        <v>45551</v>
      </c>
      <c r="BQ41" t="s">
        <v>51</v>
      </c>
      <c r="BS41" t="s">
        <v>60</v>
      </c>
      <c r="BT41" t="s">
        <v>54</v>
      </c>
      <c r="BU41" t="s">
        <v>61</v>
      </c>
      <c r="BV41" t="s">
        <v>62</v>
      </c>
      <c r="BX41">
        <v>24</v>
      </c>
      <c r="BY41">
        <v>0</v>
      </c>
      <c r="BZ41">
        <v>0</v>
      </c>
    </row>
    <row r="42" spans="1:78" x14ac:dyDescent="0.2">
      <c r="A42" t="s">
        <v>45</v>
      </c>
      <c r="B42" t="s">
        <v>46</v>
      </c>
      <c r="C42" t="s">
        <v>90</v>
      </c>
      <c r="D42" t="s">
        <v>87</v>
      </c>
      <c r="F42" t="str">
        <f>"1279"</f>
        <v>1279</v>
      </c>
      <c r="G42" t="s">
        <v>49</v>
      </c>
      <c r="H42" t="s">
        <v>95</v>
      </c>
      <c r="K42" t="s">
        <v>51</v>
      </c>
      <c r="L42" t="s">
        <v>52</v>
      </c>
      <c r="M42">
        <v>136039.29</v>
      </c>
      <c r="N42">
        <v>475142.49</v>
      </c>
      <c r="O42" t="s">
        <v>53</v>
      </c>
      <c r="P42" t="s">
        <v>54</v>
      </c>
      <c r="Q42" t="s">
        <v>55</v>
      </c>
      <c r="T42" t="s">
        <v>96</v>
      </c>
      <c r="U42">
        <v>30</v>
      </c>
      <c r="V42" s="1">
        <v>35431</v>
      </c>
      <c r="W42" s="1">
        <v>35431</v>
      </c>
      <c r="X42" s="1">
        <v>35431</v>
      </c>
      <c r="Y42" s="1">
        <v>46388</v>
      </c>
      <c r="Z42" t="s">
        <v>51</v>
      </c>
      <c r="AB42" t="s">
        <v>54</v>
      </c>
      <c r="AC42">
        <v>1</v>
      </c>
      <c r="AE42" t="s">
        <v>84</v>
      </c>
      <c r="AF42">
        <v>20</v>
      </c>
      <c r="AG42" s="1">
        <v>35431</v>
      </c>
      <c r="AH42" s="1">
        <v>35431</v>
      </c>
      <c r="AI42" s="1">
        <v>35431</v>
      </c>
      <c r="AJ42" s="1">
        <v>42736</v>
      </c>
      <c r="AK42" t="s">
        <v>51</v>
      </c>
      <c r="AN42">
        <v>0</v>
      </c>
      <c r="AO42" t="s">
        <v>54</v>
      </c>
      <c r="AP42" t="s">
        <v>53</v>
      </c>
      <c r="AQ42">
        <v>0</v>
      </c>
      <c r="AR42" t="s">
        <v>53</v>
      </c>
      <c r="AS42">
        <v>0</v>
      </c>
      <c r="AT42">
        <v>0</v>
      </c>
      <c r="AW42" t="s">
        <v>58</v>
      </c>
      <c r="AX42">
        <v>20</v>
      </c>
      <c r="AY42" s="1">
        <v>44102</v>
      </c>
      <c r="AZ42" s="1">
        <v>44102</v>
      </c>
      <c r="BA42" s="1">
        <v>44102</v>
      </c>
      <c r="BB42" s="1">
        <v>51407</v>
      </c>
      <c r="BC42" t="s">
        <v>51</v>
      </c>
      <c r="BE42" t="s">
        <v>54</v>
      </c>
      <c r="BF42">
        <v>2</v>
      </c>
      <c r="BG42">
        <v>0</v>
      </c>
      <c r="BH42" t="s">
        <v>53</v>
      </c>
      <c r="BK42" t="s">
        <v>59</v>
      </c>
      <c r="BL42">
        <v>14000</v>
      </c>
      <c r="BM42" s="1">
        <v>44334</v>
      </c>
      <c r="BN42" s="1">
        <v>44334</v>
      </c>
      <c r="BO42" s="1">
        <v>44334</v>
      </c>
      <c r="BP42" s="1">
        <v>45551</v>
      </c>
      <c r="BQ42" t="s">
        <v>51</v>
      </c>
      <c r="BS42" t="s">
        <v>60</v>
      </c>
      <c r="BT42" t="s">
        <v>54</v>
      </c>
      <c r="BU42" t="s">
        <v>61</v>
      </c>
      <c r="BV42" t="s">
        <v>62</v>
      </c>
      <c r="BX42">
        <v>24</v>
      </c>
      <c r="BY42">
        <v>0</v>
      </c>
      <c r="BZ42">
        <v>0</v>
      </c>
    </row>
    <row r="43" spans="1:78" x14ac:dyDescent="0.2">
      <c r="A43" t="s">
        <v>45</v>
      </c>
      <c r="B43" t="s">
        <v>46</v>
      </c>
      <c r="C43" t="s">
        <v>90</v>
      </c>
      <c r="D43" t="s">
        <v>87</v>
      </c>
      <c r="F43" t="str">
        <f>"1280"</f>
        <v>1280</v>
      </c>
      <c r="G43" t="s">
        <v>49</v>
      </c>
      <c r="H43" t="s">
        <v>95</v>
      </c>
      <c r="K43" t="s">
        <v>51</v>
      </c>
      <c r="L43" t="s">
        <v>52</v>
      </c>
      <c r="M43">
        <v>136065.34</v>
      </c>
      <c r="N43">
        <v>475129.61</v>
      </c>
      <c r="O43" t="s">
        <v>53</v>
      </c>
      <c r="P43" t="s">
        <v>54</v>
      </c>
      <c r="Q43" t="s">
        <v>55</v>
      </c>
      <c r="T43" t="s">
        <v>96</v>
      </c>
      <c r="U43">
        <v>30</v>
      </c>
      <c r="V43" s="1">
        <v>35431</v>
      </c>
      <c r="W43" s="1">
        <v>35431</v>
      </c>
      <c r="X43" s="1">
        <v>35431</v>
      </c>
      <c r="Y43" s="1">
        <v>46388</v>
      </c>
      <c r="Z43" t="s">
        <v>51</v>
      </c>
      <c r="AB43" t="s">
        <v>54</v>
      </c>
      <c r="AC43">
        <v>1</v>
      </c>
      <c r="AE43" t="s">
        <v>84</v>
      </c>
      <c r="AF43">
        <v>20</v>
      </c>
      <c r="AG43" s="1">
        <v>35431</v>
      </c>
      <c r="AH43" s="1">
        <v>35431</v>
      </c>
      <c r="AI43" s="1">
        <v>35431</v>
      </c>
      <c r="AJ43" s="1">
        <v>42736</v>
      </c>
      <c r="AK43" t="s">
        <v>51</v>
      </c>
      <c r="AN43">
        <v>0</v>
      </c>
      <c r="AO43" t="s">
        <v>54</v>
      </c>
      <c r="AP43" t="s">
        <v>53</v>
      </c>
      <c r="AQ43">
        <v>0</v>
      </c>
      <c r="AR43" t="s">
        <v>53</v>
      </c>
      <c r="AS43">
        <v>0</v>
      </c>
      <c r="AT43">
        <v>0</v>
      </c>
      <c r="AW43" t="s">
        <v>58</v>
      </c>
      <c r="AX43">
        <v>20</v>
      </c>
      <c r="AY43" s="1">
        <v>44949</v>
      </c>
      <c r="AZ43" s="1">
        <v>44949</v>
      </c>
      <c r="BA43" s="1">
        <v>44949</v>
      </c>
      <c r="BB43" s="1">
        <v>52254</v>
      </c>
      <c r="BC43" t="s">
        <v>51</v>
      </c>
      <c r="BE43" t="s">
        <v>54</v>
      </c>
      <c r="BF43">
        <v>2</v>
      </c>
      <c r="BG43">
        <v>0</v>
      </c>
      <c r="BH43" t="s">
        <v>53</v>
      </c>
      <c r="BK43" t="s">
        <v>59</v>
      </c>
      <c r="BL43">
        <v>14000</v>
      </c>
      <c r="BM43" s="1">
        <v>44949</v>
      </c>
      <c r="BN43" s="1">
        <v>44949</v>
      </c>
      <c r="BO43" s="1">
        <v>44949</v>
      </c>
      <c r="BP43" s="1">
        <v>46123</v>
      </c>
      <c r="BQ43" t="s">
        <v>51</v>
      </c>
      <c r="BS43" t="s">
        <v>60</v>
      </c>
      <c r="BT43" t="s">
        <v>54</v>
      </c>
      <c r="BU43" t="s">
        <v>61</v>
      </c>
      <c r="BV43" t="s">
        <v>62</v>
      </c>
      <c r="BX43">
        <v>24</v>
      </c>
      <c r="BY43">
        <v>0</v>
      </c>
      <c r="BZ43">
        <v>0</v>
      </c>
    </row>
    <row r="44" spans="1:78" x14ac:dyDescent="0.2">
      <c r="A44" t="s">
        <v>45</v>
      </c>
      <c r="B44" t="s">
        <v>46</v>
      </c>
      <c r="C44" t="s">
        <v>90</v>
      </c>
      <c r="D44" t="s">
        <v>87</v>
      </c>
      <c r="F44" t="str">
        <f>"1281"</f>
        <v>1281</v>
      </c>
      <c r="G44" t="s">
        <v>49</v>
      </c>
      <c r="H44" t="s">
        <v>95</v>
      </c>
      <c r="K44" t="s">
        <v>51</v>
      </c>
      <c r="L44" t="s">
        <v>52</v>
      </c>
      <c r="M44">
        <v>136091.04999999999</v>
      </c>
      <c r="N44">
        <v>475115.4</v>
      </c>
      <c r="O44" t="s">
        <v>53</v>
      </c>
      <c r="P44" t="s">
        <v>54</v>
      </c>
      <c r="Q44" t="s">
        <v>55</v>
      </c>
      <c r="T44" t="s">
        <v>96</v>
      </c>
      <c r="U44">
        <v>30</v>
      </c>
      <c r="V44" s="1">
        <v>35431</v>
      </c>
      <c r="W44" s="1">
        <v>35431</v>
      </c>
      <c r="X44" s="1">
        <v>35431</v>
      </c>
      <c r="Y44" s="1">
        <v>46388</v>
      </c>
      <c r="Z44" t="s">
        <v>51</v>
      </c>
      <c r="AB44" t="s">
        <v>54</v>
      </c>
      <c r="AC44">
        <v>1</v>
      </c>
      <c r="AE44" t="s">
        <v>84</v>
      </c>
      <c r="AF44">
        <v>20</v>
      </c>
      <c r="AG44" s="1">
        <v>35431</v>
      </c>
      <c r="AH44" s="1">
        <v>35431</v>
      </c>
      <c r="AI44" s="1">
        <v>35431</v>
      </c>
      <c r="AJ44" s="1">
        <v>42736</v>
      </c>
      <c r="AK44" t="s">
        <v>51</v>
      </c>
      <c r="AN44">
        <v>0</v>
      </c>
      <c r="AO44" t="s">
        <v>54</v>
      </c>
      <c r="AP44" t="s">
        <v>53</v>
      </c>
      <c r="AQ44">
        <v>0</v>
      </c>
      <c r="AR44" t="s">
        <v>53</v>
      </c>
      <c r="AS44">
        <v>0</v>
      </c>
      <c r="AT44">
        <v>0</v>
      </c>
      <c r="AW44" t="s">
        <v>58</v>
      </c>
      <c r="AX44">
        <v>20</v>
      </c>
      <c r="AY44" s="1">
        <v>35431</v>
      </c>
      <c r="AZ44" s="1">
        <v>35431</v>
      </c>
      <c r="BA44" s="1">
        <v>35431</v>
      </c>
      <c r="BB44" s="1">
        <v>42736</v>
      </c>
      <c r="BC44" t="s">
        <v>51</v>
      </c>
      <c r="BE44" t="s">
        <v>54</v>
      </c>
      <c r="BF44">
        <v>2</v>
      </c>
      <c r="BG44">
        <v>0</v>
      </c>
      <c r="BH44" t="s">
        <v>53</v>
      </c>
      <c r="BK44" t="s">
        <v>59</v>
      </c>
      <c r="BL44">
        <v>14000</v>
      </c>
      <c r="BM44" s="1">
        <v>44334</v>
      </c>
      <c r="BN44" s="1">
        <v>44334</v>
      </c>
      <c r="BO44" s="1">
        <v>44334</v>
      </c>
      <c r="BP44" s="1">
        <v>45551</v>
      </c>
      <c r="BQ44" t="s">
        <v>51</v>
      </c>
      <c r="BS44" t="s">
        <v>60</v>
      </c>
      <c r="BT44" t="s">
        <v>54</v>
      </c>
      <c r="BU44" t="s">
        <v>61</v>
      </c>
      <c r="BV44" t="s">
        <v>62</v>
      </c>
      <c r="BX44">
        <v>24</v>
      </c>
      <c r="BY44">
        <v>0</v>
      </c>
      <c r="BZ44">
        <v>0</v>
      </c>
    </row>
    <row r="45" spans="1:78" x14ac:dyDescent="0.2">
      <c r="A45" t="s">
        <v>45</v>
      </c>
      <c r="B45" t="s">
        <v>46</v>
      </c>
      <c r="C45" t="s">
        <v>90</v>
      </c>
      <c r="D45" t="s">
        <v>87</v>
      </c>
      <c r="F45" t="str">
        <f>"1282"</f>
        <v>1282</v>
      </c>
      <c r="G45" t="s">
        <v>49</v>
      </c>
      <c r="H45" t="s">
        <v>95</v>
      </c>
      <c r="K45" t="s">
        <v>51</v>
      </c>
      <c r="L45" t="s">
        <v>52</v>
      </c>
      <c r="M45">
        <v>136115.10999999999</v>
      </c>
      <c r="N45">
        <v>475102.52</v>
      </c>
      <c r="O45" t="s">
        <v>53</v>
      </c>
      <c r="P45" t="s">
        <v>54</v>
      </c>
      <c r="Q45" t="s">
        <v>55</v>
      </c>
      <c r="T45" t="s">
        <v>96</v>
      </c>
      <c r="U45">
        <v>30</v>
      </c>
      <c r="V45" s="1">
        <v>35431</v>
      </c>
      <c r="W45" s="1">
        <v>35431</v>
      </c>
      <c r="X45" s="1">
        <v>35431</v>
      </c>
      <c r="Y45" s="1">
        <v>46388</v>
      </c>
      <c r="Z45" t="s">
        <v>51</v>
      </c>
      <c r="AB45" t="s">
        <v>54</v>
      </c>
      <c r="AC45">
        <v>1</v>
      </c>
      <c r="AE45" t="s">
        <v>84</v>
      </c>
      <c r="AF45">
        <v>20</v>
      </c>
      <c r="AG45" s="1">
        <v>35431</v>
      </c>
      <c r="AH45" s="1">
        <v>35431</v>
      </c>
      <c r="AI45" s="1">
        <v>35431</v>
      </c>
      <c r="AJ45" s="1">
        <v>42736</v>
      </c>
      <c r="AK45" t="s">
        <v>51</v>
      </c>
      <c r="AN45">
        <v>0</v>
      </c>
      <c r="AO45" t="s">
        <v>54</v>
      </c>
      <c r="AP45" t="s">
        <v>53</v>
      </c>
      <c r="AQ45">
        <v>0</v>
      </c>
      <c r="AR45" t="s">
        <v>53</v>
      </c>
      <c r="AS45">
        <v>0</v>
      </c>
      <c r="AT45">
        <v>0</v>
      </c>
      <c r="AW45" t="s">
        <v>58</v>
      </c>
      <c r="AX45">
        <v>20</v>
      </c>
      <c r="AY45" s="1">
        <v>35431</v>
      </c>
      <c r="AZ45" s="1">
        <v>35431</v>
      </c>
      <c r="BA45" s="1">
        <v>35431</v>
      </c>
      <c r="BB45" s="1">
        <v>42736</v>
      </c>
      <c r="BC45" t="s">
        <v>51</v>
      </c>
      <c r="BE45" t="s">
        <v>54</v>
      </c>
      <c r="BF45">
        <v>2</v>
      </c>
      <c r="BG45">
        <v>0</v>
      </c>
      <c r="BH45" t="s">
        <v>53</v>
      </c>
      <c r="BK45" t="s">
        <v>59</v>
      </c>
      <c r="BL45">
        <v>14000</v>
      </c>
      <c r="BM45" s="1">
        <v>44334</v>
      </c>
      <c r="BN45" s="1">
        <v>44334</v>
      </c>
      <c r="BO45" s="1">
        <v>44334</v>
      </c>
      <c r="BP45" s="1">
        <v>45551</v>
      </c>
      <c r="BQ45" t="s">
        <v>51</v>
      </c>
      <c r="BS45" t="s">
        <v>60</v>
      </c>
      <c r="BT45" t="s">
        <v>54</v>
      </c>
      <c r="BU45" t="s">
        <v>61</v>
      </c>
      <c r="BV45" t="s">
        <v>62</v>
      </c>
      <c r="BX45">
        <v>24</v>
      </c>
      <c r="BY45">
        <v>0</v>
      </c>
      <c r="BZ45">
        <v>0</v>
      </c>
    </row>
    <row r="46" spans="1:78" x14ac:dyDescent="0.2">
      <c r="A46" t="s">
        <v>45</v>
      </c>
      <c r="B46" t="s">
        <v>46</v>
      </c>
      <c r="C46" t="s">
        <v>90</v>
      </c>
      <c r="D46" t="s">
        <v>87</v>
      </c>
      <c r="F46" t="str">
        <f>"1283"</f>
        <v>1283</v>
      </c>
      <c r="G46" t="s">
        <v>49</v>
      </c>
      <c r="H46" t="s">
        <v>97</v>
      </c>
      <c r="K46" t="s">
        <v>51</v>
      </c>
      <c r="L46" t="s">
        <v>52</v>
      </c>
      <c r="M46">
        <v>136142.34</v>
      </c>
      <c r="N46">
        <v>475085.59</v>
      </c>
      <c r="O46" t="s">
        <v>53</v>
      </c>
      <c r="P46" t="s">
        <v>54</v>
      </c>
      <c r="Q46" t="s">
        <v>55</v>
      </c>
      <c r="T46" t="s">
        <v>96</v>
      </c>
      <c r="U46">
        <v>30</v>
      </c>
      <c r="V46" s="1">
        <v>35431</v>
      </c>
      <c r="W46" s="1">
        <v>35431</v>
      </c>
      <c r="X46" s="1">
        <v>35431</v>
      </c>
      <c r="Y46" s="1">
        <v>46388</v>
      </c>
      <c r="Z46" t="s">
        <v>51</v>
      </c>
      <c r="AB46" t="s">
        <v>54</v>
      </c>
      <c r="AC46">
        <v>1</v>
      </c>
      <c r="AE46" t="s">
        <v>84</v>
      </c>
      <c r="AF46">
        <v>20</v>
      </c>
      <c r="AG46" s="1">
        <v>35431</v>
      </c>
      <c r="AH46" s="1">
        <v>35431</v>
      </c>
      <c r="AI46" s="1">
        <v>35431</v>
      </c>
      <c r="AJ46" s="1">
        <v>42736</v>
      </c>
      <c r="AK46" t="s">
        <v>51</v>
      </c>
      <c r="AN46">
        <v>0</v>
      </c>
      <c r="AO46" t="s">
        <v>54</v>
      </c>
      <c r="AP46" t="s">
        <v>53</v>
      </c>
      <c r="AQ46">
        <v>0</v>
      </c>
      <c r="AR46" t="s">
        <v>53</v>
      </c>
      <c r="AS46">
        <v>0</v>
      </c>
      <c r="AT46">
        <v>0</v>
      </c>
      <c r="AW46" t="s">
        <v>58</v>
      </c>
      <c r="AX46">
        <v>20</v>
      </c>
      <c r="AY46" s="1">
        <v>35431</v>
      </c>
      <c r="AZ46" s="1">
        <v>35431</v>
      </c>
      <c r="BA46" s="1">
        <v>35431</v>
      </c>
      <c r="BB46" s="1">
        <v>42736</v>
      </c>
      <c r="BC46" t="s">
        <v>51</v>
      </c>
      <c r="BE46" t="s">
        <v>54</v>
      </c>
      <c r="BF46">
        <v>2</v>
      </c>
      <c r="BG46">
        <v>0</v>
      </c>
      <c r="BH46" t="s">
        <v>53</v>
      </c>
      <c r="BK46" t="s">
        <v>59</v>
      </c>
      <c r="BL46">
        <v>14000</v>
      </c>
      <c r="BM46" s="1">
        <v>44334</v>
      </c>
      <c r="BN46" s="1">
        <v>44334</v>
      </c>
      <c r="BO46" s="1">
        <v>44334</v>
      </c>
      <c r="BP46" s="1">
        <v>45551</v>
      </c>
      <c r="BQ46" t="s">
        <v>51</v>
      </c>
      <c r="BS46" t="s">
        <v>60</v>
      </c>
      <c r="BT46" t="s">
        <v>54</v>
      </c>
      <c r="BU46" t="s">
        <v>61</v>
      </c>
      <c r="BV46" t="s">
        <v>62</v>
      </c>
      <c r="BX46">
        <v>24</v>
      </c>
      <c r="BY46">
        <v>0</v>
      </c>
      <c r="BZ46">
        <v>0</v>
      </c>
    </row>
    <row r="47" spans="1:78" x14ac:dyDescent="0.2">
      <c r="A47" t="s">
        <v>45</v>
      </c>
      <c r="B47" t="s">
        <v>46</v>
      </c>
      <c r="C47" t="s">
        <v>90</v>
      </c>
      <c r="D47" t="s">
        <v>87</v>
      </c>
      <c r="F47" t="str">
        <f>"1284"</f>
        <v>1284</v>
      </c>
      <c r="G47" t="s">
        <v>49</v>
      </c>
      <c r="H47" t="s">
        <v>97</v>
      </c>
      <c r="K47" t="s">
        <v>51</v>
      </c>
      <c r="L47" t="s">
        <v>52</v>
      </c>
      <c r="M47">
        <v>136169.37</v>
      </c>
      <c r="N47">
        <v>475071.35</v>
      </c>
      <c r="O47" t="s">
        <v>53</v>
      </c>
      <c r="P47" t="s">
        <v>54</v>
      </c>
      <c r="Q47" t="s">
        <v>55</v>
      </c>
      <c r="T47" t="s">
        <v>96</v>
      </c>
      <c r="U47">
        <v>30</v>
      </c>
      <c r="V47" s="1">
        <v>35431</v>
      </c>
      <c r="W47" s="1">
        <v>35431</v>
      </c>
      <c r="X47" s="1">
        <v>35431</v>
      </c>
      <c r="Y47" s="1">
        <v>46388</v>
      </c>
      <c r="Z47" t="s">
        <v>51</v>
      </c>
      <c r="AB47" t="s">
        <v>54</v>
      </c>
      <c r="AC47">
        <v>1</v>
      </c>
      <c r="AE47" t="s">
        <v>84</v>
      </c>
      <c r="AF47">
        <v>20</v>
      </c>
      <c r="AG47" s="1">
        <v>35431</v>
      </c>
      <c r="AH47" s="1">
        <v>35431</v>
      </c>
      <c r="AI47" s="1">
        <v>35431</v>
      </c>
      <c r="AJ47" s="1">
        <v>42736</v>
      </c>
      <c r="AK47" t="s">
        <v>51</v>
      </c>
      <c r="AN47">
        <v>0</v>
      </c>
      <c r="AO47" t="s">
        <v>54</v>
      </c>
      <c r="AP47" t="s">
        <v>53</v>
      </c>
      <c r="AQ47">
        <v>0</v>
      </c>
      <c r="AR47" t="s">
        <v>53</v>
      </c>
      <c r="AS47">
        <v>0</v>
      </c>
      <c r="AT47">
        <v>0</v>
      </c>
      <c r="AW47" t="s">
        <v>58</v>
      </c>
      <c r="AX47">
        <v>20</v>
      </c>
      <c r="AY47" s="1">
        <v>35431</v>
      </c>
      <c r="AZ47" s="1">
        <v>35431</v>
      </c>
      <c r="BA47" s="1">
        <v>35431</v>
      </c>
      <c r="BB47" s="1">
        <v>42736</v>
      </c>
      <c r="BC47" t="s">
        <v>51</v>
      </c>
      <c r="BE47" t="s">
        <v>54</v>
      </c>
      <c r="BF47">
        <v>2</v>
      </c>
      <c r="BG47">
        <v>0</v>
      </c>
      <c r="BH47" t="s">
        <v>53</v>
      </c>
      <c r="BK47" t="s">
        <v>59</v>
      </c>
      <c r="BL47">
        <v>14000</v>
      </c>
      <c r="BM47" s="1">
        <v>44334</v>
      </c>
      <c r="BN47" s="1">
        <v>44334</v>
      </c>
      <c r="BO47" s="1">
        <v>44334</v>
      </c>
      <c r="BP47" s="1">
        <v>45551</v>
      </c>
      <c r="BQ47" t="s">
        <v>51</v>
      </c>
      <c r="BS47" t="s">
        <v>60</v>
      </c>
      <c r="BT47" t="s">
        <v>54</v>
      </c>
      <c r="BU47" t="s">
        <v>61</v>
      </c>
      <c r="BV47" t="s">
        <v>62</v>
      </c>
      <c r="BX47">
        <v>24</v>
      </c>
      <c r="BY47">
        <v>0</v>
      </c>
      <c r="BZ47">
        <v>0</v>
      </c>
    </row>
    <row r="48" spans="1:78" x14ac:dyDescent="0.2">
      <c r="A48" t="s">
        <v>45</v>
      </c>
      <c r="B48" t="s">
        <v>46</v>
      </c>
      <c r="C48" t="s">
        <v>90</v>
      </c>
      <c r="D48" t="s">
        <v>87</v>
      </c>
      <c r="F48" t="str">
        <f>"1285"</f>
        <v>1285</v>
      </c>
      <c r="G48" t="s">
        <v>49</v>
      </c>
      <c r="H48" t="s">
        <v>97</v>
      </c>
      <c r="K48" t="s">
        <v>51</v>
      </c>
      <c r="L48" t="s">
        <v>52</v>
      </c>
      <c r="M48">
        <v>136197.49</v>
      </c>
      <c r="N48">
        <v>475056.71</v>
      </c>
      <c r="O48" t="s">
        <v>53</v>
      </c>
      <c r="P48" t="s">
        <v>54</v>
      </c>
      <c r="Q48" t="s">
        <v>55</v>
      </c>
      <c r="T48" t="s">
        <v>96</v>
      </c>
      <c r="U48">
        <v>30</v>
      </c>
      <c r="V48" s="1">
        <v>35431</v>
      </c>
      <c r="W48" s="1">
        <v>35431</v>
      </c>
      <c r="X48" s="1">
        <v>35431</v>
      </c>
      <c r="Y48" s="1">
        <v>46388</v>
      </c>
      <c r="Z48" t="s">
        <v>51</v>
      </c>
      <c r="AB48" t="s">
        <v>54</v>
      </c>
      <c r="AC48">
        <v>1</v>
      </c>
      <c r="AE48" t="s">
        <v>84</v>
      </c>
      <c r="AF48">
        <v>20</v>
      </c>
      <c r="AG48" s="1">
        <v>35431</v>
      </c>
      <c r="AH48" s="1">
        <v>35431</v>
      </c>
      <c r="AI48" s="1">
        <v>35431</v>
      </c>
      <c r="AJ48" s="1">
        <v>42736</v>
      </c>
      <c r="AK48" t="s">
        <v>51</v>
      </c>
      <c r="AN48">
        <v>0</v>
      </c>
      <c r="AO48" t="s">
        <v>54</v>
      </c>
      <c r="AP48" t="s">
        <v>53</v>
      </c>
      <c r="AQ48">
        <v>0</v>
      </c>
      <c r="AR48" t="s">
        <v>53</v>
      </c>
      <c r="AS48">
        <v>0</v>
      </c>
      <c r="AT48">
        <v>0</v>
      </c>
      <c r="AW48" t="s">
        <v>58</v>
      </c>
      <c r="AX48">
        <v>20</v>
      </c>
      <c r="AY48" s="1">
        <v>35431</v>
      </c>
      <c r="AZ48" s="1">
        <v>35431</v>
      </c>
      <c r="BA48" s="1">
        <v>35431</v>
      </c>
      <c r="BB48" s="1">
        <v>42736</v>
      </c>
      <c r="BC48" t="s">
        <v>51</v>
      </c>
      <c r="BE48" t="s">
        <v>54</v>
      </c>
      <c r="BF48">
        <v>2</v>
      </c>
      <c r="BG48">
        <v>0</v>
      </c>
      <c r="BH48" t="s">
        <v>53</v>
      </c>
      <c r="BK48" t="s">
        <v>59</v>
      </c>
      <c r="BL48">
        <v>14000</v>
      </c>
      <c r="BM48" s="1">
        <v>44865</v>
      </c>
      <c r="BN48" s="1">
        <v>44865</v>
      </c>
      <c r="BO48" s="1">
        <v>44865</v>
      </c>
      <c r="BP48" s="1">
        <v>46025</v>
      </c>
      <c r="BQ48" t="s">
        <v>51</v>
      </c>
      <c r="BS48" t="s">
        <v>60</v>
      </c>
      <c r="BT48" t="s">
        <v>54</v>
      </c>
      <c r="BU48" t="s">
        <v>61</v>
      </c>
      <c r="BV48" t="s">
        <v>62</v>
      </c>
      <c r="BX48">
        <v>24</v>
      </c>
      <c r="BY48">
        <v>0</v>
      </c>
      <c r="BZ48">
        <v>0</v>
      </c>
    </row>
    <row r="49" spans="1:78" x14ac:dyDescent="0.2">
      <c r="A49" t="s">
        <v>45</v>
      </c>
      <c r="B49" t="s">
        <v>46</v>
      </c>
      <c r="C49" t="s">
        <v>90</v>
      </c>
      <c r="D49" t="s">
        <v>87</v>
      </c>
      <c r="F49" t="str">
        <f>"1286"</f>
        <v>1286</v>
      </c>
      <c r="G49" t="s">
        <v>49</v>
      </c>
      <c r="H49" t="s">
        <v>97</v>
      </c>
      <c r="K49" t="s">
        <v>51</v>
      </c>
      <c r="L49" t="s">
        <v>52</v>
      </c>
      <c r="M49">
        <v>136225.57999999999</v>
      </c>
      <c r="N49">
        <v>475041.98</v>
      </c>
      <c r="O49" t="s">
        <v>53</v>
      </c>
      <c r="P49" t="s">
        <v>54</v>
      </c>
      <c r="Q49" t="s">
        <v>55</v>
      </c>
      <c r="T49" t="s">
        <v>96</v>
      </c>
      <c r="U49">
        <v>30</v>
      </c>
      <c r="V49" s="1">
        <v>35431</v>
      </c>
      <c r="W49" s="1">
        <v>35431</v>
      </c>
      <c r="X49" s="1">
        <v>35431</v>
      </c>
      <c r="Y49" s="1">
        <v>46388</v>
      </c>
      <c r="Z49" t="s">
        <v>51</v>
      </c>
      <c r="AB49" t="s">
        <v>54</v>
      </c>
      <c r="AC49">
        <v>1</v>
      </c>
      <c r="AE49" t="s">
        <v>84</v>
      </c>
      <c r="AF49">
        <v>20</v>
      </c>
      <c r="AG49" s="1">
        <v>35431</v>
      </c>
      <c r="AH49" s="1">
        <v>35431</v>
      </c>
      <c r="AI49" s="1">
        <v>35431</v>
      </c>
      <c r="AJ49" s="1">
        <v>42736</v>
      </c>
      <c r="AK49" t="s">
        <v>51</v>
      </c>
      <c r="AN49">
        <v>0</v>
      </c>
      <c r="AO49" t="s">
        <v>54</v>
      </c>
      <c r="AP49" t="s">
        <v>53</v>
      </c>
      <c r="AQ49">
        <v>0</v>
      </c>
      <c r="AR49" t="s">
        <v>53</v>
      </c>
      <c r="AS49">
        <v>0</v>
      </c>
      <c r="AT49">
        <v>0</v>
      </c>
      <c r="AW49" t="s">
        <v>58</v>
      </c>
      <c r="AX49">
        <v>20</v>
      </c>
      <c r="AY49" s="1">
        <v>35431</v>
      </c>
      <c r="AZ49" s="1">
        <v>35431</v>
      </c>
      <c r="BA49" s="1">
        <v>35431</v>
      </c>
      <c r="BB49" s="1">
        <v>42736</v>
      </c>
      <c r="BC49" t="s">
        <v>51</v>
      </c>
      <c r="BE49" t="s">
        <v>54</v>
      </c>
      <c r="BF49">
        <v>2</v>
      </c>
      <c r="BG49">
        <v>0</v>
      </c>
      <c r="BH49" t="s">
        <v>53</v>
      </c>
      <c r="BK49" t="s">
        <v>59</v>
      </c>
      <c r="BL49">
        <v>14000</v>
      </c>
      <c r="BM49" s="1">
        <v>44334</v>
      </c>
      <c r="BN49" s="1">
        <v>44334</v>
      </c>
      <c r="BO49" s="1">
        <v>44334</v>
      </c>
      <c r="BP49" s="1">
        <v>45551</v>
      </c>
      <c r="BQ49" t="s">
        <v>51</v>
      </c>
      <c r="BS49" t="s">
        <v>60</v>
      </c>
      <c r="BT49" t="s">
        <v>54</v>
      </c>
      <c r="BU49" t="s">
        <v>61</v>
      </c>
      <c r="BV49" t="s">
        <v>62</v>
      </c>
      <c r="BX49">
        <v>24</v>
      </c>
      <c r="BY49">
        <v>0</v>
      </c>
      <c r="BZ49">
        <v>0</v>
      </c>
    </row>
    <row r="50" spans="1:78" x14ac:dyDescent="0.2">
      <c r="A50" t="s">
        <v>45</v>
      </c>
      <c r="B50" t="s">
        <v>46</v>
      </c>
      <c r="C50" t="s">
        <v>90</v>
      </c>
      <c r="D50" t="s">
        <v>87</v>
      </c>
      <c r="F50" t="str">
        <f>"1287"</f>
        <v>1287</v>
      </c>
      <c r="G50" t="s">
        <v>49</v>
      </c>
      <c r="H50" t="s">
        <v>97</v>
      </c>
      <c r="K50" t="s">
        <v>51</v>
      </c>
      <c r="L50" t="s">
        <v>52</v>
      </c>
      <c r="M50">
        <v>136253.98000000001</v>
      </c>
      <c r="N50">
        <v>475027.14</v>
      </c>
      <c r="O50" t="s">
        <v>53</v>
      </c>
      <c r="P50" t="s">
        <v>54</v>
      </c>
      <c r="Q50" t="s">
        <v>55</v>
      </c>
      <c r="T50" t="s">
        <v>96</v>
      </c>
      <c r="U50">
        <v>30</v>
      </c>
      <c r="V50" s="1">
        <v>35431</v>
      </c>
      <c r="W50" s="1">
        <v>35431</v>
      </c>
      <c r="X50" s="1">
        <v>35431</v>
      </c>
      <c r="Y50" s="1">
        <v>46388</v>
      </c>
      <c r="Z50" t="s">
        <v>51</v>
      </c>
      <c r="AB50" t="s">
        <v>54</v>
      </c>
      <c r="AC50">
        <v>1</v>
      </c>
      <c r="AE50" t="s">
        <v>84</v>
      </c>
      <c r="AF50">
        <v>20</v>
      </c>
      <c r="AG50" s="1">
        <v>35431</v>
      </c>
      <c r="AH50" s="1">
        <v>35431</v>
      </c>
      <c r="AI50" s="1">
        <v>35431</v>
      </c>
      <c r="AJ50" s="1">
        <v>42736</v>
      </c>
      <c r="AK50" t="s">
        <v>51</v>
      </c>
      <c r="AN50">
        <v>0</v>
      </c>
      <c r="AO50" t="s">
        <v>54</v>
      </c>
      <c r="AP50" t="s">
        <v>53</v>
      </c>
      <c r="AQ50">
        <v>0</v>
      </c>
      <c r="AR50" t="s">
        <v>53</v>
      </c>
      <c r="AS50">
        <v>0</v>
      </c>
      <c r="AT50">
        <v>0</v>
      </c>
      <c r="AW50" t="s">
        <v>58</v>
      </c>
      <c r="AX50">
        <v>20</v>
      </c>
      <c r="AY50" s="1">
        <v>35431</v>
      </c>
      <c r="AZ50" s="1">
        <v>35431</v>
      </c>
      <c r="BA50" s="1">
        <v>35431</v>
      </c>
      <c r="BB50" s="1">
        <v>42736</v>
      </c>
      <c r="BC50" t="s">
        <v>51</v>
      </c>
      <c r="BE50" t="s">
        <v>54</v>
      </c>
      <c r="BF50">
        <v>2</v>
      </c>
      <c r="BG50">
        <v>0</v>
      </c>
      <c r="BH50" t="s">
        <v>53</v>
      </c>
      <c r="BK50" t="s">
        <v>59</v>
      </c>
      <c r="BL50">
        <v>14000</v>
      </c>
      <c r="BM50" s="1">
        <v>44334</v>
      </c>
      <c r="BN50" s="1">
        <v>44334</v>
      </c>
      <c r="BO50" s="1">
        <v>44334</v>
      </c>
      <c r="BP50" s="1">
        <v>45551</v>
      </c>
      <c r="BQ50" t="s">
        <v>51</v>
      </c>
      <c r="BS50" t="s">
        <v>60</v>
      </c>
      <c r="BT50" t="s">
        <v>54</v>
      </c>
      <c r="BU50" t="s">
        <v>61</v>
      </c>
      <c r="BV50" t="s">
        <v>62</v>
      </c>
      <c r="BX50">
        <v>24</v>
      </c>
      <c r="BY50">
        <v>0</v>
      </c>
      <c r="BZ50">
        <v>0</v>
      </c>
    </row>
    <row r="51" spans="1:78" x14ac:dyDescent="0.2">
      <c r="A51" t="s">
        <v>45</v>
      </c>
      <c r="B51" t="s">
        <v>46</v>
      </c>
      <c r="C51" t="s">
        <v>90</v>
      </c>
      <c r="D51" t="s">
        <v>87</v>
      </c>
      <c r="F51" t="str">
        <f>"1288"</f>
        <v>1288</v>
      </c>
      <c r="G51" t="s">
        <v>49</v>
      </c>
      <c r="H51" t="s">
        <v>97</v>
      </c>
      <c r="K51" t="s">
        <v>51</v>
      </c>
      <c r="L51" t="s">
        <v>52</v>
      </c>
      <c r="M51">
        <v>136281.54999999999</v>
      </c>
      <c r="N51">
        <v>475012.43</v>
      </c>
      <c r="O51" t="s">
        <v>53</v>
      </c>
      <c r="P51" t="s">
        <v>54</v>
      </c>
      <c r="Q51" t="s">
        <v>55</v>
      </c>
      <c r="T51" t="s">
        <v>96</v>
      </c>
      <c r="U51">
        <v>30</v>
      </c>
      <c r="V51" s="1">
        <v>35431</v>
      </c>
      <c r="W51" s="1">
        <v>35431</v>
      </c>
      <c r="X51" s="1">
        <v>35431</v>
      </c>
      <c r="Y51" s="1">
        <v>46388</v>
      </c>
      <c r="Z51" t="s">
        <v>51</v>
      </c>
      <c r="AB51" t="s">
        <v>54</v>
      </c>
      <c r="AC51">
        <v>1</v>
      </c>
      <c r="AE51" t="s">
        <v>84</v>
      </c>
      <c r="AF51">
        <v>20</v>
      </c>
      <c r="AG51" s="1">
        <v>35431</v>
      </c>
      <c r="AH51" s="1">
        <v>35431</v>
      </c>
      <c r="AI51" s="1">
        <v>35431</v>
      </c>
      <c r="AJ51" s="1">
        <v>42736</v>
      </c>
      <c r="AK51" t="s">
        <v>51</v>
      </c>
      <c r="AN51">
        <v>0</v>
      </c>
      <c r="AO51" t="s">
        <v>54</v>
      </c>
      <c r="AP51" t="s">
        <v>53</v>
      </c>
      <c r="AQ51">
        <v>0</v>
      </c>
      <c r="AR51" t="s">
        <v>53</v>
      </c>
      <c r="AS51">
        <v>0</v>
      </c>
      <c r="AT51">
        <v>0</v>
      </c>
      <c r="AW51" t="s">
        <v>58</v>
      </c>
      <c r="AX51">
        <v>20</v>
      </c>
      <c r="AY51" s="1">
        <v>35431</v>
      </c>
      <c r="AZ51" s="1">
        <v>35431</v>
      </c>
      <c r="BA51" s="1">
        <v>35431</v>
      </c>
      <c r="BB51" s="1">
        <v>42736</v>
      </c>
      <c r="BC51" t="s">
        <v>51</v>
      </c>
      <c r="BE51" t="s">
        <v>54</v>
      </c>
      <c r="BF51">
        <v>2</v>
      </c>
      <c r="BG51">
        <v>0</v>
      </c>
      <c r="BH51" t="s">
        <v>53</v>
      </c>
      <c r="BK51" t="s">
        <v>59</v>
      </c>
      <c r="BL51">
        <v>14000</v>
      </c>
      <c r="BM51" s="1">
        <v>44334</v>
      </c>
      <c r="BN51" s="1">
        <v>44334</v>
      </c>
      <c r="BO51" s="1">
        <v>44334</v>
      </c>
      <c r="BP51" s="1">
        <v>45551</v>
      </c>
      <c r="BQ51" t="s">
        <v>51</v>
      </c>
      <c r="BS51" t="s">
        <v>60</v>
      </c>
      <c r="BT51" t="s">
        <v>54</v>
      </c>
      <c r="BU51" t="s">
        <v>61</v>
      </c>
      <c r="BV51" t="s">
        <v>62</v>
      </c>
      <c r="BX51">
        <v>24</v>
      </c>
      <c r="BY51">
        <v>0</v>
      </c>
      <c r="BZ51">
        <v>0</v>
      </c>
    </row>
    <row r="52" spans="1:78" x14ac:dyDescent="0.2">
      <c r="A52" t="s">
        <v>45</v>
      </c>
      <c r="B52" t="s">
        <v>46</v>
      </c>
      <c r="C52" t="s">
        <v>47</v>
      </c>
      <c r="D52" t="s">
        <v>87</v>
      </c>
      <c r="F52" t="str">
        <f>"1289"</f>
        <v>1289</v>
      </c>
      <c r="G52" t="s">
        <v>49</v>
      </c>
      <c r="H52" t="s">
        <v>97</v>
      </c>
      <c r="K52" t="s">
        <v>51</v>
      </c>
      <c r="L52" t="s">
        <v>52</v>
      </c>
      <c r="M52">
        <v>136309.70000000001</v>
      </c>
      <c r="N52">
        <v>474997.84</v>
      </c>
      <c r="O52" t="s">
        <v>53</v>
      </c>
      <c r="P52" t="s">
        <v>54</v>
      </c>
      <c r="Q52" t="s">
        <v>55</v>
      </c>
      <c r="T52" t="s">
        <v>96</v>
      </c>
      <c r="U52">
        <v>30</v>
      </c>
      <c r="V52" s="1">
        <v>35431</v>
      </c>
      <c r="W52" s="1">
        <v>35431</v>
      </c>
      <c r="X52" s="1">
        <v>35431</v>
      </c>
      <c r="Y52" s="1">
        <v>46388</v>
      </c>
      <c r="Z52" t="s">
        <v>51</v>
      </c>
      <c r="AB52" t="s">
        <v>54</v>
      </c>
      <c r="AC52">
        <v>1</v>
      </c>
      <c r="AE52" t="s">
        <v>84</v>
      </c>
      <c r="AF52">
        <v>20</v>
      </c>
      <c r="AG52" s="1">
        <v>35431</v>
      </c>
      <c r="AH52" s="1">
        <v>35431</v>
      </c>
      <c r="AI52" s="1">
        <v>35431</v>
      </c>
      <c r="AJ52" s="1">
        <v>42736</v>
      </c>
      <c r="AK52" t="s">
        <v>51</v>
      </c>
      <c r="AN52">
        <v>0</v>
      </c>
      <c r="AO52" t="s">
        <v>54</v>
      </c>
      <c r="AP52" t="s">
        <v>53</v>
      </c>
      <c r="AQ52">
        <v>0</v>
      </c>
      <c r="AR52" t="s">
        <v>53</v>
      </c>
      <c r="AS52">
        <v>0</v>
      </c>
      <c r="AT52">
        <v>0</v>
      </c>
      <c r="AW52" t="s">
        <v>58</v>
      </c>
      <c r="AX52">
        <v>20</v>
      </c>
      <c r="AY52" s="1">
        <v>35431</v>
      </c>
      <c r="AZ52" s="1">
        <v>35431</v>
      </c>
      <c r="BA52" s="1">
        <v>35431</v>
      </c>
      <c r="BB52" s="1">
        <v>42736</v>
      </c>
      <c r="BC52" t="s">
        <v>51</v>
      </c>
      <c r="BE52" t="s">
        <v>54</v>
      </c>
      <c r="BF52">
        <v>2</v>
      </c>
      <c r="BG52">
        <v>0</v>
      </c>
      <c r="BH52" t="s">
        <v>53</v>
      </c>
      <c r="BK52" t="s">
        <v>59</v>
      </c>
      <c r="BL52">
        <v>14000</v>
      </c>
      <c r="BM52" s="1">
        <v>44334</v>
      </c>
      <c r="BN52" s="1">
        <v>44334</v>
      </c>
      <c r="BO52" s="1">
        <v>44334</v>
      </c>
      <c r="BP52" s="1">
        <v>45551</v>
      </c>
      <c r="BQ52" t="s">
        <v>51</v>
      </c>
      <c r="BS52" t="s">
        <v>60</v>
      </c>
      <c r="BT52" t="s">
        <v>54</v>
      </c>
      <c r="BU52" t="s">
        <v>61</v>
      </c>
      <c r="BV52" t="s">
        <v>62</v>
      </c>
      <c r="BX52">
        <v>24</v>
      </c>
      <c r="BY52">
        <v>0</v>
      </c>
      <c r="BZ52">
        <v>0</v>
      </c>
    </row>
    <row r="53" spans="1:78" x14ac:dyDescent="0.2">
      <c r="A53" t="s">
        <v>45</v>
      </c>
      <c r="B53" t="s">
        <v>46</v>
      </c>
      <c r="C53" t="s">
        <v>47</v>
      </c>
      <c r="D53" t="s">
        <v>87</v>
      </c>
      <c r="F53" t="str">
        <f>"1290"</f>
        <v>1290</v>
      </c>
      <c r="G53" t="s">
        <v>49</v>
      </c>
      <c r="H53" t="s">
        <v>97</v>
      </c>
      <c r="K53" t="s">
        <v>51</v>
      </c>
      <c r="L53" t="s">
        <v>52</v>
      </c>
      <c r="M53">
        <v>136337.54</v>
      </c>
      <c r="N53">
        <v>474983.06</v>
      </c>
      <c r="O53" t="s">
        <v>53</v>
      </c>
      <c r="P53" t="s">
        <v>54</v>
      </c>
      <c r="Q53" t="s">
        <v>55</v>
      </c>
      <c r="T53" t="s">
        <v>96</v>
      </c>
      <c r="U53">
        <v>30</v>
      </c>
      <c r="V53" s="1">
        <v>35431</v>
      </c>
      <c r="W53" s="1">
        <v>35431</v>
      </c>
      <c r="X53" s="1">
        <v>35431</v>
      </c>
      <c r="Y53" s="1">
        <v>46388</v>
      </c>
      <c r="Z53" t="s">
        <v>51</v>
      </c>
      <c r="AB53" t="s">
        <v>54</v>
      </c>
      <c r="AC53">
        <v>1</v>
      </c>
      <c r="AE53" t="s">
        <v>84</v>
      </c>
      <c r="AF53">
        <v>20</v>
      </c>
      <c r="AG53" s="1">
        <v>35431</v>
      </c>
      <c r="AH53" s="1">
        <v>35431</v>
      </c>
      <c r="AI53" s="1">
        <v>35431</v>
      </c>
      <c r="AJ53" s="1">
        <v>42736</v>
      </c>
      <c r="AK53" t="s">
        <v>51</v>
      </c>
      <c r="AN53">
        <v>0</v>
      </c>
      <c r="AO53" t="s">
        <v>54</v>
      </c>
      <c r="AP53" t="s">
        <v>53</v>
      </c>
      <c r="AQ53">
        <v>0</v>
      </c>
      <c r="AR53" t="s">
        <v>53</v>
      </c>
      <c r="AS53">
        <v>0</v>
      </c>
      <c r="AT53">
        <v>0</v>
      </c>
      <c r="AW53" t="s">
        <v>58</v>
      </c>
      <c r="AX53">
        <v>20</v>
      </c>
      <c r="AY53" s="1">
        <v>35431</v>
      </c>
      <c r="AZ53" s="1">
        <v>35431</v>
      </c>
      <c r="BA53" s="1">
        <v>35431</v>
      </c>
      <c r="BB53" s="1">
        <v>42736</v>
      </c>
      <c r="BC53" t="s">
        <v>51</v>
      </c>
      <c r="BE53" t="s">
        <v>54</v>
      </c>
      <c r="BF53">
        <v>2</v>
      </c>
      <c r="BG53">
        <v>0</v>
      </c>
      <c r="BH53" t="s">
        <v>53</v>
      </c>
      <c r="BK53" t="s">
        <v>59</v>
      </c>
      <c r="BL53">
        <v>14000</v>
      </c>
      <c r="BM53" s="1">
        <v>44334</v>
      </c>
      <c r="BN53" s="1">
        <v>44334</v>
      </c>
      <c r="BO53" s="1">
        <v>44334</v>
      </c>
      <c r="BP53" s="1">
        <v>45551</v>
      </c>
      <c r="BQ53" t="s">
        <v>51</v>
      </c>
      <c r="BS53" t="s">
        <v>60</v>
      </c>
      <c r="BT53" t="s">
        <v>54</v>
      </c>
      <c r="BU53" t="s">
        <v>61</v>
      </c>
      <c r="BV53" t="s">
        <v>62</v>
      </c>
      <c r="BX53">
        <v>24</v>
      </c>
      <c r="BY53">
        <v>0</v>
      </c>
      <c r="BZ53">
        <v>0</v>
      </c>
    </row>
    <row r="54" spans="1:78" x14ac:dyDescent="0.2">
      <c r="A54" t="s">
        <v>45</v>
      </c>
      <c r="B54" t="s">
        <v>46</v>
      </c>
      <c r="C54" t="s">
        <v>47</v>
      </c>
      <c r="D54" t="s">
        <v>87</v>
      </c>
      <c r="F54" t="str">
        <f>"1291"</f>
        <v>1291</v>
      </c>
      <c r="G54" t="s">
        <v>49</v>
      </c>
      <c r="H54" t="s">
        <v>97</v>
      </c>
      <c r="K54" t="s">
        <v>51</v>
      </c>
      <c r="L54" t="s">
        <v>52</v>
      </c>
      <c r="M54">
        <v>136365.76999999999</v>
      </c>
      <c r="N54">
        <v>474968.16</v>
      </c>
      <c r="O54" t="s">
        <v>53</v>
      </c>
      <c r="P54" t="s">
        <v>54</v>
      </c>
      <c r="Q54" t="s">
        <v>55</v>
      </c>
      <c r="T54" t="s">
        <v>96</v>
      </c>
      <c r="U54">
        <v>30</v>
      </c>
      <c r="V54" s="1">
        <v>35431</v>
      </c>
      <c r="W54" s="1">
        <v>35431</v>
      </c>
      <c r="X54" s="1">
        <v>35431</v>
      </c>
      <c r="Y54" s="1">
        <v>46388</v>
      </c>
      <c r="Z54" t="s">
        <v>51</v>
      </c>
      <c r="AB54" t="s">
        <v>54</v>
      </c>
      <c r="AC54">
        <v>1</v>
      </c>
      <c r="AE54" t="s">
        <v>84</v>
      </c>
      <c r="AF54">
        <v>20</v>
      </c>
      <c r="AG54" s="1">
        <v>35431</v>
      </c>
      <c r="AH54" s="1">
        <v>35431</v>
      </c>
      <c r="AI54" s="1">
        <v>35431</v>
      </c>
      <c r="AJ54" s="1">
        <v>42736</v>
      </c>
      <c r="AK54" t="s">
        <v>51</v>
      </c>
      <c r="AN54">
        <v>0</v>
      </c>
      <c r="AO54" t="s">
        <v>54</v>
      </c>
      <c r="AP54" t="s">
        <v>53</v>
      </c>
      <c r="AQ54">
        <v>0</v>
      </c>
      <c r="AR54" t="s">
        <v>53</v>
      </c>
      <c r="AS54">
        <v>0</v>
      </c>
      <c r="AT54">
        <v>0</v>
      </c>
      <c r="AW54" t="s">
        <v>58</v>
      </c>
      <c r="AX54">
        <v>20</v>
      </c>
      <c r="AY54" s="1">
        <v>35431</v>
      </c>
      <c r="AZ54" s="1">
        <v>35431</v>
      </c>
      <c r="BA54" s="1">
        <v>35431</v>
      </c>
      <c r="BB54" s="1">
        <v>42736</v>
      </c>
      <c r="BC54" t="s">
        <v>51</v>
      </c>
      <c r="BE54" t="s">
        <v>54</v>
      </c>
      <c r="BF54">
        <v>2</v>
      </c>
      <c r="BG54">
        <v>0</v>
      </c>
      <c r="BH54" t="s">
        <v>53</v>
      </c>
      <c r="BK54" t="s">
        <v>59</v>
      </c>
      <c r="BL54">
        <v>14000</v>
      </c>
      <c r="BM54" s="1">
        <v>44334</v>
      </c>
      <c r="BN54" s="1">
        <v>44334</v>
      </c>
      <c r="BO54" s="1">
        <v>44334</v>
      </c>
      <c r="BP54" s="1">
        <v>45551</v>
      </c>
      <c r="BQ54" t="s">
        <v>51</v>
      </c>
      <c r="BS54" t="s">
        <v>60</v>
      </c>
      <c r="BT54" t="s">
        <v>54</v>
      </c>
      <c r="BU54" t="s">
        <v>61</v>
      </c>
      <c r="BV54" t="s">
        <v>62</v>
      </c>
      <c r="BX54">
        <v>24</v>
      </c>
      <c r="BY54">
        <v>0</v>
      </c>
      <c r="BZ54">
        <v>0</v>
      </c>
    </row>
    <row r="55" spans="1:78" x14ac:dyDescent="0.2">
      <c r="A55" t="s">
        <v>45</v>
      </c>
      <c r="B55" t="s">
        <v>46</v>
      </c>
      <c r="C55" t="s">
        <v>47</v>
      </c>
      <c r="D55" t="s">
        <v>87</v>
      </c>
      <c r="F55" t="str">
        <f>"1292"</f>
        <v>1292</v>
      </c>
      <c r="G55" t="s">
        <v>49</v>
      </c>
      <c r="H55" t="s">
        <v>97</v>
      </c>
      <c r="K55" t="s">
        <v>51</v>
      </c>
      <c r="L55" t="s">
        <v>52</v>
      </c>
      <c r="M55">
        <v>136394.19</v>
      </c>
      <c r="N55">
        <v>474953.28</v>
      </c>
      <c r="O55" t="s">
        <v>53</v>
      </c>
      <c r="P55" t="s">
        <v>54</v>
      </c>
      <c r="Q55" t="s">
        <v>55</v>
      </c>
      <c r="T55" t="s">
        <v>96</v>
      </c>
      <c r="U55">
        <v>30</v>
      </c>
      <c r="V55" s="1">
        <v>35431</v>
      </c>
      <c r="W55" s="1">
        <v>35431</v>
      </c>
      <c r="X55" s="1">
        <v>35431</v>
      </c>
      <c r="Y55" s="1">
        <v>46388</v>
      </c>
      <c r="Z55" t="s">
        <v>51</v>
      </c>
      <c r="AB55" t="s">
        <v>54</v>
      </c>
      <c r="AC55">
        <v>1</v>
      </c>
      <c r="AE55" t="s">
        <v>84</v>
      </c>
      <c r="AF55">
        <v>20</v>
      </c>
      <c r="AG55" s="1">
        <v>35431</v>
      </c>
      <c r="AH55" s="1">
        <v>35431</v>
      </c>
      <c r="AI55" s="1">
        <v>35431</v>
      </c>
      <c r="AJ55" s="1">
        <v>42736</v>
      </c>
      <c r="AK55" t="s">
        <v>51</v>
      </c>
      <c r="AN55">
        <v>0</v>
      </c>
      <c r="AO55" t="s">
        <v>54</v>
      </c>
      <c r="AP55" t="s">
        <v>53</v>
      </c>
      <c r="AQ55">
        <v>0</v>
      </c>
      <c r="AR55" t="s">
        <v>53</v>
      </c>
      <c r="AS55">
        <v>0</v>
      </c>
      <c r="AT55">
        <v>0</v>
      </c>
      <c r="AW55" t="s">
        <v>58</v>
      </c>
      <c r="AX55">
        <v>20</v>
      </c>
      <c r="AY55" s="1">
        <v>35431</v>
      </c>
      <c r="AZ55" s="1">
        <v>35431</v>
      </c>
      <c r="BA55" s="1">
        <v>35431</v>
      </c>
      <c r="BB55" s="1">
        <v>42736</v>
      </c>
      <c r="BC55" t="s">
        <v>51</v>
      </c>
      <c r="BE55" t="s">
        <v>54</v>
      </c>
      <c r="BF55">
        <v>2</v>
      </c>
      <c r="BG55">
        <v>0</v>
      </c>
      <c r="BH55" t="s">
        <v>53</v>
      </c>
      <c r="BK55" t="s">
        <v>59</v>
      </c>
      <c r="BL55">
        <v>14000</v>
      </c>
      <c r="BM55" s="1">
        <v>44334</v>
      </c>
      <c r="BN55" s="1">
        <v>44334</v>
      </c>
      <c r="BO55" s="1">
        <v>44334</v>
      </c>
      <c r="BP55" s="1">
        <v>45551</v>
      </c>
      <c r="BQ55" t="s">
        <v>51</v>
      </c>
      <c r="BS55" t="s">
        <v>60</v>
      </c>
      <c r="BT55" t="s">
        <v>54</v>
      </c>
      <c r="BU55" t="s">
        <v>61</v>
      </c>
      <c r="BV55" t="s">
        <v>62</v>
      </c>
      <c r="BX55">
        <v>24</v>
      </c>
      <c r="BY55">
        <v>0</v>
      </c>
      <c r="BZ55">
        <v>0</v>
      </c>
    </row>
    <row r="56" spans="1:78" x14ac:dyDescent="0.2">
      <c r="A56" t="s">
        <v>45</v>
      </c>
      <c r="B56" t="s">
        <v>46</v>
      </c>
      <c r="C56" t="s">
        <v>47</v>
      </c>
      <c r="D56" t="s">
        <v>87</v>
      </c>
      <c r="F56" t="str">
        <f>"1293"</f>
        <v>1293</v>
      </c>
      <c r="G56" t="s">
        <v>49</v>
      </c>
      <c r="H56" t="s">
        <v>97</v>
      </c>
      <c r="K56" t="s">
        <v>51</v>
      </c>
      <c r="L56" t="s">
        <v>52</v>
      </c>
      <c r="M56">
        <v>136422.07</v>
      </c>
      <c r="N56">
        <v>474938.3</v>
      </c>
      <c r="O56" t="s">
        <v>53</v>
      </c>
      <c r="P56" t="s">
        <v>54</v>
      </c>
      <c r="Q56" t="s">
        <v>55</v>
      </c>
      <c r="T56" t="s">
        <v>96</v>
      </c>
      <c r="U56">
        <v>30</v>
      </c>
      <c r="V56" s="1">
        <v>35431</v>
      </c>
      <c r="W56" s="1">
        <v>35431</v>
      </c>
      <c r="X56" s="1">
        <v>35431</v>
      </c>
      <c r="Y56" s="1">
        <v>46388</v>
      </c>
      <c r="Z56" t="s">
        <v>51</v>
      </c>
      <c r="AB56" t="s">
        <v>54</v>
      </c>
      <c r="AC56">
        <v>1</v>
      </c>
      <c r="AE56" t="s">
        <v>84</v>
      </c>
      <c r="AF56">
        <v>20</v>
      </c>
      <c r="AG56" s="1">
        <v>35431</v>
      </c>
      <c r="AH56" s="1">
        <v>35431</v>
      </c>
      <c r="AI56" s="1">
        <v>35431</v>
      </c>
      <c r="AJ56" s="1">
        <v>42736</v>
      </c>
      <c r="AK56" t="s">
        <v>51</v>
      </c>
      <c r="AN56">
        <v>0</v>
      </c>
      <c r="AO56" t="s">
        <v>54</v>
      </c>
      <c r="AP56" t="s">
        <v>53</v>
      </c>
      <c r="AQ56">
        <v>0</v>
      </c>
      <c r="AR56" t="s">
        <v>53</v>
      </c>
      <c r="AS56">
        <v>0</v>
      </c>
      <c r="AT56">
        <v>0</v>
      </c>
      <c r="AW56" t="s">
        <v>58</v>
      </c>
      <c r="AX56">
        <v>20</v>
      </c>
      <c r="AY56" s="1">
        <v>35431</v>
      </c>
      <c r="AZ56" s="1">
        <v>35431</v>
      </c>
      <c r="BA56" s="1">
        <v>35431</v>
      </c>
      <c r="BB56" s="1">
        <v>42736</v>
      </c>
      <c r="BC56" t="s">
        <v>51</v>
      </c>
      <c r="BE56" t="s">
        <v>54</v>
      </c>
      <c r="BF56">
        <v>2</v>
      </c>
      <c r="BG56">
        <v>0</v>
      </c>
      <c r="BH56" t="s">
        <v>53</v>
      </c>
      <c r="BK56" t="s">
        <v>59</v>
      </c>
      <c r="BL56">
        <v>14000</v>
      </c>
      <c r="BM56" s="1">
        <v>44334</v>
      </c>
      <c r="BN56" s="1">
        <v>44334</v>
      </c>
      <c r="BO56" s="1">
        <v>44334</v>
      </c>
      <c r="BP56" s="1">
        <v>45551</v>
      </c>
      <c r="BQ56" t="s">
        <v>51</v>
      </c>
      <c r="BS56" t="s">
        <v>60</v>
      </c>
      <c r="BT56" t="s">
        <v>54</v>
      </c>
      <c r="BU56" t="s">
        <v>61</v>
      </c>
      <c r="BV56" t="s">
        <v>62</v>
      </c>
      <c r="BX56">
        <v>24</v>
      </c>
      <c r="BY56">
        <v>0</v>
      </c>
      <c r="BZ56">
        <v>0</v>
      </c>
    </row>
    <row r="57" spans="1:78" x14ac:dyDescent="0.2">
      <c r="A57" t="s">
        <v>45</v>
      </c>
      <c r="B57" t="s">
        <v>46</v>
      </c>
      <c r="C57" t="s">
        <v>47</v>
      </c>
      <c r="D57" t="s">
        <v>87</v>
      </c>
      <c r="F57" t="str">
        <f>"1294"</f>
        <v>1294</v>
      </c>
      <c r="G57" t="s">
        <v>49</v>
      </c>
      <c r="H57" t="s">
        <v>98</v>
      </c>
      <c r="K57" t="s">
        <v>51</v>
      </c>
      <c r="L57" t="s">
        <v>52</v>
      </c>
      <c r="M57">
        <v>136449.96</v>
      </c>
      <c r="N57">
        <v>474923.41</v>
      </c>
      <c r="O57" t="s">
        <v>53</v>
      </c>
      <c r="P57" t="s">
        <v>54</v>
      </c>
      <c r="Q57" t="s">
        <v>55</v>
      </c>
      <c r="T57" t="s">
        <v>96</v>
      </c>
      <c r="U57">
        <v>30</v>
      </c>
      <c r="V57" s="1">
        <v>35431</v>
      </c>
      <c r="W57" s="1">
        <v>35431</v>
      </c>
      <c r="X57" s="1">
        <v>35431</v>
      </c>
      <c r="Y57" s="1">
        <v>46388</v>
      </c>
      <c r="Z57" t="s">
        <v>51</v>
      </c>
      <c r="AB57" t="s">
        <v>54</v>
      </c>
      <c r="AC57">
        <v>1</v>
      </c>
      <c r="AE57" t="s">
        <v>84</v>
      </c>
      <c r="AF57">
        <v>20</v>
      </c>
      <c r="AG57" s="1">
        <v>35431</v>
      </c>
      <c r="AH57" s="1">
        <v>35431</v>
      </c>
      <c r="AI57" s="1">
        <v>35431</v>
      </c>
      <c r="AJ57" s="1">
        <v>42736</v>
      </c>
      <c r="AK57" t="s">
        <v>51</v>
      </c>
      <c r="AN57">
        <v>0</v>
      </c>
      <c r="AO57" t="s">
        <v>54</v>
      </c>
      <c r="AP57" t="s">
        <v>53</v>
      </c>
      <c r="AQ57">
        <v>0</v>
      </c>
      <c r="AR57" t="s">
        <v>53</v>
      </c>
      <c r="AS57">
        <v>0</v>
      </c>
      <c r="AT57">
        <v>0</v>
      </c>
      <c r="AW57" t="s">
        <v>58</v>
      </c>
      <c r="AX57">
        <v>20</v>
      </c>
      <c r="AY57" s="1">
        <v>35431</v>
      </c>
      <c r="AZ57" s="1">
        <v>35431</v>
      </c>
      <c r="BA57" s="1">
        <v>35431</v>
      </c>
      <c r="BB57" s="1">
        <v>42736</v>
      </c>
      <c r="BC57" t="s">
        <v>51</v>
      </c>
      <c r="BE57" t="s">
        <v>54</v>
      </c>
      <c r="BF57">
        <v>2</v>
      </c>
      <c r="BG57">
        <v>0</v>
      </c>
      <c r="BH57" t="s">
        <v>53</v>
      </c>
      <c r="BK57" t="s">
        <v>59</v>
      </c>
      <c r="BL57">
        <v>14000</v>
      </c>
      <c r="BM57" s="1">
        <v>44334</v>
      </c>
      <c r="BN57" s="1">
        <v>44334</v>
      </c>
      <c r="BO57" s="1">
        <v>44334</v>
      </c>
      <c r="BP57" s="1">
        <v>45551</v>
      </c>
      <c r="BQ57" t="s">
        <v>51</v>
      </c>
      <c r="BS57" t="s">
        <v>60</v>
      </c>
      <c r="BT57" t="s">
        <v>54</v>
      </c>
      <c r="BU57" t="s">
        <v>61</v>
      </c>
      <c r="BV57" t="s">
        <v>62</v>
      </c>
      <c r="BX57">
        <v>24</v>
      </c>
      <c r="BY57">
        <v>0</v>
      </c>
      <c r="BZ57">
        <v>0</v>
      </c>
    </row>
    <row r="58" spans="1:78" x14ac:dyDescent="0.2">
      <c r="A58" t="s">
        <v>45</v>
      </c>
      <c r="B58" t="s">
        <v>46</v>
      </c>
      <c r="C58" t="s">
        <v>47</v>
      </c>
      <c r="D58" t="s">
        <v>87</v>
      </c>
      <c r="F58" t="str">
        <f>"1296"</f>
        <v>1296</v>
      </c>
      <c r="G58" t="s">
        <v>49</v>
      </c>
      <c r="H58" t="s">
        <v>99</v>
      </c>
      <c r="K58" t="s">
        <v>51</v>
      </c>
      <c r="L58" t="s">
        <v>52</v>
      </c>
      <c r="M58">
        <v>136505.09</v>
      </c>
      <c r="N58">
        <v>474895.22</v>
      </c>
      <c r="O58" t="s">
        <v>53</v>
      </c>
      <c r="P58" t="s">
        <v>54</v>
      </c>
      <c r="Q58" t="s">
        <v>55</v>
      </c>
      <c r="T58" t="s">
        <v>100</v>
      </c>
      <c r="U58">
        <v>40</v>
      </c>
      <c r="V58" s="1">
        <v>35431</v>
      </c>
      <c r="W58" s="1">
        <v>35431</v>
      </c>
      <c r="X58" s="1">
        <v>35431</v>
      </c>
      <c r="Y58" s="1">
        <v>50041</v>
      </c>
      <c r="Z58" t="s">
        <v>51</v>
      </c>
      <c r="AB58" t="s">
        <v>54</v>
      </c>
      <c r="AC58">
        <v>1</v>
      </c>
      <c r="AE58" t="s">
        <v>84</v>
      </c>
      <c r="AF58">
        <v>20</v>
      </c>
      <c r="AG58" s="1">
        <v>35431</v>
      </c>
      <c r="AH58" s="1">
        <v>35431</v>
      </c>
      <c r="AI58" s="1">
        <v>35431</v>
      </c>
      <c r="AJ58" s="1">
        <v>42736</v>
      </c>
      <c r="AK58" t="s">
        <v>51</v>
      </c>
      <c r="AN58">
        <v>0</v>
      </c>
      <c r="AO58" t="s">
        <v>54</v>
      </c>
      <c r="AP58" t="s">
        <v>53</v>
      </c>
      <c r="AQ58">
        <v>0</v>
      </c>
      <c r="AR58" t="s">
        <v>53</v>
      </c>
      <c r="AS58">
        <v>0</v>
      </c>
      <c r="AT58">
        <v>0</v>
      </c>
      <c r="AW58" t="s">
        <v>58</v>
      </c>
      <c r="AX58">
        <v>20</v>
      </c>
      <c r="AY58" s="1">
        <v>35431</v>
      </c>
      <c r="AZ58" s="1">
        <v>35431</v>
      </c>
      <c r="BA58" s="1">
        <v>35431</v>
      </c>
      <c r="BB58" s="1">
        <v>42736</v>
      </c>
      <c r="BC58" t="s">
        <v>51</v>
      </c>
      <c r="BE58" t="s">
        <v>54</v>
      </c>
      <c r="BF58">
        <v>2</v>
      </c>
      <c r="BG58">
        <v>0</v>
      </c>
      <c r="BH58" t="s">
        <v>53</v>
      </c>
      <c r="BK58" t="s">
        <v>59</v>
      </c>
      <c r="BL58">
        <v>14000</v>
      </c>
      <c r="BM58" s="1">
        <v>44327</v>
      </c>
      <c r="BN58" s="1">
        <v>44327</v>
      </c>
      <c r="BO58" s="1">
        <v>44327</v>
      </c>
      <c r="BP58" s="1">
        <v>45547</v>
      </c>
      <c r="BQ58" t="s">
        <v>51</v>
      </c>
      <c r="BS58" t="s">
        <v>60</v>
      </c>
      <c r="BT58" t="s">
        <v>54</v>
      </c>
      <c r="BU58" t="s">
        <v>61</v>
      </c>
      <c r="BV58" t="s">
        <v>62</v>
      </c>
      <c r="BX58">
        <v>24</v>
      </c>
      <c r="BY58">
        <v>0</v>
      </c>
      <c r="BZ58">
        <v>0</v>
      </c>
    </row>
    <row r="59" spans="1:78" x14ac:dyDescent="0.2">
      <c r="A59" t="s">
        <v>45</v>
      </c>
      <c r="B59" t="s">
        <v>46</v>
      </c>
      <c r="C59" t="s">
        <v>47</v>
      </c>
      <c r="D59" t="s">
        <v>87</v>
      </c>
      <c r="F59" t="str">
        <f>"1297"</f>
        <v>1297</v>
      </c>
      <c r="G59" t="s">
        <v>49</v>
      </c>
      <c r="H59" t="s">
        <v>101</v>
      </c>
      <c r="K59" t="s">
        <v>51</v>
      </c>
      <c r="L59" t="s">
        <v>52</v>
      </c>
      <c r="M59">
        <v>136535.13</v>
      </c>
      <c r="N59">
        <v>474880.08</v>
      </c>
      <c r="O59" t="s">
        <v>53</v>
      </c>
      <c r="P59" t="s">
        <v>54</v>
      </c>
      <c r="Q59" t="s">
        <v>55</v>
      </c>
      <c r="T59" t="s">
        <v>89</v>
      </c>
      <c r="U59">
        <v>40</v>
      </c>
      <c r="V59" s="1">
        <v>35431</v>
      </c>
      <c r="W59" s="1">
        <v>35431</v>
      </c>
      <c r="X59" s="1">
        <v>35431</v>
      </c>
      <c r="Y59" s="1">
        <v>50041</v>
      </c>
      <c r="Z59" t="s">
        <v>51</v>
      </c>
      <c r="AB59" t="s">
        <v>54</v>
      </c>
      <c r="AC59">
        <v>1</v>
      </c>
      <c r="AE59" t="s">
        <v>84</v>
      </c>
      <c r="AF59">
        <v>20</v>
      </c>
      <c r="AG59" s="1">
        <v>35431</v>
      </c>
      <c r="AH59" s="1">
        <v>35431</v>
      </c>
      <c r="AI59" s="1">
        <v>35431</v>
      </c>
      <c r="AJ59" s="1">
        <v>42736</v>
      </c>
      <c r="AK59" t="s">
        <v>51</v>
      </c>
      <c r="AN59">
        <v>0</v>
      </c>
      <c r="AO59" t="s">
        <v>54</v>
      </c>
      <c r="AP59" t="s">
        <v>53</v>
      </c>
      <c r="AQ59">
        <v>0</v>
      </c>
      <c r="AR59" t="s">
        <v>53</v>
      </c>
      <c r="AS59">
        <v>0</v>
      </c>
      <c r="AT59">
        <v>0</v>
      </c>
      <c r="AW59" t="s">
        <v>58</v>
      </c>
      <c r="AX59">
        <v>20</v>
      </c>
      <c r="AY59" s="1">
        <v>44508</v>
      </c>
      <c r="AZ59" s="1">
        <v>44508</v>
      </c>
      <c r="BA59" s="1">
        <v>44508</v>
      </c>
      <c r="BB59" s="1">
        <v>51813</v>
      </c>
      <c r="BC59" t="s">
        <v>51</v>
      </c>
      <c r="BE59" t="s">
        <v>54</v>
      </c>
      <c r="BF59">
        <v>2</v>
      </c>
      <c r="BG59">
        <v>0</v>
      </c>
      <c r="BH59" t="s">
        <v>53</v>
      </c>
      <c r="BK59" t="s">
        <v>59</v>
      </c>
      <c r="BL59">
        <v>14000</v>
      </c>
      <c r="BM59" s="1">
        <v>44487</v>
      </c>
      <c r="BN59" s="1">
        <v>44487</v>
      </c>
      <c r="BO59" s="1">
        <v>44508</v>
      </c>
      <c r="BP59" s="1">
        <v>45648</v>
      </c>
      <c r="BQ59" t="s">
        <v>51</v>
      </c>
      <c r="BS59" t="s">
        <v>60</v>
      </c>
      <c r="BT59" t="s">
        <v>54</v>
      </c>
      <c r="BU59" t="s">
        <v>61</v>
      </c>
      <c r="BV59" t="s">
        <v>62</v>
      </c>
      <c r="BX59">
        <v>24</v>
      </c>
      <c r="BY59">
        <v>0</v>
      </c>
      <c r="BZ59">
        <v>0</v>
      </c>
    </row>
    <row r="60" spans="1:78" x14ac:dyDescent="0.2">
      <c r="A60" t="s">
        <v>45</v>
      </c>
      <c r="B60" t="s">
        <v>46</v>
      </c>
      <c r="C60" t="s">
        <v>47</v>
      </c>
      <c r="D60" t="s">
        <v>87</v>
      </c>
      <c r="F60" t="str">
        <f>"1298"</f>
        <v>1298</v>
      </c>
      <c r="G60" t="s">
        <v>49</v>
      </c>
      <c r="H60" t="s">
        <v>102</v>
      </c>
      <c r="K60" t="s">
        <v>51</v>
      </c>
      <c r="L60" t="s">
        <v>52</v>
      </c>
      <c r="M60">
        <v>136564.89000000001</v>
      </c>
      <c r="N60">
        <v>474864.65</v>
      </c>
      <c r="O60" t="s">
        <v>53</v>
      </c>
      <c r="P60" t="s">
        <v>54</v>
      </c>
      <c r="Q60" t="s">
        <v>55</v>
      </c>
      <c r="T60" t="s">
        <v>89</v>
      </c>
      <c r="U60">
        <v>40</v>
      </c>
      <c r="V60" s="1">
        <v>35431</v>
      </c>
      <c r="W60" s="1">
        <v>35431</v>
      </c>
      <c r="X60" s="1">
        <v>35431</v>
      </c>
      <c r="Y60" s="1">
        <v>50041</v>
      </c>
      <c r="Z60" t="s">
        <v>51</v>
      </c>
      <c r="AB60" t="s">
        <v>54</v>
      </c>
      <c r="AC60">
        <v>1</v>
      </c>
      <c r="AE60" t="s">
        <v>84</v>
      </c>
      <c r="AF60">
        <v>20</v>
      </c>
      <c r="AG60" s="1">
        <v>35431</v>
      </c>
      <c r="AH60" s="1">
        <v>35431</v>
      </c>
      <c r="AI60" s="1">
        <v>35431</v>
      </c>
      <c r="AJ60" s="1">
        <v>42736</v>
      </c>
      <c r="AK60" t="s">
        <v>51</v>
      </c>
      <c r="AN60">
        <v>0</v>
      </c>
      <c r="AO60" t="s">
        <v>54</v>
      </c>
      <c r="AP60" t="s">
        <v>53</v>
      </c>
      <c r="AQ60">
        <v>0</v>
      </c>
      <c r="AR60" t="s">
        <v>53</v>
      </c>
      <c r="AS60">
        <v>0</v>
      </c>
      <c r="AT60">
        <v>0</v>
      </c>
      <c r="AW60" t="s">
        <v>58</v>
      </c>
      <c r="AX60">
        <v>20</v>
      </c>
      <c r="AY60" s="1">
        <v>44208</v>
      </c>
      <c r="AZ60" s="1">
        <v>44208</v>
      </c>
      <c r="BA60" s="1">
        <v>44208</v>
      </c>
      <c r="BB60" s="1">
        <v>51513</v>
      </c>
      <c r="BC60" t="s">
        <v>51</v>
      </c>
      <c r="BE60" t="s">
        <v>54</v>
      </c>
      <c r="BF60">
        <v>2</v>
      </c>
      <c r="BG60">
        <v>0</v>
      </c>
      <c r="BH60" t="s">
        <v>53</v>
      </c>
      <c r="BK60" t="s">
        <v>59</v>
      </c>
      <c r="BL60">
        <v>14000</v>
      </c>
      <c r="BM60" s="1">
        <v>44327</v>
      </c>
      <c r="BN60" s="1">
        <v>44327</v>
      </c>
      <c r="BO60" s="1">
        <v>44327</v>
      </c>
      <c r="BP60" s="1">
        <v>45547</v>
      </c>
      <c r="BQ60" t="s">
        <v>51</v>
      </c>
      <c r="BS60" t="s">
        <v>60</v>
      </c>
      <c r="BT60" t="s">
        <v>54</v>
      </c>
      <c r="BU60" t="s">
        <v>61</v>
      </c>
      <c r="BV60" t="s">
        <v>62</v>
      </c>
      <c r="BX60">
        <v>24</v>
      </c>
      <c r="BY60">
        <v>0</v>
      </c>
      <c r="BZ60">
        <v>0</v>
      </c>
    </row>
    <row r="61" spans="1:78" x14ac:dyDescent="0.2">
      <c r="A61" t="s">
        <v>45</v>
      </c>
      <c r="B61" t="s">
        <v>46</v>
      </c>
      <c r="C61" t="s">
        <v>47</v>
      </c>
      <c r="D61" t="s">
        <v>87</v>
      </c>
      <c r="F61" t="str">
        <f>"1299"</f>
        <v>1299</v>
      </c>
      <c r="G61" t="s">
        <v>49</v>
      </c>
      <c r="H61" t="s">
        <v>103</v>
      </c>
      <c r="K61" t="s">
        <v>51</v>
      </c>
      <c r="L61" t="s">
        <v>52</v>
      </c>
      <c r="M61">
        <v>136594.54</v>
      </c>
      <c r="N61">
        <v>474849.49</v>
      </c>
      <c r="O61" t="s">
        <v>53</v>
      </c>
      <c r="P61" t="s">
        <v>54</v>
      </c>
      <c r="Q61" t="s">
        <v>55</v>
      </c>
      <c r="T61" t="s">
        <v>89</v>
      </c>
      <c r="U61">
        <v>40</v>
      </c>
      <c r="V61" s="1">
        <v>35431</v>
      </c>
      <c r="W61" s="1">
        <v>35431</v>
      </c>
      <c r="X61" s="1">
        <v>35431</v>
      </c>
      <c r="Y61" s="1">
        <v>50041</v>
      </c>
      <c r="Z61" t="s">
        <v>51</v>
      </c>
      <c r="AB61" t="s">
        <v>54</v>
      </c>
      <c r="AC61">
        <v>1</v>
      </c>
      <c r="AE61" t="s">
        <v>84</v>
      </c>
      <c r="AF61">
        <v>20</v>
      </c>
      <c r="AG61" s="1">
        <v>35431</v>
      </c>
      <c r="AH61" s="1">
        <v>35431</v>
      </c>
      <c r="AI61" s="1">
        <v>35431</v>
      </c>
      <c r="AJ61" s="1">
        <v>42736</v>
      </c>
      <c r="AK61" t="s">
        <v>51</v>
      </c>
      <c r="AN61">
        <v>0</v>
      </c>
      <c r="AO61" t="s">
        <v>54</v>
      </c>
      <c r="AP61" t="s">
        <v>53</v>
      </c>
      <c r="AQ61">
        <v>0</v>
      </c>
      <c r="AR61" t="s">
        <v>53</v>
      </c>
      <c r="AS61">
        <v>0</v>
      </c>
      <c r="AT61">
        <v>0</v>
      </c>
      <c r="AW61" t="s">
        <v>58</v>
      </c>
      <c r="AX61">
        <v>20</v>
      </c>
      <c r="AY61" s="1">
        <v>35431</v>
      </c>
      <c r="AZ61" s="1">
        <v>35431</v>
      </c>
      <c r="BA61" s="1">
        <v>35431</v>
      </c>
      <c r="BB61" s="1">
        <v>42736</v>
      </c>
      <c r="BC61" t="s">
        <v>51</v>
      </c>
      <c r="BE61" t="s">
        <v>54</v>
      </c>
      <c r="BF61">
        <v>2</v>
      </c>
      <c r="BG61">
        <v>0</v>
      </c>
      <c r="BH61" t="s">
        <v>53</v>
      </c>
      <c r="BK61" t="s">
        <v>59</v>
      </c>
      <c r="BL61">
        <v>14000</v>
      </c>
      <c r="BM61" s="1">
        <v>44327</v>
      </c>
      <c r="BN61" s="1">
        <v>44327</v>
      </c>
      <c r="BO61" s="1">
        <v>44327</v>
      </c>
      <c r="BP61" s="1">
        <v>45547</v>
      </c>
      <c r="BQ61" t="s">
        <v>51</v>
      </c>
      <c r="BS61" t="s">
        <v>60</v>
      </c>
      <c r="BT61" t="s">
        <v>54</v>
      </c>
      <c r="BU61" t="s">
        <v>61</v>
      </c>
      <c r="BV61" t="s">
        <v>62</v>
      </c>
      <c r="BX61">
        <v>24</v>
      </c>
      <c r="BY61">
        <v>0</v>
      </c>
      <c r="BZ61">
        <v>0</v>
      </c>
    </row>
    <row r="62" spans="1:78" x14ac:dyDescent="0.2">
      <c r="A62" t="s">
        <v>45</v>
      </c>
      <c r="B62" t="s">
        <v>46</v>
      </c>
      <c r="C62" t="s">
        <v>47</v>
      </c>
      <c r="D62" t="s">
        <v>87</v>
      </c>
      <c r="F62" t="str">
        <f>"1300"</f>
        <v>1300</v>
      </c>
      <c r="G62" t="s">
        <v>49</v>
      </c>
      <c r="H62" t="s">
        <v>104</v>
      </c>
      <c r="K62" t="s">
        <v>51</v>
      </c>
      <c r="L62" t="s">
        <v>52</v>
      </c>
      <c r="M62">
        <v>136623.98000000001</v>
      </c>
      <c r="N62">
        <v>474834</v>
      </c>
      <c r="O62" t="s">
        <v>53</v>
      </c>
      <c r="P62" t="s">
        <v>54</v>
      </c>
      <c r="Q62" t="s">
        <v>55</v>
      </c>
      <c r="T62" t="s">
        <v>89</v>
      </c>
      <c r="U62">
        <v>40</v>
      </c>
      <c r="V62" s="1">
        <v>35431</v>
      </c>
      <c r="W62" s="1">
        <v>35431</v>
      </c>
      <c r="X62" s="1">
        <v>35431</v>
      </c>
      <c r="Y62" s="1">
        <v>50041</v>
      </c>
      <c r="Z62" t="s">
        <v>51</v>
      </c>
      <c r="AB62" t="s">
        <v>54</v>
      </c>
      <c r="AC62">
        <v>1</v>
      </c>
      <c r="AE62" t="s">
        <v>84</v>
      </c>
      <c r="AF62">
        <v>20</v>
      </c>
      <c r="AG62" s="1">
        <v>35431</v>
      </c>
      <c r="AH62" s="1">
        <v>35431</v>
      </c>
      <c r="AI62" s="1">
        <v>35431</v>
      </c>
      <c r="AJ62" s="1">
        <v>42736</v>
      </c>
      <c r="AK62" t="s">
        <v>51</v>
      </c>
      <c r="AN62">
        <v>0</v>
      </c>
      <c r="AO62" t="s">
        <v>54</v>
      </c>
      <c r="AP62" t="s">
        <v>53</v>
      </c>
      <c r="AQ62">
        <v>0</v>
      </c>
      <c r="AR62" t="s">
        <v>53</v>
      </c>
      <c r="AS62">
        <v>0</v>
      </c>
      <c r="AT62">
        <v>0</v>
      </c>
      <c r="AW62" t="s">
        <v>58</v>
      </c>
      <c r="AX62">
        <v>20</v>
      </c>
      <c r="AY62" s="1">
        <v>35431</v>
      </c>
      <c r="AZ62" s="1">
        <v>35431</v>
      </c>
      <c r="BA62" s="1">
        <v>35431</v>
      </c>
      <c r="BB62" s="1">
        <v>42736</v>
      </c>
      <c r="BC62" t="s">
        <v>51</v>
      </c>
      <c r="BE62" t="s">
        <v>54</v>
      </c>
      <c r="BF62">
        <v>2</v>
      </c>
      <c r="BG62">
        <v>0</v>
      </c>
      <c r="BH62" t="s">
        <v>53</v>
      </c>
      <c r="BK62" t="s">
        <v>59</v>
      </c>
      <c r="BL62">
        <v>14000</v>
      </c>
      <c r="BM62" s="1">
        <v>44327</v>
      </c>
      <c r="BN62" s="1">
        <v>44327</v>
      </c>
      <c r="BO62" s="1">
        <v>44327</v>
      </c>
      <c r="BP62" s="1">
        <v>45547</v>
      </c>
      <c r="BQ62" t="s">
        <v>51</v>
      </c>
      <c r="BS62" t="s">
        <v>60</v>
      </c>
      <c r="BT62" t="s">
        <v>54</v>
      </c>
      <c r="BU62" t="s">
        <v>61</v>
      </c>
      <c r="BV62" t="s">
        <v>62</v>
      </c>
      <c r="BX62">
        <v>24</v>
      </c>
      <c r="BY62">
        <v>0</v>
      </c>
      <c r="BZ62">
        <v>0</v>
      </c>
    </row>
    <row r="63" spans="1:78" x14ac:dyDescent="0.2">
      <c r="A63" t="s">
        <v>45</v>
      </c>
      <c r="B63" t="s">
        <v>46</v>
      </c>
      <c r="C63" t="s">
        <v>47</v>
      </c>
      <c r="D63" t="s">
        <v>87</v>
      </c>
      <c r="F63" t="str">
        <f>"1301"</f>
        <v>1301</v>
      </c>
      <c r="G63" t="s">
        <v>49</v>
      </c>
      <c r="H63" t="s">
        <v>105</v>
      </c>
      <c r="K63" t="s">
        <v>51</v>
      </c>
      <c r="L63" t="s">
        <v>52</v>
      </c>
      <c r="M63">
        <v>136653.41</v>
      </c>
      <c r="N63">
        <v>474818.54</v>
      </c>
      <c r="O63" t="s">
        <v>53</v>
      </c>
      <c r="P63" t="s">
        <v>54</v>
      </c>
      <c r="Q63" t="s">
        <v>55</v>
      </c>
      <c r="T63" t="s">
        <v>89</v>
      </c>
      <c r="U63">
        <v>40</v>
      </c>
      <c r="V63" s="1">
        <v>35431</v>
      </c>
      <c r="W63" s="1">
        <v>35431</v>
      </c>
      <c r="X63" s="1">
        <v>35431</v>
      </c>
      <c r="Y63" s="1">
        <v>50041</v>
      </c>
      <c r="Z63" t="s">
        <v>51</v>
      </c>
      <c r="AB63" t="s">
        <v>54</v>
      </c>
      <c r="AC63">
        <v>1</v>
      </c>
      <c r="AE63" t="s">
        <v>84</v>
      </c>
      <c r="AF63">
        <v>20</v>
      </c>
      <c r="AG63" s="1">
        <v>35431</v>
      </c>
      <c r="AH63" s="1">
        <v>35431</v>
      </c>
      <c r="AI63" s="1">
        <v>35431</v>
      </c>
      <c r="AJ63" s="1">
        <v>42736</v>
      </c>
      <c r="AK63" t="s">
        <v>51</v>
      </c>
      <c r="AN63">
        <v>0</v>
      </c>
      <c r="AO63" t="s">
        <v>54</v>
      </c>
      <c r="AP63" t="s">
        <v>53</v>
      </c>
      <c r="AQ63">
        <v>0</v>
      </c>
      <c r="AR63" t="s">
        <v>53</v>
      </c>
      <c r="AS63">
        <v>0</v>
      </c>
      <c r="AT63">
        <v>0</v>
      </c>
      <c r="AW63" t="s">
        <v>58</v>
      </c>
      <c r="AX63">
        <v>20</v>
      </c>
      <c r="AY63" s="1">
        <v>44816</v>
      </c>
      <c r="AZ63" s="1">
        <v>44816</v>
      </c>
      <c r="BA63" s="1">
        <v>44816</v>
      </c>
      <c r="BB63" s="1">
        <v>52121</v>
      </c>
      <c r="BC63" t="s">
        <v>51</v>
      </c>
      <c r="BE63" t="s">
        <v>54</v>
      </c>
      <c r="BF63">
        <v>2</v>
      </c>
      <c r="BG63">
        <v>0</v>
      </c>
      <c r="BH63" t="s">
        <v>53</v>
      </c>
      <c r="BK63" t="s">
        <v>59</v>
      </c>
      <c r="BL63">
        <v>14000</v>
      </c>
      <c r="BM63" s="1">
        <v>44327</v>
      </c>
      <c r="BN63" s="1">
        <v>44327</v>
      </c>
      <c r="BO63" s="1">
        <v>44816</v>
      </c>
      <c r="BP63" s="1">
        <v>45547</v>
      </c>
      <c r="BQ63" t="s">
        <v>51</v>
      </c>
      <c r="BS63" t="s">
        <v>60</v>
      </c>
      <c r="BT63" t="s">
        <v>54</v>
      </c>
      <c r="BU63" t="s">
        <v>61</v>
      </c>
      <c r="BV63" t="s">
        <v>62</v>
      </c>
      <c r="BX63">
        <v>24</v>
      </c>
      <c r="BY63">
        <v>0</v>
      </c>
      <c r="BZ63">
        <v>0</v>
      </c>
    </row>
    <row r="64" spans="1:78" x14ac:dyDescent="0.2">
      <c r="A64" t="s">
        <v>45</v>
      </c>
      <c r="B64" t="s">
        <v>46</v>
      </c>
      <c r="C64" t="s">
        <v>47</v>
      </c>
      <c r="D64" t="s">
        <v>87</v>
      </c>
      <c r="F64" t="str">
        <f>"1302"</f>
        <v>1302</v>
      </c>
      <c r="G64" t="s">
        <v>49</v>
      </c>
      <c r="H64" t="s">
        <v>106</v>
      </c>
      <c r="K64" t="s">
        <v>51</v>
      </c>
      <c r="L64" t="s">
        <v>52</v>
      </c>
      <c r="M64">
        <v>136682.96</v>
      </c>
      <c r="N64">
        <v>474802.99</v>
      </c>
      <c r="O64" t="s">
        <v>53</v>
      </c>
      <c r="P64" t="s">
        <v>54</v>
      </c>
      <c r="Q64" t="s">
        <v>55</v>
      </c>
      <c r="T64" t="s">
        <v>89</v>
      </c>
      <c r="U64">
        <v>40</v>
      </c>
      <c r="V64" s="1">
        <v>35431</v>
      </c>
      <c r="W64" s="1">
        <v>35431</v>
      </c>
      <c r="X64" s="1">
        <v>35431</v>
      </c>
      <c r="Y64" s="1">
        <v>50041</v>
      </c>
      <c r="Z64" t="s">
        <v>51</v>
      </c>
      <c r="AB64" t="s">
        <v>54</v>
      </c>
      <c r="AC64">
        <v>1</v>
      </c>
      <c r="AE64" t="s">
        <v>84</v>
      </c>
      <c r="AF64">
        <v>20</v>
      </c>
      <c r="AG64" s="1">
        <v>35431</v>
      </c>
      <c r="AH64" s="1">
        <v>35431</v>
      </c>
      <c r="AI64" s="1">
        <v>35431</v>
      </c>
      <c r="AJ64" s="1">
        <v>42736</v>
      </c>
      <c r="AK64" t="s">
        <v>51</v>
      </c>
      <c r="AN64">
        <v>0</v>
      </c>
      <c r="AO64" t="s">
        <v>54</v>
      </c>
      <c r="AP64" t="s">
        <v>53</v>
      </c>
      <c r="AQ64">
        <v>0</v>
      </c>
      <c r="AR64" t="s">
        <v>53</v>
      </c>
      <c r="AS64">
        <v>0</v>
      </c>
      <c r="AT64">
        <v>0</v>
      </c>
      <c r="AW64" t="s">
        <v>58</v>
      </c>
      <c r="AX64">
        <v>20</v>
      </c>
      <c r="AY64" s="1">
        <v>35431</v>
      </c>
      <c r="AZ64" s="1">
        <v>35431</v>
      </c>
      <c r="BA64" s="1">
        <v>35431</v>
      </c>
      <c r="BB64" s="1">
        <v>42736</v>
      </c>
      <c r="BC64" t="s">
        <v>51</v>
      </c>
      <c r="BE64" t="s">
        <v>54</v>
      </c>
      <c r="BF64">
        <v>2</v>
      </c>
      <c r="BG64">
        <v>0</v>
      </c>
      <c r="BH64" t="s">
        <v>53</v>
      </c>
      <c r="BK64" t="s">
        <v>59</v>
      </c>
      <c r="BL64">
        <v>14000</v>
      </c>
      <c r="BM64" s="1">
        <v>44536</v>
      </c>
      <c r="BN64" s="1">
        <v>44536</v>
      </c>
      <c r="BO64" s="1">
        <v>44536</v>
      </c>
      <c r="BP64" s="1">
        <v>45695</v>
      </c>
      <c r="BQ64" t="s">
        <v>51</v>
      </c>
      <c r="BS64" t="s">
        <v>60</v>
      </c>
      <c r="BT64" t="s">
        <v>54</v>
      </c>
      <c r="BU64" t="s">
        <v>61</v>
      </c>
      <c r="BV64" t="s">
        <v>62</v>
      </c>
      <c r="BX64">
        <v>24</v>
      </c>
      <c r="BY64">
        <v>0</v>
      </c>
      <c r="BZ64">
        <v>0</v>
      </c>
    </row>
    <row r="65" spans="1:78" x14ac:dyDescent="0.2">
      <c r="A65" t="s">
        <v>45</v>
      </c>
      <c r="B65" t="s">
        <v>46</v>
      </c>
      <c r="C65" t="s">
        <v>47</v>
      </c>
      <c r="D65" t="s">
        <v>87</v>
      </c>
      <c r="F65" t="str">
        <f>"1303"</f>
        <v>1303</v>
      </c>
      <c r="G65" t="s">
        <v>49</v>
      </c>
      <c r="H65" t="s">
        <v>107</v>
      </c>
      <c r="K65" t="s">
        <v>51</v>
      </c>
      <c r="L65" t="s">
        <v>52</v>
      </c>
      <c r="M65">
        <v>136713.04999999999</v>
      </c>
      <c r="N65">
        <v>474787.84000000003</v>
      </c>
      <c r="O65" t="s">
        <v>53</v>
      </c>
      <c r="P65" t="s">
        <v>54</v>
      </c>
      <c r="Q65" t="s">
        <v>55</v>
      </c>
      <c r="T65" t="s">
        <v>89</v>
      </c>
      <c r="U65">
        <v>40</v>
      </c>
      <c r="V65" s="1">
        <v>35431</v>
      </c>
      <c r="W65" s="1">
        <v>35431</v>
      </c>
      <c r="X65" s="1">
        <v>35431</v>
      </c>
      <c r="Y65" s="1">
        <v>50041</v>
      </c>
      <c r="Z65" t="s">
        <v>51</v>
      </c>
      <c r="AB65" t="s">
        <v>54</v>
      </c>
      <c r="AC65">
        <v>1</v>
      </c>
      <c r="AE65" t="s">
        <v>84</v>
      </c>
      <c r="AF65">
        <v>20</v>
      </c>
      <c r="AG65" s="1">
        <v>35431</v>
      </c>
      <c r="AH65" s="1">
        <v>35431</v>
      </c>
      <c r="AI65" s="1">
        <v>35431</v>
      </c>
      <c r="AJ65" s="1">
        <v>42736</v>
      </c>
      <c r="AK65" t="s">
        <v>51</v>
      </c>
      <c r="AN65">
        <v>0</v>
      </c>
      <c r="AO65" t="s">
        <v>54</v>
      </c>
      <c r="AP65" t="s">
        <v>53</v>
      </c>
      <c r="AQ65">
        <v>0</v>
      </c>
      <c r="AR65" t="s">
        <v>53</v>
      </c>
      <c r="AS65">
        <v>0</v>
      </c>
      <c r="AT65">
        <v>0</v>
      </c>
      <c r="AW65" t="s">
        <v>58</v>
      </c>
      <c r="AX65">
        <v>20</v>
      </c>
      <c r="AY65" s="1">
        <v>44214</v>
      </c>
      <c r="AZ65" s="1">
        <v>44214</v>
      </c>
      <c r="BA65" s="1">
        <v>44214</v>
      </c>
      <c r="BB65" s="1">
        <v>51519</v>
      </c>
      <c r="BC65" t="s">
        <v>51</v>
      </c>
      <c r="BE65" t="s">
        <v>54</v>
      </c>
      <c r="BF65">
        <v>2</v>
      </c>
      <c r="BG65">
        <v>0</v>
      </c>
      <c r="BH65" t="s">
        <v>53</v>
      </c>
      <c r="BK65" t="s">
        <v>59</v>
      </c>
      <c r="BL65">
        <v>14000</v>
      </c>
      <c r="BM65" s="1">
        <v>44327</v>
      </c>
      <c r="BN65" s="1">
        <v>44327</v>
      </c>
      <c r="BO65" s="1">
        <v>44327</v>
      </c>
      <c r="BP65" s="1">
        <v>45547</v>
      </c>
      <c r="BQ65" t="s">
        <v>51</v>
      </c>
      <c r="BS65" t="s">
        <v>60</v>
      </c>
      <c r="BT65" t="s">
        <v>54</v>
      </c>
      <c r="BU65" t="s">
        <v>61</v>
      </c>
      <c r="BV65" t="s">
        <v>62</v>
      </c>
      <c r="BX65">
        <v>24</v>
      </c>
      <c r="BY65">
        <v>0</v>
      </c>
      <c r="BZ65">
        <v>0</v>
      </c>
    </row>
    <row r="66" spans="1:78" x14ac:dyDescent="0.2">
      <c r="A66" t="s">
        <v>45</v>
      </c>
      <c r="B66" t="s">
        <v>46</v>
      </c>
      <c r="C66" t="s">
        <v>47</v>
      </c>
      <c r="D66" t="s">
        <v>87</v>
      </c>
      <c r="F66" t="str">
        <f>"1304"</f>
        <v>1304</v>
      </c>
      <c r="G66" t="s">
        <v>49</v>
      </c>
      <c r="H66" t="s">
        <v>108</v>
      </c>
      <c r="K66" t="s">
        <v>51</v>
      </c>
      <c r="L66" t="s">
        <v>52</v>
      </c>
      <c r="M66">
        <v>136743.06</v>
      </c>
      <c r="N66">
        <v>474772.7</v>
      </c>
      <c r="O66" t="s">
        <v>53</v>
      </c>
      <c r="P66" t="s">
        <v>54</v>
      </c>
      <c r="Q66" t="s">
        <v>55</v>
      </c>
      <c r="T66" t="s">
        <v>89</v>
      </c>
      <c r="U66">
        <v>40</v>
      </c>
      <c r="V66" s="1">
        <v>35431</v>
      </c>
      <c r="W66" s="1">
        <v>35431</v>
      </c>
      <c r="X66" s="1">
        <v>35431</v>
      </c>
      <c r="Y66" s="1">
        <v>50041</v>
      </c>
      <c r="Z66" t="s">
        <v>51</v>
      </c>
      <c r="AB66" t="s">
        <v>54</v>
      </c>
      <c r="AC66">
        <v>1</v>
      </c>
      <c r="AE66" t="s">
        <v>84</v>
      </c>
      <c r="AF66">
        <v>20</v>
      </c>
      <c r="AG66" s="1">
        <v>35431</v>
      </c>
      <c r="AH66" s="1">
        <v>35431</v>
      </c>
      <c r="AI66" s="1">
        <v>35431</v>
      </c>
      <c r="AJ66" s="1">
        <v>42736</v>
      </c>
      <c r="AK66" t="s">
        <v>51</v>
      </c>
      <c r="AN66">
        <v>0</v>
      </c>
      <c r="AO66" t="s">
        <v>54</v>
      </c>
      <c r="AP66" t="s">
        <v>53</v>
      </c>
      <c r="AQ66">
        <v>0</v>
      </c>
      <c r="AR66" t="s">
        <v>53</v>
      </c>
      <c r="AS66">
        <v>0</v>
      </c>
      <c r="AT66">
        <v>0</v>
      </c>
      <c r="AW66" t="s">
        <v>58</v>
      </c>
      <c r="AX66">
        <v>20</v>
      </c>
      <c r="AY66" s="1">
        <v>35431</v>
      </c>
      <c r="AZ66" s="1">
        <v>35431</v>
      </c>
      <c r="BA66" s="1">
        <v>35431</v>
      </c>
      <c r="BB66" s="1">
        <v>42736</v>
      </c>
      <c r="BC66" t="s">
        <v>51</v>
      </c>
      <c r="BE66" t="s">
        <v>54</v>
      </c>
      <c r="BF66">
        <v>2</v>
      </c>
      <c r="BG66">
        <v>0</v>
      </c>
      <c r="BH66" t="s">
        <v>53</v>
      </c>
      <c r="BK66" t="s">
        <v>59</v>
      </c>
      <c r="BL66">
        <v>14000</v>
      </c>
      <c r="BM66" s="1">
        <v>44327</v>
      </c>
      <c r="BN66" s="1">
        <v>44327</v>
      </c>
      <c r="BO66" s="1">
        <v>44327</v>
      </c>
      <c r="BP66" s="1">
        <v>45547</v>
      </c>
      <c r="BQ66" t="s">
        <v>51</v>
      </c>
      <c r="BS66" t="s">
        <v>60</v>
      </c>
      <c r="BT66" t="s">
        <v>54</v>
      </c>
      <c r="BU66" t="s">
        <v>61</v>
      </c>
      <c r="BV66" t="s">
        <v>62</v>
      </c>
      <c r="BX66">
        <v>24</v>
      </c>
      <c r="BY66">
        <v>0</v>
      </c>
      <c r="BZ66">
        <v>0</v>
      </c>
    </row>
    <row r="67" spans="1:78" x14ac:dyDescent="0.2">
      <c r="A67" t="s">
        <v>45</v>
      </c>
      <c r="B67" t="s">
        <v>46</v>
      </c>
      <c r="C67" t="s">
        <v>90</v>
      </c>
      <c r="D67" t="s">
        <v>87</v>
      </c>
      <c r="F67" t="str">
        <f>"1305"</f>
        <v>1305</v>
      </c>
      <c r="G67" t="s">
        <v>49</v>
      </c>
      <c r="I67" t="s">
        <v>109</v>
      </c>
      <c r="K67" t="s">
        <v>51</v>
      </c>
      <c r="L67" t="s">
        <v>52</v>
      </c>
      <c r="M67">
        <v>136777.21</v>
      </c>
      <c r="N67">
        <v>474764.18</v>
      </c>
      <c r="O67" t="s">
        <v>53</v>
      </c>
      <c r="P67" t="s">
        <v>54</v>
      </c>
      <c r="Q67" t="s">
        <v>55</v>
      </c>
      <c r="T67" t="s">
        <v>83</v>
      </c>
      <c r="U67">
        <v>40</v>
      </c>
      <c r="V67" s="1">
        <v>35431</v>
      </c>
      <c r="W67" s="1">
        <v>35431</v>
      </c>
      <c r="X67" s="1">
        <v>35431</v>
      </c>
      <c r="Y67" s="1">
        <v>50041</v>
      </c>
      <c r="Z67" t="s">
        <v>51</v>
      </c>
      <c r="AB67" t="s">
        <v>54</v>
      </c>
      <c r="AC67">
        <v>1</v>
      </c>
      <c r="AE67" t="s">
        <v>84</v>
      </c>
      <c r="AF67">
        <v>20</v>
      </c>
      <c r="AG67" s="1">
        <v>35431</v>
      </c>
      <c r="AH67" s="1">
        <v>35431</v>
      </c>
      <c r="AI67" s="1">
        <v>35431</v>
      </c>
      <c r="AJ67" s="1">
        <v>42736</v>
      </c>
      <c r="AK67" t="s">
        <v>51</v>
      </c>
      <c r="AN67">
        <v>0</v>
      </c>
      <c r="AO67" t="s">
        <v>54</v>
      </c>
      <c r="AP67" t="s">
        <v>53</v>
      </c>
      <c r="AQ67">
        <v>0</v>
      </c>
      <c r="AR67" t="s">
        <v>53</v>
      </c>
      <c r="AS67">
        <v>0</v>
      </c>
      <c r="AT67">
        <v>0</v>
      </c>
      <c r="AW67" t="s">
        <v>58</v>
      </c>
      <c r="AX67">
        <v>20</v>
      </c>
      <c r="AY67" s="1">
        <v>35431</v>
      </c>
      <c r="AZ67" s="1">
        <v>35431</v>
      </c>
      <c r="BA67" s="1">
        <v>35431</v>
      </c>
      <c r="BB67" s="1">
        <v>42736</v>
      </c>
      <c r="BC67" t="s">
        <v>51</v>
      </c>
      <c r="BE67" t="s">
        <v>54</v>
      </c>
      <c r="BF67">
        <v>2</v>
      </c>
      <c r="BG67">
        <v>0</v>
      </c>
      <c r="BH67" t="s">
        <v>53</v>
      </c>
      <c r="BK67" t="s">
        <v>59</v>
      </c>
      <c r="BL67">
        <v>14000</v>
      </c>
      <c r="BM67" s="1">
        <v>44327</v>
      </c>
      <c r="BN67" s="1">
        <v>44327</v>
      </c>
      <c r="BO67" s="1">
        <v>44327</v>
      </c>
      <c r="BP67" s="1">
        <v>45547</v>
      </c>
      <c r="BQ67" t="s">
        <v>51</v>
      </c>
      <c r="BS67" t="s">
        <v>60</v>
      </c>
      <c r="BT67" t="s">
        <v>54</v>
      </c>
      <c r="BU67" t="s">
        <v>61</v>
      </c>
      <c r="BV67" t="s">
        <v>62</v>
      </c>
      <c r="BX67">
        <v>24</v>
      </c>
      <c r="BY67">
        <v>0</v>
      </c>
      <c r="BZ67">
        <v>0</v>
      </c>
    </row>
    <row r="68" spans="1:78" x14ac:dyDescent="0.2">
      <c r="A68" t="s">
        <v>45</v>
      </c>
      <c r="B68" t="s">
        <v>46</v>
      </c>
      <c r="C68" t="s">
        <v>90</v>
      </c>
      <c r="D68" t="s">
        <v>87</v>
      </c>
      <c r="F68" t="str">
        <f>"254370"</f>
        <v>254370</v>
      </c>
      <c r="G68" t="s">
        <v>49</v>
      </c>
      <c r="H68" t="s">
        <v>110</v>
      </c>
      <c r="I68" t="s">
        <v>109</v>
      </c>
      <c r="K68" t="s">
        <v>51</v>
      </c>
      <c r="L68" t="s">
        <v>52</v>
      </c>
      <c r="M68">
        <v>136809.49</v>
      </c>
      <c r="N68">
        <v>474746.98</v>
      </c>
      <c r="O68" t="s">
        <v>53</v>
      </c>
      <c r="P68" t="s">
        <v>54</v>
      </c>
      <c r="Q68" t="s">
        <v>55</v>
      </c>
      <c r="T68" t="s">
        <v>111</v>
      </c>
      <c r="U68">
        <v>40</v>
      </c>
      <c r="V68" s="1">
        <v>35431</v>
      </c>
      <c r="W68" s="1">
        <v>35431</v>
      </c>
      <c r="X68" s="1">
        <v>35431</v>
      </c>
      <c r="Y68" s="1">
        <v>50041</v>
      </c>
      <c r="Z68" t="s">
        <v>51</v>
      </c>
      <c r="AB68" t="s">
        <v>54</v>
      </c>
      <c r="AC68">
        <v>1</v>
      </c>
      <c r="AE68" t="s">
        <v>84</v>
      </c>
      <c r="AF68">
        <v>20</v>
      </c>
      <c r="AG68" s="1">
        <v>35431</v>
      </c>
      <c r="AH68" s="1">
        <v>35431</v>
      </c>
      <c r="AI68" s="1">
        <v>35431</v>
      </c>
      <c r="AJ68" s="1">
        <v>42736</v>
      </c>
      <c r="AK68" t="s">
        <v>51</v>
      </c>
      <c r="AN68">
        <v>0</v>
      </c>
      <c r="AO68" t="s">
        <v>54</v>
      </c>
      <c r="AP68" t="s">
        <v>53</v>
      </c>
      <c r="AQ68">
        <v>0</v>
      </c>
      <c r="AR68" t="s">
        <v>53</v>
      </c>
      <c r="AS68">
        <v>0</v>
      </c>
      <c r="AT68">
        <v>0</v>
      </c>
      <c r="AW68" t="s">
        <v>58</v>
      </c>
      <c r="AX68">
        <v>20</v>
      </c>
      <c r="AY68" s="1">
        <v>44578</v>
      </c>
      <c r="AZ68" s="1">
        <v>44578</v>
      </c>
      <c r="BA68" s="1">
        <v>44578</v>
      </c>
      <c r="BB68" s="1">
        <v>51883</v>
      </c>
      <c r="BC68" t="s">
        <v>51</v>
      </c>
      <c r="BE68" t="s">
        <v>54</v>
      </c>
      <c r="BF68">
        <v>2</v>
      </c>
      <c r="BG68">
        <v>0</v>
      </c>
      <c r="BH68" t="s">
        <v>53</v>
      </c>
      <c r="BK68" t="s">
        <v>59</v>
      </c>
      <c r="BL68">
        <v>14000</v>
      </c>
      <c r="BM68" s="1">
        <v>44327</v>
      </c>
      <c r="BN68" s="1">
        <v>44327</v>
      </c>
      <c r="BO68" s="1">
        <v>44578</v>
      </c>
      <c r="BP68" s="1">
        <v>45547</v>
      </c>
      <c r="BQ68" t="s">
        <v>51</v>
      </c>
      <c r="BS68" t="s">
        <v>60</v>
      </c>
      <c r="BT68" t="s">
        <v>54</v>
      </c>
      <c r="BU68" t="s">
        <v>61</v>
      </c>
      <c r="BV68" t="s">
        <v>62</v>
      </c>
      <c r="BX68">
        <v>24</v>
      </c>
      <c r="BY68">
        <v>0</v>
      </c>
      <c r="BZ68">
        <v>0</v>
      </c>
    </row>
    <row r="69" spans="1:78" x14ac:dyDescent="0.2">
      <c r="A69" t="s">
        <v>112</v>
      </c>
      <c r="B69" t="s">
        <v>113</v>
      </c>
      <c r="C69" t="s">
        <v>114</v>
      </c>
      <c r="D69" t="s">
        <v>87</v>
      </c>
      <c r="F69" t="str">
        <f>"1307"</f>
        <v>1307</v>
      </c>
      <c r="G69" t="s">
        <v>49</v>
      </c>
      <c r="H69" t="s">
        <v>115</v>
      </c>
      <c r="K69" t="s">
        <v>51</v>
      </c>
      <c r="L69" t="s">
        <v>52</v>
      </c>
      <c r="M69">
        <v>136839.72</v>
      </c>
      <c r="N69">
        <v>474722.24</v>
      </c>
      <c r="O69" t="s">
        <v>53</v>
      </c>
      <c r="P69" t="s">
        <v>54</v>
      </c>
      <c r="Q69" t="s">
        <v>55</v>
      </c>
      <c r="T69" t="s">
        <v>111</v>
      </c>
      <c r="U69">
        <v>40</v>
      </c>
      <c r="V69" s="1">
        <v>35431</v>
      </c>
      <c r="W69" s="1">
        <v>35431</v>
      </c>
      <c r="X69" s="1">
        <v>35431</v>
      </c>
      <c r="Y69" s="1">
        <v>50041</v>
      </c>
      <c r="Z69" t="s">
        <v>51</v>
      </c>
      <c r="AB69" t="s">
        <v>54</v>
      </c>
      <c r="AC69">
        <v>1</v>
      </c>
      <c r="AE69" t="s">
        <v>116</v>
      </c>
      <c r="AF69">
        <v>20</v>
      </c>
      <c r="AG69" s="1">
        <v>35431</v>
      </c>
      <c r="AH69" s="1">
        <v>35431</v>
      </c>
      <c r="AI69" s="1">
        <v>35431</v>
      </c>
      <c r="AJ69" s="1">
        <v>42736</v>
      </c>
      <c r="AK69" t="s">
        <v>51</v>
      </c>
      <c r="AN69">
        <v>0</v>
      </c>
      <c r="AO69" t="s">
        <v>54</v>
      </c>
      <c r="AP69" t="s">
        <v>53</v>
      </c>
      <c r="AQ69">
        <v>0</v>
      </c>
      <c r="AR69" t="s">
        <v>53</v>
      </c>
      <c r="AS69">
        <v>0</v>
      </c>
      <c r="AT69">
        <v>0</v>
      </c>
      <c r="AW69" t="s">
        <v>58</v>
      </c>
      <c r="AX69">
        <v>20</v>
      </c>
      <c r="AY69" s="1">
        <v>44642</v>
      </c>
      <c r="AZ69" s="1">
        <v>44642</v>
      </c>
      <c r="BA69" s="1">
        <v>44642</v>
      </c>
      <c r="BB69" s="1">
        <v>51947</v>
      </c>
      <c r="BC69" t="s">
        <v>51</v>
      </c>
      <c r="BE69" t="s">
        <v>54</v>
      </c>
      <c r="BF69">
        <v>2</v>
      </c>
      <c r="BG69">
        <v>0</v>
      </c>
      <c r="BH69" t="s">
        <v>53</v>
      </c>
      <c r="BK69" t="s">
        <v>65</v>
      </c>
      <c r="BL69">
        <v>14000</v>
      </c>
      <c r="BM69" s="1">
        <v>44327</v>
      </c>
      <c r="BN69" s="1">
        <v>44327</v>
      </c>
      <c r="BO69" s="1">
        <v>44642</v>
      </c>
      <c r="BP69" s="1">
        <v>45547</v>
      </c>
      <c r="BQ69" t="s">
        <v>51</v>
      </c>
      <c r="BS69" t="s">
        <v>60</v>
      </c>
      <c r="BT69" t="s">
        <v>54</v>
      </c>
      <c r="BU69" t="s">
        <v>61</v>
      </c>
      <c r="BV69" t="s">
        <v>62</v>
      </c>
      <c r="BX69">
        <v>36</v>
      </c>
      <c r="BY69">
        <v>0</v>
      </c>
      <c r="BZ69">
        <v>0</v>
      </c>
    </row>
    <row r="70" spans="1:78" x14ac:dyDescent="0.2">
      <c r="A70" t="s">
        <v>112</v>
      </c>
      <c r="B70" t="s">
        <v>113</v>
      </c>
      <c r="C70" t="s">
        <v>114</v>
      </c>
      <c r="D70" t="s">
        <v>87</v>
      </c>
      <c r="F70" t="str">
        <f>"1308"</f>
        <v>1308</v>
      </c>
      <c r="G70" t="s">
        <v>49</v>
      </c>
      <c r="H70" t="s">
        <v>117</v>
      </c>
      <c r="K70" t="s">
        <v>51</v>
      </c>
      <c r="L70" t="s">
        <v>52</v>
      </c>
      <c r="M70">
        <v>136865.9</v>
      </c>
      <c r="N70">
        <v>474708.64</v>
      </c>
      <c r="O70" t="s">
        <v>53</v>
      </c>
      <c r="P70" t="s">
        <v>54</v>
      </c>
      <c r="Q70" t="s">
        <v>55</v>
      </c>
      <c r="T70" t="s">
        <v>56</v>
      </c>
      <c r="U70">
        <v>40</v>
      </c>
      <c r="V70" s="1">
        <v>35431</v>
      </c>
      <c r="W70" s="1">
        <v>35431</v>
      </c>
      <c r="X70" s="1">
        <v>35431</v>
      </c>
      <c r="Y70" s="1">
        <v>50041</v>
      </c>
      <c r="Z70" t="s">
        <v>51</v>
      </c>
      <c r="AB70" t="s">
        <v>54</v>
      </c>
      <c r="AC70">
        <v>1</v>
      </c>
      <c r="AE70" t="s">
        <v>57</v>
      </c>
      <c r="AF70">
        <v>20</v>
      </c>
      <c r="AG70" s="1">
        <v>35431</v>
      </c>
      <c r="AH70" s="1">
        <v>35431</v>
      </c>
      <c r="AI70" s="1">
        <v>35431</v>
      </c>
      <c r="AJ70" s="1">
        <v>42736</v>
      </c>
      <c r="AK70" t="s">
        <v>51</v>
      </c>
      <c r="AN70">
        <v>0</v>
      </c>
      <c r="AO70" t="s">
        <v>54</v>
      </c>
      <c r="AP70" t="s">
        <v>53</v>
      </c>
      <c r="AQ70">
        <v>0</v>
      </c>
      <c r="AR70" t="s">
        <v>53</v>
      </c>
      <c r="AS70">
        <v>0</v>
      </c>
      <c r="AT70">
        <v>0</v>
      </c>
      <c r="AW70" t="s">
        <v>58</v>
      </c>
      <c r="AX70">
        <v>20</v>
      </c>
      <c r="AY70" s="1">
        <v>35431</v>
      </c>
      <c r="AZ70" s="1">
        <v>35431</v>
      </c>
      <c r="BA70" s="1">
        <v>35431</v>
      </c>
      <c r="BB70" s="1">
        <v>42736</v>
      </c>
      <c r="BC70" t="s">
        <v>51</v>
      </c>
      <c r="BE70" t="s">
        <v>54</v>
      </c>
      <c r="BF70">
        <v>2</v>
      </c>
      <c r="BG70">
        <v>0</v>
      </c>
      <c r="BH70" t="s">
        <v>53</v>
      </c>
      <c r="BK70" t="s">
        <v>59</v>
      </c>
      <c r="BL70">
        <v>14000</v>
      </c>
      <c r="BM70" s="1">
        <v>44327</v>
      </c>
      <c r="BN70" s="1">
        <v>44327</v>
      </c>
      <c r="BO70" s="1">
        <v>44327</v>
      </c>
      <c r="BP70" s="1">
        <v>45547</v>
      </c>
      <c r="BQ70" t="s">
        <v>51</v>
      </c>
      <c r="BS70" t="s">
        <v>60</v>
      </c>
      <c r="BT70" t="s">
        <v>54</v>
      </c>
      <c r="BU70" t="s">
        <v>61</v>
      </c>
      <c r="BV70" t="s">
        <v>62</v>
      </c>
      <c r="BX70">
        <v>24</v>
      </c>
      <c r="BY70">
        <v>0</v>
      </c>
      <c r="BZ70">
        <v>0</v>
      </c>
    </row>
    <row r="71" spans="1:78" x14ac:dyDescent="0.2">
      <c r="A71" t="s">
        <v>112</v>
      </c>
      <c r="B71" t="s">
        <v>113</v>
      </c>
      <c r="C71" t="s">
        <v>114</v>
      </c>
      <c r="D71" t="s">
        <v>87</v>
      </c>
      <c r="F71" t="str">
        <f>"1309"</f>
        <v>1309</v>
      </c>
      <c r="G71" t="s">
        <v>49</v>
      </c>
      <c r="H71" t="s">
        <v>118</v>
      </c>
      <c r="I71" t="s">
        <v>119</v>
      </c>
      <c r="K71" t="s">
        <v>51</v>
      </c>
      <c r="L71" t="s">
        <v>52</v>
      </c>
      <c r="M71">
        <v>136892.35999999999</v>
      </c>
      <c r="N71">
        <v>474694.9</v>
      </c>
      <c r="O71" t="s">
        <v>53</v>
      </c>
      <c r="P71" t="s">
        <v>54</v>
      </c>
      <c r="Q71" t="s">
        <v>55</v>
      </c>
      <c r="T71" t="s">
        <v>111</v>
      </c>
      <c r="U71">
        <v>40</v>
      </c>
      <c r="V71" s="1">
        <v>35431</v>
      </c>
      <c r="W71" s="1">
        <v>35431</v>
      </c>
      <c r="X71" s="1">
        <v>35431</v>
      </c>
      <c r="Y71" s="1">
        <v>50041</v>
      </c>
      <c r="Z71" t="s">
        <v>51</v>
      </c>
      <c r="AB71" t="s">
        <v>54</v>
      </c>
      <c r="AC71">
        <v>1</v>
      </c>
      <c r="AE71" t="s">
        <v>84</v>
      </c>
      <c r="AF71">
        <v>20</v>
      </c>
      <c r="AG71" s="1">
        <v>35431</v>
      </c>
      <c r="AH71" s="1">
        <v>35431</v>
      </c>
      <c r="AI71" s="1">
        <v>35431</v>
      </c>
      <c r="AJ71" s="1">
        <v>42736</v>
      </c>
      <c r="AK71" t="s">
        <v>51</v>
      </c>
      <c r="AN71">
        <v>0</v>
      </c>
      <c r="AO71" t="s">
        <v>54</v>
      </c>
      <c r="AP71" t="s">
        <v>53</v>
      </c>
      <c r="AQ71">
        <v>0</v>
      </c>
      <c r="AR71" t="s">
        <v>53</v>
      </c>
      <c r="AS71">
        <v>0</v>
      </c>
      <c r="AT71">
        <v>0</v>
      </c>
      <c r="AW71" t="s">
        <v>58</v>
      </c>
      <c r="AX71">
        <v>20</v>
      </c>
      <c r="AY71" s="1">
        <v>35431</v>
      </c>
      <c r="AZ71" s="1">
        <v>35431</v>
      </c>
      <c r="BA71" s="1">
        <v>35431</v>
      </c>
      <c r="BB71" s="1">
        <v>42736</v>
      </c>
      <c r="BC71" t="s">
        <v>51</v>
      </c>
      <c r="BE71" t="s">
        <v>54</v>
      </c>
      <c r="BF71">
        <v>2</v>
      </c>
      <c r="BG71">
        <v>0</v>
      </c>
      <c r="BH71" t="s">
        <v>53</v>
      </c>
      <c r="BK71" t="s">
        <v>59</v>
      </c>
      <c r="BL71">
        <v>14000</v>
      </c>
      <c r="BM71" s="1">
        <v>44327</v>
      </c>
      <c r="BN71" s="1">
        <v>44327</v>
      </c>
      <c r="BO71" s="1">
        <v>44327</v>
      </c>
      <c r="BP71" s="1">
        <v>45547</v>
      </c>
      <c r="BQ71" t="s">
        <v>51</v>
      </c>
      <c r="BS71" t="s">
        <v>60</v>
      </c>
      <c r="BT71" t="s">
        <v>54</v>
      </c>
      <c r="BU71" t="s">
        <v>61</v>
      </c>
      <c r="BV71" t="s">
        <v>62</v>
      </c>
      <c r="BX71">
        <v>24</v>
      </c>
      <c r="BY71">
        <v>0</v>
      </c>
      <c r="BZ71">
        <v>0</v>
      </c>
    </row>
    <row r="72" spans="1:78" x14ac:dyDescent="0.2">
      <c r="A72" t="s">
        <v>45</v>
      </c>
      <c r="B72" t="s">
        <v>46</v>
      </c>
      <c r="C72" t="s">
        <v>90</v>
      </c>
      <c r="D72" t="s">
        <v>87</v>
      </c>
      <c r="F72" t="str">
        <f>"1310"</f>
        <v>1310</v>
      </c>
      <c r="G72" t="s">
        <v>49</v>
      </c>
      <c r="H72" t="s">
        <v>120</v>
      </c>
      <c r="K72" t="s">
        <v>51</v>
      </c>
      <c r="L72" t="s">
        <v>52</v>
      </c>
      <c r="M72">
        <v>136913.16</v>
      </c>
      <c r="N72">
        <v>474692.56</v>
      </c>
      <c r="O72" t="s">
        <v>53</v>
      </c>
      <c r="P72" t="s">
        <v>54</v>
      </c>
      <c r="Q72" t="s">
        <v>55</v>
      </c>
      <c r="T72" t="s">
        <v>56</v>
      </c>
      <c r="U72">
        <v>40</v>
      </c>
      <c r="V72" s="1">
        <v>35431</v>
      </c>
      <c r="W72" s="1">
        <v>35431</v>
      </c>
      <c r="X72" s="1">
        <v>35431</v>
      </c>
      <c r="Y72" s="1">
        <v>50041</v>
      </c>
      <c r="Z72" t="s">
        <v>51</v>
      </c>
      <c r="AB72" t="s">
        <v>54</v>
      </c>
      <c r="AC72">
        <v>1</v>
      </c>
      <c r="AE72" t="s">
        <v>84</v>
      </c>
      <c r="AF72">
        <v>20</v>
      </c>
      <c r="AG72" s="1">
        <v>35431</v>
      </c>
      <c r="AH72" s="1">
        <v>35431</v>
      </c>
      <c r="AI72" s="1">
        <v>35431</v>
      </c>
      <c r="AJ72" s="1">
        <v>42736</v>
      </c>
      <c r="AK72" t="s">
        <v>51</v>
      </c>
      <c r="AN72">
        <v>0</v>
      </c>
      <c r="AO72" t="s">
        <v>54</v>
      </c>
      <c r="AP72" t="s">
        <v>53</v>
      </c>
      <c r="AQ72">
        <v>0</v>
      </c>
      <c r="AR72" t="s">
        <v>53</v>
      </c>
      <c r="AS72">
        <v>0</v>
      </c>
      <c r="AT72">
        <v>0</v>
      </c>
      <c r="AW72" t="s">
        <v>58</v>
      </c>
      <c r="AX72">
        <v>20</v>
      </c>
      <c r="AY72" s="1">
        <v>35431</v>
      </c>
      <c r="AZ72" s="1">
        <v>35431</v>
      </c>
      <c r="BA72" s="1">
        <v>35431</v>
      </c>
      <c r="BB72" s="1">
        <v>42736</v>
      </c>
      <c r="BC72" t="s">
        <v>51</v>
      </c>
      <c r="BE72" t="s">
        <v>54</v>
      </c>
      <c r="BF72">
        <v>2</v>
      </c>
      <c r="BG72">
        <v>0</v>
      </c>
      <c r="BH72" t="s">
        <v>53</v>
      </c>
      <c r="BK72" t="s">
        <v>59</v>
      </c>
      <c r="BL72">
        <v>14000</v>
      </c>
      <c r="BM72" s="1">
        <v>44327</v>
      </c>
      <c r="BN72" s="1">
        <v>44327</v>
      </c>
      <c r="BO72" s="1">
        <v>44327</v>
      </c>
      <c r="BP72" s="1">
        <v>45547</v>
      </c>
      <c r="BQ72" t="s">
        <v>51</v>
      </c>
      <c r="BS72" t="s">
        <v>60</v>
      </c>
      <c r="BT72" t="s">
        <v>54</v>
      </c>
      <c r="BU72" t="s">
        <v>61</v>
      </c>
      <c r="BV72" t="s">
        <v>62</v>
      </c>
      <c r="BX72">
        <v>24</v>
      </c>
      <c r="BY72">
        <v>0</v>
      </c>
      <c r="BZ72">
        <v>0</v>
      </c>
    </row>
    <row r="73" spans="1:78" x14ac:dyDescent="0.2">
      <c r="A73" t="s">
        <v>112</v>
      </c>
      <c r="B73" t="s">
        <v>113</v>
      </c>
      <c r="C73" t="s">
        <v>114</v>
      </c>
      <c r="D73" t="s">
        <v>87</v>
      </c>
      <c r="F73" t="str">
        <f>"1311"</f>
        <v>1311</v>
      </c>
      <c r="G73" t="s">
        <v>49</v>
      </c>
      <c r="H73" t="s">
        <v>121</v>
      </c>
      <c r="I73" t="s">
        <v>122</v>
      </c>
      <c r="K73" t="s">
        <v>51</v>
      </c>
      <c r="L73" t="s">
        <v>52</v>
      </c>
      <c r="M73">
        <v>136944.71</v>
      </c>
      <c r="N73">
        <v>474667.15</v>
      </c>
      <c r="O73" t="s">
        <v>53</v>
      </c>
      <c r="P73" t="s">
        <v>54</v>
      </c>
      <c r="Q73" t="s">
        <v>55</v>
      </c>
      <c r="T73" t="s">
        <v>56</v>
      </c>
      <c r="U73">
        <v>40</v>
      </c>
      <c r="V73" s="1">
        <v>35431</v>
      </c>
      <c r="W73" s="1">
        <v>35431</v>
      </c>
      <c r="X73" s="1">
        <v>35431</v>
      </c>
      <c r="Y73" s="1">
        <v>50041</v>
      </c>
      <c r="Z73" t="s">
        <v>51</v>
      </c>
      <c r="AB73" t="s">
        <v>54</v>
      </c>
      <c r="AC73">
        <v>1</v>
      </c>
      <c r="AE73" t="s">
        <v>84</v>
      </c>
      <c r="AF73">
        <v>20</v>
      </c>
      <c r="AG73" s="1">
        <v>35431</v>
      </c>
      <c r="AH73" s="1">
        <v>35431</v>
      </c>
      <c r="AI73" s="1">
        <v>35431</v>
      </c>
      <c r="AJ73" s="1">
        <v>42736</v>
      </c>
      <c r="AK73" t="s">
        <v>51</v>
      </c>
      <c r="AN73">
        <v>0</v>
      </c>
      <c r="AO73" t="s">
        <v>54</v>
      </c>
      <c r="AP73" t="s">
        <v>53</v>
      </c>
      <c r="AQ73">
        <v>0</v>
      </c>
      <c r="AR73" t="s">
        <v>53</v>
      </c>
      <c r="AS73">
        <v>0</v>
      </c>
      <c r="AT73">
        <v>0</v>
      </c>
      <c r="AW73" t="s">
        <v>58</v>
      </c>
      <c r="AX73">
        <v>20</v>
      </c>
      <c r="AY73" s="1">
        <v>35431</v>
      </c>
      <c r="AZ73" s="1">
        <v>35431</v>
      </c>
      <c r="BA73" s="1">
        <v>35431</v>
      </c>
      <c r="BB73" s="1">
        <v>42736</v>
      </c>
      <c r="BC73" t="s">
        <v>51</v>
      </c>
      <c r="BE73" t="s">
        <v>54</v>
      </c>
      <c r="BF73">
        <v>2</v>
      </c>
      <c r="BG73">
        <v>0</v>
      </c>
      <c r="BH73" t="s">
        <v>53</v>
      </c>
      <c r="BK73" t="s">
        <v>59</v>
      </c>
      <c r="BL73">
        <v>14000</v>
      </c>
      <c r="BM73" s="1">
        <v>44327</v>
      </c>
      <c r="BN73" s="1">
        <v>44327</v>
      </c>
      <c r="BO73" s="1">
        <v>44327</v>
      </c>
      <c r="BP73" s="1">
        <v>45547</v>
      </c>
      <c r="BQ73" t="s">
        <v>51</v>
      </c>
      <c r="BS73" t="s">
        <v>60</v>
      </c>
      <c r="BT73" t="s">
        <v>54</v>
      </c>
      <c r="BU73" t="s">
        <v>61</v>
      </c>
      <c r="BV73" t="s">
        <v>62</v>
      </c>
      <c r="BX73">
        <v>24</v>
      </c>
      <c r="BY73">
        <v>0</v>
      </c>
      <c r="BZ73">
        <v>0</v>
      </c>
    </row>
    <row r="74" spans="1:78" x14ac:dyDescent="0.2">
      <c r="A74" t="s">
        <v>112</v>
      </c>
      <c r="B74" t="s">
        <v>113</v>
      </c>
      <c r="C74" t="s">
        <v>114</v>
      </c>
      <c r="D74" t="s">
        <v>87</v>
      </c>
      <c r="F74" t="str">
        <f>"1312"</f>
        <v>1312</v>
      </c>
      <c r="G74" t="s">
        <v>49</v>
      </c>
      <c r="H74" t="s">
        <v>121</v>
      </c>
      <c r="I74" t="s">
        <v>122</v>
      </c>
      <c r="K74" t="s">
        <v>51</v>
      </c>
      <c r="L74" t="s">
        <v>52</v>
      </c>
      <c r="M74">
        <v>136965.13</v>
      </c>
      <c r="N74">
        <v>474656.15</v>
      </c>
      <c r="O74" t="s">
        <v>53</v>
      </c>
      <c r="P74" t="s">
        <v>54</v>
      </c>
      <c r="Q74" t="s">
        <v>55</v>
      </c>
      <c r="T74" t="s">
        <v>56</v>
      </c>
      <c r="U74">
        <v>40</v>
      </c>
      <c r="V74" s="1">
        <v>35431</v>
      </c>
      <c r="W74" s="1">
        <v>35431</v>
      </c>
      <c r="X74" s="1">
        <v>35431</v>
      </c>
      <c r="Y74" s="1">
        <v>50041</v>
      </c>
      <c r="Z74" t="s">
        <v>51</v>
      </c>
      <c r="AB74" t="s">
        <v>54</v>
      </c>
      <c r="AC74">
        <v>1</v>
      </c>
      <c r="AE74" t="s">
        <v>84</v>
      </c>
      <c r="AF74">
        <v>20</v>
      </c>
      <c r="AG74" s="1">
        <v>35431</v>
      </c>
      <c r="AH74" s="1">
        <v>35431</v>
      </c>
      <c r="AI74" s="1">
        <v>35431</v>
      </c>
      <c r="AJ74" s="1">
        <v>42736</v>
      </c>
      <c r="AK74" t="s">
        <v>51</v>
      </c>
      <c r="AN74">
        <v>0</v>
      </c>
      <c r="AO74" t="s">
        <v>54</v>
      </c>
      <c r="AP74" t="s">
        <v>53</v>
      </c>
      <c r="AQ74">
        <v>0</v>
      </c>
      <c r="AR74" t="s">
        <v>53</v>
      </c>
      <c r="AS74">
        <v>0</v>
      </c>
      <c r="AT74">
        <v>0</v>
      </c>
      <c r="AW74" t="s">
        <v>58</v>
      </c>
      <c r="AX74">
        <v>20</v>
      </c>
      <c r="AY74" s="1">
        <v>43753</v>
      </c>
      <c r="AZ74" s="1">
        <v>43753</v>
      </c>
      <c r="BA74" s="1">
        <v>43753</v>
      </c>
      <c r="BB74" s="1">
        <v>51058</v>
      </c>
      <c r="BC74" t="s">
        <v>51</v>
      </c>
      <c r="BE74" t="s">
        <v>54</v>
      </c>
      <c r="BF74">
        <v>2</v>
      </c>
      <c r="BG74">
        <v>0</v>
      </c>
      <c r="BH74" t="s">
        <v>53</v>
      </c>
      <c r="BK74" t="s">
        <v>59</v>
      </c>
      <c r="BL74">
        <v>14000</v>
      </c>
      <c r="BM74" s="1">
        <v>44327</v>
      </c>
      <c r="BN74" s="1">
        <v>44327</v>
      </c>
      <c r="BO74" s="1">
        <v>44327</v>
      </c>
      <c r="BP74" s="1">
        <v>45547</v>
      </c>
      <c r="BQ74" t="s">
        <v>51</v>
      </c>
      <c r="BS74" t="s">
        <v>60</v>
      </c>
      <c r="BT74" t="s">
        <v>54</v>
      </c>
      <c r="BU74" t="s">
        <v>61</v>
      </c>
      <c r="BV74" t="s">
        <v>62</v>
      </c>
      <c r="BX74">
        <v>24</v>
      </c>
      <c r="BY74">
        <v>0</v>
      </c>
      <c r="BZ74">
        <v>0</v>
      </c>
    </row>
    <row r="75" spans="1:78" x14ac:dyDescent="0.2">
      <c r="A75" t="s">
        <v>112</v>
      </c>
      <c r="B75" t="s">
        <v>113</v>
      </c>
      <c r="C75" t="s">
        <v>114</v>
      </c>
      <c r="D75" t="s">
        <v>87</v>
      </c>
      <c r="F75" t="str">
        <f>"1313"</f>
        <v>1313</v>
      </c>
      <c r="G75" t="s">
        <v>49</v>
      </c>
      <c r="H75" t="s">
        <v>121</v>
      </c>
      <c r="I75" t="s">
        <v>122</v>
      </c>
      <c r="K75" t="s">
        <v>51</v>
      </c>
      <c r="L75" t="s">
        <v>52</v>
      </c>
      <c r="M75">
        <v>136996.29999999999</v>
      </c>
      <c r="N75">
        <v>474639.67</v>
      </c>
      <c r="O75" t="s">
        <v>53</v>
      </c>
      <c r="P75" t="s">
        <v>54</v>
      </c>
      <c r="Q75" t="s">
        <v>55</v>
      </c>
      <c r="T75" t="s">
        <v>56</v>
      </c>
      <c r="U75">
        <v>40</v>
      </c>
      <c r="V75" s="1">
        <v>35431</v>
      </c>
      <c r="W75" s="1">
        <v>35431</v>
      </c>
      <c r="X75" s="1">
        <v>35431</v>
      </c>
      <c r="Y75" s="1">
        <v>50041</v>
      </c>
      <c r="Z75" t="s">
        <v>51</v>
      </c>
      <c r="AB75" t="s">
        <v>54</v>
      </c>
      <c r="AC75">
        <v>1</v>
      </c>
      <c r="AE75" t="s">
        <v>84</v>
      </c>
      <c r="AF75">
        <v>20</v>
      </c>
      <c r="AG75" s="1">
        <v>35431</v>
      </c>
      <c r="AH75" s="1">
        <v>35431</v>
      </c>
      <c r="AI75" s="1">
        <v>35431</v>
      </c>
      <c r="AJ75" s="1">
        <v>42736</v>
      </c>
      <c r="AK75" t="s">
        <v>51</v>
      </c>
      <c r="AN75">
        <v>0</v>
      </c>
      <c r="AO75" t="s">
        <v>54</v>
      </c>
      <c r="AP75" t="s">
        <v>53</v>
      </c>
      <c r="AQ75">
        <v>0</v>
      </c>
      <c r="AR75" t="s">
        <v>53</v>
      </c>
      <c r="AS75">
        <v>0</v>
      </c>
      <c r="AT75">
        <v>0</v>
      </c>
      <c r="AW75" t="s">
        <v>58</v>
      </c>
      <c r="AX75">
        <v>20</v>
      </c>
      <c r="AY75" s="1">
        <v>35431</v>
      </c>
      <c r="AZ75" s="1">
        <v>35431</v>
      </c>
      <c r="BA75" s="1">
        <v>35431</v>
      </c>
      <c r="BB75" s="1">
        <v>42736</v>
      </c>
      <c r="BC75" t="s">
        <v>51</v>
      </c>
      <c r="BE75" t="s">
        <v>54</v>
      </c>
      <c r="BF75">
        <v>2</v>
      </c>
      <c r="BG75">
        <v>0</v>
      </c>
      <c r="BH75" t="s">
        <v>53</v>
      </c>
      <c r="BK75" t="s">
        <v>59</v>
      </c>
      <c r="BL75">
        <v>14000</v>
      </c>
      <c r="BM75" s="1">
        <v>44327</v>
      </c>
      <c r="BN75" s="1">
        <v>44327</v>
      </c>
      <c r="BO75" s="1">
        <v>44327</v>
      </c>
      <c r="BP75" s="1">
        <v>45547</v>
      </c>
      <c r="BQ75" t="s">
        <v>51</v>
      </c>
      <c r="BS75" t="s">
        <v>60</v>
      </c>
      <c r="BT75" t="s">
        <v>54</v>
      </c>
      <c r="BU75" t="s">
        <v>61</v>
      </c>
      <c r="BV75" t="s">
        <v>62</v>
      </c>
      <c r="BX75">
        <v>24</v>
      </c>
      <c r="BY75">
        <v>0</v>
      </c>
      <c r="BZ75">
        <v>0</v>
      </c>
    </row>
    <row r="76" spans="1:78" x14ac:dyDescent="0.2">
      <c r="A76" t="s">
        <v>112</v>
      </c>
      <c r="B76" t="s">
        <v>113</v>
      </c>
      <c r="C76" t="s">
        <v>114</v>
      </c>
      <c r="D76" t="s">
        <v>87</v>
      </c>
      <c r="F76" t="str">
        <f>"1314"</f>
        <v>1314</v>
      </c>
      <c r="G76" t="s">
        <v>49</v>
      </c>
      <c r="H76" t="s">
        <v>123</v>
      </c>
      <c r="I76" t="s">
        <v>124</v>
      </c>
      <c r="K76" t="s">
        <v>51</v>
      </c>
      <c r="L76" t="s">
        <v>52</v>
      </c>
      <c r="M76">
        <v>137023.01999999999</v>
      </c>
      <c r="N76">
        <v>474626.3</v>
      </c>
      <c r="O76" t="s">
        <v>53</v>
      </c>
      <c r="P76" t="s">
        <v>54</v>
      </c>
      <c r="Q76" t="s">
        <v>55</v>
      </c>
      <c r="T76" t="s">
        <v>83</v>
      </c>
      <c r="U76">
        <v>40</v>
      </c>
      <c r="V76" s="1">
        <v>35431</v>
      </c>
      <c r="W76" s="1">
        <v>35431</v>
      </c>
      <c r="X76" s="1">
        <v>35431</v>
      </c>
      <c r="Y76" s="1">
        <v>50041</v>
      </c>
      <c r="Z76" t="s">
        <v>51</v>
      </c>
      <c r="AB76" t="s">
        <v>54</v>
      </c>
      <c r="AC76">
        <v>1</v>
      </c>
      <c r="AE76" t="s">
        <v>84</v>
      </c>
      <c r="AF76">
        <v>20</v>
      </c>
      <c r="AG76" s="1">
        <v>35431</v>
      </c>
      <c r="AH76" s="1">
        <v>35431</v>
      </c>
      <c r="AI76" s="1">
        <v>35431</v>
      </c>
      <c r="AJ76" s="1">
        <v>42736</v>
      </c>
      <c r="AK76" t="s">
        <v>51</v>
      </c>
      <c r="AN76">
        <v>0</v>
      </c>
      <c r="AO76" t="s">
        <v>54</v>
      </c>
      <c r="AP76" t="s">
        <v>53</v>
      </c>
      <c r="AQ76">
        <v>0</v>
      </c>
      <c r="AR76" t="s">
        <v>53</v>
      </c>
      <c r="AS76">
        <v>0</v>
      </c>
      <c r="AT76">
        <v>0</v>
      </c>
      <c r="AW76" t="s">
        <v>58</v>
      </c>
      <c r="AX76">
        <v>20</v>
      </c>
      <c r="AY76" s="1">
        <v>43774</v>
      </c>
      <c r="AZ76" s="1">
        <v>43774</v>
      </c>
      <c r="BA76" s="1">
        <v>43774</v>
      </c>
      <c r="BB76" s="1">
        <v>51079</v>
      </c>
      <c r="BC76" t="s">
        <v>51</v>
      </c>
      <c r="BE76" t="s">
        <v>54</v>
      </c>
      <c r="BF76">
        <v>2</v>
      </c>
      <c r="BG76">
        <v>0</v>
      </c>
      <c r="BH76" t="s">
        <v>53</v>
      </c>
      <c r="BK76" t="s">
        <v>59</v>
      </c>
      <c r="BL76">
        <v>14000</v>
      </c>
      <c r="BM76" s="1">
        <v>44327</v>
      </c>
      <c r="BN76" s="1">
        <v>44327</v>
      </c>
      <c r="BO76" s="1">
        <v>44327</v>
      </c>
      <c r="BP76" s="1">
        <v>45547</v>
      </c>
      <c r="BQ76" t="s">
        <v>51</v>
      </c>
      <c r="BS76" t="s">
        <v>60</v>
      </c>
      <c r="BT76" t="s">
        <v>54</v>
      </c>
      <c r="BU76" t="s">
        <v>61</v>
      </c>
      <c r="BV76" t="s">
        <v>62</v>
      </c>
      <c r="BX76">
        <v>24</v>
      </c>
      <c r="BY76">
        <v>0</v>
      </c>
      <c r="BZ76">
        <v>0</v>
      </c>
    </row>
    <row r="77" spans="1:78" x14ac:dyDescent="0.2">
      <c r="A77" t="s">
        <v>112</v>
      </c>
      <c r="B77" t="s">
        <v>113</v>
      </c>
      <c r="C77" t="s">
        <v>114</v>
      </c>
      <c r="D77" t="s">
        <v>87</v>
      </c>
      <c r="F77" t="str">
        <f>"1315"</f>
        <v>1315</v>
      </c>
      <c r="G77" t="s">
        <v>49</v>
      </c>
      <c r="H77" t="s">
        <v>123</v>
      </c>
      <c r="K77" t="s">
        <v>51</v>
      </c>
      <c r="L77" t="s">
        <v>52</v>
      </c>
      <c r="M77">
        <v>137048.63</v>
      </c>
      <c r="N77">
        <v>474616.69</v>
      </c>
      <c r="O77" t="s">
        <v>53</v>
      </c>
      <c r="P77" t="s">
        <v>54</v>
      </c>
      <c r="Q77" t="s">
        <v>55</v>
      </c>
      <c r="T77" t="s">
        <v>81</v>
      </c>
      <c r="U77">
        <v>40</v>
      </c>
      <c r="V77" s="1">
        <v>44704</v>
      </c>
      <c r="W77" s="1">
        <v>44704</v>
      </c>
      <c r="X77" s="1">
        <v>44704</v>
      </c>
      <c r="Y77" s="1">
        <v>59314</v>
      </c>
      <c r="Z77" t="s">
        <v>51</v>
      </c>
      <c r="AB77" t="s">
        <v>54</v>
      </c>
      <c r="AC77">
        <v>1</v>
      </c>
      <c r="AE77" t="s">
        <v>84</v>
      </c>
      <c r="AF77">
        <v>20</v>
      </c>
      <c r="AG77" s="1">
        <v>35431</v>
      </c>
      <c r="AH77" s="1">
        <v>35431</v>
      </c>
      <c r="AI77" s="1">
        <v>44704</v>
      </c>
      <c r="AJ77" s="1">
        <v>42736</v>
      </c>
      <c r="AK77" t="s">
        <v>51</v>
      </c>
      <c r="AN77">
        <v>0</v>
      </c>
      <c r="AO77" t="s">
        <v>54</v>
      </c>
      <c r="AP77" t="s">
        <v>53</v>
      </c>
      <c r="AQ77">
        <v>0</v>
      </c>
      <c r="AR77" t="s">
        <v>53</v>
      </c>
      <c r="AS77">
        <v>0</v>
      </c>
      <c r="AT77">
        <v>0</v>
      </c>
      <c r="AW77" t="s">
        <v>58</v>
      </c>
      <c r="AX77">
        <v>20</v>
      </c>
      <c r="AY77" s="1">
        <v>44200</v>
      </c>
      <c r="AZ77" s="1">
        <v>44200</v>
      </c>
      <c r="BA77" s="1">
        <v>44704</v>
      </c>
      <c r="BB77" s="1">
        <v>51505</v>
      </c>
      <c r="BC77" t="s">
        <v>51</v>
      </c>
      <c r="BE77" t="s">
        <v>54</v>
      </c>
      <c r="BF77">
        <v>2</v>
      </c>
      <c r="BG77">
        <v>0</v>
      </c>
      <c r="BH77" t="s">
        <v>53</v>
      </c>
      <c r="BK77" t="s">
        <v>59</v>
      </c>
      <c r="BL77">
        <v>14000</v>
      </c>
      <c r="BM77" s="1">
        <v>44327</v>
      </c>
      <c r="BN77" s="1">
        <v>44327</v>
      </c>
      <c r="BO77" s="1">
        <v>44704</v>
      </c>
      <c r="BP77" s="1">
        <v>45547</v>
      </c>
      <c r="BQ77" t="s">
        <v>51</v>
      </c>
      <c r="BS77" t="s">
        <v>60</v>
      </c>
      <c r="BT77" t="s">
        <v>54</v>
      </c>
      <c r="BU77" t="s">
        <v>61</v>
      </c>
      <c r="BV77" t="s">
        <v>62</v>
      </c>
      <c r="BX77">
        <v>24</v>
      </c>
      <c r="BY77">
        <v>0</v>
      </c>
      <c r="BZ77">
        <v>0</v>
      </c>
    </row>
    <row r="78" spans="1:78" x14ac:dyDescent="0.2">
      <c r="A78" t="s">
        <v>45</v>
      </c>
      <c r="B78" t="s">
        <v>46</v>
      </c>
      <c r="C78" t="s">
        <v>90</v>
      </c>
      <c r="D78" t="s">
        <v>125</v>
      </c>
      <c r="F78" t="str">
        <f>"1325"</f>
        <v>1325</v>
      </c>
      <c r="G78" t="s">
        <v>49</v>
      </c>
      <c r="H78" t="s">
        <v>126</v>
      </c>
      <c r="K78" t="s">
        <v>51</v>
      </c>
      <c r="L78" t="s">
        <v>52</v>
      </c>
      <c r="M78">
        <v>135446.92000000001</v>
      </c>
      <c r="N78">
        <v>475623.75</v>
      </c>
      <c r="O78" t="s">
        <v>53</v>
      </c>
      <c r="P78" t="s">
        <v>54</v>
      </c>
      <c r="Q78" t="s">
        <v>55</v>
      </c>
      <c r="T78" t="s">
        <v>56</v>
      </c>
      <c r="U78">
        <v>40</v>
      </c>
      <c r="V78" s="1">
        <v>35431</v>
      </c>
      <c r="W78" s="1">
        <v>35431</v>
      </c>
      <c r="X78" s="1">
        <v>35431</v>
      </c>
      <c r="Y78" s="1">
        <v>50041</v>
      </c>
      <c r="Z78" t="s">
        <v>51</v>
      </c>
      <c r="AB78" t="s">
        <v>54</v>
      </c>
      <c r="AC78">
        <v>1</v>
      </c>
      <c r="AE78" t="s">
        <v>84</v>
      </c>
      <c r="AF78">
        <v>20</v>
      </c>
      <c r="AG78" s="1">
        <v>36892</v>
      </c>
      <c r="AH78" s="1">
        <v>36892</v>
      </c>
      <c r="AI78" s="1">
        <v>36892</v>
      </c>
      <c r="AJ78" s="1">
        <v>44197</v>
      </c>
      <c r="AK78" t="s">
        <v>51</v>
      </c>
      <c r="AN78">
        <v>0</v>
      </c>
      <c r="AO78" t="s">
        <v>54</v>
      </c>
      <c r="AP78" t="s">
        <v>53</v>
      </c>
      <c r="AQ78">
        <v>0</v>
      </c>
      <c r="AR78" t="s">
        <v>53</v>
      </c>
      <c r="AS78">
        <v>0</v>
      </c>
      <c r="AT78">
        <v>0</v>
      </c>
      <c r="AW78" t="s">
        <v>58</v>
      </c>
      <c r="AX78">
        <v>20</v>
      </c>
      <c r="AY78" s="1">
        <v>36892</v>
      </c>
      <c r="AZ78" s="1">
        <v>36892</v>
      </c>
      <c r="BA78" s="1">
        <v>36892</v>
      </c>
      <c r="BB78" s="1">
        <v>44197</v>
      </c>
      <c r="BC78" t="s">
        <v>51</v>
      </c>
      <c r="BE78" t="s">
        <v>54</v>
      </c>
      <c r="BF78">
        <v>2</v>
      </c>
      <c r="BG78">
        <v>0</v>
      </c>
      <c r="BH78" t="s">
        <v>53</v>
      </c>
      <c r="BK78" t="s">
        <v>59</v>
      </c>
      <c r="BL78">
        <v>14000</v>
      </c>
      <c r="BM78" s="1">
        <v>41456</v>
      </c>
      <c r="BN78" s="1">
        <v>41456</v>
      </c>
      <c r="BO78" s="1">
        <v>41456</v>
      </c>
      <c r="BP78" s="1">
        <v>42656</v>
      </c>
      <c r="BQ78" t="s">
        <v>51</v>
      </c>
      <c r="BS78" t="s">
        <v>60</v>
      </c>
      <c r="BT78" t="s">
        <v>54</v>
      </c>
      <c r="BU78" t="s">
        <v>61</v>
      </c>
      <c r="BV78" t="s">
        <v>62</v>
      </c>
      <c r="BX78">
        <v>24</v>
      </c>
      <c r="BY78">
        <v>0</v>
      </c>
      <c r="BZ78">
        <v>0</v>
      </c>
    </row>
    <row r="79" spans="1:78" x14ac:dyDescent="0.2">
      <c r="A79" t="s">
        <v>45</v>
      </c>
      <c r="B79" t="s">
        <v>46</v>
      </c>
      <c r="C79" t="s">
        <v>90</v>
      </c>
      <c r="D79" t="s">
        <v>125</v>
      </c>
      <c r="F79" t="str">
        <f>"1326"</f>
        <v>1326</v>
      </c>
      <c r="G79" t="s">
        <v>49</v>
      </c>
      <c r="H79" t="s">
        <v>103</v>
      </c>
      <c r="K79" t="s">
        <v>51</v>
      </c>
      <c r="L79" t="s">
        <v>52</v>
      </c>
      <c r="M79">
        <v>135464.46</v>
      </c>
      <c r="N79">
        <v>475647.65</v>
      </c>
      <c r="O79" t="s">
        <v>53</v>
      </c>
      <c r="P79" t="s">
        <v>54</v>
      </c>
      <c r="Q79" t="s">
        <v>55</v>
      </c>
      <c r="T79" t="s">
        <v>56</v>
      </c>
      <c r="U79">
        <v>40</v>
      </c>
      <c r="V79" s="1">
        <v>36892</v>
      </c>
      <c r="W79" s="1">
        <v>36892</v>
      </c>
      <c r="X79" s="1">
        <v>36892</v>
      </c>
      <c r="Y79" s="1">
        <v>51502</v>
      </c>
      <c r="Z79" t="s">
        <v>51</v>
      </c>
      <c r="AB79" t="s">
        <v>54</v>
      </c>
      <c r="AC79">
        <v>1</v>
      </c>
      <c r="AE79" t="s">
        <v>84</v>
      </c>
      <c r="AF79">
        <v>20</v>
      </c>
      <c r="AG79" s="1">
        <v>36892</v>
      </c>
      <c r="AH79" s="1">
        <v>36892</v>
      </c>
      <c r="AI79" s="1">
        <v>36892</v>
      </c>
      <c r="AJ79" s="1">
        <v>44197</v>
      </c>
      <c r="AK79" t="s">
        <v>51</v>
      </c>
      <c r="AN79">
        <v>0</v>
      </c>
      <c r="AO79" t="s">
        <v>54</v>
      </c>
      <c r="AP79" t="s">
        <v>53</v>
      </c>
      <c r="AQ79">
        <v>0</v>
      </c>
      <c r="AR79" t="s">
        <v>53</v>
      </c>
      <c r="AS79">
        <v>0</v>
      </c>
      <c r="AT79">
        <v>0</v>
      </c>
      <c r="AW79" t="s">
        <v>58</v>
      </c>
      <c r="AX79">
        <v>20</v>
      </c>
      <c r="AY79" s="1">
        <v>36892</v>
      </c>
      <c r="AZ79" s="1">
        <v>36892</v>
      </c>
      <c r="BA79" s="1">
        <v>36892</v>
      </c>
      <c r="BB79" s="1">
        <v>44197</v>
      </c>
      <c r="BC79" t="s">
        <v>51</v>
      </c>
      <c r="BE79" t="s">
        <v>54</v>
      </c>
      <c r="BF79">
        <v>2</v>
      </c>
      <c r="BG79">
        <v>0</v>
      </c>
      <c r="BH79" t="s">
        <v>53</v>
      </c>
      <c r="BK79" t="s">
        <v>59</v>
      </c>
      <c r="BL79">
        <v>14000</v>
      </c>
      <c r="BM79" s="1">
        <v>41456</v>
      </c>
      <c r="BN79" s="1">
        <v>41456</v>
      </c>
      <c r="BO79" s="1">
        <v>41456</v>
      </c>
      <c r="BP79" s="1">
        <v>42656</v>
      </c>
      <c r="BQ79" t="s">
        <v>51</v>
      </c>
      <c r="BS79" t="s">
        <v>60</v>
      </c>
      <c r="BT79" t="s">
        <v>54</v>
      </c>
      <c r="BU79" t="s">
        <v>61</v>
      </c>
      <c r="BV79" t="s">
        <v>62</v>
      </c>
      <c r="BX79">
        <v>24</v>
      </c>
      <c r="BY79">
        <v>0</v>
      </c>
      <c r="BZ79">
        <v>0</v>
      </c>
    </row>
    <row r="80" spans="1:78" x14ac:dyDescent="0.2">
      <c r="A80" t="s">
        <v>45</v>
      </c>
      <c r="B80" t="s">
        <v>46</v>
      </c>
      <c r="C80" t="s">
        <v>90</v>
      </c>
      <c r="D80" t="s">
        <v>125</v>
      </c>
      <c r="F80" t="str">
        <f>"1327"</f>
        <v>1327</v>
      </c>
      <c r="G80" t="s">
        <v>49</v>
      </c>
      <c r="H80">
        <v>35</v>
      </c>
      <c r="K80" t="s">
        <v>51</v>
      </c>
      <c r="L80" t="s">
        <v>52</v>
      </c>
      <c r="M80">
        <v>135476.76999999999</v>
      </c>
      <c r="N80">
        <v>475677.68</v>
      </c>
      <c r="O80" t="s">
        <v>53</v>
      </c>
      <c r="P80" t="s">
        <v>54</v>
      </c>
      <c r="Q80" t="s">
        <v>55</v>
      </c>
      <c r="T80" t="s">
        <v>83</v>
      </c>
      <c r="U80">
        <v>40</v>
      </c>
      <c r="V80" s="1">
        <v>36892</v>
      </c>
      <c r="W80" s="1">
        <v>36892</v>
      </c>
      <c r="X80" s="1">
        <v>36892</v>
      </c>
      <c r="Y80" s="1">
        <v>51502</v>
      </c>
      <c r="Z80" t="s">
        <v>51</v>
      </c>
      <c r="AB80" t="s">
        <v>54</v>
      </c>
      <c r="AC80">
        <v>1</v>
      </c>
      <c r="AE80" t="s">
        <v>84</v>
      </c>
      <c r="AF80">
        <v>20</v>
      </c>
      <c r="AG80" s="1">
        <v>36892</v>
      </c>
      <c r="AH80" s="1">
        <v>36892</v>
      </c>
      <c r="AI80" s="1">
        <v>36892</v>
      </c>
      <c r="AJ80" s="1">
        <v>44197</v>
      </c>
      <c r="AK80" t="s">
        <v>51</v>
      </c>
      <c r="AN80">
        <v>0</v>
      </c>
      <c r="AO80" t="s">
        <v>54</v>
      </c>
      <c r="AP80" t="s">
        <v>53</v>
      </c>
      <c r="AQ80">
        <v>0</v>
      </c>
      <c r="AR80" t="s">
        <v>53</v>
      </c>
      <c r="AS80">
        <v>0</v>
      </c>
      <c r="AT80">
        <v>0</v>
      </c>
      <c r="AW80" t="s">
        <v>58</v>
      </c>
      <c r="AX80">
        <v>20</v>
      </c>
      <c r="AY80" s="1">
        <v>36892</v>
      </c>
      <c r="AZ80" s="1">
        <v>36892</v>
      </c>
      <c r="BA80" s="1">
        <v>36892</v>
      </c>
      <c r="BB80" s="1">
        <v>44197</v>
      </c>
      <c r="BC80" t="s">
        <v>51</v>
      </c>
      <c r="BE80" t="s">
        <v>54</v>
      </c>
      <c r="BF80">
        <v>2</v>
      </c>
      <c r="BG80">
        <v>0</v>
      </c>
      <c r="BH80" t="s">
        <v>53</v>
      </c>
      <c r="BK80" t="s">
        <v>59</v>
      </c>
      <c r="BL80">
        <v>14000</v>
      </c>
      <c r="BM80" s="1">
        <v>43402</v>
      </c>
      <c r="BN80" s="1">
        <v>43402</v>
      </c>
      <c r="BO80" s="1">
        <v>43402</v>
      </c>
      <c r="BP80" s="1">
        <v>44562</v>
      </c>
      <c r="BQ80" t="s">
        <v>51</v>
      </c>
      <c r="BS80" t="s">
        <v>60</v>
      </c>
      <c r="BT80" t="s">
        <v>54</v>
      </c>
      <c r="BU80" t="s">
        <v>61</v>
      </c>
      <c r="BV80" t="s">
        <v>62</v>
      </c>
      <c r="BX80">
        <v>24</v>
      </c>
      <c r="BY80">
        <v>0</v>
      </c>
      <c r="BZ80">
        <v>0</v>
      </c>
    </row>
    <row r="81" spans="1:78" x14ac:dyDescent="0.2">
      <c r="A81" t="s">
        <v>45</v>
      </c>
      <c r="B81" t="s">
        <v>46</v>
      </c>
      <c r="C81" t="s">
        <v>90</v>
      </c>
      <c r="D81" t="s">
        <v>125</v>
      </c>
      <c r="F81" t="str">
        <f>"1328"</f>
        <v>1328</v>
      </c>
      <c r="G81" t="s">
        <v>49</v>
      </c>
      <c r="H81" t="s">
        <v>127</v>
      </c>
      <c r="K81" t="s">
        <v>51</v>
      </c>
      <c r="L81" t="s">
        <v>52</v>
      </c>
      <c r="M81">
        <v>135492.10999999999</v>
      </c>
      <c r="N81">
        <v>475703.33</v>
      </c>
      <c r="O81" t="s">
        <v>53</v>
      </c>
      <c r="P81" t="s">
        <v>54</v>
      </c>
      <c r="Q81" t="s">
        <v>55</v>
      </c>
      <c r="T81" t="s">
        <v>56</v>
      </c>
      <c r="U81">
        <v>40</v>
      </c>
      <c r="V81" s="1">
        <v>36892</v>
      </c>
      <c r="W81" s="1">
        <v>36892</v>
      </c>
      <c r="X81" s="1">
        <v>36892</v>
      </c>
      <c r="Y81" s="1">
        <v>51502</v>
      </c>
      <c r="Z81" t="s">
        <v>51</v>
      </c>
      <c r="AB81" t="s">
        <v>54</v>
      </c>
      <c r="AC81">
        <v>1</v>
      </c>
      <c r="AE81" t="s">
        <v>84</v>
      </c>
      <c r="AF81">
        <v>20</v>
      </c>
      <c r="AG81" s="1">
        <v>36892</v>
      </c>
      <c r="AH81" s="1">
        <v>36892</v>
      </c>
      <c r="AI81" s="1">
        <v>36892</v>
      </c>
      <c r="AJ81" s="1">
        <v>44197</v>
      </c>
      <c r="AK81" t="s">
        <v>51</v>
      </c>
      <c r="AN81">
        <v>0</v>
      </c>
      <c r="AO81" t="s">
        <v>54</v>
      </c>
      <c r="AP81" t="s">
        <v>53</v>
      </c>
      <c r="AQ81">
        <v>0</v>
      </c>
      <c r="AR81" t="s">
        <v>53</v>
      </c>
      <c r="AS81">
        <v>0</v>
      </c>
      <c r="AT81">
        <v>0</v>
      </c>
      <c r="AW81" t="s">
        <v>58</v>
      </c>
      <c r="AX81">
        <v>20</v>
      </c>
      <c r="AY81" s="1">
        <v>36892</v>
      </c>
      <c r="AZ81" s="1">
        <v>36892</v>
      </c>
      <c r="BA81" s="1">
        <v>36892</v>
      </c>
      <c r="BB81" s="1">
        <v>44197</v>
      </c>
      <c r="BC81" t="s">
        <v>51</v>
      </c>
      <c r="BE81" t="s">
        <v>54</v>
      </c>
      <c r="BF81">
        <v>2</v>
      </c>
      <c r="BG81">
        <v>0</v>
      </c>
      <c r="BH81" t="s">
        <v>53</v>
      </c>
      <c r="BK81" t="s">
        <v>59</v>
      </c>
      <c r="BL81">
        <v>14000</v>
      </c>
      <c r="BM81" s="1">
        <v>43119</v>
      </c>
      <c r="BN81" s="1">
        <v>43119</v>
      </c>
      <c r="BO81" s="1">
        <v>43119</v>
      </c>
      <c r="BP81" s="1">
        <v>44291</v>
      </c>
      <c r="BQ81" t="s">
        <v>51</v>
      </c>
      <c r="BS81" t="s">
        <v>60</v>
      </c>
      <c r="BT81" t="s">
        <v>54</v>
      </c>
      <c r="BU81" t="s">
        <v>61</v>
      </c>
      <c r="BV81" t="s">
        <v>62</v>
      </c>
      <c r="BX81">
        <v>24</v>
      </c>
      <c r="BY81">
        <v>0</v>
      </c>
      <c r="BZ81">
        <v>0</v>
      </c>
    </row>
    <row r="82" spans="1:78" x14ac:dyDescent="0.2">
      <c r="A82" t="s">
        <v>45</v>
      </c>
      <c r="B82" t="s">
        <v>46</v>
      </c>
      <c r="C82" t="s">
        <v>90</v>
      </c>
      <c r="D82" t="s">
        <v>125</v>
      </c>
      <c r="F82" t="str">
        <f>"1329"</f>
        <v>1329</v>
      </c>
      <c r="G82" t="s">
        <v>49</v>
      </c>
      <c r="H82" t="s">
        <v>128</v>
      </c>
      <c r="K82" t="s">
        <v>51</v>
      </c>
      <c r="L82" t="s">
        <v>52</v>
      </c>
      <c r="M82">
        <v>135514.60999999999</v>
      </c>
      <c r="N82">
        <v>475725.94</v>
      </c>
      <c r="O82" t="s">
        <v>53</v>
      </c>
      <c r="P82" t="s">
        <v>54</v>
      </c>
      <c r="Q82" t="s">
        <v>55</v>
      </c>
      <c r="T82" t="s">
        <v>83</v>
      </c>
      <c r="U82">
        <v>40</v>
      </c>
      <c r="V82" s="1">
        <v>35431</v>
      </c>
      <c r="W82" s="1">
        <v>35431</v>
      </c>
      <c r="X82" s="1">
        <v>35431</v>
      </c>
      <c r="Y82" s="1">
        <v>50041</v>
      </c>
      <c r="Z82" t="s">
        <v>51</v>
      </c>
      <c r="AB82" t="s">
        <v>54</v>
      </c>
      <c r="AC82">
        <v>1</v>
      </c>
      <c r="AE82" t="s">
        <v>84</v>
      </c>
      <c r="AF82">
        <v>20</v>
      </c>
      <c r="AG82" s="1">
        <v>35431</v>
      </c>
      <c r="AH82" s="1">
        <v>35431</v>
      </c>
      <c r="AI82" s="1">
        <v>35431</v>
      </c>
      <c r="AJ82" s="1">
        <v>42736</v>
      </c>
      <c r="AK82" t="s">
        <v>51</v>
      </c>
      <c r="AN82">
        <v>0</v>
      </c>
      <c r="AO82" t="s">
        <v>54</v>
      </c>
      <c r="AP82" t="s">
        <v>53</v>
      </c>
      <c r="AQ82">
        <v>0</v>
      </c>
      <c r="AR82" t="s">
        <v>53</v>
      </c>
      <c r="AS82">
        <v>0</v>
      </c>
      <c r="AT82">
        <v>0</v>
      </c>
      <c r="AW82" t="s">
        <v>58</v>
      </c>
      <c r="AX82">
        <v>20</v>
      </c>
      <c r="AY82" s="1">
        <v>35431</v>
      </c>
      <c r="AZ82" s="1">
        <v>35431</v>
      </c>
      <c r="BA82" s="1">
        <v>35431</v>
      </c>
      <c r="BB82" s="1">
        <v>42736</v>
      </c>
      <c r="BC82" t="s">
        <v>51</v>
      </c>
      <c r="BE82" t="s">
        <v>54</v>
      </c>
      <c r="BF82">
        <v>2</v>
      </c>
      <c r="BG82">
        <v>0</v>
      </c>
      <c r="BH82" t="s">
        <v>53</v>
      </c>
      <c r="BK82" t="s">
        <v>59</v>
      </c>
      <c r="BL82">
        <v>14000</v>
      </c>
      <c r="BM82" s="1">
        <v>41456</v>
      </c>
      <c r="BN82" s="1">
        <v>41456</v>
      </c>
      <c r="BO82" s="1">
        <v>41456</v>
      </c>
      <c r="BP82" s="1">
        <v>42656</v>
      </c>
      <c r="BQ82" t="s">
        <v>51</v>
      </c>
      <c r="BS82" t="s">
        <v>60</v>
      </c>
      <c r="BT82" t="s">
        <v>54</v>
      </c>
      <c r="BU82" t="s">
        <v>61</v>
      </c>
      <c r="BV82" t="s">
        <v>62</v>
      </c>
      <c r="BX82">
        <v>24</v>
      </c>
      <c r="BY82">
        <v>0</v>
      </c>
      <c r="BZ82">
        <v>0</v>
      </c>
    </row>
    <row r="83" spans="1:78" x14ac:dyDescent="0.2">
      <c r="A83" t="s">
        <v>45</v>
      </c>
      <c r="B83" t="s">
        <v>46</v>
      </c>
      <c r="C83" t="s">
        <v>90</v>
      </c>
      <c r="D83" t="s">
        <v>125</v>
      </c>
      <c r="F83" t="str">
        <f>"1330"</f>
        <v>1330</v>
      </c>
      <c r="G83" t="s">
        <v>49</v>
      </c>
      <c r="H83" t="s">
        <v>129</v>
      </c>
      <c r="K83" t="s">
        <v>51</v>
      </c>
      <c r="L83" t="s">
        <v>52</v>
      </c>
      <c r="M83">
        <v>135532.66</v>
      </c>
      <c r="N83">
        <v>475749.19</v>
      </c>
      <c r="O83" t="s">
        <v>53</v>
      </c>
      <c r="P83" t="s">
        <v>54</v>
      </c>
      <c r="Q83" t="s">
        <v>55</v>
      </c>
      <c r="T83" t="s">
        <v>56</v>
      </c>
      <c r="U83">
        <v>40</v>
      </c>
      <c r="V83" s="1">
        <v>36892</v>
      </c>
      <c r="W83" s="1">
        <v>36892</v>
      </c>
      <c r="X83" s="1">
        <v>36892</v>
      </c>
      <c r="Y83" s="1">
        <v>51502</v>
      </c>
      <c r="Z83" t="s">
        <v>51</v>
      </c>
      <c r="AB83" t="s">
        <v>54</v>
      </c>
      <c r="AC83">
        <v>1</v>
      </c>
      <c r="AE83" t="s">
        <v>84</v>
      </c>
      <c r="AF83">
        <v>20</v>
      </c>
      <c r="AG83" s="1">
        <v>36892</v>
      </c>
      <c r="AH83" s="1">
        <v>36892</v>
      </c>
      <c r="AI83" s="1">
        <v>36892</v>
      </c>
      <c r="AJ83" s="1">
        <v>44197</v>
      </c>
      <c r="AK83" t="s">
        <v>51</v>
      </c>
      <c r="AN83">
        <v>0</v>
      </c>
      <c r="AO83" t="s">
        <v>54</v>
      </c>
      <c r="AP83" t="s">
        <v>53</v>
      </c>
      <c r="AQ83">
        <v>0</v>
      </c>
      <c r="AR83" t="s">
        <v>53</v>
      </c>
      <c r="AS83">
        <v>0</v>
      </c>
      <c r="AT83">
        <v>0</v>
      </c>
      <c r="AW83" t="s">
        <v>58</v>
      </c>
      <c r="AX83">
        <v>20</v>
      </c>
      <c r="AY83" s="1">
        <v>43423</v>
      </c>
      <c r="AZ83" s="1">
        <v>43423</v>
      </c>
      <c r="BA83" s="1">
        <v>43423</v>
      </c>
      <c r="BB83" s="1">
        <v>50728</v>
      </c>
      <c r="BC83" t="s">
        <v>51</v>
      </c>
      <c r="BE83" t="s">
        <v>54</v>
      </c>
      <c r="BF83">
        <v>2</v>
      </c>
      <c r="BG83">
        <v>0</v>
      </c>
      <c r="BH83" t="s">
        <v>53</v>
      </c>
      <c r="BK83" t="s">
        <v>59</v>
      </c>
      <c r="BL83">
        <v>14000</v>
      </c>
      <c r="BM83" s="1">
        <v>43409</v>
      </c>
      <c r="BN83" s="1">
        <v>43409</v>
      </c>
      <c r="BO83" s="1">
        <v>43423</v>
      </c>
      <c r="BP83" s="1">
        <v>44569</v>
      </c>
      <c r="BQ83" t="s">
        <v>51</v>
      </c>
      <c r="BS83" t="s">
        <v>60</v>
      </c>
      <c r="BT83" t="s">
        <v>54</v>
      </c>
      <c r="BU83" t="s">
        <v>61</v>
      </c>
      <c r="BV83" t="s">
        <v>62</v>
      </c>
      <c r="BX83">
        <v>24</v>
      </c>
      <c r="BY83">
        <v>0</v>
      </c>
      <c r="BZ83">
        <v>0</v>
      </c>
    </row>
    <row r="84" spans="1:78" x14ac:dyDescent="0.2">
      <c r="A84" t="s">
        <v>45</v>
      </c>
      <c r="B84" t="s">
        <v>46</v>
      </c>
      <c r="C84" t="s">
        <v>90</v>
      </c>
      <c r="D84" t="s">
        <v>125</v>
      </c>
      <c r="F84" t="str">
        <f>"1331"</f>
        <v>1331</v>
      </c>
      <c r="G84" t="s">
        <v>49</v>
      </c>
      <c r="H84" t="s">
        <v>130</v>
      </c>
      <c r="K84" t="s">
        <v>51</v>
      </c>
      <c r="L84" t="s">
        <v>52</v>
      </c>
      <c r="M84">
        <v>135545.20000000001</v>
      </c>
      <c r="N84">
        <v>475778.13</v>
      </c>
      <c r="O84" t="s">
        <v>53</v>
      </c>
      <c r="P84" t="s">
        <v>54</v>
      </c>
      <c r="Q84" t="s">
        <v>55</v>
      </c>
      <c r="T84" t="s">
        <v>131</v>
      </c>
      <c r="U84">
        <v>40</v>
      </c>
      <c r="V84" s="1">
        <v>28126</v>
      </c>
      <c r="W84" s="1">
        <v>28126</v>
      </c>
      <c r="X84" s="1">
        <v>28126</v>
      </c>
      <c r="Y84" s="1">
        <v>42736</v>
      </c>
      <c r="Z84" t="s">
        <v>51</v>
      </c>
      <c r="AB84" t="s">
        <v>54</v>
      </c>
      <c r="AC84">
        <v>1</v>
      </c>
      <c r="AE84" t="s">
        <v>84</v>
      </c>
      <c r="AF84">
        <v>20</v>
      </c>
      <c r="AG84" s="1">
        <v>36892</v>
      </c>
      <c r="AH84" s="1">
        <v>36892</v>
      </c>
      <c r="AI84" s="1">
        <v>36892</v>
      </c>
      <c r="AJ84" s="1">
        <v>44197</v>
      </c>
      <c r="AK84" t="s">
        <v>51</v>
      </c>
      <c r="AN84">
        <v>0</v>
      </c>
      <c r="AO84" t="s">
        <v>54</v>
      </c>
      <c r="AP84" t="s">
        <v>53</v>
      </c>
      <c r="AQ84">
        <v>0</v>
      </c>
      <c r="AR84" t="s">
        <v>53</v>
      </c>
      <c r="AS84">
        <v>0</v>
      </c>
      <c r="AT84">
        <v>0</v>
      </c>
      <c r="AW84" t="s">
        <v>58</v>
      </c>
      <c r="AX84">
        <v>20</v>
      </c>
      <c r="AY84" s="1">
        <v>36892</v>
      </c>
      <c r="AZ84" s="1">
        <v>36892</v>
      </c>
      <c r="BA84" s="1">
        <v>36892</v>
      </c>
      <c r="BB84" s="1">
        <v>44197</v>
      </c>
      <c r="BC84" t="s">
        <v>51</v>
      </c>
      <c r="BE84" t="s">
        <v>54</v>
      </c>
      <c r="BF84">
        <v>2</v>
      </c>
      <c r="BG84">
        <v>0</v>
      </c>
      <c r="BH84" t="s">
        <v>53</v>
      </c>
      <c r="BK84" t="s">
        <v>59</v>
      </c>
      <c r="BL84">
        <v>14000</v>
      </c>
      <c r="BM84" s="1">
        <v>41456</v>
      </c>
      <c r="BN84" s="1">
        <v>41456</v>
      </c>
      <c r="BO84" s="1">
        <v>41456</v>
      </c>
      <c r="BP84" s="1">
        <v>42656</v>
      </c>
      <c r="BQ84" t="s">
        <v>51</v>
      </c>
      <c r="BS84" t="s">
        <v>60</v>
      </c>
      <c r="BT84" t="s">
        <v>54</v>
      </c>
      <c r="BU84" t="s">
        <v>61</v>
      </c>
      <c r="BV84" t="s">
        <v>62</v>
      </c>
      <c r="BX84">
        <v>24</v>
      </c>
      <c r="BY84">
        <v>0</v>
      </c>
      <c r="BZ84">
        <v>0</v>
      </c>
    </row>
    <row r="85" spans="1:78" x14ac:dyDescent="0.2">
      <c r="A85" t="s">
        <v>45</v>
      </c>
      <c r="B85" t="s">
        <v>46</v>
      </c>
      <c r="C85" t="s">
        <v>90</v>
      </c>
      <c r="D85" t="s">
        <v>125</v>
      </c>
      <c r="F85" t="str">
        <f>"1332"</f>
        <v>1332</v>
      </c>
      <c r="G85" t="s">
        <v>49</v>
      </c>
      <c r="H85" t="s">
        <v>132</v>
      </c>
      <c r="K85" t="s">
        <v>51</v>
      </c>
      <c r="L85" t="s">
        <v>52</v>
      </c>
      <c r="M85">
        <v>135567.71</v>
      </c>
      <c r="N85">
        <v>475799.44</v>
      </c>
      <c r="O85" t="s">
        <v>53</v>
      </c>
      <c r="P85" t="s">
        <v>54</v>
      </c>
      <c r="Q85" t="s">
        <v>55</v>
      </c>
      <c r="T85" t="s">
        <v>131</v>
      </c>
      <c r="U85">
        <v>40</v>
      </c>
      <c r="V85" s="1">
        <v>28126</v>
      </c>
      <c r="W85" s="1">
        <v>28126</v>
      </c>
      <c r="X85" s="1">
        <v>28126</v>
      </c>
      <c r="Y85" s="1">
        <v>42736</v>
      </c>
      <c r="Z85" t="s">
        <v>51</v>
      </c>
      <c r="AB85" t="s">
        <v>54</v>
      </c>
      <c r="AC85">
        <v>1</v>
      </c>
      <c r="AE85" t="s">
        <v>84</v>
      </c>
      <c r="AF85">
        <v>20</v>
      </c>
      <c r="AG85" s="1">
        <v>36892</v>
      </c>
      <c r="AH85" s="1">
        <v>36892</v>
      </c>
      <c r="AI85" s="1">
        <v>36892</v>
      </c>
      <c r="AJ85" s="1">
        <v>44197</v>
      </c>
      <c r="AK85" t="s">
        <v>51</v>
      </c>
      <c r="AN85">
        <v>0</v>
      </c>
      <c r="AO85" t="s">
        <v>54</v>
      </c>
      <c r="AP85" t="s">
        <v>53</v>
      </c>
      <c r="AQ85">
        <v>0</v>
      </c>
      <c r="AR85" t="s">
        <v>53</v>
      </c>
      <c r="AS85">
        <v>0</v>
      </c>
      <c r="AT85">
        <v>0</v>
      </c>
      <c r="AW85" t="s">
        <v>58</v>
      </c>
      <c r="AX85">
        <v>20</v>
      </c>
      <c r="AY85" s="1">
        <v>43647</v>
      </c>
      <c r="AZ85" s="1">
        <v>43647</v>
      </c>
      <c r="BA85" s="1">
        <v>43647</v>
      </c>
      <c r="BB85" s="1">
        <v>50952</v>
      </c>
      <c r="BC85" t="s">
        <v>51</v>
      </c>
      <c r="BE85" t="s">
        <v>54</v>
      </c>
      <c r="BF85">
        <v>2</v>
      </c>
      <c r="BG85">
        <v>0</v>
      </c>
      <c r="BH85" t="s">
        <v>53</v>
      </c>
      <c r="BK85" t="s">
        <v>59</v>
      </c>
      <c r="BL85">
        <v>14000</v>
      </c>
      <c r="BM85" s="1">
        <v>43647</v>
      </c>
      <c r="BN85" s="1">
        <v>43647</v>
      </c>
      <c r="BO85" s="1">
        <v>43647</v>
      </c>
      <c r="BP85" s="1">
        <v>44847</v>
      </c>
      <c r="BQ85" t="s">
        <v>51</v>
      </c>
      <c r="BS85" t="s">
        <v>60</v>
      </c>
      <c r="BT85" t="s">
        <v>54</v>
      </c>
      <c r="BU85" t="s">
        <v>61</v>
      </c>
      <c r="BV85" t="s">
        <v>62</v>
      </c>
      <c r="BX85">
        <v>24</v>
      </c>
      <c r="BY85">
        <v>0</v>
      </c>
      <c r="BZ85">
        <v>0</v>
      </c>
    </row>
    <row r="86" spans="1:78" x14ac:dyDescent="0.2">
      <c r="A86" t="s">
        <v>45</v>
      </c>
      <c r="B86" t="s">
        <v>46</v>
      </c>
      <c r="C86" t="s">
        <v>90</v>
      </c>
      <c r="D86" t="s">
        <v>125</v>
      </c>
      <c r="F86" t="str">
        <f>"1333"</f>
        <v>1333</v>
      </c>
      <c r="G86" t="s">
        <v>49</v>
      </c>
      <c r="H86">
        <v>49</v>
      </c>
      <c r="K86" t="s">
        <v>51</v>
      </c>
      <c r="L86" t="s">
        <v>52</v>
      </c>
      <c r="M86">
        <v>135578.19</v>
      </c>
      <c r="N86">
        <v>475829.78</v>
      </c>
      <c r="O86" t="s">
        <v>53</v>
      </c>
      <c r="P86" t="s">
        <v>54</v>
      </c>
      <c r="Q86" t="s">
        <v>55</v>
      </c>
      <c r="T86" t="s">
        <v>56</v>
      </c>
      <c r="U86">
        <v>40</v>
      </c>
      <c r="V86" s="1">
        <v>36892</v>
      </c>
      <c r="W86" s="1">
        <v>36892</v>
      </c>
      <c r="X86" s="1">
        <v>36892</v>
      </c>
      <c r="Y86" s="1">
        <v>51502</v>
      </c>
      <c r="Z86" t="s">
        <v>51</v>
      </c>
      <c r="AB86" t="s">
        <v>54</v>
      </c>
      <c r="AC86">
        <v>1</v>
      </c>
      <c r="AE86" t="s">
        <v>84</v>
      </c>
      <c r="AF86">
        <v>20</v>
      </c>
      <c r="AG86" s="1">
        <v>36892</v>
      </c>
      <c r="AH86" s="1">
        <v>36892</v>
      </c>
      <c r="AI86" s="1">
        <v>36892</v>
      </c>
      <c r="AJ86" s="1">
        <v>44197</v>
      </c>
      <c r="AK86" t="s">
        <v>51</v>
      </c>
      <c r="AN86">
        <v>0</v>
      </c>
      <c r="AO86" t="s">
        <v>54</v>
      </c>
      <c r="AP86" t="s">
        <v>53</v>
      </c>
      <c r="AQ86">
        <v>0</v>
      </c>
      <c r="AR86" t="s">
        <v>53</v>
      </c>
      <c r="AS86">
        <v>0</v>
      </c>
      <c r="AT86">
        <v>0</v>
      </c>
      <c r="AW86" t="s">
        <v>58</v>
      </c>
      <c r="AX86">
        <v>20</v>
      </c>
      <c r="AY86" s="1">
        <v>36892</v>
      </c>
      <c r="AZ86" s="1">
        <v>36892</v>
      </c>
      <c r="BA86" s="1">
        <v>36892</v>
      </c>
      <c r="BB86" s="1">
        <v>44197</v>
      </c>
      <c r="BC86" t="s">
        <v>51</v>
      </c>
      <c r="BE86" t="s">
        <v>54</v>
      </c>
      <c r="BF86">
        <v>2</v>
      </c>
      <c r="BG86">
        <v>0</v>
      </c>
      <c r="BH86" t="s">
        <v>53</v>
      </c>
      <c r="BK86" t="s">
        <v>59</v>
      </c>
      <c r="BL86">
        <v>14000</v>
      </c>
      <c r="BM86" s="1">
        <v>41456</v>
      </c>
      <c r="BN86" s="1">
        <v>41456</v>
      </c>
      <c r="BO86" s="1">
        <v>41456</v>
      </c>
      <c r="BP86" s="1">
        <v>42656</v>
      </c>
      <c r="BQ86" t="s">
        <v>51</v>
      </c>
      <c r="BS86" t="s">
        <v>60</v>
      </c>
      <c r="BT86" t="s">
        <v>54</v>
      </c>
      <c r="BU86" t="s">
        <v>61</v>
      </c>
      <c r="BV86" t="s">
        <v>62</v>
      </c>
      <c r="BX86">
        <v>24</v>
      </c>
      <c r="BY86">
        <v>0</v>
      </c>
      <c r="BZ86">
        <v>0</v>
      </c>
    </row>
    <row r="87" spans="1:78" x14ac:dyDescent="0.2">
      <c r="A87" t="s">
        <v>45</v>
      </c>
      <c r="B87" t="s">
        <v>46</v>
      </c>
      <c r="C87" t="s">
        <v>90</v>
      </c>
      <c r="D87" t="s">
        <v>125</v>
      </c>
      <c r="F87" t="str">
        <f>"1334"</f>
        <v>1334</v>
      </c>
      <c r="G87" t="s">
        <v>49</v>
      </c>
      <c r="H87" t="s">
        <v>133</v>
      </c>
      <c r="K87" t="s">
        <v>51</v>
      </c>
      <c r="L87" t="s">
        <v>52</v>
      </c>
      <c r="M87">
        <v>135594.97</v>
      </c>
      <c r="N87">
        <v>475852.03</v>
      </c>
      <c r="O87" t="s">
        <v>53</v>
      </c>
      <c r="P87" t="s">
        <v>54</v>
      </c>
      <c r="Q87" t="s">
        <v>55</v>
      </c>
      <c r="T87" t="s">
        <v>83</v>
      </c>
      <c r="U87">
        <v>40</v>
      </c>
      <c r="V87" s="1">
        <v>28126</v>
      </c>
      <c r="W87" s="1">
        <v>28126</v>
      </c>
      <c r="X87" s="1">
        <v>28126</v>
      </c>
      <c r="Y87" s="1">
        <v>42736</v>
      </c>
      <c r="Z87" t="s">
        <v>51</v>
      </c>
      <c r="AB87" t="s">
        <v>54</v>
      </c>
      <c r="AC87">
        <v>1</v>
      </c>
      <c r="AE87" t="s">
        <v>84</v>
      </c>
      <c r="AF87">
        <v>20</v>
      </c>
      <c r="AG87" s="1">
        <v>36892</v>
      </c>
      <c r="AH87" s="1">
        <v>36892</v>
      </c>
      <c r="AI87" s="1">
        <v>36892</v>
      </c>
      <c r="AJ87" s="1">
        <v>44197</v>
      </c>
      <c r="AK87" t="s">
        <v>51</v>
      </c>
      <c r="AN87">
        <v>0</v>
      </c>
      <c r="AO87" t="s">
        <v>54</v>
      </c>
      <c r="AP87" t="s">
        <v>53</v>
      </c>
      <c r="AQ87">
        <v>0</v>
      </c>
      <c r="AR87" t="s">
        <v>53</v>
      </c>
      <c r="AS87">
        <v>0</v>
      </c>
      <c r="AT87">
        <v>0</v>
      </c>
      <c r="AW87" t="s">
        <v>58</v>
      </c>
      <c r="AX87">
        <v>20</v>
      </c>
      <c r="AY87" s="1">
        <v>36892</v>
      </c>
      <c r="AZ87" s="1">
        <v>36892</v>
      </c>
      <c r="BA87" s="1">
        <v>36892</v>
      </c>
      <c r="BB87" s="1">
        <v>44197</v>
      </c>
      <c r="BC87" t="s">
        <v>51</v>
      </c>
      <c r="BE87" t="s">
        <v>54</v>
      </c>
      <c r="BF87">
        <v>2</v>
      </c>
      <c r="BG87">
        <v>0</v>
      </c>
      <c r="BH87" t="s">
        <v>53</v>
      </c>
      <c r="BK87" t="s">
        <v>59</v>
      </c>
      <c r="BL87">
        <v>14000</v>
      </c>
      <c r="BM87" s="1">
        <v>41456</v>
      </c>
      <c r="BN87" s="1">
        <v>41456</v>
      </c>
      <c r="BO87" s="1">
        <v>41456</v>
      </c>
      <c r="BP87" s="1">
        <v>42656</v>
      </c>
      <c r="BQ87" t="s">
        <v>51</v>
      </c>
      <c r="BS87" t="s">
        <v>60</v>
      </c>
      <c r="BT87" t="s">
        <v>54</v>
      </c>
      <c r="BU87" t="s">
        <v>61</v>
      </c>
      <c r="BV87" t="s">
        <v>62</v>
      </c>
      <c r="BX87">
        <v>24</v>
      </c>
      <c r="BY87">
        <v>0</v>
      </c>
      <c r="BZ87">
        <v>0</v>
      </c>
    </row>
    <row r="88" spans="1:78" x14ac:dyDescent="0.2">
      <c r="A88" t="s">
        <v>45</v>
      </c>
      <c r="B88" t="s">
        <v>46</v>
      </c>
      <c r="C88" t="s">
        <v>90</v>
      </c>
      <c r="D88" t="s">
        <v>125</v>
      </c>
      <c r="F88" t="str">
        <f>"1335"</f>
        <v>1335</v>
      </c>
      <c r="G88" t="s">
        <v>49</v>
      </c>
      <c r="H88" t="s">
        <v>134</v>
      </c>
      <c r="K88" t="s">
        <v>51</v>
      </c>
      <c r="L88" t="s">
        <v>52</v>
      </c>
      <c r="M88">
        <v>135617.38</v>
      </c>
      <c r="N88">
        <v>475872.75</v>
      </c>
      <c r="O88" t="s">
        <v>53</v>
      </c>
      <c r="P88" t="s">
        <v>54</v>
      </c>
      <c r="Q88" t="s">
        <v>55</v>
      </c>
      <c r="T88" t="s">
        <v>56</v>
      </c>
      <c r="U88">
        <v>40</v>
      </c>
      <c r="V88" s="1">
        <v>36892</v>
      </c>
      <c r="W88" s="1">
        <v>36892</v>
      </c>
      <c r="X88" s="1">
        <v>36892</v>
      </c>
      <c r="Y88" s="1">
        <v>51502</v>
      </c>
      <c r="Z88" t="s">
        <v>51</v>
      </c>
      <c r="AB88" t="s">
        <v>54</v>
      </c>
      <c r="AC88">
        <v>1</v>
      </c>
      <c r="AE88" t="s">
        <v>84</v>
      </c>
      <c r="AF88">
        <v>20</v>
      </c>
      <c r="AG88" s="1">
        <v>36892</v>
      </c>
      <c r="AH88" s="1">
        <v>36892</v>
      </c>
      <c r="AI88" s="1">
        <v>36892</v>
      </c>
      <c r="AJ88" s="1">
        <v>44197</v>
      </c>
      <c r="AK88" t="s">
        <v>51</v>
      </c>
      <c r="AN88">
        <v>0</v>
      </c>
      <c r="AO88" t="s">
        <v>54</v>
      </c>
      <c r="AP88" t="s">
        <v>53</v>
      </c>
      <c r="AQ88">
        <v>0</v>
      </c>
      <c r="AR88" t="s">
        <v>53</v>
      </c>
      <c r="AS88">
        <v>0</v>
      </c>
      <c r="AT88">
        <v>0</v>
      </c>
      <c r="AW88" t="s">
        <v>58</v>
      </c>
      <c r="AX88">
        <v>20</v>
      </c>
      <c r="AY88" s="1">
        <v>36892</v>
      </c>
      <c r="AZ88" s="1">
        <v>36892</v>
      </c>
      <c r="BA88" s="1">
        <v>36892</v>
      </c>
      <c r="BB88" s="1">
        <v>44197</v>
      </c>
      <c r="BC88" t="s">
        <v>51</v>
      </c>
      <c r="BE88" t="s">
        <v>54</v>
      </c>
      <c r="BF88">
        <v>2</v>
      </c>
      <c r="BG88">
        <v>0</v>
      </c>
      <c r="BH88" t="s">
        <v>53</v>
      </c>
      <c r="BK88" t="s">
        <v>59</v>
      </c>
      <c r="BL88">
        <v>14000</v>
      </c>
      <c r="BM88" s="1">
        <v>43801</v>
      </c>
      <c r="BN88" s="1">
        <v>43801</v>
      </c>
      <c r="BO88" s="1">
        <v>43801</v>
      </c>
      <c r="BP88" s="1">
        <v>44961</v>
      </c>
      <c r="BQ88" t="s">
        <v>51</v>
      </c>
      <c r="BS88" t="s">
        <v>60</v>
      </c>
      <c r="BT88" t="s">
        <v>54</v>
      </c>
      <c r="BU88" t="s">
        <v>61</v>
      </c>
      <c r="BV88" t="s">
        <v>62</v>
      </c>
      <c r="BX88">
        <v>24</v>
      </c>
      <c r="BY88">
        <v>0</v>
      </c>
      <c r="BZ88">
        <v>0</v>
      </c>
    </row>
    <row r="89" spans="1:78" x14ac:dyDescent="0.2">
      <c r="A89" t="s">
        <v>45</v>
      </c>
      <c r="B89" t="s">
        <v>46</v>
      </c>
      <c r="C89" t="s">
        <v>90</v>
      </c>
      <c r="D89" t="s">
        <v>125</v>
      </c>
      <c r="F89" t="str">
        <f>"1336"</f>
        <v>1336</v>
      </c>
      <c r="G89" t="s">
        <v>49</v>
      </c>
      <c r="H89">
        <v>67</v>
      </c>
      <c r="K89" t="s">
        <v>51</v>
      </c>
      <c r="L89" t="s">
        <v>52</v>
      </c>
      <c r="M89">
        <v>135629.32999999999</v>
      </c>
      <c r="N89">
        <v>475901.69</v>
      </c>
      <c r="O89" t="s">
        <v>53</v>
      </c>
      <c r="P89" t="s">
        <v>54</v>
      </c>
      <c r="Q89" t="s">
        <v>55</v>
      </c>
      <c r="T89" t="s">
        <v>56</v>
      </c>
      <c r="U89">
        <v>40</v>
      </c>
      <c r="V89" s="1">
        <v>36892</v>
      </c>
      <c r="W89" s="1">
        <v>36892</v>
      </c>
      <c r="X89" s="1">
        <v>36892</v>
      </c>
      <c r="Y89" s="1">
        <v>51502</v>
      </c>
      <c r="Z89" t="s">
        <v>51</v>
      </c>
      <c r="AB89" t="s">
        <v>54</v>
      </c>
      <c r="AC89">
        <v>1</v>
      </c>
      <c r="AE89" t="s">
        <v>84</v>
      </c>
      <c r="AF89">
        <v>20</v>
      </c>
      <c r="AG89" s="1">
        <v>36892</v>
      </c>
      <c r="AH89" s="1">
        <v>36892</v>
      </c>
      <c r="AI89" s="1">
        <v>36892</v>
      </c>
      <c r="AJ89" s="1">
        <v>44197</v>
      </c>
      <c r="AK89" t="s">
        <v>51</v>
      </c>
      <c r="AN89">
        <v>0</v>
      </c>
      <c r="AO89" t="s">
        <v>54</v>
      </c>
      <c r="AP89" t="s">
        <v>53</v>
      </c>
      <c r="AQ89">
        <v>0</v>
      </c>
      <c r="AR89" t="s">
        <v>53</v>
      </c>
      <c r="AS89">
        <v>0</v>
      </c>
      <c r="AT89">
        <v>0</v>
      </c>
      <c r="AW89" t="s">
        <v>58</v>
      </c>
      <c r="AX89">
        <v>20</v>
      </c>
      <c r="AY89" s="1">
        <v>43815</v>
      </c>
      <c r="AZ89" s="1">
        <v>43815</v>
      </c>
      <c r="BA89" s="1">
        <v>43815</v>
      </c>
      <c r="BB89" s="1">
        <v>51120</v>
      </c>
      <c r="BC89" t="s">
        <v>51</v>
      </c>
      <c r="BE89" t="s">
        <v>54</v>
      </c>
      <c r="BF89">
        <v>2</v>
      </c>
      <c r="BG89">
        <v>0</v>
      </c>
      <c r="BH89" t="s">
        <v>53</v>
      </c>
      <c r="BK89" t="s">
        <v>59</v>
      </c>
      <c r="BL89">
        <v>14000</v>
      </c>
      <c r="BM89" s="1">
        <v>43815</v>
      </c>
      <c r="BN89" s="1">
        <v>43815</v>
      </c>
      <c r="BO89" s="1">
        <v>43815</v>
      </c>
      <c r="BP89" s="1">
        <v>44975</v>
      </c>
      <c r="BQ89" t="s">
        <v>51</v>
      </c>
      <c r="BS89" t="s">
        <v>60</v>
      </c>
      <c r="BT89" t="s">
        <v>54</v>
      </c>
      <c r="BU89" t="s">
        <v>61</v>
      </c>
      <c r="BV89" t="s">
        <v>62</v>
      </c>
      <c r="BX89">
        <v>24</v>
      </c>
      <c r="BY89">
        <v>0</v>
      </c>
      <c r="BZ89">
        <v>0</v>
      </c>
    </row>
    <row r="90" spans="1:78" x14ac:dyDescent="0.2">
      <c r="A90" t="s">
        <v>45</v>
      </c>
      <c r="B90" t="s">
        <v>46</v>
      </c>
      <c r="C90" t="s">
        <v>90</v>
      </c>
      <c r="D90" t="s">
        <v>125</v>
      </c>
      <c r="F90" t="str">
        <f>"1337"</f>
        <v>1337</v>
      </c>
      <c r="G90" t="s">
        <v>49</v>
      </c>
      <c r="H90" t="s">
        <v>135</v>
      </c>
      <c r="K90" t="s">
        <v>51</v>
      </c>
      <c r="L90" t="s">
        <v>52</v>
      </c>
      <c r="M90">
        <v>135643.72</v>
      </c>
      <c r="N90">
        <v>475926.88</v>
      </c>
      <c r="O90" t="s">
        <v>53</v>
      </c>
      <c r="P90" t="s">
        <v>54</v>
      </c>
      <c r="Q90" t="s">
        <v>55</v>
      </c>
      <c r="T90" t="s">
        <v>56</v>
      </c>
      <c r="U90">
        <v>40</v>
      </c>
      <c r="V90" s="1">
        <v>28126</v>
      </c>
      <c r="W90" s="1">
        <v>28126</v>
      </c>
      <c r="X90" s="1">
        <v>28126</v>
      </c>
      <c r="Y90" s="1">
        <v>42736</v>
      </c>
      <c r="Z90" t="s">
        <v>51</v>
      </c>
      <c r="AB90" t="s">
        <v>54</v>
      </c>
      <c r="AC90">
        <v>1</v>
      </c>
      <c r="AE90" t="s">
        <v>84</v>
      </c>
      <c r="AF90">
        <v>20</v>
      </c>
      <c r="AG90" s="1">
        <v>36892</v>
      </c>
      <c r="AH90" s="1">
        <v>36892</v>
      </c>
      <c r="AI90" s="1">
        <v>36892</v>
      </c>
      <c r="AJ90" s="1">
        <v>44197</v>
      </c>
      <c r="AK90" t="s">
        <v>51</v>
      </c>
      <c r="AN90">
        <v>0</v>
      </c>
      <c r="AO90" t="s">
        <v>54</v>
      </c>
      <c r="AP90" t="s">
        <v>53</v>
      </c>
      <c r="AQ90">
        <v>0</v>
      </c>
      <c r="AR90" t="s">
        <v>53</v>
      </c>
      <c r="AS90">
        <v>0</v>
      </c>
      <c r="AT90">
        <v>0</v>
      </c>
      <c r="AW90" t="s">
        <v>58</v>
      </c>
      <c r="AX90">
        <v>20</v>
      </c>
      <c r="AY90" s="1">
        <v>43647</v>
      </c>
      <c r="AZ90" s="1">
        <v>43647</v>
      </c>
      <c r="BA90" s="1">
        <v>43647</v>
      </c>
      <c r="BB90" s="1">
        <v>50952</v>
      </c>
      <c r="BC90" t="s">
        <v>51</v>
      </c>
      <c r="BE90" t="s">
        <v>54</v>
      </c>
      <c r="BF90">
        <v>2</v>
      </c>
      <c r="BG90">
        <v>0</v>
      </c>
      <c r="BH90" t="s">
        <v>53</v>
      </c>
      <c r="BK90" t="s">
        <v>59</v>
      </c>
      <c r="BL90">
        <v>14000</v>
      </c>
      <c r="BM90" s="1">
        <v>43647</v>
      </c>
      <c r="BN90" s="1">
        <v>43647</v>
      </c>
      <c r="BO90" s="1">
        <v>43647</v>
      </c>
      <c r="BP90" s="1">
        <v>44847</v>
      </c>
      <c r="BQ90" t="s">
        <v>51</v>
      </c>
      <c r="BS90" t="s">
        <v>60</v>
      </c>
      <c r="BT90" t="s">
        <v>54</v>
      </c>
      <c r="BU90" t="s">
        <v>61</v>
      </c>
      <c r="BV90" t="s">
        <v>62</v>
      </c>
      <c r="BX90">
        <v>24</v>
      </c>
      <c r="BY90">
        <v>0</v>
      </c>
      <c r="BZ90">
        <v>0</v>
      </c>
    </row>
    <row r="91" spans="1:78" x14ac:dyDescent="0.2">
      <c r="A91" t="s">
        <v>45</v>
      </c>
      <c r="B91" t="s">
        <v>46</v>
      </c>
      <c r="C91" t="s">
        <v>90</v>
      </c>
      <c r="D91" t="s">
        <v>125</v>
      </c>
      <c r="F91" t="str">
        <f>"1338"</f>
        <v>1338</v>
      </c>
      <c r="G91" t="s">
        <v>49</v>
      </c>
      <c r="H91" t="s">
        <v>136</v>
      </c>
      <c r="K91" t="s">
        <v>51</v>
      </c>
      <c r="L91" t="s">
        <v>52</v>
      </c>
      <c r="M91">
        <v>135663.14000000001</v>
      </c>
      <c r="N91">
        <v>475959.06</v>
      </c>
      <c r="O91" t="s">
        <v>53</v>
      </c>
      <c r="P91" t="s">
        <v>54</v>
      </c>
      <c r="Q91" t="s">
        <v>55</v>
      </c>
      <c r="T91" t="s">
        <v>56</v>
      </c>
      <c r="U91">
        <v>40</v>
      </c>
      <c r="V91" s="1">
        <v>28126</v>
      </c>
      <c r="W91" s="1">
        <v>28126</v>
      </c>
      <c r="X91" s="1">
        <v>28126</v>
      </c>
      <c r="Y91" s="1">
        <v>42736</v>
      </c>
      <c r="Z91" t="s">
        <v>51</v>
      </c>
      <c r="AB91" t="s">
        <v>54</v>
      </c>
      <c r="AC91">
        <v>1</v>
      </c>
      <c r="AE91" t="s">
        <v>57</v>
      </c>
      <c r="AF91">
        <v>20</v>
      </c>
      <c r="AG91" s="1">
        <v>36892</v>
      </c>
      <c r="AH91" s="1">
        <v>36892</v>
      </c>
      <c r="AI91" s="1">
        <v>36892</v>
      </c>
      <c r="AJ91" s="1">
        <v>44197</v>
      </c>
      <c r="AK91" t="s">
        <v>51</v>
      </c>
      <c r="AN91">
        <v>0</v>
      </c>
      <c r="AO91" t="s">
        <v>54</v>
      </c>
      <c r="AP91" t="s">
        <v>53</v>
      </c>
      <c r="AQ91">
        <v>0</v>
      </c>
      <c r="AR91" t="s">
        <v>53</v>
      </c>
      <c r="AS91">
        <v>0</v>
      </c>
      <c r="AT91">
        <v>0</v>
      </c>
      <c r="AW91" t="s">
        <v>79</v>
      </c>
      <c r="AX91">
        <v>20</v>
      </c>
      <c r="AY91" s="1">
        <v>36892</v>
      </c>
      <c r="AZ91" s="1">
        <v>36892</v>
      </c>
      <c r="BA91" s="1">
        <v>36892</v>
      </c>
      <c r="BB91" s="1">
        <v>44197</v>
      </c>
      <c r="BC91" t="s">
        <v>51</v>
      </c>
      <c r="BE91" t="s">
        <v>54</v>
      </c>
      <c r="BF91">
        <v>5</v>
      </c>
      <c r="BG91">
        <v>0</v>
      </c>
      <c r="BH91" t="s">
        <v>53</v>
      </c>
      <c r="BK91" t="s">
        <v>59</v>
      </c>
      <c r="BL91">
        <v>14000</v>
      </c>
      <c r="BM91" s="1">
        <v>42917</v>
      </c>
      <c r="BN91" s="1">
        <v>42917</v>
      </c>
      <c r="BO91" s="1">
        <v>42917</v>
      </c>
      <c r="BP91" s="1">
        <v>44117</v>
      </c>
      <c r="BQ91" t="s">
        <v>51</v>
      </c>
      <c r="BS91" t="s">
        <v>60</v>
      </c>
      <c r="BT91" t="s">
        <v>54</v>
      </c>
      <c r="BU91" t="s">
        <v>61</v>
      </c>
      <c r="BV91" t="s">
        <v>62</v>
      </c>
      <c r="BX91">
        <v>24</v>
      </c>
      <c r="BY91">
        <v>0</v>
      </c>
      <c r="BZ91">
        <v>0</v>
      </c>
    </row>
    <row r="92" spans="1:78" x14ac:dyDescent="0.2">
      <c r="A92" t="s">
        <v>45</v>
      </c>
      <c r="B92" t="s">
        <v>46</v>
      </c>
      <c r="C92" t="s">
        <v>90</v>
      </c>
      <c r="D92" t="s">
        <v>125</v>
      </c>
      <c r="F92" t="str">
        <f>"1339"</f>
        <v>1339</v>
      </c>
      <c r="G92" t="s">
        <v>49</v>
      </c>
      <c r="H92" t="s">
        <v>137</v>
      </c>
      <c r="K92" t="s">
        <v>51</v>
      </c>
      <c r="L92" t="s">
        <v>52</v>
      </c>
      <c r="M92">
        <v>135683.48000000001</v>
      </c>
      <c r="N92">
        <v>475989.31</v>
      </c>
      <c r="O92" t="s">
        <v>53</v>
      </c>
      <c r="P92" t="s">
        <v>54</v>
      </c>
      <c r="Q92" t="s">
        <v>55</v>
      </c>
      <c r="T92" t="s">
        <v>83</v>
      </c>
      <c r="U92">
        <v>40</v>
      </c>
      <c r="V92" s="1">
        <v>28126</v>
      </c>
      <c r="W92" s="1">
        <v>28126</v>
      </c>
      <c r="X92" s="1">
        <v>28126</v>
      </c>
      <c r="Y92" s="1">
        <v>42736</v>
      </c>
      <c r="Z92" t="s">
        <v>51</v>
      </c>
      <c r="AB92" t="s">
        <v>54</v>
      </c>
      <c r="AC92">
        <v>1</v>
      </c>
      <c r="AE92" t="s">
        <v>84</v>
      </c>
      <c r="AF92">
        <v>20</v>
      </c>
      <c r="AG92" s="1">
        <v>36892</v>
      </c>
      <c r="AH92" s="1">
        <v>36892</v>
      </c>
      <c r="AI92" s="1">
        <v>36892</v>
      </c>
      <c r="AJ92" s="1">
        <v>44197</v>
      </c>
      <c r="AK92" t="s">
        <v>51</v>
      </c>
      <c r="AN92">
        <v>0</v>
      </c>
      <c r="AO92" t="s">
        <v>54</v>
      </c>
      <c r="AP92" t="s">
        <v>53</v>
      </c>
      <c r="AQ92">
        <v>0</v>
      </c>
      <c r="AR92" t="s">
        <v>53</v>
      </c>
      <c r="AS92">
        <v>0</v>
      </c>
      <c r="AT92">
        <v>0</v>
      </c>
      <c r="AW92" t="s">
        <v>58</v>
      </c>
      <c r="AX92">
        <v>20</v>
      </c>
      <c r="AY92" s="1">
        <v>36892</v>
      </c>
      <c r="AZ92" s="1">
        <v>36892</v>
      </c>
      <c r="BA92" s="1">
        <v>36892</v>
      </c>
      <c r="BB92" s="1">
        <v>44197</v>
      </c>
      <c r="BC92" t="s">
        <v>51</v>
      </c>
      <c r="BE92" t="s">
        <v>54</v>
      </c>
      <c r="BF92">
        <v>2</v>
      </c>
      <c r="BG92">
        <v>0</v>
      </c>
      <c r="BH92" t="s">
        <v>53</v>
      </c>
      <c r="BK92" t="s">
        <v>59</v>
      </c>
      <c r="BL92">
        <v>14000</v>
      </c>
      <c r="BM92" s="1">
        <v>41456</v>
      </c>
      <c r="BN92" s="1">
        <v>41456</v>
      </c>
      <c r="BO92" s="1">
        <v>41456</v>
      </c>
      <c r="BP92" s="1">
        <v>42656</v>
      </c>
      <c r="BQ92" t="s">
        <v>51</v>
      </c>
      <c r="BS92" t="s">
        <v>60</v>
      </c>
      <c r="BT92" t="s">
        <v>54</v>
      </c>
      <c r="BU92" t="s">
        <v>61</v>
      </c>
      <c r="BV92" t="s">
        <v>62</v>
      </c>
      <c r="BX92">
        <v>24</v>
      </c>
      <c r="BY92">
        <v>0</v>
      </c>
      <c r="BZ92">
        <v>0</v>
      </c>
    </row>
    <row r="93" spans="1:78" x14ac:dyDescent="0.2">
      <c r="A93" t="s">
        <v>45</v>
      </c>
      <c r="B93" t="s">
        <v>46</v>
      </c>
      <c r="C93" t="s">
        <v>90</v>
      </c>
      <c r="D93" t="s">
        <v>125</v>
      </c>
      <c r="F93" t="str">
        <f>"1340"</f>
        <v>1340</v>
      </c>
      <c r="G93" t="s">
        <v>49</v>
      </c>
      <c r="H93">
        <v>71</v>
      </c>
      <c r="K93" t="s">
        <v>51</v>
      </c>
      <c r="L93" t="s">
        <v>52</v>
      </c>
      <c r="M93">
        <v>135697.20000000001</v>
      </c>
      <c r="N93">
        <v>476010.41</v>
      </c>
      <c r="O93" t="s">
        <v>53</v>
      </c>
      <c r="P93" t="s">
        <v>54</v>
      </c>
      <c r="Q93" t="s">
        <v>55</v>
      </c>
      <c r="T93" t="s">
        <v>56</v>
      </c>
      <c r="U93">
        <v>40</v>
      </c>
      <c r="V93" s="1">
        <v>36892</v>
      </c>
      <c r="W93" s="1">
        <v>36892</v>
      </c>
      <c r="X93" s="1">
        <v>36892</v>
      </c>
      <c r="Y93" s="1">
        <v>51502</v>
      </c>
      <c r="Z93" t="s">
        <v>51</v>
      </c>
      <c r="AB93" t="s">
        <v>54</v>
      </c>
      <c r="AC93">
        <v>1</v>
      </c>
      <c r="AE93" t="s">
        <v>84</v>
      </c>
      <c r="AF93">
        <v>20</v>
      </c>
      <c r="AG93" s="1">
        <v>36892</v>
      </c>
      <c r="AH93" s="1">
        <v>36892</v>
      </c>
      <c r="AI93" s="1">
        <v>36892</v>
      </c>
      <c r="AJ93" s="1">
        <v>44197</v>
      </c>
      <c r="AK93" t="s">
        <v>51</v>
      </c>
      <c r="AN93">
        <v>0</v>
      </c>
      <c r="AO93" t="s">
        <v>54</v>
      </c>
      <c r="AP93" t="s">
        <v>53</v>
      </c>
      <c r="AQ93">
        <v>0</v>
      </c>
      <c r="AR93" t="s">
        <v>53</v>
      </c>
      <c r="AS93">
        <v>0</v>
      </c>
      <c r="AT93">
        <v>0</v>
      </c>
      <c r="AW93" t="s">
        <v>58</v>
      </c>
      <c r="AX93">
        <v>20</v>
      </c>
      <c r="AY93" s="1">
        <v>36892</v>
      </c>
      <c r="AZ93" s="1">
        <v>36892</v>
      </c>
      <c r="BA93" s="1">
        <v>36892</v>
      </c>
      <c r="BB93" s="1">
        <v>44197</v>
      </c>
      <c r="BC93" t="s">
        <v>51</v>
      </c>
      <c r="BE93" t="s">
        <v>54</v>
      </c>
      <c r="BF93">
        <v>2</v>
      </c>
      <c r="BG93">
        <v>0</v>
      </c>
      <c r="BH93" t="s">
        <v>53</v>
      </c>
      <c r="BK93" t="s">
        <v>59</v>
      </c>
      <c r="BL93">
        <v>14000</v>
      </c>
      <c r="BM93" s="1">
        <v>41456</v>
      </c>
      <c r="BN93" s="1">
        <v>41456</v>
      </c>
      <c r="BO93" s="1">
        <v>41456</v>
      </c>
      <c r="BP93" s="1">
        <v>42656</v>
      </c>
      <c r="BQ93" t="s">
        <v>51</v>
      </c>
      <c r="BS93" t="s">
        <v>60</v>
      </c>
      <c r="BT93" t="s">
        <v>54</v>
      </c>
      <c r="BU93" t="s">
        <v>61</v>
      </c>
      <c r="BV93" t="s">
        <v>62</v>
      </c>
      <c r="BX93">
        <v>24</v>
      </c>
      <c r="BY93">
        <v>0</v>
      </c>
      <c r="BZ93">
        <v>0</v>
      </c>
    </row>
    <row r="94" spans="1:78" x14ac:dyDescent="0.2">
      <c r="A94" t="s">
        <v>45</v>
      </c>
      <c r="B94" t="s">
        <v>46</v>
      </c>
      <c r="C94" t="s">
        <v>90</v>
      </c>
      <c r="D94" t="s">
        <v>125</v>
      </c>
      <c r="F94" t="str">
        <f>"1341"</f>
        <v>1341</v>
      </c>
      <c r="G94" t="s">
        <v>49</v>
      </c>
      <c r="H94">
        <v>79</v>
      </c>
      <c r="K94" t="s">
        <v>51</v>
      </c>
      <c r="L94" t="s">
        <v>52</v>
      </c>
      <c r="M94">
        <v>135713.1</v>
      </c>
      <c r="N94">
        <v>476034.39</v>
      </c>
      <c r="O94" t="s">
        <v>53</v>
      </c>
      <c r="P94" t="s">
        <v>54</v>
      </c>
      <c r="Q94" t="s">
        <v>55</v>
      </c>
      <c r="T94" t="s">
        <v>131</v>
      </c>
      <c r="U94">
        <v>40</v>
      </c>
      <c r="V94" s="1">
        <v>28126</v>
      </c>
      <c r="W94" s="1">
        <v>28126</v>
      </c>
      <c r="X94" s="1">
        <v>28126</v>
      </c>
      <c r="Y94" s="1">
        <v>42736</v>
      </c>
      <c r="Z94" t="s">
        <v>51</v>
      </c>
      <c r="AB94" t="s">
        <v>54</v>
      </c>
      <c r="AC94">
        <v>1</v>
      </c>
      <c r="AE94" t="s">
        <v>84</v>
      </c>
      <c r="AF94">
        <v>20</v>
      </c>
      <c r="AG94" s="1">
        <v>36892</v>
      </c>
      <c r="AH94" s="1">
        <v>36892</v>
      </c>
      <c r="AI94" s="1">
        <v>36892</v>
      </c>
      <c r="AJ94" s="1">
        <v>44197</v>
      </c>
      <c r="AK94" t="s">
        <v>51</v>
      </c>
      <c r="AN94">
        <v>0</v>
      </c>
      <c r="AO94" t="s">
        <v>54</v>
      </c>
      <c r="AP94" t="s">
        <v>53</v>
      </c>
      <c r="AQ94">
        <v>0</v>
      </c>
      <c r="AR94" t="s">
        <v>53</v>
      </c>
      <c r="AS94">
        <v>0</v>
      </c>
      <c r="AT94">
        <v>0</v>
      </c>
      <c r="AW94" t="s">
        <v>58</v>
      </c>
      <c r="AX94">
        <v>20</v>
      </c>
      <c r="AY94" s="1">
        <v>36892</v>
      </c>
      <c r="AZ94" s="1">
        <v>36892</v>
      </c>
      <c r="BA94" s="1">
        <v>36892</v>
      </c>
      <c r="BB94" s="1">
        <v>44197</v>
      </c>
      <c r="BC94" t="s">
        <v>51</v>
      </c>
      <c r="BE94" t="s">
        <v>54</v>
      </c>
      <c r="BF94">
        <v>2</v>
      </c>
      <c r="BG94">
        <v>0</v>
      </c>
      <c r="BH94" t="s">
        <v>53</v>
      </c>
      <c r="BK94" t="s">
        <v>59</v>
      </c>
      <c r="BL94">
        <v>14000</v>
      </c>
      <c r="BM94" s="1">
        <v>41456</v>
      </c>
      <c r="BN94" s="1">
        <v>41456</v>
      </c>
      <c r="BO94" s="1">
        <v>41456</v>
      </c>
      <c r="BP94" s="1">
        <v>42656</v>
      </c>
      <c r="BQ94" t="s">
        <v>51</v>
      </c>
      <c r="BS94" t="s">
        <v>60</v>
      </c>
      <c r="BT94" t="s">
        <v>54</v>
      </c>
      <c r="BU94" t="s">
        <v>61</v>
      </c>
      <c r="BV94" t="s">
        <v>62</v>
      </c>
      <c r="BX94">
        <v>24</v>
      </c>
      <c r="BY94">
        <v>0</v>
      </c>
      <c r="BZ94">
        <v>0</v>
      </c>
    </row>
    <row r="95" spans="1:78" x14ac:dyDescent="0.2">
      <c r="A95" t="s">
        <v>45</v>
      </c>
      <c r="B95" t="s">
        <v>46</v>
      </c>
      <c r="C95" t="s">
        <v>90</v>
      </c>
      <c r="D95" t="s">
        <v>125</v>
      </c>
      <c r="F95" t="str">
        <f>"1342"</f>
        <v>1342</v>
      </c>
      <c r="G95" t="s">
        <v>49</v>
      </c>
      <c r="H95" t="s">
        <v>138</v>
      </c>
      <c r="K95" t="s">
        <v>51</v>
      </c>
      <c r="L95" t="s">
        <v>52</v>
      </c>
      <c r="M95">
        <v>135737.60999999999</v>
      </c>
      <c r="N95">
        <v>476059.06</v>
      </c>
      <c r="O95" t="s">
        <v>53</v>
      </c>
      <c r="P95" t="s">
        <v>54</v>
      </c>
      <c r="Q95" t="s">
        <v>55</v>
      </c>
      <c r="T95" t="s">
        <v>56</v>
      </c>
      <c r="U95">
        <v>40</v>
      </c>
      <c r="V95" s="1">
        <v>28126</v>
      </c>
      <c r="W95" s="1">
        <v>28126</v>
      </c>
      <c r="X95" s="1">
        <v>28126</v>
      </c>
      <c r="Y95" s="1">
        <v>42736</v>
      </c>
      <c r="Z95" t="s">
        <v>51</v>
      </c>
      <c r="AB95" t="s">
        <v>54</v>
      </c>
      <c r="AC95">
        <v>1</v>
      </c>
      <c r="AE95" t="s">
        <v>84</v>
      </c>
      <c r="AF95">
        <v>20</v>
      </c>
      <c r="AG95" s="1">
        <v>36892</v>
      </c>
      <c r="AH95" s="1">
        <v>36892</v>
      </c>
      <c r="AI95" s="1">
        <v>36892</v>
      </c>
      <c r="AJ95" s="1">
        <v>44197</v>
      </c>
      <c r="AK95" t="s">
        <v>51</v>
      </c>
      <c r="AN95">
        <v>0</v>
      </c>
      <c r="AO95" t="s">
        <v>54</v>
      </c>
      <c r="AP95" t="s">
        <v>53</v>
      </c>
      <c r="AQ95">
        <v>0</v>
      </c>
      <c r="AR95" t="s">
        <v>53</v>
      </c>
      <c r="AS95">
        <v>0</v>
      </c>
      <c r="AT95">
        <v>0</v>
      </c>
      <c r="AW95" t="s">
        <v>58</v>
      </c>
      <c r="AX95">
        <v>20</v>
      </c>
      <c r="AY95" s="1">
        <v>36892</v>
      </c>
      <c r="AZ95" s="1">
        <v>36892</v>
      </c>
      <c r="BA95" s="1">
        <v>36892</v>
      </c>
      <c r="BB95" s="1">
        <v>44197</v>
      </c>
      <c r="BC95" t="s">
        <v>51</v>
      </c>
      <c r="BE95" t="s">
        <v>54</v>
      </c>
      <c r="BF95">
        <v>2</v>
      </c>
      <c r="BG95">
        <v>0</v>
      </c>
      <c r="BH95" t="s">
        <v>53</v>
      </c>
      <c r="BK95" t="s">
        <v>59</v>
      </c>
      <c r="BL95">
        <v>14000</v>
      </c>
      <c r="BM95" s="1">
        <v>41456</v>
      </c>
      <c r="BN95" s="1">
        <v>41456</v>
      </c>
      <c r="BO95" s="1">
        <v>41456</v>
      </c>
      <c r="BP95" s="1">
        <v>42656</v>
      </c>
      <c r="BQ95" t="s">
        <v>51</v>
      </c>
      <c r="BS95" t="s">
        <v>60</v>
      </c>
      <c r="BT95" t="s">
        <v>54</v>
      </c>
      <c r="BU95" t="s">
        <v>61</v>
      </c>
      <c r="BV95" t="s">
        <v>62</v>
      </c>
      <c r="BX95">
        <v>24</v>
      </c>
      <c r="BY95">
        <v>0</v>
      </c>
      <c r="BZ95">
        <v>0</v>
      </c>
    </row>
    <row r="96" spans="1:78" x14ac:dyDescent="0.2">
      <c r="A96" t="s">
        <v>45</v>
      </c>
      <c r="B96" t="s">
        <v>46</v>
      </c>
      <c r="C96" t="s">
        <v>90</v>
      </c>
      <c r="D96" t="s">
        <v>125</v>
      </c>
      <c r="F96" t="str">
        <f>"1343"</f>
        <v>1343</v>
      </c>
      <c r="G96" t="s">
        <v>49</v>
      </c>
      <c r="H96" t="s">
        <v>139</v>
      </c>
      <c r="K96" t="s">
        <v>51</v>
      </c>
      <c r="L96" t="s">
        <v>52</v>
      </c>
      <c r="M96">
        <v>135753.35</v>
      </c>
      <c r="N96">
        <v>476094.87</v>
      </c>
      <c r="O96" t="s">
        <v>53</v>
      </c>
      <c r="P96" t="s">
        <v>54</v>
      </c>
      <c r="Q96" t="s">
        <v>55</v>
      </c>
      <c r="T96" t="s">
        <v>83</v>
      </c>
      <c r="U96">
        <v>40</v>
      </c>
      <c r="V96" s="1">
        <v>35431</v>
      </c>
      <c r="W96" s="1">
        <v>35431</v>
      </c>
      <c r="X96" s="1">
        <v>35431</v>
      </c>
      <c r="Y96" s="1">
        <v>50041</v>
      </c>
      <c r="Z96" t="s">
        <v>51</v>
      </c>
      <c r="AB96" t="s">
        <v>54</v>
      </c>
      <c r="AC96">
        <v>1</v>
      </c>
      <c r="AE96" t="s">
        <v>84</v>
      </c>
      <c r="AF96">
        <v>20</v>
      </c>
      <c r="AG96" s="1">
        <v>36892</v>
      </c>
      <c r="AH96" s="1">
        <v>36892</v>
      </c>
      <c r="AI96" s="1">
        <v>36892</v>
      </c>
      <c r="AJ96" s="1">
        <v>44197</v>
      </c>
      <c r="AK96" t="s">
        <v>51</v>
      </c>
      <c r="AN96">
        <v>0</v>
      </c>
      <c r="AO96" t="s">
        <v>54</v>
      </c>
      <c r="AP96" t="s">
        <v>53</v>
      </c>
      <c r="AQ96">
        <v>0</v>
      </c>
      <c r="AR96" t="s">
        <v>53</v>
      </c>
      <c r="AS96">
        <v>0</v>
      </c>
      <c r="AT96">
        <v>0</v>
      </c>
      <c r="AW96" t="s">
        <v>58</v>
      </c>
      <c r="AX96">
        <v>20</v>
      </c>
      <c r="AY96" s="1">
        <v>44543</v>
      </c>
      <c r="AZ96" s="1">
        <v>44543</v>
      </c>
      <c r="BA96" s="1">
        <v>44543</v>
      </c>
      <c r="BB96" s="1">
        <v>51848</v>
      </c>
      <c r="BC96" t="s">
        <v>51</v>
      </c>
      <c r="BE96" t="s">
        <v>54</v>
      </c>
      <c r="BF96">
        <v>2</v>
      </c>
      <c r="BG96">
        <v>0</v>
      </c>
      <c r="BH96" t="s">
        <v>53</v>
      </c>
      <c r="BK96" t="s">
        <v>59</v>
      </c>
      <c r="BL96">
        <v>14000</v>
      </c>
      <c r="BM96" s="1">
        <v>44543</v>
      </c>
      <c r="BN96" s="1">
        <v>44543</v>
      </c>
      <c r="BO96" s="1">
        <v>44543</v>
      </c>
      <c r="BP96" s="1">
        <v>45703</v>
      </c>
      <c r="BQ96" t="s">
        <v>51</v>
      </c>
      <c r="BS96" t="s">
        <v>60</v>
      </c>
      <c r="BT96" t="s">
        <v>54</v>
      </c>
      <c r="BU96" t="s">
        <v>61</v>
      </c>
      <c r="BV96" t="s">
        <v>62</v>
      </c>
      <c r="BX96">
        <v>24</v>
      </c>
      <c r="BY96">
        <v>0</v>
      </c>
      <c r="BZ96">
        <v>0</v>
      </c>
    </row>
    <row r="97" spans="1:78" x14ac:dyDescent="0.2">
      <c r="A97" t="s">
        <v>45</v>
      </c>
      <c r="B97" t="s">
        <v>46</v>
      </c>
      <c r="C97" t="s">
        <v>90</v>
      </c>
      <c r="D97" t="s">
        <v>125</v>
      </c>
      <c r="F97" t="str">
        <f>"1344"</f>
        <v>1344</v>
      </c>
      <c r="G97" t="s">
        <v>49</v>
      </c>
      <c r="H97" t="s">
        <v>140</v>
      </c>
      <c r="K97" t="s">
        <v>51</v>
      </c>
      <c r="L97" t="s">
        <v>52</v>
      </c>
      <c r="M97">
        <v>135771.01</v>
      </c>
      <c r="N97">
        <v>476123.84</v>
      </c>
      <c r="O97" t="s">
        <v>53</v>
      </c>
      <c r="P97" t="s">
        <v>54</v>
      </c>
      <c r="Q97" t="s">
        <v>55</v>
      </c>
      <c r="T97" t="s">
        <v>83</v>
      </c>
      <c r="U97">
        <v>40</v>
      </c>
      <c r="V97" s="1">
        <v>36892</v>
      </c>
      <c r="W97" s="1">
        <v>36892</v>
      </c>
      <c r="X97" s="1">
        <v>36892</v>
      </c>
      <c r="Y97" s="1">
        <v>51502</v>
      </c>
      <c r="Z97" t="s">
        <v>51</v>
      </c>
      <c r="AB97" t="s">
        <v>54</v>
      </c>
      <c r="AC97">
        <v>1</v>
      </c>
      <c r="AE97" t="s">
        <v>84</v>
      </c>
      <c r="AF97">
        <v>20</v>
      </c>
      <c r="AG97" s="1">
        <v>36892</v>
      </c>
      <c r="AH97" s="1">
        <v>36892</v>
      </c>
      <c r="AI97" s="1">
        <v>36892</v>
      </c>
      <c r="AJ97" s="1">
        <v>44197</v>
      </c>
      <c r="AK97" t="s">
        <v>51</v>
      </c>
      <c r="AN97">
        <v>0</v>
      </c>
      <c r="AO97" t="s">
        <v>54</v>
      </c>
      <c r="AP97" t="s">
        <v>53</v>
      </c>
      <c r="AQ97">
        <v>0</v>
      </c>
      <c r="AR97" t="s">
        <v>53</v>
      </c>
      <c r="AS97">
        <v>0</v>
      </c>
      <c r="AT97">
        <v>0</v>
      </c>
      <c r="AW97" t="s">
        <v>58</v>
      </c>
      <c r="AX97">
        <v>20</v>
      </c>
      <c r="AY97" s="1">
        <v>43837</v>
      </c>
      <c r="AZ97" s="1">
        <v>43837</v>
      </c>
      <c r="BA97" s="1">
        <v>43837</v>
      </c>
      <c r="BB97" s="1">
        <v>51142</v>
      </c>
      <c r="BC97" t="s">
        <v>51</v>
      </c>
      <c r="BE97" t="s">
        <v>54</v>
      </c>
      <c r="BF97">
        <v>2</v>
      </c>
      <c r="BG97">
        <v>0</v>
      </c>
      <c r="BH97" t="s">
        <v>53</v>
      </c>
      <c r="BK97" t="s">
        <v>59</v>
      </c>
      <c r="BL97">
        <v>14000</v>
      </c>
      <c r="BM97" s="1">
        <v>43837</v>
      </c>
      <c r="BN97" s="1">
        <v>43837</v>
      </c>
      <c r="BO97" s="1">
        <v>43837</v>
      </c>
      <c r="BP97" s="1">
        <v>45003</v>
      </c>
      <c r="BQ97" t="s">
        <v>51</v>
      </c>
      <c r="BS97" t="s">
        <v>60</v>
      </c>
      <c r="BT97" t="s">
        <v>54</v>
      </c>
      <c r="BU97" t="s">
        <v>61</v>
      </c>
      <c r="BV97" t="s">
        <v>62</v>
      </c>
      <c r="BX97">
        <v>24</v>
      </c>
      <c r="BY97">
        <v>0</v>
      </c>
      <c r="BZ97">
        <v>0</v>
      </c>
    </row>
    <row r="98" spans="1:78" x14ac:dyDescent="0.2">
      <c r="A98" t="s">
        <v>45</v>
      </c>
      <c r="B98" t="s">
        <v>46</v>
      </c>
      <c r="C98" t="s">
        <v>90</v>
      </c>
      <c r="D98" t="s">
        <v>125</v>
      </c>
      <c r="F98" t="str">
        <f>"1345"</f>
        <v>1345</v>
      </c>
      <c r="G98" t="s">
        <v>49</v>
      </c>
      <c r="H98" t="s">
        <v>141</v>
      </c>
      <c r="K98" t="s">
        <v>51</v>
      </c>
      <c r="L98" t="s">
        <v>52</v>
      </c>
      <c r="M98">
        <v>135783.93</v>
      </c>
      <c r="N98">
        <v>476144.51</v>
      </c>
      <c r="O98" t="s">
        <v>53</v>
      </c>
      <c r="P98" t="s">
        <v>54</v>
      </c>
      <c r="Q98" t="s">
        <v>55</v>
      </c>
      <c r="T98" t="s">
        <v>131</v>
      </c>
      <c r="U98">
        <v>40</v>
      </c>
      <c r="V98" s="1">
        <v>28126</v>
      </c>
      <c r="W98" s="1">
        <v>28126</v>
      </c>
      <c r="X98" s="1">
        <v>28126</v>
      </c>
      <c r="Y98" s="1">
        <v>42736</v>
      </c>
      <c r="Z98" t="s">
        <v>51</v>
      </c>
      <c r="AB98" t="s">
        <v>54</v>
      </c>
      <c r="AC98">
        <v>1</v>
      </c>
      <c r="AE98" t="s">
        <v>84</v>
      </c>
      <c r="AF98">
        <v>20</v>
      </c>
      <c r="AG98" s="1">
        <v>36892</v>
      </c>
      <c r="AH98" s="1">
        <v>36892</v>
      </c>
      <c r="AI98" s="1">
        <v>36892</v>
      </c>
      <c r="AJ98" s="1">
        <v>44197</v>
      </c>
      <c r="AK98" t="s">
        <v>51</v>
      </c>
      <c r="AN98">
        <v>0</v>
      </c>
      <c r="AO98" t="s">
        <v>54</v>
      </c>
      <c r="AP98" t="s">
        <v>53</v>
      </c>
      <c r="AQ98">
        <v>0</v>
      </c>
      <c r="AR98" t="s">
        <v>53</v>
      </c>
      <c r="AS98">
        <v>0</v>
      </c>
      <c r="AT98">
        <v>0</v>
      </c>
      <c r="AW98" t="s">
        <v>58</v>
      </c>
      <c r="AX98">
        <v>20</v>
      </c>
      <c r="AY98" s="1">
        <v>36892</v>
      </c>
      <c r="AZ98" s="1">
        <v>36892</v>
      </c>
      <c r="BA98" s="1">
        <v>36892</v>
      </c>
      <c r="BB98" s="1">
        <v>44197</v>
      </c>
      <c r="BC98" t="s">
        <v>51</v>
      </c>
      <c r="BE98" t="s">
        <v>54</v>
      </c>
      <c r="BF98">
        <v>2</v>
      </c>
      <c r="BG98">
        <v>0</v>
      </c>
      <c r="BH98" t="s">
        <v>53</v>
      </c>
      <c r="BK98" t="s">
        <v>59</v>
      </c>
      <c r="BL98">
        <v>14000</v>
      </c>
      <c r="BM98" s="1">
        <v>41456</v>
      </c>
      <c r="BN98" s="1">
        <v>41456</v>
      </c>
      <c r="BO98" s="1">
        <v>41456</v>
      </c>
      <c r="BP98" s="1">
        <v>42656</v>
      </c>
      <c r="BQ98" t="s">
        <v>51</v>
      </c>
      <c r="BS98" t="s">
        <v>60</v>
      </c>
      <c r="BT98" t="s">
        <v>54</v>
      </c>
      <c r="BU98" t="s">
        <v>61</v>
      </c>
      <c r="BV98" t="s">
        <v>62</v>
      </c>
      <c r="BX98">
        <v>24</v>
      </c>
      <c r="BY98">
        <v>0</v>
      </c>
      <c r="BZ98">
        <v>0</v>
      </c>
    </row>
    <row r="99" spans="1:78" x14ac:dyDescent="0.2">
      <c r="A99" t="s">
        <v>45</v>
      </c>
      <c r="B99" t="s">
        <v>46</v>
      </c>
      <c r="C99" t="s">
        <v>90</v>
      </c>
      <c r="D99" t="s">
        <v>125</v>
      </c>
      <c r="F99" t="str">
        <f>"1346"</f>
        <v>1346</v>
      </c>
      <c r="G99" t="s">
        <v>49</v>
      </c>
      <c r="H99">
        <v>26</v>
      </c>
      <c r="K99" t="s">
        <v>51</v>
      </c>
      <c r="L99" t="s">
        <v>52</v>
      </c>
      <c r="M99">
        <v>135809.48000000001</v>
      </c>
      <c r="N99">
        <v>476171.05</v>
      </c>
      <c r="O99" t="s">
        <v>53</v>
      </c>
      <c r="P99" t="s">
        <v>54</v>
      </c>
      <c r="Q99" t="s">
        <v>55</v>
      </c>
      <c r="T99" t="s">
        <v>131</v>
      </c>
      <c r="U99">
        <v>40</v>
      </c>
      <c r="V99" s="1">
        <v>28126</v>
      </c>
      <c r="W99" s="1">
        <v>28126</v>
      </c>
      <c r="X99" s="1">
        <v>28126</v>
      </c>
      <c r="Y99" s="1">
        <v>42736</v>
      </c>
      <c r="Z99" t="s">
        <v>51</v>
      </c>
      <c r="AB99" t="s">
        <v>54</v>
      </c>
      <c r="AC99">
        <v>1</v>
      </c>
      <c r="AE99" t="s">
        <v>84</v>
      </c>
      <c r="AF99">
        <v>20</v>
      </c>
      <c r="AG99" s="1">
        <v>36892</v>
      </c>
      <c r="AH99" s="1">
        <v>36892</v>
      </c>
      <c r="AI99" s="1">
        <v>36892</v>
      </c>
      <c r="AJ99" s="1">
        <v>44197</v>
      </c>
      <c r="AK99" t="s">
        <v>51</v>
      </c>
      <c r="AN99">
        <v>0</v>
      </c>
      <c r="AO99" t="s">
        <v>54</v>
      </c>
      <c r="AP99" t="s">
        <v>53</v>
      </c>
      <c r="AQ99">
        <v>0</v>
      </c>
      <c r="AR99" t="s">
        <v>53</v>
      </c>
      <c r="AS99">
        <v>0</v>
      </c>
      <c r="AT99">
        <v>0</v>
      </c>
      <c r="AW99" t="s">
        <v>58</v>
      </c>
      <c r="AX99">
        <v>20</v>
      </c>
      <c r="AY99" s="1">
        <v>36892</v>
      </c>
      <c r="AZ99" s="1">
        <v>36892</v>
      </c>
      <c r="BA99" s="1">
        <v>36892</v>
      </c>
      <c r="BB99" s="1">
        <v>44197</v>
      </c>
      <c r="BC99" t="s">
        <v>51</v>
      </c>
      <c r="BE99" t="s">
        <v>54</v>
      </c>
      <c r="BF99">
        <v>2</v>
      </c>
      <c r="BG99">
        <v>0</v>
      </c>
      <c r="BH99" t="s">
        <v>53</v>
      </c>
      <c r="BK99" t="s">
        <v>59</v>
      </c>
      <c r="BL99">
        <v>14000</v>
      </c>
      <c r="BM99" s="1">
        <v>41456</v>
      </c>
      <c r="BN99" s="1">
        <v>41456</v>
      </c>
      <c r="BO99" s="1">
        <v>41456</v>
      </c>
      <c r="BP99" s="1">
        <v>42656</v>
      </c>
      <c r="BQ99" t="s">
        <v>51</v>
      </c>
      <c r="BS99" t="s">
        <v>60</v>
      </c>
      <c r="BT99" t="s">
        <v>54</v>
      </c>
      <c r="BU99" t="s">
        <v>61</v>
      </c>
      <c r="BV99" t="s">
        <v>62</v>
      </c>
      <c r="BX99">
        <v>24</v>
      </c>
      <c r="BY99">
        <v>0</v>
      </c>
      <c r="BZ99">
        <v>0</v>
      </c>
    </row>
    <row r="100" spans="1:78" x14ac:dyDescent="0.2">
      <c r="A100" t="s">
        <v>45</v>
      </c>
      <c r="B100" t="s">
        <v>46</v>
      </c>
      <c r="C100" t="s">
        <v>90</v>
      </c>
      <c r="D100" t="s">
        <v>125</v>
      </c>
      <c r="F100" t="str">
        <f>"1347"</f>
        <v>1347</v>
      </c>
      <c r="G100" t="s">
        <v>49</v>
      </c>
      <c r="H100" t="s">
        <v>142</v>
      </c>
      <c r="K100" t="s">
        <v>51</v>
      </c>
      <c r="L100" t="s">
        <v>52</v>
      </c>
      <c r="M100">
        <v>135823.54999999999</v>
      </c>
      <c r="N100">
        <v>476203.67</v>
      </c>
      <c r="O100" t="s">
        <v>53</v>
      </c>
      <c r="P100" t="s">
        <v>54</v>
      </c>
      <c r="Q100" t="s">
        <v>55</v>
      </c>
      <c r="T100" t="s">
        <v>56</v>
      </c>
      <c r="U100">
        <v>40</v>
      </c>
      <c r="V100" s="1">
        <v>36892</v>
      </c>
      <c r="W100" s="1">
        <v>36892</v>
      </c>
      <c r="X100" s="1">
        <v>36892</v>
      </c>
      <c r="Y100" s="1">
        <v>51502</v>
      </c>
      <c r="Z100" t="s">
        <v>51</v>
      </c>
      <c r="AB100" t="s">
        <v>54</v>
      </c>
      <c r="AC100">
        <v>1</v>
      </c>
      <c r="AE100" t="s">
        <v>84</v>
      </c>
      <c r="AF100">
        <v>20</v>
      </c>
      <c r="AG100" s="1">
        <v>36892</v>
      </c>
      <c r="AH100" s="1">
        <v>36892</v>
      </c>
      <c r="AI100" s="1">
        <v>36892</v>
      </c>
      <c r="AJ100" s="1">
        <v>44197</v>
      </c>
      <c r="AK100" t="s">
        <v>51</v>
      </c>
      <c r="AN100">
        <v>0</v>
      </c>
      <c r="AO100" t="s">
        <v>54</v>
      </c>
      <c r="AP100" t="s">
        <v>53</v>
      </c>
      <c r="AQ100">
        <v>0</v>
      </c>
      <c r="AR100" t="s">
        <v>53</v>
      </c>
      <c r="AS100">
        <v>0</v>
      </c>
      <c r="AT100">
        <v>0</v>
      </c>
      <c r="AW100" t="s">
        <v>58</v>
      </c>
      <c r="AX100">
        <v>20</v>
      </c>
      <c r="AY100" s="1">
        <v>36892</v>
      </c>
      <c r="AZ100" s="1">
        <v>36892</v>
      </c>
      <c r="BA100" s="1">
        <v>36892</v>
      </c>
      <c r="BB100" s="1">
        <v>44197</v>
      </c>
      <c r="BC100" t="s">
        <v>51</v>
      </c>
      <c r="BE100" t="s">
        <v>54</v>
      </c>
      <c r="BF100">
        <v>2</v>
      </c>
      <c r="BG100">
        <v>0</v>
      </c>
      <c r="BH100" t="s">
        <v>53</v>
      </c>
      <c r="BK100" t="s">
        <v>59</v>
      </c>
      <c r="BL100">
        <v>14000</v>
      </c>
      <c r="BM100" s="1">
        <v>41456</v>
      </c>
      <c r="BN100" s="1">
        <v>41456</v>
      </c>
      <c r="BO100" s="1">
        <v>41456</v>
      </c>
      <c r="BP100" s="1">
        <v>42656</v>
      </c>
      <c r="BQ100" t="s">
        <v>51</v>
      </c>
      <c r="BS100" t="s">
        <v>60</v>
      </c>
      <c r="BT100" t="s">
        <v>54</v>
      </c>
      <c r="BU100" t="s">
        <v>61</v>
      </c>
      <c r="BV100" t="s">
        <v>62</v>
      </c>
      <c r="BX100">
        <v>24</v>
      </c>
      <c r="BY100">
        <v>0</v>
      </c>
      <c r="BZ100">
        <v>0</v>
      </c>
    </row>
    <row r="101" spans="1:78" x14ac:dyDescent="0.2">
      <c r="A101" t="s">
        <v>45</v>
      </c>
      <c r="B101" t="s">
        <v>46</v>
      </c>
      <c r="C101" t="s">
        <v>90</v>
      </c>
      <c r="D101" t="s">
        <v>125</v>
      </c>
      <c r="F101" t="str">
        <f>"1348"</f>
        <v>1348</v>
      </c>
      <c r="G101" t="s">
        <v>49</v>
      </c>
      <c r="H101">
        <v>95</v>
      </c>
      <c r="K101" t="s">
        <v>51</v>
      </c>
      <c r="L101" t="s">
        <v>52</v>
      </c>
      <c r="M101">
        <v>135842.19</v>
      </c>
      <c r="N101">
        <v>476230.94</v>
      </c>
      <c r="O101" t="s">
        <v>53</v>
      </c>
      <c r="P101" t="s">
        <v>54</v>
      </c>
      <c r="Q101" t="s">
        <v>55</v>
      </c>
      <c r="T101" t="s">
        <v>131</v>
      </c>
      <c r="U101">
        <v>40</v>
      </c>
      <c r="V101" s="1">
        <v>28126</v>
      </c>
      <c r="W101" s="1">
        <v>28126</v>
      </c>
      <c r="X101" s="1">
        <v>28126</v>
      </c>
      <c r="Y101" s="1">
        <v>42736</v>
      </c>
      <c r="Z101" t="s">
        <v>51</v>
      </c>
      <c r="AB101" t="s">
        <v>54</v>
      </c>
      <c r="AC101">
        <v>1</v>
      </c>
      <c r="AE101" t="s">
        <v>84</v>
      </c>
      <c r="AF101">
        <v>20</v>
      </c>
      <c r="AG101" s="1">
        <v>36892</v>
      </c>
      <c r="AH101" s="1">
        <v>36892</v>
      </c>
      <c r="AI101" s="1">
        <v>36892</v>
      </c>
      <c r="AJ101" s="1">
        <v>44197</v>
      </c>
      <c r="AK101" t="s">
        <v>51</v>
      </c>
      <c r="AN101">
        <v>0</v>
      </c>
      <c r="AO101" t="s">
        <v>54</v>
      </c>
      <c r="AP101" t="s">
        <v>53</v>
      </c>
      <c r="AQ101">
        <v>0</v>
      </c>
      <c r="AR101" t="s">
        <v>53</v>
      </c>
      <c r="AS101">
        <v>0</v>
      </c>
      <c r="AT101">
        <v>0</v>
      </c>
      <c r="AW101" t="s">
        <v>58</v>
      </c>
      <c r="AX101">
        <v>20</v>
      </c>
      <c r="AY101" s="1">
        <v>36892</v>
      </c>
      <c r="AZ101" s="1">
        <v>36892</v>
      </c>
      <c r="BA101" s="1">
        <v>36892</v>
      </c>
      <c r="BB101" s="1">
        <v>44197</v>
      </c>
      <c r="BC101" t="s">
        <v>51</v>
      </c>
      <c r="BE101" t="s">
        <v>54</v>
      </c>
      <c r="BF101">
        <v>2</v>
      </c>
      <c r="BG101">
        <v>0</v>
      </c>
      <c r="BH101" t="s">
        <v>53</v>
      </c>
      <c r="BK101" t="s">
        <v>59</v>
      </c>
      <c r="BL101">
        <v>14000</v>
      </c>
      <c r="BM101" s="1">
        <v>41456</v>
      </c>
      <c r="BN101" s="1">
        <v>41456</v>
      </c>
      <c r="BO101" s="1">
        <v>41456</v>
      </c>
      <c r="BP101" s="1">
        <v>42656</v>
      </c>
      <c r="BQ101" t="s">
        <v>51</v>
      </c>
      <c r="BS101" t="s">
        <v>60</v>
      </c>
      <c r="BT101" t="s">
        <v>54</v>
      </c>
      <c r="BU101" t="s">
        <v>61</v>
      </c>
      <c r="BV101" t="s">
        <v>62</v>
      </c>
      <c r="BX101">
        <v>24</v>
      </c>
      <c r="BY101">
        <v>0</v>
      </c>
      <c r="BZ101">
        <v>0</v>
      </c>
    </row>
    <row r="102" spans="1:78" x14ac:dyDescent="0.2">
      <c r="A102" t="s">
        <v>45</v>
      </c>
      <c r="B102" t="s">
        <v>46</v>
      </c>
      <c r="C102" t="s">
        <v>90</v>
      </c>
      <c r="D102" t="s">
        <v>125</v>
      </c>
      <c r="F102" t="str">
        <f>"1349"</f>
        <v>1349</v>
      </c>
      <c r="G102" t="s">
        <v>49</v>
      </c>
      <c r="H102">
        <v>97</v>
      </c>
      <c r="K102" t="s">
        <v>51</v>
      </c>
      <c r="L102" t="s">
        <v>52</v>
      </c>
      <c r="M102">
        <v>135856.98000000001</v>
      </c>
      <c r="N102">
        <v>476254.31</v>
      </c>
      <c r="O102" t="s">
        <v>53</v>
      </c>
      <c r="P102" t="s">
        <v>54</v>
      </c>
      <c r="Q102" t="s">
        <v>55</v>
      </c>
      <c r="T102" t="s">
        <v>56</v>
      </c>
      <c r="U102">
        <v>40</v>
      </c>
      <c r="V102" s="1">
        <v>36892</v>
      </c>
      <c r="W102" s="1">
        <v>36892</v>
      </c>
      <c r="X102" s="1">
        <v>36892</v>
      </c>
      <c r="Y102" s="1">
        <v>51502</v>
      </c>
      <c r="Z102" t="s">
        <v>51</v>
      </c>
      <c r="AB102" t="s">
        <v>54</v>
      </c>
      <c r="AC102">
        <v>1</v>
      </c>
      <c r="AE102" t="s">
        <v>84</v>
      </c>
      <c r="AF102">
        <v>20</v>
      </c>
      <c r="AG102" s="1">
        <v>36892</v>
      </c>
      <c r="AH102" s="1">
        <v>36892</v>
      </c>
      <c r="AI102" s="1">
        <v>36892</v>
      </c>
      <c r="AJ102" s="1">
        <v>44197</v>
      </c>
      <c r="AK102" t="s">
        <v>51</v>
      </c>
      <c r="AN102">
        <v>0</v>
      </c>
      <c r="AO102" t="s">
        <v>54</v>
      </c>
      <c r="AP102" t="s">
        <v>53</v>
      </c>
      <c r="AQ102">
        <v>0</v>
      </c>
      <c r="AR102" t="s">
        <v>53</v>
      </c>
      <c r="AS102">
        <v>0</v>
      </c>
      <c r="AT102">
        <v>0</v>
      </c>
      <c r="AW102" t="s">
        <v>58</v>
      </c>
      <c r="AX102">
        <v>20</v>
      </c>
      <c r="AY102" s="1">
        <v>43430</v>
      </c>
      <c r="AZ102" s="1">
        <v>43430</v>
      </c>
      <c r="BA102" s="1">
        <v>43430</v>
      </c>
      <c r="BB102" s="1">
        <v>50735</v>
      </c>
      <c r="BC102" t="s">
        <v>51</v>
      </c>
      <c r="BE102" t="s">
        <v>54</v>
      </c>
      <c r="BF102">
        <v>2</v>
      </c>
      <c r="BG102">
        <v>0</v>
      </c>
      <c r="BH102" t="s">
        <v>53</v>
      </c>
      <c r="BK102" t="s">
        <v>59</v>
      </c>
      <c r="BL102">
        <v>14000</v>
      </c>
      <c r="BM102" s="1">
        <v>43402</v>
      </c>
      <c r="BN102" s="1">
        <v>43402</v>
      </c>
      <c r="BO102" s="1">
        <v>43430</v>
      </c>
      <c r="BP102" s="1">
        <v>44562</v>
      </c>
      <c r="BQ102" t="s">
        <v>51</v>
      </c>
      <c r="BS102" t="s">
        <v>60</v>
      </c>
      <c r="BT102" t="s">
        <v>54</v>
      </c>
      <c r="BU102" t="s">
        <v>61</v>
      </c>
      <c r="BV102" t="s">
        <v>62</v>
      </c>
      <c r="BX102">
        <v>24</v>
      </c>
      <c r="BY102">
        <v>0</v>
      </c>
      <c r="BZ102">
        <v>0</v>
      </c>
    </row>
    <row r="103" spans="1:78" x14ac:dyDescent="0.2">
      <c r="A103" t="s">
        <v>45</v>
      </c>
      <c r="B103" t="s">
        <v>46</v>
      </c>
      <c r="C103" t="s">
        <v>90</v>
      </c>
      <c r="D103" t="s">
        <v>125</v>
      </c>
      <c r="F103" t="str">
        <f>"1350"</f>
        <v>1350</v>
      </c>
      <c r="G103" t="s">
        <v>49</v>
      </c>
      <c r="H103" t="s">
        <v>143</v>
      </c>
      <c r="K103" t="s">
        <v>51</v>
      </c>
      <c r="L103" t="s">
        <v>52</v>
      </c>
      <c r="M103">
        <v>135868.9</v>
      </c>
      <c r="N103">
        <v>476273.66</v>
      </c>
      <c r="O103" t="s">
        <v>53</v>
      </c>
      <c r="P103" t="s">
        <v>54</v>
      </c>
      <c r="Q103" t="s">
        <v>55</v>
      </c>
      <c r="T103" t="s">
        <v>56</v>
      </c>
      <c r="U103">
        <v>40</v>
      </c>
      <c r="V103" s="1">
        <v>28126</v>
      </c>
      <c r="W103" s="1">
        <v>28126</v>
      </c>
      <c r="X103" s="1">
        <v>28126</v>
      </c>
      <c r="Y103" s="1">
        <v>42736</v>
      </c>
      <c r="Z103" t="s">
        <v>51</v>
      </c>
      <c r="AB103" t="s">
        <v>54</v>
      </c>
      <c r="AC103">
        <v>1</v>
      </c>
      <c r="AE103" t="s">
        <v>84</v>
      </c>
      <c r="AF103">
        <v>20</v>
      </c>
      <c r="AG103" s="1">
        <v>36892</v>
      </c>
      <c r="AH103" s="1">
        <v>36892</v>
      </c>
      <c r="AI103" s="1">
        <v>36892</v>
      </c>
      <c r="AJ103" s="1">
        <v>44197</v>
      </c>
      <c r="AK103" t="s">
        <v>51</v>
      </c>
      <c r="AN103">
        <v>0</v>
      </c>
      <c r="AO103" t="s">
        <v>54</v>
      </c>
      <c r="AP103" t="s">
        <v>53</v>
      </c>
      <c r="AQ103">
        <v>0</v>
      </c>
      <c r="AR103" t="s">
        <v>53</v>
      </c>
      <c r="AS103">
        <v>0</v>
      </c>
      <c r="AT103">
        <v>0</v>
      </c>
      <c r="AW103" t="s">
        <v>58</v>
      </c>
      <c r="AX103">
        <v>20</v>
      </c>
      <c r="AY103" s="1">
        <v>36892</v>
      </c>
      <c r="AZ103" s="1">
        <v>36892</v>
      </c>
      <c r="BA103" s="1">
        <v>36892</v>
      </c>
      <c r="BB103" s="1">
        <v>44197</v>
      </c>
      <c r="BC103" t="s">
        <v>51</v>
      </c>
      <c r="BE103" t="s">
        <v>54</v>
      </c>
      <c r="BF103">
        <v>2</v>
      </c>
      <c r="BG103">
        <v>0</v>
      </c>
      <c r="BH103" t="s">
        <v>53</v>
      </c>
      <c r="BK103" t="s">
        <v>59</v>
      </c>
      <c r="BL103">
        <v>14000</v>
      </c>
      <c r="BM103" s="1">
        <v>41456</v>
      </c>
      <c r="BN103" s="1">
        <v>41456</v>
      </c>
      <c r="BO103" s="1">
        <v>41456</v>
      </c>
      <c r="BP103" s="1">
        <v>42656</v>
      </c>
      <c r="BQ103" t="s">
        <v>51</v>
      </c>
      <c r="BS103" t="s">
        <v>60</v>
      </c>
      <c r="BT103" t="s">
        <v>54</v>
      </c>
      <c r="BU103" t="s">
        <v>61</v>
      </c>
      <c r="BV103" t="s">
        <v>62</v>
      </c>
      <c r="BX103">
        <v>24</v>
      </c>
      <c r="BY103">
        <v>0</v>
      </c>
      <c r="BZ103">
        <v>0</v>
      </c>
    </row>
    <row r="104" spans="1:78" x14ac:dyDescent="0.2">
      <c r="A104" t="s">
        <v>45</v>
      </c>
      <c r="B104" t="s">
        <v>46</v>
      </c>
      <c r="C104" t="s">
        <v>90</v>
      </c>
      <c r="D104" t="s">
        <v>125</v>
      </c>
      <c r="F104" t="str">
        <f>"1351"</f>
        <v>1351</v>
      </c>
      <c r="G104" t="s">
        <v>49</v>
      </c>
      <c r="H104" t="s">
        <v>144</v>
      </c>
      <c r="K104" t="s">
        <v>51</v>
      </c>
      <c r="L104" t="s">
        <v>52</v>
      </c>
      <c r="M104">
        <v>135895.81</v>
      </c>
      <c r="N104">
        <v>476305.4</v>
      </c>
      <c r="O104" t="s">
        <v>53</v>
      </c>
      <c r="P104" t="s">
        <v>54</v>
      </c>
      <c r="Q104" t="s">
        <v>55</v>
      </c>
      <c r="T104" t="s">
        <v>56</v>
      </c>
      <c r="U104">
        <v>40</v>
      </c>
      <c r="V104" s="1">
        <v>36892</v>
      </c>
      <c r="W104" s="1">
        <v>36892</v>
      </c>
      <c r="X104" s="1">
        <v>36892</v>
      </c>
      <c r="Y104" s="1">
        <v>51502</v>
      </c>
      <c r="Z104" t="s">
        <v>51</v>
      </c>
      <c r="AB104" t="s">
        <v>54</v>
      </c>
      <c r="AC104">
        <v>1</v>
      </c>
      <c r="AE104" t="s">
        <v>84</v>
      </c>
      <c r="AF104">
        <v>20</v>
      </c>
      <c r="AG104" s="1">
        <v>36892</v>
      </c>
      <c r="AH104" s="1">
        <v>36892</v>
      </c>
      <c r="AI104" s="1">
        <v>36892</v>
      </c>
      <c r="AJ104" s="1">
        <v>44197</v>
      </c>
      <c r="AK104" t="s">
        <v>51</v>
      </c>
      <c r="AN104">
        <v>0</v>
      </c>
      <c r="AO104" t="s">
        <v>54</v>
      </c>
      <c r="AP104" t="s">
        <v>53</v>
      </c>
      <c r="AQ104">
        <v>0</v>
      </c>
      <c r="AR104" t="s">
        <v>53</v>
      </c>
      <c r="AS104">
        <v>0</v>
      </c>
      <c r="AT104">
        <v>0</v>
      </c>
      <c r="AW104" t="s">
        <v>58</v>
      </c>
      <c r="AX104">
        <v>20</v>
      </c>
      <c r="AY104" s="1">
        <v>36892</v>
      </c>
      <c r="AZ104" s="1">
        <v>36892</v>
      </c>
      <c r="BA104" s="1">
        <v>36892</v>
      </c>
      <c r="BB104" s="1">
        <v>44197</v>
      </c>
      <c r="BC104" t="s">
        <v>51</v>
      </c>
      <c r="BE104" t="s">
        <v>54</v>
      </c>
      <c r="BF104">
        <v>2</v>
      </c>
      <c r="BG104">
        <v>0</v>
      </c>
      <c r="BH104" t="s">
        <v>53</v>
      </c>
      <c r="BK104" t="s">
        <v>59</v>
      </c>
      <c r="BL104">
        <v>14000</v>
      </c>
      <c r="BM104" s="1">
        <v>41456</v>
      </c>
      <c r="BN104" s="1">
        <v>41456</v>
      </c>
      <c r="BO104" s="1">
        <v>41456</v>
      </c>
      <c r="BP104" s="1">
        <v>42656</v>
      </c>
      <c r="BQ104" t="s">
        <v>51</v>
      </c>
      <c r="BS104" t="s">
        <v>60</v>
      </c>
      <c r="BT104" t="s">
        <v>54</v>
      </c>
      <c r="BU104" t="s">
        <v>61</v>
      </c>
      <c r="BV104" t="s">
        <v>62</v>
      </c>
      <c r="BX104">
        <v>24</v>
      </c>
      <c r="BY104">
        <v>0</v>
      </c>
      <c r="BZ104">
        <v>0</v>
      </c>
    </row>
    <row r="105" spans="1:78" x14ac:dyDescent="0.2">
      <c r="A105" t="s">
        <v>45</v>
      </c>
      <c r="B105" t="s">
        <v>46</v>
      </c>
      <c r="C105" t="s">
        <v>90</v>
      </c>
      <c r="D105" t="s">
        <v>125</v>
      </c>
      <c r="F105" t="str">
        <f>"1352"</f>
        <v>1352</v>
      </c>
      <c r="G105" t="s">
        <v>49</v>
      </c>
      <c r="K105" t="s">
        <v>51</v>
      </c>
      <c r="L105" t="s">
        <v>52</v>
      </c>
      <c r="M105">
        <v>135908.15</v>
      </c>
      <c r="N105">
        <v>476325.28</v>
      </c>
      <c r="O105" t="s">
        <v>53</v>
      </c>
      <c r="P105" t="s">
        <v>54</v>
      </c>
      <c r="Q105" t="s">
        <v>55</v>
      </c>
      <c r="T105" t="s">
        <v>131</v>
      </c>
      <c r="U105">
        <v>40</v>
      </c>
      <c r="V105" s="1">
        <v>28126</v>
      </c>
      <c r="W105" s="1">
        <v>28126</v>
      </c>
      <c r="X105" s="1">
        <v>28126</v>
      </c>
      <c r="Y105" s="1">
        <v>42736</v>
      </c>
      <c r="Z105" t="s">
        <v>51</v>
      </c>
      <c r="AB105" t="s">
        <v>54</v>
      </c>
      <c r="AC105">
        <v>1</v>
      </c>
      <c r="AE105" t="s">
        <v>79</v>
      </c>
      <c r="AF105">
        <v>20</v>
      </c>
      <c r="AG105" s="1">
        <v>36892</v>
      </c>
      <c r="AH105" s="1">
        <v>36892</v>
      </c>
      <c r="AI105" s="1">
        <v>36892</v>
      </c>
      <c r="AJ105" s="1">
        <v>44197</v>
      </c>
      <c r="AK105" t="s">
        <v>51</v>
      </c>
      <c r="AN105">
        <v>0</v>
      </c>
      <c r="AO105" t="s">
        <v>54</v>
      </c>
      <c r="AP105" t="s">
        <v>53</v>
      </c>
      <c r="AQ105">
        <v>0</v>
      </c>
      <c r="AR105" t="s">
        <v>145</v>
      </c>
      <c r="AS105">
        <v>0</v>
      </c>
      <c r="AT105">
        <v>0</v>
      </c>
      <c r="AW105" t="s">
        <v>58</v>
      </c>
      <c r="AX105">
        <v>20</v>
      </c>
      <c r="AY105" s="1">
        <v>43353</v>
      </c>
      <c r="AZ105" s="1">
        <v>43353</v>
      </c>
      <c r="BA105" s="1">
        <v>43353</v>
      </c>
      <c r="BB105" s="1">
        <v>50658</v>
      </c>
      <c r="BC105" t="s">
        <v>51</v>
      </c>
      <c r="BE105" t="s">
        <v>54</v>
      </c>
      <c r="BF105">
        <v>2</v>
      </c>
      <c r="BG105">
        <v>0</v>
      </c>
      <c r="BH105" t="s">
        <v>53</v>
      </c>
      <c r="BK105" t="s">
        <v>146</v>
      </c>
      <c r="BL105">
        <v>14000</v>
      </c>
      <c r="BM105" s="1">
        <v>43353</v>
      </c>
      <c r="BN105" s="1">
        <v>43353</v>
      </c>
      <c r="BO105" s="1">
        <v>43353</v>
      </c>
      <c r="BP105" s="1">
        <v>44522</v>
      </c>
      <c r="BQ105" t="s">
        <v>51</v>
      </c>
      <c r="BS105" t="s">
        <v>60</v>
      </c>
      <c r="BT105" t="s">
        <v>54</v>
      </c>
      <c r="BU105" t="s">
        <v>61</v>
      </c>
      <c r="BV105" t="s">
        <v>62</v>
      </c>
      <c r="BX105">
        <v>24</v>
      </c>
      <c r="BY105">
        <v>0</v>
      </c>
      <c r="BZ105">
        <v>0</v>
      </c>
    </row>
    <row r="106" spans="1:78" x14ac:dyDescent="0.2">
      <c r="A106" t="s">
        <v>45</v>
      </c>
      <c r="B106" t="s">
        <v>46</v>
      </c>
      <c r="C106" t="s">
        <v>90</v>
      </c>
      <c r="D106" t="s">
        <v>125</v>
      </c>
      <c r="F106" t="str">
        <f>"1353"</f>
        <v>1353</v>
      </c>
      <c r="G106" t="s">
        <v>49</v>
      </c>
      <c r="K106" t="s">
        <v>51</v>
      </c>
      <c r="L106" t="s">
        <v>52</v>
      </c>
      <c r="M106">
        <v>135912.60999999999</v>
      </c>
      <c r="N106">
        <v>476342.36</v>
      </c>
      <c r="O106" t="s">
        <v>53</v>
      </c>
      <c r="P106" t="s">
        <v>54</v>
      </c>
      <c r="Q106" t="s">
        <v>55</v>
      </c>
      <c r="T106" t="s">
        <v>131</v>
      </c>
      <c r="U106">
        <v>40</v>
      </c>
      <c r="V106" s="1">
        <v>28126</v>
      </c>
      <c r="W106" s="1">
        <v>28126</v>
      </c>
      <c r="X106" s="1">
        <v>28126</v>
      </c>
      <c r="Y106" s="1">
        <v>42736</v>
      </c>
      <c r="Z106" t="s">
        <v>51</v>
      </c>
      <c r="AB106" t="s">
        <v>54</v>
      </c>
      <c r="AC106">
        <v>1</v>
      </c>
      <c r="AE106" t="s">
        <v>79</v>
      </c>
      <c r="AF106">
        <v>20</v>
      </c>
      <c r="AG106" s="1">
        <v>36892</v>
      </c>
      <c r="AH106" s="1">
        <v>36892</v>
      </c>
      <c r="AI106" s="1">
        <v>36892</v>
      </c>
      <c r="AJ106" s="1">
        <v>44197</v>
      </c>
      <c r="AK106" t="s">
        <v>51</v>
      </c>
      <c r="AN106">
        <v>0</v>
      </c>
      <c r="AO106" t="s">
        <v>54</v>
      </c>
      <c r="AP106" t="s">
        <v>53</v>
      </c>
      <c r="AQ106">
        <v>0</v>
      </c>
      <c r="AR106" t="s">
        <v>145</v>
      </c>
      <c r="AS106">
        <v>0</v>
      </c>
      <c r="AT106">
        <v>0</v>
      </c>
      <c r="AW106" t="s">
        <v>58</v>
      </c>
      <c r="AX106">
        <v>20</v>
      </c>
      <c r="AY106" s="1">
        <v>44208</v>
      </c>
      <c r="AZ106" s="1">
        <v>44208</v>
      </c>
      <c r="BA106" s="1">
        <v>44208</v>
      </c>
      <c r="BB106" s="1">
        <v>51513</v>
      </c>
      <c r="BC106" t="s">
        <v>51</v>
      </c>
      <c r="BE106" t="s">
        <v>54</v>
      </c>
      <c r="BF106">
        <v>2</v>
      </c>
      <c r="BG106">
        <v>0</v>
      </c>
      <c r="BH106" t="s">
        <v>53</v>
      </c>
      <c r="BK106" t="s">
        <v>59</v>
      </c>
      <c r="BL106">
        <v>14000</v>
      </c>
      <c r="BM106" s="1">
        <v>44208</v>
      </c>
      <c r="BN106" s="1">
        <v>44208</v>
      </c>
      <c r="BO106" s="1">
        <v>44208</v>
      </c>
      <c r="BP106" s="1">
        <v>45376</v>
      </c>
      <c r="BQ106" t="s">
        <v>51</v>
      </c>
      <c r="BS106" t="s">
        <v>60</v>
      </c>
      <c r="BT106" t="s">
        <v>54</v>
      </c>
      <c r="BU106" t="s">
        <v>61</v>
      </c>
      <c r="BV106" t="s">
        <v>62</v>
      </c>
      <c r="BX106">
        <v>24</v>
      </c>
      <c r="BY106">
        <v>0</v>
      </c>
      <c r="BZ106">
        <v>0</v>
      </c>
    </row>
    <row r="107" spans="1:78" x14ac:dyDescent="0.2">
      <c r="A107" t="s">
        <v>45</v>
      </c>
      <c r="B107" t="s">
        <v>46</v>
      </c>
      <c r="C107" t="s">
        <v>90</v>
      </c>
      <c r="D107" t="s">
        <v>125</v>
      </c>
      <c r="F107" t="str">
        <f>"1354"</f>
        <v>1354</v>
      </c>
      <c r="G107" t="s">
        <v>49</v>
      </c>
      <c r="K107" t="s">
        <v>51</v>
      </c>
      <c r="L107" t="s">
        <v>52</v>
      </c>
      <c r="M107">
        <v>135931.24</v>
      </c>
      <c r="N107">
        <v>476360.5</v>
      </c>
      <c r="O107" t="s">
        <v>53</v>
      </c>
      <c r="P107" t="s">
        <v>54</v>
      </c>
      <c r="Q107" t="s">
        <v>55</v>
      </c>
      <c r="T107" t="s">
        <v>131</v>
      </c>
      <c r="U107">
        <v>40</v>
      </c>
      <c r="V107" s="1">
        <v>28126</v>
      </c>
      <c r="W107" s="1">
        <v>28126</v>
      </c>
      <c r="X107" s="1">
        <v>28126</v>
      </c>
      <c r="Y107" s="1">
        <v>42736</v>
      </c>
      <c r="Z107" t="s">
        <v>51</v>
      </c>
      <c r="AB107" t="s">
        <v>54</v>
      </c>
      <c r="AC107">
        <v>1</v>
      </c>
      <c r="AE107" t="s">
        <v>79</v>
      </c>
      <c r="AF107">
        <v>20</v>
      </c>
      <c r="AG107" s="1">
        <v>36892</v>
      </c>
      <c r="AH107" s="1">
        <v>36892</v>
      </c>
      <c r="AI107" s="1">
        <v>36892</v>
      </c>
      <c r="AJ107" s="1">
        <v>44197</v>
      </c>
      <c r="AK107" t="s">
        <v>51</v>
      </c>
      <c r="AN107">
        <v>0</v>
      </c>
      <c r="AO107" t="s">
        <v>54</v>
      </c>
      <c r="AP107" t="s">
        <v>53</v>
      </c>
      <c r="AQ107">
        <v>0</v>
      </c>
      <c r="AR107" t="s">
        <v>145</v>
      </c>
      <c r="AS107">
        <v>0</v>
      </c>
      <c r="AT107">
        <v>0</v>
      </c>
      <c r="AW107" t="s">
        <v>79</v>
      </c>
      <c r="AX107">
        <v>20</v>
      </c>
      <c r="AY107" s="1">
        <v>36892</v>
      </c>
      <c r="AZ107" s="1">
        <v>36892</v>
      </c>
      <c r="BA107" s="1">
        <v>36892</v>
      </c>
      <c r="BB107" s="1">
        <v>44197</v>
      </c>
      <c r="BC107" t="s">
        <v>51</v>
      </c>
      <c r="BE107" t="s">
        <v>54</v>
      </c>
      <c r="BF107">
        <v>5</v>
      </c>
      <c r="BG107">
        <v>0</v>
      </c>
      <c r="BH107" t="s">
        <v>53</v>
      </c>
      <c r="BK107" t="s">
        <v>59</v>
      </c>
      <c r="BL107">
        <v>14000</v>
      </c>
      <c r="BM107" s="1">
        <v>42917</v>
      </c>
      <c r="BN107" s="1">
        <v>42917</v>
      </c>
      <c r="BO107" s="1">
        <v>42917</v>
      </c>
      <c r="BP107" s="1">
        <v>44117</v>
      </c>
      <c r="BQ107" t="s">
        <v>51</v>
      </c>
      <c r="BS107" t="s">
        <v>60</v>
      </c>
      <c r="BT107" t="s">
        <v>54</v>
      </c>
      <c r="BU107" t="s">
        <v>61</v>
      </c>
      <c r="BV107" t="s">
        <v>62</v>
      </c>
      <c r="BX107">
        <v>24</v>
      </c>
      <c r="BY107">
        <v>0</v>
      </c>
      <c r="BZ107">
        <v>0</v>
      </c>
    </row>
    <row r="108" spans="1:78" x14ac:dyDescent="0.2">
      <c r="A108" t="s">
        <v>45</v>
      </c>
      <c r="B108" t="s">
        <v>46</v>
      </c>
      <c r="C108" t="s">
        <v>90</v>
      </c>
      <c r="D108" t="s">
        <v>125</v>
      </c>
      <c r="F108" t="str">
        <f>"1355"</f>
        <v>1355</v>
      </c>
      <c r="G108" t="s">
        <v>49</v>
      </c>
      <c r="K108" t="s">
        <v>51</v>
      </c>
      <c r="L108" t="s">
        <v>52</v>
      </c>
      <c r="M108">
        <v>135937.89000000001</v>
      </c>
      <c r="N108">
        <v>476383.56</v>
      </c>
      <c r="O108" t="s">
        <v>53</v>
      </c>
      <c r="P108" t="s">
        <v>54</v>
      </c>
      <c r="Q108" t="s">
        <v>55</v>
      </c>
      <c r="T108" t="s">
        <v>131</v>
      </c>
      <c r="U108">
        <v>40</v>
      </c>
      <c r="V108" s="1">
        <v>28126</v>
      </c>
      <c r="W108" s="1">
        <v>28126</v>
      </c>
      <c r="X108" s="1">
        <v>28126</v>
      </c>
      <c r="Y108" s="1">
        <v>42736</v>
      </c>
      <c r="Z108" t="s">
        <v>51</v>
      </c>
      <c r="AB108" t="s">
        <v>54</v>
      </c>
      <c r="AC108">
        <v>1</v>
      </c>
      <c r="AE108" t="s">
        <v>79</v>
      </c>
      <c r="AF108">
        <v>20</v>
      </c>
      <c r="AG108" s="1">
        <v>36892</v>
      </c>
      <c r="AH108" s="1">
        <v>36892</v>
      </c>
      <c r="AI108" s="1">
        <v>36892</v>
      </c>
      <c r="AJ108" s="1">
        <v>44197</v>
      </c>
      <c r="AK108" t="s">
        <v>51</v>
      </c>
      <c r="AN108">
        <v>0</v>
      </c>
      <c r="AO108" t="s">
        <v>54</v>
      </c>
      <c r="AP108" t="s">
        <v>53</v>
      </c>
      <c r="AQ108">
        <v>0</v>
      </c>
      <c r="AR108" t="s">
        <v>145</v>
      </c>
      <c r="AS108">
        <v>0</v>
      </c>
      <c r="AT108">
        <v>0</v>
      </c>
      <c r="AW108" t="s">
        <v>79</v>
      </c>
      <c r="AX108">
        <v>20</v>
      </c>
      <c r="AY108" s="1">
        <v>36892</v>
      </c>
      <c r="AZ108" s="1">
        <v>36892</v>
      </c>
      <c r="BA108" s="1">
        <v>36892</v>
      </c>
      <c r="BB108" s="1">
        <v>44197</v>
      </c>
      <c r="BC108" t="s">
        <v>51</v>
      </c>
      <c r="BE108" t="s">
        <v>54</v>
      </c>
      <c r="BF108">
        <v>5</v>
      </c>
      <c r="BG108">
        <v>0</v>
      </c>
      <c r="BH108" t="s">
        <v>53</v>
      </c>
      <c r="BK108" t="s">
        <v>59</v>
      </c>
      <c r="BL108">
        <v>14000</v>
      </c>
      <c r="BM108" s="1">
        <v>42917</v>
      </c>
      <c r="BN108" s="1">
        <v>42917</v>
      </c>
      <c r="BO108" s="1">
        <v>42917</v>
      </c>
      <c r="BP108" s="1">
        <v>44117</v>
      </c>
      <c r="BQ108" t="s">
        <v>51</v>
      </c>
      <c r="BS108" t="s">
        <v>60</v>
      </c>
      <c r="BT108" t="s">
        <v>54</v>
      </c>
      <c r="BU108" t="s">
        <v>61</v>
      </c>
      <c r="BV108" t="s">
        <v>62</v>
      </c>
      <c r="BX108">
        <v>24</v>
      </c>
      <c r="BY108">
        <v>0</v>
      </c>
      <c r="BZ108">
        <v>0</v>
      </c>
    </row>
    <row r="109" spans="1:78" x14ac:dyDescent="0.2">
      <c r="A109" t="s">
        <v>45</v>
      </c>
      <c r="B109" t="s">
        <v>46</v>
      </c>
      <c r="C109" t="s">
        <v>47</v>
      </c>
      <c r="D109" t="s">
        <v>147</v>
      </c>
      <c r="F109" t="str">
        <f>"1358"</f>
        <v>1358</v>
      </c>
      <c r="G109" t="s">
        <v>49</v>
      </c>
      <c r="H109" t="s">
        <v>148</v>
      </c>
      <c r="K109" t="s">
        <v>51</v>
      </c>
      <c r="L109" t="s">
        <v>52</v>
      </c>
      <c r="M109">
        <v>136737.26999999999</v>
      </c>
      <c r="N109">
        <v>474392.44</v>
      </c>
      <c r="O109" t="s">
        <v>53</v>
      </c>
      <c r="P109" t="s">
        <v>54</v>
      </c>
      <c r="Q109" t="s">
        <v>55</v>
      </c>
      <c r="T109" t="s">
        <v>56</v>
      </c>
      <c r="U109">
        <v>40</v>
      </c>
      <c r="V109" s="1">
        <v>38353</v>
      </c>
      <c r="W109" s="1">
        <v>38353</v>
      </c>
      <c r="X109" s="1">
        <v>38353</v>
      </c>
      <c r="Y109" s="1">
        <v>52963</v>
      </c>
      <c r="Z109" t="s">
        <v>51</v>
      </c>
      <c r="AB109" t="s">
        <v>54</v>
      </c>
      <c r="AC109">
        <v>1</v>
      </c>
      <c r="AE109" t="s">
        <v>84</v>
      </c>
      <c r="AF109">
        <v>20</v>
      </c>
      <c r="AG109" s="1">
        <v>38353</v>
      </c>
      <c r="AH109" s="1">
        <v>38353</v>
      </c>
      <c r="AI109" s="1">
        <v>38353</v>
      </c>
      <c r="AJ109" s="1">
        <v>45658</v>
      </c>
      <c r="AK109" t="s">
        <v>51</v>
      </c>
      <c r="AN109">
        <v>0</v>
      </c>
      <c r="AO109" t="s">
        <v>54</v>
      </c>
      <c r="AP109" t="s">
        <v>53</v>
      </c>
      <c r="AQ109">
        <v>0</v>
      </c>
      <c r="AR109" t="s">
        <v>53</v>
      </c>
      <c r="AS109">
        <v>0</v>
      </c>
      <c r="AT109">
        <v>0</v>
      </c>
      <c r="AW109" t="s">
        <v>58</v>
      </c>
      <c r="AX109">
        <v>20</v>
      </c>
      <c r="AY109" s="1">
        <v>38353</v>
      </c>
      <c r="AZ109" s="1">
        <v>38353</v>
      </c>
      <c r="BA109" s="1">
        <v>38353</v>
      </c>
      <c r="BB109" s="1">
        <v>45658</v>
      </c>
      <c r="BC109" t="s">
        <v>51</v>
      </c>
      <c r="BE109" t="s">
        <v>54</v>
      </c>
      <c r="BF109">
        <v>2</v>
      </c>
      <c r="BG109">
        <v>0</v>
      </c>
      <c r="BH109" t="s">
        <v>53</v>
      </c>
      <c r="BK109" t="s">
        <v>59</v>
      </c>
      <c r="BL109">
        <v>14000</v>
      </c>
      <c r="BM109" s="1">
        <v>42917</v>
      </c>
      <c r="BN109" s="1">
        <v>42917</v>
      </c>
      <c r="BO109" s="1">
        <v>42917</v>
      </c>
      <c r="BP109" s="1">
        <v>44117</v>
      </c>
      <c r="BQ109" t="s">
        <v>51</v>
      </c>
      <c r="BS109" t="s">
        <v>60</v>
      </c>
      <c r="BT109" t="s">
        <v>54</v>
      </c>
      <c r="BU109" t="s">
        <v>61</v>
      </c>
      <c r="BV109" t="s">
        <v>62</v>
      </c>
      <c r="BX109">
        <v>24</v>
      </c>
      <c r="BY109">
        <v>0</v>
      </c>
      <c r="BZ109">
        <v>0</v>
      </c>
    </row>
    <row r="110" spans="1:78" x14ac:dyDescent="0.2">
      <c r="A110" t="s">
        <v>45</v>
      </c>
      <c r="B110" t="s">
        <v>46</v>
      </c>
      <c r="C110" t="s">
        <v>47</v>
      </c>
      <c r="D110" t="s">
        <v>147</v>
      </c>
      <c r="F110" t="str">
        <f>"1359"</f>
        <v>1359</v>
      </c>
      <c r="G110" t="s">
        <v>49</v>
      </c>
      <c r="H110" t="s">
        <v>149</v>
      </c>
      <c r="K110" t="s">
        <v>51</v>
      </c>
      <c r="L110" t="s">
        <v>52</v>
      </c>
      <c r="M110">
        <v>136709.06</v>
      </c>
      <c r="N110">
        <v>474406.79</v>
      </c>
      <c r="O110" t="s">
        <v>53</v>
      </c>
      <c r="P110" t="s">
        <v>54</v>
      </c>
      <c r="Q110" t="s">
        <v>55</v>
      </c>
      <c r="T110" t="s">
        <v>56</v>
      </c>
      <c r="U110">
        <v>40</v>
      </c>
      <c r="V110" s="1">
        <v>38353</v>
      </c>
      <c r="W110" s="1">
        <v>38353</v>
      </c>
      <c r="X110" s="1">
        <v>38353</v>
      </c>
      <c r="Y110" s="1">
        <v>52963</v>
      </c>
      <c r="Z110" t="s">
        <v>51</v>
      </c>
      <c r="AB110" t="s">
        <v>54</v>
      </c>
      <c r="AC110">
        <v>1</v>
      </c>
      <c r="AE110" t="s">
        <v>84</v>
      </c>
      <c r="AF110">
        <v>20</v>
      </c>
      <c r="AG110" s="1">
        <v>38353</v>
      </c>
      <c r="AH110" s="1">
        <v>38353</v>
      </c>
      <c r="AI110" s="1">
        <v>38353</v>
      </c>
      <c r="AJ110" s="1">
        <v>45658</v>
      </c>
      <c r="AK110" t="s">
        <v>51</v>
      </c>
      <c r="AN110">
        <v>0</v>
      </c>
      <c r="AO110" t="s">
        <v>54</v>
      </c>
      <c r="AP110" t="s">
        <v>53</v>
      </c>
      <c r="AQ110">
        <v>0</v>
      </c>
      <c r="AR110" t="s">
        <v>53</v>
      </c>
      <c r="AS110">
        <v>0</v>
      </c>
      <c r="AT110">
        <v>0</v>
      </c>
      <c r="AW110" t="s">
        <v>58</v>
      </c>
      <c r="AX110">
        <v>20</v>
      </c>
      <c r="AY110" s="1">
        <v>38353</v>
      </c>
      <c r="AZ110" s="1">
        <v>38353</v>
      </c>
      <c r="BA110" s="1">
        <v>38353</v>
      </c>
      <c r="BB110" s="1">
        <v>45658</v>
      </c>
      <c r="BC110" t="s">
        <v>51</v>
      </c>
      <c r="BE110" t="s">
        <v>54</v>
      </c>
      <c r="BF110">
        <v>2</v>
      </c>
      <c r="BG110">
        <v>0</v>
      </c>
      <c r="BH110" t="s">
        <v>53</v>
      </c>
      <c r="BK110" t="s">
        <v>59</v>
      </c>
      <c r="BL110">
        <v>14000</v>
      </c>
      <c r="BM110" s="1">
        <v>42917</v>
      </c>
      <c r="BN110" s="1">
        <v>42917</v>
      </c>
      <c r="BO110" s="1">
        <v>42917</v>
      </c>
      <c r="BP110" s="1">
        <v>44117</v>
      </c>
      <c r="BQ110" t="s">
        <v>51</v>
      </c>
      <c r="BS110" t="s">
        <v>60</v>
      </c>
      <c r="BT110" t="s">
        <v>54</v>
      </c>
      <c r="BU110" t="s">
        <v>61</v>
      </c>
      <c r="BV110" t="s">
        <v>62</v>
      </c>
      <c r="BX110">
        <v>24</v>
      </c>
      <c r="BY110">
        <v>0</v>
      </c>
      <c r="BZ110">
        <v>0</v>
      </c>
    </row>
    <row r="111" spans="1:78" x14ac:dyDescent="0.2">
      <c r="A111" t="s">
        <v>45</v>
      </c>
      <c r="B111" t="s">
        <v>46</v>
      </c>
      <c r="C111" t="s">
        <v>47</v>
      </c>
      <c r="D111" t="s">
        <v>147</v>
      </c>
      <c r="F111" t="str">
        <f>"1360"</f>
        <v>1360</v>
      </c>
      <c r="G111" t="s">
        <v>49</v>
      </c>
      <c r="H111" t="s">
        <v>150</v>
      </c>
      <c r="K111" t="s">
        <v>51</v>
      </c>
      <c r="L111" t="s">
        <v>52</v>
      </c>
      <c r="M111">
        <v>136679.62</v>
      </c>
      <c r="N111">
        <v>474419.7</v>
      </c>
      <c r="O111" t="s">
        <v>53</v>
      </c>
      <c r="P111" t="s">
        <v>54</v>
      </c>
      <c r="Q111" t="s">
        <v>55</v>
      </c>
      <c r="T111" t="s">
        <v>56</v>
      </c>
      <c r="U111">
        <v>40</v>
      </c>
      <c r="V111" s="1">
        <v>38353</v>
      </c>
      <c r="W111" s="1">
        <v>38353</v>
      </c>
      <c r="X111" s="1">
        <v>38353</v>
      </c>
      <c r="Y111" s="1">
        <v>52963</v>
      </c>
      <c r="Z111" t="s">
        <v>51</v>
      </c>
      <c r="AB111" t="s">
        <v>54</v>
      </c>
      <c r="AC111">
        <v>1</v>
      </c>
      <c r="AE111" t="s">
        <v>84</v>
      </c>
      <c r="AF111">
        <v>20</v>
      </c>
      <c r="AG111" s="1">
        <v>38353</v>
      </c>
      <c r="AH111" s="1">
        <v>38353</v>
      </c>
      <c r="AI111" s="1">
        <v>38353</v>
      </c>
      <c r="AJ111" s="1">
        <v>45658</v>
      </c>
      <c r="AK111" t="s">
        <v>51</v>
      </c>
      <c r="AN111">
        <v>0</v>
      </c>
      <c r="AO111" t="s">
        <v>54</v>
      </c>
      <c r="AP111" t="s">
        <v>53</v>
      </c>
      <c r="AQ111">
        <v>0</v>
      </c>
      <c r="AR111" t="s">
        <v>53</v>
      </c>
      <c r="AS111">
        <v>0</v>
      </c>
      <c r="AT111">
        <v>0</v>
      </c>
      <c r="AW111" t="s">
        <v>58</v>
      </c>
      <c r="AX111">
        <v>20</v>
      </c>
      <c r="AY111" s="1">
        <v>38353</v>
      </c>
      <c r="AZ111" s="1">
        <v>38353</v>
      </c>
      <c r="BA111" s="1">
        <v>38353</v>
      </c>
      <c r="BB111" s="1">
        <v>45658</v>
      </c>
      <c r="BC111" t="s">
        <v>51</v>
      </c>
      <c r="BE111" t="s">
        <v>54</v>
      </c>
      <c r="BF111">
        <v>2</v>
      </c>
      <c r="BG111">
        <v>0</v>
      </c>
      <c r="BH111" t="s">
        <v>53</v>
      </c>
      <c r="BK111" t="s">
        <v>59</v>
      </c>
      <c r="BL111">
        <v>14000</v>
      </c>
      <c r="BM111" s="1">
        <v>42917</v>
      </c>
      <c r="BN111" s="1">
        <v>42917</v>
      </c>
      <c r="BO111" s="1">
        <v>42917</v>
      </c>
      <c r="BP111" s="1">
        <v>44117</v>
      </c>
      <c r="BQ111" t="s">
        <v>51</v>
      </c>
      <c r="BS111" t="s">
        <v>60</v>
      </c>
      <c r="BT111" t="s">
        <v>54</v>
      </c>
      <c r="BU111" t="s">
        <v>61</v>
      </c>
      <c r="BV111" t="s">
        <v>62</v>
      </c>
      <c r="BX111">
        <v>24</v>
      </c>
      <c r="BY111">
        <v>0</v>
      </c>
      <c r="BZ111">
        <v>0</v>
      </c>
    </row>
    <row r="112" spans="1:78" x14ac:dyDescent="0.2">
      <c r="A112" t="s">
        <v>45</v>
      </c>
      <c r="B112" t="s">
        <v>46</v>
      </c>
      <c r="C112" t="s">
        <v>47</v>
      </c>
      <c r="D112" t="s">
        <v>147</v>
      </c>
      <c r="F112" t="str">
        <f>"1361"</f>
        <v>1361</v>
      </c>
      <c r="G112" t="s">
        <v>49</v>
      </c>
      <c r="H112" t="s">
        <v>151</v>
      </c>
      <c r="K112" t="s">
        <v>51</v>
      </c>
      <c r="L112" t="s">
        <v>52</v>
      </c>
      <c r="M112">
        <v>136649.84</v>
      </c>
      <c r="N112">
        <v>474433.41</v>
      </c>
      <c r="O112" t="s">
        <v>53</v>
      </c>
      <c r="P112" t="s">
        <v>54</v>
      </c>
      <c r="Q112" t="s">
        <v>55</v>
      </c>
      <c r="T112" t="s">
        <v>56</v>
      </c>
      <c r="U112">
        <v>40</v>
      </c>
      <c r="V112" s="1">
        <v>38353</v>
      </c>
      <c r="W112" s="1">
        <v>38353</v>
      </c>
      <c r="X112" s="1">
        <v>38353</v>
      </c>
      <c r="Y112" s="1">
        <v>52963</v>
      </c>
      <c r="Z112" t="s">
        <v>51</v>
      </c>
      <c r="AB112" t="s">
        <v>54</v>
      </c>
      <c r="AC112">
        <v>1</v>
      </c>
      <c r="AE112" t="s">
        <v>84</v>
      </c>
      <c r="AF112">
        <v>20</v>
      </c>
      <c r="AG112" s="1">
        <v>38353</v>
      </c>
      <c r="AH112" s="1">
        <v>38353</v>
      </c>
      <c r="AI112" s="1">
        <v>38353</v>
      </c>
      <c r="AJ112" s="1">
        <v>45658</v>
      </c>
      <c r="AK112" t="s">
        <v>51</v>
      </c>
      <c r="AN112">
        <v>0</v>
      </c>
      <c r="AO112" t="s">
        <v>54</v>
      </c>
      <c r="AP112" t="s">
        <v>53</v>
      </c>
      <c r="AQ112">
        <v>0</v>
      </c>
      <c r="AR112" t="s">
        <v>53</v>
      </c>
      <c r="AS112">
        <v>0</v>
      </c>
      <c r="AT112">
        <v>0</v>
      </c>
      <c r="AW112" t="s">
        <v>58</v>
      </c>
      <c r="AX112">
        <v>20</v>
      </c>
      <c r="AY112" s="1">
        <v>38353</v>
      </c>
      <c r="AZ112" s="1">
        <v>38353</v>
      </c>
      <c r="BA112" s="1">
        <v>38353</v>
      </c>
      <c r="BB112" s="1">
        <v>45658</v>
      </c>
      <c r="BC112" t="s">
        <v>51</v>
      </c>
      <c r="BE112" t="s">
        <v>54</v>
      </c>
      <c r="BF112">
        <v>2</v>
      </c>
      <c r="BG112">
        <v>0</v>
      </c>
      <c r="BH112" t="s">
        <v>53</v>
      </c>
      <c r="BK112" t="s">
        <v>59</v>
      </c>
      <c r="BL112">
        <v>14000</v>
      </c>
      <c r="BM112" s="1">
        <v>42917</v>
      </c>
      <c r="BN112" s="1">
        <v>42917</v>
      </c>
      <c r="BO112" s="1">
        <v>42917</v>
      </c>
      <c r="BP112" s="1">
        <v>44117</v>
      </c>
      <c r="BQ112" t="s">
        <v>51</v>
      </c>
      <c r="BS112" t="s">
        <v>60</v>
      </c>
      <c r="BT112" t="s">
        <v>54</v>
      </c>
      <c r="BU112" t="s">
        <v>61</v>
      </c>
      <c r="BV112" t="s">
        <v>62</v>
      </c>
      <c r="BX112">
        <v>24</v>
      </c>
      <c r="BY112">
        <v>0</v>
      </c>
      <c r="BZ112">
        <v>0</v>
      </c>
    </row>
    <row r="113" spans="1:78" x14ac:dyDescent="0.2">
      <c r="A113" t="s">
        <v>45</v>
      </c>
      <c r="B113" t="s">
        <v>46</v>
      </c>
      <c r="C113" t="s">
        <v>47</v>
      </c>
      <c r="D113" t="s">
        <v>147</v>
      </c>
      <c r="F113" t="str">
        <f>"1362"</f>
        <v>1362</v>
      </c>
      <c r="G113" t="s">
        <v>49</v>
      </c>
      <c r="H113">
        <v>5</v>
      </c>
      <c r="K113" t="s">
        <v>51</v>
      </c>
      <c r="L113" t="s">
        <v>52</v>
      </c>
      <c r="M113">
        <v>136625.85999999999</v>
      </c>
      <c r="N113">
        <v>474445.02</v>
      </c>
      <c r="O113" t="s">
        <v>53</v>
      </c>
      <c r="P113" t="s">
        <v>54</v>
      </c>
      <c r="Q113" t="s">
        <v>55</v>
      </c>
      <c r="T113" t="s">
        <v>56</v>
      </c>
      <c r="U113">
        <v>40</v>
      </c>
      <c r="V113" s="1">
        <v>38353</v>
      </c>
      <c r="W113" s="1">
        <v>38353</v>
      </c>
      <c r="X113" s="1">
        <v>38353</v>
      </c>
      <c r="Y113" s="1">
        <v>52963</v>
      </c>
      <c r="Z113" t="s">
        <v>51</v>
      </c>
      <c r="AB113" t="s">
        <v>54</v>
      </c>
      <c r="AC113">
        <v>1</v>
      </c>
      <c r="AE113" t="s">
        <v>84</v>
      </c>
      <c r="AF113">
        <v>20</v>
      </c>
      <c r="AG113" s="1">
        <v>38353</v>
      </c>
      <c r="AH113" s="1">
        <v>38353</v>
      </c>
      <c r="AI113" s="1">
        <v>38353</v>
      </c>
      <c r="AJ113" s="1">
        <v>45658</v>
      </c>
      <c r="AK113" t="s">
        <v>51</v>
      </c>
      <c r="AN113">
        <v>0</v>
      </c>
      <c r="AO113" t="s">
        <v>54</v>
      </c>
      <c r="AP113" t="s">
        <v>53</v>
      </c>
      <c r="AQ113">
        <v>0</v>
      </c>
      <c r="AR113" t="s">
        <v>53</v>
      </c>
      <c r="AS113">
        <v>0</v>
      </c>
      <c r="AT113">
        <v>0</v>
      </c>
      <c r="AW113" t="s">
        <v>58</v>
      </c>
      <c r="AX113">
        <v>20</v>
      </c>
      <c r="AY113" s="1">
        <v>38353</v>
      </c>
      <c r="AZ113" s="1">
        <v>38353</v>
      </c>
      <c r="BA113" s="1">
        <v>38353</v>
      </c>
      <c r="BB113" s="1">
        <v>45658</v>
      </c>
      <c r="BC113" t="s">
        <v>51</v>
      </c>
      <c r="BE113" t="s">
        <v>54</v>
      </c>
      <c r="BF113">
        <v>2</v>
      </c>
      <c r="BG113">
        <v>0</v>
      </c>
      <c r="BH113" t="s">
        <v>53</v>
      </c>
      <c r="BK113" t="s">
        <v>59</v>
      </c>
      <c r="BL113">
        <v>14000</v>
      </c>
      <c r="BM113" s="1">
        <v>42917</v>
      </c>
      <c r="BN113" s="1">
        <v>42917</v>
      </c>
      <c r="BO113" s="1">
        <v>42917</v>
      </c>
      <c r="BP113" s="1">
        <v>44117</v>
      </c>
      <c r="BQ113" t="s">
        <v>51</v>
      </c>
      <c r="BS113" t="s">
        <v>60</v>
      </c>
      <c r="BT113" t="s">
        <v>54</v>
      </c>
      <c r="BU113" t="s">
        <v>61</v>
      </c>
      <c r="BV113" t="s">
        <v>62</v>
      </c>
      <c r="BX113">
        <v>24</v>
      </c>
      <c r="BY113">
        <v>0</v>
      </c>
      <c r="BZ113">
        <v>0</v>
      </c>
    </row>
    <row r="114" spans="1:78" x14ac:dyDescent="0.2">
      <c r="A114" t="s">
        <v>45</v>
      </c>
      <c r="B114" t="s">
        <v>46</v>
      </c>
      <c r="C114" t="s">
        <v>47</v>
      </c>
      <c r="D114" t="s">
        <v>147</v>
      </c>
      <c r="F114" t="str">
        <f>"1363"</f>
        <v>1363</v>
      </c>
      <c r="G114" t="s">
        <v>49</v>
      </c>
      <c r="H114">
        <v>5</v>
      </c>
      <c r="K114" t="s">
        <v>51</v>
      </c>
      <c r="L114" t="s">
        <v>52</v>
      </c>
      <c r="M114">
        <v>136590.60999999999</v>
      </c>
      <c r="N114">
        <v>474462.24</v>
      </c>
      <c r="O114" t="s">
        <v>53</v>
      </c>
      <c r="P114" t="s">
        <v>54</v>
      </c>
      <c r="Q114" t="s">
        <v>55</v>
      </c>
      <c r="T114" t="s">
        <v>56</v>
      </c>
      <c r="U114">
        <v>40</v>
      </c>
      <c r="V114" s="1">
        <v>38353</v>
      </c>
      <c r="W114" s="1">
        <v>38353</v>
      </c>
      <c r="X114" s="1">
        <v>38353</v>
      </c>
      <c r="Y114" s="1">
        <v>52963</v>
      </c>
      <c r="Z114" t="s">
        <v>51</v>
      </c>
      <c r="AB114" t="s">
        <v>54</v>
      </c>
      <c r="AC114">
        <v>1</v>
      </c>
      <c r="AE114" t="s">
        <v>84</v>
      </c>
      <c r="AF114">
        <v>20</v>
      </c>
      <c r="AG114" s="1">
        <v>38353</v>
      </c>
      <c r="AH114" s="1">
        <v>38353</v>
      </c>
      <c r="AI114" s="1">
        <v>38353</v>
      </c>
      <c r="AJ114" s="1">
        <v>45658</v>
      </c>
      <c r="AK114" t="s">
        <v>51</v>
      </c>
      <c r="AN114">
        <v>0</v>
      </c>
      <c r="AO114" t="s">
        <v>54</v>
      </c>
      <c r="AP114" t="s">
        <v>53</v>
      </c>
      <c r="AQ114">
        <v>0</v>
      </c>
      <c r="AR114" t="s">
        <v>53</v>
      </c>
      <c r="AS114">
        <v>0</v>
      </c>
      <c r="AT114">
        <v>0</v>
      </c>
      <c r="AW114" t="s">
        <v>58</v>
      </c>
      <c r="AX114">
        <v>20</v>
      </c>
      <c r="AY114" s="1">
        <v>38353</v>
      </c>
      <c r="AZ114" s="1">
        <v>38353</v>
      </c>
      <c r="BA114" s="1">
        <v>38353</v>
      </c>
      <c r="BB114" s="1">
        <v>45658</v>
      </c>
      <c r="BC114" t="s">
        <v>51</v>
      </c>
      <c r="BE114" t="s">
        <v>54</v>
      </c>
      <c r="BF114">
        <v>2</v>
      </c>
      <c r="BG114">
        <v>0</v>
      </c>
      <c r="BH114" t="s">
        <v>53</v>
      </c>
      <c r="BK114" t="s">
        <v>59</v>
      </c>
      <c r="BL114">
        <v>14000</v>
      </c>
      <c r="BM114" s="1">
        <v>42917</v>
      </c>
      <c r="BN114" s="1">
        <v>42917</v>
      </c>
      <c r="BO114" s="1">
        <v>42917</v>
      </c>
      <c r="BP114" s="1">
        <v>44117</v>
      </c>
      <c r="BQ114" t="s">
        <v>51</v>
      </c>
      <c r="BS114" t="s">
        <v>60</v>
      </c>
      <c r="BT114" t="s">
        <v>54</v>
      </c>
      <c r="BU114" t="s">
        <v>61</v>
      </c>
      <c r="BV114" t="s">
        <v>62</v>
      </c>
      <c r="BX114">
        <v>24</v>
      </c>
      <c r="BY114">
        <v>0</v>
      </c>
      <c r="BZ114">
        <v>0</v>
      </c>
    </row>
    <row r="115" spans="1:78" x14ac:dyDescent="0.2">
      <c r="A115" t="s">
        <v>45</v>
      </c>
      <c r="B115" t="s">
        <v>46</v>
      </c>
      <c r="C115" t="s">
        <v>47</v>
      </c>
      <c r="D115" t="s">
        <v>147</v>
      </c>
      <c r="F115" t="str">
        <f>"1364"</f>
        <v>1364</v>
      </c>
      <c r="G115" t="s">
        <v>49</v>
      </c>
      <c r="H115" t="s">
        <v>152</v>
      </c>
      <c r="K115" t="s">
        <v>51</v>
      </c>
      <c r="L115" t="s">
        <v>52</v>
      </c>
      <c r="M115">
        <v>136564.29</v>
      </c>
      <c r="N115">
        <v>474475.21</v>
      </c>
      <c r="O115" t="s">
        <v>53</v>
      </c>
      <c r="P115" t="s">
        <v>54</v>
      </c>
      <c r="Q115" t="s">
        <v>55</v>
      </c>
      <c r="T115" t="s">
        <v>56</v>
      </c>
      <c r="U115">
        <v>40</v>
      </c>
      <c r="V115" s="1">
        <v>38353</v>
      </c>
      <c r="W115" s="1">
        <v>38353</v>
      </c>
      <c r="X115" s="1">
        <v>38353</v>
      </c>
      <c r="Y115" s="1">
        <v>52963</v>
      </c>
      <c r="Z115" t="s">
        <v>51</v>
      </c>
      <c r="AB115" t="s">
        <v>54</v>
      </c>
      <c r="AC115">
        <v>1</v>
      </c>
      <c r="AE115" t="s">
        <v>84</v>
      </c>
      <c r="AF115">
        <v>20</v>
      </c>
      <c r="AG115" s="1">
        <v>38353</v>
      </c>
      <c r="AH115" s="1">
        <v>38353</v>
      </c>
      <c r="AI115" s="1">
        <v>38353</v>
      </c>
      <c r="AJ115" s="1">
        <v>45658</v>
      </c>
      <c r="AK115" t="s">
        <v>51</v>
      </c>
      <c r="AN115">
        <v>0</v>
      </c>
      <c r="AO115" t="s">
        <v>54</v>
      </c>
      <c r="AP115" t="s">
        <v>53</v>
      </c>
      <c r="AQ115">
        <v>0</v>
      </c>
      <c r="AR115" t="s">
        <v>53</v>
      </c>
      <c r="AS115">
        <v>0</v>
      </c>
      <c r="AT115">
        <v>0</v>
      </c>
      <c r="AW115" t="s">
        <v>58</v>
      </c>
      <c r="AX115">
        <v>20</v>
      </c>
      <c r="AY115" s="1">
        <v>38353</v>
      </c>
      <c r="AZ115" s="1">
        <v>38353</v>
      </c>
      <c r="BA115" s="1">
        <v>38353</v>
      </c>
      <c r="BB115" s="1">
        <v>45658</v>
      </c>
      <c r="BC115" t="s">
        <v>51</v>
      </c>
      <c r="BE115" t="s">
        <v>54</v>
      </c>
      <c r="BF115">
        <v>2</v>
      </c>
      <c r="BG115">
        <v>0</v>
      </c>
      <c r="BH115" t="s">
        <v>53</v>
      </c>
      <c r="BK115" t="s">
        <v>59</v>
      </c>
      <c r="BL115">
        <v>14000</v>
      </c>
      <c r="BM115" s="1">
        <v>42917</v>
      </c>
      <c r="BN115" s="1">
        <v>42917</v>
      </c>
      <c r="BO115" s="1">
        <v>42917</v>
      </c>
      <c r="BP115" s="1">
        <v>44117</v>
      </c>
      <c r="BQ115" t="s">
        <v>51</v>
      </c>
      <c r="BS115" t="s">
        <v>60</v>
      </c>
      <c r="BT115" t="s">
        <v>54</v>
      </c>
      <c r="BU115" t="s">
        <v>61</v>
      </c>
      <c r="BV115" t="s">
        <v>62</v>
      </c>
      <c r="BX115">
        <v>24</v>
      </c>
      <c r="BY115">
        <v>0</v>
      </c>
      <c r="BZ115">
        <v>0</v>
      </c>
    </row>
    <row r="116" spans="1:78" x14ac:dyDescent="0.2">
      <c r="A116" t="s">
        <v>45</v>
      </c>
      <c r="B116" t="s">
        <v>46</v>
      </c>
      <c r="C116" t="s">
        <v>47</v>
      </c>
      <c r="D116" t="s">
        <v>147</v>
      </c>
      <c r="F116" t="str">
        <f>"1365"</f>
        <v>1365</v>
      </c>
      <c r="G116" t="s">
        <v>49</v>
      </c>
      <c r="K116" t="s">
        <v>51</v>
      </c>
      <c r="L116" t="s">
        <v>52</v>
      </c>
      <c r="M116">
        <v>136536.38</v>
      </c>
      <c r="N116">
        <v>474489</v>
      </c>
      <c r="O116" t="s">
        <v>53</v>
      </c>
      <c r="P116" t="s">
        <v>54</v>
      </c>
      <c r="Q116" t="s">
        <v>55</v>
      </c>
      <c r="T116" t="s">
        <v>56</v>
      </c>
      <c r="U116">
        <v>40</v>
      </c>
      <c r="V116" s="1">
        <v>38353</v>
      </c>
      <c r="W116" s="1">
        <v>38353</v>
      </c>
      <c r="X116" s="1">
        <v>38353</v>
      </c>
      <c r="Y116" s="1">
        <v>52963</v>
      </c>
      <c r="Z116" t="s">
        <v>51</v>
      </c>
      <c r="AB116" t="s">
        <v>54</v>
      </c>
      <c r="AC116">
        <v>1</v>
      </c>
      <c r="AE116" t="s">
        <v>84</v>
      </c>
      <c r="AF116">
        <v>20</v>
      </c>
      <c r="AG116" s="1">
        <v>38353</v>
      </c>
      <c r="AH116" s="1">
        <v>38353</v>
      </c>
      <c r="AI116" s="1">
        <v>38353</v>
      </c>
      <c r="AJ116" s="1">
        <v>45658</v>
      </c>
      <c r="AK116" t="s">
        <v>51</v>
      </c>
      <c r="AN116">
        <v>0</v>
      </c>
      <c r="AO116" t="s">
        <v>54</v>
      </c>
      <c r="AP116" t="s">
        <v>53</v>
      </c>
      <c r="AQ116">
        <v>0</v>
      </c>
      <c r="AR116" t="s">
        <v>53</v>
      </c>
      <c r="AS116">
        <v>0</v>
      </c>
      <c r="AT116">
        <v>0</v>
      </c>
      <c r="AW116" t="s">
        <v>58</v>
      </c>
      <c r="AX116">
        <v>20</v>
      </c>
      <c r="AY116" s="1">
        <v>44599</v>
      </c>
      <c r="AZ116" s="1">
        <v>44599</v>
      </c>
      <c r="BA116" s="1">
        <v>44599</v>
      </c>
      <c r="BB116" s="1">
        <v>51904</v>
      </c>
      <c r="BC116" t="s">
        <v>51</v>
      </c>
      <c r="BE116" t="s">
        <v>54</v>
      </c>
      <c r="BF116">
        <v>2</v>
      </c>
      <c r="BG116">
        <v>0</v>
      </c>
      <c r="BH116" t="s">
        <v>53</v>
      </c>
      <c r="BK116" t="s">
        <v>65</v>
      </c>
      <c r="BL116">
        <v>14000</v>
      </c>
      <c r="BM116" s="1">
        <v>44599</v>
      </c>
      <c r="BN116" s="1">
        <v>44599</v>
      </c>
      <c r="BO116" s="1">
        <v>44599</v>
      </c>
      <c r="BP116" s="1">
        <v>45783</v>
      </c>
      <c r="BQ116" t="s">
        <v>51</v>
      </c>
      <c r="BS116" t="s">
        <v>60</v>
      </c>
      <c r="BT116" t="s">
        <v>54</v>
      </c>
      <c r="BU116" t="s">
        <v>61</v>
      </c>
      <c r="BV116" t="s">
        <v>62</v>
      </c>
      <c r="BX116">
        <v>36</v>
      </c>
      <c r="BY116">
        <v>0</v>
      </c>
      <c r="BZ116">
        <v>0</v>
      </c>
    </row>
    <row r="117" spans="1:78" x14ac:dyDescent="0.2">
      <c r="A117" t="s">
        <v>45</v>
      </c>
      <c r="B117" t="s">
        <v>46</v>
      </c>
      <c r="C117" t="s">
        <v>47</v>
      </c>
      <c r="D117" t="s">
        <v>153</v>
      </c>
      <c r="F117" t="str">
        <f>"1366"</f>
        <v>1366</v>
      </c>
      <c r="G117" t="s">
        <v>49</v>
      </c>
      <c r="H117">
        <v>75</v>
      </c>
      <c r="K117" t="s">
        <v>51</v>
      </c>
      <c r="L117" t="s">
        <v>52</v>
      </c>
      <c r="M117">
        <v>136762.57</v>
      </c>
      <c r="N117">
        <v>474739.84</v>
      </c>
      <c r="O117" t="s">
        <v>53</v>
      </c>
      <c r="P117" t="s">
        <v>54</v>
      </c>
      <c r="Q117" t="s">
        <v>55</v>
      </c>
      <c r="T117" t="s">
        <v>111</v>
      </c>
      <c r="U117">
        <v>40</v>
      </c>
      <c r="V117" s="1">
        <v>23743</v>
      </c>
      <c r="W117" s="1">
        <v>23743</v>
      </c>
      <c r="X117" s="1">
        <v>23743</v>
      </c>
      <c r="Y117" s="1">
        <v>38353</v>
      </c>
      <c r="Z117" t="s">
        <v>51</v>
      </c>
      <c r="AB117" t="s">
        <v>54</v>
      </c>
      <c r="AC117">
        <v>1</v>
      </c>
      <c r="AE117" t="s">
        <v>57</v>
      </c>
      <c r="AF117">
        <v>20</v>
      </c>
      <c r="AG117" s="1">
        <v>34700</v>
      </c>
      <c r="AH117" s="1">
        <v>34700</v>
      </c>
      <c r="AI117" s="1">
        <v>34700</v>
      </c>
      <c r="AJ117" s="1">
        <v>42005</v>
      </c>
      <c r="AK117" t="s">
        <v>51</v>
      </c>
      <c r="AN117">
        <v>0</v>
      </c>
      <c r="AO117" t="s">
        <v>54</v>
      </c>
      <c r="AP117" t="s">
        <v>53</v>
      </c>
      <c r="AQ117">
        <v>0</v>
      </c>
      <c r="AR117" t="s">
        <v>53</v>
      </c>
      <c r="AS117">
        <v>0</v>
      </c>
      <c r="AT117">
        <v>0</v>
      </c>
      <c r="AW117" t="s">
        <v>58</v>
      </c>
      <c r="AX117">
        <v>20</v>
      </c>
      <c r="AY117" s="1">
        <v>34700</v>
      </c>
      <c r="AZ117" s="1">
        <v>34700</v>
      </c>
      <c r="BA117" s="1">
        <v>34700</v>
      </c>
      <c r="BB117" s="1">
        <v>42005</v>
      </c>
      <c r="BC117" t="s">
        <v>51</v>
      </c>
      <c r="BE117" t="s">
        <v>54</v>
      </c>
      <c r="BF117">
        <v>2</v>
      </c>
      <c r="BG117">
        <v>0</v>
      </c>
      <c r="BH117" t="s">
        <v>53</v>
      </c>
      <c r="BK117" t="s">
        <v>59</v>
      </c>
      <c r="BL117">
        <v>14000</v>
      </c>
      <c r="BM117" s="1">
        <v>44327</v>
      </c>
      <c r="BN117" s="1">
        <v>44327</v>
      </c>
      <c r="BO117" s="1">
        <v>44327</v>
      </c>
      <c r="BP117" s="1">
        <v>45547</v>
      </c>
      <c r="BQ117" t="s">
        <v>51</v>
      </c>
      <c r="BS117" t="s">
        <v>60</v>
      </c>
      <c r="BT117" t="s">
        <v>54</v>
      </c>
      <c r="BU117" t="s">
        <v>61</v>
      </c>
      <c r="BV117" t="s">
        <v>62</v>
      </c>
      <c r="BX117">
        <v>24</v>
      </c>
      <c r="BY117">
        <v>0</v>
      </c>
      <c r="BZ117">
        <v>0</v>
      </c>
    </row>
    <row r="118" spans="1:78" x14ac:dyDescent="0.2">
      <c r="A118" t="s">
        <v>45</v>
      </c>
      <c r="B118" t="s">
        <v>46</v>
      </c>
      <c r="C118" t="s">
        <v>47</v>
      </c>
      <c r="D118" t="s">
        <v>153</v>
      </c>
      <c r="F118" t="str">
        <f>"1367"</f>
        <v>1367</v>
      </c>
      <c r="G118" t="s">
        <v>49</v>
      </c>
      <c r="H118" t="s">
        <v>154</v>
      </c>
      <c r="K118" t="s">
        <v>51</v>
      </c>
      <c r="L118" t="s">
        <v>52</v>
      </c>
      <c r="M118">
        <v>136746.63</v>
      </c>
      <c r="N118">
        <v>474712.26</v>
      </c>
      <c r="O118" t="s">
        <v>53</v>
      </c>
      <c r="P118" t="s">
        <v>54</v>
      </c>
      <c r="Q118" t="s">
        <v>55</v>
      </c>
      <c r="T118" t="s">
        <v>83</v>
      </c>
      <c r="U118">
        <v>40</v>
      </c>
      <c r="V118" s="1">
        <v>23012</v>
      </c>
      <c r="W118" s="1">
        <v>23012</v>
      </c>
      <c r="X118" s="1">
        <v>23012</v>
      </c>
      <c r="Y118" s="1">
        <v>37622</v>
      </c>
      <c r="Z118" t="s">
        <v>51</v>
      </c>
      <c r="AB118" t="s">
        <v>54</v>
      </c>
      <c r="AC118">
        <v>1</v>
      </c>
      <c r="AE118" t="s">
        <v>84</v>
      </c>
      <c r="AF118">
        <v>20</v>
      </c>
      <c r="AG118" s="1">
        <v>34700</v>
      </c>
      <c r="AH118" s="1">
        <v>34700</v>
      </c>
      <c r="AI118" s="1">
        <v>34700</v>
      </c>
      <c r="AJ118" s="1">
        <v>42005</v>
      </c>
      <c r="AK118" t="s">
        <v>51</v>
      </c>
      <c r="AN118">
        <v>0</v>
      </c>
      <c r="AO118" t="s">
        <v>54</v>
      </c>
      <c r="AP118" t="s">
        <v>53</v>
      </c>
      <c r="AQ118">
        <v>0</v>
      </c>
      <c r="AR118" t="s">
        <v>53</v>
      </c>
      <c r="AS118">
        <v>0</v>
      </c>
      <c r="AT118">
        <v>0</v>
      </c>
      <c r="AW118" t="s">
        <v>58</v>
      </c>
      <c r="AX118">
        <v>20</v>
      </c>
      <c r="AY118" s="1">
        <v>34700</v>
      </c>
      <c r="AZ118" s="1">
        <v>34700</v>
      </c>
      <c r="BA118" s="1">
        <v>34700</v>
      </c>
      <c r="BB118" s="1">
        <v>42005</v>
      </c>
      <c r="BC118" t="s">
        <v>51</v>
      </c>
      <c r="BE118" t="s">
        <v>54</v>
      </c>
      <c r="BF118">
        <v>2</v>
      </c>
      <c r="BG118">
        <v>0</v>
      </c>
      <c r="BH118" t="s">
        <v>53</v>
      </c>
      <c r="BK118" t="s">
        <v>59</v>
      </c>
      <c r="BL118">
        <v>14000</v>
      </c>
      <c r="BM118" s="1">
        <v>44327</v>
      </c>
      <c r="BN118" s="1">
        <v>44327</v>
      </c>
      <c r="BO118" s="1">
        <v>44327</v>
      </c>
      <c r="BP118" s="1">
        <v>45547</v>
      </c>
      <c r="BQ118" t="s">
        <v>51</v>
      </c>
      <c r="BS118" t="s">
        <v>60</v>
      </c>
      <c r="BT118" t="s">
        <v>54</v>
      </c>
      <c r="BU118" t="s">
        <v>61</v>
      </c>
      <c r="BV118" t="s">
        <v>62</v>
      </c>
      <c r="BX118">
        <v>24</v>
      </c>
      <c r="BY118">
        <v>0</v>
      </c>
      <c r="BZ118">
        <v>0</v>
      </c>
    </row>
    <row r="119" spans="1:78" x14ac:dyDescent="0.2">
      <c r="A119" t="s">
        <v>45</v>
      </c>
      <c r="B119" t="s">
        <v>46</v>
      </c>
      <c r="C119" t="s">
        <v>47</v>
      </c>
      <c r="D119" t="s">
        <v>153</v>
      </c>
      <c r="F119" t="str">
        <f>"1368"</f>
        <v>1368</v>
      </c>
      <c r="G119" t="s">
        <v>49</v>
      </c>
      <c r="H119">
        <v>73</v>
      </c>
      <c r="I119" t="s">
        <v>155</v>
      </c>
      <c r="K119" t="s">
        <v>51</v>
      </c>
      <c r="L119" t="s">
        <v>52</v>
      </c>
      <c r="M119">
        <v>136742.04</v>
      </c>
      <c r="N119">
        <v>474681.54</v>
      </c>
      <c r="O119" t="s">
        <v>53</v>
      </c>
      <c r="P119" t="s">
        <v>54</v>
      </c>
      <c r="Q119" t="s">
        <v>55</v>
      </c>
      <c r="T119" t="s">
        <v>83</v>
      </c>
      <c r="U119">
        <v>40</v>
      </c>
      <c r="V119" s="1">
        <v>23743</v>
      </c>
      <c r="W119" s="1">
        <v>23743</v>
      </c>
      <c r="X119" s="1">
        <v>23743</v>
      </c>
      <c r="Y119" s="1">
        <v>38353</v>
      </c>
      <c r="Z119" t="s">
        <v>51</v>
      </c>
      <c r="AB119" t="s">
        <v>54</v>
      </c>
      <c r="AC119">
        <v>1</v>
      </c>
      <c r="AE119" t="s">
        <v>84</v>
      </c>
      <c r="AF119">
        <v>20</v>
      </c>
      <c r="AG119" s="1">
        <v>34700</v>
      </c>
      <c r="AH119" s="1">
        <v>34700</v>
      </c>
      <c r="AI119" s="1">
        <v>34700</v>
      </c>
      <c r="AJ119" s="1">
        <v>42005</v>
      </c>
      <c r="AK119" t="s">
        <v>51</v>
      </c>
      <c r="AN119">
        <v>0</v>
      </c>
      <c r="AO119" t="s">
        <v>54</v>
      </c>
      <c r="AP119" t="s">
        <v>53</v>
      </c>
      <c r="AQ119">
        <v>0</v>
      </c>
      <c r="AR119" t="s">
        <v>53</v>
      </c>
      <c r="AS119">
        <v>0</v>
      </c>
      <c r="AT119">
        <v>0</v>
      </c>
      <c r="AW119" t="s">
        <v>58</v>
      </c>
      <c r="AX119">
        <v>20</v>
      </c>
      <c r="AY119" s="1">
        <v>34700</v>
      </c>
      <c r="AZ119" s="1">
        <v>34700</v>
      </c>
      <c r="BA119" s="1">
        <v>34700</v>
      </c>
      <c r="BB119" s="1">
        <v>42005</v>
      </c>
      <c r="BC119" t="s">
        <v>51</v>
      </c>
      <c r="BE119" t="s">
        <v>54</v>
      </c>
      <c r="BF119">
        <v>2</v>
      </c>
      <c r="BG119">
        <v>0</v>
      </c>
      <c r="BH119" t="s">
        <v>53</v>
      </c>
      <c r="BK119" t="s">
        <v>59</v>
      </c>
      <c r="BL119">
        <v>14000</v>
      </c>
      <c r="BM119" s="1">
        <v>44327</v>
      </c>
      <c r="BN119" s="1">
        <v>44327</v>
      </c>
      <c r="BO119" s="1">
        <v>44327</v>
      </c>
      <c r="BP119" s="1">
        <v>45547</v>
      </c>
      <c r="BQ119" t="s">
        <v>51</v>
      </c>
      <c r="BS119" t="s">
        <v>60</v>
      </c>
      <c r="BT119" t="s">
        <v>54</v>
      </c>
      <c r="BU119" t="s">
        <v>61</v>
      </c>
      <c r="BV119" t="s">
        <v>62</v>
      </c>
      <c r="BX119">
        <v>24</v>
      </c>
      <c r="BY119">
        <v>0</v>
      </c>
      <c r="BZ119">
        <v>0</v>
      </c>
    </row>
    <row r="120" spans="1:78" x14ac:dyDescent="0.2">
      <c r="A120" t="s">
        <v>45</v>
      </c>
      <c r="B120" t="s">
        <v>46</v>
      </c>
      <c r="C120" t="s">
        <v>47</v>
      </c>
      <c r="D120" t="s">
        <v>153</v>
      </c>
      <c r="F120" t="str">
        <f>"1369"</f>
        <v>1369</v>
      </c>
      <c r="G120" t="s">
        <v>49</v>
      </c>
      <c r="H120">
        <v>73</v>
      </c>
      <c r="K120" t="s">
        <v>51</v>
      </c>
      <c r="L120" t="s">
        <v>52</v>
      </c>
      <c r="M120">
        <v>136742.96</v>
      </c>
      <c r="N120">
        <v>474649.86</v>
      </c>
      <c r="O120" t="s">
        <v>53</v>
      </c>
      <c r="P120" t="s">
        <v>54</v>
      </c>
      <c r="Q120" t="s">
        <v>55</v>
      </c>
      <c r="T120" t="s">
        <v>111</v>
      </c>
      <c r="U120">
        <v>40</v>
      </c>
      <c r="V120" s="1">
        <v>36892</v>
      </c>
      <c r="W120" s="1">
        <v>36892</v>
      </c>
      <c r="X120" s="1">
        <v>36892</v>
      </c>
      <c r="Y120" s="1">
        <v>51502</v>
      </c>
      <c r="Z120" t="s">
        <v>51</v>
      </c>
      <c r="AB120" t="s">
        <v>54</v>
      </c>
      <c r="AC120">
        <v>1</v>
      </c>
      <c r="AE120" t="s">
        <v>84</v>
      </c>
      <c r="AF120">
        <v>20</v>
      </c>
      <c r="AG120" s="1">
        <v>36892</v>
      </c>
      <c r="AH120" s="1">
        <v>36892</v>
      </c>
      <c r="AI120" s="1">
        <v>36892</v>
      </c>
      <c r="AJ120" s="1">
        <v>44197</v>
      </c>
      <c r="AK120" t="s">
        <v>51</v>
      </c>
      <c r="AN120">
        <v>0</v>
      </c>
      <c r="AO120" t="s">
        <v>54</v>
      </c>
      <c r="AP120" t="s">
        <v>53</v>
      </c>
      <c r="AQ120">
        <v>0</v>
      </c>
      <c r="AR120" t="s">
        <v>53</v>
      </c>
      <c r="AS120">
        <v>0</v>
      </c>
      <c r="AT120">
        <v>0</v>
      </c>
      <c r="AW120" t="s">
        <v>58</v>
      </c>
      <c r="AX120">
        <v>20</v>
      </c>
      <c r="AY120" s="1">
        <v>36892</v>
      </c>
      <c r="AZ120" s="1">
        <v>36892</v>
      </c>
      <c r="BA120" s="1">
        <v>36892</v>
      </c>
      <c r="BB120" s="1">
        <v>44197</v>
      </c>
      <c r="BC120" t="s">
        <v>51</v>
      </c>
      <c r="BE120" t="s">
        <v>54</v>
      </c>
      <c r="BF120">
        <v>2</v>
      </c>
      <c r="BG120">
        <v>0</v>
      </c>
      <c r="BH120" t="s">
        <v>53</v>
      </c>
      <c r="BK120" t="s">
        <v>59</v>
      </c>
      <c r="BL120">
        <v>14000</v>
      </c>
      <c r="BM120" s="1">
        <v>44327</v>
      </c>
      <c r="BN120" s="1">
        <v>44327</v>
      </c>
      <c r="BO120" s="1">
        <v>44327</v>
      </c>
      <c r="BP120" s="1">
        <v>45547</v>
      </c>
      <c r="BQ120" t="s">
        <v>51</v>
      </c>
      <c r="BS120" t="s">
        <v>60</v>
      </c>
      <c r="BT120" t="s">
        <v>54</v>
      </c>
      <c r="BU120" t="s">
        <v>61</v>
      </c>
      <c r="BV120" t="s">
        <v>62</v>
      </c>
      <c r="BX120">
        <v>24</v>
      </c>
      <c r="BY120">
        <v>0</v>
      </c>
      <c r="BZ120">
        <v>0</v>
      </c>
    </row>
    <row r="121" spans="1:78" x14ac:dyDescent="0.2">
      <c r="A121" t="s">
        <v>45</v>
      </c>
      <c r="B121" t="s">
        <v>46</v>
      </c>
      <c r="C121" t="s">
        <v>47</v>
      </c>
      <c r="D121" t="s">
        <v>153</v>
      </c>
      <c r="F121" t="str">
        <f>"1370"</f>
        <v>1370</v>
      </c>
      <c r="G121" t="s">
        <v>49</v>
      </c>
      <c r="H121">
        <v>73</v>
      </c>
      <c r="K121" t="s">
        <v>51</v>
      </c>
      <c r="L121" t="s">
        <v>52</v>
      </c>
      <c r="M121">
        <v>136744.41</v>
      </c>
      <c r="N121">
        <v>474619.69</v>
      </c>
      <c r="O121" t="s">
        <v>53</v>
      </c>
      <c r="P121" t="s">
        <v>54</v>
      </c>
      <c r="Q121" t="s">
        <v>55</v>
      </c>
      <c r="T121" t="s">
        <v>83</v>
      </c>
      <c r="U121">
        <v>40</v>
      </c>
      <c r="V121" s="1">
        <v>23743</v>
      </c>
      <c r="W121" s="1">
        <v>23743</v>
      </c>
      <c r="X121" s="1">
        <v>23743</v>
      </c>
      <c r="Y121" s="1">
        <v>38353</v>
      </c>
      <c r="Z121" t="s">
        <v>51</v>
      </c>
      <c r="AB121" t="s">
        <v>54</v>
      </c>
      <c r="AC121">
        <v>1</v>
      </c>
      <c r="AE121" t="s">
        <v>84</v>
      </c>
      <c r="AF121">
        <v>20</v>
      </c>
      <c r="AG121" s="1">
        <v>34700</v>
      </c>
      <c r="AH121" s="1">
        <v>34700</v>
      </c>
      <c r="AI121" s="1">
        <v>34700</v>
      </c>
      <c r="AJ121" s="1">
        <v>42005</v>
      </c>
      <c r="AK121" t="s">
        <v>51</v>
      </c>
      <c r="AN121">
        <v>0</v>
      </c>
      <c r="AO121" t="s">
        <v>54</v>
      </c>
      <c r="AP121" t="s">
        <v>53</v>
      </c>
      <c r="AQ121">
        <v>0</v>
      </c>
      <c r="AR121" t="s">
        <v>53</v>
      </c>
      <c r="AS121">
        <v>0</v>
      </c>
      <c r="AT121">
        <v>0</v>
      </c>
      <c r="AW121" t="s">
        <v>58</v>
      </c>
      <c r="AX121">
        <v>20</v>
      </c>
      <c r="AY121" s="1">
        <v>34700</v>
      </c>
      <c r="AZ121" s="1">
        <v>34700</v>
      </c>
      <c r="BA121" s="1">
        <v>34700</v>
      </c>
      <c r="BB121" s="1">
        <v>42005</v>
      </c>
      <c r="BC121" t="s">
        <v>51</v>
      </c>
      <c r="BE121" t="s">
        <v>54</v>
      </c>
      <c r="BF121">
        <v>2</v>
      </c>
      <c r="BG121">
        <v>0</v>
      </c>
      <c r="BH121" t="s">
        <v>53</v>
      </c>
      <c r="BK121" t="s">
        <v>59</v>
      </c>
      <c r="BL121">
        <v>14000</v>
      </c>
      <c r="BM121" s="1">
        <v>44327</v>
      </c>
      <c r="BN121" s="1">
        <v>44327</v>
      </c>
      <c r="BO121" s="1">
        <v>44327</v>
      </c>
      <c r="BP121" s="1">
        <v>45547</v>
      </c>
      <c r="BQ121" t="s">
        <v>51</v>
      </c>
      <c r="BS121" t="s">
        <v>60</v>
      </c>
      <c r="BT121" t="s">
        <v>54</v>
      </c>
      <c r="BU121" t="s">
        <v>61</v>
      </c>
      <c r="BV121" t="s">
        <v>62</v>
      </c>
      <c r="BX121">
        <v>24</v>
      </c>
      <c r="BY121">
        <v>0</v>
      </c>
      <c r="BZ121">
        <v>0</v>
      </c>
    </row>
    <row r="122" spans="1:78" x14ac:dyDescent="0.2">
      <c r="A122" t="s">
        <v>45</v>
      </c>
      <c r="B122" t="s">
        <v>46</v>
      </c>
      <c r="C122" t="s">
        <v>47</v>
      </c>
      <c r="D122" t="s">
        <v>153</v>
      </c>
      <c r="F122" t="str">
        <f>"1371"</f>
        <v>1371</v>
      </c>
      <c r="G122" t="s">
        <v>49</v>
      </c>
      <c r="H122">
        <v>71</v>
      </c>
      <c r="K122" t="s">
        <v>51</v>
      </c>
      <c r="L122" t="s">
        <v>52</v>
      </c>
      <c r="M122">
        <v>136746.03</v>
      </c>
      <c r="N122">
        <v>474592.89</v>
      </c>
      <c r="O122" t="s">
        <v>53</v>
      </c>
      <c r="P122" t="s">
        <v>54</v>
      </c>
      <c r="Q122" t="s">
        <v>55</v>
      </c>
      <c r="T122" t="s">
        <v>83</v>
      </c>
      <c r="U122">
        <v>40</v>
      </c>
      <c r="V122" s="1">
        <v>28491</v>
      </c>
      <c r="W122" s="1">
        <v>28491</v>
      </c>
      <c r="X122" s="1">
        <v>28491</v>
      </c>
      <c r="Y122" s="1">
        <v>43101</v>
      </c>
      <c r="Z122" t="s">
        <v>51</v>
      </c>
      <c r="AB122" t="s">
        <v>54</v>
      </c>
      <c r="AC122">
        <v>1</v>
      </c>
      <c r="AE122" t="s">
        <v>84</v>
      </c>
      <c r="AF122">
        <v>20</v>
      </c>
      <c r="AG122" s="1">
        <v>34700</v>
      </c>
      <c r="AH122" s="1">
        <v>34700</v>
      </c>
      <c r="AI122" s="1">
        <v>34700</v>
      </c>
      <c r="AJ122" s="1">
        <v>42005</v>
      </c>
      <c r="AK122" t="s">
        <v>51</v>
      </c>
      <c r="AN122">
        <v>0</v>
      </c>
      <c r="AO122" t="s">
        <v>54</v>
      </c>
      <c r="AP122" t="s">
        <v>53</v>
      </c>
      <c r="AQ122">
        <v>0</v>
      </c>
      <c r="AR122" t="s">
        <v>53</v>
      </c>
      <c r="AS122">
        <v>0</v>
      </c>
      <c r="AT122">
        <v>0</v>
      </c>
      <c r="AW122" t="s">
        <v>58</v>
      </c>
      <c r="AX122">
        <v>20</v>
      </c>
      <c r="AY122" s="1">
        <v>34700</v>
      </c>
      <c r="AZ122" s="1">
        <v>34700</v>
      </c>
      <c r="BA122" s="1">
        <v>34700</v>
      </c>
      <c r="BB122" s="1">
        <v>42005</v>
      </c>
      <c r="BC122" t="s">
        <v>51</v>
      </c>
      <c r="BE122" t="s">
        <v>54</v>
      </c>
      <c r="BF122">
        <v>2</v>
      </c>
      <c r="BG122">
        <v>0</v>
      </c>
      <c r="BH122" t="s">
        <v>53</v>
      </c>
      <c r="BK122" t="s">
        <v>59</v>
      </c>
      <c r="BL122">
        <v>14000</v>
      </c>
      <c r="BM122" s="1">
        <v>44327</v>
      </c>
      <c r="BN122" s="1">
        <v>44327</v>
      </c>
      <c r="BO122" s="1">
        <v>44327</v>
      </c>
      <c r="BP122" s="1">
        <v>45547</v>
      </c>
      <c r="BQ122" t="s">
        <v>51</v>
      </c>
      <c r="BS122" t="s">
        <v>60</v>
      </c>
      <c r="BT122" t="s">
        <v>54</v>
      </c>
      <c r="BU122" t="s">
        <v>61</v>
      </c>
      <c r="BV122" t="s">
        <v>62</v>
      </c>
      <c r="BX122">
        <v>24</v>
      </c>
      <c r="BY122">
        <v>0</v>
      </c>
      <c r="BZ122">
        <v>0</v>
      </c>
    </row>
    <row r="123" spans="1:78" x14ac:dyDescent="0.2">
      <c r="A123" t="s">
        <v>45</v>
      </c>
      <c r="B123" t="s">
        <v>46</v>
      </c>
      <c r="C123" t="s">
        <v>47</v>
      </c>
      <c r="D123" t="s">
        <v>153</v>
      </c>
      <c r="F123" t="str">
        <f>"1372"</f>
        <v>1372</v>
      </c>
      <c r="G123" t="s">
        <v>49</v>
      </c>
      <c r="H123" t="s">
        <v>156</v>
      </c>
      <c r="K123" t="s">
        <v>51</v>
      </c>
      <c r="L123" t="s">
        <v>52</v>
      </c>
      <c r="M123">
        <v>136747.22</v>
      </c>
      <c r="N123">
        <v>474557.11</v>
      </c>
      <c r="O123" t="s">
        <v>53</v>
      </c>
      <c r="P123" t="s">
        <v>54</v>
      </c>
      <c r="Q123" t="s">
        <v>55</v>
      </c>
      <c r="T123" t="s">
        <v>157</v>
      </c>
      <c r="U123">
        <v>40</v>
      </c>
      <c r="V123" s="1">
        <v>36892</v>
      </c>
      <c r="W123" s="1">
        <v>36892</v>
      </c>
      <c r="X123" s="1">
        <v>36892</v>
      </c>
      <c r="Y123" s="1">
        <v>51502</v>
      </c>
      <c r="Z123" t="s">
        <v>51</v>
      </c>
      <c r="AB123" t="s">
        <v>54</v>
      </c>
      <c r="AC123">
        <v>1</v>
      </c>
      <c r="AE123" t="s">
        <v>84</v>
      </c>
      <c r="AF123">
        <v>20</v>
      </c>
      <c r="AG123" s="1">
        <v>36892</v>
      </c>
      <c r="AH123" s="1">
        <v>36892</v>
      </c>
      <c r="AI123" s="1">
        <v>36892</v>
      </c>
      <c r="AJ123" s="1">
        <v>44197</v>
      </c>
      <c r="AK123" t="s">
        <v>51</v>
      </c>
      <c r="AN123">
        <v>0</v>
      </c>
      <c r="AO123" t="s">
        <v>54</v>
      </c>
      <c r="AP123" t="s">
        <v>53</v>
      </c>
      <c r="AQ123">
        <v>0</v>
      </c>
      <c r="AR123" t="s">
        <v>53</v>
      </c>
      <c r="AS123">
        <v>0</v>
      </c>
      <c r="AT123">
        <v>0</v>
      </c>
      <c r="AW123" t="s">
        <v>58</v>
      </c>
      <c r="AX123">
        <v>20</v>
      </c>
      <c r="AY123" s="1">
        <v>36892</v>
      </c>
      <c r="AZ123" s="1">
        <v>36892</v>
      </c>
      <c r="BA123" s="1">
        <v>36892</v>
      </c>
      <c r="BB123" s="1">
        <v>44197</v>
      </c>
      <c r="BC123" t="s">
        <v>51</v>
      </c>
      <c r="BE123" t="s">
        <v>54</v>
      </c>
      <c r="BF123">
        <v>2</v>
      </c>
      <c r="BG123">
        <v>0</v>
      </c>
      <c r="BH123" t="s">
        <v>53</v>
      </c>
      <c r="BK123" t="s">
        <v>59</v>
      </c>
      <c r="BL123">
        <v>14000</v>
      </c>
      <c r="BM123" s="1">
        <v>44327</v>
      </c>
      <c r="BN123" s="1">
        <v>44327</v>
      </c>
      <c r="BO123" s="1">
        <v>44327</v>
      </c>
      <c r="BP123" s="1">
        <v>45547</v>
      </c>
      <c r="BQ123" t="s">
        <v>51</v>
      </c>
      <c r="BS123" t="s">
        <v>60</v>
      </c>
      <c r="BT123" t="s">
        <v>54</v>
      </c>
      <c r="BU123" t="s">
        <v>61</v>
      </c>
      <c r="BV123" t="s">
        <v>62</v>
      </c>
      <c r="BX123">
        <v>24</v>
      </c>
      <c r="BY123">
        <v>0</v>
      </c>
      <c r="BZ123">
        <v>0</v>
      </c>
    </row>
    <row r="124" spans="1:78" x14ac:dyDescent="0.2">
      <c r="A124" t="s">
        <v>45</v>
      </c>
      <c r="B124" t="s">
        <v>46</v>
      </c>
      <c r="C124" t="s">
        <v>47</v>
      </c>
      <c r="D124" t="s">
        <v>153</v>
      </c>
      <c r="F124" t="str">
        <f>"1373"</f>
        <v>1373</v>
      </c>
      <c r="G124" t="s">
        <v>49</v>
      </c>
      <c r="H124" t="s">
        <v>158</v>
      </c>
      <c r="I124" t="s">
        <v>159</v>
      </c>
      <c r="K124" t="s">
        <v>51</v>
      </c>
      <c r="L124" t="s">
        <v>52</v>
      </c>
      <c r="M124">
        <v>136748.38</v>
      </c>
      <c r="N124">
        <v>474526.07</v>
      </c>
      <c r="O124" t="s">
        <v>53</v>
      </c>
      <c r="P124" t="s">
        <v>54</v>
      </c>
      <c r="Q124" t="s">
        <v>55</v>
      </c>
      <c r="T124" t="s">
        <v>111</v>
      </c>
      <c r="U124">
        <v>40</v>
      </c>
      <c r="V124" s="1">
        <v>38876</v>
      </c>
      <c r="W124" s="1">
        <v>38876</v>
      </c>
      <c r="X124" s="1">
        <v>38876</v>
      </c>
      <c r="Y124" s="1">
        <v>53486</v>
      </c>
      <c r="Z124" t="s">
        <v>51</v>
      </c>
      <c r="AB124" t="s">
        <v>54</v>
      </c>
      <c r="AC124">
        <v>1</v>
      </c>
      <c r="AE124" t="s">
        <v>84</v>
      </c>
      <c r="AF124">
        <v>20</v>
      </c>
      <c r="AG124" s="1">
        <v>34700</v>
      </c>
      <c r="AH124" s="1">
        <v>34700</v>
      </c>
      <c r="AI124" s="1">
        <v>38876</v>
      </c>
      <c r="AJ124" s="1">
        <v>42005</v>
      </c>
      <c r="AK124" t="s">
        <v>51</v>
      </c>
      <c r="AN124">
        <v>0</v>
      </c>
      <c r="AO124" t="s">
        <v>54</v>
      </c>
      <c r="AP124" t="s">
        <v>53</v>
      </c>
      <c r="AQ124">
        <v>0</v>
      </c>
      <c r="AR124" t="s">
        <v>53</v>
      </c>
      <c r="AS124">
        <v>0</v>
      </c>
      <c r="AT124">
        <v>0</v>
      </c>
      <c r="AW124" t="s">
        <v>58</v>
      </c>
      <c r="AX124">
        <v>20</v>
      </c>
      <c r="AY124" s="1">
        <v>34700</v>
      </c>
      <c r="AZ124" s="1">
        <v>34700</v>
      </c>
      <c r="BA124" s="1">
        <v>38876</v>
      </c>
      <c r="BB124" s="1">
        <v>42005</v>
      </c>
      <c r="BC124" t="s">
        <v>51</v>
      </c>
      <c r="BE124" t="s">
        <v>54</v>
      </c>
      <c r="BF124">
        <v>2</v>
      </c>
      <c r="BG124">
        <v>0</v>
      </c>
      <c r="BH124" t="s">
        <v>53</v>
      </c>
      <c r="BK124" t="s">
        <v>59</v>
      </c>
      <c r="BL124">
        <v>14000</v>
      </c>
      <c r="BM124" s="1">
        <v>44327</v>
      </c>
      <c r="BN124" s="1">
        <v>44327</v>
      </c>
      <c r="BO124" s="1">
        <v>44327</v>
      </c>
      <c r="BP124" s="1">
        <v>45547</v>
      </c>
      <c r="BQ124" t="s">
        <v>51</v>
      </c>
      <c r="BS124" t="s">
        <v>60</v>
      </c>
      <c r="BT124" t="s">
        <v>54</v>
      </c>
      <c r="BU124" t="s">
        <v>61</v>
      </c>
      <c r="BV124" t="s">
        <v>62</v>
      </c>
      <c r="BX124">
        <v>24</v>
      </c>
      <c r="BY124">
        <v>0</v>
      </c>
      <c r="BZ124">
        <v>0</v>
      </c>
    </row>
    <row r="125" spans="1:78" x14ac:dyDescent="0.2">
      <c r="A125" t="s">
        <v>45</v>
      </c>
      <c r="B125" t="s">
        <v>46</v>
      </c>
      <c r="C125" t="s">
        <v>47</v>
      </c>
      <c r="D125" t="s">
        <v>153</v>
      </c>
      <c r="F125" t="str">
        <f>"1374"</f>
        <v>1374</v>
      </c>
      <c r="G125" t="s">
        <v>49</v>
      </c>
      <c r="H125" t="s">
        <v>143</v>
      </c>
      <c r="K125" t="s">
        <v>51</v>
      </c>
      <c r="L125" t="s">
        <v>52</v>
      </c>
      <c r="M125">
        <v>136778.63</v>
      </c>
      <c r="N125">
        <v>474489.98</v>
      </c>
      <c r="O125" t="s">
        <v>53</v>
      </c>
      <c r="P125" t="s">
        <v>54</v>
      </c>
      <c r="Q125" t="s">
        <v>55</v>
      </c>
      <c r="T125" t="s">
        <v>160</v>
      </c>
      <c r="U125">
        <v>40</v>
      </c>
      <c r="V125" s="1">
        <v>29952</v>
      </c>
      <c r="W125" s="1">
        <v>29952</v>
      </c>
      <c r="X125" s="1">
        <v>29952</v>
      </c>
      <c r="Y125" s="1">
        <v>44562</v>
      </c>
      <c r="Z125" t="s">
        <v>51</v>
      </c>
      <c r="AB125" t="s">
        <v>54</v>
      </c>
      <c r="AC125">
        <v>1</v>
      </c>
      <c r="AE125" t="s">
        <v>70</v>
      </c>
      <c r="AF125">
        <v>20</v>
      </c>
      <c r="AG125" s="1">
        <v>38353</v>
      </c>
      <c r="AH125" s="1">
        <v>38353</v>
      </c>
      <c r="AI125" s="1">
        <v>38353</v>
      </c>
      <c r="AJ125" s="1">
        <v>45658</v>
      </c>
      <c r="AK125" t="s">
        <v>51</v>
      </c>
      <c r="AN125">
        <v>0</v>
      </c>
      <c r="AO125" t="s">
        <v>54</v>
      </c>
      <c r="AP125" t="s">
        <v>53</v>
      </c>
      <c r="AQ125">
        <v>0</v>
      </c>
      <c r="AR125" t="s">
        <v>53</v>
      </c>
      <c r="AS125">
        <v>0</v>
      </c>
      <c r="AT125">
        <v>0</v>
      </c>
      <c r="AW125" t="s">
        <v>161</v>
      </c>
      <c r="AX125">
        <v>50</v>
      </c>
      <c r="AY125" s="1">
        <v>38353</v>
      </c>
      <c r="AZ125" s="1">
        <v>38353</v>
      </c>
      <c r="BA125" s="1">
        <v>38353</v>
      </c>
      <c r="BB125" s="1">
        <v>56615</v>
      </c>
      <c r="BC125" t="s">
        <v>51</v>
      </c>
      <c r="BE125" t="s">
        <v>54</v>
      </c>
      <c r="BF125">
        <v>0</v>
      </c>
      <c r="BG125">
        <v>0</v>
      </c>
      <c r="BH125" t="s">
        <v>53</v>
      </c>
      <c r="BK125" t="s">
        <v>71</v>
      </c>
      <c r="BL125">
        <v>12000</v>
      </c>
      <c r="BM125" s="1">
        <v>44334</v>
      </c>
      <c r="BN125" s="1">
        <v>44334</v>
      </c>
      <c r="BO125" s="1">
        <v>44334</v>
      </c>
      <c r="BP125" s="1">
        <v>45339</v>
      </c>
      <c r="BQ125" t="s">
        <v>51</v>
      </c>
      <c r="BS125" t="s">
        <v>60</v>
      </c>
      <c r="BT125" t="s">
        <v>54</v>
      </c>
      <c r="BU125" t="s">
        <v>72</v>
      </c>
      <c r="BV125" t="s">
        <v>73</v>
      </c>
      <c r="BX125">
        <v>55</v>
      </c>
      <c r="BY125">
        <v>0</v>
      </c>
      <c r="BZ125">
        <v>0</v>
      </c>
    </row>
    <row r="126" spans="1:78" x14ac:dyDescent="0.2">
      <c r="A126" t="s">
        <v>112</v>
      </c>
      <c r="B126" t="s">
        <v>113</v>
      </c>
      <c r="C126" t="s">
        <v>114</v>
      </c>
      <c r="D126" t="s">
        <v>153</v>
      </c>
      <c r="F126" t="str">
        <f>"1375"</f>
        <v>1375</v>
      </c>
      <c r="G126" t="s">
        <v>49</v>
      </c>
      <c r="H126" t="s">
        <v>162</v>
      </c>
      <c r="K126" t="s">
        <v>51</v>
      </c>
      <c r="L126" t="s">
        <v>52</v>
      </c>
      <c r="M126">
        <v>136810.47</v>
      </c>
      <c r="N126">
        <v>474473.63</v>
      </c>
      <c r="O126" t="s">
        <v>53</v>
      </c>
      <c r="P126" t="s">
        <v>54</v>
      </c>
      <c r="Q126" t="s">
        <v>55</v>
      </c>
      <c r="T126" t="s">
        <v>160</v>
      </c>
      <c r="U126">
        <v>40</v>
      </c>
      <c r="V126" s="1">
        <v>29952</v>
      </c>
      <c r="W126" s="1">
        <v>29952</v>
      </c>
      <c r="X126" s="1">
        <v>29952</v>
      </c>
      <c r="Y126" s="1">
        <v>44562</v>
      </c>
      <c r="Z126" t="s">
        <v>51</v>
      </c>
      <c r="AB126" t="s">
        <v>54</v>
      </c>
      <c r="AC126">
        <v>1</v>
      </c>
      <c r="AE126" t="s">
        <v>70</v>
      </c>
      <c r="AF126">
        <v>20</v>
      </c>
      <c r="AG126" s="1">
        <v>38353</v>
      </c>
      <c r="AH126" s="1">
        <v>38353</v>
      </c>
      <c r="AI126" s="1">
        <v>38353</v>
      </c>
      <c r="AJ126" s="1">
        <v>45658</v>
      </c>
      <c r="AK126" t="s">
        <v>51</v>
      </c>
      <c r="AN126">
        <v>0</v>
      </c>
      <c r="AO126" t="s">
        <v>54</v>
      </c>
      <c r="AP126" t="s">
        <v>53</v>
      </c>
      <c r="AQ126">
        <v>0</v>
      </c>
      <c r="AR126" t="s">
        <v>53</v>
      </c>
      <c r="AS126">
        <v>0</v>
      </c>
      <c r="AT126">
        <v>0</v>
      </c>
      <c r="AW126" t="s">
        <v>161</v>
      </c>
      <c r="AX126">
        <v>50</v>
      </c>
      <c r="AY126" s="1">
        <v>38353</v>
      </c>
      <c r="AZ126" s="1">
        <v>38353</v>
      </c>
      <c r="BA126" s="1">
        <v>38353</v>
      </c>
      <c r="BB126" s="1">
        <v>56615</v>
      </c>
      <c r="BC126" t="s">
        <v>51</v>
      </c>
      <c r="BE126" t="s">
        <v>54</v>
      </c>
      <c r="BF126">
        <v>0</v>
      </c>
      <c r="BG126">
        <v>0</v>
      </c>
      <c r="BH126" t="s">
        <v>53</v>
      </c>
      <c r="BK126" t="s">
        <v>71</v>
      </c>
      <c r="BL126">
        <v>12000</v>
      </c>
      <c r="BM126" s="1">
        <v>44334</v>
      </c>
      <c r="BN126" s="1">
        <v>44334</v>
      </c>
      <c r="BO126" s="1">
        <v>44334</v>
      </c>
      <c r="BP126" s="1">
        <v>45339</v>
      </c>
      <c r="BQ126" t="s">
        <v>51</v>
      </c>
      <c r="BS126" t="s">
        <v>60</v>
      </c>
      <c r="BT126" t="s">
        <v>54</v>
      </c>
      <c r="BU126" t="s">
        <v>72</v>
      </c>
      <c r="BV126" t="s">
        <v>73</v>
      </c>
      <c r="BX126">
        <v>55</v>
      </c>
      <c r="BY126">
        <v>0</v>
      </c>
      <c r="BZ126">
        <v>0</v>
      </c>
    </row>
    <row r="127" spans="1:78" x14ac:dyDescent="0.2">
      <c r="A127" t="s">
        <v>112</v>
      </c>
      <c r="B127" t="s">
        <v>113</v>
      </c>
      <c r="C127" t="s">
        <v>114</v>
      </c>
      <c r="D127" t="s">
        <v>153</v>
      </c>
      <c r="F127" t="str">
        <f>"1376"</f>
        <v>1376</v>
      </c>
      <c r="G127" t="s">
        <v>49</v>
      </c>
      <c r="H127">
        <v>16</v>
      </c>
      <c r="K127" t="s">
        <v>51</v>
      </c>
      <c r="L127" t="s">
        <v>52</v>
      </c>
      <c r="M127">
        <v>136807.26999999999</v>
      </c>
      <c r="N127">
        <v>474440.72</v>
      </c>
      <c r="O127" t="s">
        <v>53</v>
      </c>
      <c r="P127" t="s">
        <v>54</v>
      </c>
      <c r="Q127" t="s">
        <v>55</v>
      </c>
      <c r="T127" t="s">
        <v>160</v>
      </c>
      <c r="U127">
        <v>40</v>
      </c>
      <c r="V127" s="1">
        <v>29952</v>
      </c>
      <c r="W127" s="1">
        <v>29952</v>
      </c>
      <c r="X127" s="1">
        <v>29952</v>
      </c>
      <c r="Y127" s="1">
        <v>44562</v>
      </c>
      <c r="Z127" t="s">
        <v>51</v>
      </c>
      <c r="AB127" t="s">
        <v>54</v>
      </c>
      <c r="AC127">
        <v>1</v>
      </c>
      <c r="AE127" t="s">
        <v>91</v>
      </c>
      <c r="AF127">
        <v>20</v>
      </c>
      <c r="AG127" s="1">
        <v>38475</v>
      </c>
      <c r="AH127" s="1">
        <v>38475</v>
      </c>
      <c r="AI127" s="1">
        <v>38475</v>
      </c>
      <c r="AJ127" s="1">
        <v>45780</v>
      </c>
      <c r="AK127" t="s">
        <v>51</v>
      </c>
      <c r="AN127">
        <v>0</v>
      </c>
      <c r="AO127" t="s">
        <v>54</v>
      </c>
      <c r="AP127" t="s">
        <v>53</v>
      </c>
      <c r="AQ127">
        <v>0</v>
      </c>
      <c r="AR127" t="s">
        <v>53</v>
      </c>
      <c r="AS127">
        <v>0</v>
      </c>
      <c r="AT127">
        <v>0</v>
      </c>
      <c r="AW127" t="s">
        <v>58</v>
      </c>
      <c r="AX127">
        <v>20</v>
      </c>
      <c r="AY127" s="1">
        <v>43570</v>
      </c>
      <c r="AZ127" s="1">
        <v>43570</v>
      </c>
      <c r="BA127" s="1">
        <v>43570</v>
      </c>
      <c r="BB127" s="1">
        <v>50875</v>
      </c>
      <c r="BC127" t="s">
        <v>51</v>
      </c>
      <c r="BE127" t="s">
        <v>54</v>
      </c>
      <c r="BF127">
        <v>2</v>
      </c>
      <c r="BG127">
        <v>0</v>
      </c>
      <c r="BH127" t="s">
        <v>53</v>
      </c>
      <c r="BK127" t="s">
        <v>92</v>
      </c>
      <c r="BL127">
        <v>14000</v>
      </c>
      <c r="BM127" s="1">
        <v>44327</v>
      </c>
      <c r="BN127" s="1">
        <v>44327</v>
      </c>
      <c r="BO127" s="1">
        <v>44327</v>
      </c>
      <c r="BP127" s="1">
        <v>45547</v>
      </c>
      <c r="BQ127" t="s">
        <v>51</v>
      </c>
      <c r="BS127" t="s">
        <v>60</v>
      </c>
      <c r="BT127" t="s">
        <v>54</v>
      </c>
      <c r="BU127" t="s">
        <v>61</v>
      </c>
      <c r="BV127" t="s">
        <v>62</v>
      </c>
      <c r="BX127">
        <v>55</v>
      </c>
      <c r="BY127">
        <v>0</v>
      </c>
      <c r="BZ127">
        <v>0</v>
      </c>
    </row>
    <row r="128" spans="1:78" x14ac:dyDescent="0.2">
      <c r="A128" t="s">
        <v>112</v>
      </c>
      <c r="B128" t="s">
        <v>113</v>
      </c>
      <c r="C128" t="s">
        <v>114</v>
      </c>
      <c r="D128" t="s">
        <v>153</v>
      </c>
      <c r="F128" t="str">
        <f>"1377"</f>
        <v>1377</v>
      </c>
      <c r="G128" t="s">
        <v>49</v>
      </c>
      <c r="H128" t="s">
        <v>163</v>
      </c>
      <c r="I128" t="s">
        <v>164</v>
      </c>
      <c r="K128" t="s">
        <v>51</v>
      </c>
      <c r="L128" t="s">
        <v>52</v>
      </c>
      <c r="M128">
        <v>136790.39999999999</v>
      </c>
      <c r="N128">
        <v>474434.21</v>
      </c>
      <c r="O128" t="s">
        <v>53</v>
      </c>
      <c r="P128" t="s">
        <v>54</v>
      </c>
      <c r="Q128" t="s">
        <v>55</v>
      </c>
      <c r="T128" t="s">
        <v>160</v>
      </c>
      <c r="U128">
        <v>40</v>
      </c>
      <c r="V128" s="1">
        <v>29952</v>
      </c>
      <c r="W128" s="1">
        <v>29952</v>
      </c>
      <c r="X128" s="1">
        <v>29952</v>
      </c>
      <c r="Y128" s="1">
        <v>44562</v>
      </c>
      <c r="Z128" t="s">
        <v>51</v>
      </c>
      <c r="AB128" t="s">
        <v>54</v>
      </c>
      <c r="AC128">
        <v>1</v>
      </c>
      <c r="AE128" t="s">
        <v>70</v>
      </c>
      <c r="AF128">
        <v>20</v>
      </c>
      <c r="AG128" s="1">
        <v>38353</v>
      </c>
      <c r="AH128" s="1">
        <v>38353</v>
      </c>
      <c r="AI128" s="1">
        <v>38353</v>
      </c>
      <c r="AJ128" s="1">
        <v>45658</v>
      </c>
      <c r="AK128" t="s">
        <v>51</v>
      </c>
      <c r="AN128">
        <v>0</v>
      </c>
      <c r="AO128" t="s">
        <v>54</v>
      </c>
      <c r="AP128" t="s">
        <v>53</v>
      </c>
      <c r="AQ128">
        <v>0</v>
      </c>
      <c r="AR128" t="s">
        <v>53</v>
      </c>
      <c r="AS128">
        <v>0</v>
      </c>
      <c r="AT128">
        <v>0</v>
      </c>
      <c r="AW128" t="s">
        <v>161</v>
      </c>
      <c r="AX128">
        <v>50</v>
      </c>
      <c r="AY128" s="1">
        <v>38353</v>
      </c>
      <c r="AZ128" s="1">
        <v>38353</v>
      </c>
      <c r="BA128" s="1">
        <v>38353</v>
      </c>
      <c r="BB128" s="1">
        <v>56615</v>
      </c>
      <c r="BC128" t="s">
        <v>51</v>
      </c>
      <c r="BE128" t="s">
        <v>54</v>
      </c>
      <c r="BF128">
        <v>0</v>
      </c>
      <c r="BG128">
        <v>0</v>
      </c>
      <c r="BH128" t="s">
        <v>53</v>
      </c>
      <c r="BK128" t="s">
        <v>71</v>
      </c>
      <c r="BL128">
        <v>12000</v>
      </c>
      <c r="BM128" s="1">
        <v>44334</v>
      </c>
      <c r="BN128" s="1">
        <v>44334</v>
      </c>
      <c r="BO128" s="1">
        <v>44334</v>
      </c>
      <c r="BP128" s="1">
        <v>45339</v>
      </c>
      <c r="BQ128" t="s">
        <v>51</v>
      </c>
      <c r="BS128" t="s">
        <v>60</v>
      </c>
      <c r="BT128" t="s">
        <v>54</v>
      </c>
      <c r="BU128" t="s">
        <v>72</v>
      </c>
      <c r="BV128" t="s">
        <v>73</v>
      </c>
      <c r="BX128">
        <v>55</v>
      </c>
      <c r="BY128">
        <v>0</v>
      </c>
      <c r="BZ128">
        <v>0</v>
      </c>
    </row>
    <row r="129" spans="1:99" x14ac:dyDescent="0.2">
      <c r="A129" t="s">
        <v>112</v>
      </c>
      <c r="B129" t="s">
        <v>113</v>
      </c>
      <c r="C129" t="s">
        <v>114</v>
      </c>
      <c r="D129" t="s">
        <v>153</v>
      </c>
      <c r="F129" t="str">
        <f>"1378"</f>
        <v>1378</v>
      </c>
      <c r="G129" t="s">
        <v>49</v>
      </c>
      <c r="H129" t="s">
        <v>165</v>
      </c>
      <c r="K129" t="s">
        <v>51</v>
      </c>
      <c r="L129" t="s">
        <v>52</v>
      </c>
      <c r="M129">
        <v>136796.66</v>
      </c>
      <c r="N129">
        <v>474458.5</v>
      </c>
      <c r="O129" t="s">
        <v>53</v>
      </c>
      <c r="P129" t="s">
        <v>54</v>
      </c>
      <c r="Q129" t="s">
        <v>55</v>
      </c>
      <c r="T129" t="s">
        <v>160</v>
      </c>
      <c r="U129">
        <v>40</v>
      </c>
      <c r="V129" s="1">
        <v>29952</v>
      </c>
      <c r="W129" s="1">
        <v>29952</v>
      </c>
      <c r="X129" s="1">
        <v>29952</v>
      </c>
      <c r="Y129" s="1">
        <v>44562</v>
      </c>
      <c r="Z129" t="s">
        <v>51</v>
      </c>
      <c r="AB129" t="s">
        <v>54</v>
      </c>
      <c r="AC129">
        <v>1</v>
      </c>
      <c r="AE129" t="s">
        <v>70</v>
      </c>
      <c r="AF129">
        <v>20</v>
      </c>
      <c r="AG129" s="1">
        <v>38353</v>
      </c>
      <c r="AH129" s="1">
        <v>38353</v>
      </c>
      <c r="AI129" s="1">
        <v>38353</v>
      </c>
      <c r="AJ129" s="1">
        <v>45658</v>
      </c>
      <c r="AK129" t="s">
        <v>51</v>
      </c>
      <c r="AN129">
        <v>0</v>
      </c>
      <c r="AO129" t="s">
        <v>54</v>
      </c>
      <c r="AP129" t="s">
        <v>53</v>
      </c>
      <c r="AQ129">
        <v>0</v>
      </c>
      <c r="AR129" t="s">
        <v>53</v>
      </c>
      <c r="AS129">
        <v>0</v>
      </c>
      <c r="AT129">
        <v>0</v>
      </c>
      <c r="AW129" t="s">
        <v>161</v>
      </c>
      <c r="AX129">
        <v>50</v>
      </c>
      <c r="AY129" s="1">
        <v>38353</v>
      </c>
      <c r="AZ129" s="1">
        <v>38353</v>
      </c>
      <c r="BA129" s="1">
        <v>38353</v>
      </c>
      <c r="BB129" s="1">
        <v>56615</v>
      </c>
      <c r="BC129" t="s">
        <v>51</v>
      </c>
      <c r="BE129" t="s">
        <v>54</v>
      </c>
      <c r="BF129">
        <v>0</v>
      </c>
      <c r="BG129">
        <v>0</v>
      </c>
      <c r="BH129" t="s">
        <v>53</v>
      </c>
      <c r="BK129" t="s">
        <v>71</v>
      </c>
      <c r="BL129">
        <v>12000</v>
      </c>
      <c r="BM129" s="1">
        <v>44334</v>
      </c>
      <c r="BN129" s="1">
        <v>44334</v>
      </c>
      <c r="BO129" s="1">
        <v>44334</v>
      </c>
      <c r="BP129" s="1">
        <v>45339</v>
      </c>
      <c r="BQ129" t="s">
        <v>51</v>
      </c>
      <c r="BS129" t="s">
        <v>60</v>
      </c>
      <c r="BT129" t="s">
        <v>54</v>
      </c>
      <c r="BU129" t="s">
        <v>72</v>
      </c>
      <c r="BV129" t="s">
        <v>73</v>
      </c>
      <c r="BX129">
        <v>55</v>
      </c>
      <c r="BY129">
        <v>0</v>
      </c>
      <c r="BZ129">
        <v>0</v>
      </c>
    </row>
    <row r="130" spans="1:99" x14ac:dyDescent="0.2">
      <c r="A130" t="s">
        <v>45</v>
      </c>
      <c r="B130" t="s">
        <v>46</v>
      </c>
      <c r="C130" t="s">
        <v>47</v>
      </c>
      <c r="D130" t="s">
        <v>153</v>
      </c>
      <c r="F130" t="str">
        <f>"1379"</f>
        <v>1379</v>
      </c>
      <c r="G130" t="s">
        <v>49</v>
      </c>
      <c r="H130" t="s">
        <v>166</v>
      </c>
      <c r="K130" t="s">
        <v>51</v>
      </c>
      <c r="L130" t="s">
        <v>52</v>
      </c>
      <c r="M130">
        <v>136767</v>
      </c>
      <c r="N130">
        <v>474459.38</v>
      </c>
      <c r="O130" t="s">
        <v>53</v>
      </c>
      <c r="P130" t="s">
        <v>54</v>
      </c>
      <c r="Q130" t="s">
        <v>55</v>
      </c>
      <c r="T130" t="s">
        <v>160</v>
      </c>
      <c r="U130">
        <v>40</v>
      </c>
      <c r="V130" s="1">
        <v>29952</v>
      </c>
      <c r="W130" s="1">
        <v>29952</v>
      </c>
      <c r="X130" s="1">
        <v>29952</v>
      </c>
      <c r="Y130" s="1">
        <v>44562</v>
      </c>
      <c r="Z130" t="s">
        <v>51</v>
      </c>
      <c r="AB130" t="s">
        <v>54</v>
      </c>
      <c r="AC130">
        <v>1</v>
      </c>
      <c r="AE130" t="s">
        <v>70</v>
      </c>
      <c r="AF130">
        <v>20</v>
      </c>
      <c r="AG130" s="1">
        <v>38353</v>
      </c>
      <c r="AH130" s="1">
        <v>38353</v>
      </c>
      <c r="AI130" s="1">
        <v>38353</v>
      </c>
      <c r="AJ130" s="1">
        <v>45658</v>
      </c>
      <c r="AK130" t="s">
        <v>51</v>
      </c>
      <c r="AN130">
        <v>0</v>
      </c>
      <c r="AO130" t="s">
        <v>54</v>
      </c>
      <c r="AP130" t="s">
        <v>53</v>
      </c>
      <c r="AQ130">
        <v>0</v>
      </c>
      <c r="AR130" t="s">
        <v>53</v>
      </c>
      <c r="AS130">
        <v>0</v>
      </c>
      <c r="AT130">
        <v>0</v>
      </c>
      <c r="AW130" t="s">
        <v>161</v>
      </c>
      <c r="AX130">
        <v>50</v>
      </c>
      <c r="AY130" s="1">
        <v>38353</v>
      </c>
      <c r="AZ130" s="1">
        <v>38353</v>
      </c>
      <c r="BA130" s="1">
        <v>38353</v>
      </c>
      <c r="BB130" s="1">
        <v>56615</v>
      </c>
      <c r="BC130" t="s">
        <v>51</v>
      </c>
      <c r="BE130" t="s">
        <v>54</v>
      </c>
      <c r="BF130">
        <v>0</v>
      </c>
      <c r="BG130">
        <v>0</v>
      </c>
      <c r="BH130" t="s">
        <v>53</v>
      </c>
      <c r="BK130" t="s">
        <v>71</v>
      </c>
      <c r="BL130">
        <v>12000</v>
      </c>
      <c r="BM130" s="1">
        <v>44334</v>
      </c>
      <c r="BN130" s="1">
        <v>44334</v>
      </c>
      <c r="BO130" s="1">
        <v>44334</v>
      </c>
      <c r="BP130" s="1">
        <v>45339</v>
      </c>
      <c r="BQ130" t="s">
        <v>51</v>
      </c>
      <c r="BS130" t="s">
        <v>60</v>
      </c>
      <c r="BT130" t="s">
        <v>54</v>
      </c>
      <c r="BU130" t="s">
        <v>72</v>
      </c>
      <c r="BV130" t="s">
        <v>73</v>
      </c>
      <c r="BX130">
        <v>55</v>
      </c>
      <c r="BY130">
        <v>0</v>
      </c>
      <c r="BZ130">
        <v>0</v>
      </c>
    </row>
    <row r="131" spans="1:99" x14ac:dyDescent="0.2">
      <c r="A131" t="s">
        <v>45</v>
      </c>
      <c r="B131" t="s">
        <v>46</v>
      </c>
      <c r="C131" t="s">
        <v>47</v>
      </c>
      <c r="D131" t="s">
        <v>153</v>
      </c>
      <c r="F131" t="str">
        <f>"1381"</f>
        <v>1381</v>
      </c>
      <c r="G131" t="s">
        <v>49</v>
      </c>
      <c r="H131" t="s">
        <v>167</v>
      </c>
      <c r="K131" t="s">
        <v>51</v>
      </c>
      <c r="L131" t="s">
        <v>52</v>
      </c>
      <c r="M131">
        <v>136751.29999999999</v>
      </c>
      <c r="N131">
        <v>474462.31</v>
      </c>
      <c r="O131" t="s">
        <v>53</v>
      </c>
      <c r="P131" t="s">
        <v>54</v>
      </c>
      <c r="Q131" t="s">
        <v>55</v>
      </c>
      <c r="T131" t="s">
        <v>83</v>
      </c>
      <c r="U131">
        <v>40</v>
      </c>
      <c r="V131" s="1">
        <v>23743</v>
      </c>
      <c r="W131" s="1">
        <v>23743</v>
      </c>
      <c r="X131" s="1">
        <v>23743</v>
      </c>
      <c r="Y131" s="1">
        <v>38353</v>
      </c>
      <c r="Z131" t="s">
        <v>51</v>
      </c>
      <c r="AB131" t="s">
        <v>54</v>
      </c>
      <c r="AC131">
        <v>1</v>
      </c>
      <c r="AE131" t="s">
        <v>84</v>
      </c>
      <c r="AF131">
        <v>20</v>
      </c>
      <c r="AG131" s="1">
        <v>34700</v>
      </c>
      <c r="AH131" s="1">
        <v>34700</v>
      </c>
      <c r="AI131" s="1">
        <v>34700</v>
      </c>
      <c r="AJ131" s="1">
        <v>42005</v>
      </c>
      <c r="AK131" t="s">
        <v>51</v>
      </c>
      <c r="AN131">
        <v>0</v>
      </c>
      <c r="AO131" t="s">
        <v>54</v>
      </c>
      <c r="AP131" t="s">
        <v>53</v>
      </c>
      <c r="AQ131">
        <v>0</v>
      </c>
      <c r="AR131" t="s">
        <v>53</v>
      </c>
      <c r="AS131">
        <v>0</v>
      </c>
      <c r="AT131">
        <v>0</v>
      </c>
      <c r="AW131" t="s">
        <v>58</v>
      </c>
      <c r="AX131">
        <v>20</v>
      </c>
      <c r="AY131" s="1">
        <v>34700</v>
      </c>
      <c r="AZ131" s="1">
        <v>34700</v>
      </c>
      <c r="BA131" s="1">
        <v>34700</v>
      </c>
      <c r="BB131" s="1">
        <v>42005</v>
      </c>
      <c r="BC131" t="s">
        <v>51</v>
      </c>
      <c r="BE131" t="s">
        <v>54</v>
      </c>
      <c r="BF131">
        <v>2</v>
      </c>
      <c r="BG131">
        <v>0</v>
      </c>
      <c r="BH131" t="s">
        <v>53</v>
      </c>
      <c r="BK131" t="s">
        <v>59</v>
      </c>
      <c r="BL131">
        <v>14000</v>
      </c>
      <c r="BM131" s="1">
        <v>44327</v>
      </c>
      <c r="BN131" s="1">
        <v>44327</v>
      </c>
      <c r="BO131" s="1">
        <v>44327</v>
      </c>
      <c r="BP131" s="1">
        <v>45547</v>
      </c>
      <c r="BQ131" t="s">
        <v>51</v>
      </c>
      <c r="BS131" t="s">
        <v>60</v>
      </c>
      <c r="BT131" t="s">
        <v>54</v>
      </c>
      <c r="BU131" t="s">
        <v>61</v>
      </c>
      <c r="BV131" t="s">
        <v>62</v>
      </c>
      <c r="BX131">
        <v>24</v>
      </c>
      <c r="BY131">
        <v>0</v>
      </c>
      <c r="BZ131">
        <v>0</v>
      </c>
    </row>
    <row r="132" spans="1:99" x14ac:dyDescent="0.2">
      <c r="A132" t="s">
        <v>45</v>
      </c>
      <c r="B132" t="s">
        <v>46</v>
      </c>
      <c r="C132" t="s">
        <v>47</v>
      </c>
      <c r="D132" t="s">
        <v>153</v>
      </c>
      <c r="F132" t="str">
        <f>"1382"</f>
        <v>1382</v>
      </c>
      <c r="G132" t="s">
        <v>49</v>
      </c>
      <c r="H132">
        <v>63</v>
      </c>
      <c r="K132" t="s">
        <v>51</v>
      </c>
      <c r="L132" t="s">
        <v>52</v>
      </c>
      <c r="M132">
        <v>136751.81</v>
      </c>
      <c r="N132">
        <v>474446.34</v>
      </c>
      <c r="O132" t="s">
        <v>53</v>
      </c>
      <c r="P132" t="s">
        <v>54</v>
      </c>
      <c r="Q132" t="s">
        <v>55</v>
      </c>
      <c r="T132" t="s">
        <v>56</v>
      </c>
      <c r="U132">
        <v>40</v>
      </c>
      <c r="V132" s="1">
        <v>29952</v>
      </c>
      <c r="W132" s="1">
        <v>29952</v>
      </c>
      <c r="X132" s="1">
        <v>29952</v>
      </c>
      <c r="Y132" s="1">
        <v>44562</v>
      </c>
      <c r="Z132" t="s">
        <v>51</v>
      </c>
      <c r="AB132" t="s">
        <v>54</v>
      </c>
      <c r="AC132">
        <v>1</v>
      </c>
      <c r="AE132" t="s">
        <v>84</v>
      </c>
      <c r="AF132">
        <v>20</v>
      </c>
      <c r="AG132" s="1">
        <v>34700</v>
      </c>
      <c r="AH132" s="1">
        <v>34700</v>
      </c>
      <c r="AI132" s="1">
        <v>34700</v>
      </c>
      <c r="AJ132" s="1">
        <v>42005</v>
      </c>
      <c r="AK132" t="s">
        <v>51</v>
      </c>
      <c r="AN132">
        <v>0</v>
      </c>
      <c r="AO132" t="s">
        <v>54</v>
      </c>
      <c r="AP132" t="s">
        <v>53</v>
      </c>
      <c r="AQ132">
        <v>0</v>
      </c>
      <c r="AR132" t="s">
        <v>53</v>
      </c>
      <c r="AS132">
        <v>0</v>
      </c>
      <c r="AT132">
        <v>0</v>
      </c>
      <c r="AW132" t="s">
        <v>58</v>
      </c>
      <c r="AX132">
        <v>20</v>
      </c>
      <c r="AY132" s="1">
        <v>43563</v>
      </c>
      <c r="AZ132" s="1">
        <v>43563</v>
      </c>
      <c r="BA132" s="1">
        <v>43563</v>
      </c>
      <c r="BB132" s="1">
        <v>50868</v>
      </c>
      <c r="BC132" t="s">
        <v>51</v>
      </c>
      <c r="BE132" t="s">
        <v>54</v>
      </c>
      <c r="BF132">
        <v>2</v>
      </c>
      <c r="BG132">
        <v>0</v>
      </c>
      <c r="BH132" t="s">
        <v>53</v>
      </c>
      <c r="BK132" t="s">
        <v>59</v>
      </c>
      <c r="BL132">
        <v>14000</v>
      </c>
      <c r="BM132" s="1">
        <v>44327</v>
      </c>
      <c r="BN132" s="1">
        <v>44327</v>
      </c>
      <c r="BO132" s="1">
        <v>44327</v>
      </c>
      <c r="BP132" s="1">
        <v>45547</v>
      </c>
      <c r="BQ132" t="s">
        <v>51</v>
      </c>
      <c r="BS132" t="s">
        <v>60</v>
      </c>
      <c r="BT132" t="s">
        <v>54</v>
      </c>
      <c r="BU132" t="s">
        <v>61</v>
      </c>
      <c r="BV132" t="s">
        <v>62</v>
      </c>
      <c r="BX132">
        <v>24</v>
      </c>
      <c r="BY132">
        <v>0</v>
      </c>
      <c r="BZ132">
        <v>0</v>
      </c>
    </row>
    <row r="133" spans="1:99" x14ac:dyDescent="0.2">
      <c r="A133" t="s">
        <v>45</v>
      </c>
      <c r="B133" t="s">
        <v>46</v>
      </c>
      <c r="C133" t="s">
        <v>47</v>
      </c>
      <c r="D133" t="s">
        <v>153</v>
      </c>
      <c r="F133" t="str">
        <f>"1383"</f>
        <v>1383</v>
      </c>
      <c r="G133" t="s">
        <v>49</v>
      </c>
      <c r="H133" t="s">
        <v>165</v>
      </c>
      <c r="K133" t="s">
        <v>51</v>
      </c>
      <c r="L133" t="s">
        <v>52</v>
      </c>
      <c r="M133">
        <v>136752.31</v>
      </c>
      <c r="N133">
        <v>474427.52</v>
      </c>
      <c r="O133" t="s">
        <v>53</v>
      </c>
      <c r="P133" t="s">
        <v>54</v>
      </c>
      <c r="Q133" t="s">
        <v>55</v>
      </c>
      <c r="T133" t="s">
        <v>160</v>
      </c>
      <c r="U133">
        <v>40</v>
      </c>
      <c r="V133" s="1">
        <v>29952</v>
      </c>
      <c r="W133" s="1">
        <v>29952</v>
      </c>
      <c r="X133" s="1">
        <v>29952</v>
      </c>
      <c r="Y133" s="1">
        <v>44562</v>
      </c>
      <c r="Z133" t="s">
        <v>51</v>
      </c>
      <c r="AB133" t="s">
        <v>54</v>
      </c>
      <c r="AC133">
        <v>1</v>
      </c>
      <c r="AE133" t="s">
        <v>91</v>
      </c>
      <c r="AF133">
        <v>20</v>
      </c>
      <c r="AG133" s="1">
        <v>38462</v>
      </c>
      <c r="AH133" s="1">
        <v>38462</v>
      </c>
      <c r="AI133" s="1">
        <v>38462</v>
      </c>
      <c r="AJ133" s="1">
        <v>45767</v>
      </c>
      <c r="AK133" t="s">
        <v>51</v>
      </c>
      <c r="AN133">
        <v>0</v>
      </c>
      <c r="AO133" t="s">
        <v>54</v>
      </c>
      <c r="AP133" t="s">
        <v>53</v>
      </c>
      <c r="AQ133">
        <v>0</v>
      </c>
      <c r="AR133" t="s">
        <v>53</v>
      </c>
      <c r="AS133">
        <v>0</v>
      </c>
      <c r="AT133">
        <v>0</v>
      </c>
      <c r="AW133" t="s">
        <v>58</v>
      </c>
      <c r="AX133">
        <v>20</v>
      </c>
      <c r="AY133" s="1">
        <v>38462</v>
      </c>
      <c r="AZ133" s="1">
        <v>38462</v>
      </c>
      <c r="BA133" s="1">
        <v>38462</v>
      </c>
      <c r="BB133" s="1">
        <v>45767</v>
      </c>
      <c r="BC133" t="s">
        <v>51</v>
      </c>
      <c r="BE133" t="s">
        <v>54</v>
      </c>
      <c r="BF133">
        <v>2</v>
      </c>
      <c r="BG133">
        <v>0</v>
      </c>
      <c r="BH133" t="s">
        <v>53</v>
      </c>
      <c r="BK133" t="s">
        <v>92</v>
      </c>
      <c r="BL133">
        <v>14000</v>
      </c>
      <c r="BM133" s="1">
        <v>44327</v>
      </c>
      <c r="BN133" s="1">
        <v>44327</v>
      </c>
      <c r="BO133" s="1">
        <v>44327</v>
      </c>
      <c r="BP133" s="1">
        <v>45547</v>
      </c>
      <c r="BQ133" t="s">
        <v>51</v>
      </c>
      <c r="BS133" t="s">
        <v>60</v>
      </c>
      <c r="BT133" t="s">
        <v>54</v>
      </c>
      <c r="BU133" t="s">
        <v>61</v>
      </c>
      <c r="BV133" t="s">
        <v>62</v>
      </c>
      <c r="BX133">
        <v>55</v>
      </c>
      <c r="BY133">
        <v>0</v>
      </c>
      <c r="BZ133">
        <v>0</v>
      </c>
    </row>
    <row r="134" spans="1:99" x14ac:dyDescent="0.2">
      <c r="A134" t="s">
        <v>45</v>
      </c>
      <c r="B134" t="s">
        <v>46</v>
      </c>
      <c r="C134" t="s">
        <v>47</v>
      </c>
      <c r="D134" t="s">
        <v>153</v>
      </c>
      <c r="F134" t="str">
        <f>"1384"</f>
        <v>1384</v>
      </c>
      <c r="G134" t="s">
        <v>49</v>
      </c>
      <c r="H134" t="s">
        <v>168</v>
      </c>
      <c r="K134" t="s">
        <v>51</v>
      </c>
      <c r="L134" t="s">
        <v>52</v>
      </c>
      <c r="M134">
        <v>136745.89000000001</v>
      </c>
      <c r="N134">
        <v>474406.63</v>
      </c>
      <c r="O134" t="s">
        <v>53</v>
      </c>
      <c r="P134" t="s">
        <v>54</v>
      </c>
      <c r="Q134" t="s">
        <v>55</v>
      </c>
      <c r="T134" t="s">
        <v>111</v>
      </c>
      <c r="U134">
        <v>40</v>
      </c>
      <c r="V134" s="1">
        <v>36892</v>
      </c>
      <c r="W134" s="1">
        <v>36892</v>
      </c>
      <c r="X134" s="1">
        <v>36892</v>
      </c>
      <c r="Y134" s="1">
        <v>51502</v>
      </c>
      <c r="Z134" t="s">
        <v>51</v>
      </c>
      <c r="AB134" t="s">
        <v>54</v>
      </c>
      <c r="AC134">
        <v>1</v>
      </c>
      <c r="AE134" t="s">
        <v>84</v>
      </c>
      <c r="AF134">
        <v>20</v>
      </c>
      <c r="AG134" s="1">
        <v>36892</v>
      </c>
      <c r="AH134" s="1">
        <v>36892</v>
      </c>
      <c r="AI134" s="1">
        <v>36892</v>
      </c>
      <c r="AJ134" s="1">
        <v>44197</v>
      </c>
      <c r="AK134" t="s">
        <v>51</v>
      </c>
      <c r="AN134">
        <v>0</v>
      </c>
      <c r="AO134" t="s">
        <v>54</v>
      </c>
      <c r="AP134" t="s">
        <v>53</v>
      </c>
      <c r="AQ134">
        <v>0</v>
      </c>
      <c r="AR134" t="s">
        <v>53</v>
      </c>
      <c r="AS134">
        <v>0</v>
      </c>
      <c r="AT134">
        <v>0</v>
      </c>
      <c r="AW134" t="s">
        <v>58</v>
      </c>
      <c r="AX134">
        <v>20</v>
      </c>
      <c r="AY134" s="1">
        <v>36892</v>
      </c>
      <c r="AZ134" s="1">
        <v>36892</v>
      </c>
      <c r="BA134" s="1">
        <v>36892</v>
      </c>
      <c r="BB134" s="1">
        <v>44197</v>
      </c>
      <c r="BC134" t="s">
        <v>51</v>
      </c>
      <c r="BE134" t="s">
        <v>54</v>
      </c>
      <c r="BF134">
        <v>2</v>
      </c>
      <c r="BG134">
        <v>0</v>
      </c>
      <c r="BH134" t="s">
        <v>53</v>
      </c>
      <c r="BK134" t="s">
        <v>59</v>
      </c>
      <c r="BL134">
        <v>14000</v>
      </c>
      <c r="BM134" s="1">
        <v>44337</v>
      </c>
      <c r="BN134" s="1">
        <v>44337</v>
      </c>
      <c r="BO134" s="1">
        <v>44337</v>
      </c>
      <c r="BP134" s="1">
        <v>45553</v>
      </c>
      <c r="BQ134" t="s">
        <v>51</v>
      </c>
      <c r="BS134" t="s">
        <v>60</v>
      </c>
      <c r="BT134" t="s">
        <v>54</v>
      </c>
      <c r="BU134" t="s">
        <v>61</v>
      </c>
      <c r="BV134" t="s">
        <v>62</v>
      </c>
      <c r="BX134">
        <v>24</v>
      </c>
      <c r="BY134">
        <v>0</v>
      </c>
      <c r="BZ134">
        <v>0</v>
      </c>
    </row>
    <row r="135" spans="1:99" x14ac:dyDescent="0.2">
      <c r="A135" t="s">
        <v>45</v>
      </c>
      <c r="B135" t="s">
        <v>46</v>
      </c>
      <c r="C135" t="s">
        <v>47</v>
      </c>
      <c r="D135" t="s">
        <v>153</v>
      </c>
      <c r="F135" t="str">
        <f>"253974"</f>
        <v>253974</v>
      </c>
      <c r="G135" t="s">
        <v>49</v>
      </c>
      <c r="H135" t="s">
        <v>169</v>
      </c>
      <c r="K135" t="s">
        <v>51</v>
      </c>
      <c r="L135" t="s">
        <v>52</v>
      </c>
      <c r="M135">
        <v>136761.37</v>
      </c>
      <c r="N135">
        <v>474379.71</v>
      </c>
      <c r="O135" t="s">
        <v>53</v>
      </c>
      <c r="P135" t="s">
        <v>54</v>
      </c>
      <c r="Q135" t="s">
        <v>55</v>
      </c>
      <c r="T135" t="s">
        <v>170</v>
      </c>
      <c r="U135">
        <v>40</v>
      </c>
      <c r="V135" s="1">
        <v>42186</v>
      </c>
      <c r="W135" s="1">
        <v>42186</v>
      </c>
      <c r="X135" s="1">
        <v>42186</v>
      </c>
      <c r="Y135" s="1">
        <v>56796</v>
      </c>
      <c r="Z135" t="s">
        <v>51</v>
      </c>
      <c r="AB135" t="s">
        <v>54</v>
      </c>
      <c r="AC135">
        <v>1</v>
      </c>
      <c r="AE135" t="s">
        <v>171</v>
      </c>
      <c r="AF135">
        <v>20</v>
      </c>
      <c r="AG135" s="1">
        <v>42186</v>
      </c>
      <c r="AH135" s="1">
        <v>42186</v>
      </c>
      <c r="AI135" s="1">
        <v>42186</v>
      </c>
      <c r="AJ135" s="1">
        <v>49491</v>
      </c>
      <c r="AK135" t="s">
        <v>51</v>
      </c>
      <c r="AN135">
        <v>0</v>
      </c>
      <c r="AO135" t="s">
        <v>54</v>
      </c>
      <c r="AP135" t="s">
        <v>53</v>
      </c>
      <c r="AQ135">
        <v>0</v>
      </c>
      <c r="AR135" t="s">
        <v>53</v>
      </c>
      <c r="AS135">
        <v>0</v>
      </c>
      <c r="AT135">
        <v>0</v>
      </c>
      <c r="AW135" t="s">
        <v>172</v>
      </c>
      <c r="AX135">
        <v>15</v>
      </c>
      <c r="AY135" s="1">
        <v>44341</v>
      </c>
      <c r="AZ135" s="1">
        <v>44341</v>
      </c>
      <c r="BA135" s="1">
        <v>44341</v>
      </c>
      <c r="BB135" s="1">
        <v>49820</v>
      </c>
      <c r="BC135" t="s">
        <v>51</v>
      </c>
      <c r="BE135" t="s">
        <v>54</v>
      </c>
      <c r="BF135">
        <v>40</v>
      </c>
      <c r="BG135">
        <v>0</v>
      </c>
      <c r="BH135" t="s">
        <v>145</v>
      </c>
      <c r="CC135" t="s">
        <v>173</v>
      </c>
      <c r="CD135">
        <v>100000</v>
      </c>
      <c r="CE135" s="1">
        <v>44341</v>
      </c>
      <c r="CF135" s="1">
        <v>44341</v>
      </c>
      <c r="CG135" s="1">
        <v>44341</v>
      </c>
      <c r="CH135" s="1">
        <v>52822</v>
      </c>
      <c r="CI135" t="s">
        <v>51</v>
      </c>
      <c r="CK135" t="s">
        <v>78</v>
      </c>
      <c r="CM135" t="s">
        <v>54</v>
      </c>
      <c r="CN135" t="s">
        <v>174</v>
      </c>
      <c r="CO135" t="s">
        <v>86</v>
      </c>
      <c r="CP135">
        <v>830</v>
      </c>
      <c r="CR135">
        <v>19</v>
      </c>
      <c r="CS135">
        <v>1800</v>
      </c>
      <c r="CT135">
        <v>0</v>
      </c>
      <c r="CU135">
        <v>16</v>
      </c>
    </row>
    <row r="136" spans="1:99" x14ac:dyDescent="0.2">
      <c r="A136" t="s">
        <v>45</v>
      </c>
      <c r="B136" t="s">
        <v>46</v>
      </c>
      <c r="C136" t="s">
        <v>47</v>
      </c>
      <c r="D136" t="s">
        <v>153</v>
      </c>
      <c r="F136" t="str">
        <f>"253973"</f>
        <v>253973</v>
      </c>
      <c r="G136" t="s">
        <v>49</v>
      </c>
      <c r="H136" t="s">
        <v>130</v>
      </c>
      <c r="K136" t="s">
        <v>51</v>
      </c>
      <c r="L136" t="s">
        <v>52</v>
      </c>
      <c r="M136">
        <v>136754.65</v>
      </c>
      <c r="N136">
        <v>474359.99</v>
      </c>
      <c r="O136" t="s">
        <v>53</v>
      </c>
      <c r="P136" t="s">
        <v>54</v>
      </c>
      <c r="Q136" t="s">
        <v>55</v>
      </c>
      <c r="T136" t="s">
        <v>170</v>
      </c>
      <c r="U136">
        <v>40</v>
      </c>
      <c r="V136" s="1">
        <v>42186</v>
      </c>
      <c r="W136" s="1">
        <v>42186</v>
      </c>
      <c r="X136" s="1">
        <v>42186</v>
      </c>
      <c r="Y136" s="1">
        <v>56796</v>
      </c>
      <c r="Z136" t="s">
        <v>51</v>
      </c>
      <c r="AB136" t="s">
        <v>54</v>
      </c>
      <c r="AC136">
        <v>1</v>
      </c>
      <c r="AE136" t="s">
        <v>171</v>
      </c>
      <c r="AF136">
        <v>20</v>
      </c>
      <c r="AG136" s="1">
        <v>42186</v>
      </c>
      <c r="AH136" s="1">
        <v>42186</v>
      </c>
      <c r="AI136" s="1">
        <v>42186</v>
      </c>
      <c r="AJ136" s="1">
        <v>49491</v>
      </c>
      <c r="AK136" t="s">
        <v>51</v>
      </c>
      <c r="AN136">
        <v>0</v>
      </c>
      <c r="AO136" t="s">
        <v>54</v>
      </c>
      <c r="AP136" t="s">
        <v>53</v>
      </c>
      <c r="AQ136">
        <v>0</v>
      </c>
      <c r="AR136" t="s">
        <v>53</v>
      </c>
      <c r="AS136">
        <v>0</v>
      </c>
      <c r="AT136">
        <v>0</v>
      </c>
      <c r="AW136" t="s">
        <v>172</v>
      </c>
      <c r="AX136">
        <v>15</v>
      </c>
      <c r="AY136" s="1">
        <v>44341</v>
      </c>
      <c r="AZ136" s="1">
        <v>44341</v>
      </c>
      <c r="BA136" s="1">
        <v>44341</v>
      </c>
      <c r="BB136" s="1">
        <v>49820</v>
      </c>
      <c r="BC136" t="s">
        <v>51</v>
      </c>
      <c r="BE136" t="s">
        <v>54</v>
      </c>
      <c r="BF136">
        <v>40</v>
      </c>
      <c r="BG136">
        <v>0</v>
      </c>
      <c r="BH136" t="s">
        <v>145</v>
      </c>
      <c r="CC136" t="s">
        <v>173</v>
      </c>
      <c r="CD136">
        <v>100000</v>
      </c>
      <c r="CE136" s="1">
        <v>44341</v>
      </c>
      <c r="CF136" s="1">
        <v>44341</v>
      </c>
      <c r="CG136" s="1">
        <v>44341</v>
      </c>
      <c r="CH136" s="1">
        <v>52822</v>
      </c>
      <c r="CI136" t="s">
        <v>51</v>
      </c>
      <c r="CK136" t="s">
        <v>78</v>
      </c>
      <c r="CM136" t="s">
        <v>54</v>
      </c>
      <c r="CN136" t="s">
        <v>174</v>
      </c>
      <c r="CO136" t="s">
        <v>86</v>
      </c>
      <c r="CP136">
        <v>830</v>
      </c>
      <c r="CR136">
        <v>19</v>
      </c>
      <c r="CS136">
        <v>1800</v>
      </c>
      <c r="CT136">
        <v>0</v>
      </c>
      <c r="CU136">
        <v>16</v>
      </c>
    </row>
    <row r="137" spans="1:99" x14ac:dyDescent="0.2">
      <c r="A137" t="s">
        <v>45</v>
      </c>
      <c r="B137" t="s">
        <v>46</v>
      </c>
      <c r="C137" t="s">
        <v>47</v>
      </c>
      <c r="D137" t="s">
        <v>153</v>
      </c>
      <c r="F137" t="str">
        <f>"253975"</f>
        <v>253975</v>
      </c>
      <c r="G137" t="s">
        <v>49</v>
      </c>
      <c r="H137" t="s">
        <v>175</v>
      </c>
      <c r="K137" t="s">
        <v>51</v>
      </c>
      <c r="L137" t="s">
        <v>52</v>
      </c>
      <c r="M137">
        <v>136761.60000000001</v>
      </c>
      <c r="N137">
        <v>474340.29</v>
      </c>
      <c r="O137" t="s">
        <v>53</v>
      </c>
      <c r="P137" t="s">
        <v>54</v>
      </c>
      <c r="Q137" t="s">
        <v>55</v>
      </c>
      <c r="T137" t="s">
        <v>170</v>
      </c>
      <c r="U137">
        <v>40</v>
      </c>
      <c r="V137" s="1">
        <v>42186</v>
      </c>
      <c r="W137" s="1">
        <v>42186</v>
      </c>
      <c r="X137" s="1">
        <v>42186</v>
      </c>
      <c r="Y137" s="1">
        <v>56796</v>
      </c>
      <c r="Z137" t="s">
        <v>51</v>
      </c>
      <c r="AB137" t="s">
        <v>54</v>
      </c>
      <c r="AC137">
        <v>1</v>
      </c>
      <c r="AE137" t="s">
        <v>171</v>
      </c>
      <c r="AF137">
        <v>20</v>
      </c>
      <c r="AG137" s="1">
        <v>42186</v>
      </c>
      <c r="AH137" s="1">
        <v>42186</v>
      </c>
      <c r="AI137" s="1">
        <v>42186</v>
      </c>
      <c r="AJ137" s="1">
        <v>49491</v>
      </c>
      <c r="AK137" t="s">
        <v>51</v>
      </c>
      <c r="AN137">
        <v>0</v>
      </c>
      <c r="AO137" t="s">
        <v>54</v>
      </c>
      <c r="AP137" t="s">
        <v>53</v>
      </c>
      <c r="AQ137">
        <v>0</v>
      </c>
      <c r="AR137" t="s">
        <v>53</v>
      </c>
      <c r="AS137">
        <v>0</v>
      </c>
      <c r="AT137">
        <v>0</v>
      </c>
      <c r="AW137" t="s">
        <v>172</v>
      </c>
      <c r="AX137">
        <v>15</v>
      </c>
      <c r="AY137" s="1">
        <v>44341</v>
      </c>
      <c r="AZ137" s="1">
        <v>44341</v>
      </c>
      <c r="BA137" s="1">
        <v>44341</v>
      </c>
      <c r="BB137" s="1">
        <v>49820</v>
      </c>
      <c r="BC137" t="s">
        <v>51</v>
      </c>
      <c r="BE137" t="s">
        <v>54</v>
      </c>
      <c r="BF137">
        <v>40</v>
      </c>
      <c r="BG137">
        <v>0</v>
      </c>
      <c r="BH137" t="s">
        <v>145</v>
      </c>
      <c r="CC137" t="s">
        <v>173</v>
      </c>
      <c r="CD137">
        <v>100000</v>
      </c>
      <c r="CE137" s="1">
        <v>44341</v>
      </c>
      <c r="CF137" s="1">
        <v>44341</v>
      </c>
      <c r="CG137" s="1">
        <v>44341</v>
      </c>
      <c r="CH137" s="1">
        <v>52822</v>
      </c>
      <c r="CI137" t="s">
        <v>51</v>
      </c>
      <c r="CK137" t="s">
        <v>78</v>
      </c>
      <c r="CM137" t="s">
        <v>54</v>
      </c>
      <c r="CN137" t="s">
        <v>174</v>
      </c>
      <c r="CO137" t="s">
        <v>86</v>
      </c>
      <c r="CP137">
        <v>830</v>
      </c>
      <c r="CR137">
        <v>19</v>
      </c>
      <c r="CS137">
        <v>1800</v>
      </c>
      <c r="CT137">
        <v>0</v>
      </c>
      <c r="CU137">
        <v>16</v>
      </c>
    </row>
    <row r="138" spans="1:99" x14ac:dyDescent="0.2">
      <c r="A138" t="s">
        <v>45</v>
      </c>
      <c r="B138" t="s">
        <v>46</v>
      </c>
      <c r="C138" t="s">
        <v>47</v>
      </c>
      <c r="D138" t="s">
        <v>153</v>
      </c>
      <c r="F138" t="str">
        <f>"253972"</f>
        <v>253972</v>
      </c>
      <c r="G138" t="s">
        <v>49</v>
      </c>
      <c r="H138" t="s">
        <v>175</v>
      </c>
      <c r="K138" t="s">
        <v>51</v>
      </c>
      <c r="L138" t="s">
        <v>52</v>
      </c>
      <c r="M138">
        <v>136756.09</v>
      </c>
      <c r="N138">
        <v>474315.8</v>
      </c>
      <c r="O138" t="s">
        <v>53</v>
      </c>
      <c r="P138" t="s">
        <v>54</v>
      </c>
      <c r="Q138" t="s">
        <v>55</v>
      </c>
      <c r="T138" t="s">
        <v>170</v>
      </c>
      <c r="U138">
        <v>40</v>
      </c>
      <c r="V138" s="1">
        <v>42186</v>
      </c>
      <c r="W138" s="1">
        <v>42186</v>
      </c>
      <c r="X138" s="1">
        <v>42186</v>
      </c>
      <c r="Y138" s="1">
        <v>56796</v>
      </c>
      <c r="Z138" t="s">
        <v>51</v>
      </c>
      <c r="AB138" t="s">
        <v>54</v>
      </c>
      <c r="AC138">
        <v>1</v>
      </c>
      <c r="AE138" t="s">
        <v>171</v>
      </c>
      <c r="AF138">
        <v>20</v>
      </c>
      <c r="AG138" s="1">
        <v>42186</v>
      </c>
      <c r="AH138" s="1">
        <v>42186</v>
      </c>
      <c r="AI138" s="1">
        <v>42186</v>
      </c>
      <c r="AJ138" s="1">
        <v>49491</v>
      </c>
      <c r="AK138" t="s">
        <v>51</v>
      </c>
      <c r="AN138">
        <v>0</v>
      </c>
      <c r="AO138" t="s">
        <v>54</v>
      </c>
      <c r="AP138" t="s">
        <v>53</v>
      </c>
      <c r="AQ138">
        <v>0</v>
      </c>
      <c r="AR138" t="s">
        <v>53</v>
      </c>
      <c r="AS138">
        <v>0</v>
      </c>
      <c r="AT138">
        <v>0</v>
      </c>
      <c r="AW138" t="s">
        <v>172</v>
      </c>
      <c r="AX138">
        <v>15</v>
      </c>
      <c r="AY138" s="1">
        <v>44341</v>
      </c>
      <c r="AZ138" s="1">
        <v>44341</v>
      </c>
      <c r="BA138" s="1">
        <v>44341</v>
      </c>
      <c r="BB138" s="1">
        <v>49820</v>
      </c>
      <c r="BC138" t="s">
        <v>51</v>
      </c>
      <c r="BE138" t="s">
        <v>54</v>
      </c>
      <c r="BF138">
        <v>40</v>
      </c>
      <c r="BG138">
        <v>0</v>
      </c>
      <c r="BH138" t="s">
        <v>145</v>
      </c>
      <c r="CC138" t="s">
        <v>173</v>
      </c>
      <c r="CD138">
        <v>100000</v>
      </c>
      <c r="CE138" s="1">
        <v>44341</v>
      </c>
      <c r="CF138" s="1">
        <v>44341</v>
      </c>
      <c r="CG138" s="1">
        <v>44341</v>
      </c>
      <c r="CH138" s="1">
        <v>52822</v>
      </c>
      <c r="CI138" t="s">
        <v>51</v>
      </c>
      <c r="CK138" t="s">
        <v>78</v>
      </c>
      <c r="CM138" t="s">
        <v>54</v>
      </c>
      <c r="CN138" t="s">
        <v>174</v>
      </c>
      <c r="CO138" t="s">
        <v>86</v>
      </c>
      <c r="CP138">
        <v>830</v>
      </c>
      <c r="CR138">
        <v>19</v>
      </c>
      <c r="CS138">
        <v>1800</v>
      </c>
      <c r="CT138">
        <v>0</v>
      </c>
      <c r="CU138">
        <v>16</v>
      </c>
    </row>
    <row r="139" spans="1:99" x14ac:dyDescent="0.2">
      <c r="A139" t="s">
        <v>45</v>
      </c>
      <c r="B139" t="s">
        <v>46</v>
      </c>
      <c r="C139" t="s">
        <v>47</v>
      </c>
      <c r="D139" t="s">
        <v>153</v>
      </c>
      <c r="F139" t="str">
        <f>"253976"</f>
        <v>253976</v>
      </c>
      <c r="G139" t="s">
        <v>49</v>
      </c>
      <c r="H139" t="s">
        <v>176</v>
      </c>
      <c r="K139" t="s">
        <v>51</v>
      </c>
      <c r="L139" t="s">
        <v>52</v>
      </c>
      <c r="M139">
        <v>136764.54</v>
      </c>
      <c r="N139">
        <v>474294.05</v>
      </c>
      <c r="O139" t="s">
        <v>53</v>
      </c>
      <c r="P139" t="s">
        <v>54</v>
      </c>
      <c r="Q139" t="s">
        <v>55</v>
      </c>
      <c r="T139" t="s">
        <v>170</v>
      </c>
      <c r="U139">
        <v>40</v>
      </c>
      <c r="V139" s="1">
        <v>42186</v>
      </c>
      <c r="W139" s="1">
        <v>42186</v>
      </c>
      <c r="X139" s="1">
        <v>42186</v>
      </c>
      <c r="Y139" s="1">
        <v>56796</v>
      </c>
      <c r="Z139" t="s">
        <v>51</v>
      </c>
      <c r="AB139" t="s">
        <v>54</v>
      </c>
      <c r="AC139">
        <v>1</v>
      </c>
      <c r="AE139" t="s">
        <v>171</v>
      </c>
      <c r="AF139">
        <v>20</v>
      </c>
      <c r="AG139" s="1">
        <v>42186</v>
      </c>
      <c r="AH139" s="1">
        <v>42186</v>
      </c>
      <c r="AI139" s="1">
        <v>42186</v>
      </c>
      <c r="AJ139" s="1">
        <v>49491</v>
      </c>
      <c r="AK139" t="s">
        <v>51</v>
      </c>
      <c r="AN139">
        <v>0</v>
      </c>
      <c r="AO139" t="s">
        <v>54</v>
      </c>
      <c r="AP139" t="s">
        <v>53</v>
      </c>
      <c r="AQ139">
        <v>0</v>
      </c>
      <c r="AR139" t="s">
        <v>53</v>
      </c>
      <c r="AS139">
        <v>0</v>
      </c>
      <c r="AT139">
        <v>0</v>
      </c>
      <c r="CC139" t="s">
        <v>173</v>
      </c>
      <c r="CD139">
        <v>100000</v>
      </c>
      <c r="CE139" s="1">
        <v>42186</v>
      </c>
      <c r="CF139" s="1">
        <v>42186</v>
      </c>
      <c r="CG139" s="1">
        <v>42186</v>
      </c>
      <c r="CH139" s="1">
        <v>50658</v>
      </c>
      <c r="CI139" t="s">
        <v>51</v>
      </c>
      <c r="CK139" t="s">
        <v>78</v>
      </c>
      <c r="CM139" t="s">
        <v>54</v>
      </c>
      <c r="CN139" t="s">
        <v>174</v>
      </c>
      <c r="CO139" t="s">
        <v>86</v>
      </c>
      <c r="CP139">
        <v>830</v>
      </c>
      <c r="CR139">
        <v>19</v>
      </c>
      <c r="CS139">
        <v>1800</v>
      </c>
      <c r="CT139">
        <v>0</v>
      </c>
      <c r="CU139">
        <v>16</v>
      </c>
    </row>
    <row r="140" spans="1:99" x14ac:dyDescent="0.2">
      <c r="A140" t="s">
        <v>45</v>
      </c>
      <c r="B140" t="s">
        <v>46</v>
      </c>
      <c r="C140" t="s">
        <v>47</v>
      </c>
      <c r="D140" t="s">
        <v>153</v>
      </c>
      <c r="F140" t="str">
        <f>"1390"</f>
        <v>1390</v>
      </c>
      <c r="G140" t="s">
        <v>49</v>
      </c>
      <c r="H140">
        <v>57</v>
      </c>
      <c r="K140" t="s">
        <v>51</v>
      </c>
      <c r="L140" t="s">
        <v>52</v>
      </c>
      <c r="M140">
        <v>136758.42000000001</v>
      </c>
      <c r="N140">
        <v>474270.47</v>
      </c>
      <c r="O140" t="s">
        <v>53</v>
      </c>
      <c r="P140" t="s">
        <v>54</v>
      </c>
      <c r="Q140" t="s">
        <v>55</v>
      </c>
      <c r="T140" t="s">
        <v>170</v>
      </c>
      <c r="U140">
        <v>40</v>
      </c>
      <c r="V140" s="1">
        <v>44225</v>
      </c>
      <c r="W140" s="1">
        <v>44225</v>
      </c>
      <c r="X140" s="1">
        <v>44225</v>
      </c>
      <c r="Y140" s="1">
        <v>58835</v>
      </c>
      <c r="Z140" t="s">
        <v>51</v>
      </c>
      <c r="AB140" t="s">
        <v>54</v>
      </c>
      <c r="AC140">
        <v>1</v>
      </c>
      <c r="AE140" t="s">
        <v>171</v>
      </c>
      <c r="AF140">
        <v>20</v>
      </c>
      <c r="AG140" s="1">
        <v>42186</v>
      </c>
      <c r="AH140" s="1">
        <v>42186</v>
      </c>
      <c r="AI140" s="1">
        <v>44225</v>
      </c>
      <c r="AJ140" s="1">
        <v>49491</v>
      </c>
      <c r="AK140" t="s">
        <v>51</v>
      </c>
      <c r="AN140">
        <v>0</v>
      </c>
      <c r="AO140" t="s">
        <v>54</v>
      </c>
      <c r="AP140" t="s">
        <v>53</v>
      </c>
      <c r="AQ140">
        <v>0</v>
      </c>
      <c r="AR140" t="s">
        <v>53</v>
      </c>
      <c r="AS140">
        <v>0</v>
      </c>
      <c r="AT140">
        <v>0</v>
      </c>
      <c r="AW140" t="s">
        <v>172</v>
      </c>
      <c r="AX140">
        <v>15</v>
      </c>
      <c r="AY140" s="1">
        <v>44341</v>
      </c>
      <c r="AZ140" s="1">
        <v>44341</v>
      </c>
      <c r="BA140" s="1">
        <v>44341</v>
      </c>
      <c r="BB140" s="1">
        <v>49820</v>
      </c>
      <c r="BC140" t="s">
        <v>51</v>
      </c>
      <c r="BE140" t="s">
        <v>54</v>
      </c>
      <c r="BF140">
        <v>40</v>
      </c>
      <c r="BG140">
        <v>0</v>
      </c>
      <c r="BH140" t="s">
        <v>145</v>
      </c>
      <c r="CC140" t="s">
        <v>173</v>
      </c>
      <c r="CD140">
        <v>100000</v>
      </c>
      <c r="CE140" s="1">
        <v>44341</v>
      </c>
      <c r="CF140" s="1">
        <v>44341</v>
      </c>
      <c r="CG140" s="1">
        <v>44341</v>
      </c>
      <c r="CH140" s="1">
        <v>52822</v>
      </c>
      <c r="CI140" t="s">
        <v>51</v>
      </c>
      <c r="CK140" t="s">
        <v>78</v>
      </c>
      <c r="CM140" t="s">
        <v>54</v>
      </c>
      <c r="CN140" t="s">
        <v>174</v>
      </c>
      <c r="CO140" t="s">
        <v>86</v>
      </c>
      <c r="CP140">
        <v>830</v>
      </c>
      <c r="CR140">
        <v>19</v>
      </c>
      <c r="CS140">
        <v>1800</v>
      </c>
      <c r="CT140">
        <v>0</v>
      </c>
      <c r="CU140">
        <v>16</v>
      </c>
    </row>
    <row r="141" spans="1:99" x14ac:dyDescent="0.2">
      <c r="A141" t="s">
        <v>45</v>
      </c>
      <c r="B141" t="s">
        <v>46</v>
      </c>
      <c r="C141" t="s">
        <v>47</v>
      </c>
      <c r="D141" t="s">
        <v>153</v>
      </c>
      <c r="F141" t="str">
        <f>"253977"</f>
        <v>253977</v>
      </c>
      <c r="G141" t="s">
        <v>49</v>
      </c>
      <c r="H141" t="s">
        <v>177</v>
      </c>
      <c r="K141" t="s">
        <v>51</v>
      </c>
      <c r="L141" t="s">
        <v>52</v>
      </c>
      <c r="M141">
        <v>136766.72</v>
      </c>
      <c r="N141">
        <v>474244.33</v>
      </c>
      <c r="O141" t="s">
        <v>53</v>
      </c>
      <c r="P141" t="s">
        <v>54</v>
      </c>
      <c r="Q141" t="s">
        <v>55</v>
      </c>
      <c r="T141" t="s">
        <v>170</v>
      </c>
      <c r="U141">
        <v>40</v>
      </c>
      <c r="V141" s="1">
        <v>42186</v>
      </c>
      <c r="W141" s="1">
        <v>42186</v>
      </c>
      <c r="X141" s="1">
        <v>42186</v>
      </c>
      <c r="Y141" s="1">
        <v>56796</v>
      </c>
      <c r="Z141" t="s">
        <v>51</v>
      </c>
      <c r="AB141" t="s">
        <v>54</v>
      </c>
      <c r="AC141">
        <v>1</v>
      </c>
      <c r="AE141" t="s">
        <v>171</v>
      </c>
      <c r="AF141">
        <v>20</v>
      </c>
      <c r="AG141" s="1">
        <v>42186</v>
      </c>
      <c r="AH141" s="1">
        <v>42186</v>
      </c>
      <c r="AI141" s="1">
        <v>42186</v>
      </c>
      <c r="AJ141" s="1">
        <v>49491</v>
      </c>
      <c r="AK141" t="s">
        <v>51</v>
      </c>
      <c r="AN141">
        <v>0</v>
      </c>
      <c r="AO141" t="s">
        <v>54</v>
      </c>
      <c r="AP141" t="s">
        <v>53</v>
      </c>
      <c r="AQ141">
        <v>0</v>
      </c>
      <c r="AR141" t="s">
        <v>53</v>
      </c>
      <c r="AS141">
        <v>0</v>
      </c>
      <c r="AT141">
        <v>0</v>
      </c>
      <c r="AW141" t="s">
        <v>172</v>
      </c>
      <c r="AX141">
        <v>15</v>
      </c>
      <c r="AY141" s="1">
        <v>44341</v>
      </c>
      <c r="AZ141" s="1">
        <v>44341</v>
      </c>
      <c r="BA141" s="1">
        <v>44341</v>
      </c>
      <c r="BB141" s="1">
        <v>49820</v>
      </c>
      <c r="BC141" t="s">
        <v>51</v>
      </c>
      <c r="BE141" t="s">
        <v>54</v>
      </c>
      <c r="BF141">
        <v>40</v>
      </c>
      <c r="BG141">
        <v>0</v>
      </c>
      <c r="BH141" t="s">
        <v>145</v>
      </c>
      <c r="CC141" t="s">
        <v>173</v>
      </c>
      <c r="CD141">
        <v>100000</v>
      </c>
      <c r="CE141" s="1">
        <v>44341</v>
      </c>
      <c r="CF141" s="1">
        <v>44341</v>
      </c>
      <c r="CG141" s="1">
        <v>44341</v>
      </c>
      <c r="CH141" s="1">
        <v>52822</v>
      </c>
      <c r="CI141" t="s">
        <v>51</v>
      </c>
      <c r="CK141" t="s">
        <v>78</v>
      </c>
      <c r="CM141" t="s">
        <v>54</v>
      </c>
      <c r="CN141" t="s">
        <v>174</v>
      </c>
      <c r="CO141" t="s">
        <v>86</v>
      </c>
      <c r="CP141">
        <v>830</v>
      </c>
      <c r="CR141">
        <v>19</v>
      </c>
      <c r="CS141">
        <v>1800</v>
      </c>
      <c r="CT141">
        <v>0</v>
      </c>
      <c r="CU141">
        <v>16</v>
      </c>
    </row>
    <row r="142" spans="1:99" x14ac:dyDescent="0.2">
      <c r="A142" t="s">
        <v>45</v>
      </c>
      <c r="B142" t="s">
        <v>46</v>
      </c>
      <c r="C142" t="s">
        <v>47</v>
      </c>
      <c r="D142" t="s">
        <v>153</v>
      </c>
      <c r="F142" t="str">
        <f>"253970"</f>
        <v>253970</v>
      </c>
      <c r="G142" t="s">
        <v>49</v>
      </c>
      <c r="H142">
        <v>53</v>
      </c>
      <c r="K142" t="s">
        <v>51</v>
      </c>
      <c r="L142" t="s">
        <v>52</v>
      </c>
      <c r="M142">
        <v>136761.29999999999</v>
      </c>
      <c r="N142">
        <v>474215.09</v>
      </c>
      <c r="O142" t="s">
        <v>53</v>
      </c>
      <c r="P142" t="s">
        <v>54</v>
      </c>
      <c r="Q142" t="s">
        <v>55</v>
      </c>
      <c r="T142" t="s">
        <v>170</v>
      </c>
      <c r="U142">
        <v>40</v>
      </c>
      <c r="V142" s="1">
        <v>42186</v>
      </c>
      <c r="W142" s="1">
        <v>42186</v>
      </c>
      <c r="X142" s="1">
        <v>42186</v>
      </c>
      <c r="Y142" s="1">
        <v>56796</v>
      </c>
      <c r="Z142" t="s">
        <v>51</v>
      </c>
      <c r="AB142" t="s">
        <v>54</v>
      </c>
      <c r="AC142">
        <v>1</v>
      </c>
      <c r="AE142" t="s">
        <v>171</v>
      </c>
      <c r="AF142">
        <v>20</v>
      </c>
      <c r="AG142" s="1">
        <v>42186</v>
      </c>
      <c r="AH142" s="1">
        <v>42186</v>
      </c>
      <c r="AI142" s="1">
        <v>42186</v>
      </c>
      <c r="AJ142" s="1">
        <v>49491</v>
      </c>
      <c r="AK142" t="s">
        <v>51</v>
      </c>
      <c r="AN142">
        <v>0</v>
      </c>
      <c r="AO142" t="s">
        <v>54</v>
      </c>
      <c r="AP142" t="s">
        <v>53</v>
      </c>
      <c r="AQ142">
        <v>0</v>
      </c>
      <c r="AR142" t="s">
        <v>53</v>
      </c>
      <c r="AS142">
        <v>0</v>
      </c>
      <c r="AT142">
        <v>0</v>
      </c>
      <c r="AW142" t="s">
        <v>172</v>
      </c>
      <c r="AX142">
        <v>15</v>
      </c>
      <c r="AY142" s="1">
        <v>44341</v>
      </c>
      <c r="AZ142" s="1">
        <v>44341</v>
      </c>
      <c r="BA142" s="1">
        <v>44341</v>
      </c>
      <c r="BB142" s="1">
        <v>49820</v>
      </c>
      <c r="BC142" t="s">
        <v>51</v>
      </c>
      <c r="BE142" t="s">
        <v>54</v>
      </c>
      <c r="BF142">
        <v>40</v>
      </c>
      <c r="BG142">
        <v>0</v>
      </c>
      <c r="BH142" t="s">
        <v>145</v>
      </c>
      <c r="CC142" t="s">
        <v>173</v>
      </c>
      <c r="CD142">
        <v>100000</v>
      </c>
      <c r="CE142" s="1">
        <v>44341</v>
      </c>
      <c r="CF142" s="1">
        <v>44341</v>
      </c>
      <c r="CG142" s="1">
        <v>44341</v>
      </c>
      <c r="CH142" s="1">
        <v>52822</v>
      </c>
      <c r="CI142" t="s">
        <v>51</v>
      </c>
      <c r="CK142" t="s">
        <v>78</v>
      </c>
      <c r="CM142" t="s">
        <v>54</v>
      </c>
      <c r="CN142" t="s">
        <v>174</v>
      </c>
      <c r="CO142" t="s">
        <v>86</v>
      </c>
      <c r="CP142">
        <v>830</v>
      </c>
      <c r="CR142">
        <v>19</v>
      </c>
      <c r="CS142">
        <v>1800</v>
      </c>
      <c r="CT142">
        <v>0</v>
      </c>
      <c r="CU142">
        <v>16</v>
      </c>
    </row>
    <row r="143" spans="1:99" x14ac:dyDescent="0.2">
      <c r="A143" t="s">
        <v>45</v>
      </c>
      <c r="B143" t="s">
        <v>46</v>
      </c>
      <c r="C143" t="s">
        <v>47</v>
      </c>
      <c r="D143" t="s">
        <v>153</v>
      </c>
      <c r="F143" t="str">
        <f>"253969"</f>
        <v>253969</v>
      </c>
      <c r="G143" t="s">
        <v>49</v>
      </c>
      <c r="H143" t="s">
        <v>178</v>
      </c>
      <c r="K143" t="s">
        <v>51</v>
      </c>
      <c r="L143" t="s">
        <v>52</v>
      </c>
      <c r="M143">
        <v>136761.42000000001</v>
      </c>
      <c r="N143">
        <v>474188.63</v>
      </c>
      <c r="O143" t="s">
        <v>53</v>
      </c>
      <c r="P143" t="s">
        <v>54</v>
      </c>
      <c r="Q143" t="s">
        <v>55</v>
      </c>
      <c r="T143" t="s">
        <v>170</v>
      </c>
      <c r="U143">
        <v>40</v>
      </c>
      <c r="V143" s="1">
        <v>42186</v>
      </c>
      <c r="W143" s="1">
        <v>42186</v>
      </c>
      <c r="X143" s="1">
        <v>42186</v>
      </c>
      <c r="Y143" s="1">
        <v>56796</v>
      </c>
      <c r="Z143" t="s">
        <v>51</v>
      </c>
      <c r="AB143" t="s">
        <v>54</v>
      </c>
      <c r="AC143">
        <v>1</v>
      </c>
      <c r="AE143" t="s">
        <v>171</v>
      </c>
      <c r="AF143">
        <v>20</v>
      </c>
      <c r="AG143" s="1">
        <v>42186</v>
      </c>
      <c r="AH143" s="1">
        <v>42186</v>
      </c>
      <c r="AI143" s="1">
        <v>42186</v>
      </c>
      <c r="AJ143" s="1">
        <v>49491</v>
      </c>
      <c r="AK143" t="s">
        <v>51</v>
      </c>
      <c r="AN143">
        <v>0</v>
      </c>
      <c r="AO143" t="s">
        <v>54</v>
      </c>
      <c r="AP143" t="s">
        <v>53</v>
      </c>
      <c r="AQ143">
        <v>0</v>
      </c>
      <c r="AR143" t="s">
        <v>53</v>
      </c>
      <c r="AS143">
        <v>0</v>
      </c>
      <c r="AT143">
        <v>0</v>
      </c>
      <c r="AW143" t="s">
        <v>172</v>
      </c>
      <c r="AX143">
        <v>15</v>
      </c>
      <c r="AY143" s="1">
        <v>44341</v>
      </c>
      <c r="AZ143" s="1">
        <v>44341</v>
      </c>
      <c r="BA143" s="1">
        <v>44341</v>
      </c>
      <c r="BB143" s="1">
        <v>49820</v>
      </c>
      <c r="BC143" t="s">
        <v>51</v>
      </c>
      <c r="BE143" t="s">
        <v>54</v>
      </c>
      <c r="BF143">
        <v>40</v>
      </c>
      <c r="BG143">
        <v>0</v>
      </c>
      <c r="BH143" t="s">
        <v>145</v>
      </c>
      <c r="CC143" t="s">
        <v>173</v>
      </c>
      <c r="CD143">
        <v>100000</v>
      </c>
      <c r="CE143" s="1">
        <v>44341</v>
      </c>
      <c r="CF143" s="1">
        <v>44341</v>
      </c>
      <c r="CG143" s="1">
        <v>44341</v>
      </c>
      <c r="CH143" s="1">
        <v>52822</v>
      </c>
      <c r="CI143" t="s">
        <v>51</v>
      </c>
      <c r="CK143" t="s">
        <v>78</v>
      </c>
      <c r="CM143" t="s">
        <v>54</v>
      </c>
      <c r="CN143" t="s">
        <v>174</v>
      </c>
      <c r="CO143" t="s">
        <v>86</v>
      </c>
      <c r="CP143">
        <v>830</v>
      </c>
      <c r="CR143">
        <v>19</v>
      </c>
      <c r="CS143">
        <v>1800</v>
      </c>
      <c r="CT143">
        <v>0</v>
      </c>
      <c r="CU143">
        <v>16</v>
      </c>
    </row>
    <row r="144" spans="1:99" x14ac:dyDescent="0.2">
      <c r="A144" t="s">
        <v>45</v>
      </c>
      <c r="B144" t="s">
        <v>46</v>
      </c>
      <c r="C144" t="s">
        <v>45</v>
      </c>
      <c r="D144" t="s">
        <v>68</v>
      </c>
      <c r="F144" t="str">
        <f>"235234"</f>
        <v>235234</v>
      </c>
      <c r="G144" t="s">
        <v>49</v>
      </c>
      <c r="H144" t="s">
        <v>179</v>
      </c>
      <c r="K144" t="s">
        <v>51</v>
      </c>
      <c r="L144" t="s">
        <v>52</v>
      </c>
      <c r="M144">
        <v>134952.53</v>
      </c>
      <c r="N144">
        <v>474378.31</v>
      </c>
      <c r="O144" t="s">
        <v>53</v>
      </c>
      <c r="P144" t="s">
        <v>54</v>
      </c>
      <c r="Q144" t="s">
        <v>55</v>
      </c>
      <c r="T144" t="s">
        <v>81</v>
      </c>
      <c r="U144">
        <v>40</v>
      </c>
      <c r="V144" s="1">
        <v>34700</v>
      </c>
      <c r="W144" s="1">
        <v>34700</v>
      </c>
      <c r="X144" s="1">
        <v>34700</v>
      </c>
      <c r="Y144" s="1">
        <v>49310</v>
      </c>
      <c r="Z144" t="s">
        <v>51</v>
      </c>
      <c r="AB144" t="s">
        <v>54</v>
      </c>
      <c r="AC144">
        <v>1</v>
      </c>
      <c r="AE144" t="s">
        <v>76</v>
      </c>
      <c r="AF144">
        <v>20</v>
      </c>
      <c r="AG144" s="1">
        <v>44341</v>
      </c>
      <c r="AH144" s="1">
        <v>44341</v>
      </c>
      <c r="AI144" s="1">
        <v>44341</v>
      </c>
      <c r="AJ144" s="1">
        <v>51646</v>
      </c>
      <c r="AK144" t="s">
        <v>51</v>
      </c>
      <c r="AN144">
        <v>0</v>
      </c>
      <c r="AO144" t="s">
        <v>54</v>
      </c>
      <c r="AP144" t="s">
        <v>53</v>
      </c>
      <c r="AQ144">
        <v>0</v>
      </c>
      <c r="AR144" t="s">
        <v>53</v>
      </c>
      <c r="AS144">
        <v>0</v>
      </c>
      <c r="AT144">
        <v>0</v>
      </c>
      <c r="CC144" t="s">
        <v>77</v>
      </c>
      <c r="CD144">
        <v>20</v>
      </c>
      <c r="CE144" s="1">
        <v>44341</v>
      </c>
      <c r="CF144" s="1">
        <v>44341</v>
      </c>
      <c r="CG144" s="1">
        <v>44341</v>
      </c>
      <c r="CH144" s="1">
        <v>44342</v>
      </c>
      <c r="CI144" t="s">
        <v>51</v>
      </c>
      <c r="CK144" t="s">
        <v>78</v>
      </c>
      <c r="CM144" t="s">
        <v>54</v>
      </c>
      <c r="CN144" t="s">
        <v>79</v>
      </c>
      <c r="CR144">
        <v>0</v>
      </c>
      <c r="CS144">
        <v>0</v>
      </c>
      <c r="CT144">
        <v>0</v>
      </c>
      <c r="CU144">
        <v>0</v>
      </c>
    </row>
    <row r="145" spans="1:99" x14ac:dyDescent="0.2">
      <c r="A145" t="s">
        <v>180</v>
      </c>
      <c r="B145" t="s">
        <v>181</v>
      </c>
      <c r="C145" t="s">
        <v>182</v>
      </c>
      <c r="D145" t="s">
        <v>48</v>
      </c>
      <c r="F145" t="str">
        <f>"250350"</f>
        <v>250350</v>
      </c>
      <c r="G145" t="s">
        <v>49</v>
      </c>
      <c r="K145" t="s">
        <v>51</v>
      </c>
      <c r="L145" t="s">
        <v>52</v>
      </c>
      <c r="M145">
        <v>136002.81</v>
      </c>
      <c r="N145">
        <v>473747.29</v>
      </c>
      <c r="O145" t="s">
        <v>53</v>
      </c>
      <c r="P145" t="s">
        <v>54</v>
      </c>
      <c r="Q145" t="s">
        <v>55</v>
      </c>
      <c r="T145" t="s">
        <v>183</v>
      </c>
      <c r="U145">
        <v>40</v>
      </c>
      <c r="V145" s="1">
        <v>40544</v>
      </c>
      <c r="W145" s="1">
        <v>40544</v>
      </c>
      <c r="X145" s="1">
        <v>40544</v>
      </c>
      <c r="Y145" s="1">
        <v>55154</v>
      </c>
      <c r="Z145" t="s">
        <v>51</v>
      </c>
      <c r="AB145" t="s">
        <v>54</v>
      </c>
      <c r="AC145">
        <v>1</v>
      </c>
      <c r="AE145" t="s">
        <v>64</v>
      </c>
      <c r="AF145">
        <v>20</v>
      </c>
      <c r="AG145" s="1">
        <v>40544</v>
      </c>
      <c r="AH145" s="1">
        <v>40544</v>
      </c>
      <c r="AI145" s="1">
        <v>40544</v>
      </c>
      <c r="AJ145" s="1">
        <v>47849</v>
      </c>
      <c r="AK145" t="s">
        <v>51</v>
      </c>
      <c r="AN145">
        <v>0</v>
      </c>
      <c r="AO145" t="s">
        <v>54</v>
      </c>
      <c r="AP145" t="s">
        <v>53</v>
      </c>
      <c r="AQ145">
        <v>0</v>
      </c>
      <c r="AR145" t="s">
        <v>53</v>
      </c>
      <c r="AS145">
        <v>0</v>
      </c>
      <c r="AT145">
        <v>0</v>
      </c>
      <c r="AW145" t="s">
        <v>58</v>
      </c>
      <c r="AX145">
        <v>20</v>
      </c>
      <c r="AY145" s="1">
        <v>40544</v>
      </c>
      <c r="AZ145" s="1">
        <v>40544</v>
      </c>
      <c r="BA145" s="1">
        <v>40544</v>
      </c>
      <c r="BB145" s="1">
        <v>47849</v>
      </c>
      <c r="BC145" t="s">
        <v>51</v>
      </c>
      <c r="BE145" t="s">
        <v>54</v>
      </c>
      <c r="BF145">
        <v>2</v>
      </c>
      <c r="BG145">
        <v>0</v>
      </c>
      <c r="BH145" t="s">
        <v>53</v>
      </c>
      <c r="BK145" t="s">
        <v>65</v>
      </c>
      <c r="BL145">
        <v>14000</v>
      </c>
      <c r="BM145" s="1">
        <v>44322</v>
      </c>
      <c r="BN145" s="1">
        <v>44322</v>
      </c>
      <c r="BO145" s="1">
        <v>44322</v>
      </c>
      <c r="BP145" s="1">
        <v>45544</v>
      </c>
      <c r="BQ145" t="s">
        <v>51</v>
      </c>
      <c r="BS145" t="s">
        <v>60</v>
      </c>
      <c r="BT145" t="s">
        <v>54</v>
      </c>
      <c r="BU145" t="s">
        <v>61</v>
      </c>
      <c r="BV145" t="s">
        <v>62</v>
      </c>
      <c r="BX145">
        <v>36</v>
      </c>
      <c r="BY145">
        <v>0</v>
      </c>
      <c r="BZ145">
        <v>0</v>
      </c>
    </row>
    <row r="146" spans="1:99" x14ac:dyDescent="0.2">
      <c r="A146" t="s">
        <v>180</v>
      </c>
      <c r="B146" t="s">
        <v>181</v>
      </c>
      <c r="C146" t="s">
        <v>184</v>
      </c>
      <c r="D146" t="s">
        <v>48</v>
      </c>
      <c r="F146" t="str">
        <f>"253041"</f>
        <v>253041</v>
      </c>
      <c r="G146" t="s">
        <v>49</v>
      </c>
      <c r="H146">
        <v>97</v>
      </c>
      <c r="K146" t="s">
        <v>51</v>
      </c>
      <c r="L146" t="s">
        <v>52</v>
      </c>
      <c r="M146">
        <v>136784.95000000001</v>
      </c>
      <c r="N146">
        <v>473440.5</v>
      </c>
      <c r="O146" t="s">
        <v>53</v>
      </c>
      <c r="P146" t="s">
        <v>54</v>
      </c>
      <c r="Q146" t="s">
        <v>55</v>
      </c>
      <c r="T146" t="s">
        <v>131</v>
      </c>
      <c r="U146">
        <v>40</v>
      </c>
      <c r="V146" s="1">
        <v>42552</v>
      </c>
      <c r="W146" s="1">
        <v>42552</v>
      </c>
      <c r="X146" s="1">
        <v>42552</v>
      </c>
      <c r="Y146" s="1">
        <v>57162</v>
      </c>
      <c r="Z146" t="s">
        <v>51</v>
      </c>
      <c r="AB146" t="s">
        <v>54</v>
      </c>
      <c r="AC146">
        <v>1</v>
      </c>
      <c r="AE146" t="s">
        <v>79</v>
      </c>
      <c r="AF146">
        <v>20</v>
      </c>
      <c r="AG146" s="1">
        <v>42552</v>
      </c>
      <c r="AH146" s="1">
        <v>42552</v>
      </c>
      <c r="AI146" s="1">
        <v>42552</v>
      </c>
      <c r="AJ146" s="1">
        <v>49857</v>
      </c>
      <c r="AK146" t="s">
        <v>51</v>
      </c>
      <c r="AN146">
        <v>0</v>
      </c>
      <c r="AO146" t="s">
        <v>54</v>
      </c>
      <c r="AP146" t="s">
        <v>53</v>
      </c>
      <c r="AQ146">
        <v>0</v>
      </c>
      <c r="AR146" t="s">
        <v>145</v>
      </c>
      <c r="AS146">
        <v>0</v>
      </c>
      <c r="AT146">
        <v>0</v>
      </c>
      <c r="CC146" t="s">
        <v>185</v>
      </c>
      <c r="CD146">
        <v>85000</v>
      </c>
      <c r="CE146" s="1">
        <v>42552</v>
      </c>
      <c r="CF146" s="1">
        <v>42552</v>
      </c>
      <c r="CG146" s="1">
        <v>42552</v>
      </c>
      <c r="CH146" s="1">
        <v>49714</v>
      </c>
      <c r="CI146" t="s">
        <v>51</v>
      </c>
      <c r="CK146" t="s">
        <v>78</v>
      </c>
      <c r="CM146" t="s">
        <v>54</v>
      </c>
      <c r="CN146" t="s">
        <v>174</v>
      </c>
      <c r="CO146" t="s">
        <v>86</v>
      </c>
      <c r="CR146">
        <v>15</v>
      </c>
      <c r="CS146">
        <v>0</v>
      </c>
      <c r="CT146">
        <v>0</v>
      </c>
      <c r="CU146">
        <v>0</v>
      </c>
    </row>
    <row r="147" spans="1:99" x14ac:dyDescent="0.2">
      <c r="A147" t="s">
        <v>180</v>
      </c>
      <c r="B147" t="s">
        <v>181</v>
      </c>
      <c r="C147" t="s">
        <v>184</v>
      </c>
      <c r="D147" t="s">
        <v>48</v>
      </c>
      <c r="F147" t="str">
        <f>"253042"</f>
        <v>253042</v>
      </c>
      <c r="G147" t="s">
        <v>49</v>
      </c>
      <c r="H147" t="s">
        <v>186</v>
      </c>
      <c r="K147" t="s">
        <v>51</v>
      </c>
      <c r="L147" t="s">
        <v>52</v>
      </c>
      <c r="M147">
        <v>136767.78</v>
      </c>
      <c r="N147">
        <v>473445.11</v>
      </c>
      <c r="O147" t="s">
        <v>53</v>
      </c>
      <c r="P147" t="s">
        <v>54</v>
      </c>
      <c r="Q147" t="s">
        <v>55</v>
      </c>
      <c r="T147" t="s">
        <v>131</v>
      </c>
      <c r="U147">
        <v>40</v>
      </c>
      <c r="V147" s="1">
        <v>31778</v>
      </c>
      <c r="W147" s="1">
        <v>31778</v>
      </c>
      <c r="X147" s="1">
        <v>31778</v>
      </c>
      <c r="Y147" s="1">
        <v>46388</v>
      </c>
      <c r="Z147" t="s">
        <v>51</v>
      </c>
      <c r="AB147" t="s">
        <v>54</v>
      </c>
      <c r="AC147">
        <v>1</v>
      </c>
      <c r="AE147" t="s">
        <v>84</v>
      </c>
      <c r="AF147">
        <v>20</v>
      </c>
      <c r="AG147" s="1">
        <v>35431</v>
      </c>
      <c r="AH147" s="1">
        <v>35431</v>
      </c>
      <c r="AI147" s="1">
        <v>35431</v>
      </c>
      <c r="AJ147" s="1">
        <v>42736</v>
      </c>
      <c r="AK147" t="s">
        <v>51</v>
      </c>
      <c r="AN147">
        <v>0</v>
      </c>
      <c r="AO147" t="s">
        <v>54</v>
      </c>
      <c r="AP147" t="s">
        <v>53</v>
      </c>
      <c r="AQ147">
        <v>0</v>
      </c>
      <c r="AR147" t="s">
        <v>53</v>
      </c>
      <c r="AS147">
        <v>0</v>
      </c>
      <c r="AT147">
        <v>0</v>
      </c>
      <c r="AW147" t="s">
        <v>58</v>
      </c>
      <c r="AX147">
        <v>20</v>
      </c>
      <c r="AY147" s="1">
        <v>35431</v>
      </c>
      <c r="AZ147" s="1">
        <v>35431</v>
      </c>
      <c r="BA147" s="1">
        <v>35431</v>
      </c>
      <c r="BB147" s="1">
        <v>42736</v>
      </c>
      <c r="BC147" t="s">
        <v>51</v>
      </c>
      <c r="BE147" t="s">
        <v>54</v>
      </c>
      <c r="BF147">
        <v>2</v>
      </c>
      <c r="BG147">
        <v>0</v>
      </c>
      <c r="BH147" t="s">
        <v>53</v>
      </c>
      <c r="BK147" t="s">
        <v>59</v>
      </c>
      <c r="BL147">
        <v>14000</v>
      </c>
      <c r="BM147" s="1">
        <v>44322</v>
      </c>
      <c r="BN147" s="1">
        <v>44322</v>
      </c>
      <c r="BO147" s="1">
        <v>44322</v>
      </c>
      <c r="BP147" s="1">
        <v>45544</v>
      </c>
      <c r="BQ147" t="s">
        <v>51</v>
      </c>
      <c r="BS147" t="s">
        <v>60</v>
      </c>
      <c r="BT147" t="s">
        <v>54</v>
      </c>
      <c r="BU147" t="s">
        <v>61</v>
      </c>
      <c r="BV147" t="s">
        <v>62</v>
      </c>
      <c r="BX147">
        <v>24</v>
      </c>
      <c r="BY147">
        <v>0</v>
      </c>
      <c r="BZ147">
        <v>0</v>
      </c>
    </row>
    <row r="148" spans="1:99" x14ac:dyDescent="0.2">
      <c r="A148" t="s">
        <v>180</v>
      </c>
      <c r="B148" t="s">
        <v>181</v>
      </c>
      <c r="C148" t="s">
        <v>184</v>
      </c>
      <c r="D148" t="s">
        <v>48</v>
      </c>
      <c r="F148" t="str">
        <f>"253043"</f>
        <v>253043</v>
      </c>
      <c r="G148" t="s">
        <v>49</v>
      </c>
      <c r="H148" t="s">
        <v>187</v>
      </c>
      <c r="K148" t="s">
        <v>51</v>
      </c>
      <c r="L148" t="s">
        <v>52</v>
      </c>
      <c r="M148">
        <v>136739.38</v>
      </c>
      <c r="N148">
        <v>473457.58</v>
      </c>
      <c r="O148" t="s">
        <v>53</v>
      </c>
      <c r="P148" t="s">
        <v>54</v>
      </c>
      <c r="Q148" t="s">
        <v>55</v>
      </c>
      <c r="T148" t="s">
        <v>131</v>
      </c>
      <c r="U148">
        <v>40</v>
      </c>
      <c r="V148" s="1">
        <v>35431</v>
      </c>
      <c r="W148" s="1">
        <v>35431</v>
      </c>
      <c r="X148" s="1">
        <v>35431</v>
      </c>
      <c r="Y148" s="1">
        <v>50041</v>
      </c>
      <c r="Z148" t="s">
        <v>51</v>
      </c>
      <c r="AB148" t="s">
        <v>54</v>
      </c>
      <c r="AC148">
        <v>1</v>
      </c>
      <c r="AE148" t="s">
        <v>84</v>
      </c>
      <c r="AF148">
        <v>20</v>
      </c>
      <c r="AG148" s="1">
        <v>35431</v>
      </c>
      <c r="AH148" s="1">
        <v>35431</v>
      </c>
      <c r="AI148" s="1">
        <v>35431</v>
      </c>
      <c r="AJ148" s="1">
        <v>42736</v>
      </c>
      <c r="AK148" t="s">
        <v>51</v>
      </c>
      <c r="AN148">
        <v>0</v>
      </c>
      <c r="AO148" t="s">
        <v>54</v>
      </c>
      <c r="AP148" t="s">
        <v>53</v>
      </c>
      <c r="AQ148">
        <v>0</v>
      </c>
      <c r="AR148" t="s">
        <v>53</v>
      </c>
      <c r="AS148">
        <v>0</v>
      </c>
      <c r="AT148">
        <v>0</v>
      </c>
      <c r="AW148" t="s">
        <v>58</v>
      </c>
      <c r="AX148">
        <v>20</v>
      </c>
      <c r="AY148" s="1">
        <v>43843</v>
      </c>
      <c r="AZ148" s="1">
        <v>43843</v>
      </c>
      <c r="BA148" s="1">
        <v>43843</v>
      </c>
      <c r="BB148" s="1">
        <v>51148</v>
      </c>
      <c r="BC148" t="s">
        <v>51</v>
      </c>
      <c r="BE148" t="s">
        <v>54</v>
      </c>
      <c r="BF148">
        <v>2</v>
      </c>
      <c r="BG148">
        <v>0</v>
      </c>
      <c r="BH148" t="s">
        <v>53</v>
      </c>
      <c r="BK148" t="s">
        <v>59</v>
      </c>
      <c r="BL148">
        <v>14000</v>
      </c>
      <c r="BM148" s="1">
        <v>44322</v>
      </c>
      <c r="BN148" s="1">
        <v>44322</v>
      </c>
      <c r="BO148" s="1">
        <v>44322</v>
      </c>
      <c r="BP148" s="1">
        <v>45544</v>
      </c>
      <c r="BQ148" t="s">
        <v>51</v>
      </c>
      <c r="BS148" t="s">
        <v>60</v>
      </c>
      <c r="BT148" t="s">
        <v>54</v>
      </c>
      <c r="BU148" t="s">
        <v>61</v>
      </c>
      <c r="BV148" t="s">
        <v>62</v>
      </c>
      <c r="BX148">
        <v>24</v>
      </c>
      <c r="BY148">
        <v>0</v>
      </c>
      <c r="BZ148">
        <v>0</v>
      </c>
    </row>
    <row r="149" spans="1:99" x14ac:dyDescent="0.2">
      <c r="A149" t="s">
        <v>180</v>
      </c>
      <c r="B149" t="s">
        <v>181</v>
      </c>
      <c r="C149" t="s">
        <v>184</v>
      </c>
      <c r="D149" t="s">
        <v>48</v>
      </c>
      <c r="F149" t="str">
        <f>"253044"</f>
        <v>253044</v>
      </c>
      <c r="G149" t="s">
        <v>49</v>
      </c>
      <c r="H149" t="s">
        <v>188</v>
      </c>
      <c r="K149" t="s">
        <v>51</v>
      </c>
      <c r="L149" t="s">
        <v>52</v>
      </c>
      <c r="M149">
        <v>136712.29999999999</v>
      </c>
      <c r="N149">
        <v>473468.58</v>
      </c>
      <c r="O149" t="s">
        <v>53</v>
      </c>
      <c r="P149" t="s">
        <v>54</v>
      </c>
      <c r="Q149" t="s">
        <v>55</v>
      </c>
      <c r="T149" t="s">
        <v>131</v>
      </c>
      <c r="U149">
        <v>40</v>
      </c>
      <c r="V149" s="1">
        <v>38353</v>
      </c>
      <c r="W149" s="1">
        <v>38353</v>
      </c>
      <c r="X149" s="1">
        <v>38353</v>
      </c>
      <c r="Y149" s="1">
        <v>52963</v>
      </c>
      <c r="Z149" t="s">
        <v>51</v>
      </c>
      <c r="AB149" t="s">
        <v>54</v>
      </c>
      <c r="AC149">
        <v>1</v>
      </c>
      <c r="AE149" t="s">
        <v>84</v>
      </c>
      <c r="AF149">
        <v>20</v>
      </c>
      <c r="AG149" s="1">
        <v>38353</v>
      </c>
      <c r="AH149" s="1">
        <v>38353</v>
      </c>
      <c r="AI149" s="1">
        <v>38353</v>
      </c>
      <c r="AJ149" s="1">
        <v>45658</v>
      </c>
      <c r="AK149" t="s">
        <v>51</v>
      </c>
      <c r="AN149">
        <v>0</v>
      </c>
      <c r="AO149" t="s">
        <v>54</v>
      </c>
      <c r="AP149" t="s">
        <v>53</v>
      </c>
      <c r="AQ149">
        <v>0</v>
      </c>
      <c r="AR149" t="s">
        <v>53</v>
      </c>
      <c r="AS149">
        <v>0</v>
      </c>
      <c r="AT149">
        <v>0</v>
      </c>
      <c r="AW149" t="s">
        <v>58</v>
      </c>
      <c r="AX149">
        <v>20</v>
      </c>
      <c r="AY149" s="1">
        <v>38353</v>
      </c>
      <c r="AZ149" s="1">
        <v>38353</v>
      </c>
      <c r="BA149" s="1">
        <v>38353</v>
      </c>
      <c r="BB149" s="1">
        <v>45658</v>
      </c>
      <c r="BC149" t="s">
        <v>51</v>
      </c>
      <c r="BE149" t="s">
        <v>54</v>
      </c>
      <c r="BF149">
        <v>2</v>
      </c>
      <c r="BG149">
        <v>0</v>
      </c>
      <c r="BH149" t="s">
        <v>53</v>
      </c>
      <c r="BK149" t="s">
        <v>59</v>
      </c>
      <c r="BL149">
        <v>14000</v>
      </c>
      <c r="BM149" s="1">
        <v>44322</v>
      </c>
      <c r="BN149" s="1">
        <v>44322</v>
      </c>
      <c r="BO149" s="1">
        <v>44322</v>
      </c>
      <c r="BP149" s="1">
        <v>45544</v>
      </c>
      <c r="BQ149" t="s">
        <v>51</v>
      </c>
      <c r="BS149" t="s">
        <v>60</v>
      </c>
      <c r="BT149" t="s">
        <v>54</v>
      </c>
      <c r="BU149" t="s">
        <v>61</v>
      </c>
      <c r="BV149" t="s">
        <v>62</v>
      </c>
      <c r="BX149">
        <v>24</v>
      </c>
      <c r="BY149">
        <v>0</v>
      </c>
      <c r="BZ149">
        <v>0</v>
      </c>
    </row>
    <row r="150" spans="1:99" x14ac:dyDescent="0.2">
      <c r="A150" t="s">
        <v>180</v>
      </c>
      <c r="B150" t="s">
        <v>181</v>
      </c>
      <c r="C150" t="s">
        <v>184</v>
      </c>
      <c r="D150" t="s">
        <v>48</v>
      </c>
      <c r="F150" t="str">
        <f>"253045"</f>
        <v>253045</v>
      </c>
      <c r="G150" t="s">
        <v>49</v>
      </c>
      <c r="H150">
        <v>100</v>
      </c>
      <c r="K150" t="s">
        <v>51</v>
      </c>
      <c r="L150" t="s">
        <v>52</v>
      </c>
      <c r="M150">
        <v>136685.64000000001</v>
      </c>
      <c r="N150">
        <v>473479.15</v>
      </c>
      <c r="O150" t="s">
        <v>53</v>
      </c>
      <c r="P150" t="s">
        <v>54</v>
      </c>
      <c r="Q150" t="s">
        <v>55</v>
      </c>
      <c r="T150" t="s">
        <v>131</v>
      </c>
      <c r="U150">
        <v>40</v>
      </c>
      <c r="V150" s="1">
        <v>35431</v>
      </c>
      <c r="W150" s="1">
        <v>35431</v>
      </c>
      <c r="X150" s="1">
        <v>35431</v>
      </c>
      <c r="Y150" s="1">
        <v>50041</v>
      </c>
      <c r="Z150" t="s">
        <v>51</v>
      </c>
      <c r="AB150" t="s">
        <v>54</v>
      </c>
      <c r="AC150">
        <v>1</v>
      </c>
      <c r="AE150" t="s">
        <v>84</v>
      </c>
      <c r="AF150">
        <v>20</v>
      </c>
      <c r="AG150" s="1">
        <v>35431</v>
      </c>
      <c r="AH150" s="1">
        <v>35431</v>
      </c>
      <c r="AI150" s="1">
        <v>35431</v>
      </c>
      <c r="AJ150" s="1">
        <v>42736</v>
      </c>
      <c r="AK150" t="s">
        <v>51</v>
      </c>
      <c r="AN150">
        <v>0</v>
      </c>
      <c r="AO150" t="s">
        <v>54</v>
      </c>
      <c r="AP150" t="s">
        <v>53</v>
      </c>
      <c r="AQ150">
        <v>0</v>
      </c>
      <c r="AR150" t="s">
        <v>53</v>
      </c>
      <c r="AS150">
        <v>0</v>
      </c>
      <c r="AT150">
        <v>0</v>
      </c>
      <c r="AW150" t="s">
        <v>58</v>
      </c>
      <c r="AX150">
        <v>20</v>
      </c>
      <c r="AY150" s="1">
        <v>35431</v>
      </c>
      <c r="AZ150" s="1">
        <v>35431</v>
      </c>
      <c r="BA150" s="1">
        <v>35431</v>
      </c>
      <c r="BB150" s="1">
        <v>42736</v>
      </c>
      <c r="BC150" t="s">
        <v>51</v>
      </c>
      <c r="BE150" t="s">
        <v>54</v>
      </c>
      <c r="BF150">
        <v>2</v>
      </c>
      <c r="BG150">
        <v>0</v>
      </c>
      <c r="BH150" t="s">
        <v>53</v>
      </c>
      <c r="BK150" t="s">
        <v>59</v>
      </c>
      <c r="BL150">
        <v>14000</v>
      </c>
      <c r="BM150" s="1">
        <v>44322</v>
      </c>
      <c r="BN150" s="1">
        <v>44322</v>
      </c>
      <c r="BO150" s="1">
        <v>44322</v>
      </c>
      <c r="BP150" s="1">
        <v>45544</v>
      </c>
      <c r="BQ150" t="s">
        <v>51</v>
      </c>
      <c r="BS150" t="s">
        <v>60</v>
      </c>
      <c r="BT150" t="s">
        <v>54</v>
      </c>
      <c r="BU150" t="s">
        <v>61</v>
      </c>
      <c r="BV150" t="s">
        <v>62</v>
      </c>
      <c r="BX150">
        <v>24</v>
      </c>
      <c r="BY150">
        <v>0</v>
      </c>
      <c r="BZ150">
        <v>0</v>
      </c>
    </row>
    <row r="151" spans="1:99" x14ac:dyDescent="0.2">
      <c r="A151" t="s">
        <v>180</v>
      </c>
      <c r="B151" t="s">
        <v>181</v>
      </c>
      <c r="C151" t="s">
        <v>184</v>
      </c>
      <c r="D151" t="s">
        <v>48</v>
      </c>
      <c r="F151" t="str">
        <f>"253046"</f>
        <v>253046</v>
      </c>
      <c r="G151" t="s">
        <v>49</v>
      </c>
      <c r="H151" t="s">
        <v>189</v>
      </c>
      <c r="K151" t="s">
        <v>51</v>
      </c>
      <c r="L151" t="s">
        <v>52</v>
      </c>
      <c r="M151">
        <v>136659</v>
      </c>
      <c r="N151">
        <v>473489.91</v>
      </c>
      <c r="O151" t="s">
        <v>53</v>
      </c>
      <c r="P151" t="s">
        <v>54</v>
      </c>
      <c r="Q151" t="s">
        <v>55</v>
      </c>
      <c r="T151" t="s">
        <v>131</v>
      </c>
      <c r="U151">
        <v>40</v>
      </c>
      <c r="V151" s="1">
        <v>35431</v>
      </c>
      <c r="W151" s="1">
        <v>35431</v>
      </c>
      <c r="X151" s="1">
        <v>35431</v>
      </c>
      <c r="Y151" s="1">
        <v>50041</v>
      </c>
      <c r="Z151" t="s">
        <v>51</v>
      </c>
      <c r="AB151" t="s">
        <v>54</v>
      </c>
      <c r="AC151">
        <v>1</v>
      </c>
      <c r="AE151" t="s">
        <v>84</v>
      </c>
      <c r="AF151">
        <v>20</v>
      </c>
      <c r="AG151" s="1">
        <v>35431</v>
      </c>
      <c r="AH151" s="1">
        <v>35431</v>
      </c>
      <c r="AI151" s="1">
        <v>35431</v>
      </c>
      <c r="AJ151" s="1">
        <v>42736</v>
      </c>
      <c r="AK151" t="s">
        <v>51</v>
      </c>
      <c r="AN151">
        <v>0</v>
      </c>
      <c r="AO151" t="s">
        <v>54</v>
      </c>
      <c r="AP151" t="s">
        <v>53</v>
      </c>
      <c r="AQ151">
        <v>0</v>
      </c>
      <c r="AR151" t="s">
        <v>53</v>
      </c>
      <c r="AS151">
        <v>0</v>
      </c>
      <c r="AT151">
        <v>0</v>
      </c>
      <c r="AW151" t="s">
        <v>58</v>
      </c>
      <c r="AX151">
        <v>20</v>
      </c>
      <c r="AY151" s="1">
        <v>35431</v>
      </c>
      <c r="AZ151" s="1">
        <v>35431</v>
      </c>
      <c r="BA151" s="1">
        <v>35431</v>
      </c>
      <c r="BB151" s="1">
        <v>42736</v>
      </c>
      <c r="BC151" t="s">
        <v>51</v>
      </c>
      <c r="BE151" t="s">
        <v>54</v>
      </c>
      <c r="BF151">
        <v>2</v>
      </c>
      <c r="BG151">
        <v>0</v>
      </c>
      <c r="BH151" t="s">
        <v>53</v>
      </c>
      <c r="BK151" t="s">
        <v>59</v>
      </c>
      <c r="BL151">
        <v>14000</v>
      </c>
      <c r="BM151" s="1">
        <v>44322</v>
      </c>
      <c r="BN151" s="1">
        <v>44322</v>
      </c>
      <c r="BO151" s="1">
        <v>44322</v>
      </c>
      <c r="BP151" s="1">
        <v>45544</v>
      </c>
      <c r="BQ151" t="s">
        <v>51</v>
      </c>
      <c r="BS151" t="s">
        <v>60</v>
      </c>
      <c r="BT151" t="s">
        <v>54</v>
      </c>
      <c r="BU151" t="s">
        <v>61</v>
      </c>
      <c r="BV151" t="s">
        <v>62</v>
      </c>
      <c r="BX151">
        <v>24</v>
      </c>
      <c r="BY151">
        <v>0</v>
      </c>
      <c r="BZ151">
        <v>0</v>
      </c>
    </row>
    <row r="152" spans="1:99" x14ac:dyDescent="0.2">
      <c r="A152" t="s">
        <v>180</v>
      </c>
      <c r="B152" t="s">
        <v>181</v>
      </c>
      <c r="C152" t="s">
        <v>184</v>
      </c>
      <c r="D152" t="s">
        <v>48</v>
      </c>
      <c r="F152" t="str">
        <f>"253047"</f>
        <v>253047</v>
      </c>
      <c r="G152" t="s">
        <v>49</v>
      </c>
      <c r="H152" t="s">
        <v>190</v>
      </c>
      <c r="K152" t="s">
        <v>51</v>
      </c>
      <c r="L152" t="s">
        <v>52</v>
      </c>
      <c r="M152">
        <v>136630.32</v>
      </c>
      <c r="N152">
        <v>473501.33</v>
      </c>
      <c r="O152" t="s">
        <v>53</v>
      </c>
      <c r="P152" t="s">
        <v>54</v>
      </c>
      <c r="Q152" t="s">
        <v>55</v>
      </c>
      <c r="T152" t="s">
        <v>131</v>
      </c>
      <c r="U152">
        <v>40</v>
      </c>
      <c r="V152" s="1">
        <v>35431</v>
      </c>
      <c r="W152" s="1">
        <v>35431</v>
      </c>
      <c r="X152" s="1">
        <v>35431</v>
      </c>
      <c r="Y152" s="1">
        <v>50041</v>
      </c>
      <c r="Z152" t="s">
        <v>51</v>
      </c>
      <c r="AB152" t="s">
        <v>54</v>
      </c>
      <c r="AC152">
        <v>1</v>
      </c>
      <c r="AE152" t="s">
        <v>84</v>
      </c>
      <c r="AF152">
        <v>20</v>
      </c>
      <c r="AG152" s="1">
        <v>35431</v>
      </c>
      <c r="AH152" s="1">
        <v>35431</v>
      </c>
      <c r="AI152" s="1">
        <v>35431</v>
      </c>
      <c r="AJ152" s="1">
        <v>42736</v>
      </c>
      <c r="AK152" t="s">
        <v>51</v>
      </c>
      <c r="AN152">
        <v>0</v>
      </c>
      <c r="AO152" t="s">
        <v>54</v>
      </c>
      <c r="AP152" t="s">
        <v>53</v>
      </c>
      <c r="AQ152">
        <v>0</v>
      </c>
      <c r="AR152" t="s">
        <v>53</v>
      </c>
      <c r="AS152">
        <v>0</v>
      </c>
      <c r="AT152">
        <v>0</v>
      </c>
      <c r="AW152" t="s">
        <v>58</v>
      </c>
      <c r="AX152">
        <v>20</v>
      </c>
      <c r="AY152" s="1">
        <v>35431</v>
      </c>
      <c r="AZ152" s="1">
        <v>35431</v>
      </c>
      <c r="BA152" s="1">
        <v>35431</v>
      </c>
      <c r="BB152" s="1">
        <v>42736</v>
      </c>
      <c r="BC152" t="s">
        <v>51</v>
      </c>
      <c r="BE152" t="s">
        <v>54</v>
      </c>
      <c r="BF152">
        <v>2</v>
      </c>
      <c r="BG152">
        <v>0</v>
      </c>
      <c r="BH152" t="s">
        <v>53</v>
      </c>
      <c r="BK152" t="s">
        <v>59</v>
      </c>
      <c r="BL152">
        <v>14000</v>
      </c>
      <c r="BM152" s="1">
        <v>44322</v>
      </c>
      <c r="BN152" s="1">
        <v>44322</v>
      </c>
      <c r="BO152" s="1">
        <v>44322</v>
      </c>
      <c r="BP152" s="1">
        <v>45544</v>
      </c>
      <c r="BQ152" t="s">
        <v>51</v>
      </c>
      <c r="BS152" t="s">
        <v>60</v>
      </c>
      <c r="BT152" t="s">
        <v>54</v>
      </c>
      <c r="BU152" t="s">
        <v>61</v>
      </c>
      <c r="BV152" t="s">
        <v>62</v>
      </c>
      <c r="BX152">
        <v>24</v>
      </c>
      <c r="BY152">
        <v>0</v>
      </c>
      <c r="BZ152">
        <v>0</v>
      </c>
    </row>
    <row r="153" spans="1:99" x14ac:dyDescent="0.2">
      <c r="A153" t="s">
        <v>180</v>
      </c>
      <c r="B153" t="s">
        <v>181</v>
      </c>
      <c r="C153" t="s">
        <v>184</v>
      </c>
      <c r="D153" t="s">
        <v>48</v>
      </c>
      <c r="F153" t="str">
        <f>"253048"</f>
        <v>253048</v>
      </c>
      <c r="G153" t="s">
        <v>49</v>
      </c>
      <c r="H153" t="s">
        <v>191</v>
      </c>
      <c r="K153" t="s">
        <v>51</v>
      </c>
      <c r="L153" t="s">
        <v>52</v>
      </c>
      <c r="M153">
        <v>136600.87</v>
      </c>
      <c r="N153">
        <v>473512.87</v>
      </c>
      <c r="O153" t="s">
        <v>53</v>
      </c>
      <c r="P153" t="s">
        <v>54</v>
      </c>
      <c r="Q153" t="s">
        <v>55</v>
      </c>
      <c r="T153" t="s">
        <v>131</v>
      </c>
      <c r="U153">
        <v>40</v>
      </c>
      <c r="V153" s="1">
        <v>35431</v>
      </c>
      <c r="W153" s="1">
        <v>35431</v>
      </c>
      <c r="X153" s="1">
        <v>35431</v>
      </c>
      <c r="Y153" s="1">
        <v>50041</v>
      </c>
      <c r="Z153" t="s">
        <v>51</v>
      </c>
      <c r="AB153" t="s">
        <v>54</v>
      </c>
      <c r="AC153">
        <v>1</v>
      </c>
      <c r="AE153" t="s">
        <v>84</v>
      </c>
      <c r="AF153">
        <v>20</v>
      </c>
      <c r="AG153" s="1">
        <v>35431</v>
      </c>
      <c r="AH153" s="1">
        <v>35431</v>
      </c>
      <c r="AI153" s="1">
        <v>35431</v>
      </c>
      <c r="AJ153" s="1">
        <v>42736</v>
      </c>
      <c r="AK153" t="s">
        <v>51</v>
      </c>
      <c r="AN153">
        <v>0</v>
      </c>
      <c r="AO153" t="s">
        <v>54</v>
      </c>
      <c r="AP153" t="s">
        <v>53</v>
      </c>
      <c r="AQ153">
        <v>0</v>
      </c>
      <c r="AR153" t="s">
        <v>53</v>
      </c>
      <c r="AS153">
        <v>0</v>
      </c>
      <c r="AT153">
        <v>0</v>
      </c>
      <c r="AW153" t="s">
        <v>161</v>
      </c>
      <c r="AX153">
        <v>50</v>
      </c>
      <c r="AY153" s="1">
        <v>35431</v>
      </c>
      <c r="AZ153" s="1">
        <v>35431</v>
      </c>
      <c r="BA153" s="1">
        <v>35431</v>
      </c>
      <c r="BB153" s="1">
        <v>53693</v>
      </c>
      <c r="BC153" t="s">
        <v>51</v>
      </c>
      <c r="BE153" t="s">
        <v>54</v>
      </c>
      <c r="BF153">
        <v>0</v>
      </c>
      <c r="BG153">
        <v>0</v>
      </c>
      <c r="BH153" t="s">
        <v>53</v>
      </c>
      <c r="BK153" t="s">
        <v>59</v>
      </c>
      <c r="BL153">
        <v>14000</v>
      </c>
      <c r="BM153" s="1">
        <v>44322</v>
      </c>
      <c r="BN153" s="1">
        <v>44322</v>
      </c>
      <c r="BO153" s="1">
        <v>44322</v>
      </c>
      <c r="BP153" s="1">
        <v>45544</v>
      </c>
      <c r="BQ153" t="s">
        <v>51</v>
      </c>
      <c r="BS153" t="s">
        <v>60</v>
      </c>
      <c r="BT153" t="s">
        <v>54</v>
      </c>
      <c r="BU153" t="s">
        <v>61</v>
      </c>
      <c r="BV153" t="s">
        <v>62</v>
      </c>
      <c r="BX153">
        <v>24</v>
      </c>
      <c r="BY153">
        <v>0</v>
      </c>
      <c r="BZ153">
        <v>0</v>
      </c>
    </row>
    <row r="154" spans="1:99" x14ac:dyDescent="0.2">
      <c r="A154" t="s">
        <v>180</v>
      </c>
      <c r="B154" t="s">
        <v>181</v>
      </c>
      <c r="C154" t="s">
        <v>184</v>
      </c>
      <c r="D154" t="s">
        <v>48</v>
      </c>
      <c r="F154" t="str">
        <f>"253049"</f>
        <v>253049</v>
      </c>
      <c r="G154" t="s">
        <v>49</v>
      </c>
      <c r="H154" t="s">
        <v>192</v>
      </c>
      <c r="I154" t="s">
        <v>193</v>
      </c>
      <c r="K154" t="s">
        <v>51</v>
      </c>
      <c r="L154" t="s">
        <v>52</v>
      </c>
      <c r="M154">
        <v>136573.84</v>
      </c>
      <c r="N154">
        <v>473523.93</v>
      </c>
      <c r="O154" t="s">
        <v>53</v>
      </c>
      <c r="P154" t="s">
        <v>54</v>
      </c>
      <c r="Q154" t="s">
        <v>55</v>
      </c>
      <c r="T154" t="s">
        <v>131</v>
      </c>
      <c r="U154">
        <v>40</v>
      </c>
      <c r="V154" s="1">
        <v>35431</v>
      </c>
      <c r="W154" s="1">
        <v>35431</v>
      </c>
      <c r="X154" s="1">
        <v>35431</v>
      </c>
      <c r="Y154" s="1">
        <v>50041</v>
      </c>
      <c r="Z154" t="s">
        <v>51</v>
      </c>
      <c r="AB154" t="s">
        <v>54</v>
      </c>
      <c r="AC154">
        <v>1</v>
      </c>
      <c r="AE154" t="s">
        <v>84</v>
      </c>
      <c r="AF154">
        <v>20</v>
      </c>
      <c r="AG154" s="1">
        <v>35431</v>
      </c>
      <c r="AH154" s="1">
        <v>35431</v>
      </c>
      <c r="AI154" s="1">
        <v>35431</v>
      </c>
      <c r="AJ154" s="1">
        <v>42736</v>
      </c>
      <c r="AK154" t="s">
        <v>51</v>
      </c>
      <c r="AN154">
        <v>0</v>
      </c>
      <c r="AO154" t="s">
        <v>54</v>
      </c>
      <c r="AP154" t="s">
        <v>53</v>
      </c>
      <c r="AQ154">
        <v>0</v>
      </c>
      <c r="AR154" t="s">
        <v>53</v>
      </c>
      <c r="AS154">
        <v>0</v>
      </c>
      <c r="AT154">
        <v>0</v>
      </c>
      <c r="AW154" t="s">
        <v>161</v>
      </c>
      <c r="AX154">
        <v>50</v>
      </c>
      <c r="AY154" s="1">
        <v>35431</v>
      </c>
      <c r="AZ154" s="1">
        <v>35431</v>
      </c>
      <c r="BA154" s="1">
        <v>35431</v>
      </c>
      <c r="BB154" s="1">
        <v>53693</v>
      </c>
      <c r="BC154" t="s">
        <v>51</v>
      </c>
      <c r="BE154" t="s">
        <v>54</v>
      </c>
      <c r="BF154">
        <v>0</v>
      </c>
      <c r="BG154">
        <v>0</v>
      </c>
      <c r="BH154" t="s">
        <v>53</v>
      </c>
      <c r="BK154" t="s">
        <v>59</v>
      </c>
      <c r="BL154">
        <v>14000</v>
      </c>
      <c r="BM154" s="1">
        <v>44322</v>
      </c>
      <c r="BN154" s="1">
        <v>44322</v>
      </c>
      <c r="BO154" s="1">
        <v>44322</v>
      </c>
      <c r="BP154" s="1">
        <v>45544</v>
      </c>
      <c r="BQ154" t="s">
        <v>51</v>
      </c>
      <c r="BS154" t="s">
        <v>60</v>
      </c>
      <c r="BT154" t="s">
        <v>54</v>
      </c>
      <c r="BU154" t="s">
        <v>61</v>
      </c>
      <c r="BV154" t="s">
        <v>62</v>
      </c>
      <c r="BX154">
        <v>24</v>
      </c>
      <c r="BY154">
        <v>0</v>
      </c>
      <c r="BZ154">
        <v>0</v>
      </c>
    </row>
    <row r="155" spans="1:99" x14ac:dyDescent="0.2">
      <c r="A155" t="s">
        <v>180</v>
      </c>
      <c r="B155" t="s">
        <v>181</v>
      </c>
      <c r="C155" t="s">
        <v>184</v>
      </c>
      <c r="D155" t="s">
        <v>48</v>
      </c>
      <c r="F155" t="str">
        <f>"253050"</f>
        <v>253050</v>
      </c>
      <c r="G155" t="s">
        <v>49</v>
      </c>
      <c r="H155" t="s">
        <v>194</v>
      </c>
      <c r="K155" t="s">
        <v>51</v>
      </c>
      <c r="L155" t="s">
        <v>52</v>
      </c>
      <c r="M155">
        <v>136547.96</v>
      </c>
      <c r="N155">
        <v>473534.6</v>
      </c>
      <c r="O155" t="s">
        <v>53</v>
      </c>
      <c r="P155" t="s">
        <v>54</v>
      </c>
      <c r="Q155" t="s">
        <v>55</v>
      </c>
      <c r="T155" t="s">
        <v>131</v>
      </c>
      <c r="U155">
        <v>40</v>
      </c>
      <c r="V155" s="1">
        <v>35431</v>
      </c>
      <c r="W155" s="1">
        <v>35431</v>
      </c>
      <c r="X155" s="1">
        <v>35431</v>
      </c>
      <c r="Y155" s="1">
        <v>50041</v>
      </c>
      <c r="Z155" t="s">
        <v>51</v>
      </c>
      <c r="AB155" t="s">
        <v>54</v>
      </c>
      <c r="AC155">
        <v>1</v>
      </c>
      <c r="AE155" t="s">
        <v>84</v>
      </c>
      <c r="AF155">
        <v>20</v>
      </c>
      <c r="AG155" s="1">
        <v>35431</v>
      </c>
      <c r="AH155" s="1">
        <v>35431</v>
      </c>
      <c r="AI155" s="1">
        <v>35431</v>
      </c>
      <c r="AJ155" s="1">
        <v>42736</v>
      </c>
      <c r="AK155" t="s">
        <v>51</v>
      </c>
      <c r="AN155">
        <v>0</v>
      </c>
      <c r="AO155" t="s">
        <v>54</v>
      </c>
      <c r="AP155" t="s">
        <v>53</v>
      </c>
      <c r="AQ155">
        <v>0</v>
      </c>
      <c r="AR155" t="s">
        <v>53</v>
      </c>
      <c r="AS155">
        <v>0</v>
      </c>
      <c r="AT155">
        <v>0</v>
      </c>
      <c r="AW155" t="s">
        <v>58</v>
      </c>
      <c r="AX155">
        <v>20</v>
      </c>
      <c r="AY155" s="1">
        <v>35431</v>
      </c>
      <c r="AZ155" s="1">
        <v>35431</v>
      </c>
      <c r="BA155" s="1">
        <v>35431</v>
      </c>
      <c r="BB155" s="1">
        <v>42736</v>
      </c>
      <c r="BC155" t="s">
        <v>51</v>
      </c>
      <c r="BE155" t="s">
        <v>54</v>
      </c>
      <c r="BF155">
        <v>2</v>
      </c>
      <c r="BG155">
        <v>0</v>
      </c>
      <c r="BH155" t="s">
        <v>53</v>
      </c>
      <c r="BK155" t="s">
        <v>59</v>
      </c>
      <c r="BL155">
        <v>14000</v>
      </c>
      <c r="BM155" s="1">
        <v>44322</v>
      </c>
      <c r="BN155" s="1">
        <v>44322</v>
      </c>
      <c r="BO155" s="1">
        <v>44322</v>
      </c>
      <c r="BP155" s="1">
        <v>45544</v>
      </c>
      <c r="BQ155" t="s">
        <v>51</v>
      </c>
      <c r="BS155" t="s">
        <v>60</v>
      </c>
      <c r="BT155" t="s">
        <v>54</v>
      </c>
      <c r="BU155" t="s">
        <v>61</v>
      </c>
      <c r="BV155" t="s">
        <v>62</v>
      </c>
      <c r="BX155">
        <v>24</v>
      </c>
      <c r="BY155">
        <v>0</v>
      </c>
      <c r="BZ155">
        <v>0</v>
      </c>
    </row>
    <row r="156" spans="1:99" x14ac:dyDescent="0.2">
      <c r="A156" t="s">
        <v>45</v>
      </c>
      <c r="B156" t="s">
        <v>46</v>
      </c>
      <c r="C156" t="s">
        <v>47</v>
      </c>
      <c r="D156" t="s">
        <v>48</v>
      </c>
      <c r="F156" t="str">
        <f>"253051"</f>
        <v>253051</v>
      </c>
      <c r="G156" t="s">
        <v>49</v>
      </c>
      <c r="I156" t="s">
        <v>195</v>
      </c>
      <c r="K156" t="s">
        <v>51</v>
      </c>
      <c r="L156" t="s">
        <v>52</v>
      </c>
      <c r="M156">
        <v>136518.94</v>
      </c>
      <c r="N156">
        <v>473546.6</v>
      </c>
      <c r="O156" t="s">
        <v>53</v>
      </c>
      <c r="P156" t="s">
        <v>54</v>
      </c>
      <c r="Q156" t="s">
        <v>55</v>
      </c>
      <c r="T156" t="s">
        <v>131</v>
      </c>
      <c r="U156">
        <v>40</v>
      </c>
      <c r="V156" s="1">
        <v>35431</v>
      </c>
      <c r="W156" s="1">
        <v>35431</v>
      </c>
      <c r="X156" s="1">
        <v>35431</v>
      </c>
      <c r="Y156" s="1">
        <v>50041</v>
      </c>
      <c r="Z156" t="s">
        <v>51</v>
      </c>
      <c r="AB156" t="s">
        <v>54</v>
      </c>
      <c r="AC156">
        <v>1</v>
      </c>
      <c r="AE156" t="s">
        <v>84</v>
      </c>
      <c r="AF156">
        <v>20</v>
      </c>
      <c r="AG156" s="1">
        <v>40330</v>
      </c>
      <c r="AH156" s="1">
        <v>40330</v>
      </c>
      <c r="AI156" s="1">
        <v>40330</v>
      </c>
      <c r="AJ156" s="1">
        <v>47635</v>
      </c>
      <c r="AK156" t="s">
        <v>51</v>
      </c>
      <c r="AN156">
        <v>0</v>
      </c>
      <c r="AO156" t="s">
        <v>54</v>
      </c>
      <c r="AP156" t="s">
        <v>53</v>
      </c>
      <c r="AQ156">
        <v>0</v>
      </c>
      <c r="AR156" t="s">
        <v>53</v>
      </c>
      <c r="AS156">
        <v>0</v>
      </c>
      <c r="AT156">
        <v>0</v>
      </c>
      <c r="AW156" t="s">
        <v>58</v>
      </c>
      <c r="AX156">
        <v>20</v>
      </c>
      <c r="AY156" s="1">
        <v>40330</v>
      </c>
      <c r="AZ156" s="1">
        <v>40330</v>
      </c>
      <c r="BA156" s="1">
        <v>40330</v>
      </c>
      <c r="BB156" s="1">
        <v>47635</v>
      </c>
      <c r="BC156" t="s">
        <v>51</v>
      </c>
      <c r="BE156" t="s">
        <v>54</v>
      </c>
      <c r="BF156">
        <v>2</v>
      </c>
      <c r="BG156">
        <v>0</v>
      </c>
      <c r="BH156" t="s">
        <v>53</v>
      </c>
      <c r="BK156" t="s">
        <v>59</v>
      </c>
      <c r="BL156">
        <v>14000</v>
      </c>
      <c r="BM156" s="1">
        <v>44322</v>
      </c>
      <c r="BN156" s="1">
        <v>44322</v>
      </c>
      <c r="BO156" s="1">
        <v>44322</v>
      </c>
      <c r="BP156" s="1">
        <v>45544</v>
      </c>
      <c r="BQ156" t="s">
        <v>51</v>
      </c>
      <c r="BS156" t="s">
        <v>60</v>
      </c>
      <c r="BT156" t="s">
        <v>54</v>
      </c>
      <c r="BU156" t="s">
        <v>61</v>
      </c>
      <c r="BV156" t="s">
        <v>62</v>
      </c>
      <c r="BX156">
        <v>24</v>
      </c>
      <c r="BY156">
        <v>0</v>
      </c>
      <c r="BZ156">
        <v>0</v>
      </c>
    </row>
    <row r="157" spans="1:99" x14ac:dyDescent="0.2">
      <c r="A157" t="s">
        <v>45</v>
      </c>
      <c r="B157" t="s">
        <v>46</v>
      </c>
      <c r="C157" t="s">
        <v>47</v>
      </c>
      <c r="D157" t="s">
        <v>48</v>
      </c>
      <c r="F157" t="str">
        <f>"253052"</f>
        <v>253052</v>
      </c>
      <c r="G157" t="s">
        <v>49</v>
      </c>
      <c r="H157" t="s">
        <v>196</v>
      </c>
      <c r="K157" t="s">
        <v>51</v>
      </c>
      <c r="L157" t="s">
        <v>52</v>
      </c>
      <c r="M157">
        <v>136490.45000000001</v>
      </c>
      <c r="N157">
        <v>473558.24</v>
      </c>
      <c r="O157" t="s">
        <v>53</v>
      </c>
      <c r="P157" t="s">
        <v>54</v>
      </c>
      <c r="Q157" t="s">
        <v>55</v>
      </c>
      <c r="T157" t="s">
        <v>131</v>
      </c>
      <c r="U157">
        <v>40</v>
      </c>
      <c r="V157" s="1">
        <v>35431</v>
      </c>
      <c r="W157" s="1">
        <v>35431</v>
      </c>
      <c r="X157" s="1">
        <v>35431</v>
      </c>
      <c r="Y157" s="1">
        <v>50041</v>
      </c>
      <c r="Z157" t="s">
        <v>51</v>
      </c>
      <c r="AB157" t="s">
        <v>54</v>
      </c>
      <c r="AC157">
        <v>1</v>
      </c>
      <c r="AE157" t="s">
        <v>84</v>
      </c>
      <c r="AF157">
        <v>20</v>
      </c>
      <c r="AG157" s="1">
        <v>35431</v>
      </c>
      <c r="AH157" s="1">
        <v>35431</v>
      </c>
      <c r="AI157" s="1">
        <v>35431</v>
      </c>
      <c r="AJ157" s="1">
        <v>42736</v>
      </c>
      <c r="AK157" t="s">
        <v>51</v>
      </c>
      <c r="AN157">
        <v>0</v>
      </c>
      <c r="AO157" t="s">
        <v>54</v>
      </c>
      <c r="AP157" t="s">
        <v>53</v>
      </c>
      <c r="AQ157">
        <v>0</v>
      </c>
      <c r="AR157" t="s">
        <v>53</v>
      </c>
      <c r="AS157">
        <v>0</v>
      </c>
      <c r="AT157">
        <v>0</v>
      </c>
      <c r="AW157" t="s">
        <v>58</v>
      </c>
      <c r="AX157">
        <v>20</v>
      </c>
      <c r="AY157" s="1">
        <v>35431</v>
      </c>
      <c r="AZ157" s="1">
        <v>35431</v>
      </c>
      <c r="BA157" s="1">
        <v>35431</v>
      </c>
      <c r="BB157" s="1">
        <v>42736</v>
      </c>
      <c r="BC157" t="s">
        <v>51</v>
      </c>
      <c r="BE157" t="s">
        <v>54</v>
      </c>
      <c r="BF157">
        <v>2</v>
      </c>
      <c r="BG157">
        <v>0</v>
      </c>
      <c r="BH157" t="s">
        <v>53</v>
      </c>
      <c r="BK157" t="s">
        <v>59</v>
      </c>
      <c r="BL157">
        <v>14000</v>
      </c>
      <c r="BM157" s="1">
        <v>44322</v>
      </c>
      <c r="BN157" s="1">
        <v>44322</v>
      </c>
      <c r="BO157" s="1">
        <v>44322</v>
      </c>
      <c r="BP157" s="1">
        <v>45544</v>
      </c>
      <c r="BQ157" t="s">
        <v>51</v>
      </c>
      <c r="BS157" t="s">
        <v>60</v>
      </c>
      <c r="BT157" t="s">
        <v>54</v>
      </c>
      <c r="BU157" t="s">
        <v>61</v>
      </c>
      <c r="BV157" t="s">
        <v>62</v>
      </c>
      <c r="BX157">
        <v>24</v>
      </c>
      <c r="BY157">
        <v>0</v>
      </c>
      <c r="BZ157">
        <v>0</v>
      </c>
    </row>
    <row r="158" spans="1:99" x14ac:dyDescent="0.2">
      <c r="A158" t="s">
        <v>45</v>
      </c>
      <c r="B158" t="s">
        <v>46</v>
      </c>
      <c r="C158" t="s">
        <v>47</v>
      </c>
      <c r="D158" t="s">
        <v>48</v>
      </c>
      <c r="F158" t="str">
        <f>"253053"</f>
        <v>253053</v>
      </c>
      <c r="G158" t="s">
        <v>49</v>
      </c>
      <c r="H158" t="s">
        <v>197</v>
      </c>
      <c r="I158" t="s">
        <v>198</v>
      </c>
      <c r="K158" t="s">
        <v>51</v>
      </c>
      <c r="L158" t="s">
        <v>52</v>
      </c>
      <c r="M158">
        <v>136459.42000000001</v>
      </c>
      <c r="N158">
        <v>473570.66</v>
      </c>
      <c r="O158" t="s">
        <v>53</v>
      </c>
      <c r="P158" t="s">
        <v>54</v>
      </c>
      <c r="Q158" t="s">
        <v>55</v>
      </c>
      <c r="T158" t="s">
        <v>131</v>
      </c>
      <c r="U158">
        <v>40</v>
      </c>
      <c r="V158" s="1">
        <v>35431</v>
      </c>
      <c r="W158" s="1">
        <v>35431</v>
      </c>
      <c r="X158" s="1">
        <v>35431</v>
      </c>
      <c r="Y158" s="1">
        <v>50041</v>
      </c>
      <c r="Z158" t="s">
        <v>51</v>
      </c>
      <c r="AB158" t="s">
        <v>54</v>
      </c>
      <c r="AC158">
        <v>1</v>
      </c>
      <c r="AE158" t="s">
        <v>84</v>
      </c>
      <c r="AF158">
        <v>20</v>
      </c>
      <c r="AG158" s="1">
        <v>35431</v>
      </c>
      <c r="AH158" s="1">
        <v>35431</v>
      </c>
      <c r="AI158" s="1">
        <v>35431</v>
      </c>
      <c r="AJ158" s="1">
        <v>42736</v>
      </c>
      <c r="AK158" t="s">
        <v>51</v>
      </c>
      <c r="AN158">
        <v>0</v>
      </c>
      <c r="AO158" t="s">
        <v>54</v>
      </c>
      <c r="AP158" t="s">
        <v>53</v>
      </c>
      <c r="AQ158">
        <v>0</v>
      </c>
      <c r="AR158" t="s">
        <v>53</v>
      </c>
      <c r="AS158">
        <v>0</v>
      </c>
      <c r="AT158">
        <v>0</v>
      </c>
      <c r="AW158" t="s">
        <v>58</v>
      </c>
      <c r="AX158">
        <v>20</v>
      </c>
      <c r="AY158" s="1">
        <v>35431</v>
      </c>
      <c r="AZ158" s="1">
        <v>35431</v>
      </c>
      <c r="BA158" s="1">
        <v>35431</v>
      </c>
      <c r="BB158" s="1">
        <v>42736</v>
      </c>
      <c r="BC158" t="s">
        <v>51</v>
      </c>
      <c r="BE158" t="s">
        <v>54</v>
      </c>
      <c r="BF158">
        <v>2</v>
      </c>
      <c r="BG158">
        <v>0</v>
      </c>
      <c r="BH158" t="s">
        <v>53</v>
      </c>
      <c r="BK158" t="s">
        <v>59</v>
      </c>
      <c r="BL158">
        <v>14000</v>
      </c>
      <c r="BM158" s="1">
        <v>44322</v>
      </c>
      <c r="BN158" s="1">
        <v>44322</v>
      </c>
      <c r="BO158" s="1">
        <v>44322</v>
      </c>
      <c r="BP158" s="1">
        <v>45544</v>
      </c>
      <c r="BQ158" t="s">
        <v>51</v>
      </c>
      <c r="BS158" t="s">
        <v>60</v>
      </c>
      <c r="BT158" t="s">
        <v>54</v>
      </c>
      <c r="BU158" t="s">
        <v>61</v>
      </c>
      <c r="BV158" t="s">
        <v>62</v>
      </c>
      <c r="BX158">
        <v>24</v>
      </c>
      <c r="BY158">
        <v>0</v>
      </c>
      <c r="BZ158">
        <v>0</v>
      </c>
    </row>
    <row r="159" spans="1:99" x14ac:dyDescent="0.2">
      <c r="A159" t="s">
        <v>45</v>
      </c>
      <c r="B159" t="s">
        <v>46</v>
      </c>
      <c r="C159" t="s">
        <v>47</v>
      </c>
      <c r="D159" t="s">
        <v>48</v>
      </c>
      <c r="F159" t="str">
        <f>"253054"</f>
        <v>253054</v>
      </c>
      <c r="G159" t="s">
        <v>49</v>
      </c>
      <c r="H159" t="s">
        <v>199</v>
      </c>
      <c r="K159" t="s">
        <v>51</v>
      </c>
      <c r="L159" t="s">
        <v>52</v>
      </c>
      <c r="M159">
        <v>136432.29</v>
      </c>
      <c r="N159">
        <v>473581.44</v>
      </c>
      <c r="O159" t="s">
        <v>53</v>
      </c>
      <c r="P159" t="s">
        <v>54</v>
      </c>
      <c r="Q159" t="s">
        <v>55</v>
      </c>
      <c r="T159" t="s">
        <v>131</v>
      </c>
      <c r="U159">
        <v>40</v>
      </c>
      <c r="V159" s="1">
        <v>35431</v>
      </c>
      <c r="W159" s="1">
        <v>35431</v>
      </c>
      <c r="X159" s="1">
        <v>35431</v>
      </c>
      <c r="Y159" s="1">
        <v>50041</v>
      </c>
      <c r="Z159" t="s">
        <v>51</v>
      </c>
      <c r="AB159" t="s">
        <v>54</v>
      </c>
      <c r="AC159">
        <v>1</v>
      </c>
      <c r="AE159" t="s">
        <v>84</v>
      </c>
      <c r="AF159">
        <v>20</v>
      </c>
      <c r="AG159" s="1">
        <v>35431</v>
      </c>
      <c r="AH159" s="1">
        <v>35431</v>
      </c>
      <c r="AI159" s="1">
        <v>35431</v>
      </c>
      <c r="AJ159" s="1">
        <v>42736</v>
      </c>
      <c r="AK159" t="s">
        <v>51</v>
      </c>
      <c r="AN159">
        <v>0</v>
      </c>
      <c r="AO159" t="s">
        <v>54</v>
      </c>
      <c r="AP159" t="s">
        <v>53</v>
      </c>
      <c r="AQ159">
        <v>0</v>
      </c>
      <c r="AR159" t="s">
        <v>53</v>
      </c>
      <c r="AS159">
        <v>0</v>
      </c>
      <c r="AT159">
        <v>0</v>
      </c>
      <c r="AW159" t="s">
        <v>58</v>
      </c>
      <c r="AX159">
        <v>20</v>
      </c>
      <c r="AY159" s="1">
        <v>35431</v>
      </c>
      <c r="AZ159" s="1">
        <v>35431</v>
      </c>
      <c r="BA159" s="1">
        <v>35431</v>
      </c>
      <c r="BB159" s="1">
        <v>42736</v>
      </c>
      <c r="BC159" t="s">
        <v>51</v>
      </c>
      <c r="BE159" t="s">
        <v>54</v>
      </c>
      <c r="BF159">
        <v>2</v>
      </c>
      <c r="BG159">
        <v>0</v>
      </c>
      <c r="BH159" t="s">
        <v>53</v>
      </c>
      <c r="BK159" t="s">
        <v>59</v>
      </c>
      <c r="BL159">
        <v>14000</v>
      </c>
      <c r="BM159" s="1">
        <v>44322</v>
      </c>
      <c r="BN159" s="1">
        <v>44322</v>
      </c>
      <c r="BO159" s="1">
        <v>44322</v>
      </c>
      <c r="BP159" s="1">
        <v>45544</v>
      </c>
      <c r="BQ159" t="s">
        <v>51</v>
      </c>
      <c r="BS159" t="s">
        <v>60</v>
      </c>
      <c r="BT159" t="s">
        <v>54</v>
      </c>
      <c r="BU159" t="s">
        <v>61</v>
      </c>
      <c r="BV159" t="s">
        <v>62</v>
      </c>
      <c r="BX159">
        <v>24</v>
      </c>
      <c r="BY159">
        <v>0</v>
      </c>
      <c r="BZ159">
        <v>0</v>
      </c>
    </row>
    <row r="160" spans="1:99" x14ac:dyDescent="0.2">
      <c r="A160" t="s">
        <v>180</v>
      </c>
      <c r="B160" t="s">
        <v>181</v>
      </c>
      <c r="C160" t="s">
        <v>182</v>
      </c>
      <c r="D160" t="s">
        <v>48</v>
      </c>
      <c r="F160" t="str">
        <f>"253055"</f>
        <v>253055</v>
      </c>
      <c r="G160" t="s">
        <v>49</v>
      </c>
      <c r="H160" t="s">
        <v>200</v>
      </c>
      <c r="K160" t="s">
        <v>51</v>
      </c>
      <c r="L160" t="s">
        <v>52</v>
      </c>
      <c r="M160">
        <v>136415.66</v>
      </c>
      <c r="N160">
        <v>473583.27</v>
      </c>
      <c r="O160" t="s">
        <v>53</v>
      </c>
      <c r="P160" t="s">
        <v>54</v>
      </c>
      <c r="Q160" t="s">
        <v>55</v>
      </c>
      <c r="T160" t="s">
        <v>131</v>
      </c>
      <c r="U160">
        <v>40</v>
      </c>
      <c r="V160" s="1">
        <v>35431</v>
      </c>
      <c r="W160" s="1">
        <v>35431</v>
      </c>
      <c r="X160" s="1">
        <v>35431</v>
      </c>
      <c r="Y160" s="1">
        <v>50041</v>
      </c>
      <c r="Z160" t="s">
        <v>51</v>
      </c>
      <c r="AB160" t="s">
        <v>54</v>
      </c>
      <c r="AC160">
        <v>1</v>
      </c>
      <c r="AE160" t="s">
        <v>84</v>
      </c>
      <c r="AF160">
        <v>20</v>
      </c>
      <c r="AG160" s="1">
        <v>35431</v>
      </c>
      <c r="AH160" s="1">
        <v>35431</v>
      </c>
      <c r="AI160" s="1">
        <v>35431</v>
      </c>
      <c r="AJ160" s="1">
        <v>42736</v>
      </c>
      <c r="AK160" t="s">
        <v>51</v>
      </c>
      <c r="AN160">
        <v>0</v>
      </c>
      <c r="AO160" t="s">
        <v>54</v>
      </c>
      <c r="AP160" t="s">
        <v>53</v>
      </c>
      <c r="AQ160">
        <v>0</v>
      </c>
      <c r="AR160" t="s">
        <v>53</v>
      </c>
      <c r="AS160">
        <v>0</v>
      </c>
      <c r="AT160">
        <v>0</v>
      </c>
      <c r="AW160" t="s">
        <v>58</v>
      </c>
      <c r="AX160">
        <v>20</v>
      </c>
      <c r="AY160" s="1">
        <v>35431</v>
      </c>
      <c r="AZ160" s="1">
        <v>35431</v>
      </c>
      <c r="BA160" s="1">
        <v>35431</v>
      </c>
      <c r="BB160" s="1">
        <v>42736</v>
      </c>
      <c r="BC160" t="s">
        <v>51</v>
      </c>
      <c r="BE160" t="s">
        <v>54</v>
      </c>
      <c r="BF160">
        <v>2</v>
      </c>
      <c r="BG160">
        <v>0</v>
      </c>
      <c r="BH160" t="s">
        <v>53</v>
      </c>
      <c r="BK160" t="s">
        <v>59</v>
      </c>
      <c r="BL160">
        <v>14000</v>
      </c>
      <c r="BM160" s="1">
        <v>44322</v>
      </c>
      <c r="BN160" s="1">
        <v>44322</v>
      </c>
      <c r="BO160" s="1">
        <v>44322</v>
      </c>
      <c r="BP160" s="1">
        <v>45544</v>
      </c>
      <c r="BQ160" t="s">
        <v>51</v>
      </c>
      <c r="BS160" t="s">
        <v>60</v>
      </c>
      <c r="BT160" t="s">
        <v>54</v>
      </c>
      <c r="BU160" t="s">
        <v>61</v>
      </c>
      <c r="BV160" t="s">
        <v>62</v>
      </c>
      <c r="BX160">
        <v>24</v>
      </c>
      <c r="BY160">
        <v>0</v>
      </c>
      <c r="BZ160">
        <v>0</v>
      </c>
    </row>
    <row r="161" spans="1:78" x14ac:dyDescent="0.2">
      <c r="A161" t="s">
        <v>180</v>
      </c>
      <c r="B161" t="s">
        <v>181</v>
      </c>
      <c r="C161" t="s">
        <v>182</v>
      </c>
      <c r="D161" t="s">
        <v>48</v>
      </c>
      <c r="F161" t="str">
        <f>"253057"</f>
        <v>253057</v>
      </c>
      <c r="G161" t="s">
        <v>49</v>
      </c>
      <c r="H161" t="s">
        <v>201</v>
      </c>
      <c r="I161" t="s">
        <v>202</v>
      </c>
      <c r="K161" t="s">
        <v>51</v>
      </c>
      <c r="L161" t="s">
        <v>52</v>
      </c>
      <c r="M161">
        <v>136387.76999999999</v>
      </c>
      <c r="N161">
        <v>473589.73</v>
      </c>
      <c r="O161" t="s">
        <v>53</v>
      </c>
      <c r="P161" t="s">
        <v>54</v>
      </c>
      <c r="Q161" t="s">
        <v>55</v>
      </c>
      <c r="T161" t="s">
        <v>131</v>
      </c>
      <c r="U161">
        <v>40</v>
      </c>
      <c r="V161" s="1">
        <v>35431</v>
      </c>
      <c r="W161" s="1">
        <v>35431</v>
      </c>
      <c r="X161" s="1">
        <v>35431</v>
      </c>
      <c r="Y161" s="1">
        <v>50041</v>
      </c>
      <c r="Z161" t="s">
        <v>51</v>
      </c>
      <c r="AB161" t="s">
        <v>54</v>
      </c>
      <c r="AC161">
        <v>1</v>
      </c>
      <c r="AE161" t="s">
        <v>116</v>
      </c>
      <c r="AF161">
        <v>20</v>
      </c>
      <c r="AG161" s="1">
        <v>35431</v>
      </c>
      <c r="AH161" s="1">
        <v>35431</v>
      </c>
      <c r="AI161" s="1">
        <v>35431</v>
      </c>
      <c r="AJ161" s="1">
        <v>42736</v>
      </c>
      <c r="AK161" t="s">
        <v>51</v>
      </c>
      <c r="AN161">
        <v>0</v>
      </c>
      <c r="AO161" t="s">
        <v>54</v>
      </c>
      <c r="AP161" t="s">
        <v>53</v>
      </c>
      <c r="AQ161">
        <v>0</v>
      </c>
      <c r="AR161" t="s">
        <v>53</v>
      </c>
      <c r="AS161">
        <v>0</v>
      </c>
      <c r="AT161">
        <v>0</v>
      </c>
      <c r="AW161" t="s">
        <v>58</v>
      </c>
      <c r="AX161">
        <v>20</v>
      </c>
      <c r="AY161" s="1">
        <v>35431</v>
      </c>
      <c r="AZ161" s="1">
        <v>35431</v>
      </c>
      <c r="BA161" s="1">
        <v>35431</v>
      </c>
      <c r="BB161" s="1">
        <v>42736</v>
      </c>
      <c r="BC161" t="s">
        <v>51</v>
      </c>
      <c r="BE161" t="s">
        <v>54</v>
      </c>
      <c r="BF161">
        <v>2</v>
      </c>
      <c r="BG161">
        <v>0</v>
      </c>
      <c r="BH161" t="s">
        <v>53</v>
      </c>
      <c r="BK161" t="s">
        <v>65</v>
      </c>
      <c r="BL161">
        <v>14000</v>
      </c>
      <c r="BM161" s="1">
        <v>44322</v>
      </c>
      <c r="BN161" s="1">
        <v>44322</v>
      </c>
      <c r="BO161" s="1">
        <v>44322</v>
      </c>
      <c r="BP161" s="1">
        <v>45544</v>
      </c>
      <c r="BQ161" t="s">
        <v>51</v>
      </c>
      <c r="BS161" t="s">
        <v>60</v>
      </c>
      <c r="BT161" t="s">
        <v>54</v>
      </c>
      <c r="BU161" t="s">
        <v>61</v>
      </c>
      <c r="BV161" t="s">
        <v>62</v>
      </c>
      <c r="BX161">
        <v>36</v>
      </c>
      <c r="BY161">
        <v>0</v>
      </c>
      <c r="BZ161">
        <v>0</v>
      </c>
    </row>
    <row r="162" spans="1:78" x14ac:dyDescent="0.2">
      <c r="A162" t="s">
        <v>180</v>
      </c>
      <c r="B162" t="s">
        <v>181</v>
      </c>
      <c r="C162" t="s">
        <v>182</v>
      </c>
      <c r="D162" t="s">
        <v>48</v>
      </c>
      <c r="F162" t="str">
        <f>"253058"</f>
        <v>253058</v>
      </c>
      <c r="G162" t="s">
        <v>49</v>
      </c>
      <c r="H162" t="s">
        <v>203</v>
      </c>
      <c r="K162" t="s">
        <v>51</v>
      </c>
      <c r="L162" t="s">
        <v>52</v>
      </c>
      <c r="M162">
        <v>136362.10999999999</v>
      </c>
      <c r="N162">
        <v>473600.4</v>
      </c>
      <c r="O162" t="s">
        <v>53</v>
      </c>
      <c r="P162" t="s">
        <v>54</v>
      </c>
      <c r="Q162" t="s">
        <v>55</v>
      </c>
      <c r="T162" t="s">
        <v>131</v>
      </c>
      <c r="U162">
        <v>40</v>
      </c>
      <c r="V162" s="1">
        <v>35431</v>
      </c>
      <c r="W162" s="1">
        <v>35431</v>
      </c>
      <c r="X162" s="1">
        <v>35431</v>
      </c>
      <c r="Y162" s="1">
        <v>50041</v>
      </c>
      <c r="Z162" t="s">
        <v>51</v>
      </c>
      <c r="AB162" t="s">
        <v>54</v>
      </c>
      <c r="AC162">
        <v>1</v>
      </c>
      <c r="AE162" t="s">
        <v>116</v>
      </c>
      <c r="AF162">
        <v>20</v>
      </c>
      <c r="AG162" s="1">
        <v>35431</v>
      </c>
      <c r="AH162" s="1">
        <v>35431</v>
      </c>
      <c r="AI162" s="1">
        <v>35431</v>
      </c>
      <c r="AJ162" s="1">
        <v>42736</v>
      </c>
      <c r="AK162" t="s">
        <v>51</v>
      </c>
      <c r="AN162">
        <v>0</v>
      </c>
      <c r="AO162" t="s">
        <v>54</v>
      </c>
      <c r="AP162" t="s">
        <v>53</v>
      </c>
      <c r="AQ162">
        <v>0</v>
      </c>
      <c r="AR162" t="s">
        <v>53</v>
      </c>
      <c r="AS162">
        <v>0</v>
      </c>
      <c r="AT162">
        <v>0</v>
      </c>
      <c r="AW162" t="s">
        <v>58</v>
      </c>
      <c r="AX162">
        <v>20</v>
      </c>
      <c r="AY162" s="1">
        <v>35431</v>
      </c>
      <c r="AZ162" s="1">
        <v>35431</v>
      </c>
      <c r="BA162" s="1">
        <v>35431</v>
      </c>
      <c r="BB162" s="1">
        <v>42736</v>
      </c>
      <c r="BC162" t="s">
        <v>51</v>
      </c>
      <c r="BE162" t="s">
        <v>54</v>
      </c>
      <c r="BF162">
        <v>2</v>
      </c>
      <c r="BG162">
        <v>0</v>
      </c>
      <c r="BH162" t="s">
        <v>53</v>
      </c>
      <c r="BK162" t="s">
        <v>65</v>
      </c>
      <c r="BL162">
        <v>14000</v>
      </c>
      <c r="BM162" s="1">
        <v>44322</v>
      </c>
      <c r="BN162" s="1">
        <v>44322</v>
      </c>
      <c r="BO162" s="1">
        <v>44322</v>
      </c>
      <c r="BP162" s="1">
        <v>45544</v>
      </c>
      <c r="BQ162" t="s">
        <v>51</v>
      </c>
      <c r="BS162" t="s">
        <v>60</v>
      </c>
      <c r="BT162" t="s">
        <v>54</v>
      </c>
      <c r="BU162" t="s">
        <v>61</v>
      </c>
      <c r="BV162" t="s">
        <v>62</v>
      </c>
      <c r="BX162">
        <v>36</v>
      </c>
      <c r="BY162">
        <v>0</v>
      </c>
      <c r="BZ162">
        <v>0</v>
      </c>
    </row>
    <row r="163" spans="1:78" x14ac:dyDescent="0.2">
      <c r="A163" t="s">
        <v>180</v>
      </c>
      <c r="B163" t="s">
        <v>181</v>
      </c>
      <c r="C163" t="s">
        <v>182</v>
      </c>
      <c r="D163" t="s">
        <v>48</v>
      </c>
      <c r="F163" t="str">
        <f>"253059"</f>
        <v>253059</v>
      </c>
      <c r="G163" t="s">
        <v>49</v>
      </c>
      <c r="H163" t="s">
        <v>204</v>
      </c>
      <c r="K163" t="s">
        <v>51</v>
      </c>
      <c r="L163" t="s">
        <v>52</v>
      </c>
      <c r="M163">
        <v>136334.21</v>
      </c>
      <c r="N163">
        <v>473611.96</v>
      </c>
      <c r="O163" t="s">
        <v>53</v>
      </c>
      <c r="P163" t="s">
        <v>54</v>
      </c>
      <c r="Q163" t="s">
        <v>55</v>
      </c>
      <c r="T163" t="s">
        <v>131</v>
      </c>
      <c r="U163">
        <v>40</v>
      </c>
      <c r="V163" s="1">
        <v>35431</v>
      </c>
      <c r="W163" s="1">
        <v>35431</v>
      </c>
      <c r="X163" s="1">
        <v>35431</v>
      </c>
      <c r="Y163" s="1">
        <v>50041</v>
      </c>
      <c r="Z163" t="s">
        <v>51</v>
      </c>
      <c r="AB163" t="s">
        <v>54</v>
      </c>
      <c r="AC163">
        <v>1</v>
      </c>
      <c r="AE163" t="s">
        <v>116</v>
      </c>
      <c r="AF163">
        <v>20</v>
      </c>
      <c r="AG163" s="1">
        <v>35431</v>
      </c>
      <c r="AH163" s="1">
        <v>35431</v>
      </c>
      <c r="AI163" s="1">
        <v>35431</v>
      </c>
      <c r="AJ163" s="1">
        <v>42736</v>
      </c>
      <c r="AK163" t="s">
        <v>51</v>
      </c>
      <c r="AN163">
        <v>0</v>
      </c>
      <c r="AO163" t="s">
        <v>54</v>
      </c>
      <c r="AP163" t="s">
        <v>53</v>
      </c>
      <c r="AQ163">
        <v>0</v>
      </c>
      <c r="AR163" t="s">
        <v>53</v>
      </c>
      <c r="AS163">
        <v>0</v>
      </c>
      <c r="AT163">
        <v>0</v>
      </c>
      <c r="AW163" t="s">
        <v>58</v>
      </c>
      <c r="AX163">
        <v>20</v>
      </c>
      <c r="AY163" s="1">
        <v>35431</v>
      </c>
      <c r="AZ163" s="1">
        <v>35431</v>
      </c>
      <c r="BA163" s="1">
        <v>35431</v>
      </c>
      <c r="BB163" s="1">
        <v>42736</v>
      </c>
      <c r="BC163" t="s">
        <v>51</v>
      </c>
      <c r="BE163" t="s">
        <v>54</v>
      </c>
      <c r="BF163">
        <v>2</v>
      </c>
      <c r="BG163">
        <v>0</v>
      </c>
      <c r="BH163" t="s">
        <v>53</v>
      </c>
      <c r="BK163" t="s">
        <v>65</v>
      </c>
      <c r="BL163">
        <v>14000</v>
      </c>
      <c r="BM163" s="1">
        <v>44322</v>
      </c>
      <c r="BN163" s="1">
        <v>44322</v>
      </c>
      <c r="BO163" s="1">
        <v>44322</v>
      </c>
      <c r="BP163" s="1">
        <v>45544</v>
      </c>
      <c r="BQ163" t="s">
        <v>51</v>
      </c>
      <c r="BS163" t="s">
        <v>60</v>
      </c>
      <c r="BT163" t="s">
        <v>54</v>
      </c>
      <c r="BU163" t="s">
        <v>61</v>
      </c>
      <c r="BV163" t="s">
        <v>62</v>
      </c>
      <c r="BX163">
        <v>36</v>
      </c>
      <c r="BY163">
        <v>0</v>
      </c>
      <c r="BZ163">
        <v>0</v>
      </c>
    </row>
    <row r="164" spans="1:78" x14ac:dyDescent="0.2">
      <c r="A164" t="s">
        <v>180</v>
      </c>
      <c r="B164" t="s">
        <v>181</v>
      </c>
      <c r="C164" t="s">
        <v>182</v>
      </c>
      <c r="D164" t="s">
        <v>48</v>
      </c>
      <c r="F164" t="str">
        <f>"253060"</f>
        <v>253060</v>
      </c>
      <c r="G164" t="s">
        <v>49</v>
      </c>
      <c r="H164" t="s">
        <v>205</v>
      </c>
      <c r="K164" t="s">
        <v>51</v>
      </c>
      <c r="L164" t="s">
        <v>52</v>
      </c>
      <c r="M164">
        <v>136304.95999999999</v>
      </c>
      <c r="N164">
        <v>473623.87</v>
      </c>
      <c r="O164" t="s">
        <v>53</v>
      </c>
      <c r="P164" t="s">
        <v>54</v>
      </c>
      <c r="Q164" t="s">
        <v>55</v>
      </c>
      <c r="T164" t="s">
        <v>131</v>
      </c>
      <c r="U164">
        <v>40</v>
      </c>
      <c r="V164" s="1">
        <v>35796</v>
      </c>
      <c r="W164" s="1">
        <v>35796</v>
      </c>
      <c r="X164" s="1">
        <v>35796</v>
      </c>
      <c r="Y164" s="1">
        <v>50406</v>
      </c>
      <c r="Z164" t="s">
        <v>51</v>
      </c>
      <c r="AB164" t="s">
        <v>54</v>
      </c>
      <c r="AC164">
        <v>1</v>
      </c>
      <c r="AE164" t="s">
        <v>116</v>
      </c>
      <c r="AF164">
        <v>20</v>
      </c>
      <c r="AG164" s="1">
        <v>35431</v>
      </c>
      <c r="AH164" s="1">
        <v>35431</v>
      </c>
      <c r="AI164" s="1">
        <v>35796</v>
      </c>
      <c r="AJ164" s="1">
        <v>42736</v>
      </c>
      <c r="AK164" t="s">
        <v>51</v>
      </c>
      <c r="AN164">
        <v>0</v>
      </c>
      <c r="AO164" t="s">
        <v>54</v>
      </c>
      <c r="AP164" t="s">
        <v>53</v>
      </c>
      <c r="AQ164">
        <v>0</v>
      </c>
      <c r="AR164" t="s">
        <v>53</v>
      </c>
      <c r="AS164">
        <v>0</v>
      </c>
      <c r="AT164">
        <v>0</v>
      </c>
      <c r="AW164" t="s">
        <v>58</v>
      </c>
      <c r="AX164">
        <v>20</v>
      </c>
      <c r="AY164" s="1">
        <v>35431</v>
      </c>
      <c r="AZ164" s="1">
        <v>35431</v>
      </c>
      <c r="BA164" s="1">
        <v>35796</v>
      </c>
      <c r="BB164" s="1">
        <v>42736</v>
      </c>
      <c r="BC164" t="s">
        <v>51</v>
      </c>
      <c r="BE164" t="s">
        <v>54</v>
      </c>
      <c r="BF164">
        <v>2</v>
      </c>
      <c r="BG164">
        <v>0</v>
      </c>
      <c r="BH164" t="s">
        <v>53</v>
      </c>
      <c r="BK164" t="s">
        <v>65</v>
      </c>
      <c r="BL164">
        <v>14000</v>
      </c>
      <c r="BM164" s="1">
        <v>44322</v>
      </c>
      <c r="BN164" s="1">
        <v>44322</v>
      </c>
      <c r="BO164" s="1">
        <v>44322</v>
      </c>
      <c r="BP164" s="1">
        <v>45544</v>
      </c>
      <c r="BQ164" t="s">
        <v>51</v>
      </c>
      <c r="BS164" t="s">
        <v>60</v>
      </c>
      <c r="BT164" t="s">
        <v>54</v>
      </c>
      <c r="BU164" t="s">
        <v>61</v>
      </c>
      <c r="BV164" t="s">
        <v>62</v>
      </c>
      <c r="BX164">
        <v>36</v>
      </c>
      <c r="BY164">
        <v>0</v>
      </c>
      <c r="BZ164">
        <v>0</v>
      </c>
    </row>
    <row r="165" spans="1:78" x14ac:dyDescent="0.2">
      <c r="A165" t="s">
        <v>180</v>
      </c>
      <c r="B165" t="s">
        <v>181</v>
      </c>
      <c r="C165" t="s">
        <v>182</v>
      </c>
      <c r="D165" t="s">
        <v>48</v>
      </c>
      <c r="F165" t="str">
        <f>"253061"</f>
        <v>253061</v>
      </c>
      <c r="G165" t="s">
        <v>49</v>
      </c>
      <c r="H165" t="s">
        <v>206</v>
      </c>
      <c r="K165" t="s">
        <v>51</v>
      </c>
      <c r="L165" t="s">
        <v>52</v>
      </c>
      <c r="M165">
        <v>136276.82999999999</v>
      </c>
      <c r="N165">
        <v>473635.44</v>
      </c>
      <c r="O165" t="s">
        <v>53</v>
      </c>
      <c r="P165" t="s">
        <v>54</v>
      </c>
      <c r="Q165" t="s">
        <v>55</v>
      </c>
      <c r="T165" t="s">
        <v>131</v>
      </c>
      <c r="U165">
        <v>40</v>
      </c>
      <c r="V165" s="1">
        <v>35796</v>
      </c>
      <c r="W165" s="1">
        <v>35796</v>
      </c>
      <c r="X165" s="1">
        <v>35796</v>
      </c>
      <c r="Y165" s="1">
        <v>50406</v>
      </c>
      <c r="Z165" t="s">
        <v>51</v>
      </c>
      <c r="AB165" t="s">
        <v>54</v>
      </c>
      <c r="AC165">
        <v>1</v>
      </c>
      <c r="AE165" t="s">
        <v>116</v>
      </c>
      <c r="AF165">
        <v>20</v>
      </c>
      <c r="AG165" s="1">
        <v>35796</v>
      </c>
      <c r="AH165" s="1">
        <v>35796</v>
      </c>
      <c r="AI165" s="1">
        <v>35796</v>
      </c>
      <c r="AJ165" s="1">
        <v>43101</v>
      </c>
      <c r="AK165" t="s">
        <v>51</v>
      </c>
      <c r="AN165">
        <v>0</v>
      </c>
      <c r="AO165" t="s">
        <v>54</v>
      </c>
      <c r="AP165" t="s">
        <v>53</v>
      </c>
      <c r="AQ165">
        <v>0</v>
      </c>
      <c r="AR165" t="s">
        <v>53</v>
      </c>
      <c r="AS165">
        <v>0</v>
      </c>
      <c r="AT165">
        <v>0</v>
      </c>
      <c r="AW165" t="s">
        <v>58</v>
      </c>
      <c r="AX165">
        <v>20</v>
      </c>
      <c r="AY165" s="1">
        <v>35796</v>
      </c>
      <c r="AZ165" s="1">
        <v>35796</v>
      </c>
      <c r="BA165" s="1">
        <v>35796</v>
      </c>
      <c r="BB165" s="1">
        <v>43101</v>
      </c>
      <c r="BC165" t="s">
        <v>51</v>
      </c>
      <c r="BE165" t="s">
        <v>54</v>
      </c>
      <c r="BF165">
        <v>2</v>
      </c>
      <c r="BG165">
        <v>0</v>
      </c>
      <c r="BH165" t="s">
        <v>53</v>
      </c>
      <c r="BK165" t="s">
        <v>65</v>
      </c>
      <c r="BL165">
        <v>14000</v>
      </c>
      <c r="BM165" s="1">
        <v>44322</v>
      </c>
      <c r="BN165" s="1">
        <v>44322</v>
      </c>
      <c r="BO165" s="1">
        <v>44322</v>
      </c>
      <c r="BP165" s="1">
        <v>45544</v>
      </c>
      <c r="BQ165" t="s">
        <v>51</v>
      </c>
      <c r="BS165" t="s">
        <v>60</v>
      </c>
      <c r="BT165" t="s">
        <v>54</v>
      </c>
      <c r="BU165" t="s">
        <v>61</v>
      </c>
      <c r="BV165" t="s">
        <v>62</v>
      </c>
      <c r="BX165">
        <v>36</v>
      </c>
      <c r="BY165">
        <v>0</v>
      </c>
      <c r="BZ165">
        <v>0</v>
      </c>
    </row>
    <row r="166" spans="1:78" x14ac:dyDescent="0.2">
      <c r="A166" t="s">
        <v>180</v>
      </c>
      <c r="B166" t="s">
        <v>181</v>
      </c>
      <c r="C166" t="s">
        <v>182</v>
      </c>
      <c r="D166" t="s">
        <v>48</v>
      </c>
      <c r="F166" t="str">
        <f>"253062"</f>
        <v>253062</v>
      </c>
      <c r="G166" t="s">
        <v>49</v>
      </c>
      <c r="H166" t="s">
        <v>207</v>
      </c>
      <c r="K166" t="s">
        <v>51</v>
      </c>
      <c r="L166" t="s">
        <v>52</v>
      </c>
      <c r="M166">
        <v>136250.87</v>
      </c>
      <c r="N166">
        <v>473646.12</v>
      </c>
      <c r="O166" t="s">
        <v>53</v>
      </c>
      <c r="P166" t="s">
        <v>54</v>
      </c>
      <c r="Q166" t="s">
        <v>55</v>
      </c>
      <c r="T166" t="s">
        <v>131</v>
      </c>
      <c r="U166">
        <v>40</v>
      </c>
      <c r="V166" s="1">
        <v>35796</v>
      </c>
      <c r="W166" s="1">
        <v>35796</v>
      </c>
      <c r="X166" s="1">
        <v>35796</v>
      </c>
      <c r="Y166" s="1">
        <v>50406</v>
      </c>
      <c r="Z166" t="s">
        <v>51</v>
      </c>
      <c r="AB166" t="s">
        <v>54</v>
      </c>
      <c r="AC166">
        <v>1</v>
      </c>
      <c r="AE166" t="s">
        <v>116</v>
      </c>
      <c r="AF166">
        <v>20</v>
      </c>
      <c r="AG166" s="1">
        <v>35796</v>
      </c>
      <c r="AH166" s="1">
        <v>35796</v>
      </c>
      <c r="AI166" s="1">
        <v>35796</v>
      </c>
      <c r="AJ166" s="1">
        <v>43101</v>
      </c>
      <c r="AK166" t="s">
        <v>51</v>
      </c>
      <c r="AN166">
        <v>0</v>
      </c>
      <c r="AO166" t="s">
        <v>54</v>
      </c>
      <c r="AP166" t="s">
        <v>53</v>
      </c>
      <c r="AQ166">
        <v>0</v>
      </c>
      <c r="AR166" t="s">
        <v>53</v>
      </c>
      <c r="AS166">
        <v>0</v>
      </c>
      <c r="AT166">
        <v>0</v>
      </c>
      <c r="AW166" t="s">
        <v>58</v>
      </c>
      <c r="AX166">
        <v>20</v>
      </c>
      <c r="AY166" s="1">
        <v>45013</v>
      </c>
      <c r="AZ166" s="1">
        <v>45013</v>
      </c>
      <c r="BA166" s="1">
        <v>45013</v>
      </c>
      <c r="BB166" s="1">
        <v>52318</v>
      </c>
      <c r="BC166" t="s">
        <v>51</v>
      </c>
      <c r="BE166" t="s">
        <v>54</v>
      </c>
      <c r="BF166">
        <v>2</v>
      </c>
      <c r="BG166">
        <v>0</v>
      </c>
      <c r="BH166" t="s">
        <v>53</v>
      </c>
      <c r="BK166" t="s">
        <v>65</v>
      </c>
      <c r="BL166">
        <v>14000</v>
      </c>
      <c r="BM166" s="1">
        <v>44322</v>
      </c>
      <c r="BN166" s="1">
        <v>44322</v>
      </c>
      <c r="BO166" s="1">
        <v>45013</v>
      </c>
      <c r="BP166" s="1">
        <v>45544</v>
      </c>
      <c r="BQ166" t="s">
        <v>51</v>
      </c>
      <c r="BS166" t="s">
        <v>60</v>
      </c>
      <c r="BT166" t="s">
        <v>54</v>
      </c>
      <c r="BU166" t="s">
        <v>61</v>
      </c>
      <c r="BV166" t="s">
        <v>62</v>
      </c>
      <c r="BX166">
        <v>36</v>
      </c>
      <c r="BY166">
        <v>0</v>
      </c>
      <c r="BZ166">
        <v>0</v>
      </c>
    </row>
    <row r="167" spans="1:78" x14ac:dyDescent="0.2">
      <c r="A167" t="s">
        <v>180</v>
      </c>
      <c r="B167" t="s">
        <v>181</v>
      </c>
      <c r="C167" t="s">
        <v>182</v>
      </c>
      <c r="D167" t="s">
        <v>48</v>
      </c>
      <c r="F167" t="str">
        <f>"253063"</f>
        <v>253063</v>
      </c>
      <c r="G167" t="s">
        <v>49</v>
      </c>
      <c r="H167" t="s">
        <v>134</v>
      </c>
      <c r="K167" t="s">
        <v>51</v>
      </c>
      <c r="L167" t="s">
        <v>52</v>
      </c>
      <c r="M167">
        <v>136219.79999999999</v>
      </c>
      <c r="N167">
        <v>473658.97</v>
      </c>
      <c r="O167" t="s">
        <v>53</v>
      </c>
      <c r="P167" t="s">
        <v>54</v>
      </c>
      <c r="Q167" t="s">
        <v>55</v>
      </c>
      <c r="T167" t="s">
        <v>131</v>
      </c>
      <c r="U167">
        <v>40</v>
      </c>
      <c r="V167" s="1">
        <v>35796</v>
      </c>
      <c r="W167" s="1">
        <v>35796</v>
      </c>
      <c r="X167" s="1">
        <v>35796</v>
      </c>
      <c r="Y167" s="1">
        <v>50406</v>
      </c>
      <c r="Z167" t="s">
        <v>51</v>
      </c>
      <c r="AB167" t="s">
        <v>54</v>
      </c>
      <c r="AC167">
        <v>1</v>
      </c>
      <c r="AE167" t="s">
        <v>116</v>
      </c>
      <c r="AF167">
        <v>20</v>
      </c>
      <c r="AG167" s="1">
        <v>35796</v>
      </c>
      <c r="AH167" s="1">
        <v>35796</v>
      </c>
      <c r="AI167" s="1">
        <v>35796</v>
      </c>
      <c r="AJ167" s="1">
        <v>43101</v>
      </c>
      <c r="AK167" t="s">
        <v>51</v>
      </c>
      <c r="AN167">
        <v>0</v>
      </c>
      <c r="AO167" t="s">
        <v>54</v>
      </c>
      <c r="AP167" t="s">
        <v>53</v>
      </c>
      <c r="AQ167">
        <v>0</v>
      </c>
      <c r="AR167" t="s">
        <v>53</v>
      </c>
      <c r="AS167">
        <v>0</v>
      </c>
      <c r="AT167">
        <v>0</v>
      </c>
      <c r="AW167" t="s">
        <v>58</v>
      </c>
      <c r="AX167">
        <v>20</v>
      </c>
      <c r="AY167" s="1">
        <v>35796</v>
      </c>
      <c r="AZ167" s="1">
        <v>35796</v>
      </c>
      <c r="BA167" s="1">
        <v>35796</v>
      </c>
      <c r="BB167" s="1">
        <v>43101</v>
      </c>
      <c r="BC167" t="s">
        <v>51</v>
      </c>
      <c r="BE167" t="s">
        <v>54</v>
      </c>
      <c r="BF167">
        <v>2</v>
      </c>
      <c r="BG167">
        <v>0</v>
      </c>
      <c r="BH167" t="s">
        <v>53</v>
      </c>
      <c r="BK167" t="s">
        <v>65</v>
      </c>
      <c r="BL167">
        <v>14000</v>
      </c>
      <c r="BM167" s="1">
        <v>44322</v>
      </c>
      <c r="BN167" s="1">
        <v>44322</v>
      </c>
      <c r="BO167" s="1">
        <v>44322</v>
      </c>
      <c r="BP167" s="1">
        <v>45544</v>
      </c>
      <c r="BQ167" t="s">
        <v>51</v>
      </c>
      <c r="BS167" t="s">
        <v>60</v>
      </c>
      <c r="BT167" t="s">
        <v>54</v>
      </c>
      <c r="BU167" t="s">
        <v>61</v>
      </c>
      <c r="BV167" t="s">
        <v>62</v>
      </c>
      <c r="BX167">
        <v>36</v>
      </c>
      <c r="BY167">
        <v>0</v>
      </c>
      <c r="BZ167">
        <v>0</v>
      </c>
    </row>
    <row r="168" spans="1:78" x14ac:dyDescent="0.2">
      <c r="A168" t="s">
        <v>180</v>
      </c>
      <c r="B168" t="s">
        <v>181</v>
      </c>
      <c r="C168" t="s">
        <v>182</v>
      </c>
      <c r="D168" t="s">
        <v>48</v>
      </c>
      <c r="F168" t="str">
        <f>"253064"</f>
        <v>253064</v>
      </c>
      <c r="G168" t="s">
        <v>49</v>
      </c>
      <c r="H168" t="s">
        <v>208</v>
      </c>
      <c r="K168" t="s">
        <v>51</v>
      </c>
      <c r="L168" t="s">
        <v>52</v>
      </c>
      <c r="M168">
        <v>136189.66</v>
      </c>
      <c r="N168">
        <v>473671.2</v>
      </c>
      <c r="O168" t="s">
        <v>53</v>
      </c>
      <c r="P168" t="s">
        <v>54</v>
      </c>
      <c r="Q168" t="s">
        <v>55</v>
      </c>
      <c r="T168" t="s">
        <v>131</v>
      </c>
      <c r="U168">
        <v>40</v>
      </c>
      <c r="V168" s="1">
        <v>35796</v>
      </c>
      <c r="W168" s="1">
        <v>35796</v>
      </c>
      <c r="X168" s="1">
        <v>35796</v>
      </c>
      <c r="Y168" s="1">
        <v>50406</v>
      </c>
      <c r="Z168" t="s">
        <v>51</v>
      </c>
      <c r="AB168" t="s">
        <v>54</v>
      </c>
      <c r="AC168">
        <v>1</v>
      </c>
      <c r="AE168" t="s">
        <v>116</v>
      </c>
      <c r="AF168">
        <v>20</v>
      </c>
      <c r="AG168" s="1">
        <v>35796</v>
      </c>
      <c r="AH168" s="1">
        <v>35796</v>
      </c>
      <c r="AI168" s="1">
        <v>35796</v>
      </c>
      <c r="AJ168" s="1">
        <v>43101</v>
      </c>
      <c r="AK168" t="s">
        <v>51</v>
      </c>
      <c r="AN168">
        <v>0</v>
      </c>
      <c r="AO168" t="s">
        <v>54</v>
      </c>
      <c r="AP168" t="s">
        <v>53</v>
      </c>
      <c r="AQ168">
        <v>0</v>
      </c>
      <c r="AR168" t="s">
        <v>53</v>
      </c>
      <c r="AS168">
        <v>0</v>
      </c>
      <c r="AT168">
        <v>0</v>
      </c>
      <c r="AW168" t="s">
        <v>58</v>
      </c>
      <c r="AX168">
        <v>20</v>
      </c>
      <c r="AY168" s="1">
        <v>44341</v>
      </c>
      <c r="AZ168" s="1">
        <v>44341</v>
      </c>
      <c r="BA168" s="1">
        <v>44341</v>
      </c>
      <c r="BB168" s="1">
        <v>51646</v>
      </c>
      <c r="BC168" t="s">
        <v>51</v>
      </c>
      <c r="BE168" t="s">
        <v>54</v>
      </c>
      <c r="BF168">
        <v>2</v>
      </c>
      <c r="BG168">
        <v>0</v>
      </c>
      <c r="BH168" t="s">
        <v>53</v>
      </c>
      <c r="BK168" t="s">
        <v>65</v>
      </c>
      <c r="BL168">
        <v>14000</v>
      </c>
      <c r="BM168" s="1">
        <v>44322</v>
      </c>
      <c r="BN168" s="1">
        <v>44322</v>
      </c>
      <c r="BO168" s="1">
        <v>44341</v>
      </c>
      <c r="BP168" s="1">
        <v>45544</v>
      </c>
      <c r="BQ168" t="s">
        <v>51</v>
      </c>
      <c r="BS168" t="s">
        <v>60</v>
      </c>
      <c r="BT168" t="s">
        <v>54</v>
      </c>
      <c r="BU168" t="s">
        <v>61</v>
      </c>
      <c r="BV168" t="s">
        <v>62</v>
      </c>
      <c r="BX168">
        <v>36</v>
      </c>
      <c r="BY168">
        <v>0</v>
      </c>
      <c r="BZ168">
        <v>0</v>
      </c>
    </row>
    <row r="169" spans="1:78" x14ac:dyDescent="0.2">
      <c r="A169" t="s">
        <v>180</v>
      </c>
      <c r="B169" t="s">
        <v>181</v>
      </c>
      <c r="C169" t="s">
        <v>182</v>
      </c>
      <c r="D169" t="s">
        <v>48</v>
      </c>
      <c r="F169" t="str">
        <f>"253065"</f>
        <v>253065</v>
      </c>
      <c r="G169" t="s">
        <v>49</v>
      </c>
      <c r="H169" t="s">
        <v>209</v>
      </c>
      <c r="K169" t="s">
        <v>51</v>
      </c>
      <c r="L169" t="s">
        <v>52</v>
      </c>
      <c r="M169">
        <v>136161.41</v>
      </c>
      <c r="N169">
        <v>473682.54</v>
      </c>
      <c r="O169" t="s">
        <v>53</v>
      </c>
      <c r="P169" t="s">
        <v>54</v>
      </c>
      <c r="Q169" t="s">
        <v>55</v>
      </c>
      <c r="T169" t="s">
        <v>81</v>
      </c>
      <c r="U169">
        <v>40</v>
      </c>
      <c r="V169" s="1">
        <v>35431</v>
      </c>
      <c r="W169" s="1">
        <v>35431</v>
      </c>
      <c r="X169" s="1">
        <v>35431</v>
      </c>
      <c r="Y169" s="1">
        <v>50041</v>
      </c>
      <c r="Z169" t="s">
        <v>51</v>
      </c>
      <c r="AB169" t="s">
        <v>54</v>
      </c>
      <c r="AC169">
        <v>1</v>
      </c>
      <c r="AE169" t="s">
        <v>116</v>
      </c>
      <c r="AF169">
        <v>20</v>
      </c>
      <c r="AG169" s="1">
        <v>35431</v>
      </c>
      <c r="AH169" s="1">
        <v>35431</v>
      </c>
      <c r="AI169" s="1">
        <v>35431</v>
      </c>
      <c r="AJ169" s="1">
        <v>42736</v>
      </c>
      <c r="AK169" t="s">
        <v>51</v>
      </c>
      <c r="AN169">
        <v>0</v>
      </c>
      <c r="AO169" t="s">
        <v>54</v>
      </c>
      <c r="AP169" t="s">
        <v>53</v>
      </c>
      <c r="AQ169">
        <v>0</v>
      </c>
      <c r="AR169" t="s">
        <v>53</v>
      </c>
      <c r="AS169">
        <v>0</v>
      </c>
      <c r="AT169">
        <v>0</v>
      </c>
      <c r="AW169" t="s">
        <v>58</v>
      </c>
      <c r="AX169">
        <v>20</v>
      </c>
      <c r="AY169" s="1">
        <v>35431</v>
      </c>
      <c r="AZ169" s="1">
        <v>35431</v>
      </c>
      <c r="BA169" s="1">
        <v>35431</v>
      </c>
      <c r="BB169" s="1">
        <v>42736</v>
      </c>
      <c r="BC169" t="s">
        <v>51</v>
      </c>
      <c r="BE169" t="s">
        <v>54</v>
      </c>
      <c r="BF169">
        <v>2</v>
      </c>
      <c r="BG169">
        <v>0</v>
      </c>
      <c r="BH169" t="s">
        <v>53</v>
      </c>
      <c r="BK169" t="s">
        <v>65</v>
      </c>
      <c r="BL169">
        <v>14000</v>
      </c>
      <c r="BM169" s="1">
        <v>44322</v>
      </c>
      <c r="BN169" s="1">
        <v>44322</v>
      </c>
      <c r="BO169" s="1">
        <v>44322</v>
      </c>
      <c r="BP169" s="1">
        <v>45544</v>
      </c>
      <c r="BQ169" t="s">
        <v>51</v>
      </c>
      <c r="BS169" t="s">
        <v>60</v>
      </c>
      <c r="BT169" t="s">
        <v>54</v>
      </c>
      <c r="BU169" t="s">
        <v>61</v>
      </c>
      <c r="BV169" t="s">
        <v>62</v>
      </c>
      <c r="BX169">
        <v>36</v>
      </c>
      <c r="BY169">
        <v>0</v>
      </c>
      <c r="BZ169">
        <v>0</v>
      </c>
    </row>
    <row r="170" spans="1:78" x14ac:dyDescent="0.2">
      <c r="A170" t="s">
        <v>180</v>
      </c>
      <c r="B170" t="s">
        <v>181</v>
      </c>
      <c r="C170" t="s">
        <v>182</v>
      </c>
      <c r="D170" t="s">
        <v>48</v>
      </c>
      <c r="F170" t="str">
        <f>"253066"</f>
        <v>253066</v>
      </c>
      <c r="G170" t="s">
        <v>49</v>
      </c>
      <c r="H170" t="s">
        <v>210</v>
      </c>
      <c r="K170" t="s">
        <v>51</v>
      </c>
      <c r="L170" t="s">
        <v>52</v>
      </c>
      <c r="M170">
        <v>136135.15</v>
      </c>
      <c r="N170">
        <v>473693.62</v>
      </c>
      <c r="O170" t="s">
        <v>53</v>
      </c>
      <c r="P170" t="s">
        <v>54</v>
      </c>
      <c r="Q170" t="s">
        <v>55</v>
      </c>
      <c r="T170" t="s">
        <v>131</v>
      </c>
      <c r="U170">
        <v>40</v>
      </c>
      <c r="V170" s="1">
        <v>35796</v>
      </c>
      <c r="W170" s="1">
        <v>35796</v>
      </c>
      <c r="X170" s="1">
        <v>35796</v>
      </c>
      <c r="Y170" s="1">
        <v>50406</v>
      </c>
      <c r="Z170" t="s">
        <v>51</v>
      </c>
      <c r="AB170" t="s">
        <v>54</v>
      </c>
      <c r="AC170">
        <v>1</v>
      </c>
      <c r="AE170" t="s">
        <v>116</v>
      </c>
      <c r="AF170">
        <v>20</v>
      </c>
      <c r="AG170" s="1">
        <v>35796</v>
      </c>
      <c r="AH170" s="1">
        <v>35796</v>
      </c>
      <c r="AI170" s="1">
        <v>35796</v>
      </c>
      <c r="AJ170" s="1">
        <v>43101</v>
      </c>
      <c r="AK170" t="s">
        <v>51</v>
      </c>
      <c r="AN170">
        <v>0</v>
      </c>
      <c r="AO170" t="s">
        <v>54</v>
      </c>
      <c r="AP170" t="s">
        <v>53</v>
      </c>
      <c r="AQ170">
        <v>0</v>
      </c>
      <c r="AR170" t="s">
        <v>53</v>
      </c>
      <c r="AS170">
        <v>0</v>
      </c>
      <c r="AT170">
        <v>0</v>
      </c>
      <c r="AW170" t="s">
        <v>58</v>
      </c>
      <c r="AX170">
        <v>20</v>
      </c>
      <c r="AY170" s="1">
        <v>44935</v>
      </c>
      <c r="AZ170" s="1">
        <v>44935</v>
      </c>
      <c r="BA170" s="1">
        <v>44935</v>
      </c>
      <c r="BB170" s="1">
        <v>52240</v>
      </c>
      <c r="BC170" t="s">
        <v>51</v>
      </c>
      <c r="BE170" t="s">
        <v>54</v>
      </c>
      <c r="BF170">
        <v>2</v>
      </c>
      <c r="BG170">
        <v>0</v>
      </c>
      <c r="BH170" t="s">
        <v>53</v>
      </c>
      <c r="BK170" t="s">
        <v>65</v>
      </c>
      <c r="BL170">
        <v>14000</v>
      </c>
      <c r="BM170" s="1">
        <v>44322</v>
      </c>
      <c r="BN170" s="1">
        <v>44322</v>
      </c>
      <c r="BO170" s="1">
        <v>44935</v>
      </c>
      <c r="BP170" s="1">
        <v>45544</v>
      </c>
      <c r="BQ170" t="s">
        <v>51</v>
      </c>
      <c r="BS170" t="s">
        <v>60</v>
      </c>
      <c r="BT170" t="s">
        <v>54</v>
      </c>
      <c r="BU170" t="s">
        <v>61</v>
      </c>
      <c r="BV170" t="s">
        <v>62</v>
      </c>
      <c r="BX170">
        <v>36</v>
      </c>
      <c r="BY170">
        <v>0</v>
      </c>
      <c r="BZ170">
        <v>0</v>
      </c>
    </row>
    <row r="171" spans="1:78" x14ac:dyDescent="0.2">
      <c r="A171" t="s">
        <v>180</v>
      </c>
      <c r="B171" t="s">
        <v>181</v>
      </c>
      <c r="C171" t="s">
        <v>182</v>
      </c>
      <c r="D171" t="s">
        <v>48</v>
      </c>
      <c r="F171" t="str">
        <f>"253067"</f>
        <v>253067</v>
      </c>
      <c r="G171" t="s">
        <v>49</v>
      </c>
      <c r="H171" t="s">
        <v>211</v>
      </c>
      <c r="K171" t="s">
        <v>51</v>
      </c>
      <c r="L171" t="s">
        <v>52</v>
      </c>
      <c r="M171">
        <v>136109.51</v>
      </c>
      <c r="N171">
        <v>473703.89</v>
      </c>
      <c r="O171" t="s">
        <v>53</v>
      </c>
      <c r="P171" t="s">
        <v>54</v>
      </c>
      <c r="Q171" t="s">
        <v>55</v>
      </c>
      <c r="T171" t="s">
        <v>131</v>
      </c>
      <c r="U171">
        <v>40</v>
      </c>
      <c r="V171" s="1">
        <v>35796</v>
      </c>
      <c r="W171" s="1">
        <v>35796</v>
      </c>
      <c r="X171" s="1">
        <v>35796</v>
      </c>
      <c r="Y171" s="1">
        <v>50406</v>
      </c>
      <c r="Z171" t="s">
        <v>51</v>
      </c>
      <c r="AB171" t="s">
        <v>54</v>
      </c>
      <c r="AC171">
        <v>1</v>
      </c>
      <c r="AE171" t="s">
        <v>116</v>
      </c>
      <c r="AF171">
        <v>20</v>
      </c>
      <c r="AG171" s="1">
        <v>35796</v>
      </c>
      <c r="AH171" s="1">
        <v>35796</v>
      </c>
      <c r="AI171" s="1">
        <v>35796</v>
      </c>
      <c r="AJ171" s="1">
        <v>43101</v>
      </c>
      <c r="AK171" t="s">
        <v>51</v>
      </c>
      <c r="AN171">
        <v>0</v>
      </c>
      <c r="AO171" t="s">
        <v>54</v>
      </c>
      <c r="AP171" t="s">
        <v>53</v>
      </c>
      <c r="AQ171">
        <v>0</v>
      </c>
      <c r="AR171" t="s">
        <v>53</v>
      </c>
      <c r="AS171">
        <v>0</v>
      </c>
      <c r="AT171">
        <v>0</v>
      </c>
      <c r="AW171" t="s">
        <v>58</v>
      </c>
      <c r="AX171">
        <v>20</v>
      </c>
      <c r="AY171" s="1">
        <v>35796</v>
      </c>
      <c r="AZ171" s="1">
        <v>35796</v>
      </c>
      <c r="BA171" s="1">
        <v>35796</v>
      </c>
      <c r="BB171" s="1">
        <v>43101</v>
      </c>
      <c r="BC171" t="s">
        <v>51</v>
      </c>
      <c r="BE171" t="s">
        <v>54</v>
      </c>
      <c r="BF171">
        <v>2</v>
      </c>
      <c r="BG171">
        <v>0</v>
      </c>
      <c r="BH171" t="s">
        <v>53</v>
      </c>
      <c r="BK171" t="s">
        <v>65</v>
      </c>
      <c r="BL171">
        <v>14000</v>
      </c>
      <c r="BM171" s="1">
        <v>44322</v>
      </c>
      <c r="BN171" s="1">
        <v>44322</v>
      </c>
      <c r="BO171" s="1">
        <v>44322</v>
      </c>
      <c r="BP171" s="1">
        <v>45544</v>
      </c>
      <c r="BQ171" t="s">
        <v>51</v>
      </c>
      <c r="BS171" t="s">
        <v>60</v>
      </c>
      <c r="BT171" t="s">
        <v>54</v>
      </c>
      <c r="BU171" t="s">
        <v>61</v>
      </c>
      <c r="BV171" t="s">
        <v>62</v>
      </c>
      <c r="BX171">
        <v>36</v>
      </c>
      <c r="BY171">
        <v>0</v>
      </c>
      <c r="BZ171">
        <v>0</v>
      </c>
    </row>
    <row r="172" spans="1:78" x14ac:dyDescent="0.2">
      <c r="A172" t="s">
        <v>180</v>
      </c>
      <c r="B172" t="s">
        <v>181</v>
      </c>
      <c r="C172" t="s">
        <v>182</v>
      </c>
      <c r="D172" t="s">
        <v>48</v>
      </c>
      <c r="F172" t="str">
        <f>"253068"</f>
        <v>253068</v>
      </c>
      <c r="G172" t="s">
        <v>49</v>
      </c>
      <c r="H172" t="s">
        <v>107</v>
      </c>
      <c r="K172" t="s">
        <v>51</v>
      </c>
      <c r="L172" t="s">
        <v>52</v>
      </c>
      <c r="M172">
        <v>136083.89000000001</v>
      </c>
      <c r="N172">
        <v>473714.3</v>
      </c>
      <c r="O172" t="s">
        <v>53</v>
      </c>
      <c r="P172" t="s">
        <v>54</v>
      </c>
      <c r="Q172" t="s">
        <v>55</v>
      </c>
      <c r="T172" t="s">
        <v>131</v>
      </c>
      <c r="U172">
        <v>40</v>
      </c>
      <c r="V172" s="1">
        <v>35796</v>
      </c>
      <c r="W172" s="1">
        <v>35796</v>
      </c>
      <c r="X172" s="1">
        <v>35796</v>
      </c>
      <c r="Y172" s="1">
        <v>50406</v>
      </c>
      <c r="Z172" t="s">
        <v>51</v>
      </c>
      <c r="AB172" t="s">
        <v>54</v>
      </c>
      <c r="AC172">
        <v>1</v>
      </c>
      <c r="AE172" t="s">
        <v>116</v>
      </c>
      <c r="AF172">
        <v>20</v>
      </c>
      <c r="AG172" s="1">
        <v>35796</v>
      </c>
      <c r="AH172" s="1">
        <v>35796</v>
      </c>
      <c r="AI172" s="1">
        <v>35796</v>
      </c>
      <c r="AJ172" s="1">
        <v>43101</v>
      </c>
      <c r="AK172" t="s">
        <v>51</v>
      </c>
      <c r="AN172">
        <v>0</v>
      </c>
      <c r="AO172" t="s">
        <v>54</v>
      </c>
      <c r="AP172" t="s">
        <v>53</v>
      </c>
      <c r="AQ172">
        <v>0</v>
      </c>
      <c r="AR172" t="s">
        <v>53</v>
      </c>
      <c r="AS172">
        <v>0</v>
      </c>
      <c r="AT172">
        <v>0</v>
      </c>
      <c r="AW172" t="s">
        <v>58</v>
      </c>
      <c r="AX172">
        <v>20</v>
      </c>
      <c r="AY172" s="1">
        <v>35796</v>
      </c>
      <c r="AZ172" s="1">
        <v>35796</v>
      </c>
      <c r="BA172" s="1">
        <v>35796</v>
      </c>
      <c r="BB172" s="1">
        <v>43101</v>
      </c>
      <c r="BC172" t="s">
        <v>51</v>
      </c>
      <c r="BE172" t="s">
        <v>54</v>
      </c>
      <c r="BF172">
        <v>2</v>
      </c>
      <c r="BG172">
        <v>0</v>
      </c>
      <c r="BH172" t="s">
        <v>53</v>
      </c>
      <c r="BK172" t="s">
        <v>65</v>
      </c>
      <c r="BL172">
        <v>14000</v>
      </c>
      <c r="BM172" s="1">
        <v>44322</v>
      </c>
      <c r="BN172" s="1">
        <v>44322</v>
      </c>
      <c r="BO172" s="1">
        <v>44322</v>
      </c>
      <c r="BP172" s="1">
        <v>45544</v>
      </c>
      <c r="BQ172" t="s">
        <v>51</v>
      </c>
      <c r="BS172" t="s">
        <v>60</v>
      </c>
      <c r="BT172" t="s">
        <v>54</v>
      </c>
      <c r="BU172" t="s">
        <v>61</v>
      </c>
      <c r="BV172" t="s">
        <v>62</v>
      </c>
      <c r="BX172">
        <v>36</v>
      </c>
      <c r="BY172">
        <v>0</v>
      </c>
      <c r="BZ172">
        <v>0</v>
      </c>
    </row>
    <row r="173" spans="1:78" x14ac:dyDescent="0.2">
      <c r="A173" t="s">
        <v>180</v>
      </c>
      <c r="B173" t="s">
        <v>181</v>
      </c>
      <c r="C173" t="s">
        <v>182</v>
      </c>
      <c r="D173" t="s">
        <v>48</v>
      </c>
      <c r="F173" t="str">
        <f>"253069"</f>
        <v>253069</v>
      </c>
      <c r="G173" t="s">
        <v>49</v>
      </c>
      <c r="H173" t="s">
        <v>212</v>
      </c>
      <c r="K173" t="s">
        <v>51</v>
      </c>
      <c r="L173" t="s">
        <v>52</v>
      </c>
      <c r="M173">
        <v>136056.38</v>
      </c>
      <c r="N173">
        <v>473725.56</v>
      </c>
      <c r="O173" t="s">
        <v>53</v>
      </c>
      <c r="P173" t="s">
        <v>54</v>
      </c>
      <c r="Q173" t="s">
        <v>55</v>
      </c>
      <c r="T173" t="s">
        <v>131</v>
      </c>
      <c r="U173">
        <v>40</v>
      </c>
      <c r="V173" s="1">
        <v>35796</v>
      </c>
      <c r="W173" s="1">
        <v>35796</v>
      </c>
      <c r="X173" s="1">
        <v>35796</v>
      </c>
      <c r="Y173" s="1">
        <v>50406</v>
      </c>
      <c r="Z173" t="s">
        <v>51</v>
      </c>
      <c r="AB173" t="s">
        <v>54</v>
      </c>
      <c r="AC173">
        <v>1</v>
      </c>
      <c r="AE173" t="s">
        <v>116</v>
      </c>
      <c r="AF173">
        <v>20</v>
      </c>
      <c r="AG173" s="1">
        <v>35796</v>
      </c>
      <c r="AH173" s="1">
        <v>35796</v>
      </c>
      <c r="AI173" s="1">
        <v>35796</v>
      </c>
      <c r="AJ173" s="1">
        <v>43101</v>
      </c>
      <c r="AK173" t="s">
        <v>51</v>
      </c>
      <c r="AN173">
        <v>0</v>
      </c>
      <c r="AO173" t="s">
        <v>54</v>
      </c>
      <c r="AP173" t="s">
        <v>53</v>
      </c>
      <c r="AQ173">
        <v>0</v>
      </c>
      <c r="AR173" t="s">
        <v>53</v>
      </c>
      <c r="AS173">
        <v>0</v>
      </c>
      <c r="AT173">
        <v>0</v>
      </c>
      <c r="AW173" t="s">
        <v>58</v>
      </c>
      <c r="AX173">
        <v>20</v>
      </c>
      <c r="AY173" s="1">
        <v>35796</v>
      </c>
      <c r="AZ173" s="1">
        <v>35796</v>
      </c>
      <c r="BA173" s="1">
        <v>35796</v>
      </c>
      <c r="BB173" s="1">
        <v>43101</v>
      </c>
      <c r="BC173" t="s">
        <v>51</v>
      </c>
      <c r="BE173" t="s">
        <v>54</v>
      </c>
      <c r="BF173">
        <v>2</v>
      </c>
      <c r="BG173">
        <v>0</v>
      </c>
      <c r="BH173" t="s">
        <v>53</v>
      </c>
      <c r="BK173" t="s">
        <v>65</v>
      </c>
      <c r="BL173">
        <v>14000</v>
      </c>
      <c r="BM173" s="1">
        <v>44322</v>
      </c>
      <c r="BN173" s="1">
        <v>44322</v>
      </c>
      <c r="BO173" s="1">
        <v>44322</v>
      </c>
      <c r="BP173" s="1">
        <v>45544</v>
      </c>
      <c r="BQ173" t="s">
        <v>51</v>
      </c>
      <c r="BS173" t="s">
        <v>60</v>
      </c>
      <c r="BT173" t="s">
        <v>54</v>
      </c>
      <c r="BU173" t="s">
        <v>61</v>
      </c>
      <c r="BV173" t="s">
        <v>62</v>
      </c>
      <c r="BX173">
        <v>36</v>
      </c>
      <c r="BY173">
        <v>0</v>
      </c>
      <c r="BZ173">
        <v>0</v>
      </c>
    </row>
    <row r="174" spans="1:78" x14ac:dyDescent="0.2">
      <c r="A174" t="s">
        <v>180</v>
      </c>
      <c r="B174" t="s">
        <v>181</v>
      </c>
      <c r="C174" t="s">
        <v>182</v>
      </c>
      <c r="D174" t="s">
        <v>48</v>
      </c>
      <c r="F174" t="str">
        <f>"253070"</f>
        <v>253070</v>
      </c>
      <c r="G174" t="s">
        <v>49</v>
      </c>
      <c r="H174" t="s">
        <v>104</v>
      </c>
      <c r="K174" t="s">
        <v>51</v>
      </c>
      <c r="L174" t="s">
        <v>52</v>
      </c>
      <c r="M174">
        <v>136030.41</v>
      </c>
      <c r="N174">
        <v>473736.16</v>
      </c>
      <c r="O174" t="s">
        <v>53</v>
      </c>
      <c r="P174" t="s">
        <v>54</v>
      </c>
      <c r="Q174" t="s">
        <v>55</v>
      </c>
      <c r="T174" t="s">
        <v>131</v>
      </c>
      <c r="U174">
        <v>40</v>
      </c>
      <c r="V174" s="1">
        <v>35796</v>
      </c>
      <c r="W174" s="1">
        <v>35796</v>
      </c>
      <c r="X174" s="1">
        <v>35796</v>
      </c>
      <c r="Y174" s="1">
        <v>50406</v>
      </c>
      <c r="Z174" t="s">
        <v>51</v>
      </c>
      <c r="AB174" t="s">
        <v>54</v>
      </c>
      <c r="AC174">
        <v>1</v>
      </c>
      <c r="AE174" t="s">
        <v>116</v>
      </c>
      <c r="AF174">
        <v>20</v>
      </c>
      <c r="AG174" s="1">
        <v>35796</v>
      </c>
      <c r="AH174" s="1">
        <v>35796</v>
      </c>
      <c r="AI174" s="1">
        <v>35796</v>
      </c>
      <c r="AJ174" s="1">
        <v>43101</v>
      </c>
      <c r="AK174" t="s">
        <v>51</v>
      </c>
      <c r="AN174">
        <v>0</v>
      </c>
      <c r="AO174" t="s">
        <v>54</v>
      </c>
      <c r="AP174" t="s">
        <v>53</v>
      </c>
      <c r="AQ174">
        <v>0</v>
      </c>
      <c r="AR174" t="s">
        <v>53</v>
      </c>
      <c r="AS174">
        <v>0</v>
      </c>
      <c r="AT174">
        <v>0</v>
      </c>
      <c r="AW174" t="s">
        <v>58</v>
      </c>
      <c r="AX174">
        <v>20</v>
      </c>
      <c r="AY174" s="1">
        <v>35796</v>
      </c>
      <c r="AZ174" s="1">
        <v>35796</v>
      </c>
      <c r="BA174" s="1">
        <v>35796</v>
      </c>
      <c r="BB174" s="1">
        <v>43101</v>
      </c>
      <c r="BC174" t="s">
        <v>51</v>
      </c>
      <c r="BE174" t="s">
        <v>54</v>
      </c>
      <c r="BF174">
        <v>2</v>
      </c>
      <c r="BG174">
        <v>0</v>
      </c>
      <c r="BH174" t="s">
        <v>53</v>
      </c>
      <c r="BK174" t="s">
        <v>65</v>
      </c>
      <c r="BL174">
        <v>14000</v>
      </c>
      <c r="BM174" s="1">
        <v>44322</v>
      </c>
      <c r="BN174" s="1">
        <v>44322</v>
      </c>
      <c r="BO174" s="1">
        <v>44322</v>
      </c>
      <c r="BP174" s="1">
        <v>45544</v>
      </c>
      <c r="BQ174" t="s">
        <v>51</v>
      </c>
      <c r="BS174" t="s">
        <v>60</v>
      </c>
      <c r="BT174" t="s">
        <v>54</v>
      </c>
      <c r="BU174" t="s">
        <v>61</v>
      </c>
      <c r="BV174" t="s">
        <v>62</v>
      </c>
      <c r="BX174">
        <v>36</v>
      </c>
      <c r="BY174">
        <v>0</v>
      </c>
      <c r="BZ174">
        <v>0</v>
      </c>
    </row>
    <row r="175" spans="1:78" x14ac:dyDescent="0.2">
      <c r="A175" t="s">
        <v>180</v>
      </c>
      <c r="B175" t="s">
        <v>181</v>
      </c>
      <c r="C175" t="s">
        <v>182</v>
      </c>
      <c r="D175" t="s">
        <v>48</v>
      </c>
      <c r="F175" t="str">
        <f>"253071"</f>
        <v>253071</v>
      </c>
      <c r="G175" t="s">
        <v>49</v>
      </c>
      <c r="H175" t="s">
        <v>213</v>
      </c>
      <c r="K175" t="s">
        <v>51</v>
      </c>
      <c r="L175" t="s">
        <v>52</v>
      </c>
      <c r="M175">
        <v>135975.74</v>
      </c>
      <c r="N175">
        <v>473758.57</v>
      </c>
      <c r="O175" t="s">
        <v>53</v>
      </c>
      <c r="P175" t="s">
        <v>54</v>
      </c>
      <c r="Q175" t="s">
        <v>55</v>
      </c>
      <c r="T175" t="s">
        <v>131</v>
      </c>
      <c r="U175">
        <v>40</v>
      </c>
      <c r="V175" s="1">
        <v>35796</v>
      </c>
      <c r="W175" s="1">
        <v>35796</v>
      </c>
      <c r="X175" s="1">
        <v>35796</v>
      </c>
      <c r="Y175" s="1">
        <v>50406</v>
      </c>
      <c r="Z175" t="s">
        <v>51</v>
      </c>
      <c r="AB175" t="s">
        <v>54</v>
      </c>
      <c r="AC175">
        <v>1</v>
      </c>
      <c r="AE175" t="s">
        <v>116</v>
      </c>
      <c r="AF175">
        <v>20</v>
      </c>
      <c r="AG175" s="1">
        <v>35796</v>
      </c>
      <c r="AH175" s="1">
        <v>35796</v>
      </c>
      <c r="AI175" s="1">
        <v>35796</v>
      </c>
      <c r="AJ175" s="1">
        <v>43101</v>
      </c>
      <c r="AK175" t="s">
        <v>51</v>
      </c>
      <c r="AN175">
        <v>0</v>
      </c>
      <c r="AO175" t="s">
        <v>54</v>
      </c>
      <c r="AP175" t="s">
        <v>53</v>
      </c>
      <c r="AQ175">
        <v>0</v>
      </c>
      <c r="AR175" t="s">
        <v>53</v>
      </c>
      <c r="AS175">
        <v>0</v>
      </c>
      <c r="AT175">
        <v>0</v>
      </c>
      <c r="AW175" t="s">
        <v>58</v>
      </c>
      <c r="AX175">
        <v>20</v>
      </c>
      <c r="AY175" s="1">
        <v>43374</v>
      </c>
      <c r="AZ175" s="1">
        <v>43374</v>
      </c>
      <c r="BA175" s="1">
        <v>43374</v>
      </c>
      <c r="BB175" s="1">
        <v>50679</v>
      </c>
      <c r="BC175" t="s">
        <v>51</v>
      </c>
      <c r="BE175" t="s">
        <v>54</v>
      </c>
      <c r="BF175">
        <v>2</v>
      </c>
      <c r="BG175">
        <v>0</v>
      </c>
      <c r="BH175" t="s">
        <v>53</v>
      </c>
      <c r="BK175" t="s">
        <v>65</v>
      </c>
      <c r="BL175">
        <v>14000</v>
      </c>
      <c r="BM175" s="1">
        <v>44322</v>
      </c>
      <c r="BN175" s="1">
        <v>44322</v>
      </c>
      <c r="BO175" s="1">
        <v>44322</v>
      </c>
      <c r="BP175" s="1">
        <v>45544</v>
      </c>
      <c r="BQ175" t="s">
        <v>51</v>
      </c>
      <c r="BS175" t="s">
        <v>60</v>
      </c>
      <c r="BT175" t="s">
        <v>54</v>
      </c>
      <c r="BU175" t="s">
        <v>61</v>
      </c>
      <c r="BV175" t="s">
        <v>62</v>
      </c>
      <c r="BX175">
        <v>36</v>
      </c>
      <c r="BY175">
        <v>0</v>
      </c>
      <c r="BZ175">
        <v>0</v>
      </c>
    </row>
    <row r="176" spans="1:78" x14ac:dyDescent="0.2">
      <c r="A176" t="s">
        <v>180</v>
      </c>
      <c r="B176" t="s">
        <v>181</v>
      </c>
      <c r="C176" t="s">
        <v>182</v>
      </c>
      <c r="D176" t="s">
        <v>48</v>
      </c>
      <c r="F176" t="str">
        <f>"253072"</f>
        <v>253072</v>
      </c>
      <c r="G176" t="s">
        <v>49</v>
      </c>
      <c r="H176" t="s">
        <v>214</v>
      </c>
      <c r="K176" t="s">
        <v>51</v>
      </c>
      <c r="L176" t="s">
        <v>52</v>
      </c>
      <c r="M176">
        <v>135952.32999999999</v>
      </c>
      <c r="N176">
        <v>473768.18</v>
      </c>
      <c r="O176" t="s">
        <v>53</v>
      </c>
      <c r="P176" t="s">
        <v>54</v>
      </c>
      <c r="Q176" t="s">
        <v>55</v>
      </c>
      <c r="T176" t="s">
        <v>131</v>
      </c>
      <c r="U176">
        <v>40</v>
      </c>
      <c r="V176" s="1">
        <v>35796</v>
      </c>
      <c r="W176" s="1">
        <v>35796</v>
      </c>
      <c r="X176" s="1">
        <v>35796</v>
      </c>
      <c r="Y176" s="1">
        <v>50406</v>
      </c>
      <c r="Z176" t="s">
        <v>51</v>
      </c>
      <c r="AB176" t="s">
        <v>54</v>
      </c>
      <c r="AC176">
        <v>1</v>
      </c>
      <c r="AE176" t="s">
        <v>116</v>
      </c>
      <c r="AF176">
        <v>20</v>
      </c>
      <c r="AG176" s="1">
        <v>35796</v>
      </c>
      <c r="AH176" s="1">
        <v>35796</v>
      </c>
      <c r="AI176" s="1">
        <v>35796</v>
      </c>
      <c r="AJ176" s="1">
        <v>43101</v>
      </c>
      <c r="AK176" t="s">
        <v>51</v>
      </c>
      <c r="AN176">
        <v>0</v>
      </c>
      <c r="AO176" t="s">
        <v>54</v>
      </c>
      <c r="AP176" t="s">
        <v>53</v>
      </c>
      <c r="AQ176">
        <v>0</v>
      </c>
      <c r="AR176" t="s">
        <v>53</v>
      </c>
      <c r="AS176">
        <v>0</v>
      </c>
      <c r="AT176">
        <v>0</v>
      </c>
      <c r="AW176" t="s">
        <v>58</v>
      </c>
      <c r="AX176">
        <v>20</v>
      </c>
      <c r="AY176" s="1">
        <v>35796</v>
      </c>
      <c r="AZ176" s="1">
        <v>35796</v>
      </c>
      <c r="BA176" s="1">
        <v>35796</v>
      </c>
      <c r="BB176" s="1">
        <v>43101</v>
      </c>
      <c r="BC176" t="s">
        <v>51</v>
      </c>
      <c r="BE176" t="s">
        <v>54</v>
      </c>
      <c r="BF176">
        <v>2</v>
      </c>
      <c r="BG176">
        <v>0</v>
      </c>
      <c r="BH176" t="s">
        <v>53</v>
      </c>
      <c r="BK176" t="s">
        <v>65</v>
      </c>
      <c r="BL176">
        <v>14000</v>
      </c>
      <c r="BM176" s="1">
        <v>44322</v>
      </c>
      <c r="BN176" s="1">
        <v>44322</v>
      </c>
      <c r="BO176" s="1">
        <v>44322</v>
      </c>
      <c r="BP176" s="1">
        <v>45544</v>
      </c>
      <c r="BQ176" t="s">
        <v>51</v>
      </c>
      <c r="BS176" t="s">
        <v>60</v>
      </c>
      <c r="BT176" t="s">
        <v>54</v>
      </c>
      <c r="BU176" t="s">
        <v>61</v>
      </c>
      <c r="BV176" t="s">
        <v>62</v>
      </c>
      <c r="BX176">
        <v>36</v>
      </c>
      <c r="BY176">
        <v>0</v>
      </c>
      <c r="BZ176">
        <v>0</v>
      </c>
    </row>
    <row r="177" spans="1:78" x14ac:dyDescent="0.2">
      <c r="A177" t="s">
        <v>180</v>
      </c>
      <c r="B177" t="s">
        <v>181</v>
      </c>
      <c r="C177" t="s">
        <v>182</v>
      </c>
      <c r="D177" t="s">
        <v>48</v>
      </c>
      <c r="F177" t="str">
        <f>"253073"</f>
        <v>253073</v>
      </c>
      <c r="G177" t="s">
        <v>49</v>
      </c>
      <c r="H177" t="s">
        <v>215</v>
      </c>
      <c r="K177" t="s">
        <v>51</v>
      </c>
      <c r="L177" t="s">
        <v>52</v>
      </c>
      <c r="M177">
        <v>135922.57999999999</v>
      </c>
      <c r="N177">
        <v>473780.46</v>
      </c>
      <c r="O177" t="s">
        <v>53</v>
      </c>
      <c r="P177" t="s">
        <v>54</v>
      </c>
      <c r="Q177" t="s">
        <v>55</v>
      </c>
      <c r="T177" t="s">
        <v>131</v>
      </c>
      <c r="U177">
        <v>40</v>
      </c>
      <c r="V177" s="1">
        <v>35796</v>
      </c>
      <c r="W177" s="1">
        <v>35796</v>
      </c>
      <c r="X177" s="1">
        <v>35796</v>
      </c>
      <c r="Y177" s="1">
        <v>50406</v>
      </c>
      <c r="Z177" t="s">
        <v>51</v>
      </c>
      <c r="AB177" t="s">
        <v>54</v>
      </c>
      <c r="AC177">
        <v>1</v>
      </c>
      <c r="AE177" t="s">
        <v>116</v>
      </c>
      <c r="AF177">
        <v>20</v>
      </c>
      <c r="AG177" s="1">
        <v>35796</v>
      </c>
      <c r="AH177" s="1">
        <v>35796</v>
      </c>
      <c r="AI177" s="1">
        <v>35796</v>
      </c>
      <c r="AJ177" s="1">
        <v>43101</v>
      </c>
      <c r="AK177" t="s">
        <v>51</v>
      </c>
      <c r="AN177">
        <v>0</v>
      </c>
      <c r="AO177" t="s">
        <v>54</v>
      </c>
      <c r="AP177" t="s">
        <v>53</v>
      </c>
      <c r="AQ177">
        <v>0</v>
      </c>
      <c r="AR177" t="s">
        <v>53</v>
      </c>
      <c r="AS177">
        <v>0</v>
      </c>
      <c r="AT177">
        <v>0</v>
      </c>
      <c r="AW177" t="s">
        <v>58</v>
      </c>
      <c r="AX177">
        <v>20</v>
      </c>
      <c r="AY177" s="1">
        <v>35796</v>
      </c>
      <c r="AZ177" s="1">
        <v>35796</v>
      </c>
      <c r="BA177" s="1">
        <v>35796</v>
      </c>
      <c r="BB177" s="1">
        <v>43101</v>
      </c>
      <c r="BC177" t="s">
        <v>51</v>
      </c>
      <c r="BE177" t="s">
        <v>54</v>
      </c>
      <c r="BF177">
        <v>2</v>
      </c>
      <c r="BG177">
        <v>0</v>
      </c>
      <c r="BH177" t="s">
        <v>53</v>
      </c>
      <c r="BK177" t="s">
        <v>65</v>
      </c>
      <c r="BL177">
        <v>14000</v>
      </c>
      <c r="BM177" s="1">
        <v>44322</v>
      </c>
      <c r="BN177" s="1">
        <v>44322</v>
      </c>
      <c r="BO177" s="1">
        <v>44322</v>
      </c>
      <c r="BP177" s="1">
        <v>45544</v>
      </c>
      <c r="BQ177" t="s">
        <v>51</v>
      </c>
      <c r="BS177" t="s">
        <v>60</v>
      </c>
      <c r="BT177" t="s">
        <v>54</v>
      </c>
      <c r="BU177" t="s">
        <v>61</v>
      </c>
      <c r="BV177" t="s">
        <v>62</v>
      </c>
      <c r="BX177">
        <v>36</v>
      </c>
      <c r="BY177">
        <v>0</v>
      </c>
      <c r="BZ177">
        <v>0</v>
      </c>
    </row>
    <row r="178" spans="1:78" x14ac:dyDescent="0.2">
      <c r="A178" t="s">
        <v>180</v>
      </c>
      <c r="B178" t="s">
        <v>181</v>
      </c>
      <c r="C178" t="s">
        <v>182</v>
      </c>
      <c r="D178" t="s">
        <v>48</v>
      </c>
      <c r="F178" t="str">
        <f>"253074"</f>
        <v>253074</v>
      </c>
      <c r="G178" t="s">
        <v>49</v>
      </c>
      <c r="H178" t="s">
        <v>216</v>
      </c>
      <c r="K178" t="s">
        <v>51</v>
      </c>
      <c r="L178" t="s">
        <v>52</v>
      </c>
      <c r="M178">
        <v>135896.84</v>
      </c>
      <c r="N178">
        <v>473790.75</v>
      </c>
      <c r="O178" t="s">
        <v>53</v>
      </c>
      <c r="P178" t="s">
        <v>54</v>
      </c>
      <c r="Q178" t="s">
        <v>55</v>
      </c>
      <c r="T178" t="s">
        <v>131</v>
      </c>
      <c r="U178">
        <v>40</v>
      </c>
      <c r="V178" s="1">
        <v>35796</v>
      </c>
      <c r="W178" s="1">
        <v>35796</v>
      </c>
      <c r="X178" s="1">
        <v>35796</v>
      </c>
      <c r="Y178" s="1">
        <v>50406</v>
      </c>
      <c r="Z178" t="s">
        <v>51</v>
      </c>
      <c r="AB178" t="s">
        <v>54</v>
      </c>
      <c r="AC178">
        <v>1</v>
      </c>
      <c r="AE178" t="s">
        <v>116</v>
      </c>
      <c r="AF178">
        <v>20</v>
      </c>
      <c r="AG178" s="1">
        <v>35796</v>
      </c>
      <c r="AH178" s="1">
        <v>35796</v>
      </c>
      <c r="AI178" s="1">
        <v>35796</v>
      </c>
      <c r="AJ178" s="1">
        <v>43101</v>
      </c>
      <c r="AK178" t="s">
        <v>51</v>
      </c>
      <c r="AN178">
        <v>0</v>
      </c>
      <c r="AO178" t="s">
        <v>54</v>
      </c>
      <c r="AP178" t="s">
        <v>53</v>
      </c>
      <c r="AQ178">
        <v>0</v>
      </c>
      <c r="AR178" t="s">
        <v>53</v>
      </c>
      <c r="AS178">
        <v>0</v>
      </c>
      <c r="AT178">
        <v>0</v>
      </c>
      <c r="AW178" t="s">
        <v>58</v>
      </c>
      <c r="AX178">
        <v>20</v>
      </c>
      <c r="AY178" s="1">
        <v>35796</v>
      </c>
      <c r="AZ178" s="1">
        <v>35796</v>
      </c>
      <c r="BA178" s="1">
        <v>35796</v>
      </c>
      <c r="BB178" s="1">
        <v>43101</v>
      </c>
      <c r="BC178" t="s">
        <v>51</v>
      </c>
      <c r="BE178" t="s">
        <v>54</v>
      </c>
      <c r="BF178">
        <v>2</v>
      </c>
      <c r="BG178">
        <v>0</v>
      </c>
      <c r="BH178" t="s">
        <v>53</v>
      </c>
      <c r="BK178" t="s">
        <v>65</v>
      </c>
      <c r="BL178">
        <v>14000</v>
      </c>
      <c r="BM178" s="1">
        <v>44322</v>
      </c>
      <c r="BN178" s="1">
        <v>44322</v>
      </c>
      <c r="BO178" s="1">
        <v>44322</v>
      </c>
      <c r="BP178" s="1">
        <v>45544</v>
      </c>
      <c r="BQ178" t="s">
        <v>51</v>
      </c>
      <c r="BS178" t="s">
        <v>60</v>
      </c>
      <c r="BT178" t="s">
        <v>54</v>
      </c>
      <c r="BU178" t="s">
        <v>61</v>
      </c>
      <c r="BV178" t="s">
        <v>62</v>
      </c>
      <c r="BX178">
        <v>36</v>
      </c>
      <c r="BY178">
        <v>0</v>
      </c>
      <c r="BZ178">
        <v>0</v>
      </c>
    </row>
    <row r="179" spans="1:78" x14ac:dyDescent="0.2">
      <c r="A179" t="s">
        <v>180</v>
      </c>
      <c r="B179" t="s">
        <v>181</v>
      </c>
      <c r="C179" t="s">
        <v>182</v>
      </c>
      <c r="D179" t="s">
        <v>48</v>
      </c>
      <c r="F179" t="str">
        <f>"253075"</f>
        <v>253075</v>
      </c>
      <c r="G179" t="s">
        <v>49</v>
      </c>
      <c r="H179" t="s">
        <v>130</v>
      </c>
      <c r="K179" t="s">
        <v>51</v>
      </c>
      <c r="L179" t="s">
        <v>52</v>
      </c>
      <c r="M179">
        <v>135864.95999999999</v>
      </c>
      <c r="N179">
        <v>473803.71</v>
      </c>
      <c r="O179" t="s">
        <v>53</v>
      </c>
      <c r="P179" t="s">
        <v>54</v>
      </c>
      <c r="Q179" t="s">
        <v>55</v>
      </c>
      <c r="T179" t="s">
        <v>131</v>
      </c>
      <c r="U179">
        <v>40</v>
      </c>
      <c r="V179" s="1">
        <v>35796</v>
      </c>
      <c r="W179" s="1">
        <v>35796</v>
      </c>
      <c r="X179" s="1">
        <v>35796</v>
      </c>
      <c r="Y179" s="1">
        <v>50406</v>
      </c>
      <c r="Z179" t="s">
        <v>51</v>
      </c>
      <c r="AB179" t="s">
        <v>54</v>
      </c>
      <c r="AC179">
        <v>1</v>
      </c>
      <c r="AE179" t="s">
        <v>116</v>
      </c>
      <c r="AF179">
        <v>20</v>
      </c>
      <c r="AG179" s="1">
        <v>35796</v>
      </c>
      <c r="AH179" s="1">
        <v>35796</v>
      </c>
      <c r="AI179" s="1">
        <v>35796</v>
      </c>
      <c r="AJ179" s="1">
        <v>43101</v>
      </c>
      <c r="AK179" t="s">
        <v>51</v>
      </c>
      <c r="AN179">
        <v>0</v>
      </c>
      <c r="AO179" t="s">
        <v>54</v>
      </c>
      <c r="AP179" t="s">
        <v>53</v>
      </c>
      <c r="AQ179">
        <v>0</v>
      </c>
      <c r="AR179" t="s">
        <v>53</v>
      </c>
      <c r="AS179">
        <v>0</v>
      </c>
      <c r="AT179">
        <v>0</v>
      </c>
      <c r="AW179" t="s">
        <v>58</v>
      </c>
      <c r="AX179">
        <v>20</v>
      </c>
      <c r="AY179" s="1">
        <v>44389</v>
      </c>
      <c r="AZ179" s="1">
        <v>44389</v>
      </c>
      <c r="BA179" s="1">
        <v>44389</v>
      </c>
      <c r="BB179" s="1">
        <v>51694</v>
      </c>
      <c r="BC179" t="s">
        <v>51</v>
      </c>
      <c r="BE179" t="s">
        <v>54</v>
      </c>
      <c r="BF179">
        <v>2</v>
      </c>
      <c r="BG179">
        <v>0</v>
      </c>
      <c r="BH179" t="s">
        <v>53</v>
      </c>
      <c r="BK179" t="s">
        <v>65</v>
      </c>
      <c r="BL179">
        <v>14000</v>
      </c>
      <c r="BM179" s="1">
        <v>44322</v>
      </c>
      <c r="BN179" s="1">
        <v>44322</v>
      </c>
      <c r="BO179" s="1">
        <v>44389</v>
      </c>
      <c r="BP179" s="1">
        <v>45544</v>
      </c>
      <c r="BQ179" t="s">
        <v>51</v>
      </c>
      <c r="BS179" t="s">
        <v>60</v>
      </c>
      <c r="BT179" t="s">
        <v>54</v>
      </c>
      <c r="BU179" t="s">
        <v>61</v>
      </c>
      <c r="BV179" t="s">
        <v>62</v>
      </c>
      <c r="BX179">
        <v>36</v>
      </c>
      <c r="BY179">
        <v>0</v>
      </c>
      <c r="BZ179">
        <v>0</v>
      </c>
    </row>
    <row r="180" spans="1:78" x14ac:dyDescent="0.2">
      <c r="A180" t="s">
        <v>180</v>
      </c>
      <c r="B180" t="s">
        <v>181</v>
      </c>
      <c r="C180" t="s">
        <v>182</v>
      </c>
      <c r="D180" t="s">
        <v>48</v>
      </c>
      <c r="F180" t="str">
        <f>"253076"</f>
        <v>253076</v>
      </c>
      <c r="G180" t="s">
        <v>49</v>
      </c>
      <c r="H180" t="s">
        <v>217</v>
      </c>
      <c r="K180" t="s">
        <v>51</v>
      </c>
      <c r="L180" t="s">
        <v>52</v>
      </c>
      <c r="M180">
        <v>135845.39000000001</v>
      </c>
      <c r="N180">
        <v>473811.72</v>
      </c>
      <c r="O180" t="s">
        <v>53</v>
      </c>
      <c r="P180" t="s">
        <v>54</v>
      </c>
      <c r="Q180" t="s">
        <v>55</v>
      </c>
      <c r="T180" t="s">
        <v>131</v>
      </c>
      <c r="U180">
        <v>40</v>
      </c>
      <c r="V180" s="1">
        <v>35796</v>
      </c>
      <c r="W180" s="1">
        <v>35796</v>
      </c>
      <c r="X180" s="1">
        <v>35796</v>
      </c>
      <c r="Y180" s="1">
        <v>50406</v>
      </c>
      <c r="Z180" t="s">
        <v>51</v>
      </c>
      <c r="AB180" t="s">
        <v>54</v>
      </c>
      <c r="AC180">
        <v>1</v>
      </c>
      <c r="AE180" t="s">
        <v>116</v>
      </c>
      <c r="AF180">
        <v>20</v>
      </c>
      <c r="AG180" s="1">
        <v>35796</v>
      </c>
      <c r="AH180" s="1">
        <v>35796</v>
      </c>
      <c r="AI180" s="1">
        <v>35796</v>
      </c>
      <c r="AJ180" s="1">
        <v>43101</v>
      </c>
      <c r="AK180" t="s">
        <v>51</v>
      </c>
      <c r="AN180">
        <v>0</v>
      </c>
      <c r="AO180" t="s">
        <v>54</v>
      </c>
      <c r="AP180" t="s">
        <v>53</v>
      </c>
      <c r="AQ180">
        <v>0</v>
      </c>
      <c r="AR180" t="s">
        <v>53</v>
      </c>
      <c r="AS180">
        <v>0</v>
      </c>
      <c r="AT180">
        <v>0</v>
      </c>
      <c r="AW180" t="s">
        <v>58</v>
      </c>
      <c r="AX180">
        <v>20</v>
      </c>
      <c r="AY180" s="1">
        <v>35796</v>
      </c>
      <c r="AZ180" s="1">
        <v>35796</v>
      </c>
      <c r="BA180" s="1">
        <v>35796</v>
      </c>
      <c r="BB180" s="1">
        <v>43101</v>
      </c>
      <c r="BC180" t="s">
        <v>51</v>
      </c>
      <c r="BE180" t="s">
        <v>54</v>
      </c>
      <c r="BF180">
        <v>2</v>
      </c>
      <c r="BG180">
        <v>0</v>
      </c>
      <c r="BH180" t="s">
        <v>53</v>
      </c>
      <c r="BK180" t="s">
        <v>65</v>
      </c>
      <c r="BL180">
        <v>14000</v>
      </c>
      <c r="BM180" s="1">
        <v>44322</v>
      </c>
      <c r="BN180" s="1">
        <v>44322</v>
      </c>
      <c r="BO180" s="1">
        <v>44322</v>
      </c>
      <c r="BP180" s="1">
        <v>45544</v>
      </c>
      <c r="BQ180" t="s">
        <v>51</v>
      </c>
      <c r="BS180" t="s">
        <v>60</v>
      </c>
      <c r="BT180" t="s">
        <v>54</v>
      </c>
      <c r="BU180" t="s">
        <v>61</v>
      </c>
      <c r="BV180" t="s">
        <v>62</v>
      </c>
      <c r="BX180">
        <v>36</v>
      </c>
      <c r="BY180">
        <v>0</v>
      </c>
      <c r="BZ180">
        <v>0</v>
      </c>
    </row>
    <row r="181" spans="1:78" x14ac:dyDescent="0.2">
      <c r="A181" t="s">
        <v>180</v>
      </c>
      <c r="B181" t="s">
        <v>181</v>
      </c>
      <c r="C181" t="s">
        <v>182</v>
      </c>
      <c r="D181" t="s">
        <v>48</v>
      </c>
      <c r="F181" t="str">
        <f>"253077"</f>
        <v>253077</v>
      </c>
      <c r="G181" t="s">
        <v>49</v>
      </c>
      <c r="H181" t="s">
        <v>218</v>
      </c>
      <c r="K181" t="s">
        <v>51</v>
      </c>
      <c r="L181" t="s">
        <v>52</v>
      </c>
      <c r="M181">
        <v>135815.66</v>
      </c>
      <c r="N181">
        <v>473823.94</v>
      </c>
      <c r="O181" t="s">
        <v>53</v>
      </c>
      <c r="P181" t="s">
        <v>54</v>
      </c>
      <c r="Q181" t="s">
        <v>55</v>
      </c>
      <c r="T181" t="s">
        <v>131</v>
      </c>
      <c r="U181">
        <v>40</v>
      </c>
      <c r="V181" s="1">
        <v>35796</v>
      </c>
      <c r="W181" s="1">
        <v>35796</v>
      </c>
      <c r="X181" s="1">
        <v>35796</v>
      </c>
      <c r="Y181" s="1">
        <v>50406</v>
      </c>
      <c r="Z181" t="s">
        <v>51</v>
      </c>
      <c r="AB181" t="s">
        <v>54</v>
      </c>
      <c r="AC181">
        <v>1</v>
      </c>
      <c r="AE181" t="s">
        <v>116</v>
      </c>
      <c r="AF181">
        <v>20</v>
      </c>
      <c r="AG181" s="1">
        <v>35796</v>
      </c>
      <c r="AH181" s="1">
        <v>35796</v>
      </c>
      <c r="AI181" s="1">
        <v>35796</v>
      </c>
      <c r="AJ181" s="1">
        <v>43101</v>
      </c>
      <c r="AK181" t="s">
        <v>51</v>
      </c>
      <c r="AN181">
        <v>0</v>
      </c>
      <c r="AO181" t="s">
        <v>54</v>
      </c>
      <c r="AP181" t="s">
        <v>53</v>
      </c>
      <c r="AQ181">
        <v>0</v>
      </c>
      <c r="AR181" t="s">
        <v>53</v>
      </c>
      <c r="AS181">
        <v>0</v>
      </c>
      <c r="AT181">
        <v>0</v>
      </c>
      <c r="AW181" t="s">
        <v>58</v>
      </c>
      <c r="AX181">
        <v>20</v>
      </c>
      <c r="AY181" s="1">
        <v>44200</v>
      </c>
      <c r="AZ181" s="1">
        <v>44200</v>
      </c>
      <c r="BA181" s="1">
        <v>44200</v>
      </c>
      <c r="BB181" s="1">
        <v>51505</v>
      </c>
      <c r="BC181" t="s">
        <v>51</v>
      </c>
      <c r="BE181" t="s">
        <v>54</v>
      </c>
      <c r="BF181">
        <v>2</v>
      </c>
      <c r="BG181">
        <v>0</v>
      </c>
      <c r="BH181" t="s">
        <v>53</v>
      </c>
      <c r="BK181" t="s">
        <v>65</v>
      </c>
      <c r="BL181">
        <v>14000</v>
      </c>
      <c r="BM181" s="1">
        <v>44322</v>
      </c>
      <c r="BN181" s="1">
        <v>44322</v>
      </c>
      <c r="BO181" s="1">
        <v>44322</v>
      </c>
      <c r="BP181" s="1">
        <v>45544</v>
      </c>
      <c r="BQ181" t="s">
        <v>51</v>
      </c>
      <c r="BS181" t="s">
        <v>60</v>
      </c>
      <c r="BT181" t="s">
        <v>54</v>
      </c>
      <c r="BU181" t="s">
        <v>61</v>
      </c>
      <c r="BV181" t="s">
        <v>62</v>
      </c>
      <c r="BX181">
        <v>36</v>
      </c>
      <c r="BY181">
        <v>0</v>
      </c>
      <c r="BZ181">
        <v>0</v>
      </c>
    </row>
    <row r="182" spans="1:78" x14ac:dyDescent="0.2">
      <c r="A182" t="s">
        <v>180</v>
      </c>
      <c r="B182" t="s">
        <v>181</v>
      </c>
      <c r="C182" t="s">
        <v>182</v>
      </c>
      <c r="D182" t="s">
        <v>48</v>
      </c>
      <c r="F182" t="str">
        <f>"253078"</f>
        <v>253078</v>
      </c>
      <c r="G182" t="s">
        <v>49</v>
      </c>
      <c r="H182" t="s">
        <v>219</v>
      </c>
      <c r="K182" t="s">
        <v>51</v>
      </c>
      <c r="L182" t="s">
        <v>52</v>
      </c>
      <c r="M182">
        <v>135779.87</v>
      </c>
      <c r="N182">
        <v>473838.75</v>
      </c>
      <c r="O182" t="s">
        <v>53</v>
      </c>
      <c r="P182" t="s">
        <v>54</v>
      </c>
      <c r="Q182" t="s">
        <v>55</v>
      </c>
      <c r="T182" t="s">
        <v>131</v>
      </c>
      <c r="U182">
        <v>40</v>
      </c>
      <c r="V182" s="1">
        <v>39427</v>
      </c>
      <c r="W182" s="1">
        <v>39427</v>
      </c>
      <c r="X182" s="1">
        <v>39427</v>
      </c>
      <c r="Y182" s="1">
        <v>54037</v>
      </c>
      <c r="Z182" t="s">
        <v>51</v>
      </c>
      <c r="AB182" t="s">
        <v>54</v>
      </c>
      <c r="AC182">
        <v>1</v>
      </c>
      <c r="AE182" t="s">
        <v>116</v>
      </c>
      <c r="AF182">
        <v>20</v>
      </c>
      <c r="AG182" s="1">
        <v>35796</v>
      </c>
      <c r="AH182" s="1">
        <v>35796</v>
      </c>
      <c r="AI182" s="1">
        <v>39427</v>
      </c>
      <c r="AJ182" s="1">
        <v>43101</v>
      </c>
      <c r="AK182" t="s">
        <v>51</v>
      </c>
      <c r="AN182">
        <v>0</v>
      </c>
      <c r="AO182" t="s">
        <v>54</v>
      </c>
      <c r="AP182" t="s">
        <v>53</v>
      </c>
      <c r="AQ182">
        <v>0</v>
      </c>
      <c r="AR182" t="s">
        <v>53</v>
      </c>
      <c r="AS182">
        <v>0</v>
      </c>
      <c r="AT182">
        <v>0</v>
      </c>
      <c r="AW182" t="s">
        <v>58</v>
      </c>
      <c r="AX182">
        <v>20</v>
      </c>
      <c r="AY182" s="1">
        <v>35796</v>
      </c>
      <c r="AZ182" s="1">
        <v>35796</v>
      </c>
      <c r="BA182" s="1">
        <v>39427</v>
      </c>
      <c r="BB182" s="1">
        <v>43101</v>
      </c>
      <c r="BC182" t="s">
        <v>51</v>
      </c>
      <c r="BE182" t="s">
        <v>54</v>
      </c>
      <c r="BF182">
        <v>2</v>
      </c>
      <c r="BG182">
        <v>0</v>
      </c>
      <c r="BH182" t="s">
        <v>53</v>
      </c>
      <c r="BK182" t="s">
        <v>65</v>
      </c>
      <c r="BL182">
        <v>14000</v>
      </c>
      <c r="BM182" s="1">
        <v>44322</v>
      </c>
      <c r="BN182" s="1">
        <v>44322</v>
      </c>
      <c r="BO182" s="1">
        <v>44322</v>
      </c>
      <c r="BP182" s="1">
        <v>45544</v>
      </c>
      <c r="BQ182" t="s">
        <v>51</v>
      </c>
      <c r="BS182" t="s">
        <v>60</v>
      </c>
      <c r="BT182" t="s">
        <v>54</v>
      </c>
      <c r="BU182" t="s">
        <v>61</v>
      </c>
      <c r="BV182" t="s">
        <v>62</v>
      </c>
      <c r="BX182">
        <v>36</v>
      </c>
      <c r="BY182">
        <v>0</v>
      </c>
      <c r="BZ182">
        <v>0</v>
      </c>
    </row>
    <row r="183" spans="1:78" x14ac:dyDescent="0.2">
      <c r="A183" t="s">
        <v>180</v>
      </c>
      <c r="B183" t="s">
        <v>181</v>
      </c>
      <c r="C183" t="s">
        <v>182</v>
      </c>
      <c r="D183" t="s">
        <v>48</v>
      </c>
      <c r="F183" t="str">
        <f>"253079"</f>
        <v>253079</v>
      </c>
      <c r="G183" t="s">
        <v>49</v>
      </c>
      <c r="K183" t="s">
        <v>51</v>
      </c>
      <c r="L183" t="s">
        <v>52</v>
      </c>
      <c r="M183">
        <v>135767.60500000001</v>
      </c>
      <c r="N183">
        <v>473841.03700000001</v>
      </c>
      <c r="O183" t="s">
        <v>53</v>
      </c>
      <c r="P183" t="s">
        <v>54</v>
      </c>
      <c r="Q183" t="s">
        <v>55</v>
      </c>
      <c r="T183" t="s">
        <v>220</v>
      </c>
      <c r="U183">
        <v>40</v>
      </c>
      <c r="V183" s="1">
        <v>35796</v>
      </c>
      <c r="W183" s="1">
        <v>35796</v>
      </c>
      <c r="X183" s="1">
        <v>35796</v>
      </c>
      <c r="Y183" s="1">
        <v>50406</v>
      </c>
      <c r="Z183" t="s">
        <v>51</v>
      </c>
      <c r="AB183" t="s">
        <v>54</v>
      </c>
      <c r="AE183" t="s">
        <v>84</v>
      </c>
      <c r="AF183">
        <v>20</v>
      </c>
      <c r="AG183" s="1">
        <v>44321</v>
      </c>
      <c r="AH183" s="1">
        <v>44321</v>
      </c>
      <c r="AI183" s="1">
        <v>44321</v>
      </c>
      <c r="AJ183" s="1">
        <v>51626</v>
      </c>
      <c r="AK183" t="s">
        <v>51</v>
      </c>
      <c r="AN183">
        <v>0</v>
      </c>
      <c r="AO183" t="s">
        <v>54</v>
      </c>
      <c r="AP183" t="s">
        <v>53</v>
      </c>
      <c r="AQ183">
        <v>0</v>
      </c>
      <c r="AR183" t="s">
        <v>53</v>
      </c>
      <c r="AS183">
        <v>0</v>
      </c>
      <c r="AT183">
        <v>0</v>
      </c>
      <c r="AW183" t="s">
        <v>58</v>
      </c>
      <c r="AX183">
        <v>20</v>
      </c>
      <c r="AY183" s="1">
        <v>44321</v>
      </c>
      <c r="AZ183" s="1">
        <v>44321</v>
      </c>
      <c r="BA183" s="1">
        <v>44321</v>
      </c>
      <c r="BB183" s="1">
        <v>51626</v>
      </c>
      <c r="BC183" t="s">
        <v>51</v>
      </c>
      <c r="BE183" t="s">
        <v>54</v>
      </c>
      <c r="BF183">
        <v>2</v>
      </c>
      <c r="BG183">
        <v>0</v>
      </c>
      <c r="BH183" t="s">
        <v>53</v>
      </c>
      <c r="BK183" t="s">
        <v>59</v>
      </c>
      <c r="BL183">
        <v>14000</v>
      </c>
      <c r="BM183" s="1">
        <v>44321</v>
      </c>
      <c r="BN183" s="1">
        <v>44321</v>
      </c>
      <c r="BO183" s="1">
        <v>44321</v>
      </c>
      <c r="BP183" s="1">
        <v>45543</v>
      </c>
      <c r="BQ183" t="s">
        <v>51</v>
      </c>
      <c r="BS183" t="s">
        <v>60</v>
      </c>
      <c r="BT183" t="s">
        <v>54</v>
      </c>
      <c r="BU183" t="s">
        <v>61</v>
      </c>
      <c r="BV183" t="s">
        <v>62</v>
      </c>
      <c r="BX183">
        <v>24</v>
      </c>
      <c r="BY183">
        <v>0</v>
      </c>
      <c r="BZ183">
        <v>0</v>
      </c>
    </row>
    <row r="184" spans="1:78" x14ac:dyDescent="0.2">
      <c r="A184" t="s">
        <v>45</v>
      </c>
      <c r="B184" t="s">
        <v>46</v>
      </c>
      <c r="C184" t="s">
        <v>47</v>
      </c>
      <c r="D184" t="s">
        <v>48</v>
      </c>
      <c r="F184" t="str">
        <f>"253080"</f>
        <v>253080</v>
      </c>
      <c r="G184" t="s">
        <v>49</v>
      </c>
      <c r="H184" t="s">
        <v>219</v>
      </c>
      <c r="K184" t="s">
        <v>51</v>
      </c>
      <c r="L184" t="s">
        <v>52</v>
      </c>
      <c r="M184">
        <v>135756.92000000001</v>
      </c>
      <c r="N184">
        <v>473853.44</v>
      </c>
      <c r="O184" t="s">
        <v>53</v>
      </c>
      <c r="P184" t="s">
        <v>54</v>
      </c>
      <c r="Q184" t="s">
        <v>55</v>
      </c>
      <c r="T184" t="s">
        <v>131</v>
      </c>
      <c r="U184">
        <v>40</v>
      </c>
      <c r="V184" s="1">
        <v>35796</v>
      </c>
      <c r="W184" s="1">
        <v>35796</v>
      </c>
      <c r="X184" s="1">
        <v>35796</v>
      </c>
      <c r="Y184" s="1">
        <v>50406</v>
      </c>
      <c r="Z184" t="s">
        <v>51</v>
      </c>
      <c r="AB184" t="s">
        <v>54</v>
      </c>
      <c r="AC184">
        <v>1</v>
      </c>
      <c r="AE184" t="s">
        <v>84</v>
      </c>
      <c r="AF184">
        <v>20</v>
      </c>
      <c r="AG184" s="1">
        <v>35796</v>
      </c>
      <c r="AH184" s="1">
        <v>35796</v>
      </c>
      <c r="AI184" s="1">
        <v>35796</v>
      </c>
      <c r="AJ184" s="1">
        <v>43101</v>
      </c>
      <c r="AK184" t="s">
        <v>51</v>
      </c>
      <c r="AN184">
        <v>0</v>
      </c>
      <c r="AO184" t="s">
        <v>54</v>
      </c>
      <c r="AP184" t="s">
        <v>53</v>
      </c>
      <c r="AQ184">
        <v>0</v>
      </c>
      <c r="AR184" t="s">
        <v>53</v>
      </c>
      <c r="AS184">
        <v>0</v>
      </c>
      <c r="AT184">
        <v>0</v>
      </c>
      <c r="AW184" t="s">
        <v>58</v>
      </c>
      <c r="AX184">
        <v>20</v>
      </c>
      <c r="AY184" s="1">
        <v>35796</v>
      </c>
      <c r="AZ184" s="1">
        <v>35796</v>
      </c>
      <c r="BA184" s="1">
        <v>35796</v>
      </c>
      <c r="BB184" s="1">
        <v>43101</v>
      </c>
      <c r="BC184" t="s">
        <v>51</v>
      </c>
      <c r="BE184" t="s">
        <v>54</v>
      </c>
      <c r="BF184">
        <v>2</v>
      </c>
      <c r="BG184">
        <v>0</v>
      </c>
      <c r="BH184" t="s">
        <v>53</v>
      </c>
      <c r="BK184" t="s">
        <v>59</v>
      </c>
      <c r="BL184">
        <v>14000</v>
      </c>
      <c r="BM184" s="1">
        <v>44322</v>
      </c>
      <c r="BN184" s="1">
        <v>44322</v>
      </c>
      <c r="BO184" s="1">
        <v>44322</v>
      </c>
      <c r="BP184" s="1">
        <v>45544</v>
      </c>
      <c r="BQ184" t="s">
        <v>51</v>
      </c>
      <c r="BS184" t="s">
        <v>60</v>
      </c>
      <c r="BT184" t="s">
        <v>54</v>
      </c>
      <c r="BU184" t="s">
        <v>61</v>
      </c>
      <c r="BV184" t="s">
        <v>62</v>
      </c>
      <c r="BX184">
        <v>24</v>
      </c>
      <c r="BY184">
        <v>0</v>
      </c>
      <c r="BZ184">
        <v>0</v>
      </c>
    </row>
    <row r="185" spans="1:78" x14ac:dyDescent="0.2">
      <c r="A185" t="s">
        <v>45</v>
      </c>
      <c r="B185" t="s">
        <v>46</v>
      </c>
      <c r="C185" t="s">
        <v>47</v>
      </c>
      <c r="D185" t="s">
        <v>48</v>
      </c>
      <c r="F185" t="str">
        <f>"253081"</f>
        <v>253081</v>
      </c>
      <c r="G185" t="s">
        <v>49</v>
      </c>
      <c r="H185" t="s">
        <v>219</v>
      </c>
      <c r="K185" t="s">
        <v>51</v>
      </c>
      <c r="L185" t="s">
        <v>52</v>
      </c>
      <c r="M185">
        <v>135736.42000000001</v>
      </c>
      <c r="N185">
        <v>473869.93</v>
      </c>
      <c r="O185" t="s">
        <v>53</v>
      </c>
      <c r="P185" t="s">
        <v>54</v>
      </c>
      <c r="Q185" t="s">
        <v>55</v>
      </c>
      <c r="T185" t="s">
        <v>56</v>
      </c>
      <c r="U185">
        <v>40</v>
      </c>
      <c r="V185" s="1">
        <v>30682</v>
      </c>
      <c r="W185" s="1">
        <v>30682</v>
      </c>
      <c r="X185" s="1">
        <v>30682</v>
      </c>
      <c r="Y185" s="1">
        <v>45292</v>
      </c>
      <c r="Z185" t="s">
        <v>51</v>
      </c>
      <c r="AB185" t="s">
        <v>54</v>
      </c>
      <c r="AC185">
        <v>1</v>
      </c>
      <c r="AE185" t="s">
        <v>64</v>
      </c>
      <c r="AF185">
        <v>20</v>
      </c>
      <c r="AG185" s="1">
        <v>30682</v>
      </c>
      <c r="AH185" s="1">
        <v>30682</v>
      </c>
      <c r="AI185" s="1">
        <v>30682</v>
      </c>
      <c r="AJ185" s="1">
        <v>37987</v>
      </c>
      <c r="AK185" t="s">
        <v>51</v>
      </c>
      <c r="AN185">
        <v>0</v>
      </c>
      <c r="AO185" t="s">
        <v>54</v>
      </c>
      <c r="AP185" t="s">
        <v>53</v>
      </c>
      <c r="AQ185">
        <v>0</v>
      </c>
      <c r="AR185" t="s">
        <v>53</v>
      </c>
      <c r="AS185">
        <v>0</v>
      </c>
      <c r="AT185">
        <v>0</v>
      </c>
      <c r="AW185" t="s">
        <v>58</v>
      </c>
      <c r="AX185">
        <v>20</v>
      </c>
      <c r="AY185" s="1">
        <v>30682</v>
      </c>
      <c r="AZ185" s="1">
        <v>30682</v>
      </c>
      <c r="BA185" s="1">
        <v>30682</v>
      </c>
      <c r="BB185" s="1">
        <v>37987</v>
      </c>
      <c r="BC185" t="s">
        <v>51</v>
      </c>
      <c r="BE185" t="s">
        <v>54</v>
      </c>
      <c r="BF185">
        <v>2</v>
      </c>
      <c r="BG185">
        <v>0</v>
      </c>
      <c r="BH185" t="s">
        <v>53</v>
      </c>
      <c r="BK185" t="s">
        <v>65</v>
      </c>
      <c r="BL185">
        <v>14000</v>
      </c>
      <c r="BM185" s="1">
        <v>44322</v>
      </c>
      <c r="BN185" s="1">
        <v>44322</v>
      </c>
      <c r="BO185" s="1">
        <v>44322</v>
      </c>
      <c r="BP185" s="1">
        <v>45544</v>
      </c>
      <c r="BQ185" t="s">
        <v>51</v>
      </c>
      <c r="BS185" t="s">
        <v>60</v>
      </c>
      <c r="BT185" t="s">
        <v>54</v>
      </c>
      <c r="BU185" t="s">
        <v>61</v>
      </c>
      <c r="BV185" t="s">
        <v>62</v>
      </c>
      <c r="BX185">
        <v>36</v>
      </c>
      <c r="BY185">
        <v>0</v>
      </c>
      <c r="BZ185">
        <v>0</v>
      </c>
    </row>
    <row r="186" spans="1:78" x14ac:dyDescent="0.2">
      <c r="A186" t="s">
        <v>45</v>
      </c>
      <c r="B186" t="s">
        <v>46</v>
      </c>
      <c r="C186" t="s">
        <v>90</v>
      </c>
      <c r="D186" t="s">
        <v>125</v>
      </c>
      <c r="F186" t="str">
        <f>"253100"</f>
        <v>253100</v>
      </c>
      <c r="G186" t="s">
        <v>49</v>
      </c>
      <c r="H186" t="s">
        <v>221</v>
      </c>
      <c r="K186" t="s">
        <v>51</v>
      </c>
      <c r="L186" t="s">
        <v>52</v>
      </c>
      <c r="M186">
        <v>135423.35999999999</v>
      </c>
      <c r="N186">
        <v>475551.84</v>
      </c>
      <c r="O186" t="s">
        <v>53</v>
      </c>
      <c r="P186" t="s">
        <v>54</v>
      </c>
      <c r="Q186" t="s">
        <v>55</v>
      </c>
      <c r="T186" t="s">
        <v>100</v>
      </c>
      <c r="U186">
        <v>40</v>
      </c>
      <c r="V186" s="1">
        <v>35431</v>
      </c>
      <c r="W186" s="1">
        <v>35431</v>
      </c>
      <c r="X186" s="1">
        <v>35431</v>
      </c>
      <c r="Y186" s="1">
        <v>50041</v>
      </c>
      <c r="Z186" t="s">
        <v>51</v>
      </c>
      <c r="AB186" t="s">
        <v>54</v>
      </c>
      <c r="AC186">
        <v>1</v>
      </c>
      <c r="AE186" t="s">
        <v>222</v>
      </c>
      <c r="AF186">
        <v>20</v>
      </c>
      <c r="AG186" s="1">
        <v>40179</v>
      </c>
      <c r="AH186" s="1">
        <v>40179</v>
      </c>
      <c r="AI186" s="1">
        <v>40179</v>
      </c>
      <c r="AJ186" s="1">
        <v>47484</v>
      </c>
      <c r="AK186" t="s">
        <v>51</v>
      </c>
      <c r="AN186">
        <v>0</v>
      </c>
      <c r="AO186" t="s">
        <v>54</v>
      </c>
      <c r="AP186" t="s">
        <v>53</v>
      </c>
      <c r="AQ186">
        <v>0</v>
      </c>
      <c r="AR186" t="s">
        <v>53</v>
      </c>
      <c r="AS186">
        <v>0</v>
      </c>
      <c r="AT186">
        <v>0</v>
      </c>
      <c r="AW186" t="s">
        <v>58</v>
      </c>
      <c r="AX186">
        <v>20</v>
      </c>
      <c r="AY186" s="1">
        <v>43416</v>
      </c>
      <c r="AZ186" s="1">
        <v>43416</v>
      </c>
      <c r="BA186" s="1">
        <v>43416</v>
      </c>
      <c r="BB186" s="1">
        <v>50721</v>
      </c>
      <c r="BC186" t="s">
        <v>51</v>
      </c>
      <c r="BE186" t="s">
        <v>54</v>
      </c>
      <c r="BF186">
        <v>2</v>
      </c>
      <c r="BG186">
        <v>0</v>
      </c>
      <c r="BH186" t="s">
        <v>53</v>
      </c>
      <c r="BK186" t="s">
        <v>59</v>
      </c>
      <c r="BL186">
        <v>14000</v>
      </c>
      <c r="BM186" s="1">
        <v>44323</v>
      </c>
      <c r="BN186" s="1">
        <v>44323</v>
      </c>
      <c r="BO186" s="1">
        <v>44323</v>
      </c>
      <c r="BP186" s="1">
        <v>45543</v>
      </c>
      <c r="BQ186" t="s">
        <v>51</v>
      </c>
      <c r="BS186" t="s">
        <v>60</v>
      </c>
      <c r="BT186" t="s">
        <v>54</v>
      </c>
      <c r="BU186" t="s">
        <v>61</v>
      </c>
      <c r="BV186" t="s">
        <v>62</v>
      </c>
      <c r="BX186">
        <v>24</v>
      </c>
      <c r="BY186">
        <v>0</v>
      </c>
      <c r="BZ186">
        <v>0</v>
      </c>
    </row>
    <row r="187" spans="1:78" x14ac:dyDescent="0.2">
      <c r="A187" t="s">
        <v>45</v>
      </c>
      <c r="B187" t="s">
        <v>46</v>
      </c>
      <c r="C187" t="s">
        <v>90</v>
      </c>
      <c r="D187" t="s">
        <v>125</v>
      </c>
      <c r="F187" t="str">
        <f>"253101"</f>
        <v>253101</v>
      </c>
      <c r="G187" t="s">
        <v>49</v>
      </c>
      <c r="H187" t="s">
        <v>223</v>
      </c>
      <c r="K187" t="s">
        <v>51</v>
      </c>
      <c r="L187" t="s">
        <v>52</v>
      </c>
      <c r="M187">
        <v>135408.71</v>
      </c>
      <c r="N187">
        <v>475570.4</v>
      </c>
      <c r="O187" t="s">
        <v>53</v>
      </c>
      <c r="P187" t="s">
        <v>54</v>
      </c>
      <c r="Q187" t="s">
        <v>55</v>
      </c>
      <c r="T187" t="s">
        <v>56</v>
      </c>
      <c r="U187">
        <v>40</v>
      </c>
      <c r="V187" s="1">
        <v>36892</v>
      </c>
      <c r="W187" s="1">
        <v>36892</v>
      </c>
      <c r="X187" s="1">
        <v>36892</v>
      </c>
      <c r="Y187" s="1">
        <v>51502</v>
      </c>
      <c r="Z187" t="s">
        <v>51</v>
      </c>
      <c r="AB187" t="s">
        <v>54</v>
      </c>
      <c r="AC187">
        <v>1</v>
      </c>
      <c r="AE187" t="s">
        <v>84</v>
      </c>
      <c r="AF187">
        <v>20</v>
      </c>
      <c r="AG187" s="1">
        <v>36526</v>
      </c>
      <c r="AH187" s="1">
        <v>36526</v>
      </c>
      <c r="AI187" s="1">
        <v>36892</v>
      </c>
      <c r="AJ187" s="1">
        <v>43831</v>
      </c>
      <c r="AK187" t="s">
        <v>51</v>
      </c>
      <c r="AN187">
        <v>0</v>
      </c>
      <c r="AO187" t="s">
        <v>54</v>
      </c>
      <c r="AP187" t="s">
        <v>53</v>
      </c>
      <c r="AQ187">
        <v>0</v>
      </c>
      <c r="AR187" t="s">
        <v>53</v>
      </c>
      <c r="AS187">
        <v>0</v>
      </c>
      <c r="AT187">
        <v>0</v>
      </c>
      <c r="AW187" t="s">
        <v>58</v>
      </c>
      <c r="AX187">
        <v>20</v>
      </c>
      <c r="AY187" s="1">
        <v>44095</v>
      </c>
      <c r="AZ187" s="1">
        <v>44095</v>
      </c>
      <c r="BA187" s="1">
        <v>44095</v>
      </c>
      <c r="BB187" s="1">
        <v>51400</v>
      </c>
      <c r="BC187" t="s">
        <v>51</v>
      </c>
      <c r="BE187" t="s">
        <v>54</v>
      </c>
      <c r="BF187">
        <v>2</v>
      </c>
      <c r="BG187">
        <v>0</v>
      </c>
      <c r="BH187" t="s">
        <v>53</v>
      </c>
      <c r="BK187" t="s">
        <v>59</v>
      </c>
      <c r="BL187">
        <v>14000</v>
      </c>
      <c r="BM187" s="1">
        <v>44095</v>
      </c>
      <c r="BN187" s="1">
        <v>44095</v>
      </c>
      <c r="BO187" s="1">
        <v>44095</v>
      </c>
      <c r="BP187" s="1">
        <v>45262</v>
      </c>
      <c r="BQ187" t="s">
        <v>51</v>
      </c>
      <c r="BS187" t="s">
        <v>60</v>
      </c>
      <c r="BT187" t="s">
        <v>54</v>
      </c>
      <c r="BU187" t="s">
        <v>61</v>
      </c>
      <c r="BV187" t="s">
        <v>62</v>
      </c>
      <c r="BX187">
        <v>24</v>
      </c>
      <c r="BY187">
        <v>0</v>
      </c>
      <c r="BZ187">
        <v>0</v>
      </c>
    </row>
    <row r="188" spans="1:78" x14ac:dyDescent="0.2">
      <c r="A188" t="s">
        <v>45</v>
      </c>
      <c r="B188" t="s">
        <v>46</v>
      </c>
      <c r="C188" t="s">
        <v>90</v>
      </c>
      <c r="D188" t="s">
        <v>125</v>
      </c>
      <c r="F188" t="str">
        <f>"253102"</f>
        <v>253102</v>
      </c>
      <c r="G188" t="s">
        <v>49</v>
      </c>
      <c r="H188" t="s">
        <v>224</v>
      </c>
      <c r="K188" t="s">
        <v>51</v>
      </c>
      <c r="L188" t="s">
        <v>52</v>
      </c>
      <c r="M188">
        <v>135391.45000000001</v>
      </c>
      <c r="N188">
        <v>475544.24</v>
      </c>
      <c r="O188" t="s">
        <v>53</v>
      </c>
      <c r="P188" t="s">
        <v>54</v>
      </c>
      <c r="Q188" t="s">
        <v>55</v>
      </c>
      <c r="T188" t="s">
        <v>225</v>
      </c>
      <c r="U188">
        <v>40</v>
      </c>
      <c r="V188" s="1">
        <v>37257</v>
      </c>
      <c r="W188" s="1">
        <v>37257</v>
      </c>
      <c r="X188" s="1">
        <v>37257</v>
      </c>
      <c r="Y188" s="1">
        <v>51867</v>
      </c>
      <c r="Z188" t="s">
        <v>51</v>
      </c>
      <c r="AB188" t="s">
        <v>54</v>
      </c>
      <c r="AC188">
        <v>1</v>
      </c>
      <c r="AE188" t="s">
        <v>226</v>
      </c>
      <c r="AF188">
        <v>20</v>
      </c>
      <c r="AG188" s="1">
        <v>36892</v>
      </c>
      <c r="AH188" s="1">
        <v>36892</v>
      </c>
      <c r="AI188" s="1">
        <v>37257</v>
      </c>
      <c r="AJ188" s="1">
        <v>44197</v>
      </c>
      <c r="AK188" t="s">
        <v>51</v>
      </c>
      <c r="AN188">
        <v>0</v>
      </c>
      <c r="AO188" t="s">
        <v>54</v>
      </c>
      <c r="AP188" t="s">
        <v>53</v>
      </c>
      <c r="AQ188">
        <v>0</v>
      </c>
      <c r="AR188" t="s">
        <v>53</v>
      </c>
      <c r="AS188">
        <v>0</v>
      </c>
      <c r="AT188">
        <v>0</v>
      </c>
      <c r="AW188" t="s">
        <v>58</v>
      </c>
      <c r="AX188">
        <v>20</v>
      </c>
      <c r="AY188" s="1">
        <v>36892</v>
      </c>
      <c r="AZ188" s="1">
        <v>36892</v>
      </c>
      <c r="BA188" s="1">
        <v>37257</v>
      </c>
      <c r="BB188" s="1">
        <v>44197</v>
      </c>
      <c r="BC188" t="s">
        <v>51</v>
      </c>
      <c r="BE188" t="s">
        <v>54</v>
      </c>
      <c r="BF188">
        <v>2</v>
      </c>
      <c r="BG188">
        <v>0</v>
      </c>
      <c r="BH188" t="s">
        <v>53</v>
      </c>
      <c r="BK188" t="s">
        <v>227</v>
      </c>
      <c r="BL188">
        <v>10000</v>
      </c>
      <c r="BM188" s="1">
        <v>44341</v>
      </c>
      <c r="BN188" s="1">
        <v>44341</v>
      </c>
      <c r="BO188" s="1">
        <v>44341</v>
      </c>
      <c r="BP188" s="1">
        <v>45215</v>
      </c>
      <c r="BQ188" t="s">
        <v>51</v>
      </c>
      <c r="BS188" t="s">
        <v>60</v>
      </c>
      <c r="BT188" t="s">
        <v>54</v>
      </c>
      <c r="BU188" t="s">
        <v>228</v>
      </c>
      <c r="BV188" t="s">
        <v>229</v>
      </c>
      <c r="BX188">
        <v>32</v>
      </c>
      <c r="BY188">
        <v>0</v>
      </c>
      <c r="BZ188">
        <v>0</v>
      </c>
    </row>
    <row r="189" spans="1:78" x14ac:dyDescent="0.2">
      <c r="A189" t="s">
        <v>45</v>
      </c>
      <c r="B189" t="s">
        <v>46</v>
      </c>
      <c r="C189" t="s">
        <v>45</v>
      </c>
      <c r="D189" t="s">
        <v>125</v>
      </c>
      <c r="F189" t="str">
        <f>"253103"</f>
        <v>253103</v>
      </c>
      <c r="G189" t="s">
        <v>49</v>
      </c>
      <c r="H189" t="s">
        <v>230</v>
      </c>
      <c r="K189" t="s">
        <v>51</v>
      </c>
      <c r="L189" t="s">
        <v>52</v>
      </c>
      <c r="M189">
        <v>135372.85999999999</v>
      </c>
      <c r="N189">
        <v>475525.28</v>
      </c>
      <c r="O189" t="s">
        <v>53</v>
      </c>
      <c r="P189" t="s">
        <v>54</v>
      </c>
      <c r="Q189" t="s">
        <v>55</v>
      </c>
      <c r="T189" t="s">
        <v>225</v>
      </c>
      <c r="U189">
        <v>40</v>
      </c>
      <c r="V189" s="1">
        <v>37257</v>
      </c>
      <c r="W189" s="1">
        <v>37257</v>
      </c>
      <c r="X189" s="1">
        <v>37257</v>
      </c>
      <c r="Y189" s="1">
        <v>51867</v>
      </c>
      <c r="Z189" t="s">
        <v>51</v>
      </c>
      <c r="AB189" t="s">
        <v>54</v>
      </c>
      <c r="AC189">
        <v>1</v>
      </c>
      <c r="AE189" t="s">
        <v>226</v>
      </c>
      <c r="AF189">
        <v>20</v>
      </c>
      <c r="AG189" s="1">
        <v>37257</v>
      </c>
      <c r="AH189" s="1">
        <v>37257</v>
      </c>
      <c r="AI189" s="1">
        <v>37257</v>
      </c>
      <c r="AJ189" s="1">
        <v>44562</v>
      </c>
      <c r="AK189" t="s">
        <v>51</v>
      </c>
      <c r="AN189">
        <v>0</v>
      </c>
      <c r="AO189" t="s">
        <v>54</v>
      </c>
      <c r="AP189" t="s">
        <v>53</v>
      </c>
      <c r="AQ189">
        <v>0</v>
      </c>
      <c r="AR189" t="s">
        <v>53</v>
      </c>
      <c r="AS189">
        <v>0</v>
      </c>
      <c r="AT189">
        <v>0</v>
      </c>
      <c r="AW189" t="s">
        <v>58</v>
      </c>
      <c r="AX189">
        <v>20</v>
      </c>
      <c r="AY189" s="1">
        <v>37257</v>
      </c>
      <c r="AZ189" s="1">
        <v>37257</v>
      </c>
      <c r="BA189" s="1">
        <v>37257</v>
      </c>
      <c r="BB189" s="1">
        <v>44562</v>
      </c>
      <c r="BC189" t="s">
        <v>51</v>
      </c>
      <c r="BE189" t="s">
        <v>54</v>
      </c>
      <c r="BF189">
        <v>2</v>
      </c>
      <c r="BG189">
        <v>0</v>
      </c>
      <c r="BH189" t="s">
        <v>53</v>
      </c>
      <c r="BK189" t="s">
        <v>231</v>
      </c>
      <c r="BL189">
        <v>10000</v>
      </c>
      <c r="BM189" s="1">
        <v>44323</v>
      </c>
      <c r="BN189" s="1">
        <v>44323</v>
      </c>
      <c r="BO189" s="1">
        <v>44323</v>
      </c>
      <c r="BP189" s="1">
        <v>45205</v>
      </c>
      <c r="BQ189" t="s">
        <v>51</v>
      </c>
      <c r="BS189" t="s">
        <v>60</v>
      </c>
      <c r="BT189" t="s">
        <v>54</v>
      </c>
      <c r="BU189" t="s">
        <v>228</v>
      </c>
      <c r="BV189" t="s">
        <v>229</v>
      </c>
      <c r="BX189">
        <v>24</v>
      </c>
      <c r="BY189">
        <v>0</v>
      </c>
      <c r="BZ189">
        <v>0</v>
      </c>
    </row>
    <row r="190" spans="1:78" x14ac:dyDescent="0.2">
      <c r="A190" t="s">
        <v>45</v>
      </c>
      <c r="B190" t="s">
        <v>46</v>
      </c>
      <c r="C190" t="s">
        <v>90</v>
      </c>
      <c r="D190" t="s">
        <v>125</v>
      </c>
      <c r="F190" t="str">
        <f>"253104"</f>
        <v>253104</v>
      </c>
      <c r="G190" t="s">
        <v>49</v>
      </c>
      <c r="H190" s="2">
        <v>45049</v>
      </c>
      <c r="K190" t="s">
        <v>51</v>
      </c>
      <c r="L190" t="s">
        <v>52</v>
      </c>
      <c r="M190">
        <v>135364.35999999999</v>
      </c>
      <c r="N190">
        <v>475502.64</v>
      </c>
      <c r="O190" t="s">
        <v>53</v>
      </c>
      <c r="P190" t="s">
        <v>54</v>
      </c>
      <c r="Q190" t="s">
        <v>55</v>
      </c>
      <c r="T190" t="s">
        <v>232</v>
      </c>
      <c r="U190">
        <v>40</v>
      </c>
      <c r="V190" s="1">
        <v>37257</v>
      </c>
      <c r="W190" s="1">
        <v>37257</v>
      </c>
      <c r="X190" s="1">
        <v>37257</v>
      </c>
      <c r="Y190" s="1">
        <v>51867</v>
      </c>
      <c r="Z190" t="s">
        <v>51</v>
      </c>
      <c r="AB190" t="s">
        <v>54</v>
      </c>
      <c r="AC190">
        <v>1</v>
      </c>
      <c r="AE190" t="s">
        <v>226</v>
      </c>
      <c r="AF190">
        <v>20</v>
      </c>
      <c r="AG190" s="1">
        <v>36892</v>
      </c>
      <c r="AH190" s="1">
        <v>36892</v>
      </c>
      <c r="AI190" s="1">
        <v>37257</v>
      </c>
      <c r="AJ190" s="1">
        <v>44197</v>
      </c>
      <c r="AK190" t="s">
        <v>51</v>
      </c>
      <c r="AN190">
        <v>0</v>
      </c>
      <c r="AO190" t="s">
        <v>54</v>
      </c>
      <c r="AP190" t="s">
        <v>53</v>
      </c>
      <c r="AQ190">
        <v>0</v>
      </c>
      <c r="AR190" t="s">
        <v>53</v>
      </c>
      <c r="AS190">
        <v>0</v>
      </c>
      <c r="AT190">
        <v>0</v>
      </c>
      <c r="AW190" t="s">
        <v>58</v>
      </c>
      <c r="AX190">
        <v>20</v>
      </c>
      <c r="AY190" s="1">
        <v>36892</v>
      </c>
      <c r="AZ190" s="1">
        <v>36892</v>
      </c>
      <c r="BA190" s="1">
        <v>37257</v>
      </c>
      <c r="BB190" s="1">
        <v>44197</v>
      </c>
      <c r="BC190" t="s">
        <v>51</v>
      </c>
      <c r="BE190" t="s">
        <v>54</v>
      </c>
      <c r="BF190">
        <v>2</v>
      </c>
      <c r="BG190">
        <v>0</v>
      </c>
      <c r="BH190" t="s">
        <v>53</v>
      </c>
      <c r="BK190" t="s">
        <v>227</v>
      </c>
      <c r="BL190">
        <v>10000</v>
      </c>
      <c r="BM190" s="1">
        <v>44323</v>
      </c>
      <c r="BN190" s="1">
        <v>44323</v>
      </c>
      <c r="BO190" s="1">
        <v>44323</v>
      </c>
      <c r="BP190" s="1">
        <v>45205</v>
      </c>
      <c r="BQ190" t="s">
        <v>51</v>
      </c>
      <c r="BS190" t="s">
        <v>60</v>
      </c>
      <c r="BT190" t="s">
        <v>54</v>
      </c>
      <c r="BU190" t="s">
        <v>228</v>
      </c>
      <c r="BV190" t="s">
        <v>229</v>
      </c>
      <c r="BX190">
        <v>32</v>
      </c>
      <c r="BY190">
        <v>0</v>
      </c>
      <c r="BZ190">
        <v>0</v>
      </c>
    </row>
    <row r="191" spans="1:78" x14ac:dyDescent="0.2">
      <c r="A191" t="s">
        <v>45</v>
      </c>
      <c r="B191" t="s">
        <v>46</v>
      </c>
      <c r="C191" t="s">
        <v>45</v>
      </c>
      <c r="D191" t="s">
        <v>68</v>
      </c>
      <c r="F191" t="str">
        <f>"253105"</f>
        <v>253105</v>
      </c>
      <c r="G191" t="s">
        <v>49</v>
      </c>
      <c r="H191">
        <v>4</v>
      </c>
      <c r="K191" t="s">
        <v>51</v>
      </c>
      <c r="L191" t="s">
        <v>52</v>
      </c>
      <c r="M191">
        <v>135350.45000000001</v>
      </c>
      <c r="N191">
        <v>475491.68</v>
      </c>
      <c r="O191" t="s">
        <v>53</v>
      </c>
      <c r="P191" t="s">
        <v>54</v>
      </c>
      <c r="Q191" t="s">
        <v>55</v>
      </c>
      <c r="T191" t="s">
        <v>225</v>
      </c>
      <c r="U191">
        <v>40</v>
      </c>
      <c r="V191" s="1">
        <v>34700</v>
      </c>
      <c r="W191" s="1">
        <v>34700</v>
      </c>
      <c r="X191" s="1">
        <v>34700</v>
      </c>
      <c r="Y191" s="1">
        <v>49310</v>
      </c>
      <c r="Z191" t="s">
        <v>51</v>
      </c>
      <c r="AB191" t="s">
        <v>54</v>
      </c>
      <c r="AC191">
        <v>1</v>
      </c>
      <c r="AE191" t="s">
        <v>226</v>
      </c>
      <c r="AF191">
        <v>20</v>
      </c>
      <c r="AG191" s="1">
        <v>34700</v>
      </c>
      <c r="AH191" s="1">
        <v>34700</v>
      </c>
      <c r="AI191" s="1">
        <v>34700</v>
      </c>
      <c r="AJ191" s="1">
        <v>42005</v>
      </c>
      <c r="AK191" t="s">
        <v>51</v>
      </c>
      <c r="AN191">
        <v>0</v>
      </c>
      <c r="AO191" t="s">
        <v>54</v>
      </c>
      <c r="AP191" t="s">
        <v>53</v>
      </c>
      <c r="AQ191">
        <v>0</v>
      </c>
      <c r="AR191" t="s">
        <v>53</v>
      </c>
      <c r="AS191">
        <v>0</v>
      </c>
      <c r="AT191">
        <v>0</v>
      </c>
      <c r="AW191" t="s">
        <v>58</v>
      </c>
      <c r="AX191">
        <v>20</v>
      </c>
      <c r="AY191" s="1">
        <v>45028</v>
      </c>
      <c r="AZ191" s="1">
        <v>45028</v>
      </c>
      <c r="BA191" s="1">
        <v>45028</v>
      </c>
      <c r="BB191" s="1">
        <v>52333</v>
      </c>
      <c r="BC191" t="s">
        <v>51</v>
      </c>
      <c r="BE191" t="s">
        <v>54</v>
      </c>
      <c r="BF191">
        <v>2</v>
      </c>
      <c r="BG191">
        <v>0</v>
      </c>
      <c r="BH191" t="s">
        <v>53</v>
      </c>
      <c r="BK191" t="s">
        <v>227</v>
      </c>
      <c r="BL191">
        <v>10000</v>
      </c>
      <c r="BM191" s="1">
        <v>44323</v>
      </c>
      <c r="BN191" s="1">
        <v>44323</v>
      </c>
      <c r="BO191" s="1">
        <v>45028</v>
      </c>
      <c r="BP191" s="1">
        <v>45205</v>
      </c>
      <c r="BQ191" t="s">
        <v>51</v>
      </c>
      <c r="BS191" t="s">
        <v>60</v>
      </c>
      <c r="BT191" t="s">
        <v>54</v>
      </c>
      <c r="BU191" t="s">
        <v>228</v>
      </c>
      <c r="BV191" t="s">
        <v>229</v>
      </c>
      <c r="BX191">
        <v>32</v>
      </c>
      <c r="BY191">
        <v>0</v>
      </c>
      <c r="BZ191">
        <v>0</v>
      </c>
    </row>
    <row r="192" spans="1:78" x14ac:dyDescent="0.2">
      <c r="A192" t="s">
        <v>45</v>
      </c>
      <c r="B192" t="s">
        <v>46</v>
      </c>
      <c r="C192" t="s">
        <v>45</v>
      </c>
      <c r="D192" t="s">
        <v>68</v>
      </c>
      <c r="F192" t="str">
        <f>"253106"</f>
        <v>253106</v>
      </c>
      <c r="G192" t="s">
        <v>49</v>
      </c>
      <c r="H192" t="s">
        <v>233</v>
      </c>
      <c r="K192" t="s">
        <v>51</v>
      </c>
      <c r="L192" t="s">
        <v>52</v>
      </c>
      <c r="M192">
        <v>135343.5</v>
      </c>
      <c r="N192">
        <v>475469.17</v>
      </c>
      <c r="O192" t="s">
        <v>53</v>
      </c>
      <c r="P192" t="s">
        <v>54</v>
      </c>
      <c r="Q192" t="s">
        <v>55</v>
      </c>
      <c r="T192" t="s">
        <v>225</v>
      </c>
      <c r="U192">
        <v>40</v>
      </c>
      <c r="V192" s="1">
        <v>34700</v>
      </c>
      <c r="W192" s="1">
        <v>34700</v>
      </c>
      <c r="X192" s="1">
        <v>34700</v>
      </c>
      <c r="Y192" s="1">
        <v>49310</v>
      </c>
      <c r="Z192" t="s">
        <v>51</v>
      </c>
      <c r="AB192" t="s">
        <v>54</v>
      </c>
      <c r="AC192">
        <v>1</v>
      </c>
      <c r="AE192" t="s">
        <v>226</v>
      </c>
      <c r="AF192">
        <v>20</v>
      </c>
      <c r="AG192" s="1">
        <v>44341</v>
      </c>
      <c r="AH192" s="1">
        <v>44341</v>
      </c>
      <c r="AI192" s="1">
        <v>44341</v>
      </c>
      <c r="AJ192" s="1">
        <v>51646</v>
      </c>
      <c r="AK192" t="s">
        <v>51</v>
      </c>
      <c r="AN192">
        <v>0</v>
      </c>
      <c r="AO192" t="s">
        <v>54</v>
      </c>
      <c r="AP192" t="s">
        <v>53</v>
      </c>
      <c r="AQ192">
        <v>0</v>
      </c>
      <c r="AR192" t="s">
        <v>53</v>
      </c>
      <c r="AS192">
        <v>0</v>
      </c>
      <c r="AT192">
        <v>0</v>
      </c>
      <c r="AW192" t="s">
        <v>58</v>
      </c>
      <c r="AX192">
        <v>20</v>
      </c>
      <c r="AY192" s="1">
        <v>34700</v>
      </c>
      <c r="AZ192" s="1">
        <v>34700</v>
      </c>
      <c r="BA192" s="1">
        <v>44341</v>
      </c>
      <c r="BB192" s="1">
        <v>42005</v>
      </c>
      <c r="BC192" t="s">
        <v>51</v>
      </c>
      <c r="BE192" t="s">
        <v>54</v>
      </c>
      <c r="BF192">
        <v>2</v>
      </c>
      <c r="BG192">
        <v>0</v>
      </c>
      <c r="BH192" t="s">
        <v>53</v>
      </c>
      <c r="BK192" t="s">
        <v>227</v>
      </c>
      <c r="BL192">
        <v>10000</v>
      </c>
      <c r="BM192" s="1">
        <v>44323</v>
      </c>
      <c r="BN192" s="1">
        <v>44323</v>
      </c>
      <c r="BO192" s="1">
        <v>44341</v>
      </c>
      <c r="BP192" s="1">
        <v>45205</v>
      </c>
      <c r="BQ192" t="s">
        <v>51</v>
      </c>
      <c r="BS192" t="s">
        <v>60</v>
      </c>
      <c r="BT192" t="s">
        <v>54</v>
      </c>
      <c r="BU192" t="s">
        <v>228</v>
      </c>
      <c r="BV192" t="s">
        <v>229</v>
      </c>
      <c r="BX192">
        <v>32</v>
      </c>
      <c r="BY192">
        <v>0</v>
      </c>
      <c r="BZ192">
        <v>0</v>
      </c>
    </row>
    <row r="193" spans="1:99" x14ac:dyDescent="0.2">
      <c r="A193" t="s">
        <v>45</v>
      </c>
      <c r="B193" t="s">
        <v>46</v>
      </c>
      <c r="C193" t="s">
        <v>45</v>
      </c>
      <c r="D193" t="s">
        <v>234</v>
      </c>
      <c r="F193" t="str">
        <f>"253107"</f>
        <v>253107</v>
      </c>
      <c r="G193" t="s">
        <v>49</v>
      </c>
      <c r="H193" s="2">
        <v>45081</v>
      </c>
      <c r="K193" t="s">
        <v>51</v>
      </c>
      <c r="L193" t="s">
        <v>52</v>
      </c>
      <c r="M193">
        <v>135318.89000000001</v>
      </c>
      <c r="N193">
        <v>475479.75</v>
      </c>
      <c r="O193" t="s">
        <v>53</v>
      </c>
      <c r="P193" t="s">
        <v>54</v>
      </c>
      <c r="Q193" t="s">
        <v>55</v>
      </c>
      <c r="T193" t="s">
        <v>235</v>
      </c>
      <c r="U193">
        <v>40</v>
      </c>
      <c r="V193" s="1">
        <v>23743</v>
      </c>
      <c r="W193" s="1">
        <v>23743</v>
      </c>
      <c r="X193" s="1">
        <v>23743</v>
      </c>
      <c r="Y193" s="1">
        <v>38353</v>
      </c>
      <c r="Z193" t="s">
        <v>51</v>
      </c>
      <c r="AB193" t="s">
        <v>54</v>
      </c>
      <c r="AC193">
        <v>1</v>
      </c>
      <c r="AE193" t="s">
        <v>57</v>
      </c>
      <c r="AF193">
        <v>20</v>
      </c>
      <c r="AG193" s="1">
        <v>35065</v>
      </c>
      <c r="AH193" s="1">
        <v>35065</v>
      </c>
      <c r="AI193" s="1">
        <v>35065</v>
      </c>
      <c r="AJ193" s="1">
        <v>42370</v>
      </c>
      <c r="AK193" t="s">
        <v>51</v>
      </c>
      <c r="AN193">
        <v>0</v>
      </c>
      <c r="AO193" t="s">
        <v>54</v>
      </c>
      <c r="AP193" t="s">
        <v>53</v>
      </c>
      <c r="AQ193">
        <v>0</v>
      </c>
      <c r="AR193" t="s">
        <v>53</v>
      </c>
      <c r="AS193">
        <v>0</v>
      </c>
      <c r="AT193">
        <v>0</v>
      </c>
      <c r="BK193" t="s">
        <v>85</v>
      </c>
      <c r="BL193">
        <v>50000</v>
      </c>
      <c r="BM193" s="1">
        <v>44321</v>
      </c>
      <c r="BN193" s="1">
        <v>44321</v>
      </c>
      <c r="BO193" s="1">
        <v>44321</v>
      </c>
      <c r="BP193" s="1">
        <v>48564</v>
      </c>
      <c r="BQ193" t="s">
        <v>51</v>
      </c>
      <c r="BS193" t="s">
        <v>60</v>
      </c>
      <c r="BT193" t="s">
        <v>54</v>
      </c>
      <c r="BU193" t="s">
        <v>61</v>
      </c>
      <c r="BV193" t="s">
        <v>86</v>
      </c>
      <c r="BX193">
        <v>13</v>
      </c>
      <c r="BY193">
        <v>1430</v>
      </c>
      <c r="BZ193">
        <v>0</v>
      </c>
    </row>
    <row r="194" spans="1:99" x14ac:dyDescent="0.2">
      <c r="A194" t="s">
        <v>45</v>
      </c>
      <c r="B194" t="s">
        <v>46</v>
      </c>
      <c r="C194" t="s">
        <v>45</v>
      </c>
      <c r="D194" t="s">
        <v>234</v>
      </c>
      <c r="F194" t="str">
        <f>"253108"</f>
        <v>253108</v>
      </c>
      <c r="G194" t="s">
        <v>49</v>
      </c>
      <c r="H194" t="s">
        <v>236</v>
      </c>
      <c r="K194" t="s">
        <v>51</v>
      </c>
      <c r="L194" t="s">
        <v>52</v>
      </c>
      <c r="M194">
        <v>135288.78</v>
      </c>
      <c r="N194">
        <v>475497.16</v>
      </c>
      <c r="O194" t="s">
        <v>53</v>
      </c>
      <c r="P194" t="s">
        <v>54</v>
      </c>
      <c r="Q194" t="s">
        <v>55</v>
      </c>
      <c r="T194" t="s">
        <v>235</v>
      </c>
      <c r="U194">
        <v>40</v>
      </c>
      <c r="V194" s="1">
        <v>23743</v>
      </c>
      <c r="W194" s="1">
        <v>23743</v>
      </c>
      <c r="X194" s="1">
        <v>23743</v>
      </c>
      <c r="Y194" s="1">
        <v>38353</v>
      </c>
      <c r="Z194" t="s">
        <v>51</v>
      </c>
      <c r="AB194" t="s">
        <v>54</v>
      </c>
      <c r="AC194">
        <v>1</v>
      </c>
      <c r="AE194" t="s">
        <v>84</v>
      </c>
      <c r="AF194">
        <v>20</v>
      </c>
      <c r="AG194" s="1">
        <v>35065</v>
      </c>
      <c r="AH194" s="1">
        <v>35065</v>
      </c>
      <c r="AI194" s="1">
        <v>35065</v>
      </c>
      <c r="AJ194" s="1">
        <v>42370</v>
      </c>
      <c r="AK194" t="s">
        <v>51</v>
      </c>
      <c r="AN194">
        <v>0</v>
      </c>
      <c r="AO194" t="s">
        <v>54</v>
      </c>
      <c r="AP194" t="s">
        <v>53</v>
      </c>
      <c r="AQ194">
        <v>0</v>
      </c>
      <c r="AR194" t="s">
        <v>53</v>
      </c>
      <c r="AS194">
        <v>0</v>
      </c>
      <c r="AT194">
        <v>0</v>
      </c>
      <c r="BK194" t="s">
        <v>85</v>
      </c>
      <c r="BL194">
        <v>50000</v>
      </c>
      <c r="BM194" s="1">
        <v>44320</v>
      </c>
      <c r="BN194" s="1">
        <v>44320</v>
      </c>
      <c r="BO194" s="1">
        <v>44320</v>
      </c>
      <c r="BP194" s="1">
        <v>48563</v>
      </c>
      <c r="BQ194" t="s">
        <v>51</v>
      </c>
      <c r="BS194" t="s">
        <v>60</v>
      </c>
      <c r="BT194" t="s">
        <v>54</v>
      </c>
      <c r="BU194" t="s">
        <v>61</v>
      </c>
      <c r="BV194" t="s">
        <v>86</v>
      </c>
      <c r="BX194">
        <v>13</v>
      </c>
      <c r="BY194">
        <v>1430</v>
      </c>
      <c r="BZ194">
        <v>0</v>
      </c>
    </row>
    <row r="195" spans="1:99" x14ac:dyDescent="0.2">
      <c r="A195" t="s">
        <v>45</v>
      </c>
      <c r="B195" t="s">
        <v>46</v>
      </c>
      <c r="C195" t="s">
        <v>90</v>
      </c>
      <c r="D195" t="s">
        <v>87</v>
      </c>
      <c r="F195" t="str">
        <f>"253112"</f>
        <v>253112</v>
      </c>
      <c r="G195" t="s">
        <v>49</v>
      </c>
      <c r="H195" t="s">
        <v>237</v>
      </c>
      <c r="I195" t="s">
        <v>238</v>
      </c>
      <c r="K195" t="s">
        <v>51</v>
      </c>
      <c r="L195" t="s">
        <v>52</v>
      </c>
      <c r="M195">
        <v>135470.49</v>
      </c>
      <c r="N195">
        <v>475474.58</v>
      </c>
      <c r="O195" t="s">
        <v>53</v>
      </c>
      <c r="P195" t="s">
        <v>54</v>
      </c>
      <c r="Q195" t="s">
        <v>55</v>
      </c>
      <c r="T195" t="s">
        <v>239</v>
      </c>
      <c r="U195">
        <v>40</v>
      </c>
      <c r="V195" s="1">
        <v>27760</v>
      </c>
      <c r="W195" s="1">
        <v>27760</v>
      </c>
      <c r="X195" s="1">
        <v>27760</v>
      </c>
      <c r="Y195" s="1">
        <v>42370</v>
      </c>
      <c r="Z195" t="s">
        <v>51</v>
      </c>
      <c r="AB195" t="s">
        <v>54</v>
      </c>
      <c r="AC195">
        <v>1</v>
      </c>
      <c r="AE195" t="s">
        <v>222</v>
      </c>
      <c r="AF195">
        <v>20</v>
      </c>
      <c r="AG195" s="1">
        <v>36161</v>
      </c>
      <c r="AH195" s="1">
        <v>36161</v>
      </c>
      <c r="AI195" s="1">
        <v>36161</v>
      </c>
      <c r="AJ195" s="1">
        <v>43466</v>
      </c>
      <c r="AK195" t="s">
        <v>51</v>
      </c>
      <c r="AN195">
        <v>0</v>
      </c>
      <c r="AO195" t="s">
        <v>54</v>
      </c>
      <c r="AP195" t="s">
        <v>53</v>
      </c>
      <c r="AQ195">
        <v>0</v>
      </c>
      <c r="AR195" t="s">
        <v>53</v>
      </c>
      <c r="AS195">
        <v>0</v>
      </c>
      <c r="AT195">
        <v>0</v>
      </c>
      <c r="BK195" t="s">
        <v>85</v>
      </c>
      <c r="BL195">
        <v>50000</v>
      </c>
      <c r="BM195" s="1">
        <v>44341</v>
      </c>
      <c r="BN195" s="1">
        <v>44341</v>
      </c>
      <c r="BO195" s="1">
        <v>44341</v>
      </c>
      <c r="BP195" s="1">
        <v>48573</v>
      </c>
      <c r="BQ195" t="s">
        <v>51</v>
      </c>
      <c r="BS195" t="s">
        <v>60</v>
      </c>
      <c r="BT195" t="s">
        <v>54</v>
      </c>
      <c r="BU195" t="s">
        <v>61</v>
      </c>
      <c r="BV195" t="s">
        <v>86</v>
      </c>
      <c r="BX195">
        <v>13</v>
      </c>
      <c r="BY195">
        <v>1430</v>
      </c>
      <c r="BZ195">
        <v>0</v>
      </c>
    </row>
    <row r="196" spans="1:99" x14ac:dyDescent="0.2">
      <c r="A196" t="s">
        <v>45</v>
      </c>
      <c r="B196" t="s">
        <v>46</v>
      </c>
      <c r="C196" t="s">
        <v>90</v>
      </c>
      <c r="D196" t="s">
        <v>125</v>
      </c>
      <c r="F196" t="str">
        <f>"253113"</f>
        <v>253113</v>
      </c>
      <c r="G196" t="s">
        <v>49</v>
      </c>
      <c r="H196" t="s">
        <v>240</v>
      </c>
      <c r="K196" t="s">
        <v>51</v>
      </c>
      <c r="L196" t="s">
        <v>52</v>
      </c>
      <c r="M196">
        <v>135427.75</v>
      </c>
      <c r="N196">
        <v>475597.13</v>
      </c>
      <c r="O196" t="s">
        <v>53</v>
      </c>
      <c r="P196" t="s">
        <v>54</v>
      </c>
      <c r="Q196" t="s">
        <v>55</v>
      </c>
      <c r="T196" t="s">
        <v>241</v>
      </c>
      <c r="U196">
        <v>40</v>
      </c>
      <c r="V196" s="1">
        <v>40179</v>
      </c>
      <c r="W196" s="1">
        <v>40179</v>
      </c>
      <c r="X196" s="1">
        <v>40179</v>
      </c>
      <c r="Y196" s="1">
        <v>54789</v>
      </c>
      <c r="Z196" t="s">
        <v>51</v>
      </c>
      <c r="AB196" t="s">
        <v>54</v>
      </c>
      <c r="AC196">
        <v>1</v>
      </c>
      <c r="AE196" t="s">
        <v>222</v>
      </c>
      <c r="AF196">
        <v>20</v>
      </c>
      <c r="AG196" s="1">
        <v>40179</v>
      </c>
      <c r="AH196" s="1">
        <v>40179</v>
      </c>
      <c r="AI196" s="1">
        <v>40179</v>
      </c>
      <c r="AJ196" s="1">
        <v>47484</v>
      </c>
      <c r="AK196" t="s">
        <v>51</v>
      </c>
      <c r="AN196">
        <v>0</v>
      </c>
      <c r="AO196" t="s">
        <v>54</v>
      </c>
      <c r="AP196" t="s">
        <v>53</v>
      </c>
      <c r="AQ196">
        <v>0</v>
      </c>
      <c r="AR196" t="s">
        <v>53</v>
      </c>
      <c r="AS196">
        <v>0</v>
      </c>
      <c r="AT196">
        <v>0</v>
      </c>
      <c r="AW196" t="s">
        <v>79</v>
      </c>
      <c r="AX196">
        <v>20</v>
      </c>
      <c r="AY196" s="1">
        <v>45117</v>
      </c>
      <c r="AZ196" s="1">
        <v>45117</v>
      </c>
      <c r="BA196" s="1">
        <v>45117</v>
      </c>
      <c r="BB196" s="1">
        <v>52422</v>
      </c>
      <c r="BC196" t="s">
        <v>51</v>
      </c>
      <c r="BE196" t="s">
        <v>54</v>
      </c>
      <c r="BF196">
        <v>5</v>
      </c>
      <c r="BG196">
        <v>0</v>
      </c>
      <c r="BH196" t="s">
        <v>53</v>
      </c>
      <c r="BK196" t="s">
        <v>59</v>
      </c>
      <c r="BL196">
        <v>14000</v>
      </c>
      <c r="BM196" s="1">
        <v>45117</v>
      </c>
      <c r="BN196" s="1">
        <v>45117</v>
      </c>
      <c r="BO196" s="1">
        <v>45117</v>
      </c>
      <c r="BP196" s="1">
        <v>46313</v>
      </c>
      <c r="BQ196" t="s">
        <v>51</v>
      </c>
      <c r="BS196" t="s">
        <v>60</v>
      </c>
      <c r="BT196" t="s">
        <v>54</v>
      </c>
      <c r="BU196" t="s">
        <v>61</v>
      </c>
      <c r="BV196" t="s">
        <v>62</v>
      </c>
      <c r="BX196">
        <v>24</v>
      </c>
      <c r="BY196">
        <v>0</v>
      </c>
      <c r="BZ196">
        <v>0</v>
      </c>
    </row>
    <row r="197" spans="1:99" x14ac:dyDescent="0.2">
      <c r="A197" t="s">
        <v>45</v>
      </c>
      <c r="B197" t="s">
        <v>46</v>
      </c>
      <c r="C197" t="s">
        <v>90</v>
      </c>
      <c r="D197" t="s">
        <v>87</v>
      </c>
      <c r="F197" t="str">
        <f>"253116"</f>
        <v>253116</v>
      </c>
      <c r="G197" t="s">
        <v>49</v>
      </c>
      <c r="H197" t="s">
        <v>242</v>
      </c>
      <c r="K197" t="s">
        <v>51</v>
      </c>
      <c r="L197" t="s">
        <v>52</v>
      </c>
      <c r="M197">
        <v>135470.18</v>
      </c>
      <c r="N197">
        <v>475437.3</v>
      </c>
      <c r="O197" t="s">
        <v>53</v>
      </c>
      <c r="P197" t="s">
        <v>54</v>
      </c>
      <c r="Q197" t="s">
        <v>55</v>
      </c>
      <c r="T197" t="s">
        <v>241</v>
      </c>
      <c r="U197">
        <v>40</v>
      </c>
      <c r="V197" s="1">
        <v>42552</v>
      </c>
      <c r="W197" s="1">
        <v>42552</v>
      </c>
      <c r="X197" s="1">
        <v>42552</v>
      </c>
      <c r="Y197" s="1">
        <v>57162</v>
      </c>
      <c r="Z197" t="s">
        <v>51</v>
      </c>
      <c r="AB197" t="s">
        <v>54</v>
      </c>
      <c r="AC197">
        <v>1</v>
      </c>
      <c r="AE197" t="s">
        <v>243</v>
      </c>
      <c r="AF197">
        <v>20</v>
      </c>
      <c r="AG197" s="1">
        <v>42552</v>
      </c>
      <c r="AH197" s="1">
        <v>42552</v>
      </c>
      <c r="AI197" s="1">
        <v>42552</v>
      </c>
      <c r="AJ197" s="1">
        <v>49857</v>
      </c>
      <c r="AK197" t="s">
        <v>51</v>
      </c>
      <c r="AN197">
        <v>0</v>
      </c>
      <c r="AO197" t="s">
        <v>54</v>
      </c>
      <c r="AP197" t="s">
        <v>53</v>
      </c>
      <c r="AQ197">
        <v>0</v>
      </c>
      <c r="AR197" t="s">
        <v>53</v>
      </c>
      <c r="AS197">
        <v>0</v>
      </c>
      <c r="AT197">
        <v>0</v>
      </c>
      <c r="CC197" t="s">
        <v>244</v>
      </c>
      <c r="CD197">
        <v>100000</v>
      </c>
      <c r="CE197" s="1">
        <v>42552</v>
      </c>
      <c r="CF197" s="1">
        <v>42552</v>
      </c>
      <c r="CG197" s="1">
        <v>42552</v>
      </c>
      <c r="CH197" s="1">
        <v>51023</v>
      </c>
      <c r="CI197" t="s">
        <v>51</v>
      </c>
      <c r="CK197" t="s">
        <v>78</v>
      </c>
      <c r="CM197" t="s">
        <v>54</v>
      </c>
      <c r="CN197" t="s">
        <v>174</v>
      </c>
      <c r="CR197">
        <v>0</v>
      </c>
      <c r="CS197">
        <v>2150</v>
      </c>
      <c r="CT197">
        <v>0</v>
      </c>
      <c r="CU197">
        <v>16</v>
      </c>
    </row>
    <row r="198" spans="1:99" x14ac:dyDescent="0.2">
      <c r="A198" t="s">
        <v>45</v>
      </c>
      <c r="B198" t="s">
        <v>46</v>
      </c>
      <c r="C198" t="s">
        <v>90</v>
      </c>
      <c r="D198" t="s">
        <v>87</v>
      </c>
      <c r="F198" t="str">
        <f>"253117"</f>
        <v>253117</v>
      </c>
      <c r="G198" t="s">
        <v>49</v>
      </c>
      <c r="H198" t="s">
        <v>163</v>
      </c>
      <c r="I198" t="s">
        <v>245</v>
      </c>
      <c r="K198" t="s">
        <v>51</v>
      </c>
      <c r="L198" t="s">
        <v>52</v>
      </c>
      <c r="M198">
        <v>135491.76</v>
      </c>
      <c r="N198">
        <v>475421.55</v>
      </c>
      <c r="O198" t="s">
        <v>53</v>
      </c>
      <c r="P198" t="s">
        <v>54</v>
      </c>
      <c r="Q198" t="s">
        <v>55</v>
      </c>
      <c r="T198" t="s">
        <v>246</v>
      </c>
      <c r="U198">
        <v>40</v>
      </c>
      <c r="V198" s="1">
        <v>42552</v>
      </c>
      <c r="W198" s="1">
        <v>42552</v>
      </c>
      <c r="X198" s="1">
        <v>42552</v>
      </c>
      <c r="Y198" s="1">
        <v>57162</v>
      </c>
      <c r="Z198" t="s">
        <v>51</v>
      </c>
      <c r="AB198" t="s">
        <v>54</v>
      </c>
      <c r="AC198">
        <v>1</v>
      </c>
      <c r="AE198" t="s">
        <v>243</v>
      </c>
      <c r="AF198">
        <v>20</v>
      </c>
      <c r="AG198" s="1">
        <v>42552</v>
      </c>
      <c r="AH198" s="1">
        <v>42552</v>
      </c>
      <c r="AI198" s="1">
        <v>42552</v>
      </c>
      <c r="AJ198" s="1">
        <v>49857</v>
      </c>
      <c r="AK198" t="s">
        <v>51</v>
      </c>
      <c r="AN198">
        <v>0</v>
      </c>
      <c r="AO198" t="s">
        <v>54</v>
      </c>
      <c r="AP198" t="s">
        <v>53</v>
      </c>
      <c r="AQ198">
        <v>0</v>
      </c>
      <c r="AR198" t="s">
        <v>53</v>
      </c>
      <c r="AS198">
        <v>0</v>
      </c>
      <c r="AT198">
        <v>0</v>
      </c>
      <c r="CC198" t="s">
        <v>244</v>
      </c>
      <c r="CD198">
        <v>100000</v>
      </c>
      <c r="CE198" s="1">
        <v>42552</v>
      </c>
      <c r="CF198" s="1">
        <v>42552</v>
      </c>
      <c r="CG198" s="1">
        <v>42552</v>
      </c>
      <c r="CH198" s="1">
        <v>51023</v>
      </c>
      <c r="CI198" t="s">
        <v>51</v>
      </c>
      <c r="CK198" t="s">
        <v>78</v>
      </c>
      <c r="CM198" t="s">
        <v>54</v>
      </c>
      <c r="CN198" t="s">
        <v>174</v>
      </c>
      <c r="CR198">
        <v>0</v>
      </c>
      <c r="CS198">
        <v>2150</v>
      </c>
      <c r="CT198">
        <v>0</v>
      </c>
      <c r="CU198">
        <v>16</v>
      </c>
    </row>
    <row r="199" spans="1:99" x14ac:dyDescent="0.2">
      <c r="A199" t="s">
        <v>45</v>
      </c>
      <c r="B199" t="s">
        <v>46</v>
      </c>
      <c r="C199" t="s">
        <v>47</v>
      </c>
      <c r="D199" t="s">
        <v>247</v>
      </c>
      <c r="F199" t="str">
        <f>"253119"</f>
        <v>253119</v>
      </c>
      <c r="G199" t="s">
        <v>49</v>
      </c>
      <c r="H199" t="s">
        <v>248</v>
      </c>
      <c r="K199" t="s">
        <v>51</v>
      </c>
      <c r="L199" t="s">
        <v>52</v>
      </c>
      <c r="M199">
        <v>135513.19</v>
      </c>
      <c r="N199">
        <v>475379.84</v>
      </c>
      <c r="O199" t="s">
        <v>53</v>
      </c>
      <c r="P199" t="s">
        <v>54</v>
      </c>
      <c r="Q199" t="s">
        <v>55</v>
      </c>
      <c r="T199" t="s">
        <v>246</v>
      </c>
      <c r="U199">
        <v>40</v>
      </c>
      <c r="V199" s="1">
        <v>42552</v>
      </c>
      <c r="W199" s="1">
        <v>42552</v>
      </c>
      <c r="X199" s="1">
        <v>42552</v>
      </c>
      <c r="Y199" s="1">
        <v>57162</v>
      </c>
      <c r="Z199" t="s">
        <v>51</v>
      </c>
      <c r="AB199" t="s">
        <v>54</v>
      </c>
      <c r="AC199">
        <v>1</v>
      </c>
      <c r="AE199" t="s">
        <v>243</v>
      </c>
      <c r="AF199">
        <v>20</v>
      </c>
      <c r="AG199" s="1">
        <v>42552</v>
      </c>
      <c r="AH199" s="1">
        <v>42552</v>
      </c>
      <c r="AI199" s="1">
        <v>42552</v>
      </c>
      <c r="AJ199" s="1">
        <v>49857</v>
      </c>
      <c r="AK199" t="s">
        <v>51</v>
      </c>
      <c r="AN199">
        <v>0</v>
      </c>
      <c r="AO199" t="s">
        <v>54</v>
      </c>
      <c r="AP199" t="s">
        <v>53</v>
      </c>
      <c r="AQ199">
        <v>0</v>
      </c>
      <c r="AR199" t="s">
        <v>53</v>
      </c>
      <c r="AS199">
        <v>0</v>
      </c>
      <c r="AT199">
        <v>0</v>
      </c>
      <c r="AW199" t="s">
        <v>172</v>
      </c>
      <c r="AX199">
        <v>15</v>
      </c>
      <c r="AY199" s="1">
        <v>44321</v>
      </c>
      <c r="AZ199" s="1">
        <v>44321</v>
      </c>
      <c r="BA199" s="1">
        <v>44321</v>
      </c>
      <c r="BB199" s="1">
        <v>49800</v>
      </c>
      <c r="BC199" t="s">
        <v>51</v>
      </c>
      <c r="BE199" t="s">
        <v>54</v>
      </c>
      <c r="BF199">
        <v>40</v>
      </c>
      <c r="BG199">
        <v>0</v>
      </c>
      <c r="BH199" t="s">
        <v>145</v>
      </c>
      <c r="CC199" t="s">
        <v>244</v>
      </c>
      <c r="CD199">
        <v>100000</v>
      </c>
      <c r="CE199" s="1">
        <v>44321</v>
      </c>
      <c r="CF199" s="1">
        <v>44321</v>
      </c>
      <c r="CG199" s="1">
        <v>44321</v>
      </c>
      <c r="CH199" s="1">
        <v>52803</v>
      </c>
      <c r="CI199" t="s">
        <v>51</v>
      </c>
      <c r="CK199" t="s">
        <v>78</v>
      </c>
      <c r="CM199" t="s">
        <v>54</v>
      </c>
      <c r="CN199" t="s">
        <v>174</v>
      </c>
      <c r="CR199">
        <v>0</v>
      </c>
      <c r="CS199">
        <v>2150</v>
      </c>
      <c r="CT199">
        <v>0</v>
      </c>
      <c r="CU199">
        <v>16</v>
      </c>
    </row>
    <row r="200" spans="1:99" x14ac:dyDescent="0.2">
      <c r="A200" t="s">
        <v>45</v>
      </c>
      <c r="B200" t="s">
        <v>46</v>
      </c>
      <c r="C200" t="s">
        <v>47</v>
      </c>
      <c r="D200" t="s">
        <v>247</v>
      </c>
      <c r="F200" t="str">
        <f>"253120"</f>
        <v>253120</v>
      </c>
      <c r="G200" t="s">
        <v>49</v>
      </c>
      <c r="H200" t="s">
        <v>249</v>
      </c>
      <c r="K200" t="s">
        <v>51</v>
      </c>
      <c r="L200" t="s">
        <v>52</v>
      </c>
      <c r="M200">
        <v>135500.99</v>
      </c>
      <c r="N200">
        <v>475353.59</v>
      </c>
      <c r="O200" t="s">
        <v>53</v>
      </c>
      <c r="P200" t="s">
        <v>54</v>
      </c>
      <c r="Q200" t="s">
        <v>55</v>
      </c>
      <c r="T200" t="s">
        <v>246</v>
      </c>
      <c r="U200">
        <v>40</v>
      </c>
      <c r="V200" s="1">
        <v>42552</v>
      </c>
      <c r="W200" s="1">
        <v>42552</v>
      </c>
      <c r="X200" s="1">
        <v>42552</v>
      </c>
      <c r="Y200" s="1">
        <v>57162</v>
      </c>
      <c r="Z200" t="s">
        <v>51</v>
      </c>
      <c r="AB200" t="s">
        <v>54</v>
      </c>
      <c r="AC200">
        <v>1</v>
      </c>
      <c r="AE200" t="s">
        <v>243</v>
      </c>
      <c r="AF200">
        <v>20</v>
      </c>
      <c r="AG200" s="1">
        <v>42552</v>
      </c>
      <c r="AH200" s="1">
        <v>42552</v>
      </c>
      <c r="AI200" s="1">
        <v>42552</v>
      </c>
      <c r="AJ200" s="1">
        <v>49857</v>
      </c>
      <c r="AK200" t="s">
        <v>51</v>
      </c>
      <c r="AN200">
        <v>0</v>
      </c>
      <c r="AO200" t="s">
        <v>54</v>
      </c>
      <c r="AP200" t="s">
        <v>53</v>
      </c>
      <c r="AQ200">
        <v>0</v>
      </c>
      <c r="AR200" t="s">
        <v>53</v>
      </c>
      <c r="AS200">
        <v>0</v>
      </c>
      <c r="AT200">
        <v>0</v>
      </c>
      <c r="AW200" t="s">
        <v>172</v>
      </c>
      <c r="AX200">
        <v>15</v>
      </c>
      <c r="AY200" s="1">
        <v>44321</v>
      </c>
      <c r="AZ200" s="1">
        <v>44321</v>
      </c>
      <c r="BA200" s="1">
        <v>44321</v>
      </c>
      <c r="BB200" s="1">
        <v>49800</v>
      </c>
      <c r="BC200" t="s">
        <v>51</v>
      </c>
      <c r="BE200" t="s">
        <v>54</v>
      </c>
      <c r="BF200">
        <v>40</v>
      </c>
      <c r="BG200">
        <v>0</v>
      </c>
      <c r="BH200" t="s">
        <v>145</v>
      </c>
      <c r="CC200" t="s">
        <v>250</v>
      </c>
      <c r="CD200">
        <v>100000</v>
      </c>
      <c r="CE200" s="1">
        <v>44321</v>
      </c>
      <c r="CF200" s="1">
        <v>44321</v>
      </c>
      <c r="CG200" s="1">
        <v>44321</v>
      </c>
      <c r="CH200" s="1">
        <v>52803</v>
      </c>
      <c r="CI200" t="s">
        <v>51</v>
      </c>
      <c r="CK200" t="s">
        <v>78</v>
      </c>
      <c r="CM200" t="s">
        <v>54</v>
      </c>
      <c r="CN200" t="s">
        <v>174</v>
      </c>
      <c r="CR200">
        <v>13.2</v>
      </c>
      <c r="CS200">
        <v>1800</v>
      </c>
      <c r="CT200">
        <v>0</v>
      </c>
      <c r="CU200">
        <v>16</v>
      </c>
    </row>
    <row r="201" spans="1:99" x14ac:dyDescent="0.2">
      <c r="A201" t="s">
        <v>45</v>
      </c>
      <c r="B201" t="s">
        <v>46</v>
      </c>
      <c r="C201" t="s">
        <v>47</v>
      </c>
      <c r="D201" t="s">
        <v>247</v>
      </c>
      <c r="F201" t="str">
        <f>"253121"</f>
        <v>253121</v>
      </c>
      <c r="G201" t="s">
        <v>49</v>
      </c>
      <c r="H201" t="s">
        <v>251</v>
      </c>
      <c r="I201" t="s">
        <v>252</v>
      </c>
      <c r="K201" t="s">
        <v>51</v>
      </c>
      <c r="L201" t="s">
        <v>52</v>
      </c>
      <c r="M201">
        <v>135488.68</v>
      </c>
      <c r="N201">
        <v>475327.75</v>
      </c>
      <c r="O201" t="s">
        <v>53</v>
      </c>
      <c r="P201" t="s">
        <v>54</v>
      </c>
      <c r="Q201" t="s">
        <v>55</v>
      </c>
      <c r="T201" t="s">
        <v>246</v>
      </c>
      <c r="U201">
        <v>40</v>
      </c>
      <c r="V201" s="1">
        <v>42552</v>
      </c>
      <c r="W201" s="1">
        <v>42552</v>
      </c>
      <c r="X201" s="1">
        <v>42552</v>
      </c>
      <c r="Y201" s="1">
        <v>57162</v>
      </c>
      <c r="Z201" t="s">
        <v>51</v>
      </c>
      <c r="AB201" t="s">
        <v>54</v>
      </c>
      <c r="AC201">
        <v>1</v>
      </c>
      <c r="AE201" t="s">
        <v>243</v>
      </c>
      <c r="AF201">
        <v>20</v>
      </c>
      <c r="AG201" s="1">
        <v>42552</v>
      </c>
      <c r="AH201" s="1">
        <v>42552</v>
      </c>
      <c r="AI201" s="1">
        <v>42552</v>
      </c>
      <c r="AJ201" s="1">
        <v>49857</v>
      </c>
      <c r="AK201" t="s">
        <v>51</v>
      </c>
      <c r="AN201">
        <v>0</v>
      </c>
      <c r="AO201" t="s">
        <v>54</v>
      </c>
      <c r="AP201" t="s">
        <v>53</v>
      </c>
      <c r="AQ201">
        <v>0</v>
      </c>
      <c r="AR201" t="s">
        <v>53</v>
      </c>
      <c r="AS201">
        <v>0</v>
      </c>
      <c r="AT201">
        <v>0</v>
      </c>
      <c r="AW201" t="s">
        <v>172</v>
      </c>
      <c r="AX201">
        <v>15</v>
      </c>
      <c r="AY201" s="1">
        <v>44321</v>
      </c>
      <c r="AZ201" s="1">
        <v>44321</v>
      </c>
      <c r="BA201" s="1">
        <v>44321</v>
      </c>
      <c r="BB201" s="1">
        <v>49800</v>
      </c>
      <c r="BC201" t="s">
        <v>51</v>
      </c>
      <c r="BE201" t="s">
        <v>54</v>
      </c>
      <c r="BF201">
        <v>40</v>
      </c>
      <c r="BG201">
        <v>0</v>
      </c>
      <c r="BH201" t="s">
        <v>145</v>
      </c>
      <c r="CC201" t="s">
        <v>244</v>
      </c>
      <c r="CD201">
        <v>100000</v>
      </c>
      <c r="CE201" s="1">
        <v>44321</v>
      </c>
      <c r="CF201" s="1">
        <v>44321</v>
      </c>
      <c r="CG201" s="1">
        <v>44321</v>
      </c>
      <c r="CH201" s="1">
        <v>52803</v>
      </c>
      <c r="CI201" t="s">
        <v>51</v>
      </c>
      <c r="CK201" t="s">
        <v>78</v>
      </c>
      <c r="CM201" t="s">
        <v>54</v>
      </c>
      <c r="CN201" t="s">
        <v>174</v>
      </c>
      <c r="CR201">
        <v>0</v>
      </c>
      <c r="CS201">
        <v>2150</v>
      </c>
      <c r="CT201">
        <v>0</v>
      </c>
      <c r="CU201">
        <v>16</v>
      </c>
    </row>
    <row r="202" spans="1:99" x14ac:dyDescent="0.2">
      <c r="A202" t="s">
        <v>45</v>
      </c>
      <c r="B202" t="s">
        <v>46</v>
      </c>
      <c r="C202" t="s">
        <v>47</v>
      </c>
      <c r="D202" t="s">
        <v>247</v>
      </c>
      <c r="F202" t="str">
        <f>"253122"</f>
        <v>253122</v>
      </c>
      <c r="G202" t="s">
        <v>49</v>
      </c>
      <c r="H202" t="s">
        <v>253</v>
      </c>
      <c r="K202" t="s">
        <v>51</v>
      </c>
      <c r="L202" t="s">
        <v>52</v>
      </c>
      <c r="M202">
        <v>135476.51999999999</v>
      </c>
      <c r="N202">
        <v>475300.4</v>
      </c>
      <c r="O202" t="s">
        <v>53</v>
      </c>
      <c r="P202" t="s">
        <v>54</v>
      </c>
      <c r="Q202" t="s">
        <v>55</v>
      </c>
      <c r="T202" t="s">
        <v>246</v>
      </c>
      <c r="U202">
        <v>40</v>
      </c>
      <c r="V202" s="1">
        <v>42552</v>
      </c>
      <c r="W202" s="1">
        <v>42552</v>
      </c>
      <c r="X202" s="1">
        <v>42552</v>
      </c>
      <c r="Y202" s="1">
        <v>57162</v>
      </c>
      <c r="Z202" t="s">
        <v>51</v>
      </c>
      <c r="AB202" t="s">
        <v>54</v>
      </c>
      <c r="AC202">
        <v>1</v>
      </c>
      <c r="AE202" t="s">
        <v>243</v>
      </c>
      <c r="AF202">
        <v>20</v>
      </c>
      <c r="AG202" s="1">
        <v>42552</v>
      </c>
      <c r="AH202" s="1">
        <v>42552</v>
      </c>
      <c r="AI202" s="1">
        <v>42552</v>
      </c>
      <c r="AJ202" s="1">
        <v>49857</v>
      </c>
      <c r="AK202" t="s">
        <v>51</v>
      </c>
      <c r="AN202">
        <v>0</v>
      </c>
      <c r="AO202" t="s">
        <v>54</v>
      </c>
      <c r="AP202" t="s">
        <v>53</v>
      </c>
      <c r="AQ202">
        <v>0</v>
      </c>
      <c r="AR202" t="s">
        <v>53</v>
      </c>
      <c r="AS202">
        <v>0</v>
      </c>
      <c r="AT202">
        <v>0</v>
      </c>
      <c r="CC202" t="s">
        <v>244</v>
      </c>
      <c r="CD202">
        <v>100000</v>
      </c>
      <c r="CE202" s="1">
        <v>42552</v>
      </c>
      <c r="CF202" s="1">
        <v>42552</v>
      </c>
      <c r="CG202" s="1">
        <v>42552</v>
      </c>
      <c r="CH202" s="1">
        <v>51023</v>
      </c>
      <c r="CI202" t="s">
        <v>51</v>
      </c>
      <c r="CK202" t="s">
        <v>78</v>
      </c>
      <c r="CM202" t="s">
        <v>54</v>
      </c>
      <c r="CN202" t="s">
        <v>174</v>
      </c>
      <c r="CR202">
        <v>0</v>
      </c>
      <c r="CS202">
        <v>2150</v>
      </c>
      <c r="CT202">
        <v>0</v>
      </c>
      <c r="CU202">
        <v>16</v>
      </c>
    </row>
    <row r="203" spans="1:99" x14ac:dyDescent="0.2">
      <c r="A203" t="s">
        <v>45</v>
      </c>
      <c r="B203" t="s">
        <v>46</v>
      </c>
      <c r="C203" t="s">
        <v>47</v>
      </c>
      <c r="D203" t="s">
        <v>254</v>
      </c>
      <c r="F203" t="str">
        <f>"253134"</f>
        <v>253134</v>
      </c>
      <c r="G203" t="s">
        <v>49</v>
      </c>
      <c r="H203" t="s">
        <v>255</v>
      </c>
      <c r="K203" t="s">
        <v>51</v>
      </c>
      <c r="L203" t="s">
        <v>52</v>
      </c>
      <c r="M203">
        <v>135444.65</v>
      </c>
      <c r="N203">
        <v>475348.47999999998</v>
      </c>
      <c r="O203" t="s">
        <v>53</v>
      </c>
      <c r="P203" t="s">
        <v>54</v>
      </c>
      <c r="Q203" t="s">
        <v>55</v>
      </c>
      <c r="T203" t="s">
        <v>170</v>
      </c>
      <c r="U203">
        <v>40</v>
      </c>
      <c r="V203" s="1">
        <v>42552</v>
      </c>
      <c r="W203" s="1">
        <v>42552</v>
      </c>
      <c r="X203" s="1">
        <v>42552</v>
      </c>
      <c r="Y203" s="1">
        <v>57162</v>
      </c>
      <c r="Z203" t="s">
        <v>51</v>
      </c>
      <c r="AB203" t="s">
        <v>54</v>
      </c>
      <c r="AC203">
        <v>1</v>
      </c>
      <c r="AE203" t="s">
        <v>243</v>
      </c>
      <c r="AF203">
        <v>20</v>
      </c>
      <c r="AG203" s="1">
        <v>42552</v>
      </c>
      <c r="AH203" s="1">
        <v>42552</v>
      </c>
      <c r="AI203" s="1">
        <v>42552</v>
      </c>
      <c r="AJ203" s="1">
        <v>49857</v>
      </c>
      <c r="AK203" t="s">
        <v>51</v>
      </c>
      <c r="AN203">
        <v>0</v>
      </c>
      <c r="AO203" t="s">
        <v>54</v>
      </c>
      <c r="AP203" t="s">
        <v>53</v>
      </c>
      <c r="AQ203">
        <v>0</v>
      </c>
      <c r="AR203" t="s">
        <v>53</v>
      </c>
      <c r="AS203">
        <v>0</v>
      </c>
      <c r="AT203">
        <v>0</v>
      </c>
      <c r="CC203" t="s">
        <v>244</v>
      </c>
      <c r="CD203">
        <v>100000</v>
      </c>
      <c r="CE203" s="1">
        <v>42552</v>
      </c>
      <c r="CF203" s="1">
        <v>42552</v>
      </c>
      <c r="CG203" s="1">
        <v>42552</v>
      </c>
      <c r="CH203" s="1">
        <v>51023</v>
      </c>
      <c r="CI203" t="s">
        <v>51</v>
      </c>
      <c r="CK203" t="s">
        <v>78</v>
      </c>
      <c r="CM203" t="s">
        <v>54</v>
      </c>
      <c r="CN203" t="s">
        <v>174</v>
      </c>
      <c r="CR203">
        <v>0</v>
      </c>
      <c r="CS203">
        <v>2150</v>
      </c>
      <c r="CT203">
        <v>0</v>
      </c>
      <c r="CU203">
        <v>16</v>
      </c>
    </row>
    <row r="204" spans="1:99" x14ac:dyDescent="0.2">
      <c r="A204" t="s">
        <v>45</v>
      </c>
      <c r="B204" t="s">
        <v>46</v>
      </c>
      <c r="C204" t="s">
        <v>47</v>
      </c>
      <c r="D204" t="s">
        <v>254</v>
      </c>
      <c r="F204" t="str">
        <f>"253135"</f>
        <v>253135</v>
      </c>
      <c r="G204" t="s">
        <v>49</v>
      </c>
      <c r="H204" t="s">
        <v>97</v>
      </c>
      <c r="K204" t="s">
        <v>51</v>
      </c>
      <c r="L204" t="s">
        <v>52</v>
      </c>
      <c r="M204">
        <v>135471.1</v>
      </c>
      <c r="N204">
        <v>475334.5</v>
      </c>
      <c r="O204" t="s">
        <v>53</v>
      </c>
      <c r="P204" t="s">
        <v>54</v>
      </c>
      <c r="Q204" t="s">
        <v>55</v>
      </c>
      <c r="T204" t="s">
        <v>246</v>
      </c>
      <c r="U204">
        <v>40</v>
      </c>
      <c r="V204" s="1">
        <v>42552</v>
      </c>
      <c r="W204" s="1">
        <v>42552</v>
      </c>
      <c r="X204" s="1">
        <v>42552</v>
      </c>
      <c r="Y204" s="1">
        <v>57162</v>
      </c>
      <c r="Z204" t="s">
        <v>51</v>
      </c>
      <c r="AB204" t="s">
        <v>54</v>
      </c>
      <c r="AC204">
        <v>1</v>
      </c>
      <c r="AE204" t="s">
        <v>243</v>
      </c>
      <c r="AF204">
        <v>20</v>
      </c>
      <c r="AG204" s="1">
        <v>42552</v>
      </c>
      <c r="AH204" s="1">
        <v>42552</v>
      </c>
      <c r="AI204" s="1">
        <v>42552</v>
      </c>
      <c r="AJ204" s="1">
        <v>49857</v>
      </c>
      <c r="AK204" t="s">
        <v>51</v>
      </c>
      <c r="AN204">
        <v>0</v>
      </c>
      <c r="AO204" t="s">
        <v>54</v>
      </c>
      <c r="AP204" t="s">
        <v>53</v>
      </c>
      <c r="AQ204">
        <v>0</v>
      </c>
      <c r="AR204" t="s">
        <v>53</v>
      </c>
      <c r="AS204">
        <v>0</v>
      </c>
      <c r="AT204">
        <v>0</v>
      </c>
      <c r="CC204" t="s">
        <v>244</v>
      </c>
      <c r="CD204">
        <v>100000</v>
      </c>
      <c r="CE204" s="1">
        <v>42552</v>
      </c>
      <c r="CF204" s="1">
        <v>42552</v>
      </c>
      <c r="CG204" s="1">
        <v>42552</v>
      </c>
      <c r="CH204" s="1">
        <v>51023</v>
      </c>
      <c r="CI204" t="s">
        <v>51</v>
      </c>
      <c r="CK204" t="s">
        <v>78</v>
      </c>
      <c r="CM204" t="s">
        <v>54</v>
      </c>
      <c r="CN204" t="s">
        <v>174</v>
      </c>
      <c r="CR204">
        <v>0</v>
      </c>
      <c r="CS204">
        <v>2150</v>
      </c>
      <c r="CT204">
        <v>0</v>
      </c>
      <c r="CU204">
        <v>16</v>
      </c>
    </row>
    <row r="205" spans="1:99" x14ac:dyDescent="0.2">
      <c r="A205" t="s">
        <v>45</v>
      </c>
      <c r="B205" t="s">
        <v>46</v>
      </c>
      <c r="C205" t="s">
        <v>47</v>
      </c>
      <c r="D205" t="s">
        <v>256</v>
      </c>
      <c r="F205" t="str">
        <f>"253140"</f>
        <v>253140</v>
      </c>
      <c r="G205" t="s">
        <v>49</v>
      </c>
      <c r="H205" t="s">
        <v>257</v>
      </c>
      <c r="K205" t="s">
        <v>51</v>
      </c>
      <c r="L205" t="s">
        <v>52</v>
      </c>
      <c r="M205">
        <v>135458.09</v>
      </c>
      <c r="N205">
        <v>475419.41</v>
      </c>
      <c r="O205" t="s">
        <v>53</v>
      </c>
      <c r="P205" t="s">
        <v>54</v>
      </c>
      <c r="Q205" t="s">
        <v>55</v>
      </c>
      <c r="T205" t="s">
        <v>246</v>
      </c>
      <c r="U205">
        <v>40</v>
      </c>
      <c r="V205" s="1">
        <v>42552</v>
      </c>
      <c r="W205" s="1">
        <v>42552</v>
      </c>
      <c r="X205" s="1">
        <v>42552</v>
      </c>
      <c r="Y205" s="1">
        <v>57162</v>
      </c>
      <c r="Z205" t="s">
        <v>51</v>
      </c>
      <c r="AB205" t="s">
        <v>54</v>
      </c>
      <c r="AC205">
        <v>1</v>
      </c>
      <c r="AE205" t="s">
        <v>243</v>
      </c>
      <c r="AF205">
        <v>20</v>
      </c>
      <c r="AG205" s="1">
        <v>42552</v>
      </c>
      <c r="AH205" s="1">
        <v>42552</v>
      </c>
      <c r="AI205" s="1">
        <v>42552</v>
      </c>
      <c r="AJ205" s="1">
        <v>49857</v>
      </c>
      <c r="AK205" t="s">
        <v>51</v>
      </c>
      <c r="AN205">
        <v>0</v>
      </c>
      <c r="AO205" t="s">
        <v>54</v>
      </c>
      <c r="AP205" t="s">
        <v>53</v>
      </c>
      <c r="AQ205">
        <v>0</v>
      </c>
      <c r="AR205" t="s">
        <v>53</v>
      </c>
      <c r="AS205">
        <v>0</v>
      </c>
      <c r="AT205">
        <v>0</v>
      </c>
      <c r="CC205" t="s">
        <v>244</v>
      </c>
      <c r="CD205">
        <v>100000</v>
      </c>
      <c r="CE205" s="1">
        <v>42552</v>
      </c>
      <c r="CF205" s="1">
        <v>42552</v>
      </c>
      <c r="CG205" s="1">
        <v>42552</v>
      </c>
      <c r="CH205" s="1">
        <v>51023</v>
      </c>
      <c r="CI205" t="s">
        <v>51</v>
      </c>
      <c r="CK205" t="s">
        <v>78</v>
      </c>
      <c r="CM205" t="s">
        <v>54</v>
      </c>
      <c r="CN205" t="s">
        <v>174</v>
      </c>
      <c r="CR205">
        <v>0</v>
      </c>
      <c r="CS205">
        <v>2150</v>
      </c>
      <c r="CT205">
        <v>0</v>
      </c>
      <c r="CU205">
        <v>16</v>
      </c>
    </row>
    <row r="206" spans="1:99" x14ac:dyDescent="0.2">
      <c r="A206" t="s">
        <v>45</v>
      </c>
      <c r="B206" t="s">
        <v>46</v>
      </c>
      <c r="C206" t="s">
        <v>47</v>
      </c>
      <c r="D206" t="s">
        <v>254</v>
      </c>
      <c r="F206" t="str">
        <f>"253142"</f>
        <v>253142</v>
      </c>
      <c r="G206" t="s">
        <v>49</v>
      </c>
      <c r="H206">
        <v>1</v>
      </c>
      <c r="I206" t="s">
        <v>258</v>
      </c>
      <c r="K206" t="s">
        <v>51</v>
      </c>
      <c r="L206" t="s">
        <v>52</v>
      </c>
      <c r="M206">
        <v>135359.94</v>
      </c>
      <c r="N206">
        <v>475358.22</v>
      </c>
      <c r="O206" t="s">
        <v>53</v>
      </c>
      <c r="P206" t="s">
        <v>54</v>
      </c>
      <c r="Q206" t="s">
        <v>55</v>
      </c>
      <c r="T206" t="s">
        <v>170</v>
      </c>
      <c r="U206">
        <v>40</v>
      </c>
      <c r="V206" s="1">
        <v>42552</v>
      </c>
      <c r="W206" s="1">
        <v>42552</v>
      </c>
      <c r="X206" s="1">
        <v>42552</v>
      </c>
      <c r="Y206" s="1">
        <v>57162</v>
      </c>
      <c r="Z206" t="s">
        <v>51</v>
      </c>
      <c r="AB206" t="s">
        <v>54</v>
      </c>
      <c r="AC206">
        <v>1</v>
      </c>
      <c r="AE206" t="s">
        <v>171</v>
      </c>
      <c r="AF206">
        <v>20</v>
      </c>
      <c r="AG206" s="1">
        <v>42552</v>
      </c>
      <c r="AH206" s="1">
        <v>42552</v>
      </c>
      <c r="AI206" s="1">
        <v>42552</v>
      </c>
      <c r="AJ206" s="1">
        <v>49857</v>
      </c>
      <c r="AK206" t="s">
        <v>51</v>
      </c>
      <c r="AN206">
        <v>0</v>
      </c>
      <c r="AO206" t="s">
        <v>54</v>
      </c>
      <c r="AP206" t="s">
        <v>53</v>
      </c>
      <c r="AQ206">
        <v>0</v>
      </c>
      <c r="AR206" t="s">
        <v>53</v>
      </c>
      <c r="AS206">
        <v>0</v>
      </c>
      <c r="AT206">
        <v>0</v>
      </c>
      <c r="CC206" t="s">
        <v>250</v>
      </c>
      <c r="CD206">
        <v>100000</v>
      </c>
      <c r="CE206" s="1">
        <v>42552</v>
      </c>
      <c r="CF206" s="1">
        <v>42552</v>
      </c>
      <c r="CG206" s="1">
        <v>42552</v>
      </c>
      <c r="CH206" s="1">
        <v>51023</v>
      </c>
      <c r="CI206" t="s">
        <v>51</v>
      </c>
      <c r="CK206" t="s">
        <v>78</v>
      </c>
      <c r="CM206" t="s">
        <v>54</v>
      </c>
      <c r="CN206" t="s">
        <v>174</v>
      </c>
      <c r="CR206">
        <v>13.2</v>
      </c>
      <c r="CS206">
        <v>1800</v>
      </c>
      <c r="CT206">
        <v>0</v>
      </c>
      <c r="CU206">
        <v>16</v>
      </c>
    </row>
    <row r="207" spans="1:99" x14ac:dyDescent="0.2">
      <c r="A207" t="s">
        <v>45</v>
      </c>
      <c r="B207" t="s">
        <v>46</v>
      </c>
      <c r="C207" t="s">
        <v>47</v>
      </c>
      <c r="D207" t="s">
        <v>68</v>
      </c>
      <c r="F207" t="str">
        <f>"253146"</f>
        <v>253146</v>
      </c>
      <c r="G207" t="s">
        <v>49</v>
      </c>
      <c r="I207" t="s">
        <v>82</v>
      </c>
      <c r="K207" t="s">
        <v>51</v>
      </c>
      <c r="L207" t="s">
        <v>52</v>
      </c>
      <c r="M207">
        <v>135313.17000000001</v>
      </c>
      <c r="N207">
        <v>475335.53</v>
      </c>
      <c r="O207" t="s">
        <v>53</v>
      </c>
      <c r="P207" t="s">
        <v>54</v>
      </c>
      <c r="Q207" t="s">
        <v>55</v>
      </c>
      <c r="T207" t="s">
        <v>83</v>
      </c>
      <c r="U207">
        <v>40</v>
      </c>
      <c r="V207" s="1">
        <v>34700</v>
      </c>
      <c r="W207" s="1">
        <v>34700</v>
      </c>
      <c r="X207" s="1">
        <v>34700</v>
      </c>
      <c r="Y207" s="1">
        <v>49310</v>
      </c>
      <c r="Z207" t="s">
        <v>51</v>
      </c>
      <c r="AB207" t="s">
        <v>54</v>
      </c>
      <c r="AC207">
        <v>1</v>
      </c>
      <c r="AE207" t="s">
        <v>84</v>
      </c>
      <c r="AF207">
        <v>20</v>
      </c>
      <c r="AG207" s="1">
        <v>34700</v>
      </c>
      <c r="AH207" s="1">
        <v>34700</v>
      </c>
      <c r="AI207" s="1">
        <v>34700</v>
      </c>
      <c r="AJ207" s="1">
        <v>42005</v>
      </c>
      <c r="AK207" t="s">
        <v>51</v>
      </c>
      <c r="AN207">
        <v>0</v>
      </c>
      <c r="AO207" t="s">
        <v>54</v>
      </c>
      <c r="AP207" t="s">
        <v>53</v>
      </c>
      <c r="AQ207">
        <v>0</v>
      </c>
      <c r="AR207" t="s">
        <v>53</v>
      </c>
      <c r="AS207">
        <v>0</v>
      </c>
      <c r="AT207">
        <v>0</v>
      </c>
      <c r="BK207" t="s">
        <v>85</v>
      </c>
      <c r="BL207">
        <v>50000</v>
      </c>
      <c r="BM207" s="1">
        <v>44341</v>
      </c>
      <c r="BN207" s="1">
        <v>44341</v>
      </c>
      <c r="BO207" s="1">
        <v>44341</v>
      </c>
      <c r="BP207" s="1">
        <v>48573</v>
      </c>
      <c r="BQ207" t="s">
        <v>51</v>
      </c>
      <c r="BS207" t="s">
        <v>60</v>
      </c>
      <c r="BT207" t="s">
        <v>54</v>
      </c>
      <c r="BU207" t="s">
        <v>61</v>
      </c>
      <c r="BV207" t="s">
        <v>86</v>
      </c>
      <c r="BX207">
        <v>13</v>
      </c>
      <c r="BY207">
        <v>1430</v>
      </c>
      <c r="BZ207">
        <v>0</v>
      </c>
    </row>
    <row r="208" spans="1:99" x14ac:dyDescent="0.2">
      <c r="A208" t="s">
        <v>45</v>
      </c>
      <c r="B208" t="s">
        <v>46</v>
      </c>
      <c r="C208" t="s">
        <v>45</v>
      </c>
      <c r="D208" t="s">
        <v>68</v>
      </c>
      <c r="F208" t="str">
        <f>"253147"</f>
        <v>253147</v>
      </c>
      <c r="G208" t="s">
        <v>49</v>
      </c>
      <c r="K208" t="s">
        <v>51</v>
      </c>
      <c r="L208" t="s">
        <v>52</v>
      </c>
      <c r="M208">
        <v>135291.99</v>
      </c>
      <c r="N208">
        <v>475357.07</v>
      </c>
      <c r="O208" t="s">
        <v>53</v>
      </c>
      <c r="P208" t="s">
        <v>54</v>
      </c>
      <c r="Q208" t="s">
        <v>55</v>
      </c>
      <c r="T208" t="s">
        <v>81</v>
      </c>
      <c r="U208">
        <v>40</v>
      </c>
      <c r="V208" s="1">
        <v>34700</v>
      </c>
      <c r="W208" s="1">
        <v>34700</v>
      </c>
      <c r="X208" s="1">
        <v>34700</v>
      </c>
      <c r="Y208" s="1">
        <v>49310</v>
      </c>
      <c r="Z208" t="s">
        <v>51</v>
      </c>
      <c r="AB208" t="s">
        <v>54</v>
      </c>
      <c r="AC208">
        <v>1</v>
      </c>
      <c r="AE208" t="s">
        <v>84</v>
      </c>
      <c r="AF208">
        <v>20</v>
      </c>
      <c r="AG208" s="1">
        <v>34700</v>
      </c>
      <c r="AH208" s="1">
        <v>34700</v>
      </c>
      <c r="AI208" s="1">
        <v>34700</v>
      </c>
      <c r="AJ208" s="1">
        <v>42005</v>
      </c>
      <c r="AK208" t="s">
        <v>51</v>
      </c>
      <c r="AN208">
        <v>0</v>
      </c>
      <c r="AO208" t="s">
        <v>54</v>
      </c>
      <c r="AP208" t="s">
        <v>53</v>
      </c>
      <c r="AQ208">
        <v>0</v>
      </c>
      <c r="AR208" t="s">
        <v>53</v>
      </c>
      <c r="AS208">
        <v>0</v>
      </c>
      <c r="AT208">
        <v>0</v>
      </c>
      <c r="BK208" t="s">
        <v>85</v>
      </c>
      <c r="BL208">
        <v>50000</v>
      </c>
      <c r="BM208" s="1">
        <v>44341</v>
      </c>
      <c r="BN208" s="1">
        <v>44341</v>
      </c>
      <c r="BO208" s="1">
        <v>44341</v>
      </c>
      <c r="BP208" s="1">
        <v>48573</v>
      </c>
      <c r="BQ208" t="s">
        <v>51</v>
      </c>
      <c r="BS208" t="s">
        <v>60</v>
      </c>
      <c r="BT208" t="s">
        <v>54</v>
      </c>
      <c r="BU208" t="s">
        <v>61</v>
      </c>
      <c r="BV208" t="s">
        <v>86</v>
      </c>
      <c r="BX208">
        <v>13</v>
      </c>
      <c r="BY208">
        <v>1430</v>
      </c>
      <c r="BZ208">
        <v>0</v>
      </c>
    </row>
    <row r="209" spans="1:78" x14ac:dyDescent="0.2">
      <c r="A209" t="s">
        <v>45</v>
      </c>
      <c r="B209" t="s">
        <v>46</v>
      </c>
      <c r="C209" t="s">
        <v>45</v>
      </c>
      <c r="D209" t="s">
        <v>68</v>
      </c>
      <c r="F209" t="str">
        <f>"253148"</f>
        <v>253148</v>
      </c>
      <c r="G209" t="s">
        <v>49</v>
      </c>
      <c r="H209" t="s">
        <v>259</v>
      </c>
      <c r="K209" t="s">
        <v>51</v>
      </c>
      <c r="L209" t="s">
        <v>52</v>
      </c>
      <c r="M209">
        <v>135303.96</v>
      </c>
      <c r="N209">
        <v>475371.8</v>
      </c>
      <c r="O209" t="s">
        <v>53</v>
      </c>
      <c r="P209" t="s">
        <v>54</v>
      </c>
      <c r="Q209" t="s">
        <v>55</v>
      </c>
      <c r="T209" t="s">
        <v>131</v>
      </c>
      <c r="U209">
        <v>40</v>
      </c>
      <c r="V209" s="1">
        <v>34700</v>
      </c>
      <c r="W209" s="1">
        <v>34700</v>
      </c>
      <c r="X209" s="1">
        <v>34700</v>
      </c>
      <c r="Y209" s="1">
        <v>49310</v>
      </c>
      <c r="Z209" t="s">
        <v>51</v>
      </c>
      <c r="AB209" t="s">
        <v>54</v>
      </c>
      <c r="AC209">
        <v>1</v>
      </c>
      <c r="AE209" t="s">
        <v>84</v>
      </c>
      <c r="AF209">
        <v>20</v>
      </c>
      <c r="AG209" s="1">
        <v>34700</v>
      </c>
      <c r="AH209" s="1">
        <v>34700</v>
      </c>
      <c r="AI209" s="1">
        <v>34700</v>
      </c>
      <c r="AJ209" s="1">
        <v>42005</v>
      </c>
      <c r="AK209" t="s">
        <v>51</v>
      </c>
      <c r="AN209">
        <v>0</v>
      </c>
      <c r="AO209" t="s">
        <v>54</v>
      </c>
      <c r="AP209" t="s">
        <v>53</v>
      </c>
      <c r="AQ209">
        <v>0</v>
      </c>
      <c r="AR209" t="s">
        <v>53</v>
      </c>
      <c r="AS209">
        <v>0</v>
      </c>
      <c r="AT209">
        <v>0</v>
      </c>
      <c r="BK209" t="s">
        <v>85</v>
      </c>
      <c r="BL209">
        <v>50000</v>
      </c>
      <c r="BM209" s="1">
        <v>44341</v>
      </c>
      <c r="BN209" s="1">
        <v>44341</v>
      </c>
      <c r="BO209" s="1">
        <v>44341</v>
      </c>
      <c r="BP209" s="1">
        <v>48573</v>
      </c>
      <c r="BQ209" t="s">
        <v>51</v>
      </c>
      <c r="BS209" t="s">
        <v>60</v>
      </c>
      <c r="BT209" t="s">
        <v>54</v>
      </c>
      <c r="BU209" t="s">
        <v>61</v>
      </c>
      <c r="BV209" t="s">
        <v>86</v>
      </c>
      <c r="BX209">
        <v>13</v>
      </c>
      <c r="BY209">
        <v>1430</v>
      </c>
      <c r="BZ209">
        <v>0</v>
      </c>
    </row>
    <row r="210" spans="1:78" x14ac:dyDescent="0.2">
      <c r="A210" t="s">
        <v>45</v>
      </c>
      <c r="B210" t="s">
        <v>46</v>
      </c>
      <c r="C210" t="s">
        <v>45</v>
      </c>
      <c r="D210" t="s">
        <v>68</v>
      </c>
      <c r="F210" t="str">
        <f>"253149"</f>
        <v>253149</v>
      </c>
      <c r="G210" t="s">
        <v>49</v>
      </c>
      <c r="H210" t="s">
        <v>260</v>
      </c>
      <c r="K210" t="s">
        <v>51</v>
      </c>
      <c r="L210" t="s">
        <v>52</v>
      </c>
      <c r="M210">
        <v>135310.29999999999</v>
      </c>
      <c r="N210">
        <v>475390.6</v>
      </c>
      <c r="O210" t="s">
        <v>53</v>
      </c>
      <c r="P210" t="s">
        <v>54</v>
      </c>
      <c r="Q210" t="s">
        <v>55</v>
      </c>
      <c r="T210" t="s">
        <v>131</v>
      </c>
      <c r="U210">
        <v>40</v>
      </c>
      <c r="V210" s="1">
        <v>34700</v>
      </c>
      <c r="W210" s="1">
        <v>34700</v>
      </c>
      <c r="X210" s="1">
        <v>34700</v>
      </c>
      <c r="Y210" s="1">
        <v>49310</v>
      </c>
      <c r="Z210" t="s">
        <v>51</v>
      </c>
      <c r="AB210" t="s">
        <v>54</v>
      </c>
      <c r="AC210">
        <v>1</v>
      </c>
      <c r="AE210" t="s">
        <v>84</v>
      </c>
      <c r="AF210">
        <v>20</v>
      </c>
      <c r="AG210" s="1">
        <v>34700</v>
      </c>
      <c r="AH210" s="1">
        <v>34700</v>
      </c>
      <c r="AI210" s="1">
        <v>34700</v>
      </c>
      <c r="AJ210" s="1">
        <v>42005</v>
      </c>
      <c r="AK210" t="s">
        <v>51</v>
      </c>
      <c r="AN210">
        <v>0</v>
      </c>
      <c r="AO210" t="s">
        <v>54</v>
      </c>
      <c r="AP210" t="s">
        <v>53</v>
      </c>
      <c r="AQ210">
        <v>0</v>
      </c>
      <c r="AR210" t="s">
        <v>53</v>
      </c>
      <c r="AS210">
        <v>0</v>
      </c>
      <c r="AT210">
        <v>0</v>
      </c>
      <c r="BK210" t="s">
        <v>85</v>
      </c>
      <c r="BL210">
        <v>50000</v>
      </c>
      <c r="BM210" s="1">
        <v>44341</v>
      </c>
      <c r="BN210" s="1">
        <v>44341</v>
      </c>
      <c r="BO210" s="1">
        <v>44341</v>
      </c>
      <c r="BP210" s="1">
        <v>48573</v>
      </c>
      <c r="BQ210" t="s">
        <v>51</v>
      </c>
      <c r="BS210" t="s">
        <v>60</v>
      </c>
      <c r="BT210" t="s">
        <v>54</v>
      </c>
      <c r="BU210" t="s">
        <v>61</v>
      </c>
      <c r="BV210" t="s">
        <v>86</v>
      </c>
      <c r="BX210">
        <v>13</v>
      </c>
      <c r="BY210">
        <v>1430</v>
      </c>
      <c r="BZ210">
        <v>0</v>
      </c>
    </row>
    <row r="211" spans="1:78" x14ac:dyDescent="0.2">
      <c r="A211" t="s">
        <v>45</v>
      </c>
      <c r="B211" t="s">
        <v>46</v>
      </c>
      <c r="C211" t="s">
        <v>45</v>
      </c>
      <c r="D211" t="s">
        <v>68</v>
      </c>
      <c r="F211" t="str">
        <f>"253150"</f>
        <v>253150</v>
      </c>
      <c r="G211" t="s">
        <v>49</v>
      </c>
      <c r="H211" t="s">
        <v>261</v>
      </c>
      <c r="K211" t="s">
        <v>51</v>
      </c>
      <c r="L211" t="s">
        <v>52</v>
      </c>
      <c r="M211">
        <v>135310.78</v>
      </c>
      <c r="N211">
        <v>475414.22</v>
      </c>
      <c r="O211" t="s">
        <v>53</v>
      </c>
      <c r="P211" t="s">
        <v>54</v>
      </c>
      <c r="Q211" t="s">
        <v>55</v>
      </c>
      <c r="T211" t="s">
        <v>83</v>
      </c>
      <c r="U211">
        <v>40</v>
      </c>
      <c r="V211" s="1">
        <v>34700</v>
      </c>
      <c r="W211" s="1">
        <v>34700</v>
      </c>
      <c r="X211" s="1">
        <v>34700</v>
      </c>
      <c r="Y211" s="1">
        <v>49310</v>
      </c>
      <c r="Z211" t="s">
        <v>51</v>
      </c>
      <c r="AB211" t="s">
        <v>54</v>
      </c>
      <c r="AC211">
        <v>1</v>
      </c>
      <c r="AE211" t="s">
        <v>84</v>
      </c>
      <c r="AF211">
        <v>20</v>
      </c>
      <c r="AG211" s="1">
        <v>34700</v>
      </c>
      <c r="AH211" s="1">
        <v>34700</v>
      </c>
      <c r="AI211" s="1">
        <v>34700</v>
      </c>
      <c r="AJ211" s="1">
        <v>42005</v>
      </c>
      <c r="AK211" t="s">
        <v>51</v>
      </c>
      <c r="AN211">
        <v>0</v>
      </c>
      <c r="AO211" t="s">
        <v>54</v>
      </c>
      <c r="AP211" t="s">
        <v>53</v>
      </c>
      <c r="AQ211">
        <v>0</v>
      </c>
      <c r="AR211" t="s">
        <v>53</v>
      </c>
      <c r="AS211">
        <v>0</v>
      </c>
      <c r="AT211">
        <v>0</v>
      </c>
      <c r="BK211" t="s">
        <v>85</v>
      </c>
      <c r="BL211">
        <v>50000</v>
      </c>
      <c r="BM211" s="1">
        <v>44341</v>
      </c>
      <c r="BN211" s="1">
        <v>44341</v>
      </c>
      <c r="BO211" s="1">
        <v>44341</v>
      </c>
      <c r="BP211" s="1">
        <v>48573</v>
      </c>
      <c r="BQ211" t="s">
        <v>51</v>
      </c>
      <c r="BS211" t="s">
        <v>60</v>
      </c>
      <c r="BT211" t="s">
        <v>54</v>
      </c>
      <c r="BU211" t="s">
        <v>61</v>
      </c>
      <c r="BV211" t="s">
        <v>86</v>
      </c>
      <c r="BX211">
        <v>13</v>
      </c>
      <c r="BY211">
        <v>1430</v>
      </c>
      <c r="BZ211">
        <v>0</v>
      </c>
    </row>
    <row r="212" spans="1:78" x14ac:dyDescent="0.2">
      <c r="A212" t="s">
        <v>45</v>
      </c>
      <c r="B212" t="s">
        <v>46</v>
      </c>
      <c r="C212" t="s">
        <v>45</v>
      </c>
      <c r="D212" t="s">
        <v>68</v>
      </c>
      <c r="F212" t="str">
        <f>"253151"</f>
        <v>253151</v>
      </c>
      <c r="G212" t="s">
        <v>49</v>
      </c>
      <c r="H212">
        <v>10</v>
      </c>
      <c r="K212" t="s">
        <v>51</v>
      </c>
      <c r="L212" t="s">
        <v>52</v>
      </c>
      <c r="M212">
        <v>135318.46</v>
      </c>
      <c r="N212">
        <v>475431.83</v>
      </c>
      <c r="O212" t="s">
        <v>53</v>
      </c>
      <c r="P212" t="s">
        <v>54</v>
      </c>
      <c r="Q212" t="s">
        <v>55</v>
      </c>
      <c r="T212" t="s">
        <v>225</v>
      </c>
      <c r="U212">
        <v>40</v>
      </c>
      <c r="V212" s="1">
        <v>34700</v>
      </c>
      <c r="W212" s="1">
        <v>34700</v>
      </c>
      <c r="X212" s="1">
        <v>34700</v>
      </c>
      <c r="Y212" s="1">
        <v>49310</v>
      </c>
      <c r="Z212" t="s">
        <v>51</v>
      </c>
      <c r="AB212" t="s">
        <v>54</v>
      </c>
      <c r="AC212">
        <v>1</v>
      </c>
      <c r="AE212" t="s">
        <v>226</v>
      </c>
      <c r="AF212">
        <v>20</v>
      </c>
      <c r="AG212" s="1">
        <v>34700</v>
      </c>
      <c r="AH212" s="1">
        <v>34700</v>
      </c>
      <c r="AI212" s="1">
        <v>34700</v>
      </c>
      <c r="AJ212" s="1">
        <v>42005</v>
      </c>
      <c r="AK212" t="s">
        <v>51</v>
      </c>
      <c r="AN212">
        <v>0</v>
      </c>
      <c r="AO212" t="s">
        <v>54</v>
      </c>
      <c r="AP212" t="s">
        <v>53</v>
      </c>
      <c r="AQ212">
        <v>0</v>
      </c>
      <c r="AR212" t="s">
        <v>53</v>
      </c>
      <c r="AS212">
        <v>0</v>
      </c>
      <c r="AT212">
        <v>0</v>
      </c>
      <c r="AW212" t="s">
        <v>58</v>
      </c>
      <c r="AX212">
        <v>20</v>
      </c>
      <c r="AY212" s="1">
        <v>34700</v>
      </c>
      <c r="AZ212" s="1">
        <v>34700</v>
      </c>
      <c r="BA212" s="1">
        <v>34700</v>
      </c>
      <c r="BB212" s="1">
        <v>42005</v>
      </c>
      <c r="BC212" t="s">
        <v>51</v>
      </c>
      <c r="BE212" t="s">
        <v>54</v>
      </c>
      <c r="BF212">
        <v>2</v>
      </c>
      <c r="BG212">
        <v>0</v>
      </c>
      <c r="BH212" t="s">
        <v>53</v>
      </c>
      <c r="BK212" t="s">
        <v>227</v>
      </c>
      <c r="BL212">
        <v>10000</v>
      </c>
      <c r="BM212" s="1">
        <v>44341</v>
      </c>
      <c r="BN212" s="1">
        <v>44341</v>
      </c>
      <c r="BO212" s="1">
        <v>44341</v>
      </c>
      <c r="BP212" s="1">
        <v>45215</v>
      </c>
      <c r="BQ212" t="s">
        <v>51</v>
      </c>
      <c r="BS212" t="s">
        <v>60</v>
      </c>
      <c r="BT212" t="s">
        <v>54</v>
      </c>
      <c r="BU212" t="s">
        <v>228</v>
      </c>
      <c r="BV212" t="s">
        <v>229</v>
      </c>
      <c r="BX212">
        <v>32</v>
      </c>
      <c r="BY212">
        <v>0</v>
      </c>
      <c r="BZ212">
        <v>0</v>
      </c>
    </row>
    <row r="213" spans="1:78" x14ac:dyDescent="0.2">
      <c r="A213" t="s">
        <v>45</v>
      </c>
      <c r="B213" t="s">
        <v>46</v>
      </c>
      <c r="C213" t="s">
        <v>45</v>
      </c>
      <c r="D213" t="s">
        <v>68</v>
      </c>
      <c r="F213" t="str">
        <f>"253152"</f>
        <v>253152</v>
      </c>
      <c r="G213" t="s">
        <v>49</v>
      </c>
      <c r="H213">
        <v>8</v>
      </c>
      <c r="K213" t="s">
        <v>51</v>
      </c>
      <c r="L213" t="s">
        <v>52</v>
      </c>
      <c r="M213">
        <v>135326.94</v>
      </c>
      <c r="N213">
        <v>475452.8</v>
      </c>
      <c r="O213" t="s">
        <v>53</v>
      </c>
      <c r="P213" t="s">
        <v>54</v>
      </c>
      <c r="Q213" t="s">
        <v>55</v>
      </c>
      <c r="T213" t="s">
        <v>225</v>
      </c>
      <c r="U213">
        <v>40</v>
      </c>
      <c r="V213" s="1">
        <v>34700</v>
      </c>
      <c r="W213" s="1">
        <v>34700</v>
      </c>
      <c r="X213" s="1">
        <v>34700</v>
      </c>
      <c r="Y213" s="1">
        <v>49310</v>
      </c>
      <c r="Z213" t="s">
        <v>51</v>
      </c>
      <c r="AB213" t="s">
        <v>54</v>
      </c>
      <c r="AC213">
        <v>1</v>
      </c>
      <c r="AE213" t="s">
        <v>226</v>
      </c>
      <c r="AF213">
        <v>20</v>
      </c>
      <c r="AG213" s="1">
        <v>34700</v>
      </c>
      <c r="AH213" s="1">
        <v>34700</v>
      </c>
      <c r="AI213" s="1">
        <v>34700</v>
      </c>
      <c r="AJ213" s="1">
        <v>42005</v>
      </c>
      <c r="AK213" t="s">
        <v>51</v>
      </c>
      <c r="AN213">
        <v>0</v>
      </c>
      <c r="AO213" t="s">
        <v>54</v>
      </c>
      <c r="AP213" t="s">
        <v>53</v>
      </c>
      <c r="AQ213">
        <v>0</v>
      </c>
      <c r="AR213" t="s">
        <v>53</v>
      </c>
      <c r="AS213">
        <v>0</v>
      </c>
      <c r="AT213">
        <v>0</v>
      </c>
      <c r="AW213" t="s">
        <v>58</v>
      </c>
      <c r="AX213">
        <v>20</v>
      </c>
      <c r="AY213" s="1">
        <v>34700</v>
      </c>
      <c r="AZ213" s="1">
        <v>34700</v>
      </c>
      <c r="BA213" s="1">
        <v>34700</v>
      </c>
      <c r="BB213" s="1">
        <v>42005</v>
      </c>
      <c r="BC213" t="s">
        <v>51</v>
      </c>
      <c r="BE213" t="s">
        <v>54</v>
      </c>
      <c r="BF213">
        <v>2</v>
      </c>
      <c r="BG213">
        <v>0</v>
      </c>
      <c r="BH213" t="s">
        <v>53</v>
      </c>
      <c r="BK213" t="s">
        <v>227</v>
      </c>
      <c r="BL213">
        <v>10000</v>
      </c>
      <c r="BM213" s="1">
        <v>44323</v>
      </c>
      <c r="BN213" s="1">
        <v>44323</v>
      </c>
      <c r="BO213" s="1">
        <v>44323</v>
      </c>
      <c r="BP213" s="1">
        <v>45205</v>
      </c>
      <c r="BQ213" t="s">
        <v>51</v>
      </c>
      <c r="BS213" t="s">
        <v>60</v>
      </c>
      <c r="BT213" t="s">
        <v>54</v>
      </c>
      <c r="BU213" t="s">
        <v>228</v>
      </c>
      <c r="BV213" t="s">
        <v>229</v>
      </c>
      <c r="BX213">
        <v>32</v>
      </c>
      <c r="BY213">
        <v>0</v>
      </c>
      <c r="BZ213">
        <v>0</v>
      </c>
    </row>
    <row r="214" spans="1:78" x14ac:dyDescent="0.2">
      <c r="A214" t="s">
        <v>45</v>
      </c>
      <c r="B214" t="s">
        <v>46</v>
      </c>
      <c r="C214" t="s">
        <v>47</v>
      </c>
      <c r="D214" t="s">
        <v>68</v>
      </c>
      <c r="F214" t="str">
        <f>"253153"</f>
        <v>253153</v>
      </c>
      <c r="G214" t="s">
        <v>49</v>
      </c>
      <c r="I214" t="s">
        <v>82</v>
      </c>
      <c r="K214" t="s">
        <v>51</v>
      </c>
      <c r="L214" t="s">
        <v>52</v>
      </c>
      <c r="M214">
        <v>135325.71</v>
      </c>
      <c r="N214">
        <v>475299.06</v>
      </c>
      <c r="O214" t="s">
        <v>53</v>
      </c>
      <c r="P214" t="s">
        <v>54</v>
      </c>
      <c r="Q214" t="s">
        <v>55</v>
      </c>
      <c r="T214" t="s">
        <v>56</v>
      </c>
      <c r="U214">
        <v>40</v>
      </c>
      <c r="V214" s="1">
        <v>34700</v>
      </c>
      <c r="W214" s="1">
        <v>34700</v>
      </c>
      <c r="X214" s="1">
        <v>34700</v>
      </c>
      <c r="Y214" s="1">
        <v>49310</v>
      </c>
      <c r="Z214" t="s">
        <v>51</v>
      </c>
      <c r="AB214" t="s">
        <v>54</v>
      </c>
      <c r="AC214">
        <v>1</v>
      </c>
      <c r="AE214" t="s">
        <v>84</v>
      </c>
      <c r="AF214">
        <v>20</v>
      </c>
      <c r="AG214" s="1">
        <v>34700</v>
      </c>
      <c r="AH214" s="1">
        <v>34700</v>
      </c>
      <c r="AI214" s="1">
        <v>34700</v>
      </c>
      <c r="AJ214" s="1">
        <v>42005</v>
      </c>
      <c r="AK214" t="s">
        <v>51</v>
      </c>
      <c r="AN214">
        <v>0</v>
      </c>
      <c r="AO214" t="s">
        <v>54</v>
      </c>
      <c r="AP214" t="s">
        <v>53</v>
      </c>
      <c r="AQ214">
        <v>0</v>
      </c>
      <c r="AR214" t="s">
        <v>53</v>
      </c>
      <c r="AS214">
        <v>0</v>
      </c>
      <c r="AT214">
        <v>0</v>
      </c>
      <c r="BK214" t="s">
        <v>85</v>
      </c>
      <c r="BL214">
        <v>50000</v>
      </c>
      <c r="BM214" s="1">
        <v>44341</v>
      </c>
      <c r="BN214" s="1">
        <v>44341</v>
      </c>
      <c r="BO214" s="1">
        <v>44341</v>
      </c>
      <c r="BP214" s="1">
        <v>48573</v>
      </c>
      <c r="BQ214" t="s">
        <v>51</v>
      </c>
      <c r="BS214" t="s">
        <v>60</v>
      </c>
      <c r="BT214" t="s">
        <v>54</v>
      </c>
      <c r="BU214" t="s">
        <v>61</v>
      </c>
      <c r="BV214" t="s">
        <v>86</v>
      </c>
      <c r="BX214">
        <v>13</v>
      </c>
      <c r="BY214">
        <v>1430</v>
      </c>
      <c r="BZ214">
        <v>0</v>
      </c>
    </row>
    <row r="215" spans="1:78" x14ac:dyDescent="0.2">
      <c r="A215" t="s">
        <v>45</v>
      </c>
      <c r="B215" t="s">
        <v>46</v>
      </c>
      <c r="C215" t="s">
        <v>47</v>
      </c>
      <c r="D215" t="s">
        <v>68</v>
      </c>
      <c r="F215" t="str">
        <f>"253154"</f>
        <v>253154</v>
      </c>
      <c r="G215" t="s">
        <v>49</v>
      </c>
      <c r="I215" t="s">
        <v>82</v>
      </c>
      <c r="K215" t="s">
        <v>51</v>
      </c>
      <c r="L215" t="s">
        <v>52</v>
      </c>
      <c r="M215">
        <v>135295.17000000001</v>
      </c>
      <c r="N215">
        <v>475297.56</v>
      </c>
      <c r="O215" t="s">
        <v>53</v>
      </c>
      <c r="P215" t="s">
        <v>54</v>
      </c>
      <c r="Q215" t="s">
        <v>55</v>
      </c>
      <c r="T215" t="s">
        <v>83</v>
      </c>
      <c r="U215">
        <v>40</v>
      </c>
      <c r="V215" s="1">
        <v>34700</v>
      </c>
      <c r="W215" s="1">
        <v>34700</v>
      </c>
      <c r="X215" s="1">
        <v>34700</v>
      </c>
      <c r="Y215" s="1">
        <v>49310</v>
      </c>
      <c r="Z215" t="s">
        <v>51</v>
      </c>
      <c r="AB215" t="s">
        <v>54</v>
      </c>
      <c r="AC215">
        <v>1</v>
      </c>
      <c r="AE215" t="s">
        <v>84</v>
      </c>
      <c r="AF215">
        <v>20</v>
      </c>
      <c r="AG215" s="1">
        <v>34700</v>
      </c>
      <c r="AH215" s="1">
        <v>34700</v>
      </c>
      <c r="AI215" s="1">
        <v>34700</v>
      </c>
      <c r="AJ215" s="1">
        <v>42005</v>
      </c>
      <c r="AK215" t="s">
        <v>51</v>
      </c>
      <c r="AN215">
        <v>0</v>
      </c>
      <c r="AO215" t="s">
        <v>54</v>
      </c>
      <c r="AP215" t="s">
        <v>53</v>
      </c>
      <c r="AQ215">
        <v>0</v>
      </c>
      <c r="AR215" t="s">
        <v>53</v>
      </c>
      <c r="AS215">
        <v>0</v>
      </c>
      <c r="AT215">
        <v>0</v>
      </c>
      <c r="BK215" t="s">
        <v>85</v>
      </c>
      <c r="BL215">
        <v>50000</v>
      </c>
      <c r="BM215" s="1">
        <v>44341</v>
      </c>
      <c r="BN215" s="1">
        <v>44341</v>
      </c>
      <c r="BO215" s="1">
        <v>44341</v>
      </c>
      <c r="BP215" s="1">
        <v>48573</v>
      </c>
      <c r="BQ215" t="s">
        <v>51</v>
      </c>
      <c r="BS215" t="s">
        <v>60</v>
      </c>
      <c r="BT215" t="s">
        <v>54</v>
      </c>
      <c r="BU215" t="s">
        <v>61</v>
      </c>
      <c r="BV215" t="s">
        <v>86</v>
      </c>
      <c r="BX215">
        <v>13</v>
      </c>
      <c r="BY215">
        <v>1430</v>
      </c>
      <c r="BZ215">
        <v>0</v>
      </c>
    </row>
    <row r="216" spans="1:78" x14ac:dyDescent="0.2">
      <c r="A216" t="s">
        <v>45</v>
      </c>
      <c r="B216" t="s">
        <v>46</v>
      </c>
      <c r="C216" t="s">
        <v>45</v>
      </c>
      <c r="D216" t="s">
        <v>68</v>
      </c>
      <c r="F216" t="str">
        <f>"253156"</f>
        <v>253156</v>
      </c>
      <c r="G216" t="s">
        <v>49</v>
      </c>
      <c r="H216" t="s">
        <v>262</v>
      </c>
      <c r="I216" t="s">
        <v>263</v>
      </c>
      <c r="K216" t="s">
        <v>51</v>
      </c>
      <c r="L216" t="s">
        <v>52</v>
      </c>
      <c r="M216">
        <v>135281.79999999999</v>
      </c>
      <c r="N216">
        <v>475328.77</v>
      </c>
      <c r="O216" t="s">
        <v>53</v>
      </c>
      <c r="P216" t="s">
        <v>54</v>
      </c>
      <c r="Q216" t="s">
        <v>55</v>
      </c>
      <c r="T216" t="s">
        <v>111</v>
      </c>
      <c r="U216">
        <v>40</v>
      </c>
      <c r="V216" s="1">
        <v>34700</v>
      </c>
      <c r="W216" s="1">
        <v>34700</v>
      </c>
      <c r="X216" s="1">
        <v>34700</v>
      </c>
      <c r="Y216" s="1">
        <v>49310</v>
      </c>
      <c r="Z216" t="s">
        <v>51</v>
      </c>
      <c r="AB216" t="s">
        <v>54</v>
      </c>
      <c r="AC216">
        <v>1</v>
      </c>
      <c r="AE216" t="s">
        <v>84</v>
      </c>
      <c r="AF216">
        <v>20</v>
      </c>
      <c r="AG216" s="1">
        <v>34700</v>
      </c>
      <c r="AH216" s="1">
        <v>34700</v>
      </c>
      <c r="AI216" s="1">
        <v>34700</v>
      </c>
      <c r="AJ216" s="1">
        <v>42005</v>
      </c>
      <c r="AK216" t="s">
        <v>51</v>
      </c>
      <c r="AN216">
        <v>0</v>
      </c>
      <c r="AO216" t="s">
        <v>54</v>
      </c>
      <c r="AP216" t="s">
        <v>53</v>
      </c>
      <c r="AQ216">
        <v>0</v>
      </c>
      <c r="AR216" t="s">
        <v>53</v>
      </c>
      <c r="AS216">
        <v>0</v>
      </c>
      <c r="AT216">
        <v>0</v>
      </c>
      <c r="BK216" t="s">
        <v>85</v>
      </c>
      <c r="BL216">
        <v>50000</v>
      </c>
      <c r="BM216" s="1">
        <v>44341</v>
      </c>
      <c r="BN216" s="1">
        <v>44341</v>
      </c>
      <c r="BO216" s="1">
        <v>44341</v>
      </c>
      <c r="BP216" s="1">
        <v>48573</v>
      </c>
      <c r="BQ216" t="s">
        <v>51</v>
      </c>
      <c r="BS216" t="s">
        <v>60</v>
      </c>
      <c r="BT216" t="s">
        <v>54</v>
      </c>
      <c r="BU216" t="s">
        <v>61</v>
      </c>
      <c r="BV216" t="s">
        <v>86</v>
      </c>
      <c r="BX216">
        <v>13</v>
      </c>
      <c r="BY216">
        <v>1430</v>
      </c>
      <c r="BZ216">
        <v>0</v>
      </c>
    </row>
    <row r="217" spans="1:78" x14ac:dyDescent="0.2">
      <c r="A217" t="s">
        <v>45</v>
      </c>
      <c r="B217" t="s">
        <v>46</v>
      </c>
      <c r="C217" t="s">
        <v>45</v>
      </c>
      <c r="D217" t="s">
        <v>68</v>
      </c>
      <c r="F217" t="str">
        <f>"253157"</f>
        <v>253157</v>
      </c>
      <c r="G217" t="s">
        <v>49</v>
      </c>
      <c r="K217" t="s">
        <v>51</v>
      </c>
      <c r="L217" t="s">
        <v>52</v>
      </c>
      <c r="M217">
        <v>135272.71</v>
      </c>
      <c r="N217">
        <v>475301.82</v>
      </c>
      <c r="O217" t="s">
        <v>53</v>
      </c>
      <c r="P217" t="s">
        <v>54</v>
      </c>
      <c r="Q217" t="s">
        <v>55</v>
      </c>
      <c r="T217" t="s">
        <v>81</v>
      </c>
      <c r="U217">
        <v>40</v>
      </c>
      <c r="V217" s="1">
        <v>34700</v>
      </c>
      <c r="W217" s="1">
        <v>34700</v>
      </c>
      <c r="X217" s="1">
        <v>34700</v>
      </c>
      <c r="Y217" s="1">
        <v>49310</v>
      </c>
      <c r="Z217" t="s">
        <v>51</v>
      </c>
      <c r="AB217" t="s">
        <v>54</v>
      </c>
      <c r="AC217">
        <v>1</v>
      </c>
      <c r="AE217" t="s">
        <v>84</v>
      </c>
      <c r="AF217">
        <v>20</v>
      </c>
      <c r="AG217" s="1">
        <v>34700</v>
      </c>
      <c r="AH217" s="1">
        <v>34700</v>
      </c>
      <c r="AI217" s="1">
        <v>34700</v>
      </c>
      <c r="AJ217" s="1">
        <v>42005</v>
      </c>
      <c r="AK217" t="s">
        <v>51</v>
      </c>
      <c r="AN217">
        <v>0</v>
      </c>
      <c r="AO217" t="s">
        <v>54</v>
      </c>
      <c r="AP217" t="s">
        <v>53</v>
      </c>
      <c r="AQ217">
        <v>0</v>
      </c>
      <c r="AR217" t="s">
        <v>53</v>
      </c>
      <c r="AS217">
        <v>0</v>
      </c>
      <c r="AT217">
        <v>0</v>
      </c>
      <c r="BK217" t="s">
        <v>85</v>
      </c>
      <c r="BL217">
        <v>50000</v>
      </c>
      <c r="BM217" s="1">
        <v>44341</v>
      </c>
      <c r="BN217" s="1">
        <v>44341</v>
      </c>
      <c r="BO217" s="1">
        <v>44341</v>
      </c>
      <c r="BP217" s="1">
        <v>48573</v>
      </c>
      <c r="BQ217" t="s">
        <v>51</v>
      </c>
      <c r="BS217" t="s">
        <v>60</v>
      </c>
      <c r="BT217" t="s">
        <v>54</v>
      </c>
      <c r="BU217" t="s">
        <v>61</v>
      </c>
      <c r="BV217" t="s">
        <v>86</v>
      </c>
      <c r="BX217">
        <v>13</v>
      </c>
      <c r="BY217">
        <v>1430</v>
      </c>
      <c r="BZ217">
        <v>0</v>
      </c>
    </row>
    <row r="218" spans="1:78" x14ac:dyDescent="0.2">
      <c r="A218" t="s">
        <v>45</v>
      </c>
      <c r="B218" t="s">
        <v>46</v>
      </c>
      <c r="C218" t="s">
        <v>45</v>
      </c>
      <c r="D218" t="s">
        <v>68</v>
      </c>
      <c r="F218" t="str">
        <f>"253158"</f>
        <v>253158</v>
      </c>
      <c r="G218" t="s">
        <v>49</v>
      </c>
      <c r="H218" t="s">
        <v>214</v>
      </c>
      <c r="I218" t="s">
        <v>264</v>
      </c>
      <c r="K218" t="s">
        <v>51</v>
      </c>
      <c r="L218" t="s">
        <v>52</v>
      </c>
      <c r="M218">
        <v>135262.54999999999</v>
      </c>
      <c r="N218">
        <v>475273.54</v>
      </c>
      <c r="O218" t="s">
        <v>53</v>
      </c>
      <c r="P218" t="s">
        <v>54</v>
      </c>
      <c r="Q218" t="s">
        <v>55</v>
      </c>
      <c r="T218" t="s">
        <v>81</v>
      </c>
      <c r="U218">
        <v>40</v>
      </c>
      <c r="V218" s="1">
        <v>34700</v>
      </c>
      <c r="W218" s="1">
        <v>34700</v>
      </c>
      <c r="X218" s="1">
        <v>34700</v>
      </c>
      <c r="Y218" s="1">
        <v>49310</v>
      </c>
      <c r="Z218" t="s">
        <v>51</v>
      </c>
      <c r="AB218" t="s">
        <v>54</v>
      </c>
      <c r="AC218">
        <v>1</v>
      </c>
      <c r="AE218" t="s">
        <v>84</v>
      </c>
      <c r="AF218">
        <v>20</v>
      </c>
      <c r="AG218" s="1">
        <v>34700</v>
      </c>
      <c r="AH218" s="1">
        <v>34700</v>
      </c>
      <c r="AI218" s="1">
        <v>34700</v>
      </c>
      <c r="AJ218" s="1">
        <v>42005</v>
      </c>
      <c r="AK218" t="s">
        <v>51</v>
      </c>
      <c r="AN218">
        <v>0</v>
      </c>
      <c r="AO218" t="s">
        <v>54</v>
      </c>
      <c r="AP218" t="s">
        <v>53</v>
      </c>
      <c r="AQ218">
        <v>0</v>
      </c>
      <c r="AR218" t="s">
        <v>53</v>
      </c>
      <c r="AS218">
        <v>0</v>
      </c>
      <c r="AT218">
        <v>0</v>
      </c>
      <c r="BK218" t="s">
        <v>85</v>
      </c>
      <c r="BL218">
        <v>50000</v>
      </c>
      <c r="BM218" s="1">
        <v>44341</v>
      </c>
      <c r="BN218" s="1">
        <v>44341</v>
      </c>
      <c r="BO218" s="1">
        <v>44341</v>
      </c>
      <c r="BP218" s="1">
        <v>48573</v>
      </c>
      <c r="BQ218" t="s">
        <v>51</v>
      </c>
      <c r="BS218" t="s">
        <v>60</v>
      </c>
      <c r="BT218" t="s">
        <v>54</v>
      </c>
      <c r="BU218" t="s">
        <v>61</v>
      </c>
      <c r="BV218" t="s">
        <v>86</v>
      </c>
      <c r="BX218">
        <v>13</v>
      </c>
      <c r="BY218">
        <v>1430</v>
      </c>
      <c r="BZ218">
        <v>0</v>
      </c>
    </row>
    <row r="219" spans="1:78" x14ac:dyDescent="0.2">
      <c r="A219" t="s">
        <v>45</v>
      </c>
      <c r="B219" t="s">
        <v>46</v>
      </c>
      <c r="C219" t="s">
        <v>45</v>
      </c>
      <c r="D219" t="s">
        <v>68</v>
      </c>
      <c r="F219" t="str">
        <f>"253159"</f>
        <v>253159</v>
      </c>
      <c r="G219" t="s">
        <v>49</v>
      </c>
      <c r="K219" t="s">
        <v>51</v>
      </c>
      <c r="L219" t="s">
        <v>52</v>
      </c>
      <c r="M219">
        <v>135254.38</v>
      </c>
      <c r="N219">
        <v>475249.96</v>
      </c>
      <c r="O219" t="s">
        <v>53</v>
      </c>
      <c r="P219" t="s">
        <v>54</v>
      </c>
      <c r="Q219" t="s">
        <v>55</v>
      </c>
      <c r="T219" t="s">
        <v>81</v>
      </c>
      <c r="U219">
        <v>40</v>
      </c>
      <c r="V219" s="1">
        <v>34700</v>
      </c>
      <c r="W219" s="1">
        <v>34700</v>
      </c>
      <c r="X219" s="1">
        <v>34700</v>
      </c>
      <c r="Y219" s="1">
        <v>49310</v>
      </c>
      <c r="Z219" t="s">
        <v>51</v>
      </c>
      <c r="AB219" t="s">
        <v>54</v>
      </c>
      <c r="AC219">
        <v>1</v>
      </c>
      <c r="AE219" t="s">
        <v>84</v>
      </c>
      <c r="AF219">
        <v>20</v>
      </c>
      <c r="AG219" s="1">
        <v>34700</v>
      </c>
      <c r="AH219" s="1">
        <v>34700</v>
      </c>
      <c r="AI219" s="1">
        <v>34700</v>
      </c>
      <c r="AJ219" s="1">
        <v>42005</v>
      </c>
      <c r="AK219" t="s">
        <v>51</v>
      </c>
      <c r="AN219">
        <v>0</v>
      </c>
      <c r="AO219" t="s">
        <v>54</v>
      </c>
      <c r="AP219" t="s">
        <v>53</v>
      </c>
      <c r="AQ219">
        <v>0</v>
      </c>
      <c r="AR219" t="s">
        <v>53</v>
      </c>
      <c r="AS219">
        <v>0</v>
      </c>
      <c r="AT219">
        <v>0</v>
      </c>
      <c r="BK219" t="s">
        <v>85</v>
      </c>
      <c r="BL219">
        <v>50000</v>
      </c>
      <c r="BM219" s="1">
        <v>44341</v>
      </c>
      <c r="BN219" s="1">
        <v>44341</v>
      </c>
      <c r="BO219" s="1">
        <v>44341</v>
      </c>
      <c r="BP219" s="1">
        <v>48573</v>
      </c>
      <c r="BQ219" t="s">
        <v>51</v>
      </c>
      <c r="BS219" t="s">
        <v>60</v>
      </c>
      <c r="BT219" t="s">
        <v>54</v>
      </c>
      <c r="BU219" t="s">
        <v>61</v>
      </c>
      <c r="BV219" t="s">
        <v>86</v>
      </c>
      <c r="BX219">
        <v>13</v>
      </c>
      <c r="BY219">
        <v>1430</v>
      </c>
      <c r="BZ219">
        <v>0</v>
      </c>
    </row>
    <row r="220" spans="1:78" x14ac:dyDescent="0.2">
      <c r="A220" t="s">
        <v>45</v>
      </c>
      <c r="B220" t="s">
        <v>46</v>
      </c>
      <c r="C220" t="s">
        <v>47</v>
      </c>
      <c r="D220" t="s">
        <v>265</v>
      </c>
      <c r="F220" t="str">
        <f>"254348"</f>
        <v>254348</v>
      </c>
      <c r="G220" t="s">
        <v>49</v>
      </c>
      <c r="H220" t="s">
        <v>266</v>
      </c>
      <c r="K220" t="s">
        <v>51</v>
      </c>
      <c r="L220" t="s">
        <v>52</v>
      </c>
      <c r="M220">
        <v>135268.01999999999</v>
      </c>
      <c r="N220">
        <v>475241.91</v>
      </c>
      <c r="O220" t="s">
        <v>53</v>
      </c>
      <c r="P220" t="s">
        <v>54</v>
      </c>
      <c r="Q220" t="s">
        <v>55</v>
      </c>
      <c r="T220" t="s">
        <v>100</v>
      </c>
      <c r="U220">
        <v>40</v>
      </c>
      <c r="V220" s="1">
        <v>35065</v>
      </c>
      <c r="W220" s="1">
        <v>35065</v>
      </c>
      <c r="X220" s="1">
        <v>35065</v>
      </c>
      <c r="Y220" s="1">
        <v>49675</v>
      </c>
      <c r="Z220" t="s">
        <v>51</v>
      </c>
      <c r="AB220" t="s">
        <v>54</v>
      </c>
      <c r="AC220">
        <v>1</v>
      </c>
      <c r="AE220" t="s">
        <v>222</v>
      </c>
      <c r="AF220">
        <v>20</v>
      </c>
      <c r="AG220" s="1">
        <v>35065</v>
      </c>
      <c r="AH220" s="1">
        <v>35065</v>
      </c>
      <c r="AI220" s="1">
        <v>35065</v>
      </c>
      <c r="AJ220" s="1">
        <v>42370</v>
      </c>
      <c r="AK220" t="s">
        <v>51</v>
      </c>
      <c r="AN220">
        <v>0</v>
      </c>
      <c r="AO220" t="s">
        <v>54</v>
      </c>
      <c r="AP220" t="s">
        <v>53</v>
      </c>
      <c r="AQ220">
        <v>0</v>
      </c>
      <c r="AR220" t="s">
        <v>53</v>
      </c>
      <c r="AS220">
        <v>0</v>
      </c>
      <c r="AT220">
        <v>0</v>
      </c>
      <c r="BK220" t="s">
        <v>85</v>
      </c>
      <c r="BL220">
        <v>50000</v>
      </c>
      <c r="BM220" s="1">
        <v>44341</v>
      </c>
      <c r="BN220" s="1">
        <v>44341</v>
      </c>
      <c r="BO220" s="1">
        <v>44341</v>
      </c>
      <c r="BP220" s="1">
        <v>48573</v>
      </c>
      <c r="BQ220" t="s">
        <v>51</v>
      </c>
      <c r="BS220" t="s">
        <v>60</v>
      </c>
      <c r="BT220" t="s">
        <v>54</v>
      </c>
      <c r="BU220" t="s">
        <v>61</v>
      </c>
      <c r="BV220" t="s">
        <v>86</v>
      </c>
      <c r="BX220">
        <v>13</v>
      </c>
      <c r="BY220">
        <v>1430</v>
      </c>
      <c r="BZ220">
        <v>0</v>
      </c>
    </row>
    <row r="221" spans="1:78" x14ac:dyDescent="0.2">
      <c r="A221" t="s">
        <v>45</v>
      </c>
      <c r="B221" t="s">
        <v>46</v>
      </c>
      <c r="C221" t="s">
        <v>47</v>
      </c>
      <c r="D221" t="s">
        <v>265</v>
      </c>
      <c r="F221" t="str">
        <f>"253161"</f>
        <v>253161</v>
      </c>
      <c r="G221" t="s">
        <v>49</v>
      </c>
      <c r="H221" t="s">
        <v>267</v>
      </c>
      <c r="K221" t="s">
        <v>51</v>
      </c>
      <c r="L221" t="s">
        <v>52</v>
      </c>
      <c r="M221">
        <v>135288.35</v>
      </c>
      <c r="N221">
        <v>475230.84</v>
      </c>
      <c r="O221" t="s">
        <v>53</v>
      </c>
      <c r="P221" t="s">
        <v>54</v>
      </c>
      <c r="Q221" t="s">
        <v>55</v>
      </c>
      <c r="T221" t="s">
        <v>100</v>
      </c>
      <c r="U221">
        <v>40</v>
      </c>
      <c r="V221" s="1">
        <v>35065</v>
      </c>
      <c r="W221" s="1">
        <v>35065</v>
      </c>
      <c r="X221" s="1">
        <v>35065</v>
      </c>
      <c r="Y221" s="1">
        <v>49675</v>
      </c>
      <c r="Z221" t="s">
        <v>51</v>
      </c>
      <c r="AB221" t="s">
        <v>54</v>
      </c>
      <c r="AC221">
        <v>1</v>
      </c>
      <c r="AE221" t="s">
        <v>222</v>
      </c>
      <c r="AF221">
        <v>20</v>
      </c>
      <c r="AG221" s="1">
        <v>35065</v>
      </c>
      <c r="AH221" s="1">
        <v>35065</v>
      </c>
      <c r="AI221" s="1">
        <v>35065</v>
      </c>
      <c r="AJ221" s="1">
        <v>42370</v>
      </c>
      <c r="AK221" t="s">
        <v>51</v>
      </c>
      <c r="AN221">
        <v>0</v>
      </c>
      <c r="AO221" t="s">
        <v>54</v>
      </c>
      <c r="AP221" t="s">
        <v>53</v>
      </c>
      <c r="AQ221">
        <v>0</v>
      </c>
      <c r="AR221" t="s">
        <v>53</v>
      </c>
      <c r="AS221">
        <v>0</v>
      </c>
      <c r="AT221">
        <v>0</v>
      </c>
      <c r="BK221" t="s">
        <v>85</v>
      </c>
      <c r="BL221">
        <v>50000</v>
      </c>
      <c r="BM221" s="1">
        <v>44341</v>
      </c>
      <c r="BN221" s="1">
        <v>44341</v>
      </c>
      <c r="BO221" s="1">
        <v>44341</v>
      </c>
      <c r="BP221" s="1">
        <v>48573</v>
      </c>
      <c r="BQ221" t="s">
        <v>51</v>
      </c>
      <c r="BS221" t="s">
        <v>60</v>
      </c>
      <c r="BT221" t="s">
        <v>54</v>
      </c>
      <c r="BU221" t="s">
        <v>61</v>
      </c>
      <c r="BV221" t="s">
        <v>86</v>
      </c>
      <c r="BX221">
        <v>13</v>
      </c>
      <c r="BY221">
        <v>1430</v>
      </c>
      <c r="BZ221">
        <v>0</v>
      </c>
    </row>
    <row r="222" spans="1:78" x14ac:dyDescent="0.2">
      <c r="A222" t="s">
        <v>45</v>
      </c>
      <c r="B222" t="s">
        <v>46</v>
      </c>
      <c r="C222" t="s">
        <v>47</v>
      </c>
      <c r="D222" t="s">
        <v>265</v>
      </c>
      <c r="F222" t="str">
        <f>"253162"</f>
        <v>253162</v>
      </c>
      <c r="G222" t="s">
        <v>49</v>
      </c>
      <c r="H222" t="s">
        <v>268</v>
      </c>
      <c r="K222" t="s">
        <v>51</v>
      </c>
      <c r="L222" t="s">
        <v>52</v>
      </c>
      <c r="M222">
        <v>135309.07999999999</v>
      </c>
      <c r="N222">
        <v>475219.5</v>
      </c>
      <c r="O222" t="s">
        <v>53</v>
      </c>
      <c r="P222" t="s">
        <v>54</v>
      </c>
      <c r="Q222" t="s">
        <v>55</v>
      </c>
      <c r="T222" t="s">
        <v>269</v>
      </c>
      <c r="U222">
        <v>40</v>
      </c>
      <c r="V222" s="1">
        <v>35065</v>
      </c>
      <c r="W222" s="1">
        <v>35065</v>
      </c>
      <c r="X222" s="1">
        <v>35065</v>
      </c>
      <c r="Y222" s="1">
        <v>49675</v>
      </c>
      <c r="Z222" t="s">
        <v>51</v>
      </c>
      <c r="AB222" t="s">
        <v>54</v>
      </c>
      <c r="AC222">
        <v>1</v>
      </c>
      <c r="AE222" t="s">
        <v>222</v>
      </c>
      <c r="AF222">
        <v>20</v>
      </c>
      <c r="AG222" s="1">
        <v>35065</v>
      </c>
      <c r="AH222" s="1">
        <v>35065</v>
      </c>
      <c r="AI222" s="1">
        <v>35065</v>
      </c>
      <c r="AJ222" s="1">
        <v>42370</v>
      </c>
      <c r="AK222" t="s">
        <v>51</v>
      </c>
      <c r="AN222">
        <v>0</v>
      </c>
      <c r="AO222" t="s">
        <v>54</v>
      </c>
      <c r="AP222" t="s">
        <v>53</v>
      </c>
      <c r="AQ222">
        <v>0</v>
      </c>
      <c r="AR222" t="s">
        <v>53</v>
      </c>
      <c r="AS222">
        <v>0</v>
      </c>
      <c r="AT222">
        <v>0</v>
      </c>
      <c r="BK222" t="s">
        <v>85</v>
      </c>
      <c r="BL222">
        <v>50000</v>
      </c>
      <c r="BM222" s="1">
        <v>44341</v>
      </c>
      <c r="BN222" s="1">
        <v>44341</v>
      </c>
      <c r="BO222" s="1">
        <v>44341</v>
      </c>
      <c r="BP222" s="1">
        <v>48573</v>
      </c>
      <c r="BQ222" t="s">
        <v>51</v>
      </c>
      <c r="BS222" t="s">
        <v>60</v>
      </c>
      <c r="BT222" t="s">
        <v>54</v>
      </c>
      <c r="BU222" t="s">
        <v>61</v>
      </c>
      <c r="BV222" t="s">
        <v>86</v>
      </c>
      <c r="BX222">
        <v>13</v>
      </c>
      <c r="BY222">
        <v>1430</v>
      </c>
      <c r="BZ222">
        <v>0</v>
      </c>
    </row>
    <row r="223" spans="1:78" x14ac:dyDescent="0.2">
      <c r="A223" t="s">
        <v>45</v>
      </c>
      <c r="B223" t="s">
        <v>46</v>
      </c>
      <c r="C223" t="s">
        <v>47</v>
      </c>
      <c r="D223" t="s">
        <v>265</v>
      </c>
      <c r="F223" t="str">
        <f>"253163"</f>
        <v>253163</v>
      </c>
      <c r="G223" t="s">
        <v>49</v>
      </c>
      <c r="H223" t="s">
        <v>270</v>
      </c>
      <c r="K223" t="s">
        <v>51</v>
      </c>
      <c r="L223" t="s">
        <v>52</v>
      </c>
      <c r="M223">
        <v>135328.04</v>
      </c>
      <c r="N223">
        <v>475209.11</v>
      </c>
      <c r="O223" t="s">
        <v>53</v>
      </c>
      <c r="P223" t="s">
        <v>54</v>
      </c>
      <c r="Q223" t="s">
        <v>55</v>
      </c>
      <c r="T223" t="s">
        <v>100</v>
      </c>
      <c r="U223">
        <v>40</v>
      </c>
      <c r="V223" s="1">
        <v>35065</v>
      </c>
      <c r="W223" s="1">
        <v>35065</v>
      </c>
      <c r="X223" s="1">
        <v>35065</v>
      </c>
      <c r="Y223" s="1">
        <v>49675</v>
      </c>
      <c r="Z223" t="s">
        <v>51</v>
      </c>
      <c r="AB223" t="s">
        <v>54</v>
      </c>
      <c r="AC223">
        <v>1</v>
      </c>
      <c r="AE223" t="s">
        <v>222</v>
      </c>
      <c r="AF223">
        <v>20</v>
      </c>
      <c r="AG223" s="1">
        <v>35065</v>
      </c>
      <c r="AH223" s="1">
        <v>35065</v>
      </c>
      <c r="AI223" s="1">
        <v>35065</v>
      </c>
      <c r="AJ223" s="1">
        <v>42370</v>
      </c>
      <c r="AK223" t="s">
        <v>51</v>
      </c>
      <c r="AN223">
        <v>0</v>
      </c>
      <c r="AO223" t="s">
        <v>54</v>
      </c>
      <c r="AP223" t="s">
        <v>53</v>
      </c>
      <c r="AQ223">
        <v>0</v>
      </c>
      <c r="AR223" t="s">
        <v>53</v>
      </c>
      <c r="AS223">
        <v>0</v>
      </c>
      <c r="AT223">
        <v>0</v>
      </c>
      <c r="BK223" t="s">
        <v>85</v>
      </c>
      <c r="BL223">
        <v>50000</v>
      </c>
      <c r="BM223" s="1">
        <v>44341</v>
      </c>
      <c r="BN223" s="1">
        <v>44341</v>
      </c>
      <c r="BO223" s="1">
        <v>44341</v>
      </c>
      <c r="BP223" s="1">
        <v>48573</v>
      </c>
      <c r="BQ223" t="s">
        <v>51</v>
      </c>
      <c r="BS223" t="s">
        <v>60</v>
      </c>
      <c r="BT223" t="s">
        <v>54</v>
      </c>
      <c r="BU223" t="s">
        <v>61</v>
      </c>
      <c r="BV223" t="s">
        <v>86</v>
      </c>
      <c r="BX223">
        <v>13</v>
      </c>
      <c r="BY223">
        <v>1430</v>
      </c>
      <c r="BZ223">
        <v>0</v>
      </c>
    </row>
    <row r="224" spans="1:78" x14ac:dyDescent="0.2">
      <c r="A224" t="s">
        <v>45</v>
      </c>
      <c r="B224" t="s">
        <v>46</v>
      </c>
      <c r="C224" t="s">
        <v>47</v>
      </c>
      <c r="D224" t="s">
        <v>271</v>
      </c>
      <c r="F224" t="str">
        <f>"253164"</f>
        <v>253164</v>
      </c>
      <c r="G224" t="s">
        <v>49</v>
      </c>
      <c r="H224" t="s">
        <v>272</v>
      </c>
      <c r="K224" t="s">
        <v>51</v>
      </c>
      <c r="L224" t="s">
        <v>52</v>
      </c>
      <c r="M224">
        <v>135315.20000000001</v>
      </c>
      <c r="N224">
        <v>475196.29</v>
      </c>
      <c r="O224" t="s">
        <v>53</v>
      </c>
      <c r="P224" t="s">
        <v>54</v>
      </c>
      <c r="Q224" t="s">
        <v>55</v>
      </c>
      <c r="T224" t="s">
        <v>100</v>
      </c>
      <c r="U224">
        <v>40</v>
      </c>
      <c r="V224" s="1">
        <v>25569</v>
      </c>
      <c r="W224" s="1">
        <v>25569</v>
      </c>
      <c r="X224" s="1">
        <v>25569</v>
      </c>
      <c r="Y224" s="1">
        <v>40179</v>
      </c>
      <c r="Z224" t="s">
        <v>51</v>
      </c>
      <c r="AB224" t="s">
        <v>54</v>
      </c>
      <c r="AC224">
        <v>1</v>
      </c>
      <c r="AE224" t="s">
        <v>222</v>
      </c>
      <c r="AF224">
        <v>20</v>
      </c>
      <c r="AG224" s="1">
        <v>36161</v>
      </c>
      <c r="AH224" s="1">
        <v>36161</v>
      </c>
      <c r="AI224" s="1">
        <v>36161</v>
      </c>
      <c r="AJ224" s="1">
        <v>43466</v>
      </c>
      <c r="AK224" t="s">
        <v>51</v>
      </c>
      <c r="AN224">
        <v>0</v>
      </c>
      <c r="AO224" t="s">
        <v>54</v>
      </c>
      <c r="AP224" t="s">
        <v>53</v>
      </c>
      <c r="AQ224">
        <v>0</v>
      </c>
      <c r="AR224" t="s">
        <v>53</v>
      </c>
      <c r="AS224">
        <v>0</v>
      </c>
      <c r="AT224">
        <v>0</v>
      </c>
      <c r="BK224" t="s">
        <v>85</v>
      </c>
      <c r="BL224">
        <v>50000</v>
      </c>
      <c r="BM224" s="1">
        <v>44341</v>
      </c>
      <c r="BN224" s="1">
        <v>44341</v>
      </c>
      <c r="BO224" s="1">
        <v>44341</v>
      </c>
      <c r="BP224" s="1">
        <v>48573</v>
      </c>
      <c r="BQ224" t="s">
        <v>51</v>
      </c>
      <c r="BS224" t="s">
        <v>60</v>
      </c>
      <c r="BT224" t="s">
        <v>54</v>
      </c>
      <c r="BU224" t="s">
        <v>61</v>
      </c>
      <c r="BV224" t="s">
        <v>86</v>
      </c>
      <c r="BX224">
        <v>13</v>
      </c>
      <c r="BY224">
        <v>1430</v>
      </c>
      <c r="BZ224">
        <v>0</v>
      </c>
    </row>
    <row r="225" spans="1:78" x14ac:dyDescent="0.2">
      <c r="A225" t="s">
        <v>45</v>
      </c>
      <c r="B225" t="s">
        <v>46</v>
      </c>
      <c r="C225" t="s">
        <v>47</v>
      </c>
      <c r="D225" t="s">
        <v>271</v>
      </c>
      <c r="F225" t="str">
        <f>"253165"</f>
        <v>253165</v>
      </c>
      <c r="G225" t="s">
        <v>49</v>
      </c>
      <c r="H225" t="s">
        <v>273</v>
      </c>
      <c r="K225" t="s">
        <v>51</v>
      </c>
      <c r="L225" t="s">
        <v>52</v>
      </c>
      <c r="M225">
        <v>135307.20000000001</v>
      </c>
      <c r="N225">
        <v>475179.9</v>
      </c>
      <c r="O225" t="s">
        <v>53</v>
      </c>
      <c r="P225" t="s">
        <v>54</v>
      </c>
      <c r="Q225" t="s">
        <v>55</v>
      </c>
      <c r="T225" t="s">
        <v>100</v>
      </c>
      <c r="U225">
        <v>40</v>
      </c>
      <c r="V225" s="1">
        <v>25569</v>
      </c>
      <c r="W225" s="1">
        <v>25569</v>
      </c>
      <c r="X225" s="1">
        <v>25569</v>
      </c>
      <c r="Y225" s="1">
        <v>40179</v>
      </c>
      <c r="Z225" t="s">
        <v>51</v>
      </c>
      <c r="AB225" t="s">
        <v>54</v>
      </c>
      <c r="AC225">
        <v>1</v>
      </c>
      <c r="AE225" t="s">
        <v>222</v>
      </c>
      <c r="AF225">
        <v>20</v>
      </c>
      <c r="AG225" s="1">
        <v>35065</v>
      </c>
      <c r="AH225" s="1">
        <v>35065</v>
      </c>
      <c r="AI225" s="1">
        <v>35065</v>
      </c>
      <c r="AJ225" s="1">
        <v>42370</v>
      </c>
      <c r="AK225" t="s">
        <v>51</v>
      </c>
      <c r="AN225">
        <v>0</v>
      </c>
      <c r="AO225" t="s">
        <v>54</v>
      </c>
      <c r="AP225" t="s">
        <v>53</v>
      </c>
      <c r="AQ225">
        <v>0</v>
      </c>
      <c r="AR225" t="s">
        <v>53</v>
      </c>
      <c r="AS225">
        <v>0</v>
      </c>
      <c r="AT225">
        <v>0</v>
      </c>
      <c r="BK225" t="s">
        <v>85</v>
      </c>
      <c r="BL225">
        <v>50000</v>
      </c>
      <c r="BM225" s="1">
        <v>44341</v>
      </c>
      <c r="BN225" s="1">
        <v>44341</v>
      </c>
      <c r="BO225" s="1">
        <v>44341</v>
      </c>
      <c r="BP225" s="1">
        <v>48573</v>
      </c>
      <c r="BQ225" t="s">
        <v>51</v>
      </c>
      <c r="BS225" t="s">
        <v>60</v>
      </c>
      <c r="BT225" t="s">
        <v>54</v>
      </c>
      <c r="BU225" t="s">
        <v>61</v>
      </c>
      <c r="BV225" t="s">
        <v>86</v>
      </c>
      <c r="BX225">
        <v>13</v>
      </c>
      <c r="BY225">
        <v>1430</v>
      </c>
      <c r="BZ225">
        <v>0</v>
      </c>
    </row>
    <row r="226" spans="1:78" x14ac:dyDescent="0.2">
      <c r="A226" t="s">
        <v>45</v>
      </c>
      <c r="B226" t="s">
        <v>46</v>
      </c>
      <c r="C226" t="s">
        <v>47</v>
      </c>
      <c r="D226" t="s">
        <v>271</v>
      </c>
      <c r="F226" t="str">
        <f>"253166"</f>
        <v>253166</v>
      </c>
      <c r="G226" t="s">
        <v>49</v>
      </c>
      <c r="H226">
        <v>9</v>
      </c>
      <c r="I226" t="s">
        <v>274</v>
      </c>
      <c r="K226" t="s">
        <v>51</v>
      </c>
      <c r="L226" t="s">
        <v>52</v>
      </c>
      <c r="M226">
        <v>135300.5</v>
      </c>
      <c r="N226">
        <v>475166.17</v>
      </c>
      <c r="O226" t="s">
        <v>53</v>
      </c>
      <c r="P226" t="s">
        <v>54</v>
      </c>
      <c r="Q226" t="s">
        <v>55</v>
      </c>
      <c r="T226" t="s">
        <v>100</v>
      </c>
      <c r="U226">
        <v>40</v>
      </c>
      <c r="V226" s="1">
        <v>35065</v>
      </c>
      <c r="W226" s="1">
        <v>35065</v>
      </c>
      <c r="X226" s="1">
        <v>35065</v>
      </c>
      <c r="Y226" s="1">
        <v>49675</v>
      </c>
      <c r="Z226" t="s">
        <v>51</v>
      </c>
      <c r="AB226" t="s">
        <v>54</v>
      </c>
      <c r="AC226">
        <v>1</v>
      </c>
      <c r="AE226" t="s">
        <v>222</v>
      </c>
      <c r="AF226">
        <v>20</v>
      </c>
      <c r="AG226" s="1">
        <v>36161</v>
      </c>
      <c r="AH226" s="1">
        <v>36161</v>
      </c>
      <c r="AI226" s="1">
        <v>36161</v>
      </c>
      <c r="AJ226" s="1">
        <v>43466</v>
      </c>
      <c r="AK226" t="s">
        <v>51</v>
      </c>
      <c r="AN226">
        <v>0</v>
      </c>
      <c r="AO226" t="s">
        <v>54</v>
      </c>
      <c r="AP226" t="s">
        <v>53</v>
      </c>
      <c r="AQ226">
        <v>0</v>
      </c>
      <c r="AR226" t="s">
        <v>53</v>
      </c>
      <c r="AS226">
        <v>0</v>
      </c>
      <c r="AT226">
        <v>0</v>
      </c>
      <c r="BK226" t="s">
        <v>85</v>
      </c>
      <c r="BL226">
        <v>50000</v>
      </c>
      <c r="BM226" s="1">
        <v>44341</v>
      </c>
      <c r="BN226" s="1">
        <v>44341</v>
      </c>
      <c r="BO226" s="1">
        <v>44341</v>
      </c>
      <c r="BP226" s="1">
        <v>48573</v>
      </c>
      <c r="BQ226" t="s">
        <v>51</v>
      </c>
      <c r="BS226" t="s">
        <v>60</v>
      </c>
      <c r="BT226" t="s">
        <v>54</v>
      </c>
      <c r="BU226" t="s">
        <v>61</v>
      </c>
      <c r="BV226" t="s">
        <v>86</v>
      </c>
      <c r="BX226">
        <v>13</v>
      </c>
      <c r="BY226">
        <v>1430</v>
      </c>
      <c r="BZ226">
        <v>0</v>
      </c>
    </row>
    <row r="227" spans="1:78" x14ac:dyDescent="0.2">
      <c r="A227" t="s">
        <v>45</v>
      </c>
      <c r="B227" t="s">
        <v>46</v>
      </c>
      <c r="C227" t="s">
        <v>47</v>
      </c>
      <c r="D227" t="s">
        <v>271</v>
      </c>
      <c r="F227" t="str">
        <f>"253167"</f>
        <v>253167</v>
      </c>
      <c r="G227" t="s">
        <v>49</v>
      </c>
      <c r="H227" t="s">
        <v>275</v>
      </c>
      <c r="K227" t="s">
        <v>51</v>
      </c>
      <c r="L227" t="s">
        <v>52</v>
      </c>
      <c r="M227">
        <v>135291.93</v>
      </c>
      <c r="N227">
        <v>475148.48</v>
      </c>
      <c r="O227" t="s">
        <v>53</v>
      </c>
      <c r="P227" t="s">
        <v>54</v>
      </c>
      <c r="Q227" t="s">
        <v>55</v>
      </c>
      <c r="T227" t="s">
        <v>100</v>
      </c>
      <c r="U227">
        <v>40</v>
      </c>
      <c r="V227" s="1">
        <v>35065</v>
      </c>
      <c r="W227" s="1">
        <v>35065</v>
      </c>
      <c r="X227" s="1">
        <v>35065</v>
      </c>
      <c r="Y227" s="1">
        <v>49675</v>
      </c>
      <c r="Z227" t="s">
        <v>51</v>
      </c>
      <c r="AB227" t="s">
        <v>54</v>
      </c>
      <c r="AC227">
        <v>1</v>
      </c>
      <c r="AE227" t="s">
        <v>222</v>
      </c>
      <c r="AF227">
        <v>20</v>
      </c>
      <c r="AG227" s="1">
        <v>36161</v>
      </c>
      <c r="AH227" s="1">
        <v>36161</v>
      </c>
      <c r="AI227" s="1">
        <v>36161</v>
      </c>
      <c r="AJ227" s="1">
        <v>43466</v>
      </c>
      <c r="AK227" t="s">
        <v>51</v>
      </c>
      <c r="AN227">
        <v>0</v>
      </c>
      <c r="AO227" t="s">
        <v>54</v>
      </c>
      <c r="AP227" t="s">
        <v>53</v>
      </c>
      <c r="AQ227">
        <v>0</v>
      </c>
      <c r="AR227" t="s">
        <v>53</v>
      </c>
      <c r="AS227">
        <v>0</v>
      </c>
      <c r="AT227">
        <v>0</v>
      </c>
      <c r="BK227" t="s">
        <v>85</v>
      </c>
      <c r="BL227">
        <v>50000</v>
      </c>
      <c r="BM227" s="1">
        <v>44341</v>
      </c>
      <c r="BN227" s="1">
        <v>44341</v>
      </c>
      <c r="BO227" s="1">
        <v>44341</v>
      </c>
      <c r="BP227" s="1">
        <v>48573</v>
      </c>
      <c r="BQ227" t="s">
        <v>51</v>
      </c>
      <c r="BS227" t="s">
        <v>60</v>
      </c>
      <c r="BT227" t="s">
        <v>54</v>
      </c>
      <c r="BU227" t="s">
        <v>61</v>
      </c>
      <c r="BV227" t="s">
        <v>86</v>
      </c>
      <c r="BX227">
        <v>13</v>
      </c>
      <c r="BY227">
        <v>1430</v>
      </c>
      <c r="BZ227">
        <v>0</v>
      </c>
    </row>
    <row r="228" spans="1:78" x14ac:dyDescent="0.2">
      <c r="A228" t="s">
        <v>45</v>
      </c>
      <c r="B228" t="s">
        <v>46</v>
      </c>
      <c r="C228" t="s">
        <v>47</v>
      </c>
      <c r="D228" t="s">
        <v>271</v>
      </c>
      <c r="F228" t="str">
        <f>"253168"</f>
        <v>253168</v>
      </c>
      <c r="G228" t="s">
        <v>49</v>
      </c>
      <c r="H228" t="s">
        <v>95</v>
      </c>
      <c r="K228" t="s">
        <v>51</v>
      </c>
      <c r="L228" t="s">
        <v>52</v>
      </c>
      <c r="M228">
        <v>135285.92000000001</v>
      </c>
      <c r="N228">
        <v>475124.79</v>
      </c>
      <c r="O228" t="s">
        <v>53</v>
      </c>
      <c r="P228" t="s">
        <v>54</v>
      </c>
      <c r="Q228" t="s">
        <v>55</v>
      </c>
      <c r="T228" t="s">
        <v>100</v>
      </c>
      <c r="U228">
        <v>40</v>
      </c>
      <c r="V228" s="1">
        <v>27395</v>
      </c>
      <c r="W228" s="1">
        <v>27395</v>
      </c>
      <c r="X228" s="1">
        <v>27395</v>
      </c>
      <c r="Y228" s="1">
        <v>42005</v>
      </c>
      <c r="Z228" t="s">
        <v>51</v>
      </c>
      <c r="AB228" t="s">
        <v>54</v>
      </c>
      <c r="AC228">
        <v>1</v>
      </c>
      <c r="AE228" t="s">
        <v>222</v>
      </c>
      <c r="AF228">
        <v>20</v>
      </c>
      <c r="AG228" s="1">
        <v>35065</v>
      </c>
      <c r="AH228" s="1">
        <v>35065</v>
      </c>
      <c r="AI228" s="1">
        <v>35065</v>
      </c>
      <c r="AJ228" s="1">
        <v>42370</v>
      </c>
      <c r="AK228" t="s">
        <v>51</v>
      </c>
      <c r="AN228">
        <v>0</v>
      </c>
      <c r="AO228" t="s">
        <v>54</v>
      </c>
      <c r="AP228" t="s">
        <v>53</v>
      </c>
      <c r="AQ228">
        <v>0</v>
      </c>
      <c r="AR228" t="s">
        <v>53</v>
      </c>
      <c r="AS228">
        <v>0</v>
      </c>
      <c r="AT228">
        <v>0</v>
      </c>
      <c r="BK228" t="s">
        <v>85</v>
      </c>
      <c r="BL228">
        <v>50000</v>
      </c>
      <c r="BM228" s="1">
        <v>44341</v>
      </c>
      <c r="BN228" s="1">
        <v>44341</v>
      </c>
      <c r="BO228" s="1">
        <v>44341</v>
      </c>
      <c r="BP228" s="1">
        <v>48573</v>
      </c>
      <c r="BQ228" t="s">
        <v>51</v>
      </c>
      <c r="BS228" t="s">
        <v>60</v>
      </c>
      <c r="BT228" t="s">
        <v>54</v>
      </c>
      <c r="BU228" t="s">
        <v>61</v>
      </c>
      <c r="BV228" t="s">
        <v>86</v>
      </c>
      <c r="BX228">
        <v>13</v>
      </c>
      <c r="BY228">
        <v>1430</v>
      </c>
      <c r="BZ228">
        <v>0</v>
      </c>
    </row>
    <row r="229" spans="1:78" x14ac:dyDescent="0.2">
      <c r="A229" t="s">
        <v>45</v>
      </c>
      <c r="B229" t="s">
        <v>46</v>
      </c>
      <c r="C229" t="s">
        <v>47</v>
      </c>
      <c r="D229" t="s">
        <v>271</v>
      </c>
      <c r="F229" t="str">
        <f>"253169"</f>
        <v>253169</v>
      </c>
      <c r="G229" t="s">
        <v>49</v>
      </c>
      <c r="H229" t="s">
        <v>230</v>
      </c>
      <c r="K229" t="s">
        <v>51</v>
      </c>
      <c r="L229" t="s">
        <v>52</v>
      </c>
      <c r="M229">
        <v>135315.46</v>
      </c>
      <c r="N229">
        <v>475138.15</v>
      </c>
      <c r="O229" t="s">
        <v>53</v>
      </c>
      <c r="P229" t="s">
        <v>54</v>
      </c>
      <c r="Q229" t="s">
        <v>55</v>
      </c>
      <c r="T229" t="s">
        <v>100</v>
      </c>
      <c r="U229">
        <v>40</v>
      </c>
      <c r="V229" s="1">
        <v>25569</v>
      </c>
      <c r="W229" s="1">
        <v>25569</v>
      </c>
      <c r="X229" s="1">
        <v>25569</v>
      </c>
      <c r="Y229" s="1">
        <v>40179</v>
      </c>
      <c r="Z229" t="s">
        <v>51</v>
      </c>
      <c r="AB229" t="s">
        <v>54</v>
      </c>
      <c r="AC229">
        <v>1</v>
      </c>
      <c r="AE229" t="s">
        <v>222</v>
      </c>
      <c r="AF229">
        <v>20</v>
      </c>
      <c r="AG229" s="1">
        <v>36161</v>
      </c>
      <c r="AH229" s="1">
        <v>36161</v>
      </c>
      <c r="AI229" s="1">
        <v>36161</v>
      </c>
      <c r="AJ229" s="1">
        <v>43466</v>
      </c>
      <c r="AK229" t="s">
        <v>51</v>
      </c>
      <c r="AN229">
        <v>0</v>
      </c>
      <c r="AO229" t="s">
        <v>54</v>
      </c>
      <c r="AP229" t="s">
        <v>53</v>
      </c>
      <c r="AQ229">
        <v>0</v>
      </c>
      <c r="AR229" t="s">
        <v>53</v>
      </c>
      <c r="AS229">
        <v>0</v>
      </c>
      <c r="AT229">
        <v>0</v>
      </c>
      <c r="BK229" t="s">
        <v>85</v>
      </c>
      <c r="BL229">
        <v>50000</v>
      </c>
      <c r="BM229" s="1">
        <v>44341</v>
      </c>
      <c r="BN229" s="1">
        <v>44341</v>
      </c>
      <c r="BO229" s="1">
        <v>44341</v>
      </c>
      <c r="BP229" s="1">
        <v>48573</v>
      </c>
      <c r="BQ229" t="s">
        <v>51</v>
      </c>
      <c r="BS229" t="s">
        <v>60</v>
      </c>
      <c r="BT229" t="s">
        <v>54</v>
      </c>
      <c r="BU229" t="s">
        <v>61</v>
      </c>
      <c r="BV229" t="s">
        <v>86</v>
      </c>
      <c r="BX229">
        <v>13</v>
      </c>
      <c r="BY229">
        <v>1430</v>
      </c>
      <c r="BZ229">
        <v>0</v>
      </c>
    </row>
    <row r="230" spans="1:78" x14ac:dyDescent="0.2">
      <c r="A230" t="s">
        <v>45</v>
      </c>
      <c r="B230" t="s">
        <v>46</v>
      </c>
      <c r="C230" t="s">
        <v>47</v>
      </c>
      <c r="D230" t="s">
        <v>271</v>
      </c>
      <c r="F230" t="str">
        <f>"253170"</f>
        <v>253170</v>
      </c>
      <c r="G230" t="s">
        <v>49</v>
      </c>
      <c r="H230" t="s">
        <v>276</v>
      </c>
      <c r="K230" t="s">
        <v>51</v>
      </c>
      <c r="L230" t="s">
        <v>52</v>
      </c>
      <c r="M230">
        <v>135327.1</v>
      </c>
      <c r="N230">
        <v>475126.61</v>
      </c>
      <c r="O230" t="s">
        <v>53</v>
      </c>
      <c r="P230" t="s">
        <v>54</v>
      </c>
      <c r="Q230" t="s">
        <v>55</v>
      </c>
      <c r="T230" t="s">
        <v>100</v>
      </c>
      <c r="U230">
        <v>40</v>
      </c>
      <c r="V230" s="1">
        <v>35065</v>
      </c>
      <c r="W230" s="1">
        <v>35065</v>
      </c>
      <c r="X230" s="1">
        <v>35065</v>
      </c>
      <c r="Y230" s="1">
        <v>49675</v>
      </c>
      <c r="Z230" t="s">
        <v>51</v>
      </c>
      <c r="AB230" t="s">
        <v>54</v>
      </c>
      <c r="AC230">
        <v>1</v>
      </c>
      <c r="AE230" t="s">
        <v>222</v>
      </c>
      <c r="AF230">
        <v>20</v>
      </c>
      <c r="AG230" s="1">
        <v>36161</v>
      </c>
      <c r="AH230" s="1">
        <v>36161</v>
      </c>
      <c r="AI230" s="1">
        <v>36161</v>
      </c>
      <c r="AJ230" s="1">
        <v>43466</v>
      </c>
      <c r="AK230" t="s">
        <v>51</v>
      </c>
      <c r="AN230">
        <v>0</v>
      </c>
      <c r="AO230" t="s">
        <v>54</v>
      </c>
      <c r="AP230" t="s">
        <v>53</v>
      </c>
      <c r="AQ230">
        <v>0</v>
      </c>
      <c r="AR230" t="s">
        <v>53</v>
      </c>
      <c r="AS230">
        <v>0</v>
      </c>
      <c r="AT230">
        <v>0</v>
      </c>
      <c r="BK230" t="s">
        <v>85</v>
      </c>
      <c r="BL230">
        <v>50000</v>
      </c>
      <c r="BM230" s="1">
        <v>44341</v>
      </c>
      <c r="BN230" s="1">
        <v>44341</v>
      </c>
      <c r="BO230" s="1">
        <v>44341</v>
      </c>
      <c r="BP230" s="1">
        <v>48573</v>
      </c>
      <c r="BQ230" t="s">
        <v>51</v>
      </c>
      <c r="BS230" t="s">
        <v>60</v>
      </c>
      <c r="BT230" t="s">
        <v>54</v>
      </c>
      <c r="BU230" t="s">
        <v>61</v>
      </c>
      <c r="BV230" t="s">
        <v>86</v>
      </c>
      <c r="BX230">
        <v>13</v>
      </c>
      <c r="BY230">
        <v>1430</v>
      </c>
      <c r="BZ230">
        <v>0</v>
      </c>
    </row>
    <row r="231" spans="1:78" x14ac:dyDescent="0.2">
      <c r="A231" t="s">
        <v>45</v>
      </c>
      <c r="B231" t="s">
        <v>46</v>
      </c>
      <c r="C231" t="s">
        <v>47</v>
      </c>
      <c r="D231" t="s">
        <v>271</v>
      </c>
      <c r="F231" t="str">
        <f>"253171"</f>
        <v>253171</v>
      </c>
      <c r="G231" t="s">
        <v>49</v>
      </c>
      <c r="H231" t="s">
        <v>277</v>
      </c>
      <c r="K231" t="s">
        <v>51</v>
      </c>
      <c r="L231" t="s">
        <v>52</v>
      </c>
      <c r="M231">
        <v>135349.85999999999</v>
      </c>
      <c r="N231">
        <v>475115.98</v>
      </c>
      <c r="O231" t="s">
        <v>53</v>
      </c>
      <c r="P231" t="s">
        <v>54</v>
      </c>
      <c r="Q231" t="s">
        <v>55</v>
      </c>
      <c r="T231" t="s">
        <v>100</v>
      </c>
      <c r="U231">
        <v>40</v>
      </c>
      <c r="V231" s="1">
        <v>27395</v>
      </c>
      <c r="W231" s="1">
        <v>27395</v>
      </c>
      <c r="X231" s="1">
        <v>27395</v>
      </c>
      <c r="Y231" s="1">
        <v>42005</v>
      </c>
      <c r="Z231" t="s">
        <v>51</v>
      </c>
      <c r="AB231" t="s">
        <v>54</v>
      </c>
      <c r="AC231">
        <v>1</v>
      </c>
      <c r="AE231" t="s">
        <v>222</v>
      </c>
      <c r="AF231">
        <v>20</v>
      </c>
      <c r="AG231" s="1">
        <v>36161</v>
      </c>
      <c r="AH231" s="1">
        <v>36161</v>
      </c>
      <c r="AI231" s="1">
        <v>36161</v>
      </c>
      <c r="AJ231" s="1">
        <v>43466</v>
      </c>
      <c r="AK231" t="s">
        <v>51</v>
      </c>
      <c r="AN231">
        <v>0</v>
      </c>
      <c r="AO231" t="s">
        <v>54</v>
      </c>
      <c r="AP231" t="s">
        <v>53</v>
      </c>
      <c r="AQ231">
        <v>0</v>
      </c>
      <c r="AR231" t="s">
        <v>53</v>
      </c>
      <c r="AS231">
        <v>0</v>
      </c>
      <c r="AT231">
        <v>0</v>
      </c>
      <c r="BK231" t="s">
        <v>85</v>
      </c>
      <c r="BL231">
        <v>50000</v>
      </c>
      <c r="BM231" s="1">
        <v>44341</v>
      </c>
      <c r="BN231" s="1">
        <v>44341</v>
      </c>
      <c r="BO231" s="1">
        <v>44341</v>
      </c>
      <c r="BP231" s="1">
        <v>48573</v>
      </c>
      <c r="BQ231" t="s">
        <v>51</v>
      </c>
      <c r="BS231" t="s">
        <v>60</v>
      </c>
      <c r="BT231" t="s">
        <v>54</v>
      </c>
      <c r="BU231" t="s">
        <v>61</v>
      </c>
      <c r="BV231" t="s">
        <v>86</v>
      </c>
      <c r="BX231">
        <v>13</v>
      </c>
      <c r="BY231">
        <v>1430</v>
      </c>
      <c r="BZ231">
        <v>0</v>
      </c>
    </row>
    <row r="232" spans="1:78" x14ac:dyDescent="0.2">
      <c r="A232" t="s">
        <v>45</v>
      </c>
      <c r="B232" t="s">
        <v>46</v>
      </c>
      <c r="C232" t="s">
        <v>47</v>
      </c>
      <c r="D232" t="s">
        <v>271</v>
      </c>
      <c r="F232" t="str">
        <f>"253172"</f>
        <v>253172</v>
      </c>
      <c r="G232" t="s">
        <v>49</v>
      </c>
      <c r="H232" t="s">
        <v>278</v>
      </c>
      <c r="K232" t="s">
        <v>51</v>
      </c>
      <c r="L232" t="s">
        <v>52</v>
      </c>
      <c r="M232">
        <v>135340.65</v>
      </c>
      <c r="N232">
        <v>475135.03</v>
      </c>
      <c r="O232" t="s">
        <v>53</v>
      </c>
      <c r="P232" t="s">
        <v>54</v>
      </c>
      <c r="Q232" t="s">
        <v>55</v>
      </c>
      <c r="T232" t="s">
        <v>100</v>
      </c>
      <c r="U232">
        <v>40</v>
      </c>
      <c r="V232" s="1">
        <v>35065</v>
      </c>
      <c r="W232" s="1">
        <v>35065</v>
      </c>
      <c r="X232" s="1">
        <v>35065</v>
      </c>
      <c r="Y232" s="1">
        <v>49675</v>
      </c>
      <c r="Z232" t="s">
        <v>51</v>
      </c>
      <c r="AB232" t="s">
        <v>54</v>
      </c>
      <c r="AC232">
        <v>1</v>
      </c>
      <c r="AE232" t="s">
        <v>222</v>
      </c>
      <c r="AF232">
        <v>20</v>
      </c>
      <c r="AG232" s="1">
        <v>36161</v>
      </c>
      <c r="AH232" s="1">
        <v>36161</v>
      </c>
      <c r="AI232" s="1">
        <v>36161</v>
      </c>
      <c r="AJ232" s="1">
        <v>43466</v>
      </c>
      <c r="AK232" t="s">
        <v>51</v>
      </c>
      <c r="AN232">
        <v>0</v>
      </c>
      <c r="AO232" t="s">
        <v>54</v>
      </c>
      <c r="AP232" t="s">
        <v>53</v>
      </c>
      <c r="AQ232">
        <v>0</v>
      </c>
      <c r="AR232" t="s">
        <v>53</v>
      </c>
      <c r="AS232">
        <v>0</v>
      </c>
      <c r="AT232">
        <v>0</v>
      </c>
      <c r="BK232" t="s">
        <v>85</v>
      </c>
      <c r="BL232">
        <v>50000</v>
      </c>
      <c r="BM232" s="1">
        <v>44341</v>
      </c>
      <c r="BN232" s="1">
        <v>44341</v>
      </c>
      <c r="BO232" s="1">
        <v>44341</v>
      </c>
      <c r="BP232" s="1">
        <v>48573</v>
      </c>
      <c r="BQ232" t="s">
        <v>51</v>
      </c>
      <c r="BS232" t="s">
        <v>60</v>
      </c>
      <c r="BT232" t="s">
        <v>54</v>
      </c>
      <c r="BU232" t="s">
        <v>61</v>
      </c>
      <c r="BV232" t="s">
        <v>86</v>
      </c>
      <c r="BX232">
        <v>13</v>
      </c>
      <c r="BY232">
        <v>1430</v>
      </c>
      <c r="BZ232">
        <v>0</v>
      </c>
    </row>
    <row r="233" spans="1:78" x14ac:dyDescent="0.2">
      <c r="A233" t="s">
        <v>45</v>
      </c>
      <c r="B233" t="s">
        <v>46</v>
      </c>
      <c r="C233" t="s">
        <v>47</v>
      </c>
      <c r="D233" t="s">
        <v>271</v>
      </c>
      <c r="F233" t="str">
        <f>"253173"</f>
        <v>253173</v>
      </c>
      <c r="G233" t="s">
        <v>49</v>
      </c>
      <c r="H233" t="s">
        <v>126</v>
      </c>
      <c r="K233" t="s">
        <v>51</v>
      </c>
      <c r="L233" t="s">
        <v>52</v>
      </c>
      <c r="M233">
        <v>135362.85999999999</v>
      </c>
      <c r="N233">
        <v>475117.86</v>
      </c>
      <c r="O233" t="s">
        <v>53</v>
      </c>
      <c r="P233" t="s">
        <v>54</v>
      </c>
      <c r="Q233" t="s">
        <v>55</v>
      </c>
      <c r="T233" t="s">
        <v>100</v>
      </c>
      <c r="U233">
        <v>40</v>
      </c>
      <c r="V233" s="1">
        <v>25569</v>
      </c>
      <c r="W233" s="1">
        <v>25569</v>
      </c>
      <c r="X233" s="1">
        <v>25569</v>
      </c>
      <c r="Y233" s="1">
        <v>40179</v>
      </c>
      <c r="Z233" t="s">
        <v>51</v>
      </c>
      <c r="AB233" t="s">
        <v>54</v>
      </c>
      <c r="AC233">
        <v>1</v>
      </c>
      <c r="AE233" t="s">
        <v>222</v>
      </c>
      <c r="AF233">
        <v>20</v>
      </c>
      <c r="AG233" s="1">
        <v>36161</v>
      </c>
      <c r="AH233" s="1">
        <v>36161</v>
      </c>
      <c r="AI233" s="1">
        <v>36161</v>
      </c>
      <c r="AJ233" s="1">
        <v>43466</v>
      </c>
      <c r="AK233" t="s">
        <v>51</v>
      </c>
      <c r="AN233">
        <v>0</v>
      </c>
      <c r="AO233" t="s">
        <v>54</v>
      </c>
      <c r="AP233" t="s">
        <v>53</v>
      </c>
      <c r="AQ233">
        <v>0</v>
      </c>
      <c r="AR233" t="s">
        <v>53</v>
      </c>
      <c r="AS233">
        <v>0</v>
      </c>
      <c r="AT233">
        <v>0</v>
      </c>
      <c r="BK233" t="s">
        <v>85</v>
      </c>
      <c r="BL233">
        <v>50000</v>
      </c>
      <c r="BM233" s="1">
        <v>44341</v>
      </c>
      <c r="BN233" s="1">
        <v>44341</v>
      </c>
      <c r="BO233" s="1">
        <v>44341</v>
      </c>
      <c r="BP233" s="1">
        <v>48573</v>
      </c>
      <c r="BQ233" t="s">
        <v>51</v>
      </c>
      <c r="BS233" t="s">
        <v>60</v>
      </c>
      <c r="BT233" t="s">
        <v>54</v>
      </c>
      <c r="BU233" t="s">
        <v>61</v>
      </c>
      <c r="BV233" t="s">
        <v>86</v>
      </c>
      <c r="BX233">
        <v>13</v>
      </c>
      <c r="BY233">
        <v>1430</v>
      </c>
      <c r="BZ233">
        <v>0</v>
      </c>
    </row>
    <row r="234" spans="1:78" x14ac:dyDescent="0.2">
      <c r="A234" t="s">
        <v>45</v>
      </c>
      <c r="B234" t="s">
        <v>46</v>
      </c>
      <c r="C234" t="s">
        <v>47</v>
      </c>
      <c r="D234" t="s">
        <v>271</v>
      </c>
      <c r="F234" t="str">
        <f>"253174"</f>
        <v>253174</v>
      </c>
      <c r="G234" t="s">
        <v>49</v>
      </c>
      <c r="H234" t="s">
        <v>279</v>
      </c>
      <c r="K234" t="s">
        <v>51</v>
      </c>
      <c r="L234" t="s">
        <v>52</v>
      </c>
      <c r="M234">
        <v>135366.22</v>
      </c>
      <c r="N234">
        <v>475076.17</v>
      </c>
      <c r="O234" t="s">
        <v>53</v>
      </c>
      <c r="P234" t="s">
        <v>54</v>
      </c>
      <c r="Q234" t="s">
        <v>55</v>
      </c>
      <c r="T234" t="s">
        <v>100</v>
      </c>
      <c r="U234">
        <v>40</v>
      </c>
      <c r="V234" s="1">
        <v>27395</v>
      </c>
      <c r="W234" s="1">
        <v>27395</v>
      </c>
      <c r="X234" s="1">
        <v>27395</v>
      </c>
      <c r="Y234" s="1">
        <v>42005</v>
      </c>
      <c r="Z234" t="s">
        <v>51</v>
      </c>
      <c r="AB234" t="s">
        <v>54</v>
      </c>
      <c r="AC234">
        <v>1</v>
      </c>
      <c r="AE234" t="s">
        <v>222</v>
      </c>
      <c r="AF234">
        <v>20</v>
      </c>
      <c r="AG234" s="1">
        <v>36161</v>
      </c>
      <c r="AH234" s="1">
        <v>36161</v>
      </c>
      <c r="AI234" s="1">
        <v>36161</v>
      </c>
      <c r="AJ234" s="1">
        <v>43466</v>
      </c>
      <c r="AK234" t="s">
        <v>51</v>
      </c>
      <c r="AN234">
        <v>0</v>
      </c>
      <c r="AO234" t="s">
        <v>54</v>
      </c>
      <c r="AP234" t="s">
        <v>53</v>
      </c>
      <c r="AQ234">
        <v>0</v>
      </c>
      <c r="AR234" t="s">
        <v>53</v>
      </c>
      <c r="AS234">
        <v>0</v>
      </c>
      <c r="AT234">
        <v>0</v>
      </c>
      <c r="BK234" t="s">
        <v>85</v>
      </c>
      <c r="BL234">
        <v>50000</v>
      </c>
      <c r="BM234" s="1">
        <v>44341</v>
      </c>
      <c r="BN234" s="1">
        <v>44341</v>
      </c>
      <c r="BO234" s="1">
        <v>44341</v>
      </c>
      <c r="BP234" s="1">
        <v>48573</v>
      </c>
      <c r="BQ234" t="s">
        <v>51</v>
      </c>
      <c r="BS234" t="s">
        <v>60</v>
      </c>
      <c r="BT234" t="s">
        <v>54</v>
      </c>
      <c r="BU234" t="s">
        <v>61</v>
      </c>
      <c r="BV234" t="s">
        <v>86</v>
      </c>
      <c r="BX234">
        <v>13</v>
      </c>
      <c r="BY234">
        <v>1430</v>
      </c>
      <c r="BZ234">
        <v>0</v>
      </c>
    </row>
    <row r="235" spans="1:78" x14ac:dyDescent="0.2">
      <c r="A235" t="s">
        <v>45</v>
      </c>
      <c r="B235" t="s">
        <v>46</v>
      </c>
      <c r="C235" t="s">
        <v>47</v>
      </c>
      <c r="D235" t="s">
        <v>271</v>
      </c>
      <c r="F235" t="str">
        <f>"253175"</f>
        <v>253175</v>
      </c>
      <c r="G235" t="s">
        <v>49</v>
      </c>
      <c r="H235" t="s">
        <v>121</v>
      </c>
      <c r="K235" t="s">
        <v>51</v>
      </c>
      <c r="L235" t="s">
        <v>52</v>
      </c>
      <c r="M235">
        <v>135376.69</v>
      </c>
      <c r="N235">
        <v>475090.94</v>
      </c>
      <c r="O235" t="s">
        <v>53</v>
      </c>
      <c r="P235" t="s">
        <v>54</v>
      </c>
      <c r="Q235" t="s">
        <v>55</v>
      </c>
      <c r="T235" t="s">
        <v>100</v>
      </c>
      <c r="U235">
        <v>40</v>
      </c>
      <c r="V235" s="1">
        <v>27395</v>
      </c>
      <c r="W235" s="1">
        <v>27395</v>
      </c>
      <c r="X235" s="1">
        <v>27395</v>
      </c>
      <c r="Y235" s="1">
        <v>42005</v>
      </c>
      <c r="Z235" t="s">
        <v>51</v>
      </c>
      <c r="AB235" t="s">
        <v>54</v>
      </c>
      <c r="AC235">
        <v>1</v>
      </c>
      <c r="AE235" t="s">
        <v>222</v>
      </c>
      <c r="AF235">
        <v>20</v>
      </c>
      <c r="AG235" s="1">
        <v>36161</v>
      </c>
      <c r="AH235" s="1">
        <v>36161</v>
      </c>
      <c r="AI235" s="1">
        <v>36161</v>
      </c>
      <c r="AJ235" s="1">
        <v>43466</v>
      </c>
      <c r="AK235" t="s">
        <v>51</v>
      </c>
      <c r="AN235">
        <v>0</v>
      </c>
      <c r="AO235" t="s">
        <v>54</v>
      </c>
      <c r="AP235" t="s">
        <v>53</v>
      </c>
      <c r="AQ235">
        <v>0</v>
      </c>
      <c r="AR235" t="s">
        <v>53</v>
      </c>
      <c r="AS235">
        <v>0</v>
      </c>
      <c r="AT235">
        <v>0</v>
      </c>
      <c r="BK235" t="s">
        <v>85</v>
      </c>
      <c r="BL235">
        <v>50000</v>
      </c>
      <c r="BM235" s="1">
        <v>44341</v>
      </c>
      <c r="BN235" s="1">
        <v>44341</v>
      </c>
      <c r="BO235" s="1">
        <v>44341</v>
      </c>
      <c r="BP235" s="1">
        <v>48573</v>
      </c>
      <c r="BQ235" t="s">
        <v>51</v>
      </c>
      <c r="BS235" t="s">
        <v>60</v>
      </c>
      <c r="BT235" t="s">
        <v>54</v>
      </c>
      <c r="BU235" t="s">
        <v>61</v>
      </c>
      <c r="BV235" t="s">
        <v>86</v>
      </c>
      <c r="BX235">
        <v>13</v>
      </c>
      <c r="BY235">
        <v>1430</v>
      </c>
      <c r="BZ235">
        <v>0</v>
      </c>
    </row>
    <row r="236" spans="1:78" x14ac:dyDescent="0.2">
      <c r="A236" t="s">
        <v>45</v>
      </c>
      <c r="B236" t="s">
        <v>46</v>
      </c>
      <c r="C236" t="s">
        <v>47</v>
      </c>
      <c r="D236" t="s">
        <v>271</v>
      </c>
      <c r="F236" t="str">
        <f>"253176"</f>
        <v>253176</v>
      </c>
      <c r="G236" t="s">
        <v>49</v>
      </c>
      <c r="I236" t="s">
        <v>280</v>
      </c>
      <c r="K236" t="s">
        <v>51</v>
      </c>
      <c r="L236" t="s">
        <v>52</v>
      </c>
      <c r="M236">
        <v>135386.41</v>
      </c>
      <c r="N236">
        <v>475110.34</v>
      </c>
      <c r="O236" t="s">
        <v>53</v>
      </c>
      <c r="P236" t="s">
        <v>54</v>
      </c>
      <c r="Q236" t="s">
        <v>55</v>
      </c>
      <c r="T236" t="s">
        <v>100</v>
      </c>
      <c r="U236">
        <v>40</v>
      </c>
      <c r="V236" s="1">
        <v>25569</v>
      </c>
      <c r="W236" s="1">
        <v>25569</v>
      </c>
      <c r="X236" s="1">
        <v>25569</v>
      </c>
      <c r="Y236" s="1">
        <v>40179</v>
      </c>
      <c r="Z236" t="s">
        <v>51</v>
      </c>
      <c r="AB236" t="s">
        <v>54</v>
      </c>
      <c r="AC236">
        <v>1</v>
      </c>
      <c r="AE236" t="s">
        <v>222</v>
      </c>
      <c r="AF236">
        <v>20</v>
      </c>
      <c r="AG236" s="1">
        <v>36161</v>
      </c>
      <c r="AH236" s="1">
        <v>36161</v>
      </c>
      <c r="AI236" s="1">
        <v>36161</v>
      </c>
      <c r="AJ236" s="1">
        <v>43466</v>
      </c>
      <c r="AK236" t="s">
        <v>51</v>
      </c>
      <c r="AN236">
        <v>0</v>
      </c>
      <c r="AO236" t="s">
        <v>54</v>
      </c>
      <c r="AP236" t="s">
        <v>53</v>
      </c>
      <c r="AQ236">
        <v>0</v>
      </c>
      <c r="AR236" t="s">
        <v>53</v>
      </c>
      <c r="AS236">
        <v>0</v>
      </c>
      <c r="AT236">
        <v>0</v>
      </c>
      <c r="BK236" t="s">
        <v>85</v>
      </c>
      <c r="BL236">
        <v>50000</v>
      </c>
      <c r="BM236" s="1">
        <v>44341</v>
      </c>
      <c r="BN236" s="1">
        <v>44341</v>
      </c>
      <c r="BO236" s="1">
        <v>44341</v>
      </c>
      <c r="BP236" s="1">
        <v>48573</v>
      </c>
      <c r="BQ236" t="s">
        <v>51</v>
      </c>
      <c r="BS236" t="s">
        <v>60</v>
      </c>
      <c r="BT236" t="s">
        <v>54</v>
      </c>
      <c r="BU236" t="s">
        <v>61</v>
      </c>
      <c r="BV236" t="s">
        <v>86</v>
      </c>
      <c r="BX236">
        <v>13</v>
      </c>
      <c r="BY236">
        <v>1430</v>
      </c>
      <c r="BZ236">
        <v>0</v>
      </c>
    </row>
    <row r="237" spans="1:78" x14ac:dyDescent="0.2">
      <c r="A237" t="s">
        <v>45</v>
      </c>
      <c r="B237" t="s">
        <v>46</v>
      </c>
      <c r="C237" t="s">
        <v>47</v>
      </c>
      <c r="D237" t="s">
        <v>271</v>
      </c>
      <c r="F237" t="str">
        <f>"253177"</f>
        <v>253177</v>
      </c>
      <c r="G237" t="s">
        <v>49</v>
      </c>
      <c r="H237" t="s">
        <v>281</v>
      </c>
      <c r="K237" t="s">
        <v>51</v>
      </c>
      <c r="L237" t="s">
        <v>52</v>
      </c>
      <c r="M237">
        <v>135393.53</v>
      </c>
      <c r="N237">
        <v>475125.27</v>
      </c>
      <c r="O237" t="s">
        <v>53</v>
      </c>
      <c r="P237" t="s">
        <v>54</v>
      </c>
      <c r="Q237" t="s">
        <v>55</v>
      </c>
      <c r="T237" t="s">
        <v>100</v>
      </c>
      <c r="U237">
        <v>40</v>
      </c>
      <c r="V237" s="1">
        <v>18629</v>
      </c>
      <c r="W237" s="1">
        <v>18629</v>
      </c>
      <c r="X237" s="1">
        <v>18629</v>
      </c>
      <c r="Y237" s="1">
        <v>33239</v>
      </c>
      <c r="Z237" t="s">
        <v>51</v>
      </c>
      <c r="AB237" t="s">
        <v>54</v>
      </c>
      <c r="AC237">
        <v>1</v>
      </c>
      <c r="AE237" t="s">
        <v>222</v>
      </c>
      <c r="AF237">
        <v>20</v>
      </c>
      <c r="AG237" s="1">
        <v>36161</v>
      </c>
      <c r="AH237" s="1">
        <v>36161</v>
      </c>
      <c r="AI237" s="1">
        <v>36161</v>
      </c>
      <c r="AJ237" s="1">
        <v>43466</v>
      </c>
      <c r="AK237" t="s">
        <v>51</v>
      </c>
      <c r="AN237">
        <v>0</v>
      </c>
      <c r="AO237" t="s">
        <v>54</v>
      </c>
      <c r="AP237" t="s">
        <v>53</v>
      </c>
      <c r="AQ237">
        <v>0</v>
      </c>
      <c r="AR237" t="s">
        <v>53</v>
      </c>
      <c r="AS237">
        <v>0</v>
      </c>
      <c r="AT237">
        <v>0</v>
      </c>
      <c r="BK237" t="s">
        <v>85</v>
      </c>
      <c r="BL237">
        <v>50000</v>
      </c>
      <c r="BM237" s="1">
        <v>44341</v>
      </c>
      <c r="BN237" s="1">
        <v>44341</v>
      </c>
      <c r="BO237" s="1">
        <v>44341</v>
      </c>
      <c r="BP237" s="1">
        <v>48573</v>
      </c>
      <c r="BQ237" t="s">
        <v>51</v>
      </c>
      <c r="BS237" t="s">
        <v>60</v>
      </c>
      <c r="BT237" t="s">
        <v>54</v>
      </c>
      <c r="BU237" t="s">
        <v>61</v>
      </c>
      <c r="BV237" t="s">
        <v>86</v>
      </c>
      <c r="BX237">
        <v>13</v>
      </c>
      <c r="BY237">
        <v>1430</v>
      </c>
      <c r="BZ237">
        <v>0</v>
      </c>
    </row>
    <row r="238" spans="1:78" x14ac:dyDescent="0.2">
      <c r="A238" t="s">
        <v>45</v>
      </c>
      <c r="B238" t="s">
        <v>46</v>
      </c>
      <c r="C238" t="s">
        <v>47</v>
      </c>
      <c r="D238" t="s">
        <v>271</v>
      </c>
      <c r="F238" t="str">
        <f>"253178"</f>
        <v>253178</v>
      </c>
      <c r="G238" t="s">
        <v>49</v>
      </c>
      <c r="H238" t="s">
        <v>104</v>
      </c>
      <c r="K238" t="s">
        <v>51</v>
      </c>
      <c r="L238" t="s">
        <v>52</v>
      </c>
      <c r="M238">
        <v>135402.18</v>
      </c>
      <c r="N238">
        <v>475143.4</v>
      </c>
      <c r="O238" t="s">
        <v>53</v>
      </c>
      <c r="P238" t="s">
        <v>54</v>
      </c>
      <c r="Q238" t="s">
        <v>55</v>
      </c>
      <c r="T238" t="s">
        <v>100</v>
      </c>
      <c r="U238">
        <v>40</v>
      </c>
      <c r="V238" s="1">
        <v>25569</v>
      </c>
      <c r="W238" s="1">
        <v>25569</v>
      </c>
      <c r="X238" s="1">
        <v>25569</v>
      </c>
      <c r="Y238" s="1">
        <v>40179</v>
      </c>
      <c r="Z238" t="s">
        <v>51</v>
      </c>
      <c r="AB238" t="s">
        <v>54</v>
      </c>
      <c r="AC238">
        <v>1</v>
      </c>
      <c r="AE238" t="s">
        <v>222</v>
      </c>
      <c r="AF238">
        <v>20</v>
      </c>
      <c r="AG238" s="1">
        <v>36161</v>
      </c>
      <c r="AH238" s="1">
        <v>36161</v>
      </c>
      <c r="AI238" s="1">
        <v>36161</v>
      </c>
      <c r="AJ238" s="1">
        <v>43466</v>
      </c>
      <c r="AK238" t="s">
        <v>51</v>
      </c>
      <c r="AN238">
        <v>0</v>
      </c>
      <c r="AO238" t="s">
        <v>54</v>
      </c>
      <c r="AP238" t="s">
        <v>53</v>
      </c>
      <c r="AQ238">
        <v>0</v>
      </c>
      <c r="AR238" t="s">
        <v>53</v>
      </c>
      <c r="AS238">
        <v>0</v>
      </c>
      <c r="AT238">
        <v>0</v>
      </c>
      <c r="BK238" t="s">
        <v>85</v>
      </c>
      <c r="BL238">
        <v>50000</v>
      </c>
      <c r="BM238" s="1">
        <v>44341</v>
      </c>
      <c r="BN238" s="1">
        <v>44341</v>
      </c>
      <c r="BO238" s="1">
        <v>44341</v>
      </c>
      <c r="BP238" s="1">
        <v>48573</v>
      </c>
      <c r="BQ238" t="s">
        <v>51</v>
      </c>
      <c r="BS238" t="s">
        <v>60</v>
      </c>
      <c r="BT238" t="s">
        <v>54</v>
      </c>
      <c r="BU238" t="s">
        <v>61</v>
      </c>
      <c r="BV238" t="s">
        <v>86</v>
      </c>
      <c r="BX238">
        <v>13</v>
      </c>
      <c r="BY238">
        <v>1430</v>
      </c>
      <c r="BZ238">
        <v>0</v>
      </c>
    </row>
    <row r="239" spans="1:78" x14ac:dyDescent="0.2">
      <c r="A239" t="s">
        <v>45</v>
      </c>
      <c r="B239" t="s">
        <v>46</v>
      </c>
      <c r="C239" t="s">
        <v>47</v>
      </c>
      <c r="D239" t="s">
        <v>265</v>
      </c>
      <c r="F239" t="str">
        <f>"253179"</f>
        <v>253179</v>
      </c>
      <c r="G239" t="s">
        <v>49</v>
      </c>
      <c r="H239" t="s">
        <v>93</v>
      </c>
      <c r="K239" t="s">
        <v>51</v>
      </c>
      <c r="L239" t="s">
        <v>52</v>
      </c>
      <c r="M239">
        <v>135404.51999999999</v>
      </c>
      <c r="N239">
        <v>475170.19</v>
      </c>
      <c r="O239" t="s">
        <v>53</v>
      </c>
      <c r="P239" t="s">
        <v>54</v>
      </c>
      <c r="Q239" t="s">
        <v>55</v>
      </c>
      <c r="T239" t="s">
        <v>100</v>
      </c>
      <c r="U239">
        <v>40</v>
      </c>
      <c r="V239" s="1">
        <v>35065</v>
      </c>
      <c r="W239" s="1">
        <v>35065</v>
      </c>
      <c r="X239" s="1">
        <v>35065</v>
      </c>
      <c r="Y239" s="1">
        <v>49675</v>
      </c>
      <c r="Z239" t="s">
        <v>51</v>
      </c>
      <c r="AB239" t="s">
        <v>54</v>
      </c>
      <c r="AC239">
        <v>1</v>
      </c>
      <c r="AE239" t="s">
        <v>222</v>
      </c>
      <c r="AF239">
        <v>20</v>
      </c>
      <c r="AG239" s="1">
        <v>36161</v>
      </c>
      <c r="AH239" s="1">
        <v>36161</v>
      </c>
      <c r="AI239" s="1">
        <v>36161</v>
      </c>
      <c r="AJ239" s="1">
        <v>43466</v>
      </c>
      <c r="AK239" t="s">
        <v>51</v>
      </c>
      <c r="AN239">
        <v>0</v>
      </c>
      <c r="AO239" t="s">
        <v>54</v>
      </c>
      <c r="AP239" t="s">
        <v>53</v>
      </c>
      <c r="AQ239">
        <v>0</v>
      </c>
      <c r="AR239" t="s">
        <v>53</v>
      </c>
      <c r="AS239">
        <v>0</v>
      </c>
      <c r="AT239">
        <v>0</v>
      </c>
      <c r="BK239" t="s">
        <v>85</v>
      </c>
      <c r="BL239">
        <v>50000</v>
      </c>
      <c r="BM239" s="1">
        <v>44341</v>
      </c>
      <c r="BN239" s="1">
        <v>44341</v>
      </c>
      <c r="BO239" s="1">
        <v>44341</v>
      </c>
      <c r="BP239" s="1">
        <v>48573</v>
      </c>
      <c r="BQ239" t="s">
        <v>51</v>
      </c>
      <c r="BS239" t="s">
        <v>60</v>
      </c>
      <c r="BT239" t="s">
        <v>54</v>
      </c>
      <c r="BU239" t="s">
        <v>61</v>
      </c>
      <c r="BV239" t="s">
        <v>86</v>
      </c>
      <c r="BX239">
        <v>13</v>
      </c>
      <c r="BY239">
        <v>1430</v>
      </c>
      <c r="BZ239">
        <v>0</v>
      </c>
    </row>
    <row r="240" spans="1:78" x14ac:dyDescent="0.2">
      <c r="A240" t="s">
        <v>45</v>
      </c>
      <c r="B240" t="s">
        <v>46</v>
      </c>
      <c r="C240" t="s">
        <v>47</v>
      </c>
      <c r="D240" t="s">
        <v>265</v>
      </c>
      <c r="F240" t="str">
        <f>"253180"</f>
        <v>253180</v>
      </c>
      <c r="G240" t="s">
        <v>49</v>
      </c>
      <c r="H240" t="s">
        <v>282</v>
      </c>
      <c r="K240" t="s">
        <v>51</v>
      </c>
      <c r="L240" t="s">
        <v>52</v>
      </c>
      <c r="M240">
        <v>135379.67000000001</v>
      </c>
      <c r="N240">
        <v>475184.34</v>
      </c>
      <c r="O240" t="s">
        <v>53</v>
      </c>
      <c r="P240" t="s">
        <v>54</v>
      </c>
      <c r="Q240" t="s">
        <v>55</v>
      </c>
      <c r="T240" t="s">
        <v>100</v>
      </c>
      <c r="U240">
        <v>40</v>
      </c>
      <c r="V240" s="1">
        <v>35065</v>
      </c>
      <c r="W240" s="1">
        <v>35065</v>
      </c>
      <c r="X240" s="1">
        <v>35065</v>
      </c>
      <c r="Y240" s="1">
        <v>49675</v>
      </c>
      <c r="Z240" t="s">
        <v>51</v>
      </c>
      <c r="AB240" t="s">
        <v>54</v>
      </c>
      <c r="AC240">
        <v>1</v>
      </c>
      <c r="AE240" t="s">
        <v>222</v>
      </c>
      <c r="AF240">
        <v>20</v>
      </c>
      <c r="AG240" s="1">
        <v>35065</v>
      </c>
      <c r="AH240" s="1">
        <v>35065</v>
      </c>
      <c r="AI240" s="1">
        <v>35065</v>
      </c>
      <c r="AJ240" s="1">
        <v>42370</v>
      </c>
      <c r="AK240" t="s">
        <v>51</v>
      </c>
      <c r="AN240">
        <v>0</v>
      </c>
      <c r="AO240" t="s">
        <v>54</v>
      </c>
      <c r="AP240" t="s">
        <v>53</v>
      </c>
      <c r="AQ240">
        <v>0</v>
      </c>
      <c r="AR240" t="s">
        <v>53</v>
      </c>
      <c r="AS240">
        <v>0</v>
      </c>
      <c r="AT240">
        <v>0</v>
      </c>
      <c r="BK240" t="s">
        <v>85</v>
      </c>
      <c r="BL240">
        <v>50000</v>
      </c>
      <c r="BM240" s="1">
        <v>44341</v>
      </c>
      <c r="BN240" s="1">
        <v>44341</v>
      </c>
      <c r="BO240" s="1">
        <v>44341</v>
      </c>
      <c r="BP240" s="1">
        <v>48573</v>
      </c>
      <c r="BQ240" t="s">
        <v>51</v>
      </c>
      <c r="BS240" t="s">
        <v>60</v>
      </c>
      <c r="BT240" t="s">
        <v>54</v>
      </c>
      <c r="BU240" t="s">
        <v>61</v>
      </c>
      <c r="BV240" t="s">
        <v>86</v>
      </c>
      <c r="BX240">
        <v>13</v>
      </c>
      <c r="BY240">
        <v>1430</v>
      </c>
      <c r="BZ240">
        <v>0</v>
      </c>
    </row>
    <row r="241" spans="1:78" x14ac:dyDescent="0.2">
      <c r="A241" t="s">
        <v>45</v>
      </c>
      <c r="B241" t="s">
        <v>46</v>
      </c>
      <c r="C241" t="s">
        <v>47</v>
      </c>
      <c r="D241" t="s">
        <v>265</v>
      </c>
      <c r="F241" t="str">
        <f>"253181"</f>
        <v>253181</v>
      </c>
      <c r="G241" t="s">
        <v>49</v>
      </c>
      <c r="H241" t="s">
        <v>283</v>
      </c>
      <c r="K241" t="s">
        <v>51</v>
      </c>
      <c r="L241" t="s">
        <v>52</v>
      </c>
      <c r="M241">
        <v>135354.84</v>
      </c>
      <c r="N241">
        <v>475194</v>
      </c>
      <c r="O241" t="s">
        <v>53</v>
      </c>
      <c r="P241" t="s">
        <v>54</v>
      </c>
      <c r="Q241" t="s">
        <v>55</v>
      </c>
      <c r="T241" t="s">
        <v>100</v>
      </c>
      <c r="U241">
        <v>40</v>
      </c>
      <c r="V241" s="1">
        <v>35065</v>
      </c>
      <c r="W241" s="1">
        <v>35065</v>
      </c>
      <c r="X241" s="1">
        <v>35065</v>
      </c>
      <c r="Y241" s="1">
        <v>49675</v>
      </c>
      <c r="Z241" t="s">
        <v>51</v>
      </c>
      <c r="AB241" t="s">
        <v>54</v>
      </c>
      <c r="AC241">
        <v>1</v>
      </c>
      <c r="AE241" t="s">
        <v>222</v>
      </c>
      <c r="AF241">
        <v>20</v>
      </c>
      <c r="AG241" s="1">
        <v>35065</v>
      </c>
      <c r="AH241" s="1">
        <v>35065</v>
      </c>
      <c r="AI241" s="1">
        <v>35065</v>
      </c>
      <c r="AJ241" s="1">
        <v>42370</v>
      </c>
      <c r="AK241" t="s">
        <v>51</v>
      </c>
      <c r="AN241">
        <v>0</v>
      </c>
      <c r="AO241" t="s">
        <v>54</v>
      </c>
      <c r="AP241" t="s">
        <v>53</v>
      </c>
      <c r="AQ241">
        <v>0</v>
      </c>
      <c r="AR241" t="s">
        <v>53</v>
      </c>
      <c r="AS241">
        <v>0</v>
      </c>
      <c r="AT241">
        <v>0</v>
      </c>
      <c r="BK241" t="s">
        <v>85</v>
      </c>
      <c r="BL241">
        <v>50000</v>
      </c>
      <c r="BM241" s="1">
        <v>44341</v>
      </c>
      <c r="BN241" s="1">
        <v>44341</v>
      </c>
      <c r="BO241" s="1">
        <v>44341</v>
      </c>
      <c r="BP241" s="1">
        <v>48573</v>
      </c>
      <c r="BQ241" t="s">
        <v>51</v>
      </c>
      <c r="BS241" t="s">
        <v>60</v>
      </c>
      <c r="BT241" t="s">
        <v>54</v>
      </c>
      <c r="BU241" t="s">
        <v>61</v>
      </c>
      <c r="BV241" t="s">
        <v>86</v>
      </c>
      <c r="BX241">
        <v>13</v>
      </c>
      <c r="BY241">
        <v>1430</v>
      </c>
      <c r="BZ241">
        <v>0</v>
      </c>
    </row>
    <row r="242" spans="1:78" x14ac:dyDescent="0.2">
      <c r="A242" t="s">
        <v>45</v>
      </c>
      <c r="B242" t="s">
        <v>46</v>
      </c>
      <c r="C242" t="s">
        <v>47</v>
      </c>
      <c r="D242" t="s">
        <v>271</v>
      </c>
      <c r="F242" t="str">
        <f>"253182"</f>
        <v>253182</v>
      </c>
      <c r="G242" t="s">
        <v>49</v>
      </c>
      <c r="H242" t="s">
        <v>284</v>
      </c>
      <c r="K242" t="s">
        <v>51</v>
      </c>
      <c r="L242" t="s">
        <v>52</v>
      </c>
      <c r="M242">
        <v>135346.65</v>
      </c>
      <c r="N242">
        <v>475178.38</v>
      </c>
      <c r="O242" t="s">
        <v>53</v>
      </c>
      <c r="P242" t="s">
        <v>54</v>
      </c>
      <c r="Q242" t="s">
        <v>55</v>
      </c>
      <c r="T242" t="s">
        <v>100</v>
      </c>
      <c r="U242">
        <v>40</v>
      </c>
      <c r="V242" s="1">
        <v>35065</v>
      </c>
      <c r="W242" s="1">
        <v>35065</v>
      </c>
      <c r="X242" s="1">
        <v>35065</v>
      </c>
      <c r="Y242" s="1">
        <v>49675</v>
      </c>
      <c r="Z242" t="s">
        <v>51</v>
      </c>
      <c r="AB242" t="s">
        <v>54</v>
      </c>
      <c r="AC242">
        <v>1</v>
      </c>
      <c r="AE242" t="s">
        <v>222</v>
      </c>
      <c r="AF242">
        <v>20</v>
      </c>
      <c r="AG242" s="1">
        <v>36161</v>
      </c>
      <c r="AH242" s="1">
        <v>36161</v>
      </c>
      <c r="AI242" s="1">
        <v>36161</v>
      </c>
      <c r="AJ242" s="1">
        <v>43466</v>
      </c>
      <c r="AK242" t="s">
        <v>51</v>
      </c>
      <c r="AN242">
        <v>0</v>
      </c>
      <c r="AO242" t="s">
        <v>54</v>
      </c>
      <c r="AP242" t="s">
        <v>53</v>
      </c>
      <c r="AQ242">
        <v>0</v>
      </c>
      <c r="AR242" t="s">
        <v>53</v>
      </c>
      <c r="AS242">
        <v>0</v>
      </c>
      <c r="AT242">
        <v>0</v>
      </c>
      <c r="BK242" t="s">
        <v>85</v>
      </c>
      <c r="BL242">
        <v>50000</v>
      </c>
      <c r="BM242" s="1">
        <v>44341</v>
      </c>
      <c r="BN242" s="1">
        <v>44341</v>
      </c>
      <c r="BO242" s="1">
        <v>44341</v>
      </c>
      <c r="BP242" s="1">
        <v>48573</v>
      </c>
      <c r="BQ242" t="s">
        <v>51</v>
      </c>
      <c r="BS242" t="s">
        <v>60</v>
      </c>
      <c r="BT242" t="s">
        <v>54</v>
      </c>
      <c r="BU242" t="s">
        <v>61</v>
      </c>
      <c r="BV242" t="s">
        <v>86</v>
      </c>
      <c r="BX242">
        <v>13</v>
      </c>
      <c r="BY242">
        <v>1430</v>
      </c>
      <c r="BZ242">
        <v>0</v>
      </c>
    </row>
    <row r="243" spans="1:78" x14ac:dyDescent="0.2">
      <c r="A243" t="s">
        <v>45</v>
      </c>
      <c r="B243" t="s">
        <v>46</v>
      </c>
      <c r="C243" t="s">
        <v>47</v>
      </c>
      <c r="D243" t="s">
        <v>271</v>
      </c>
      <c r="F243" t="str">
        <f>"253183"</f>
        <v>253183</v>
      </c>
      <c r="G243" t="s">
        <v>49</v>
      </c>
      <c r="H243" t="s">
        <v>285</v>
      </c>
      <c r="K243" t="s">
        <v>51</v>
      </c>
      <c r="L243" t="s">
        <v>52</v>
      </c>
      <c r="M243">
        <v>135341.44</v>
      </c>
      <c r="N243">
        <v>475163.11</v>
      </c>
      <c r="O243" t="s">
        <v>53</v>
      </c>
      <c r="P243" t="s">
        <v>54</v>
      </c>
      <c r="Q243" t="s">
        <v>55</v>
      </c>
      <c r="T243" t="s">
        <v>100</v>
      </c>
      <c r="U243">
        <v>40</v>
      </c>
      <c r="V243" s="1">
        <v>25569</v>
      </c>
      <c r="W243" s="1">
        <v>25569</v>
      </c>
      <c r="X243" s="1">
        <v>25569</v>
      </c>
      <c r="Y243" s="1">
        <v>40179</v>
      </c>
      <c r="Z243" t="s">
        <v>51</v>
      </c>
      <c r="AB243" t="s">
        <v>54</v>
      </c>
      <c r="AC243">
        <v>1</v>
      </c>
      <c r="AE243" t="s">
        <v>222</v>
      </c>
      <c r="AF243">
        <v>20</v>
      </c>
      <c r="AG243" s="1">
        <v>35065</v>
      </c>
      <c r="AH243" s="1">
        <v>35065</v>
      </c>
      <c r="AI243" s="1">
        <v>35065</v>
      </c>
      <c r="AJ243" s="1">
        <v>42370</v>
      </c>
      <c r="AK243" t="s">
        <v>51</v>
      </c>
      <c r="AN243">
        <v>0</v>
      </c>
      <c r="AO243" t="s">
        <v>54</v>
      </c>
      <c r="AP243" t="s">
        <v>53</v>
      </c>
      <c r="AQ243">
        <v>0</v>
      </c>
      <c r="AR243" t="s">
        <v>53</v>
      </c>
      <c r="AS243">
        <v>0</v>
      </c>
      <c r="AT243">
        <v>0</v>
      </c>
      <c r="BK243" t="s">
        <v>85</v>
      </c>
      <c r="BL243">
        <v>50000</v>
      </c>
      <c r="BM243" s="1">
        <v>44341</v>
      </c>
      <c r="BN243" s="1">
        <v>44341</v>
      </c>
      <c r="BO243" s="1">
        <v>44341</v>
      </c>
      <c r="BP243" s="1">
        <v>48573</v>
      </c>
      <c r="BQ243" t="s">
        <v>51</v>
      </c>
      <c r="BS243" t="s">
        <v>60</v>
      </c>
      <c r="BT243" t="s">
        <v>54</v>
      </c>
      <c r="BU243" t="s">
        <v>61</v>
      </c>
      <c r="BV243" t="s">
        <v>86</v>
      </c>
      <c r="BX243">
        <v>13</v>
      </c>
      <c r="BY243">
        <v>1430</v>
      </c>
      <c r="BZ243">
        <v>0</v>
      </c>
    </row>
    <row r="244" spans="1:78" x14ac:dyDescent="0.2">
      <c r="A244" t="s">
        <v>45</v>
      </c>
      <c r="B244" t="s">
        <v>46</v>
      </c>
      <c r="C244" t="s">
        <v>47</v>
      </c>
      <c r="D244" t="s">
        <v>271</v>
      </c>
      <c r="F244" t="str">
        <f>"253184"</f>
        <v>253184</v>
      </c>
      <c r="G244" t="s">
        <v>49</v>
      </c>
      <c r="H244" t="s">
        <v>285</v>
      </c>
      <c r="K244" t="s">
        <v>51</v>
      </c>
      <c r="L244" t="s">
        <v>52</v>
      </c>
      <c r="M244">
        <v>135352.59</v>
      </c>
      <c r="N244">
        <v>475157.56</v>
      </c>
      <c r="O244" t="s">
        <v>53</v>
      </c>
      <c r="P244" t="s">
        <v>54</v>
      </c>
      <c r="Q244" t="s">
        <v>55</v>
      </c>
      <c r="T244" t="s">
        <v>100</v>
      </c>
      <c r="U244">
        <v>40</v>
      </c>
      <c r="V244" s="1">
        <v>25569</v>
      </c>
      <c r="W244" s="1">
        <v>25569</v>
      </c>
      <c r="X244" s="1">
        <v>25569</v>
      </c>
      <c r="Y244" s="1">
        <v>40179</v>
      </c>
      <c r="Z244" t="s">
        <v>51</v>
      </c>
      <c r="AB244" t="s">
        <v>54</v>
      </c>
      <c r="AC244">
        <v>1</v>
      </c>
      <c r="AE244" t="s">
        <v>222</v>
      </c>
      <c r="AF244">
        <v>20</v>
      </c>
      <c r="AG244" s="1">
        <v>36161</v>
      </c>
      <c r="AH244" s="1">
        <v>36161</v>
      </c>
      <c r="AI244" s="1">
        <v>36161</v>
      </c>
      <c r="AJ244" s="1">
        <v>43466</v>
      </c>
      <c r="AK244" t="s">
        <v>51</v>
      </c>
      <c r="AN244">
        <v>0</v>
      </c>
      <c r="AO244" t="s">
        <v>54</v>
      </c>
      <c r="AP244" t="s">
        <v>53</v>
      </c>
      <c r="AQ244">
        <v>0</v>
      </c>
      <c r="AR244" t="s">
        <v>53</v>
      </c>
      <c r="AS244">
        <v>0</v>
      </c>
      <c r="AT244">
        <v>0</v>
      </c>
      <c r="BK244" t="s">
        <v>85</v>
      </c>
      <c r="BL244">
        <v>50000</v>
      </c>
      <c r="BM244" s="1">
        <v>44341</v>
      </c>
      <c r="BN244" s="1">
        <v>44341</v>
      </c>
      <c r="BO244" s="1">
        <v>44341</v>
      </c>
      <c r="BP244" s="1">
        <v>48573</v>
      </c>
      <c r="BQ244" t="s">
        <v>51</v>
      </c>
      <c r="BS244" t="s">
        <v>60</v>
      </c>
      <c r="BT244" t="s">
        <v>54</v>
      </c>
      <c r="BU244" t="s">
        <v>61</v>
      </c>
      <c r="BV244" t="s">
        <v>86</v>
      </c>
      <c r="BX244">
        <v>13</v>
      </c>
      <c r="BY244">
        <v>1430</v>
      </c>
      <c r="BZ244">
        <v>0</v>
      </c>
    </row>
    <row r="245" spans="1:78" x14ac:dyDescent="0.2">
      <c r="A245" t="s">
        <v>45</v>
      </c>
      <c r="B245" t="s">
        <v>46</v>
      </c>
      <c r="C245" t="s">
        <v>47</v>
      </c>
      <c r="D245" t="s">
        <v>271</v>
      </c>
      <c r="F245" t="str">
        <f>"253185"</f>
        <v>253185</v>
      </c>
      <c r="G245" t="s">
        <v>49</v>
      </c>
      <c r="H245" t="s">
        <v>286</v>
      </c>
      <c r="K245" t="s">
        <v>51</v>
      </c>
      <c r="L245" t="s">
        <v>52</v>
      </c>
      <c r="M245">
        <v>135362.91</v>
      </c>
      <c r="N245">
        <v>475163.78</v>
      </c>
      <c r="O245" t="s">
        <v>53</v>
      </c>
      <c r="P245" t="s">
        <v>54</v>
      </c>
      <c r="Q245" t="s">
        <v>55</v>
      </c>
      <c r="T245" t="s">
        <v>100</v>
      </c>
      <c r="U245">
        <v>40</v>
      </c>
      <c r="V245" s="1">
        <v>25569</v>
      </c>
      <c r="W245" s="1">
        <v>25569</v>
      </c>
      <c r="X245" s="1">
        <v>25569</v>
      </c>
      <c r="Y245" s="1">
        <v>40179</v>
      </c>
      <c r="Z245" t="s">
        <v>51</v>
      </c>
      <c r="AB245" t="s">
        <v>54</v>
      </c>
      <c r="AC245">
        <v>1</v>
      </c>
      <c r="AE245" t="s">
        <v>222</v>
      </c>
      <c r="AF245">
        <v>20</v>
      </c>
      <c r="AG245" s="1">
        <v>36161</v>
      </c>
      <c r="AH245" s="1">
        <v>36161</v>
      </c>
      <c r="AI245" s="1">
        <v>36161</v>
      </c>
      <c r="AJ245" s="1">
        <v>43466</v>
      </c>
      <c r="AK245" t="s">
        <v>51</v>
      </c>
      <c r="AN245">
        <v>0</v>
      </c>
      <c r="AO245" t="s">
        <v>54</v>
      </c>
      <c r="AP245" t="s">
        <v>53</v>
      </c>
      <c r="AQ245">
        <v>0</v>
      </c>
      <c r="AR245" t="s">
        <v>53</v>
      </c>
      <c r="AS245">
        <v>0</v>
      </c>
      <c r="AT245">
        <v>0</v>
      </c>
      <c r="BK245" t="s">
        <v>85</v>
      </c>
      <c r="BL245">
        <v>50000</v>
      </c>
      <c r="BM245" s="1">
        <v>44341</v>
      </c>
      <c r="BN245" s="1">
        <v>44341</v>
      </c>
      <c r="BO245" s="1">
        <v>44341</v>
      </c>
      <c r="BP245" s="1">
        <v>48573</v>
      </c>
      <c r="BQ245" t="s">
        <v>51</v>
      </c>
      <c r="BS245" t="s">
        <v>60</v>
      </c>
      <c r="BT245" t="s">
        <v>54</v>
      </c>
      <c r="BU245" t="s">
        <v>61</v>
      </c>
      <c r="BV245" t="s">
        <v>86</v>
      </c>
      <c r="BX245">
        <v>13</v>
      </c>
      <c r="BY245">
        <v>1430</v>
      </c>
      <c r="BZ245">
        <v>0</v>
      </c>
    </row>
    <row r="246" spans="1:78" x14ac:dyDescent="0.2">
      <c r="A246" t="s">
        <v>45</v>
      </c>
      <c r="B246" t="s">
        <v>46</v>
      </c>
      <c r="C246" t="s">
        <v>47</v>
      </c>
      <c r="D246" t="s">
        <v>271</v>
      </c>
      <c r="F246" t="str">
        <f>"253186"</f>
        <v>253186</v>
      </c>
      <c r="G246" t="s">
        <v>49</v>
      </c>
      <c r="H246" t="s">
        <v>287</v>
      </c>
      <c r="K246" t="s">
        <v>51</v>
      </c>
      <c r="L246" t="s">
        <v>52</v>
      </c>
      <c r="M246">
        <v>135372.73000000001</v>
      </c>
      <c r="N246">
        <v>475154.59</v>
      </c>
      <c r="O246" t="s">
        <v>53</v>
      </c>
      <c r="P246" t="s">
        <v>54</v>
      </c>
      <c r="Q246" t="s">
        <v>55</v>
      </c>
      <c r="T246" t="s">
        <v>100</v>
      </c>
      <c r="U246">
        <v>40</v>
      </c>
      <c r="V246" s="1">
        <v>25569</v>
      </c>
      <c r="W246" s="1">
        <v>25569</v>
      </c>
      <c r="X246" s="1">
        <v>25569</v>
      </c>
      <c r="Y246" s="1">
        <v>40179</v>
      </c>
      <c r="Z246" t="s">
        <v>51</v>
      </c>
      <c r="AB246" t="s">
        <v>54</v>
      </c>
      <c r="AC246">
        <v>1</v>
      </c>
      <c r="AE246" t="s">
        <v>222</v>
      </c>
      <c r="AF246">
        <v>20</v>
      </c>
      <c r="AG246" s="1">
        <v>36161</v>
      </c>
      <c r="AH246" s="1">
        <v>36161</v>
      </c>
      <c r="AI246" s="1">
        <v>36161</v>
      </c>
      <c r="AJ246" s="1">
        <v>43466</v>
      </c>
      <c r="AK246" t="s">
        <v>51</v>
      </c>
      <c r="AN246">
        <v>0</v>
      </c>
      <c r="AO246" t="s">
        <v>54</v>
      </c>
      <c r="AP246" t="s">
        <v>53</v>
      </c>
      <c r="AQ246">
        <v>0</v>
      </c>
      <c r="AR246" t="s">
        <v>53</v>
      </c>
      <c r="AS246">
        <v>0</v>
      </c>
      <c r="AT246">
        <v>0</v>
      </c>
      <c r="BK246" t="s">
        <v>85</v>
      </c>
      <c r="BL246">
        <v>50000</v>
      </c>
      <c r="BM246" s="1">
        <v>44341</v>
      </c>
      <c r="BN246" s="1">
        <v>44341</v>
      </c>
      <c r="BO246" s="1">
        <v>44341</v>
      </c>
      <c r="BP246" s="1">
        <v>48573</v>
      </c>
      <c r="BQ246" t="s">
        <v>51</v>
      </c>
      <c r="BS246" t="s">
        <v>60</v>
      </c>
      <c r="BT246" t="s">
        <v>54</v>
      </c>
      <c r="BU246" t="s">
        <v>61</v>
      </c>
      <c r="BV246" t="s">
        <v>86</v>
      </c>
      <c r="BX246">
        <v>13</v>
      </c>
      <c r="BY246">
        <v>1430</v>
      </c>
      <c r="BZ246">
        <v>0</v>
      </c>
    </row>
    <row r="247" spans="1:78" x14ac:dyDescent="0.2">
      <c r="A247" t="s">
        <v>45</v>
      </c>
      <c r="B247" t="s">
        <v>46</v>
      </c>
      <c r="C247" t="s">
        <v>45</v>
      </c>
      <c r="D247" t="s">
        <v>68</v>
      </c>
      <c r="F247" t="str">
        <f>"253187"</f>
        <v>253187</v>
      </c>
      <c r="G247" t="s">
        <v>49</v>
      </c>
      <c r="H247" t="s">
        <v>288</v>
      </c>
      <c r="I247" t="s">
        <v>289</v>
      </c>
      <c r="K247" t="s">
        <v>51</v>
      </c>
      <c r="L247" t="s">
        <v>52</v>
      </c>
      <c r="M247">
        <v>135244.84</v>
      </c>
      <c r="N247">
        <v>475222.47</v>
      </c>
      <c r="O247" t="s">
        <v>53</v>
      </c>
      <c r="P247" t="s">
        <v>54</v>
      </c>
      <c r="Q247" t="s">
        <v>55</v>
      </c>
      <c r="T247" t="s">
        <v>81</v>
      </c>
      <c r="U247">
        <v>40</v>
      </c>
      <c r="V247" s="1">
        <v>34700</v>
      </c>
      <c r="W247" s="1">
        <v>34700</v>
      </c>
      <c r="X247" s="1">
        <v>34700</v>
      </c>
      <c r="Y247" s="1">
        <v>49310</v>
      </c>
      <c r="Z247" t="s">
        <v>51</v>
      </c>
      <c r="AB247" t="s">
        <v>54</v>
      </c>
      <c r="AC247">
        <v>1</v>
      </c>
      <c r="AE247" t="s">
        <v>84</v>
      </c>
      <c r="AF247">
        <v>20</v>
      </c>
      <c r="AG247" s="1">
        <v>34700</v>
      </c>
      <c r="AH247" s="1">
        <v>34700</v>
      </c>
      <c r="AI247" s="1">
        <v>34700</v>
      </c>
      <c r="AJ247" s="1">
        <v>42005</v>
      </c>
      <c r="AK247" t="s">
        <v>51</v>
      </c>
      <c r="AN247">
        <v>0</v>
      </c>
      <c r="AO247" t="s">
        <v>54</v>
      </c>
      <c r="AP247" t="s">
        <v>53</v>
      </c>
      <c r="AQ247">
        <v>0</v>
      </c>
      <c r="AR247" t="s">
        <v>53</v>
      </c>
      <c r="AS247">
        <v>0</v>
      </c>
      <c r="AT247">
        <v>0</v>
      </c>
      <c r="BK247" t="s">
        <v>85</v>
      </c>
      <c r="BL247">
        <v>50000</v>
      </c>
      <c r="BM247" s="1">
        <v>44341</v>
      </c>
      <c r="BN247" s="1">
        <v>44341</v>
      </c>
      <c r="BO247" s="1">
        <v>44341</v>
      </c>
      <c r="BP247" s="1">
        <v>48573</v>
      </c>
      <c r="BQ247" t="s">
        <v>51</v>
      </c>
      <c r="BS247" t="s">
        <v>60</v>
      </c>
      <c r="BT247" t="s">
        <v>54</v>
      </c>
      <c r="BU247" t="s">
        <v>61</v>
      </c>
      <c r="BV247" t="s">
        <v>86</v>
      </c>
      <c r="BX247">
        <v>13</v>
      </c>
      <c r="BY247">
        <v>1430</v>
      </c>
      <c r="BZ247">
        <v>0</v>
      </c>
    </row>
    <row r="248" spans="1:78" x14ac:dyDescent="0.2">
      <c r="A248" t="s">
        <v>45</v>
      </c>
      <c r="B248" t="s">
        <v>46</v>
      </c>
      <c r="C248" t="s">
        <v>45</v>
      </c>
      <c r="D248" t="s">
        <v>68</v>
      </c>
      <c r="F248" t="str">
        <f>"253188"</f>
        <v>253188</v>
      </c>
      <c r="G248" t="s">
        <v>49</v>
      </c>
      <c r="H248" t="s">
        <v>290</v>
      </c>
      <c r="K248" t="s">
        <v>51</v>
      </c>
      <c r="L248" t="s">
        <v>52</v>
      </c>
      <c r="M248">
        <v>135233.32</v>
      </c>
      <c r="N248">
        <v>475188.5</v>
      </c>
      <c r="O248" t="s">
        <v>53</v>
      </c>
      <c r="P248" t="s">
        <v>54</v>
      </c>
      <c r="Q248" t="s">
        <v>55</v>
      </c>
      <c r="T248" t="s">
        <v>56</v>
      </c>
      <c r="U248">
        <v>40</v>
      </c>
      <c r="V248" s="1">
        <v>34700</v>
      </c>
      <c r="W248" s="1">
        <v>34700</v>
      </c>
      <c r="X248" s="1">
        <v>34700</v>
      </c>
      <c r="Y248" s="1">
        <v>49310</v>
      </c>
      <c r="Z248" t="s">
        <v>51</v>
      </c>
      <c r="AB248" t="s">
        <v>54</v>
      </c>
      <c r="AC248">
        <v>1</v>
      </c>
      <c r="AE248" t="s">
        <v>84</v>
      </c>
      <c r="AF248">
        <v>20</v>
      </c>
      <c r="AG248" s="1">
        <v>34700</v>
      </c>
      <c r="AH248" s="1">
        <v>34700</v>
      </c>
      <c r="AI248" s="1">
        <v>34700</v>
      </c>
      <c r="AJ248" s="1">
        <v>42005</v>
      </c>
      <c r="AK248" t="s">
        <v>51</v>
      </c>
      <c r="AN248">
        <v>0</v>
      </c>
      <c r="AO248" t="s">
        <v>54</v>
      </c>
      <c r="AP248" t="s">
        <v>53</v>
      </c>
      <c r="AQ248">
        <v>0</v>
      </c>
      <c r="AR248" t="s">
        <v>53</v>
      </c>
      <c r="AS248">
        <v>0</v>
      </c>
      <c r="AT248">
        <v>0</v>
      </c>
      <c r="BK248" t="s">
        <v>85</v>
      </c>
      <c r="BL248">
        <v>50000</v>
      </c>
      <c r="BM248" s="1">
        <v>44341</v>
      </c>
      <c r="BN248" s="1">
        <v>44341</v>
      </c>
      <c r="BO248" s="1">
        <v>44341</v>
      </c>
      <c r="BP248" s="1">
        <v>48573</v>
      </c>
      <c r="BQ248" t="s">
        <v>51</v>
      </c>
      <c r="BS248" t="s">
        <v>60</v>
      </c>
      <c r="BT248" t="s">
        <v>54</v>
      </c>
      <c r="BU248" t="s">
        <v>61</v>
      </c>
      <c r="BV248" t="s">
        <v>86</v>
      </c>
      <c r="BX248">
        <v>13</v>
      </c>
      <c r="BY248">
        <v>1430</v>
      </c>
      <c r="BZ248">
        <v>0</v>
      </c>
    </row>
    <row r="249" spans="1:78" x14ac:dyDescent="0.2">
      <c r="A249" t="s">
        <v>45</v>
      </c>
      <c r="B249" t="s">
        <v>46</v>
      </c>
      <c r="C249" t="s">
        <v>45</v>
      </c>
      <c r="D249" t="s">
        <v>68</v>
      </c>
      <c r="F249" t="str">
        <f>"253189"</f>
        <v>253189</v>
      </c>
      <c r="G249" t="s">
        <v>49</v>
      </c>
      <c r="H249" t="s">
        <v>143</v>
      </c>
      <c r="K249" t="s">
        <v>51</v>
      </c>
      <c r="L249" t="s">
        <v>52</v>
      </c>
      <c r="M249">
        <v>135223.22</v>
      </c>
      <c r="N249">
        <v>475159.19</v>
      </c>
      <c r="O249" t="s">
        <v>53</v>
      </c>
      <c r="P249" t="s">
        <v>54</v>
      </c>
      <c r="Q249" t="s">
        <v>55</v>
      </c>
      <c r="T249" t="s">
        <v>81</v>
      </c>
      <c r="U249">
        <v>40</v>
      </c>
      <c r="V249" s="1">
        <v>34700</v>
      </c>
      <c r="W249" s="1">
        <v>34700</v>
      </c>
      <c r="X249" s="1">
        <v>34700</v>
      </c>
      <c r="Y249" s="1">
        <v>49310</v>
      </c>
      <c r="Z249" t="s">
        <v>51</v>
      </c>
      <c r="AB249" t="s">
        <v>54</v>
      </c>
      <c r="AC249">
        <v>1</v>
      </c>
      <c r="AE249" t="s">
        <v>84</v>
      </c>
      <c r="AF249">
        <v>20</v>
      </c>
      <c r="AG249" s="1">
        <v>34700</v>
      </c>
      <c r="AH249" s="1">
        <v>34700</v>
      </c>
      <c r="AI249" s="1">
        <v>34700</v>
      </c>
      <c r="AJ249" s="1">
        <v>42005</v>
      </c>
      <c r="AK249" t="s">
        <v>51</v>
      </c>
      <c r="AN249">
        <v>0</v>
      </c>
      <c r="AO249" t="s">
        <v>54</v>
      </c>
      <c r="AP249" t="s">
        <v>53</v>
      </c>
      <c r="AQ249">
        <v>0</v>
      </c>
      <c r="AR249" t="s">
        <v>53</v>
      </c>
      <c r="AS249">
        <v>0</v>
      </c>
      <c r="AT249">
        <v>0</v>
      </c>
      <c r="BK249" t="s">
        <v>85</v>
      </c>
      <c r="BL249">
        <v>50000</v>
      </c>
      <c r="BM249" s="1">
        <v>44341</v>
      </c>
      <c r="BN249" s="1">
        <v>44341</v>
      </c>
      <c r="BO249" s="1">
        <v>44341</v>
      </c>
      <c r="BP249" s="1">
        <v>48573</v>
      </c>
      <c r="BQ249" t="s">
        <v>51</v>
      </c>
      <c r="BS249" t="s">
        <v>60</v>
      </c>
      <c r="BT249" t="s">
        <v>54</v>
      </c>
      <c r="BU249" t="s">
        <v>61</v>
      </c>
      <c r="BV249" t="s">
        <v>86</v>
      </c>
      <c r="BX249">
        <v>13</v>
      </c>
      <c r="BY249">
        <v>1430</v>
      </c>
      <c r="BZ249">
        <v>0</v>
      </c>
    </row>
    <row r="250" spans="1:78" x14ac:dyDescent="0.2">
      <c r="A250" t="s">
        <v>45</v>
      </c>
      <c r="B250" t="s">
        <v>46</v>
      </c>
      <c r="C250" t="s">
        <v>45</v>
      </c>
      <c r="D250" t="s">
        <v>68</v>
      </c>
      <c r="F250" t="str">
        <f>"253190"</f>
        <v>253190</v>
      </c>
      <c r="G250" t="s">
        <v>49</v>
      </c>
      <c r="H250" t="s">
        <v>211</v>
      </c>
      <c r="K250" t="s">
        <v>51</v>
      </c>
      <c r="L250" t="s">
        <v>52</v>
      </c>
      <c r="M250">
        <v>135219.53</v>
      </c>
      <c r="N250">
        <v>475128.14</v>
      </c>
      <c r="O250" t="s">
        <v>53</v>
      </c>
      <c r="P250" t="s">
        <v>54</v>
      </c>
      <c r="Q250" t="s">
        <v>55</v>
      </c>
      <c r="T250" t="s">
        <v>56</v>
      </c>
      <c r="U250">
        <v>40</v>
      </c>
      <c r="V250" s="1">
        <v>34700</v>
      </c>
      <c r="W250" s="1">
        <v>34700</v>
      </c>
      <c r="X250" s="1">
        <v>34700</v>
      </c>
      <c r="Y250" s="1">
        <v>49310</v>
      </c>
      <c r="Z250" t="s">
        <v>51</v>
      </c>
      <c r="AB250" t="s">
        <v>54</v>
      </c>
      <c r="AC250">
        <v>1</v>
      </c>
      <c r="AE250" t="s">
        <v>84</v>
      </c>
      <c r="AF250">
        <v>20</v>
      </c>
      <c r="AG250" s="1">
        <v>34700</v>
      </c>
      <c r="AH250" s="1">
        <v>34700</v>
      </c>
      <c r="AI250" s="1">
        <v>34700</v>
      </c>
      <c r="AJ250" s="1">
        <v>42005</v>
      </c>
      <c r="AK250" t="s">
        <v>51</v>
      </c>
      <c r="AN250">
        <v>0</v>
      </c>
      <c r="AO250" t="s">
        <v>54</v>
      </c>
      <c r="AP250" t="s">
        <v>53</v>
      </c>
      <c r="AQ250">
        <v>0</v>
      </c>
      <c r="AR250" t="s">
        <v>53</v>
      </c>
      <c r="AS250">
        <v>0</v>
      </c>
      <c r="AT250">
        <v>0</v>
      </c>
      <c r="BK250" t="s">
        <v>85</v>
      </c>
      <c r="BL250">
        <v>50000</v>
      </c>
      <c r="BM250" s="1">
        <v>44341</v>
      </c>
      <c r="BN250" s="1">
        <v>44341</v>
      </c>
      <c r="BO250" s="1">
        <v>44341</v>
      </c>
      <c r="BP250" s="1">
        <v>48573</v>
      </c>
      <c r="BQ250" t="s">
        <v>51</v>
      </c>
      <c r="BS250" t="s">
        <v>60</v>
      </c>
      <c r="BT250" t="s">
        <v>54</v>
      </c>
      <c r="BU250" t="s">
        <v>61</v>
      </c>
      <c r="BV250" t="s">
        <v>86</v>
      </c>
      <c r="BX250">
        <v>13</v>
      </c>
      <c r="BY250">
        <v>1430</v>
      </c>
      <c r="BZ250">
        <v>0</v>
      </c>
    </row>
    <row r="251" spans="1:78" x14ac:dyDescent="0.2">
      <c r="A251" t="s">
        <v>45</v>
      </c>
      <c r="B251" t="s">
        <v>46</v>
      </c>
      <c r="C251" t="s">
        <v>45</v>
      </c>
      <c r="D251" t="s">
        <v>68</v>
      </c>
      <c r="F251" t="str">
        <f>"253191"</f>
        <v>253191</v>
      </c>
      <c r="G251" t="s">
        <v>49</v>
      </c>
      <c r="H251" t="s">
        <v>121</v>
      </c>
      <c r="K251" t="s">
        <v>51</v>
      </c>
      <c r="L251" t="s">
        <v>52</v>
      </c>
      <c r="M251">
        <v>135203.09</v>
      </c>
      <c r="N251">
        <v>475104.94</v>
      </c>
      <c r="O251" t="s">
        <v>53</v>
      </c>
      <c r="P251" t="s">
        <v>54</v>
      </c>
      <c r="Q251" t="s">
        <v>55</v>
      </c>
      <c r="T251" t="s">
        <v>111</v>
      </c>
      <c r="U251">
        <v>40</v>
      </c>
      <c r="V251" s="1">
        <v>34700</v>
      </c>
      <c r="W251" s="1">
        <v>34700</v>
      </c>
      <c r="X251" s="1">
        <v>34700</v>
      </c>
      <c r="Y251" s="1">
        <v>49310</v>
      </c>
      <c r="Z251" t="s">
        <v>51</v>
      </c>
      <c r="AB251" t="s">
        <v>54</v>
      </c>
      <c r="AC251">
        <v>1</v>
      </c>
      <c r="AE251" t="s">
        <v>84</v>
      </c>
      <c r="AF251">
        <v>20</v>
      </c>
      <c r="AG251" s="1">
        <v>34700</v>
      </c>
      <c r="AH251" s="1">
        <v>34700</v>
      </c>
      <c r="AI251" s="1">
        <v>34700</v>
      </c>
      <c r="AJ251" s="1">
        <v>42005</v>
      </c>
      <c r="AK251" t="s">
        <v>51</v>
      </c>
      <c r="AN251">
        <v>0</v>
      </c>
      <c r="AO251" t="s">
        <v>54</v>
      </c>
      <c r="AP251" t="s">
        <v>53</v>
      </c>
      <c r="AQ251">
        <v>0</v>
      </c>
      <c r="AR251" t="s">
        <v>53</v>
      </c>
      <c r="AS251">
        <v>0</v>
      </c>
      <c r="AT251">
        <v>0</v>
      </c>
      <c r="BK251" t="s">
        <v>85</v>
      </c>
      <c r="BL251">
        <v>50000</v>
      </c>
      <c r="BM251" s="1">
        <v>44341</v>
      </c>
      <c r="BN251" s="1">
        <v>44341</v>
      </c>
      <c r="BO251" s="1">
        <v>44341</v>
      </c>
      <c r="BP251" s="1">
        <v>48573</v>
      </c>
      <c r="BQ251" t="s">
        <v>51</v>
      </c>
      <c r="BS251" t="s">
        <v>60</v>
      </c>
      <c r="BT251" t="s">
        <v>54</v>
      </c>
      <c r="BU251" t="s">
        <v>61</v>
      </c>
      <c r="BV251" t="s">
        <v>86</v>
      </c>
      <c r="BX251">
        <v>13</v>
      </c>
      <c r="BY251">
        <v>1430</v>
      </c>
      <c r="BZ251">
        <v>0</v>
      </c>
    </row>
    <row r="252" spans="1:78" x14ac:dyDescent="0.2">
      <c r="A252" t="s">
        <v>45</v>
      </c>
      <c r="B252" t="s">
        <v>46</v>
      </c>
      <c r="C252" t="s">
        <v>45</v>
      </c>
      <c r="D252" t="s">
        <v>68</v>
      </c>
      <c r="F252" t="str">
        <f>"253192"</f>
        <v>253192</v>
      </c>
      <c r="G252" t="s">
        <v>49</v>
      </c>
      <c r="H252" t="s">
        <v>121</v>
      </c>
      <c r="K252" t="s">
        <v>51</v>
      </c>
      <c r="L252" t="s">
        <v>52</v>
      </c>
      <c r="M252">
        <v>135196.74</v>
      </c>
      <c r="N252">
        <v>475088.68</v>
      </c>
      <c r="O252" t="s">
        <v>53</v>
      </c>
      <c r="P252" t="s">
        <v>54</v>
      </c>
      <c r="Q252" t="s">
        <v>55</v>
      </c>
      <c r="T252" t="s">
        <v>56</v>
      </c>
      <c r="U252">
        <v>40</v>
      </c>
      <c r="V252" s="1">
        <v>34700</v>
      </c>
      <c r="W252" s="1">
        <v>34700</v>
      </c>
      <c r="X252" s="1">
        <v>34700</v>
      </c>
      <c r="Y252" s="1">
        <v>49310</v>
      </c>
      <c r="Z252" t="s">
        <v>51</v>
      </c>
      <c r="AB252" t="s">
        <v>54</v>
      </c>
      <c r="AC252">
        <v>1</v>
      </c>
      <c r="AE252" t="s">
        <v>84</v>
      </c>
      <c r="AF252">
        <v>20</v>
      </c>
      <c r="AG252" s="1">
        <v>34700</v>
      </c>
      <c r="AH252" s="1">
        <v>34700</v>
      </c>
      <c r="AI252" s="1">
        <v>34700</v>
      </c>
      <c r="AJ252" s="1">
        <v>42005</v>
      </c>
      <c r="AK252" t="s">
        <v>51</v>
      </c>
      <c r="AN252">
        <v>0</v>
      </c>
      <c r="AO252" t="s">
        <v>54</v>
      </c>
      <c r="AP252" t="s">
        <v>53</v>
      </c>
      <c r="AQ252">
        <v>0</v>
      </c>
      <c r="AR252" t="s">
        <v>53</v>
      </c>
      <c r="AS252">
        <v>0</v>
      </c>
      <c r="AT252">
        <v>0</v>
      </c>
      <c r="BK252" t="s">
        <v>85</v>
      </c>
      <c r="BL252">
        <v>50000</v>
      </c>
      <c r="BM252" s="1">
        <v>44341</v>
      </c>
      <c r="BN252" s="1">
        <v>44341</v>
      </c>
      <c r="BO252" s="1">
        <v>44341</v>
      </c>
      <c r="BP252" s="1">
        <v>48573</v>
      </c>
      <c r="BQ252" t="s">
        <v>51</v>
      </c>
      <c r="BS252" t="s">
        <v>60</v>
      </c>
      <c r="BT252" t="s">
        <v>54</v>
      </c>
      <c r="BU252" t="s">
        <v>61</v>
      </c>
      <c r="BV252" t="s">
        <v>86</v>
      </c>
      <c r="BX252">
        <v>13</v>
      </c>
      <c r="BY252">
        <v>1430</v>
      </c>
      <c r="BZ252">
        <v>0</v>
      </c>
    </row>
    <row r="253" spans="1:78" x14ac:dyDescent="0.2">
      <c r="A253" t="s">
        <v>45</v>
      </c>
      <c r="B253" t="s">
        <v>46</v>
      </c>
      <c r="C253" t="s">
        <v>45</v>
      </c>
      <c r="D253" t="s">
        <v>68</v>
      </c>
      <c r="F253" t="str">
        <f>"253193"</f>
        <v>253193</v>
      </c>
      <c r="G253" t="s">
        <v>49</v>
      </c>
      <c r="H253" t="s">
        <v>291</v>
      </c>
      <c r="K253" t="s">
        <v>51</v>
      </c>
      <c r="L253" t="s">
        <v>52</v>
      </c>
      <c r="M253">
        <v>135198.92000000001</v>
      </c>
      <c r="N253">
        <v>475065.81</v>
      </c>
      <c r="O253" t="s">
        <v>53</v>
      </c>
      <c r="P253" t="s">
        <v>54</v>
      </c>
      <c r="Q253" t="s">
        <v>55</v>
      </c>
      <c r="T253" t="s">
        <v>83</v>
      </c>
      <c r="U253">
        <v>40</v>
      </c>
      <c r="V253" s="1">
        <v>34700</v>
      </c>
      <c r="W253" s="1">
        <v>34700</v>
      </c>
      <c r="X253" s="1">
        <v>34700</v>
      </c>
      <c r="Y253" s="1">
        <v>49310</v>
      </c>
      <c r="Z253" t="s">
        <v>51</v>
      </c>
      <c r="AB253" t="s">
        <v>54</v>
      </c>
      <c r="AC253">
        <v>1</v>
      </c>
      <c r="AE253" t="s">
        <v>84</v>
      </c>
      <c r="AF253">
        <v>20</v>
      </c>
      <c r="AG253" s="1">
        <v>34700</v>
      </c>
      <c r="AH253" s="1">
        <v>34700</v>
      </c>
      <c r="AI253" s="1">
        <v>34700</v>
      </c>
      <c r="AJ253" s="1">
        <v>42005</v>
      </c>
      <c r="AK253" t="s">
        <v>51</v>
      </c>
      <c r="AN253">
        <v>0</v>
      </c>
      <c r="AO253" t="s">
        <v>54</v>
      </c>
      <c r="AP253" t="s">
        <v>53</v>
      </c>
      <c r="AQ253">
        <v>0</v>
      </c>
      <c r="AR253" t="s">
        <v>53</v>
      </c>
      <c r="AS253">
        <v>0</v>
      </c>
      <c r="AT253">
        <v>0</v>
      </c>
      <c r="BK253" t="s">
        <v>85</v>
      </c>
      <c r="BL253">
        <v>50000</v>
      </c>
      <c r="BM253" s="1">
        <v>44341</v>
      </c>
      <c r="BN253" s="1">
        <v>44341</v>
      </c>
      <c r="BO253" s="1">
        <v>44341</v>
      </c>
      <c r="BP253" s="1">
        <v>48573</v>
      </c>
      <c r="BQ253" t="s">
        <v>51</v>
      </c>
      <c r="BS253" t="s">
        <v>60</v>
      </c>
      <c r="BT253" t="s">
        <v>54</v>
      </c>
      <c r="BU253" t="s">
        <v>61</v>
      </c>
      <c r="BV253" t="s">
        <v>86</v>
      </c>
      <c r="BX253">
        <v>13</v>
      </c>
      <c r="BY253">
        <v>1430</v>
      </c>
      <c r="BZ253">
        <v>0</v>
      </c>
    </row>
    <row r="254" spans="1:78" x14ac:dyDescent="0.2">
      <c r="A254" t="s">
        <v>45</v>
      </c>
      <c r="B254" t="s">
        <v>46</v>
      </c>
      <c r="C254" t="s">
        <v>45</v>
      </c>
      <c r="D254" t="s">
        <v>68</v>
      </c>
      <c r="F254" t="str">
        <f>"253194"</f>
        <v>253194</v>
      </c>
      <c r="G254" t="s">
        <v>49</v>
      </c>
      <c r="K254" t="s">
        <v>51</v>
      </c>
      <c r="L254" t="s">
        <v>52</v>
      </c>
      <c r="M254">
        <v>135184.09</v>
      </c>
      <c r="N254">
        <v>475051.25</v>
      </c>
      <c r="O254" t="s">
        <v>53</v>
      </c>
      <c r="P254" t="s">
        <v>54</v>
      </c>
      <c r="Q254" t="s">
        <v>55</v>
      </c>
      <c r="T254" t="s">
        <v>56</v>
      </c>
      <c r="U254">
        <v>40</v>
      </c>
      <c r="V254" s="1">
        <v>34700</v>
      </c>
      <c r="W254" s="1">
        <v>34700</v>
      </c>
      <c r="X254" s="1">
        <v>34700</v>
      </c>
      <c r="Y254" s="1">
        <v>49310</v>
      </c>
      <c r="Z254" t="s">
        <v>51</v>
      </c>
      <c r="AB254" t="s">
        <v>54</v>
      </c>
      <c r="AC254">
        <v>1</v>
      </c>
      <c r="AE254" t="s">
        <v>84</v>
      </c>
      <c r="AF254">
        <v>20</v>
      </c>
      <c r="AG254" s="1">
        <v>34700</v>
      </c>
      <c r="AH254" s="1">
        <v>34700</v>
      </c>
      <c r="AI254" s="1">
        <v>34700</v>
      </c>
      <c r="AJ254" s="1">
        <v>42005</v>
      </c>
      <c r="AK254" t="s">
        <v>51</v>
      </c>
      <c r="AN254">
        <v>0</v>
      </c>
      <c r="AO254" t="s">
        <v>54</v>
      </c>
      <c r="AP254" t="s">
        <v>53</v>
      </c>
      <c r="AQ254">
        <v>0</v>
      </c>
      <c r="AR254" t="s">
        <v>53</v>
      </c>
      <c r="AS254">
        <v>0</v>
      </c>
      <c r="AT254">
        <v>0</v>
      </c>
      <c r="BK254" t="s">
        <v>85</v>
      </c>
      <c r="BL254">
        <v>50000</v>
      </c>
      <c r="BM254" s="1">
        <v>44341</v>
      </c>
      <c r="BN254" s="1">
        <v>44341</v>
      </c>
      <c r="BO254" s="1">
        <v>44341</v>
      </c>
      <c r="BP254" s="1">
        <v>48573</v>
      </c>
      <c r="BQ254" t="s">
        <v>51</v>
      </c>
      <c r="BS254" t="s">
        <v>60</v>
      </c>
      <c r="BT254" t="s">
        <v>54</v>
      </c>
      <c r="BU254" t="s">
        <v>61</v>
      </c>
      <c r="BV254" t="s">
        <v>86</v>
      </c>
      <c r="BX254">
        <v>13</v>
      </c>
      <c r="BY254">
        <v>1430</v>
      </c>
      <c r="BZ254">
        <v>0</v>
      </c>
    </row>
    <row r="255" spans="1:78" x14ac:dyDescent="0.2">
      <c r="A255" t="s">
        <v>45</v>
      </c>
      <c r="B255" t="s">
        <v>46</v>
      </c>
      <c r="C255" t="s">
        <v>45</v>
      </c>
      <c r="D255" t="s">
        <v>68</v>
      </c>
      <c r="F255" t="str">
        <f>"253195"</f>
        <v>253195</v>
      </c>
      <c r="G255" t="s">
        <v>49</v>
      </c>
      <c r="H255" t="s">
        <v>292</v>
      </c>
      <c r="I255" t="s">
        <v>293</v>
      </c>
      <c r="K255" t="s">
        <v>51</v>
      </c>
      <c r="L255" t="s">
        <v>52</v>
      </c>
      <c r="M255">
        <v>135182.75</v>
      </c>
      <c r="N255">
        <v>475029.52</v>
      </c>
      <c r="O255" t="s">
        <v>53</v>
      </c>
      <c r="P255" t="s">
        <v>54</v>
      </c>
      <c r="Q255" t="s">
        <v>55</v>
      </c>
      <c r="T255" t="s">
        <v>56</v>
      </c>
      <c r="U255">
        <v>40</v>
      </c>
      <c r="V255" s="1">
        <v>34700</v>
      </c>
      <c r="W255" s="1">
        <v>34700</v>
      </c>
      <c r="X255" s="1">
        <v>34700</v>
      </c>
      <c r="Y255" s="1">
        <v>49310</v>
      </c>
      <c r="Z255" t="s">
        <v>51</v>
      </c>
      <c r="AB255" t="s">
        <v>54</v>
      </c>
      <c r="AC255">
        <v>1</v>
      </c>
      <c r="AE255" t="s">
        <v>84</v>
      </c>
      <c r="AF255">
        <v>20</v>
      </c>
      <c r="AG255" s="1">
        <v>34700</v>
      </c>
      <c r="AH255" s="1">
        <v>34700</v>
      </c>
      <c r="AI255" s="1">
        <v>34700</v>
      </c>
      <c r="AJ255" s="1">
        <v>42005</v>
      </c>
      <c r="AK255" t="s">
        <v>51</v>
      </c>
      <c r="AN255">
        <v>0</v>
      </c>
      <c r="AO255" t="s">
        <v>54</v>
      </c>
      <c r="AP255" t="s">
        <v>53</v>
      </c>
      <c r="AQ255">
        <v>0</v>
      </c>
      <c r="AR255" t="s">
        <v>53</v>
      </c>
      <c r="AS255">
        <v>0</v>
      </c>
      <c r="AT255">
        <v>0</v>
      </c>
      <c r="BK255" t="s">
        <v>85</v>
      </c>
      <c r="BL255">
        <v>50000</v>
      </c>
      <c r="BM255" s="1">
        <v>44341</v>
      </c>
      <c r="BN255" s="1">
        <v>44341</v>
      </c>
      <c r="BO255" s="1">
        <v>44341</v>
      </c>
      <c r="BP255" s="1">
        <v>48573</v>
      </c>
      <c r="BQ255" t="s">
        <v>51</v>
      </c>
      <c r="BS255" t="s">
        <v>60</v>
      </c>
      <c r="BT255" t="s">
        <v>54</v>
      </c>
      <c r="BU255" t="s">
        <v>61</v>
      </c>
      <c r="BV255" t="s">
        <v>86</v>
      </c>
      <c r="BX255">
        <v>13</v>
      </c>
      <c r="BY255">
        <v>1430</v>
      </c>
      <c r="BZ255">
        <v>0</v>
      </c>
    </row>
    <row r="256" spans="1:78" x14ac:dyDescent="0.2">
      <c r="A256" t="s">
        <v>45</v>
      </c>
      <c r="B256" t="s">
        <v>46</v>
      </c>
      <c r="C256" t="s">
        <v>45</v>
      </c>
      <c r="D256" t="s">
        <v>68</v>
      </c>
      <c r="F256" t="str">
        <f>"253196"</f>
        <v>253196</v>
      </c>
      <c r="G256" t="s">
        <v>49</v>
      </c>
      <c r="H256" t="s">
        <v>294</v>
      </c>
      <c r="K256" t="s">
        <v>51</v>
      </c>
      <c r="L256" t="s">
        <v>52</v>
      </c>
      <c r="M256">
        <v>135169.15</v>
      </c>
      <c r="N256">
        <v>475010.12</v>
      </c>
      <c r="O256" t="s">
        <v>53</v>
      </c>
      <c r="P256" t="s">
        <v>54</v>
      </c>
      <c r="Q256" t="s">
        <v>55</v>
      </c>
      <c r="T256" t="s">
        <v>81</v>
      </c>
      <c r="U256">
        <v>40</v>
      </c>
      <c r="V256" s="1">
        <v>34700</v>
      </c>
      <c r="W256" s="1">
        <v>34700</v>
      </c>
      <c r="X256" s="1">
        <v>34700</v>
      </c>
      <c r="Y256" s="1">
        <v>49310</v>
      </c>
      <c r="Z256" t="s">
        <v>51</v>
      </c>
      <c r="AB256" t="s">
        <v>54</v>
      </c>
      <c r="AC256">
        <v>1</v>
      </c>
      <c r="AE256" t="s">
        <v>84</v>
      </c>
      <c r="AF256">
        <v>20</v>
      </c>
      <c r="AG256" s="1">
        <v>34700</v>
      </c>
      <c r="AH256" s="1">
        <v>34700</v>
      </c>
      <c r="AI256" s="1">
        <v>34700</v>
      </c>
      <c r="AJ256" s="1">
        <v>42005</v>
      </c>
      <c r="AK256" t="s">
        <v>51</v>
      </c>
      <c r="AN256">
        <v>0</v>
      </c>
      <c r="AO256" t="s">
        <v>54</v>
      </c>
      <c r="AP256" t="s">
        <v>53</v>
      </c>
      <c r="AQ256">
        <v>0</v>
      </c>
      <c r="AR256" t="s">
        <v>53</v>
      </c>
      <c r="AS256">
        <v>0</v>
      </c>
      <c r="AT256">
        <v>0</v>
      </c>
      <c r="BK256" t="s">
        <v>85</v>
      </c>
      <c r="BL256">
        <v>50000</v>
      </c>
      <c r="BM256" s="1">
        <v>44341</v>
      </c>
      <c r="BN256" s="1">
        <v>44341</v>
      </c>
      <c r="BO256" s="1">
        <v>44341</v>
      </c>
      <c r="BP256" s="1">
        <v>48573</v>
      </c>
      <c r="BQ256" t="s">
        <v>51</v>
      </c>
      <c r="BS256" t="s">
        <v>60</v>
      </c>
      <c r="BT256" t="s">
        <v>54</v>
      </c>
      <c r="BU256" t="s">
        <v>61</v>
      </c>
      <c r="BV256" t="s">
        <v>86</v>
      </c>
      <c r="BX256">
        <v>13</v>
      </c>
      <c r="BY256">
        <v>1430</v>
      </c>
      <c r="BZ256">
        <v>0</v>
      </c>
    </row>
    <row r="257" spans="1:99" x14ac:dyDescent="0.2">
      <c r="A257" t="s">
        <v>45</v>
      </c>
      <c r="B257" t="s">
        <v>46</v>
      </c>
      <c r="C257" t="s">
        <v>47</v>
      </c>
      <c r="D257" t="s">
        <v>295</v>
      </c>
      <c r="F257" t="str">
        <f>"253197"</f>
        <v>253197</v>
      </c>
      <c r="G257" t="s">
        <v>49</v>
      </c>
      <c r="H257">
        <v>1</v>
      </c>
      <c r="I257" t="s">
        <v>296</v>
      </c>
      <c r="K257" t="s">
        <v>51</v>
      </c>
      <c r="L257" t="s">
        <v>52</v>
      </c>
      <c r="M257">
        <v>135196</v>
      </c>
      <c r="N257">
        <v>475005.33</v>
      </c>
      <c r="O257" t="s">
        <v>53</v>
      </c>
      <c r="P257" t="s">
        <v>54</v>
      </c>
      <c r="Q257" t="s">
        <v>55</v>
      </c>
      <c r="T257" t="s">
        <v>100</v>
      </c>
      <c r="U257">
        <v>40</v>
      </c>
      <c r="V257" s="1">
        <v>39288</v>
      </c>
      <c r="W257" s="1">
        <v>39288</v>
      </c>
      <c r="X257" s="1">
        <v>39288</v>
      </c>
      <c r="Y257" s="1">
        <v>53898</v>
      </c>
      <c r="Z257" t="s">
        <v>51</v>
      </c>
      <c r="AB257" t="s">
        <v>54</v>
      </c>
      <c r="AC257">
        <v>1</v>
      </c>
      <c r="AE257" t="s">
        <v>222</v>
      </c>
      <c r="AF257">
        <v>20</v>
      </c>
      <c r="AG257" s="1">
        <v>39288</v>
      </c>
      <c r="AH257" s="1">
        <v>39288</v>
      </c>
      <c r="AI257" s="1">
        <v>39288</v>
      </c>
      <c r="AJ257" s="1">
        <v>46593</v>
      </c>
      <c r="AK257" t="s">
        <v>51</v>
      </c>
      <c r="AN257">
        <v>0</v>
      </c>
      <c r="AO257" t="s">
        <v>54</v>
      </c>
      <c r="AP257" t="s">
        <v>53</v>
      </c>
      <c r="AQ257">
        <v>0</v>
      </c>
      <c r="AR257" t="s">
        <v>53</v>
      </c>
      <c r="AS257">
        <v>0</v>
      </c>
      <c r="AT257">
        <v>0</v>
      </c>
      <c r="BK257" t="s">
        <v>85</v>
      </c>
      <c r="BL257">
        <v>50000</v>
      </c>
      <c r="BM257" s="1">
        <v>44321</v>
      </c>
      <c r="BN257" s="1">
        <v>44321</v>
      </c>
      <c r="BO257" s="1">
        <v>44321</v>
      </c>
      <c r="BP257" s="1">
        <v>48564</v>
      </c>
      <c r="BQ257" t="s">
        <v>51</v>
      </c>
      <c r="BS257" t="s">
        <v>60</v>
      </c>
      <c r="BT257" t="s">
        <v>54</v>
      </c>
      <c r="BU257" t="s">
        <v>61</v>
      </c>
      <c r="BV257" t="s">
        <v>86</v>
      </c>
      <c r="BX257">
        <v>13</v>
      </c>
      <c r="BY257">
        <v>1430</v>
      </c>
      <c r="BZ257">
        <v>0</v>
      </c>
    </row>
    <row r="258" spans="1:99" x14ac:dyDescent="0.2">
      <c r="A258" t="s">
        <v>45</v>
      </c>
      <c r="B258" t="s">
        <v>46</v>
      </c>
      <c r="C258" t="s">
        <v>47</v>
      </c>
      <c r="D258" t="s">
        <v>295</v>
      </c>
      <c r="F258" t="str">
        <f>"253198"</f>
        <v>253198</v>
      </c>
      <c r="G258" t="s">
        <v>49</v>
      </c>
      <c r="H258" t="s">
        <v>297</v>
      </c>
      <c r="K258" t="s">
        <v>51</v>
      </c>
      <c r="L258" t="s">
        <v>52</v>
      </c>
      <c r="M258">
        <v>135220.87</v>
      </c>
      <c r="N258">
        <v>474997.76000000001</v>
      </c>
      <c r="O258" t="s">
        <v>53</v>
      </c>
      <c r="P258" t="s">
        <v>54</v>
      </c>
      <c r="Q258" t="s">
        <v>55</v>
      </c>
      <c r="T258" t="s">
        <v>100</v>
      </c>
      <c r="U258">
        <v>40</v>
      </c>
      <c r="V258" s="1">
        <v>24108</v>
      </c>
      <c r="W258" s="1">
        <v>24108</v>
      </c>
      <c r="X258" s="1">
        <v>24108</v>
      </c>
      <c r="Y258" s="1">
        <v>38718</v>
      </c>
      <c r="Z258" t="s">
        <v>51</v>
      </c>
      <c r="AB258" t="s">
        <v>54</v>
      </c>
      <c r="AC258">
        <v>1</v>
      </c>
      <c r="AE258" t="s">
        <v>222</v>
      </c>
      <c r="AF258">
        <v>20</v>
      </c>
      <c r="AG258" s="1">
        <v>36161</v>
      </c>
      <c r="AH258" s="1">
        <v>36161</v>
      </c>
      <c r="AI258" s="1">
        <v>36161</v>
      </c>
      <c r="AJ258" s="1">
        <v>43466</v>
      </c>
      <c r="AK258" t="s">
        <v>51</v>
      </c>
      <c r="AN258">
        <v>0</v>
      </c>
      <c r="AO258" t="s">
        <v>54</v>
      </c>
      <c r="AP258" t="s">
        <v>53</v>
      </c>
      <c r="AQ258">
        <v>0</v>
      </c>
      <c r="AR258" t="s">
        <v>53</v>
      </c>
      <c r="AS258">
        <v>0</v>
      </c>
      <c r="AT258">
        <v>0</v>
      </c>
      <c r="BK258" t="s">
        <v>85</v>
      </c>
      <c r="BL258">
        <v>50000</v>
      </c>
      <c r="BM258" s="1">
        <v>44321</v>
      </c>
      <c r="BN258" s="1">
        <v>44321</v>
      </c>
      <c r="BO258" s="1">
        <v>44321</v>
      </c>
      <c r="BP258" s="1">
        <v>48564</v>
      </c>
      <c r="BQ258" t="s">
        <v>51</v>
      </c>
      <c r="BS258" t="s">
        <v>60</v>
      </c>
      <c r="BT258" t="s">
        <v>54</v>
      </c>
      <c r="BU258" t="s">
        <v>61</v>
      </c>
      <c r="BV258" t="s">
        <v>86</v>
      </c>
      <c r="BX258">
        <v>13</v>
      </c>
      <c r="BY258">
        <v>1430</v>
      </c>
      <c r="BZ258">
        <v>0</v>
      </c>
    </row>
    <row r="259" spans="1:99" x14ac:dyDescent="0.2">
      <c r="A259" t="s">
        <v>45</v>
      </c>
      <c r="B259" t="s">
        <v>46</v>
      </c>
      <c r="C259" t="s">
        <v>47</v>
      </c>
      <c r="D259" t="s">
        <v>295</v>
      </c>
      <c r="F259" t="str">
        <f>"253200"</f>
        <v>253200</v>
      </c>
      <c r="G259" t="s">
        <v>49</v>
      </c>
      <c r="H259" t="s">
        <v>298</v>
      </c>
      <c r="K259" t="s">
        <v>51</v>
      </c>
      <c r="L259" t="s">
        <v>52</v>
      </c>
      <c r="M259">
        <v>135277.6</v>
      </c>
      <c r="N259">
        <v>474958.33</v>
      </c>
      <c r="O259" t="s">
        <v>53</v>
      </c>
      <c r="P259" t="s">
        <v>54</v>
      </c>
      <c r="Q259" t="s">
        <v>55</v>
      </c>
      <c r="T259" t="s">
        <v>246</v>
      </c>
      <c r="U259">
        <v>40</v>
      </c>
      <c r="V259" s="1">
        <v>24108</v>
      </c>
      <c r="W259" s="1">
        <v>24108</v>
      </c>
      <c r="X259" s="1">
        <v>24108</v>
      </c>
      <c r="Y259" s="1">
        <v>38718</v>
      </c>
      <c r="Z259" t="s">
        <v>51</v>
      </c>
      <c r="AB259" t="s">
        <v>54</v>
      </c>
      <c r="AC259">
        <v>1</v>
      </c>
      <c r="AE259" t="s">
        <v>243</v>
      </c>
      <c r="AF259">
        <v>20</v>
      </c>
      <c r="AG259" s="1">
        <v>36161</v>
      </c>
      <c r="AH259" s="1">
        <v>36161</v>
      </c>
      <c r="AI259" s="1">
        <v>36161</v>
      </c>
      <c r="AJ259" s="1">
        <v>43466</v>
      </c>
      <c r="AK259" t="s">
        <v>51</v>
      </c>
      <c r="AN259">
        <v>0</v>
      </c>
      <c r="AO259" t="s">
        <v>54</v>
      </c>
      <c r="AP259" t="s">
        <v>53</v>
      </c>
      <c r="AQ259">
        <v>0</v>
      </c>
      <c r="AR259" t="s">
        <v>53</v>
      </c>
      <c r="AS259">
        <v>0</v>
      </c>
      <c r="AT259">
        <v>0</v>
      </c>
      <c r="CC259" t="s">
        <v>244</v>
      </c>
      <c r="CD259">
        <v>100000</v>
      </c>
      <c r="CE259" s="1">
        <v>42917</v>
      </c>
      <c r="CF259" s="1">
        <v>42917</v>
      </c>
      <c r="CG259" s="1">
        <v>42917</v>
      </c>
      <c r="CH259" s="1">
        <v>51389</v>
      </c>
      <c r="CI259" t="s">
        <v>51</v>
      </c>
      <c r="CK259" t="s">
        <v>78</v>
      </c>
      <c r="CM259" t="s">
        <v>54</v>
      </c>
      <c r="CN259" t="s">
        <v>174</v>
      </c>
      <c r="CR259">
        <v>0</v>
      </c>
      <c r="CS259">
        <v>2150</v>
      </c>
      <c r="CT259">
        <v>0</v>
      </c>
      <c r="CU259">
        <v>16</v>
      </c>
    </row>
    <row r="260" spans="1:99" x14ac:dyDescent="0.2">
      <c r="A260" t="s">
        <v>45</v>
      </c>
      <c r="B260" t="s">
        <v>46</v>
      </c>
      <c r="C260" t="s">
        <v>45</v>
      </c>
      <c r="D260" t="s">
        <v>68</v>
      </c>
      <c r="F260" t="str">
        <f>"253201"</f>
        <v>253201</v>
      </c>
      <c r="G260" t="s">
        <v>49</v>
      </c>
      <c r="H260" t="s">
        <v>299</v>
      </c>
      <c r="K260" t="s">
        <v>51</v>
      </c>
      <c r="L260" t="s">
        <v>52</v>
      </c>
      <c r="M260">
        <v>135166.19</v>
      </c>
      <c r="N260">
        <v>474981.03</v>
      </c>
      <c r="O260" t="s">
        <v>53</v>
      </c>
      <c r="P260" t="s">
        <v>54</v>
      </c>
      <c r="Q260" t="s">
        <v>55</v>
      </c>
      <c r="T260" t="s">
        <v>81</v>
      </c>
      <c r="U260">
        <v>40</v>
      </c>
      <c r="V260" s="1">
        <v>34700</v>
      </c>
      <c r="W260" s="1">
        <v>34700</v>
      </c>
      <c r="X260" s="1">
        <v>34700</v>
      </c>
      <c r="Y260" s="1">
        <v>49310</v>
      </c>
      <c r="Z260" t="s">
        <v>51</v>
      </c>
      <c r="AB260" t="s">
        <v>54</v>
      </c>
      <c r="AC260">
        <v>1</v>
      </c>
      <c r="AE260" t="s">
        <v>84</v>
      </c>
      <c r="AF260">
        <v>20</v>
      </c>
      <c r="AG260" s="1">
        <v>34700</v>
      </c>
      <c r="AH260" s="1">
        <v>34700</v>
      </c>
      <c r="AI260" s="1">
        <v>34700</v>
      </c>
      <c r="AJ260" s="1">
        <v>42005</v>
      </c>
      <c r="AK260" t="s">
        <v>51</v>
      </c>
      <c r="AN260">
        <v>0</v>
      </c>
      <c r="AO260" t="s">
        <v>54</v>
      </c>
      <c r="AP260" t="s">
        <v>53</v>
      </c>
      <c r="AQ260">
        <v>0</v>
      </c>
      <c r="AR260" t="s">
        <v>53</v>
      </c>
      <c r="AS260">
        <v>0</v>
      </c>
      <c r="AT260">
        <v>0</v>
      </c>
      <c r="BK260" t="s">
        <v>85</v>
      </c>
      <c r="BL260">
        <v>50000</v>
      </c>
      <c r="BM260" s="1">
        <v>44341</v>
      </c>
      <c r="BN260" s="1">
        <v>44341</v>
      </c>
      <c r="BO260" s="1">
        <v>44341</v>
      </c>
      <c r="BP260" s="1">
        <v>48573</v>
      </c>
      <c r="BQ260" t="s">
        <v>51</v>
      </c>
      <c r="BS260" t="s">
        <v>60</v>
      </c>
      <c r="BT260" t="s">
        <v>54</v>
      </c>
      <c r="BU260" t="s">
        <v>61</v>
      </c>
      <c r="BV260" t="s">
        <v>86</v>
      </c>
      <c r="BX260">
        <v>13</v>
      </c>
      <c r="BY260">
        <v>1430</v>
      </c>
      <c r="BZ260">
        <v>0</v>
      </c>
    </row>
    <row r="261" spans="1:99" x14ac:dyDescent="0.2">
      <c r="A261" t="s">
        <v>45</v>
      </c>
      <c r="B261" t="s">
        <v>46</v>
      </c>
      <c r="C261" t="s">
        <v>45</v>
      </c>
      <c r="D261" t="s">
        <v>68</v>
      </c>
      <c r="F261" t="str">
        <f>"253202"</f>
        <v>253202</v>
      </c>
      <c r="G261" t="s">
        <v>49</v>
      </c>
      <c r="H261" t="s">
        <v>300</v>
      </c>
      <c r="K261" t="s">
        <v>51</v>
      </c>
      <c r="L261" t="s">
        <v>52</v>
      </c>
      <c r="M261">
        <v>135158.92000000001</v>
      </c>
      <c r="N261">
        <v>474957.59</v>
      </c>
      <c r="O261" t="s">
        <v>53</v>
      </c>
      <c r="P261" t="s">
        <v>54</v>
      </c>
      <c r="Q261" t="s">
        <v>55</v>
      </c>
      <c r="T261" t="s">
        <v>56</v>
      </c>
      <c r="U261">
        <v>40</v>
      </c>
      <c r="V261" s="1">
        <v>34700</v>
      </c>
      <c r="W261" s="1">
        <v>34700</v>
      </c>
      <c r="X261" s="1">
        <v>34700</v>
      </c>
      <c r="Y261" s="1">
        <v>49310</v>
      </c>
      <c r="Z261" t="s">
        <v>51</v>
      </c>
      <c r="AB261" t="s">
        <v>54</v>
      </c>
      <c r="AC261">
        <v>1</v>
      </c>
      <c r="AE261" t="s">
        <v>84</v>
      </c>
      <c r="AF261">
        <v>20</v>
      </c>
      <c r="AG261" s="1">
        <v>34700</v>
      </c>
      <c r="AH261" s="1">
        <v>34700</v>
      </c>
      <c r="AI261" s="1">
        <v>34700</v>
      </c>
      <c r="AJ261" s="1">
        <v>42005</v>
      </c>
      <c r="AK261" t="s">
        <v>51</v>
      </c>
      <c r="AN261">
        <v>0</v>
      </c>
      <c r="AO261" t="s">
        <v>54</v>
      </c>
      <c r="AP261" t="s">
        <v>53</v>
      </c>
      <c r="AQ261">
        <v>0</v>
      </c>
      <c r="AR261" t="s">
        <v>53</v>
      </c>
      <c r="AS261">
        <v>0</v>
      </c>
      <c r="AT261">
        <v>0</v>
      </c>
      <c r="BK261" t="s">
        <v>85</v>
      </c>
      <c r="BL261">
        <v>50000</v>
      </c>
      <c r="BM261" s="1">
        <v>44341</v>
      </c>
      <c r="BN261" s="1">
        <v>44341</v>
      </c>
      <c r="BO261" s="1">
        <v>44341</v>
      </c>
      <c r="BP261" s="1">
        <v>48573</v>
      </c>
      <c r="BQ261" t="s">
        <v>51</v>
      </c>
      <c r="BS261" t="s">
        <v>60</v>
      </c>
      <c r="BT261" t="s">
        <v>54</v>
      </c>
      <c r="BU261" t="s">
        <v>61</v>
      </c>
      <c r="BV261" t="s">
        <v>86</v>
      </c>
      <c r="BX261">
        <v>13</v>
      </c>
      <c r="BY261">
        <v>1430</v>
      </c>
      <c r="BZ261">
        <v>0</v>
      </c>
    </row>
    <row r="262" spans="1:99" x14ac:dyDescent="0.2">
      <c r="A262" t="s">
        <v>45</v>
      </c>
      <c r="B262" t="s">
        <v>46</v>
      </c>
      <c r="C262" t="s">
        <v>47</v>
      </c>
      <c r="D262" t="s">
        <v>301</v>
      </c>
      <c r="F262" t="str">
        <f>"253203"</f>
        <v>253203</v>
      </c>
      <c r="G262" t="s">
        <v>49</v>
      </c>
      <c r="H262" t="s">
        <v>302</v>
      </c>
      <c r="K262" t="s">
        <v>51</v>
      </c>
      <c r="L262" t="s">
        <v>52</v>
      </c>
      <c r="M262">
        <v>135169.01</v>
      </c>
      <c r="N262">
        <v>474946.49</v>
      </c>
      <c r="O262" t="s">
        <v>53</v>
      </c>
      <c r="P262" t="s">
        <v>54</v>
      </c>
      <c r="Q262" t="s">
        <v>55</v>
      </c>
      <c r="T262" t="s">
        <v>96</v>
      </c>
      <c r="U262">
        <v>30</v>
      </c>
      <c r="V262" s="1">
        <v>36526</v>
      </c>
      <c r="W262" s="1">
        <v>36526</v>
      </c>
      <c r="X262" s="1">
        <v>36526</v>
      </c>
      <c r="Y262" s="1">
        <v>47484</v>
      </c>
      <c r="Z262" t="s">
        <v>51</v>
      </c>
      <c r="AB262" t="s">
        <v>54</v>
      </c>
      <c r="AC262">
        <v>1</v>
      </c>
      <c r="AE262" t="s">
        <v>84</v>
      </c>
      <c r="AF262">
        <v>20</v>
      </c>
      <c r="AG262" s="1">
        <v>36526</v>
      </c>
      <c r="AH262" s="1">
        <v>36526</v>
      </c>
      <c r="AI262" s="1">
        <v>36526</v>
      </c>
      <c r="AJ262" s="1">
        <v>43831</v>
      </c>
      <c r="AK262" t="s">
        <v>51</v>
      </c>
      <c r="AN262">
        <v>0</v>
      </c>
      <c r="AO262" t="s">
        <v>54</v>
      </c>
      <c r="AP262" t="s">
        <v>53</v>
      </c>
      <c r="AQ262">
        <v>0</v>
      </c>
      <c r="AR262" t="s">
        <v>53</v>
      </c>
      <c r="AS262">
        <v>0</v>
      </c>
      <c r="AT262">
        <v>0</v>
      </c>
      <c r="BK262" t="s">
        <v>85</v>
      </c>
      <c r="BL262">
        <v>50000</v>
      </c>
      <c r="BM262" s="1">
        <v>44341</v>
      </c>
      <c r="BN262" s="1">
        <v>44341</v>
      </c>
      <c r="BO262" s="1">
        <v>44341</v>
      </c>
      <c r="BP262" s="1">
        <v>48573</v>
      </c>
      <c r="BQ262" t="s">
        <v>51</v>
      </c>
      <c r="BS262" t="s">
        <v>60</v>
      </c>
      <c r="BT262" t="s">
        <v>54</v>
      </c>
      <c r="BU262" t="s">
        <v>61</v>
      </c>
      <c r="BV262" t="s">
        <v>86</v>
      </c>
      <c r="BX262">
        <v>13</v>
      </c>
      <c r="BY262">
        <v>1430</v>
      </c>
      <c r="BZ262">
        <v>0</v>
      </c>
    </row>
    <row r="263" spans="1:99" x14ac:dyDescent="0.2">
      <c r="A263" t="s">
        <v>45</v>
      </c>
      <c r="B263" t="s">
        <v>46</v>
      </c>
      <c r="C263" t="s">
        <v>47</v>
      </c>
      <c r="D263" t="s">
        <v>301</v>
      </c>
      <c r="F263" t="str">
        <f>"253204"</f>
        <v>253204</v>
      </c>
      <c r="G263" t="s">
        <v>49</v>
      </c>
      <c r="H263" t="s">
        <v>303</v>
      </c>
      <c r="K263" t="s">
        <v>51</v>
      </c>
      <c r="L263" t="s">
        <v>52</v>
      </c>
      <c r="M263">
        <v>135185.37</v>
      </c>
      <c r="N263">
        <v>474929.53</v>
      </c>
      <c r="O263" t="s">
        <v>53</v>
      </c>
      <c r="P263" t="s">
        <v>54</v>
      </c>
      <c r="Q263" t="s">
        <v>55</v>
      </c>
      <c r="T263" t="s">
        <v>96</v>
      </c>
      <c r="U263">
        <v>30</v>
      </c>
      <c r="V263" s="1">
        <v>36526</v>
      </c>
      <c r="W263" s="1">
        <v>36526</v>
      </c>
      <c r="X263" s="1">
        <v>36526</v>
      </c>
      <c r="Y263" s="1">
        <v>47484</v>
      </c>
      <c r="Z263" t="s">
        <v>51</v>
      </c>
      <c r="AB263" t="s">
        <v>54</v>
      </c>
      <c r="AC263">
        <v>1</v>
      </c>
      <c r="AE263" t="s">
        <v>84</v>
      </c>
      <c r="AF263">
        <v>20</v>
      </c>
      <c r="AG263" s="1">
        <v>36526</v>
      </c>
      <c r="AH263" s="1">
        <v>36526</v>
      </c>
      <c r="AI263" s="1">
        <v>36526</v>
      </c>
      <c r="AJ263" s="1">
        <v>43831</v>
      </c>
      <c r="AK263" t="s">
        <v>51</v>
      </c>
      <c r="AN263">
        <v>0</v>
      </c>
      <c r="AO263" t="s">
        <v>54</v>
      </c>
      <c r="AP263" t="s">
        <v>53</v>
      </c>
      <c r="AQ263">
        <v>0</v>
      </c>
      <c r="AR263" t="s">
        <v>53</v>
      </c>
      <c r="AS263">
        <v>0</v>
      </c>
      <c r="AT263">
        <v>0</v>
      </c>
      <c r="BK263" t="s">
        <v>85</v>
      </c>
      <c r="BL263">
        <v>50000</v>
      </c>
      <c r="BM263" s="1">
        <v>44341</v>
      </c>
      <c r="BN263" s="1">
        <v>44341</v>
      </c>
      <c r="BO263" s="1">
        <v>44341</v>
      </c>
      <c r="BP263" s="1">
        <v>48573</v>
      </c>
      <c r="BQ263" t="s">
        <v>51</v>
      </c>
      <c r="BS263" t="s">
        <v>60</v>
      </c>
      <c r="BT263" t="s">
        <v>54</v>
      </c>
      <c r="BU263" t="s">
        <v>61</v>
      </c>
      <c r="BV263" t="s">
        <v>86</v>
      </c>
      <c r="BX263">
        <v>13</v>
      </c>
      <c r="BY263">
        <v>1430</v>
      </c>
      <c r="BZ263">
        <v>0</v>
      </c>
    </row>
    <row r="264" spans="1:99" x14ac:dyDescent="0.2">
      <c r="A264" t="s">
        <v>45</v>
      </c>
      <c r="B264" t="s">
        <v>46</v>
      </c>
      <c r="C264" t="s">
        <v>47</v>
      </c>
      <c r="D264" t="s">
        <v>301</v>
      </c>
      <c r="F264" t="str">
        <f>"253205"</f>
        <v>253205</v>
      </c>
      <c r="G264" t="s">
        <v>49</v>
      </c>
      <c r="H264" t="s">
        <v>275</v>
      </c>
      <c r="K264" t="s">
        <v>51</v>
      </c>
      <c r="L264" t="s">
        <v>52</v>
      </c>
      <c r="M264">
        <v>135206.31</v>
      </c>
      <c r="N264">
        <v>474944.61</v>
      </c>
      <c r="O264" t="s">
        <v>53</v>
      </c>
      <c r="P264" t="s">
        <v>54</v>
      </c>
      <c r="Q264" t="s">
        <v>55</v>
      </c>
      <c r="T264" t="s">
        <v>96</v>
      </c>
      <c r="U264">
        <v>30</v>
      </c>
      <c r="V264" s="1">
        <v>36526</v>
      </c>
      <c r="W264" s="1">
        <v>36526</v>
      </c>
      <c r="X264" s="1">
        <v>36526</v>
      </c>
      <c r="Y264" s="1">
        <v>47484</v>
      </c>
      <c r="Z264" t="s">
        <v>51</v>
      </c>
      <c r="AB264" t="s">
        <v>54</v>
      </c>
      <c r="AC264">
        <v>1</v>
      </c>
      <c r="AE264" t="s">
        <v>84</v>
      </c>
      <c r="AF264">
        <v>20</v>
      </c>
      <c r="AG264" s="1">
        <v>36526</v>
      </c>
      <c r="AH264" s="1">
        <v>36526</v>
      </c>
      <c r="AI264" s="1">
        <v>36526</v>
      </c>
      <c r="AJ264" s="1">
        <v>43831</v>
      </c>
      <c r="AK264" t="s">
        <v>51</v>
      </c>
      <c r="AN264">
        <v>0</v>
      </c>
      <c r="AO264" t="s">
        <v>54</v>
      </c>
      <c r="AP264" t="s">
        <v>53</v>
      </c>
      <c r="AQ264">
        <v>0</v>
      </c>
      <c r="AR264" t="s">
        <v>53</v>
      </c>
      <c r="AS264">
        <v>0</v>
      </c>
      <c r="AT264">
        <v>0</v>
      </c>
      <c r="BK264" t="s">
        <v>85</v>
      </c>
      <c r="BL264">
        <v>50000</v>
      </c>
      <c r="BM264" s="1">
        <v>44341</v>
      </c>
      <c r="BN264" s="1">
        <v>44341</v>
      </c>
      <c r="BO264" s="1">
        <v>44341</v>
      </c>
      <c r="BP264" s="1">
        <v>48573</v>
      </c>
      <c r="BQ264" t="s">
        <v>51</v>
      </c>
      <c r="BS264" t="s">
        <v>60</v>
      </c>
      <c r="BT264" t="s">
        <v>54</v>
      </c>
      <c r="BU264" t="s">
        <v>61</v>
      </c>
      <c r="BV264" t="s">
        <v>86</v>
      </c>
      <c r="BX264">
        <v>13</v>
      </c>
      <c r="BY264">
        <v>1430</v>
      </c>
      <c r="BZ264">
        <v>0</v>
      </c>
    </row>
    <row r="265" spans="1:99" x14ac:dyDescent="0.2">
      <c r="A265" t="s">
        <v>45</v>
      </c>
      <c r="B265" t="s">
        <v>46</v>
      </c>
      <c r="C265" t="s">
        <v>47</v>
      </c>
      <c r="D265" t="s">
        <v>301</v>
      </c>
      <c r="F265" t="str">
        <f>"253206"</f>
        <v>253206</v>
      </c>
      <c r="G265" t="s">
        <v>49</v>
      </c>
      <c r="H265" t="s">
        <v>272</v>
      </c>
      <c r="K265" t="s">
        <v>51</v>
      </c>
      <c r="L265" t="s">
        <v>52</v>
      </c>
      <c r="M265">
        <v>135206.89000000001</v>
      </c>
      <c r="N265">
        <v>474927.78</v>
      </c>
      <c r="O265" t="s">
        <v>53</v>
      </c>
      <c r="P265" t="s">
        <v>54</v>
      </c>
      <c r="Q265" t="s">
        <v>55</v>
      </c>
      <c r="T265" t="s">
        <v>96</v>
      </c>
      <c r="U265">
        <v>30</v>
      </c>
      <c r="V265" s="1">
        <v>36526</v>
      </c>
      <c r="W265" s="1">
        <v>36526</v>
      </c>
      <c r="X265" s="1">
        <v>36526</v>
      </c>
      <c r="Y265" s="1">
        <v>47484</v>
      </c>
      <c r="Z265" t="s">
        <v>51</v>
      </c>
      <c r="AB265" t="s">
        <v>54</v>
      </c>
      <c r="AC265">
        <v>1</v>
      </c>
      <c r="AE265" t="s">
        <v>84</v>
      </c>
      <c r="AF265">
        <v>20</v>
      </c>
      <c r="AG265" s="1">
        <v>36526</v>
      </c>
      <c r="AH265" s="1">
        <v>36526</v>
      </c>
      <c r="AI265" s="1">
        <v>36526</v>
      </c>
      <c r="AJ265" s="1">
        <v>43831</v>
      </c>
      <c r="AK265" t="s">
        <v>51</v>
      </c>
      <c r="AN265">
        <v>0</v>
      </c>
      <c r="AO265" t="s">
        <v>54</v>
      </c>
      <c r="AP265" t="s">
        <v>53</v>
      </c>
      <c r="AQ265">
        <v>0</v>
      </c>
      <c r="AR265" t="s">
        <v>53</v>
      </c>
      <c r="AS265">
        <v>0</v>
      </c>
      <c r="AT265">
        <v>0</v>
      </c>
      <c r="BK265" t="s">
        <v>85</v>
      </c>
      <c r="BL265">
        <v>50000</v>
      </c>
      <c r="BM265" s="1">
        <v>44837</v>
      </c>
      <c r="BN265" s="1">
        <v>44837</v>
      </c>
      <c r="BO265" s="1">
        <v>44837</v>
      </c>
      <c r="BP265" s="1">
        <v>49017</v>
      </c>
      <c r="BQ265" t="s">
        <v>51</v>
      </c>
      <c r="BS265" t="s">
        <v>60</v>
      </c>
      <c r="BT265" t="s">
        <v>54</v>
      </c>
      <c r="BU265" t="s">
        <v>61</v>
      </c>
      <c r="BV265" t="s">
        <v>86</v>
      </c>
      <c r="BX265">
        <v>13</v>
      </c>
      <c r="BY265">
        <v>1430</v>
      </c>
      <c r="BZ265">
        <v>0</v>
      </c>
    </row>
    <row r="266" spans="1:99" x14ac:dyDescent="0.2">
      <c r="A266" t="s">
        <v>45</v>
      </c>
      <c r="B266" t="s">
        <v>46</v>
      </c>
      <c r="C266" t="s">
        <v>47</v>
      </c>
      <c r="D266" t="s">
        <v>301</v>
      </c>
      <c r="F266" t="str">
        <f>"253207"</f>
        <v>253207</v>
      </c>
      <c r="G266" t="s">
        <v>49</v>
      </c>
      <c r="H266" t="s">
        <v>283</v>
      </c>
      <c r="K266" t="s">
        <v>51</v>
      </c>
      <c r="L266" t="s">
        <v>52</v>
      </c>
      <c r="M266">
        <v>135194.23999999999</v>
      </c>
      <c r="N266">
        <v>474901.2</v>
      </c>
      <c r="O266" t="s">
        <v>53</v>
      </c>
      <c r="P266" t="s">
        <v>54</v>
      </c>
      <c r="Q266" t="s">
        <v>55</v>
      </c>
      <c r="T266" t="s">
        <v>96</v>
      </c>
      <c r="U266">
        <v>30</v>
      </c>
      <c r="V266" s="1">
        <v>36526</v>
      </c>
      <c r="W266" s="1">
        <v>36526</v>
      </c>
      <c r="X266" s="1">
        <v>36526</v>
      </c>
      <c r="Y266" s="1">
        <v>47484</v>
      </c>
      <c r="Z266" t="s">
        <v>51</v>
      </c>
      <c r="AB266" t="s">
        <v>54</v>
      </c>
      <c r="AC266">
        <v>1</v>
      </c>
      <c r="AE266" t="s">
        <v>84</v>
      </c>
      <c r="AF266">
        <v>20</v>
      </c>
      <c r="AG266" s="1">
        <v>36526</v>
      </c>
      <c r="AH266" s="1">
        <v>36526</v>
      </c>
      <c r="AI266" s="1">
        <v>36526</v>
      </c>
      <c r="AJ266" s="1">
        <v>43831</v>
      </c>
      <c r="AK266" t="s">
        <v>51</v>
      </c>
      <c r="AN266">
        <v>0</v>
      </c>
      <c r="AO266" t="s">
        <v>54</v>
      </c>
      <c r="AP266" t="s">
        <v>53</v>
      </c>
      <c r="AQ266">
        <v>0</v>
      </c>
      <c r="AR266" t="s">
        <v>53</v>
      </c>
      <c r="AS266">
        <v>0</v>
      </c>
      <c r="AT266">
        <v>0</v>
      </c>
      <c r="BK266" t="s">
        <v>85</v>
      </c>
      <c r="BL266">
        <v>50000</v>
      </c>
      <c r="BM266" s="1">
        <v>44935</v>
      </c>
      <c r="BN266" s="1">
        <v>44935</v>
      </c>
      <c r="BO266" s="1">
        <v>44935</v>
      </c>
      <c r="BP266" s="1">
        <v>49192</v>
      </c>
      <c r="BQ266" t="s">
        <v>51</v>
      </c>
      <c r="BS266" t="s">
        <v>60</v>
      </c>
      <c r="BT266" t="s">
        <v>54</v>
      </c>
      <c r="BU266" t="s">
        <v>61</v>
      </c>
      <c r="BV266" t="s">
        <v>86</v>
      </c>
      <c r="BX266">
        <v>13</v>
      </c>
      <c r="BY266">
        <v>1430</v>
      </c>
      <c r="BZ266">
        <v>0</v>
      </c>
    </row>
    <row r="267" spans="1:99" x14ac:dyDescent="0.2">
      <c r="A267" t="s">
        <v>45</v>
      </c>
      <c r="B267" t="s">
        <v>46</v>
      </c>
      <c r="C267" t="s">
        <v>47</v>
      </c>
      <c r="D267" t="s">
        <v>301</v>
      </c>
      <c r="F267" t="str">
        <f>"253208"</f>
        <v>253208</v>
      </c>
      <c r="G267" t="s">
        <v>49</v>
      </c>
      <c r="H267" t="s">
        <v>304</v>
      </c>
      <c r="K267" t="s">
        <v>51</v>
      </c>
      <c r="L267" t="s">
        <v>52</v>
      </c>
      <c r="M267">
        <v>135178.84</v>
      </c>
      <c r="N267">
        <v>474890.35</v>
      </c>
      <c r="O267" t="s">
        <v>53</v>
      </c>
      <c r="P267" t="s">
        <v>54</v>
      </c>
      <c r="Q267" t="s">
        <v>55</v>
      </c>
      <c r="T267" t="s">
        <v>96</v>
      </c>
      <c r="U267">
        <v>30</v>
      </c>
      <c r="V267" s="1">
        <v>36526</v>
      </c>
      <c r="W267" s="1">
        <v>36526</v>
      </c>
      <c r="X267" s="1">
        <v>36526</v>
      </c>
      <c r="Y267" s="1">
        <v>47484</v>
      </c>
      <c r="Z267" t="s">
        <v>51</v>
      </c>
      <c r="AB267" t="s">
        <v>54</v>
      </c>
      <c r="AC267">
        <v>1</v>
      </c>
      <c r="AE267" t="s">
        <v>84</v>
      </c>
      <c r="AF267">
        <v>20</v>
      </c>
      <c r="AG267" s="1">
        <v>36526</v>
      </c>
      <c r="AH267" s="1">
        <v>36526</v>
      </c>
      <c r="AI267" s="1">
        <v>36526</v>
      </c>
      <c r="AJ267" s="1">
        <v>43831</v>
      </c>
      <c r="AK267" t="s">
        <v>51</v>
      </c>
      <c r="AN267">
        <v>0</v>
      </c>
      <c r="AO267" t="s">
        <v>54</v>
      </c>
      <c r="AP267" t="s">
        <v>53</v>
      </c>
      <c r="AQ267">
        <v>0</v>
      </c>
      <c r="AR267" t="s">
        <v>53</v>
      </c>
      <c r="AS267">
        <v>0</v>
      </c>
      <c r="AT267">
        <v>0</v>
      </c>
      <c r="BK267" t="s">
        <v>85</v>
      </c>
      <c r="BL267">
        <v>50000</v>
      </c>
      <c r="BM267" s="1">
        <v>44341</v>
      </c>
      <c r="BN267" s="1">
        <v>44341</v>
      </c>
      <c r="BO267" s="1">
        <v>44341</v>
      </c>
      <c r="BP267" s="1">
        <v>48573</v>
      </c>
      <c r="BQ267" t="s">
        <v>51</v>
      </c>
      <c r="BS267" t="s">
        <v>60</v>
      </c>
      <c r="BT267" t="s">
        <v>54</v>
      </c>
      <c r="BU267" t="s">
        <v>61</v>
      </c>
      <c r="BV267" t="s">
        <v>86</v>
      </c>
      <c r="BX267">
        <v>13</v>
      </c>
      <c r="BY267">
        <v>1430</v>
      </c>
      <c r="BZ267">
        <v>0</v>
      </c>
    </row>
    <row r="268" spans="1:99" x14ac:dyDescent="0.2">
      <c r="A268" t="s">
        <v>45</v>
      </c>
      <c r="B268" t="s">
        <v>46</v>
      </c>
      <c r="C268" t="s">
        <v>47</v>
      </c>
      <c r="D268" t="s">
        <v>301</v>
      </c>
      <c r="F268" t="str">
        <f>"253209"</f>
        <v>253209</v>
      </c>
      <c r="G268" t="s">
        <v>49</v>
      </c>
      <c r="H268" t="s">
        <v>305</v>
      </c>
      <c r="K268" t="s">
        <v>51</v>
      </c>
      <c r="L268" t="s">
        <v>52</v>
      </c>
      <c r="M268">
        <v>135193.43</v>
      </c>
      <c r="N268">
        <v>474919.86</v>
      </c>
      <c r="O268" t="s">
        <v>53</v>
      </c>
      <c r="P268" t="s">
        <v>54</v>
      </c>
      <c r="Q268" t="s">
        <v>55</v>
      </c>
      <c r="T268" t="s">
        <v>96</v>
      </c>
      <c r="U268">
        <v>30</v>
      </c>
      <c r="V268" s="1">
        <v>36526</v>
      </c>
      <c r="W268" s="1">
        <v>36526</v>
      </c>
      <c r="X268" s="1">
        <v>36526</v>
      </c>
      <c r="Y268" s="1">
        <v>47484</v>
      </c>
      <c r="Z268" t="s">
        <v>51</v>
      </c>
      <c r="AB268" t="s">
        <v>54</v>
      </c>
      <c r="AC268">
        <v>1</v>
      </c>
      <c r="AE268" t="s">
        <v>84</v>
      </c>
      <c r="AF268">
        <v>20</v>
      </c>
      <c r="AG268" s="1">
        <v>36526</v>
      </c>
      <c r="AH268" s="1">
        <v>36526</v>
      </c>
      <c r="AI268" s="1">
        <v>36526</v>
      </c>
      <c r="AJ268" s="1">
        <v>43831</v>
      </c>
      <c r="AK268" t="s">
        <v>51</v>
      </c>
      <c r="AN268">
        <v>0</v>
      </c>
      <c r="AO268" t="s">
        <v>54</v>
      </c>
      <c r="AP268" t="s">
        <v>53</v>
      </c>
      <c r="AQ268">
        <v>0</v>
      </c>
      <c r="AR268" t="s">
        <v>53</v>
      </c>
      <c r="AS268">
        <v>0</v>
      </c>
      <c r="AT268">
        <v>0</v>
      </c>
      <c r="BK268" t="s">
        <v>85</v>
      </c>
      <c r="BL268">
        <v>50000</v>
      </c>
      <c r="BM268" s="1">
        <v>44341</v>
      </c>
      <c r="BN268" s="1">
        <v>44341</v>
      </c>
      <c r="BO268" s="1">
        <v>44341</v>
      </c>
      <c r="BP268" s="1">
        <v>48573</v>
      </c>
      <c r="BQ268" t="s">
        <v>51</v>
      </c>
      <c r="BS268" t="s">
        <v>60</v>
      </c>
      <c r="BT268" t="s">
        <v>54</v>
      </c>
      <c r="BU268" t="s">
        <v>61</v>
      </c>
      <c r="BV268" t="s">
        <v>86</v>
      </c>
      <c r="BX268">
        <v>13</v>
      </c>
      <c r="BY268">
        <v>1430</v>
      </c>
      <c r="BZ268">
        <v>0</v>
      </c>
    </row>
    <row r="269" spans="1:99" x14ac:dyDescent="0.2">
      <c r="A269" t="s">
        <v>45</v>
      </c>
      <c r="B269" t="s">
        <v>46</v>
      </c>
      <c r="C269" t="s">
        <v>47</v>
      </c>
      <c r="D269" t="s">
        <v>301</v>
      </c>
      <c r="F269" t="str">
        <f>"253210"</f>
        <v>253210</v>
      </c>
      <c r="G269" t="s">
        <v>49</v>
      </c>
      <c r="H269" t="s">
        <v>306</v>
      </c>
      <c r="K269" t="s">
        <v>51</v>
      </c>
      <c r="L269" t="s">
        <v>52</v>
      </c>
      <c r="M269">
        <v>135173.23000000001</v>
      </c>
      <c r="N269">
        <v>474924.34</v>
      </c>
      <c r="O269" t="s">
        <v>53</v>
      </c>
      <c r="P269" t="s">
        <v>54</v>
      </c>
      <c r="Q269" t="s">
        <v>55</v>
      </c>
      <c r="T269" t="s">
        <v>100</v>
      </c>
      <c r="U269">
        <v>40</v>
      </c>
      <c r="V269" s="1">
        <v>36526</v>
      </c>
      <c r="W269" s="1">
        <v>36526</v>
      </c>
      <c r="X269" s="1">
        <v>36526</v>
      </c>
      <c r="Y269" s="1">
        <v>51136</v>
      </c>
      <c r="Z269" t="s">
        <v>51</v>
      </c>
      <c r="AB269" t="s">
        <v>54</v>
      </c>
      <c r="AC269">
        <v>1</v>
      </c>
      <c r="AE269" t="s">
        <v>222</v>
      </c>
      <c r="AF269">
        <v>20</v>
      </c>
      <c r="AG269" s="1">
        <v>36526</v>
      </c>
      <c r="AH269" s="1">
        <v>36526</v>
      </c>
      <c r="AI269" s="1">
        <v>36526</v>
      </c>
      <c r="AJ269" s="1">
        <v>43831</v>
      </c>
      <c r="AK269" t="s">
        <v>51</v>
      </c>
      <c r="AN269">
        <v>0</v>
      </c>
      <c r="AO269" t="s">
        <v>54</v>
      </c>
      <c r="AP269" t="s">
        <v>53</v>
      </c>
      <c r="AQ269">
        <v>0</v>
      </c>
      <c r="AR269" t="s">
        <v>53</v>
      </c>
      <c r="AS269">
        <v>0</v>
      </c>
      <c r="AT269">
        <v>0</v>
      </c>
      <c r="BK269" t="s">
        <v>85</v>
      </c>
      <c r="BL269">
        <v>50000</v>
      </c>
      <c r="BM269" s="1">
        <v>44341</v>
      </c>
      <c r="BN269" s="1">
        <v>44341</v>
      </c>
      <c r="BO269" s="1">
        <v>44341</v>
      </c>
      <c r="BP269" s="1">
        <v>48573</v>
      </c>
      <c r="BQ269" t="s">
        <v>51</v>
      </c>
      <c r="BS269" t="s">
        <v>60</v>
      </c>
      <c r="BT269" t="s">
        <v>54</v>
      </c>
      <c r="BU269" t="s">
        <v>61</v>
      </c>
      <c r="BV269" t="s">
        <v>86</v>
      </c>
      <c r="BX269">
        <v>13</v>
      </c>
      <c r="BY269">
        <v>1430</v>
      </c>
      <c r="BZ269">
        <v>0</v>
      </c>
    </row>
    <row r="270" spans="1:99" x14ac:dyDescent="0.2">
      <c r="A270" t="s">
        <v>45</v>
      </c>
      <c r="B270" t="s">
        <v>46</v>
      </c>
      <c r="C270" t="s">
        <v>45</v>
      </c>
      <c r="D270" t="s">
        <v>68</v>
      </c>
      <c r="F270" t="str">
        <f>"253211"</f>
        <v>253211</v>
      </c>
      <c r="G270" t="s">
        <v>49</v>
      </c>
      <c r="H270" t="s">
        <v>307</v>
      </c>
      <c r="K270" t="s">
        <v>51</v>
      </c>
      <c r="L270" t="s">
        <v>52</v>
      </c>
      <c r="M270">
        <v>135145.47</v>
      </c>
      <c r="N270">
        <v>474938.84</v>
      </c>
      <c r="O270" t="s">
        <v>53</v>
      </c>
      <c r="P270" t="s">
        <v>54</v>
      </c>
      <c r="Q270" t="s">
        <v>55</v>
      </c>
      <c r="T270" t="s">
        <v>81</v>
      </c>
      <c r="U270">
        <v>40</v>
      </c>
      <c r="V270" s="1">
        <v>34700</v>
      </c>
      <c r="W270" s="1">
        <v>34700</v>
      </c>
      <c r="X270" s="1">
        <v>34700</v>
      </c>
      <c r="Y270" s="1">
        <v>49310</v>
      </c>
      <c r="Z270" t="s">
        <v>51</v>
      </c>
      <c r="AB270" t="s">
        <v>54</v>
      </c>
      <c r="AC270">
        <v>1</v>
      </c>
      <c r="AE270" t="s">
        <v>84</v>
      </c>
      <c r="AF270">
        <v>20</v>
      </c>
      <c r="AG270" s="1">
        <v>34700</v>
      </c>
      <c r="AH270" s="1">
        <v>34700</v>
      </c>
      <c r="AI270" s="1">
        <v>34700</v>
      </c>
      <c r="AJ270" s="1">
        <v>42005</v>
      </c>
      <c r="AK270" t="s">
        <v>51</v>
      </c>
      <c r="AN270">
        <v>0</v>
      </c>
      <c r="AO270" t="s">
        <v>54</v>
      </c>
      <c r="AP270" t="s">
        <v>53</v>
      </c>
      <c r="AQ270">
        <v>0</v>
      </c>
      <c r="AR270" t="s">
        <v>53</v>
      </c>
      <c r="AS270">
        <v>0</v>
      </c>
      <c r="AT270">
        <v>0</v>
      </c>
      <c r="BK270" t="s">
        <v>85</v>
      </c>
      <c r="BL270">
        <v>50000</v>
      </c>
      <c r="BM270" s="1">
        <v>44341</v>
      </c>
      <c r="BN270" s="1">
        <v>44341</v>
      </c>
      <c r="BO270" s="1">
        <v>44341</v>
      </c>
      <c r="BP270" s="1">
        <v>48573</v>
      </c>
      <c r="BQ270" t="s">
        <v>51</v>
      </c>
      <c r="BS270" t="s">
        <v>60</v>
      </c>
      <c r="BT270" t="s">
        <v>54</v>
      </c>
      <c r="BU270" t="s">
        <v>61</v>
      </c>
      <c r="BV270" t="s">
        <v>86</v>
      </c>
      <c r="BX270">
        <v>13</v>
      </c>
      <c r="BY270">
        <v>1430</v>
      </c>
      <c r="BZ270">
        <v>0</v>
      </c>
    </row>
    <row r="271" spans="1:99" x14ac:dyDescent="0.2">
      <c r="A271" t="s">
        <v>45</v>
      </c>
      <c r="B271" t="s">
        <v>46</v>
      </c>
      <c r="C271" t="s">
        <v>45</v>
      </c>
      <c r="D271" t="s">
        <v>68</v>
      </c>
      <c r="F271" t="str">
        <f>"253212"</f>
        <v>253212</v>
      </c>
      <c r="G271" t="s">
        <v>49</v>
      </c>
      <c r="H271" t="s">
        <v>308</v>
      </c>
      <c r="K271" t="s">
        <v>51</v>
      </c>
      <c r="L271" t="s">
        <v>52</v>
      </c>
      <c r="M271">
        <v>135146.14000000001</v>
      </c>
      <c r="N271">
        <v>474916.74</v>
      </c>
      <c r="O271" t="s">
        <v>53</v>
      </c>
      <c r="P271" t="s">
        <v>54</v>
      </c>
      <c r="Q271" t="s">
        <v>55</v>
      </c>
      <c r="T271" t="s">
        <v>56</v>
      </c>
      <c r="U271">
        <v>40</v>
      </c>
      <c r="V271" s="1">
        <v>34700</v>
      </c>
      <c r="W271" s="1">
        <v>34700</v>
      </c>
      <c r="X271" s="1">
        <v>34700</v>
      </c>
      <c r="Y271" s="1">
        <v>49310</v>
      </c>
      <c r="Z271" t="s">
        <v>51</v>
      </c>
      <c r="AB271" t="s">
        <v>54</v>
      </c>
      <c r="AC271">
        <v>1</v>
      </c>
      <c r="AE271" t="s">
        <v>84</v>
      </c>
      <c r="AF271">
        <v>20</v>
      </c>
      <c r="AG271" s="1">
        <v>34700</v>
      </c>
      <c r="AH271" s="1">
        <v>34700</v>
      </c>
      <c r="AI271" s="1">
        <v>34700</v>
      </c>
      <c r="AJ271" s="1">
        <v>42005</v>
      </c>
      <c r="AK271" t="s">
        <v>51</v>
      </c>
      <c r="AN271">
        <v>0</v>
      </c>
      <c r="AO271" t="s">
        <v>54</v>
      </c>
      <c r="AP271" t="s">
        <v>53</v>
      </c>
      <c r="AQ271">
        <v>0</v>
      </c>
      <c r="AR271" t="s">
        <v>53</v>
      </c>
      <c r="AS271">
        <v>0</v>
      </c>
      <c r="AT271">
        <v>0</v>
      </c>
      <c r="BK271" t="s">
        <v>85</v>
      </c>
      <c r="BL271">
        <v>50000</v>
      </c>
      <c r="BM271" s="1">
        <v>44341</v>
      </c>
      <c r="BN271" s="1">
        <v>44341</v>
      </c>
      <c r="BO271" s="1">
        <v>44341</v>
      </c>
      <c r="BP271" s="1">
        <v>48573</v>
      </c>
      <c r="BQ271" t="s">
        <v>51</v>
      </c>
      <c r="BS271" t="s">
        <v>60</v>
      </c>
      <c r="BT271" t="s">
        <v>54</v>
      </c>
      <c r="BU271" t="s">
        <v>61</v>
      </c>
      <c r="BV271" t="s">
        <v>86</v>
      </c>
      <c r="BX271">
        <v>13</v>
      </c>
      <c r="BY271">
        <v>1430</v>
      </c>
      <c r="BZ271">
        <v>0</v>
      </c>
    </row>
    <row r="272" spans="1:99" x14ac:dyDescent="0.2">
      <c r="A272" t="s">
        <v>45</v>
      </c>
      <c r="B272" t="s">
        <v>46</v>
      </c>
      <c r="C272" t="s">
        <v>45</v>
      </c>
      <c r="D272" t="s">
        <v>68</v>
      </c>
      <c r="F272" t="str">
        <f>"253213"</f>
        <v>253213</v>
      </c>
      <c r="G272" t="s">
        <v>49</v>
      </c>
      <c r="H272" t="s">
        <v>199</v>
      </c>
      <c r="K272" t="s">
        <v>51</v>
      </c>
      <c r="L272" t="s">
        <v>52</v>
      </c>
      <c r="M272">
        <v>135138.03</v>
      </c>
      <c r="N272">
        <v>474891.49</v>
      </c>
      <c r="O272" t="s">
        <v>53</v>
      </c>
      <c r="P272" t="s">
        <v>54</v>
      </c>
      <c r="Q272" t="s">
        <v>55</v>
      </c>
      <c r="T272" t="s">
        <v>83</v>
      </c>
      <c r="U272">
        <v>40</v>
      </c>
      <c r="V272" s="1">
        <v>44462</v>
      </c>
      <c r="W272" s="1">
        <v>44462</v>
      </c>
      <c r="X272" s="1">
        <v>44462</v>
      </c>
      <c r="Y272" s="1">
        <v>59072</v>
      </c>
      <c r="Z272" t="s">
        <v>51</v>
      </c>
      <c r="AB272" t="s">
        <v>54</v>
      </c>
      <c r="AC272">
        <v>1</v>
      </c>
      <c r="AE272" t="s">
        <v>84</v>
      </c>
      <c r="AF272">
        <v>20</v>
      </c>
      <c r="AG272" s="1">
        <v>34700</v>
      </c>
      <c r="AH272" s="1">
        <v>34700</v>
      </c>
      <c r="AI272" s="1">
        <v>44462</v>
      </c>
      <c r="AJ272" s="1">
        <v>42005</v>
      </c>
      <c r="AK272" t="s">
        <v>51</v>
      </c>
      <c r="AN272">
        <v>0</v>
      </c>
      <c r="AO272" t="s">
        <v>54</v>
      </c>
      <c r="AP272" t="s">
        <v>53</v>
      </c>
      <c r="AQ272">
        <v>0</v>
      </c>
      <c r="AR272" t="s">
        <v>53</v>
      </c>
      <c r="AS272">
        <v>0</v>
      </c>
      <c r="AT272">
        <v>0</v>
      </c>
      <c r="BK272" t="s">
        <v>85</v>
      </c>
      <c r="BL272">
        <v>50000</v>
      </c>
      <c r="BM272" s="1">
        <v>44341</v>
      </c>
      <c r="BN272" s="1">
        <v>44341</v>
      </c>
      <c r="BO272" s="1">
        <v>44462</v>
      </c>
      <c r="BP272" s="1">
        <v>48573</v>
      </c>
      <c r="BQ272" t="s">
        <v>51</v>
      </c>
      <c r="BS272" t="s">
        <v>60</v>
      </c>
      <c r="BT272" t="s">
        <v>54</v>
      </c>
      <c r="BU272" t="s">
        <v>61</v>
      </c>
      <c r="BV272" t="s">
        <v>86</v>
      </c>
      <c r="BX272">
        <v>13</v>
      </c>
      <c r="BY272">
        <v>1430</v>
      </c>
      <c r="BZ272">
        <v>0</v>
      </c>
    </row>
    <row r="273" spans="1:78" x14ac:dyDescent="0.2">
      <c r="A273" t="s">
        <v>45</v>
      </c>
      <c r="B273" t="s">
        <v>46</v>
      </c>
      <c r="C273" t="s">
        <v>45</v>
      </c>
      <c r="D273" t="s">
        <v>68</v>
      </c>
      <c r="F273" t="str">
        <f>"253214"</f>
        <v>253214</v>
      </c>
      <c r="G273" t="s">
        <v>49</v>
      </c>
      <c r="H273" t="s">
        <v>309</v>
      </c>
      <c r="I273" t="s">
        <v>164</v>
      </c>
      <c r="K273" t="s">
        <v>51</v>
      </c>
      <c r="L273" t="s">
        <v>52</v>
      </c>
      <c r="M273">
        <v>135122.25</v>
      </c>
      <c r="N273">
        <v>474868.49</v>
      </c>
      <c r="O273" t="s">
        <v>53</v>
      </c>
      <c r="P273" t="s">
        <v>54</v>
      </c>
      <c r="Q273" t="s">
        <v>55</v>
      </c>
      <c r="T273" t="s">
        <v>83</v>
      </c>
      <c r="U273">
        <v>40</v>
      </c>
      <c r="V273" s="1">
        <v>34700</v>
      </c>
      <c r="W273" s="1">
        <v>34700</v>
      </c>
      <c r="X273" s="1">
        <v>34700</v>
      </c>
      <c r="Y273" s="1">
        <v>49310</v>
      </c>
      <c r="Z273" t="s">
        <v>51</v>
      </c>
      <c r="AB273" t="s">
        <v>54</v>
      </c>
      <c r="AC273">
        <v>1</v>
      </c>
      <c r="AE273" t="s">
        <v>84</v>
      </c>
      <c r="AF273">
        <v>20</v>
      </c>
      <c r="AG273" s="1">
        <v>34700</v>
      </c>
      <c r="AH273" s="1">
        <v>34700</v>
      </c>
      <c r="AI273" s="1">
        <v>34700</v>
      </c>
      <c r="AJ273" s="1">
        <v>42005</v>
      </c>
      <c r="AK273" t="s">
        <v>51</v>
      </c>
      <c r="AN273">
        <v>0</v>
      </c>
      <c r="AO273" t="s">
        <v>54</v>
      </c>
      <c r="AP273" t="s">
        <v>53</v>
      </c>
      <c r="AQ273">
        <v>0</v>
      </c>
      <c r="AR273" t="s">
        <v>53</v>
      </c>
      <c r="AS273">
        <v>0</v>
      </c>
      <c r="AT273">
        <v>0</v>
      </c>
      <c r="BK273" t="s">
        <v>85</v>
      </c>
      <c r="BL273">
        <v>50000</v>
      </c>
      <c r="BM273" s="1">
        <v>44341</v>
      </c>
      <c r="BN273" s="1">
        <v>44341</v>
      </c>
      <c r="BO273" s="1">
        <v>44341</v>
      </c>
      <c r="BP273" s="1">
        <v>48573</v>
      </c>
      <c r="BQ273" t="s">
        <v>51</v>
      </c>
      <c r="BS273" t="s">
        <v>60</v>
      </c>
      <c r="BT273" t="s">
        <v>54</v>
      </c>
      <c r="BU273" t="s">
        <v>61</v>
      </c>
      <c r="BV273" t="s">
        <v>86</v>
      </c>
      <c r="BX273">
        <v>13</v>
      </c>
      <c r="BY273">
        <v>1430</v>
      </c>
      <c r="BZ273">
        <v>0</v>
      </c>
    </row>
    <row r="274" spans="1:78" x14ac:dyDescent="0.2">
      <c r="A274" t="s">
        <v>45</v>
      </c>
      <c r="B274" t="s">
        <v>46</v>
      </c>
      <c r="C274" t="s">
        <v>45</v>
      </c>
      <c r="D274" t="s">
        <v>68</v>
      </c>
      <c r="F274" t="str">
        <f>"253215"</f>
        <v>253215</v>
      </c>
      <c r="G274" t="s">
        <v>49</v>
      </c>
      <c r="H274" t="s">
        <v>310</v>
      </c>
      <c r="K274" t="s">
        <v>51</v>
      </c>
      <c r="L274" t="s">
        <v>52</v>
      </c>
      <c r="M274">
        <v>135120.67000000001</v>
      </c>
      <c r="N274">
        <v>474840.5</v>
      </c>
      <c r="O274" t="s">
        <v>53</v>
      </c>
      <c r="P274" t="s">
        <v>54</v>
      </c>
      <c r="Q274" t="s">
        <v>55</v>
      </c>
      <c r="T274" t="s">
        <v>81</v>
      </c>
      <c r="U274">
        <v>40</v>
      </c>
      <c r="V274" s="1">
        <v>34700</v>
      </c>
      <c r="W274" s="1">
        <v>34700</v>
      </c>
      <c r="X274" s="1">
        <v>34700</v>
      </c>
      <c r="Y274" s="1">
        <v>49310</v>
      </c>
      <c r="Z274" t="s">
        <v>51</v>
      </c>
      <c r="AB274" t="s">
        <v>54</v>
      </c>
      <c r="AC274">
        <v>1</v>
      </c>
      <c r="AE274" t="s">
        <v>57</v>
      </c>
      <c r="AF274">
        <v>20</v>
      </c>
      <c r="AG274" s="1">
        <v>34700</v>
      </c>
      <c r="AH274" s="1">
        <v>34700</v>
      </c>
      <c r="AI274" s="1">
        <v>34700</v>
      </c>
      <c r="AJ274" s="1">
        <v>42005</v>
      </c>
      <c r="AK274" t="s">
        <v>51</v>
      </c>
      <c r="AN274">
        <v>0</v>
      </c>
      <c r="AO274" t="s">
        <v>54</v>
      </c>
      <c r="AP274" t="s">
        <v>53</v>
      </c>
      <c r="AQ274">
        <v>0</v>
      </c>
      <c r="AR274" t="s">
        <v>53</v>
      </c>
      <c r="AS274">
        <v>0</v>
      </c>
      <c r="AT274">
        <v>0</v>
      </c>
      <c r="BK274" t="s">
        <v>85</v>
      </c>
      <c r="BL274">
        <v>50000</v>
      </c>
      <c r="BM274" s="1">
        <v>44341</v>
      </c>
      <c r="BN274" s="1">
        <v>44341</v>
      </c>
      <c r="BO274" s="1">
        <v>44341</v>
      </c>
      <c r="BP274" s="1">
        <v>48573</v>
      </c>
      <c r="BQ274" t="s">
        <v>51</v>
      </c>
      <c r="BS274" t="s">
        <v>60</v>
      </c>
      <c r="BT274" t="s">
        <v>54</v>
      </c>
      <c r="BU274" t="s">
        <v>61</v>
      </c>
      <c r="BV274" t="s">
        <v>86</v>
      </c>
      <c r="BX274">
        <v>13</v>
      </c>
      <c r="BY274">
        <v>1430</v>
      </c>
      <c r="BZ274">
        <v>0</v>
      </c>
    </row>
    <row r="275" spans="1:78" x14ac:dyDescent="0.2">
      <c r="A275" t="s">
        <v>45</v>
      </c>
      <c r="B275" t="s">
        <v>46</v>
      </c>
      <c r="C275" t="s">
        <v>47</v>
      </c>
      <c r="D275" t="s">
        <v>311</v>
      </c>
      <c r="F275" t="str">
        <f>"253216"</f>
        <v>253216</v>
      </c>
      <c r="G275" t="s">
        <v>49</v>
      </c>
      <c r="H275" t="s">
        <v>312</v>
      </c>
      <c r="K275" t="s">
        <v>51</v>
      </c>
      <c r="L275" t="s">
        <v>52</v>
      </c>
      <c r="M275">
        <v>135123.24</v>
      </c>
      <c r="N275">
        <v>474828.4</v>
      </c>
      <c r="O275" t="s">
        <v>53</v>
      </c>
      <c r="P275" t="s">
        <v>54</v>
      </c>
      <c r="Q275" t="s">
        <v>55</v>
      </c>
      <c r="T275" t="s">
        <v>100</v>
      </c>
      <c r="U275">
        <v>40</v>
      </c>
      <c r="V275" s="1">
        <v>32874</v>
      </c>
      <c r="W275" s="1">
        <v>32874</v>
      </c>
      <c r="X275" s="1">
        <v>32874</v>
      </c>
      <c r="Y275" s="1">
        <v>47484</v>
      </c>
      <c r="Z275" t="s">
        <v>51</v>
      </c>
      <c r="AB275" t="s">
        <v>54</v>
      </c>
      <c r="AC275">
        <v>1</v>
      </c>
      <c r="AE275" t="s">
        <v>222</v>
      </c>
      <c r="AF275">
        <v>20</v>
      </c>
      <c r="AG275" s="1">
        <v>33970</v>
      </c>
      <c r="AH275" s="1">
        <v>33970</v>
      </c>
      <c r="AI275" s="1">
        <v>33970</v>
      </c>
      <c r="AJ275" s="1">
        <v>41275</v>
      </c>
      <c r="AK275" t="s">
        <v>51</v>
      </c>
      <c r="AN275">
        <v>0</v>
      </c>
      <c r="AO275" t="s">
        <v>54</v>
      </c>
      <c r="AP275" t="s">
        <v>53</v>
      </c>
      <c r="AQ275">
        <v>0</v>
      </c>
      <c r="AR275" t="s">
        <v>53</v>
      </c>
      <c r="AS275">
        <v>0</v>
      </c>
      <c r="AT275">
        <v>0</v>
      </c>
      <c r="BK275" t="s">
        <v>85</v>
      </c>
      <c r="BL275">
        <v>50000</v>
      </c>
      <c r="BM275" s="1">
        <v>44935</v>
      </c>
      <c r="BN275" s="1">
        <v>44935</v>
      </c>
      <c r="BO275" s="1">
        <v>44935</v>
      </c>
      <c r="BP275" s="1">
        <v>49192</v>
      </c>
      <c r="BQ275" t="s">
        <v>51</v>
      </c>
      <c r="BS275" t="s">
        <v>60</v>
      </c>
      <c r="BT275" t="s">
        <v>54</v>
      </c>
      <c r="BU275" t="s">
        <v>61</v>
      </c>
      <c r="BV275" t="s">
        <v>86</v>
      </c>
      <c r="BX275">
        <v>13</v>
      </c>
      <c r="BY275">
        <v>1430</v>
      </c>
      <c r="BZ275">
        <v>0</v>
      </c>
    </row>
    <row r="276" spans="1:78" x14ac:dyDescent="0.2">
      <c r="A276" t="s">
        <v>45</v>
      </c>
      <c r="B276" t="s">
        <v>46</v>
      </c>
      <c r="C276" t="s">
        <v>47</v>
      </c>
      <c r="D276" t="s">
        <v>311</v>
      </c>
      <c r="F276" t="str">
        <f>"253217"</f>
        <v>253217</v>
      </c>
      <c r="G276" t="s">
        <v>49</v>
      </c>
      <c r="H276" t="s">
        <v>130</v>
      </c>
      <c r="K276" t="s">
        <v>51</v>
      </c>
      <c r="L276" t="s">
        <v>52</v>
      </c>
      <c r="M276">
        <v>135146.59</v>
      </c>
      <c r="N276">
        <v>474826.93</v>
      </c>
      <c r="O276" t="s">
        <v>53</v>
      </c>
      <c r="P276" t="s">
        <v>54</v>
      </c>
      <c r="Q276" t="s">
        <v>55</v>
      </c>
      <c r="T276" t="s">
        <v>100</v>
      </c>
      <c r="U276">
        <v>40</v>
      </c>
      <c r="V276" s="1">
        <v>32874</v>
      </c>
      <c r="W276" s="1">
        <v>32874</v>
      </c>
      <c r="X276" s="1">
        <v>32874</v>
      </c>
      <c r="Y276" s="1">
        <v>47484</v>
      </c>
      <c r="Z276" t="s">
        <v>51</v>
      </c>
      <c r="AB276" t="s">
        <v>54</v>
      </c>
      <c r="AC276">
        <v>1</v>
      </c>
      <c r="AE276" t="s">
        <v>222</v>
      </c>
      <c r="AF276">
        <v>20</v>
      </c>
      <c r="AG276" s="1">
        <v>32874</v>
      </c>
      <c r="AH276" s="1">
        <v>32874</v>
      </c>
      <c r="AI276" s="1">
        <v>32874</v>
      </c>
      <c r="AJ276" s="1">
        <v>40179</v>
      </c>
      <c r="AK276" t="s">
        <v>51</v>
      </c>
      <c r="AN276">
        <v>0</v>
      </c>
      <c r="AO276" t="s">
        <v>54</v>
      </c>
      <c r="AP276" t="s">
        <v>53</v>
      </c>
      <c r="AQ276">
        <v>0</v>
      </c>
      <c r="AR276" t="s">
        <v>53</v>
      </c>
      <c r="AS276">
        <v>0</v>
      </c>
      <c r="AT276">
        <v>0</v>
      </c>
      <c r="BK276" t="s">
        <v>85</v>
      </c>
      <c r="BL276">
        <v>50000</v>
      </c>
      <c r="BM276" s="1">
        <v>44321</v>
      </c>
      <c r="BN276" s="1">
        <v>44321</v>
      </c>
      <c r="BO276" s="1">
        <v>44321</v>
      </c>
      <c r="BP276" s="1">
        <v>48564</v>
      </c>
      <c r="BQ276" t="s">
        <v>51</v>
      </c>
      <c r="BS276" t="s">
        <v>60</v>
      </c>
      <c r="BT276" t="s">
        <v>54</v>
      </c>
      <c r="BU276" t="s">
        <v>61</v>
      </c>
      <c r="BV276" t="s">
        <v>86</v>
      </c>
      <c r="BX276">
        <v>13</v>
      </c>
      <c r="BY276">
        <v>1430</v>
      </c>
      <c r="BZ276">
        <v>0</v>
      </c>
    </row>
    <row r="277" spans="1:78" x14ac:dyDescent="0.2">
      <c r="A277" t="s">
        <v>45</v>
      </c>
      <c r="B277" t="s">
        <v>46</v>
      </c>
      <c r="C277" t="s">
        <v>47</v>
      </c>
      <c r="D277" t="s">
        <v>311</v>
      </c>
      <c r="F277" t="str">
        <f>"253218"</f>
        <v>253218</v>
      </c>
      <c r="G277" t="s">
        <v>49</v>
      </c>
      <c r="H277" t="s">
        <v>166</v>
      </c>
      <c r="K277" t="s">
        <v>51</v>
      </c>
      <c r="L277" t="s">
        <v>52</v>
      </c>
      <c r="M277">
        <v>135174.29999999999</v>
      </c>
      <c r="N277">
        <v>474809.73</v>
      </c>
      <c r="O277" t="s">
        <v>53</v>
      </c>
      <c r="P277" t="s">
        <v>54</v>
      </c>
      <c r="Q277" t="s">
        <v>55</v>
      </c>
      <c r="T277" t="s">
        <v>100</v>
      </c>
      <c r="U277">
        <v>40</v>
      </c>
      <c r="V277" s="1">
        <v>32874</v>
      </c>
      <c r="W277" s="1">
        <v>32874</v>
      </c>
      <c r="X277" s="1">
        <v>32874</v>
      </c>
      <c r="Y277" s="1">
        <v>47484</v>
      </c>
      <c r="Z277" t="s">
        <v>51</v>
      </c>
      <c r="AB277" t="s">
        <v>54</v>
      </c>
      <c r="AC277">
        <v>1</v>
      </c>
      <c r="AE277" t="s">
        <v>222</v>
      </c>
      <c r="AF277">
        <v>20</v>
      </c>
      <c r="AG277" s="1">
        <v>38077</v>
      </c>
      <c r="AH277" s="1">
        <v>38077</v>
      </c>
      <c r="AI277" s="1">
        <v>38077</v>
      </c>
      <c r="AJ277" s="1">
        <v>45382</v>
      </c>
      <c r="AK277" t="s">
        <v>51</v>
      </c>
      <c r="AN277">
        <v>0</v>
      </c>
      <c r="AO277" t="s">
        <v>54</v>
      </c>
      <c r="AP277" t="s">
        <v>53</v>
      </c>
      <c r="AQ277">
        <v>0</v>
      </c>
      <c r="AR277" t="s">
        <v>53</v>
      </c>
      <c r="AS277">
        <v>0</v>
      </c>
      <c r="AT277">
        <v>0</v>
      </c>
      <c r="BK277" t="s">
        <v>85</v>
      </c>
      <c r="BL277">
        <v>50000</v>
      </c>
      <c r="BM277" s="1">
        <v>44321</v>
      </c>
      <c r="BN277" s="1">
        <v>44321</v>
      </c>
      <c r="BO277" s="1">
        <v>44321</v>
      </c>
      <c r="BP277" s="1">
        <v>48564</v>
      </c>
      <c r="BQ277" t="s">
        <v>51</v>
      </c>
      <c r="BS277" t="s">
        <v>60</v>
      </c>
      <c r="BT277" t="s">
        <v>54</v>
      </c>
      <c r="BU277" t="s">
        <v>61</v>
      </c>
      <c r="BV277" t="s">
        <v>86</v>
      </c>
      <c r="BX277">
        <v>13</v>
      </c>
      <c r="BY277">
        <v>1430</v>
      </c>
      <c r="BZ277">
        <v>0</v>
      </c>
    </row>
    <row r="278" spans="1:78" x14ac:dyDescent="0.2">
      <c r="A278" t="s">
        <v>45</v>
      </c>
      <c r="B278" t="s">
        <v>46</v>
      </c>
      <c r="C278" t="s">
        <v>47</v>
      </c>
      <c r="D278" t="s">
        <v>311</v>
      </c>
      <c r="F278" t="str">
        <f>"253219"</f>
        <v>253219</v>
      </c>
      <c r="G278" t="s">
        <v>49</v>
      </c>
      <c r="H278" t="s">
        <v>313</v>
      </c>
      <c r="K278" t="s">
        <v>51</v>
      </c>
      <c r="L278" t="s">
        <v>52</v>
      </c>
      <c r="M278">
        <v>135166.16</v>
      </c>
      <c r="N278">
        <v>474786.95</v>
      </c>
      <c r="O278" t="s">
        <v>53</v>
      </c>
      <c r="P278" t="s">
        <v>54</v>
      </c>
      <c r="Q278" t="s">
        <v>55</v>
      </c>
      <c r="T278" t="s">
        <v>100</v>
      </c>
      <c r="U278">
        <v>40</v>
      </c>
      <c r="V278" s="1">
        <v>32143</v>
      </c>
      <c r="W278" s="1">
        <v>32143</v>
      </c>
      <c r="X278" s="1">
        <v>32143</v>
      </c>
      <c r="Y278" s="1">
        <v>46753</v>
      </c>
      <c r="Z278" t="s">
        <v>51</v>
      </c>
      <c r="AB278" t="s">
        <v>54</v>
      </c>
      <c r="AC278">
        <v>1</v>
      </c>
      <c r="AE278" t="s">
        <v>222</v>
      </c>
      <c r="AF278">
        <v>20</v>
      </c>
      <c r="AG278" s="1">
        <v>37987</v>
      </c>
      <c r="AH278" s="1">
        <v>37987</v>
      </c>
      <c r="AI278" s="1">
        <v>37987</v>
      </c>
      <c r="AJ278" s="1">
        <v>45292</v>
      </c>
      <c r="AK278" t="s">
        <v>51</v>
      </c>
      <c r="AN278">
        <v>0</v>
      </c>
      <c r="AO278" t="s">
        <v>54</v>
      </c>
      <c r="AP278" t="s">
        <v>53</v>
      </c>
      <c r="AQ278">
        <v>0</v>
      </c>
      <c r="AR278" t="s">
        <v>53</v>
      </c>
      <c r="AS278">
        <v>0</v>
      </c>
      <c r="AT278">
        <v>0</v>
      </c>
      <c r="BK278" t="s">
        <v>85</v>
      </c>
      <c r="BL278">
        <v>50000</v>
      </c>
      <c r="BM278" s="1">
        <v>44719</v>
      </c>
      <c r="BN278" s="1">
        <v>44719</v>
      </c>
      <c r="BO278" s="1">
        <v>44719</v>
      </c>
      <c r="BP278" s="1">
        <v>48945</v>
      </c>
      <c r="BQ278" t="s">
        <v>51</v>
      </c>
      <c r="BS278" t="s">
        <v>60</v>
      </c>
      <c r="BT278" t="s">
        <v>54</v>
      </c>
      <c r="BU278" t="s">
        <v>61</v>
      </c>
      <c r="BV278" t="s">
        <v>86</v>
      </c>
      <c r="BX278">
        <v>13</v>
      </c>
      <c r="BY278">
        <v>1430</v>
      </c>
      <c r="BZ278">
        <v>0</v>
      </c>
    </row>
    <row r="279" spans="1:78" x14ac:dyDescent="0.2">
      <c r="A279" t="s">
        <v>45</v>
      </c>
      <c r="B279" t="s">
        <v>46</v>
      </c>
      <c r="C279" t="s">
        <v>47</v>
      </c>
      <c r="D279" t="s">
        <v>311</v>
      </c>
      <c r="F279" t="str">
        <f>"253220"</f>
        <v>253220</v>
      </c>
      <c r="G279" t="s">
        <v>49</v>
      </c>
      <c r="H279" t="s">
        <v>313</v>
      </c>
      <c r="K279" t="s">
        <v>51</v>
      </c>
      <c r="L279" t="s">
        <v>52</v>
      </c>
      <c r="M279">
        <v>135156.49</v>
      </c>
      <c r="N279">
        <v>474759.28</v>
      </c>
      <c r="O279" t="s">
        <v>53</v>
      </c>
      <c r="P279" t="s">
        <v>54</v>
      </c>
      <c r="Q279" t="s">
        <v>55</v>
      </c>
      <c r="T279" t="s">
        <v>100</v>
      </c>
      <c r="U279">
        <v>40</v>
      </c>
      <c r="V279" s="1">
        <v>32143</v>
      </c>
      <c r="W279" s="1">
        <v>32143</v>
      </c>
      <c r="X279" s="1">
        <v>32143</v>
      </c>
      <c r="Y279" s="1">
        <v>46753</v>
      </c>
      <c r="Z279" t="s">
        <v>51</v>
      </c>
      <c r="AB279" t="s">
        <v>54</v>
      </c>
      <c r="AC279">
        <v>1</v>
      </c>
      <c r="AE279" t="s">
        <v>222</v>
      </c>
      <c r="AF279">
        <v>20</v>
      </c>
      <c r="AG279" s="1">
        <v>38077</v>
      </c>
      <c r="AH279" s="1">
        <v>38077</v>
      </c>
      <c r="AI279" s="1">
        <v>38077</v>
      </c>
      <c r="AJ279" s="1">
        <v>45382</v>
      </c>
      <c r="AK279" t="s">
        <v>51</v>
      </c>
      <c r="AN279">
        <v>0</v>
      </c>
      <c r="AO279" t="s">
        <v>54</v>
      </c>
      <c r="AP279" t="s">
        <v>53</v>
      </c>
      <c r="AQ279">
        <v>0</v>
      </c>
      <c r="AR279" t="s">
        <v>53</v>
      </c>
      <c r="AS279">
        <v>0</v>
      </c>
      <c r="AT279">
        <v>0</v>
      </c>
      <c r="BK279" t="s">
        <v>85</v>
      </c>
      <c r="BL279">
        <v>50000</v>
      </c>
      <c r="BM279" s="1">
        <v>44321</v>
      </c>
      <c r="BN279" s="1">
        <v>44321</v>
      </c>
      <c r="BO279" s="1">
        <v>44321</v>
      </c>
      <c r="BP279" s="1">
        <v>48564</v>
      </c>
      <c r="BQ279" t="s">
        <v>51</v>
      </c>
      <c r="BS279" t="s">
        <v>60</v>
      </c>
      <c r="BT279" t="s">
        <v>54</v>
      </c>
      <c r="BU279" t="s">
        <v>61</v>
      </c>
      <c r="BV279" t="s">
        <v>86</v>
      </c>
      <c r="BX279">
        <v>13</v>
      </c>
      <c r="BY279">
        <v>1430</v>
      </c>
      <c r="BZ279">
        <v>0</v>
      </c>
    </row>
    <row r="280" spans="1:78" x14ac:dyDescent="0.2">
      <c r="A280" t="s">
        <v>45</v>
      </c>
      <c r="B280" t="s">
        <v>46</v>
      </c>
      <c r="C280" t="s">
        <v>47</v>
      </c>
      <c r="D280" t="s">
        <v>311</v>
      </c>
      <c r="F280" t="str">
        <f>"253221"</f>
        <v>253221</v>
      </c>
      <c r="G280" t="s">
        <v>49</v>
      </c>
      <c r="H280" t="s">
        <v>314</v>
      </c>
      <c r="K280" t="s">
        <v>51</v>
      </c>
      <c r="L280" t="s">
        <v>52</v>
      </c>
      <c r="M280">
        <v>135127.20000000001</v>
      </c>
      <c r="N280">
        <v>474774.69</v>
      </c>
      <c r="O280" t="s">
        <v>53</v>
      </c>
      <c r="P280" t="s">
        <v>54</v>
      </c>
      <c r="Q280" t="s">
        <v>55</v>
      </c>
      <c r="T280" t="s">
        <v>100</v>
      </c>
      <c r="U280">
        <v>40</v>
      </c>
      <c r="V280" s="1">
        <v>32143</v>
      </c>
      <c r="W280" s="1">
        <v>32143</v>
      </c>
      <c r="X280" s="1">
        <v>32143</v>
      </c>
      <c r="Y280" s="1">
        <v>46753</v>
      </c>
      <c r="Z280" t="s">
        <v>51</v>
      </c>
      <c r="AB280" t="s">
        <v>54</v>
      </c>
      <c r="AC280">
        <v>1</v>
      </c>
      <c r="AE280" t="s">
        <v>222</v>
      </c>
      <c r="AF280">
        <v>20</v>
      </c>
      <c r="AG280" s="1">
        <v>37987</v>
      </c>
      <c r="AH280" s="1">
        <v>37987</v>
      </c>
      <c r="AI280" s="1">
        <v>37987</v>
      </c>
      <c r="AJ280" s="1">
        <v>45292</v>
      </c>
      <c r="AK280" t="s">
        <v>51</v>
      </c>
      <c r="AN280">
        <v>0</v>
      </c>
      <c r="AO280" t="s">
        <v>54</v>
      </c>
      <c r="AP280" t="s">
        <v>53</v>
      </c>
      <c r="AQ280">
        <v>0</v>
      </c>
      <c r="AR280" t="s">
        <v>53</v>
      </c>
      <c r="AS280">
        <v>0</v>
      </c>
      <c r="AT280">
        <v>0</v>
      </c>
      <c r="BK280" t="s">
        <v>85</v>
      </c>
      <c r="BL280">
        <v>50000</v>
      </c>
      <c r="BM280" s="1">
        <v>44321</v>
      </c>
      <c r="BN280" s="1">
        <v>44321</v>
      </c>
      <c r="BO280" s="1">
        <v>44321</v>
      </c>
      <c r="BP280" s="1">
        <v>48564</v>
      </c>
      <c r="BQ280" t="s">
        <v>51</v>
      </c>
      <c r="BS280" t="s">
        <v>60</v>
      </c>
      <c r="BT280" t="s">
        <v>54</v>
      </c>
      <c r="BU280" t="s">
        <v>61</v>
      </c>
      <c r="BV280" t="s">
        <v>86</v>
      </c>
      <c r="BX280">
        <v>13</v>
      </c>
      <c r="BY280">
        <v>1430</v>
      </c>
      <c r="BZ280">
        <v>0</v>
      </c>
    </row>
    <row r="281" spans="1:78" x14ac:dyDescent="0.2">
      <c r="A281" t="s">
        <v>45</v>
      </c>
      <c r="B281" t="s">
        <v>46</v>
      </c>
      <c r="C281" t="s">
        <v>47</v>
      </c>
      <c r="D281" t="s">
        <v>311</v>
      </c>
      <c r="F281" t="str">
        <f>"253222"</f>
        <v>253222</v>
      </c>
      <c r="G281" t="s">
        <v>49</v>
      </c>
      <c r="H281" t="s">
        <v>315</v>
      </c>
      <c r="K281" t="s">
        <v>51</v>
      </c>
      <c r="L281" t="s">
        <v>52</v>
      </c>
      <c r="M281">
        <v>135138.32999999999</v>
      </c>
      <c r="N281">
        <v>474798.22</v>
      </c>
      <c r="O281" t="s">
        <v>53</v>
      </c>
      <c r="P281" t="s">
        <v>54</v>
      </c>
      <c r="Q281" t="s">
        <v>55</v>
      </c>
      <c r="T281" t="s">
        <v>100</v>
      </c>
      <c r="U281">
        <v>40</v>
      </c>
      <c r="V281" s="1">
        <v>32143</v>
      </c>
      <c r="W281" s="1">
        <v>32143</v>
      </c>
      <c r="X281" s="1">
        <v>32143</v>
      </c>
      <c r="Y281" s="1">
        <v>46753</v>
      </c>
      <c r="Z281" t="s">
        <v>51</v>
      </c>
      <c r="AB281" t="s">
        <v>54</v>
      </c>
      <c r="AC281">
        <v>1</v>
      </c>
      <c r="AE281" t="s">
        <v>222</v>
      </c>
      <c r="AF281">
        <v>20</v>
      </c>
      <c r="AG281" s="1">
        <v>38077</v>
      </c>
      <c r="AH281" s="1">
        <v>38077</v>
      </c>
      <c r="AI281" s="1">
        <v>38077</v>
      </c>
      <c r="AJ281" s="1">
        <v>45382</v>
      </c>
      <c r="AK281" t="s">
        <v>51</v>
      </c>
      <c r="AN281">
        <v>0</v>
      </c>
      <c r="AO281" t="s">
        <v>54</v>
      </c>
      <c r="AP281" t="s">
        <v>53</v>
      </c>
      <c r="AQ281">
        <v>0</v>
      </c>
      <c r="AR281" t="s">
        <v>53</v>
      </c>
      <c r="AS281">
        <v>0</v>
      </c>
      <c r="AT281">
        <v>0</v>
      </c>
      <c r="BK281" t="s">
        <v>85</v>
      </c>
      <c r="BL281">
        <v>50000</v>
      </c>
      <c r="BM281" s="1">
        <v>44321</v>
      </c>
      <c r="BN281" s="1">
        <v>44321</v>
      </c>
      <c r="BO281" s="1">
        <v>44321</v>
      </c>
      <c r="BP281" s="1">
        <v>48564</v>
      </c>
      <c r="BQ281" t="s">
        <v>51</v>
      </c>
      <c r="BS281" t="s">
        <v>60</v>
      </c>
      <c r="BT281" t="s">
        <v>54</v>
      </c>
      <c r="BU281" t="s">
        <v>61</v>
      </c>
      <c r="BV281" t="s">
        <v>86</v>
      </c>
      <c r="BX281">
        <v>13</v>
      </c>
      <c r="BY281">
        <v>1430</v>
      </c>
      <c r="BZ281">
        <v>0</v>
      </c>
    </row>
    <row r="282" spans="1:78" x14ac:dyDescent="0.2">
      <c r="A282" t="s">
        <v>45</v>
      </c>
      <c r="B282" t="s">
        <v>46</v>
      </c>
      <c r="C282" t="s">
        <v>47</v>
      </c>
      <c r="D282" t="s">
        <v>311</v>
      </c>
      <c r="F282" t="str">
        <f>"253223"</f>
        <v>253223</v>
      </c>
      <c r="G282" t="s">
        <v>49</v>
      </c>
      <c r="H282" t="s">
        <v>95</v>
      </c>
      <c r="K282" t="s">
        <v>51</v>
      </c>
      <c r="L282" t="s">
        <v>52</v>
      </c>
      <c r="M282">
        <v>135148.35999999999</v>
      </c>
      <c r="N282">
        <v>474736.32</v>
      </c>
      <c r="O282" t="s">
        <v>53</v>
      </c>
      <c r="P282" t="s">
        <v>54</v>
      </c>
      <c r="Q282" t="s">
        <v>55</v>
      </c>
      <c r="T282" t="s">
        <v>100</v>
      </c>
      <c r="U282">
        <v>40</v>
      </c>
      <c r="V282" s="1">
        <v>32143</v>
      </c>
      <c r="W282" s="1">
        <v>32143</v>
      </c>
      <c r="X282" s="1">
        <v>32143</v>
      </c>
      <c r="Y282" s="1">
        <v>46753</v>
      </c>
      <c r="Z282" t="s">
        <v>51</v>
      </c>
      <c r="AB282" t="s">
        <v>54</v>
      </c>
      <c r="AC282">
        <v>1</v>
      </c>
      <c r="AE282" t="s">
        <v>222</v>
      </c>
      <c r="AF282">
        <v>20</v>
      </c>
      <c r="AG282" s="1">
        <v>37987</v>
      </c>
      <c r="AH282" s="1">
        <v>37987</v>
      </c>
      <c r="AI282" s="1">
        <v>37987</v>
      </c>
      <c r="AJ282" s="1">
        <v>45292</v>
      </c>
      <c r="AK282" t="s">
        <v>51</v>
      </c>
      <c r="AN282">
        <v>0</v>
      </c>
      <c r="AO282" t="s">
        <v>54</v>
      </c>
      <c r="AP282" t="s">
        <v>53</v>
      </c>
      <c r="AQ282">
        <v>0</v>
      </c>
      <c r="AR282" t="s">
        <v>53</v>
      </c>
      <c r="AS282">
        <v>0</v>
      </c>
      <c r="AT282">
        <v>0</v>
      </c>
      <c r="BK282" t="s">
        <v>85</v>
      </c>
      <c r="BL282">
        <v>50000</v>
      </c>
      <c r="BM282" s="1">
        <v>44719</v>
      </c>
      <c r="BN282" s="1">
        <v>44719</v>
      </c>
      <c r="BO282" s="1">
        <v>44719</v>
      </c>
      <c r="BP282" s="1">
        <v>48945</v>
      </c>
      <c r="BQ282" t="s">
        <v>51</v>
      </c>
      <c r="BS282" t="s">
        <v>60</v>
      </c>
      <c r="BT282" t="s">
        <v>54</v>
      </c>
      <c r="BU282" t="s">
        <v>61</v>
      </c>
      <c r="BV282" t="s">
        <v>86</v>
      </c>
      <c r="BX282">
        <v>13</v>
      </c>
      <c r="BY282">
        <v>1430</v>
      </c>
      <c r="BZ282">
        <v>0</v>
      </c>
    </row>
    <row r="283" spans="1:78" x14ac:dyDescent="0.2">
      <c r="A283" t="s">
        <v>45</v>
      </c>
      <c r="B283" t="s">
        <v>46</v>
      </c>
      <c r="C283" t="s">
        <v>47</v>
      </c>
      <c r="D283" t="s">
        <v>311</v>
      </c>
      <c r="F283" t="str">
        <f>"253224"</f>
        <v>253224</v>
      </c>
      <c r="G283" t="s">
        <v>49</v>
      </c>
      <c r="H283">
        <v>35</v>
      </c>
      <c r="K283" t="s">
        <v>51</v>
      </c>
      <c r="L283" t="s">
        <v>52</v>
      </c>
      <c r="M283">
        <v>135141.45000000001</v>
      </c>
      <c r="N283">
        <v>474716.38</v>
      </c>
      <c r="O283" t="s">
        <v>53</v>
      </c>
      <c r="P283" t="s">
        <v>54</v>
      </c>
      <c r="Q283" t="s">
        <v>55</v>
      </c>
      <c r="T283" t="s">
        <v>100</v>
      </c>
      <c r="U283">
        <v>40</v>
      </c>
      <c r="V283" s="1">
        <v>32143</v>
      </c>
      <c r="W283" s="1">
        <v>32143</v>
      </c>
      <c r="X283" s="1">
        <v>32143</v>
      </c>
      <c r="Y283" s="1">
        <v>46753</v>
      </c>
      <c r="Z283" t="s">
        <v>51</v>
      </c>
      <c r="AB283" t="s">
        <v>54</v>
      </c>
      <c r="AC283">
        <v>1</v>
      </c>
      <c r="AE283" t="s">
        <v>222</v>
      </c>
      <c r="AF283">
        <v>20</v>
      </c>
      <c r="AG283" s="1">
        <v>37987</v>
      </c>
      <c r="AH283" s="1">
        <v>37987</v>
      </c>
      <c r="AI283" s="1">
        <v>37987</v>
      </c>
      <c r="AJ283" s="1">
        <v>45292</v>
      </c>
      <c r="AK283" t="s">
        <v>51</v>
      </c>
      <c r="AN283">
        <v>0</v>
      </c>
      <c r="AO283" t="s">
        <v>54</v>
      </c>
      <c r="AP283" t="s">
        <v>53</v>
      </c>
      <c r="AQ283">
        <v>0</v>
      </c>
      <c r="AR283" t="s">
        <v>53</v>
      </c>
      <c r="AS283">
        <v>0</v>
      </c>
      <c r="AT283">
        <v>0</v>
      </c>
      <c r="BK283" t="s">
        <v>85</v>
      </c>
      <c r="BL283">
        <v>50000</v>
      </c>
      <c r="BM283" s="1">
        <v>44719</v>
      </c>
      <c r="BN283" s="1">
        <v>44719</v>
      </c>
      <c r="BO283" s="1">
        <v>44719</v>
      </c>
      <c r="BP283" s="1">
        <v>48945</v>
      </c>
      <c r="BQ283" t="s">
        <v>51</v>
      </c>
      <c r="BS283" t="s">
        <v>60</v>
      </c>
      <c r="BT283" t="s">
        <v>54</v>
      </c>
      <c r="BU283" t="s">
        <v>61</v>
      </c>
      <c r="BV283" t="s">
        <v>86</v>
      </c>
      <c r="BX283">
        <v>13</v>
      </c>
      <c r="BY283">
        <v>1430</v>
      </c>
      <c r="BZ283">
        <v>0</v>
      </c>
    </row>
    <row r="284" spans="1:78" x14ac:dyDescent="0.2">
      <c r="A284" t="s">
        <v>45</v>
      </c>
      <c r="B284" t="s">
        <v>46</v>
      </c>
      <c r="C284" t="s">
        <v>45</v>
      </c>
      <c r="D284" t="s">
        <v>68</v>
      </c>
      <c r="F284" t="str">
        <f>"253225"</f>
        <v>253225</v>
      </c>
      <c r="G284" t="s">
        <v>49</v>
      </c>
      <c r="H284" t="s">
        <v>316</v>
      </c>
      <c r="I284" t="s">
        <v>317</v>
      </c>
      <c r="K284" t="s">
        <v>51</v>
      </c>
      <c r="L284" t="s">
        <v>52</v>
      </c>
      <c r="M284">
        <v>135104.75</v>
      </c>
      <c r="N284">
        <v>474819.71</v>
      </c>
      <c r="O284" t="s">
        <v>53</v>
      </c>
      <c r="P284" t="s">
        <v>54</v>
      </c>
      <c r="Q284" t="s">
        <v>55</v>
      </c>
      <c r="T284" t="s">
        <v>83</v>
      </c>
      <c r="U284">
        <v>40</v>
      </c>
      <c r="V284" s="1">
        <v>34700</v>
      </c>
      <c r="W284" s="1">
        <v>34700</v>
      </c>
      <c r="X284" s="1">
        <v>34700</v>
      </c>
      <c r="Y284" s="1">
        <v>49310</v>
      </c>
      <c r="Z284" t="s">
        <v>51</v>
      </c>
      <c r="AB284" t="s">
        <v>54</v>
      </c>
      <c r="AC284">
        <v>1</v>
      </c>
      <c r="AE284" t="s">
        <v>84</v>
      </c>
      <c r="AF284">
        <v>20</v>
      </c>
      <c r="AG284" s="1">
        <v>34700</v>
      </c>
      <c r="AH284" s="1">
        <v>34700</v>
      </c>
      <c r="AI284" s="1">
        <v>34700</v>
      </c>
      <c r="AJ284" s="1">
        <v>42005</v>
      </c>
      <c r="AK284" t="s">
        <v>51</v>
      </c>
      <c r="AN284">
        <v>0</v>
      </c>
      <c r="AO284" t="s">
        <v>54</v>
      </c>
      <c r="AP284" t="s">
        <v>53</v>
      </c>
      <c r="AQ284">
        <v>0</v>
      </c>
      <c r="AR284" t="s">
        <v>53</v>
      </c>
      <c r="AS284">
        <v>0</v>
      </c>
      <c r="AT284">
        <v>0</v>
      </c>
      <c r="BK284" t="s">
        <v>85</v>
      </c>
      <c r="BL284">
        <v>50000</v>
      </c>
      <c r="BM284" s="1">
        <v>44341</v>
      </c>
      <c r="BN284" s="1">
        <v>44341</v>
      </c>
      <c r="BO284" s="1">
        <v>44341</v>
      </c>
      <c r="BP284" s="1">
        <v>48573</v>
      </c>
      <c r="BQ284" t="s">
        <v>51</v>
      </c>
      <c r="BS284" t="s">
        <v>60</v>
      </c>
      <c r="BT284" t="s">
        <v>54</v>
      </c>
      <c r="BU284" t="s">
        <v>61</v>
      </c>
      <c r="BV284" t="s">
        <v>86</v>
      </c>
      <c r="BX284">
        <v>13</v>
      </c>
      <c r="BY284">
        <v>1430</v>
      </c>
      <c r="BZ284">
        <v>0</v>
      </c>
    </row>
    <row r="285" spans="1:78" x14ac:dyDescent="0.2">
      <c r="A285" t="s">
        <v>45</v>
      </c>
      <c r="B285" t="s">
        <v>46</v>
      </c>
      <c r="C285" t="s">
        <v>47</v>
      </c>
      <c r="D285" t="s">
        <v>68</v>
      </c>
      <c r="F285" t="str">
        <f>"253226"</f>
        <v>253226</v>
      </c>
      <c r="G285" t="s">
        <v>49</v>
      </c>
      <c r="H285" t="s">
        <v>318</v>
      </c>
      <c r="K285" t="s">
        <v>51</v>
      </c>
      <c r="L285" t="s">
        <v>52</v>
      </c>
      <c r="M285">
        <v>135104.44</v>
      </c>
      <c r="N285">
        <v>474792.24</v>
      </c>
      <c r="O285" t="s">
        <v>53</v>
      </c>
      <c r="P285" t="s">
        <v>54</v>
      </c>
      <c r="Q285" t="s">
        <v>55</v>
      </c>
      <c r="T285" t="s">
        <v>83</v>
      </c>
      <c r="U285">
        <v>40</v>
      </c>
      <c r="V285" s="1">
        <v>44462</v>
      </c>
      <c r="W285" s="1">
        <v>44462</v>
      </c>
      <c r="X285" s="1">
        <v>44462</v>
      </c>
      <c r="Y285" s="1">
        <v>59072</v>
      </c>
      <c r="Z285" t="s">
        <v>51</v>
      </c>
      <c r="AB285" t="s">
        <v>54</v>
      </c>
      <c r="AC285">
        <v>1</v>
      </c>
      <c r="AE285" t="s">
        <v>84</v>
      </c>
      <c r="AF285">
        <v>20</v>
      </c>
      <c r="AG285" s="1">
        <v>34700</v>
      </c>
      <c r="AH285" s="1">
        <v>34700</v>
      </c>
      <c r="AI285" s="1">
        <v>44462</v>
      </c>
      <c r="AJ285" s="1">
        <v>42005</v>
      </c>
      <c r="AK285" t="s">
        <v>51</v>
      </c>
      <c r="AN285">
        <v>0</v>
      </c>
      <c r="AO285" t="s">
        <v>54</v>
      </c>
      <c r="AP285" t="s">
        <v>53</v>
      </c>
      <c r="AQ285">
        <v>0</v>
      </c>
      <c r="AR285" t="s">
        <v>53</v>
      </c>
      <c r="AS285">
        <v>0</v>
      </c>
      <c r="AT285">
        <v>0</v>
      </c>
      <c r="BK285" t="s">
        <v>85</v>
      </c>
      <c r="BL285">
        <v>50000</v>
      </c>
      <c r="BM285" s="1">
        <v>44341</v>
      </c>
      <c r="BN285" s="1">
        <v>44341</v>
      </c>
      <c r="BO285" s="1">
        <v>44462</v>
      </c>
      <c r="BP285" s="1">
        <v>48573</v>
      </c>
      <c r="BQ285" t="s">
        <v>51</v>
      </c>
      <c r="BS285" t="s">
        <v>60</v>
      </c>
      <c r="BT285" t="s">
        <v>54</v>
      </c>
      <c r="BU285" t="s">
        <v>61</v>
      </c>
      <c r="BV285" t="s">
        <v>86</v>
      </c>
      <c r="BX285">
        <v>13</v>
      </c>
      <c r="BY285">
        <v>1430</v>
      </c>
      <c r="BZ285">
        <v>0</v>
      </c>
    </row>
    <row r="286" spans="1:78" x14ac:dyDescent="0.2">
      <c r="A286" t="s">
        <v>45</v>
      </c>
      <c r="B286" t="s">
        <v>46</v>
      </c>
      <c r="C286" t="s">
        <v>47</v>
      </c>
      <c r="D286" t="s">
        <v>311</v>
      </c>
      <c r="F286" t="str">
        <f>"253227"</f>
        <v>253227</v>
      </c>
      <c r="G286" t="s">
        <v>49</v>
      </c>
      <c r="H286" t="s">
        <v>319</v>
      </c>
      <c r="K286" t="s">
        <v>51</v>
      </c>
      <c r="L286" t="s">
        <v>52</v>
      </c>
      <c r="M286">
        <v>135100.79999999999</v>
      </c>
      <c r="N286">
        <v>474776.07</v>
      </c>
      <c r="O286" t="s">
        <v>53</v>
      </c>
      <c r="P286" t="s">
        <v>54</v>
      </c>
      <c r="Q286" t="s">
        <v>55</v>
      </c>
      <c r="T286" t="s">
        <v>100</v>
      </c>
      <c r="U286">
        <v>40</v>
      </c>
      <c r="V286" s="1">
        <v>32143</v>
      </c>
      <c r="W286" s="1">
        <v>32143</v>
      </c>
      <c r="X286" s="1">
        <v>32143</v>
      </c>
      <c r="Y286" s="1">
        <v>46753</v>
      </c>
      <c r="Z286" t="s">
        <v>51</v>
      </c>
      <c r="AB286" t="s">
        <v>54</v>
      </c>
      <c r="AC286">
        <v>1</v>
      </c>
      <c r="AE286" t="s">
        <v>222</v>
      </c>
      <c r="AF286">
        <v>20</v>
      </c>
      <c r="AG286" s="1">
        <v>38077</v>
      </c>
      <c r="AH286" s="1">
        <v>38077</v>
      </c>
      <c r="AI286" s="1">
        <v>38077</v>
      </c>
      <c r="AJ286" s="1">
        <v>45382</v>
      </c>
      <c r="AK286" t="s">
        <v>51</v>
      </c>
      <c r="AN286">
        <v>0</v>
      </c>
      <c r="AO286" t="s">
        <v>54</v>
      </c>
      <c r="AP286" t="s">
        <v>53</v>
      </c>
      <c r="AQ286">
        <v>0</v>
      </c>
      <c r="AR286" t="s">
        <v>53</v>
      </c>
      <c r="AS286">
        <v>0</v>
      </c>
      <c r="AT286">
        <v>0</v>
      </c>
      <c r="BK286" t="s">
        <v>85</v>
      </c>
      <c r="BL286">
        <v>50000</v>
      </c>
      <c r="BM286" s="1">
        <v>44935</v>
      </c>
      <c r="BN286" s="1">
        <v>44935</v>
      </c>
      <c r="BO286" s="1">
        <v>44935</v>
      </c>
      <c r="BP286" s="1">
        <v>49192</v>
      </c>
      <c r="BQ286" t="s">
        <v>51</v>
      </c>
      <c r="BS286" t="s">
        <v>60</v>
      </c>
      <c r="BT286" t="s">
        <v>54</v>
      </c>
      <c r="BU286" t="s">
        <v>61</v>
      </c>
      <c r="BV286" t="s">
        <v>86</v>
      </c>
      <c r="BX286">
        <v>13</v>
      </c>
      <c r="BY286">
        <v>1430</v>
      </c>
      <c r="BZ286">
        <v>0</v>
      </c>
    </row>
    <row r="287" spans="1:78" x14ac:dyDescent="0.2">
      <c r="A287" t="s">
        <v>45</v>
      </c>
      <c r="B287" t="s">
        <v>46</v>
      </c>
      <c r="C287" t="s">
        <v>45</v>
      </c>
      <c r="D287" t="s">
        <v>68</v>
      </c>
      <c r="F287" t="str">
        <f>"253228"</f>
        <v>253228</v>
      </c>
      <c r="G287" t="s">
        <v>49</v>
      </c>
      <c r="H287" t="s">
        <v>139</v>
      </c>
      <c r="I287" t="s">
        <v>320</v>
      </c>
      <c r="K287" t="s">
        <v>51</v>
      </c>
      <c r="L287" t="s">
        <v>52</v>
      </c>
      <c r="M287">
        <v>135087.19</v>
      </c>
      <c r="N287">
        <v>474771.20000000001</v>
      </c>
      <c r="O287" t="s">
        <v>53</v>
      </c>
      <c r="P287" t="s">
        <v>54</v>
      </c>
      <c r="Q287" t="s">
        <v>55</v>
      </c>
      <c r="T287" t="s">
        <v>83</v>
      </c>
      <c r="U287">
        <v>40</v>
      </c>
      <c r="V287" s="1">
        <v>34700</v>
      </c>
      <c r="W287" s="1">
        <v>34700</v>
      </c>
      <c r="X287" s="1">
        <v>34700</v>
      </c>
      <c r="Y287" s="1">
        <v>49310</v>
      </c>
      <c r="Z287" t="s">
        <v>51</v>
      </c>
      <c r="AB287" t="s">
        <v>54</v>
      </c>
      <c r="AC287">
        <v>1</v>
      </c>
      <c r="AE287" t="s">
        <v>84</v>
      </c>
      <c r="AF287">
        <v>20</v>
      </c>
      <c r="AG287" s="1">
        <v>34700</v>
      </c>
      <c r="AH287" s="1">
        <v>34700</v>
      </c>
      <c r="AI287" s="1">
        <v>34700</v>
      </c>
      <c r="AJ287" s="1">
        <v>42005</v>
      </c>
      <c r="AK287" t="s">
        <v>51</v>
      </c>
      <c r="AN287">
        <v>0</v>
      </c>
      <c r="AO287" t="s">
        <v>54</v>
      </c>
      <c r="AP287" t="s">
        <v>53</v>
      </c>
      <c r="AQ287">
        <v>0</v>
      </c>
      <c r="AR287" t="s">
        <v>53</v>
      </c>
      <c r="AS287">
        <v>0</v>
      </c>
      <c r="AT287">
        <v>0</v>
      </c>
      <c r="BK287" t="s">
        <v>85</v>
      </c>
      <c r="BL287">
        <v>50000</v>
      </c>
      <c r="BM287" s="1">
        <v>44341</v>
      </c>
      <c r="BN287" s="1">
        <v>44341</v>
      </c>
      <c r="BO287" s="1">
        <v>44341</v>
      </c>
      <c r="BP287" s="1">
        <v>48573</v>
      </c>
      <c r="BQ287" t="s">
        <v>51</v>
      </c>
      <c r="BS287" t="s">
        <v>60</v>
      </c>
      <c r="BT287" t="s">
        <v>54</v>
      </c>
      <c r="BU287" t="s">
        <v>61</v>
      </c>
      <c r="BV287" t="s">
        <v>86</v>
      </c>
      <c r="BX287">
        <v>13</v>
      </c>
      <c r="BY287">
        <v>1430</v>
      </c>
      <c r="BZ287">
        <v>0</v>
      </c>
    </row>
    <row r="288" spans="1:78" x14ac:dyDescent="0.2">
      <c r="A288" t="s">
        <v>45</v>
      </c>
      <c r="B288" t="s">
        <v>46</v>
      </c>
      <c r="C288" t="s">
        <v>47</v>
      </c>
      <c r="D288" t="s">
        <v>68</v>
      </c>
      <c r="F288" t="str">
        <f>"253229"</f>
        <v>253229</v>
      </c>
      <c r="G288" t="s">
        <v>49</v>
      </c>
      <c r="H288" t="s">
        <v>321</v>
      </c>
      <c r="K288" t="s">
        <v>51</v>
      </c>
      <c r="L288" t="s">
        <v>52</v>
      </c>
      <c r="M288">
        <v>135088.19</v>
      </c>
      <c r="N288">
        <v>474747.19</v>
      </c>
      <c r="O288" t="s">
        <v>53</v>
      </c>
      <c r="P288" t="s">
        <v>54</v>
      </c>
      <c r="Q288" t="s">
        <v>55</v>
      </c>
      <c r="T288" t="s">
        <v>83</v>
      </c>
      <c r="U288">
        <v>40</v>
      </c>
      <c r="V288" s="1">
        <v>34700</v>
      </c>
      <c r="W288" s="1">
        <v>34700</v>
      </c>
      <c r="X288" s="1">
        <v>34700</v>
      </c>
      <c r="Y288" s="1">
        <v>49310</v>
      </c>
      <c r="Z288" t="s">
        <v>51</v>
      </c>
      <c r="AB288" t="s">
        <v>54</v>
      </c>
      <c r="AC288">
        <v>1</v>
      </c>
      <c r="AE288" t="s">
        <v>84</v>
      </c>
      <c r="AF288">
        <v>20</v>
      </c>
      <c r="AG288" s="1">
        <v>34700</v>
      </c>
      <c r="AH288" s="1">
        <v>34700</v>
      </c>
      <c r="AI288" s="1">
        <v>34700</v>
      </c>
      <c r="AJ288" s="1">
        <v>42005</v>
      </c>
      <c r="AK288" t="s">
        <v>51</v>
      </c>
      <c r="AN288">
        <v>0</v>
      </c>
      <c r="AO288" t="s">
        <v>54</v>
      </c>
      <c r="AP288" t="s">
        <v>53</v>
      </c>
      <c r="AQ288">
        <v>0</v>
      </c>
      <c r="AR288" t="s">
        <v>53</v>
      </c>
      <c r="AS288">
        <v>0</v>
      </c>
      <c r="AT288">
        <v>0</v>
      </c>
      <c r="BK288" t="s">
        <v>85</v>
      </c>
      <c r="BL288">
        <v>50000</v>
      </c>
      <c r="BM288" s="1">
        <v>44341</v>
      </c>
      <c r="BN288" s="1">
        <v>44341</v>
      </c>
      <c r="BO288" s="1">
        <v>44341</v>
      </c>
      <c r="BP288" s="1">
        <v>48573</v>
      </c>
      <c r="BQ288" t="s">
        <v>51</v>
      </c>
      <c r="BS288" t="s">
        <v>60</v>
      </c>
      <c r="BT288" t="s">
        <v>54</v>
      </c>
      <c r="BU288" t="s">
        <v>61</v>
      </c>
      <c r="BV288" t="s">
        <v>86</v>
      </c>
      <c r="BX288">
        <v>13</v>
      </c>
      <c r="BY288">
        <v>1430</v>
      </c>
      <c r="BZ288">
        <v>0</v>
      </c>
    </row>
    <row r="289" spans="1:99" x14ac:dyDescent="0.2">
      <c r="A289" t="s">
        <v>45</v>
      </c>
      <c r="B289" t="s">
        <v>46</v>
      </c>
      <c r="C289" t="s">
        <v>45</v>
      </c>
      <c r="D289" t="s">
        <v>68</v>
      </c>
      <c r="F289" t="str">
        <f>"253230"</f>
        <v>253230</v>
      </c>
      <c r="G289" t="s">
        <v>49</v>
      </c>
      <c r="H289" t="s">
        <v>322</v>
      </c>
      <c r="K289" t="s">
        <v>51</v>
      </c>
      <c r="L289" t="s">
        <v>52</v>
      </c>
      <c r="M289">
        <v>135070.56</v>
      </c>
      <c r="N289">
        <v>474723.89</v>
      </c>
      <c r="O289" t="s">
        <v>53</v>
      </c>
      <c r="P289" t="s">
        <v>54</v>
      </c>
      <c r="Q289" t="s">
        <v>55</v>
      </c>
      <c r="T289" t="s">
        <v>111</v>
      </c>
      <c r="U289">
        <v>40</v>
      </c>
      <c r="V289" s="1">
        <v>34700</v>
      </c>
      <c r="W289" s="1">
        <v>34700</v>
      </c>
      <c r="X289" s="1">
        <v>34700</v>
      </c>
      <c r="Y289" s="1">
        <v>49310</v>
      </c>
      <c r="Z289" t="s">
        <v>51</v>
      </c>
      <c r="AB289" t="s">
        <v>54</v>
      </c>
      <c r="AC289">
        <v>1</v>
      </c>
      <c r="AE289" t="s">
        <v>84</v>
      </c>
      <c r="AF289">
        <v>20</v>
      </c>
      <c r="AG289" s="1">
        <v>34700</v>
      </c>
      <c r="AH289" s="1">
        <v>34700</v>
      </c>
      <c r="AI289" s="1">
        <v>34700</v>
      </c>
      <c r="AJ289" s="1">
        <v>42005</v>
      </c>
      <c r="AK289" t="s">
        <v>51</v>
      </c>
      <c r="AN289">
        <v>0</v>
      </c>
      <c r="AO289" t="s">
        <v>54</v>
      </c>
      <c r="AP289" t="s">
        <v>53</v>
      </c>
      <c r="AQ289">
        <v>0</v>
      </c>
      <c r="AR289" t="s">
        <v>53</v>
      </c>
      <c r="AS289">
        <v>0</v>
      </c>
      <c r="AT289">
        <v>0</v>
      </c>
      <c r="BK289" t="s">
        <v>85</v>
      </c>
      <c r="BL289">
        <v>50000</v>
      </c>
      <c r="BM289" s="1">
        <v>44341</v>
      </c>
      <c r="BN289" s="1">
        <v>44341</v>
      </c>
      <c r="BO289" s="1">
        <v>44341</v>
      </c>
      <c r="BP289" s="1">
        <v>48573</v>
      </c>
      <c r="BQ289" t="s">
        <v>51</v>
      </c>
      <c r="BS289" t="s">
        <v>60</v>
      </c>
      <c r="BT289" t="s">
        <v>54</v>
      </c>
      <c r="BU289" t="s">
        <v>61</v>
      </c>
      <c r="BV289" t="s">
        <v>86</v>
      </c>
      <c r="BX289">
        <v>13</v>
      </c>
      <c r="BY289">
        <v>1430</v>
      </c>
      <c r="BZ289">
        <v>0</v>
      </c>
    </row>
    <row r="290" spans="1:99" x14ac:dyDescent="0.2">
      <c r="A290" t="s">
        <v>45</v>
      </c>
      <c r="B290" t="s">
        <v>46</v>
      </c>
      <c r="C290" t="s">
        <v>45</v>
      </c>
      <c r="D290" t="s">
        <v>68</v>
      </c>
      <c r="F290" t="str">
        <f>"253231"</f>
        <v>253231</v>
      </c>
      <c r="G290" t="s">
        <v>49</v>
      </c>
      <c r="H290" t="s">
        <v>323</v>
      </c>
      <c r="K290" t="s">
        <v>51</v>
      </c>
      <c r="L290" t="s">
        <v>52</v>
      </c>
      <c r="M290">
        <v>135068.57999999999</v>
      </c>
      <c r="N290">
        <v>474695.67999999999</v>
      </c>
      <c r="O290" t="s">
        <v>53</v>
      </c>
      <c r="P290" t="s">
        <v>54</v>
      </c>
      <c r="Q290" t="s">
        <v>55</v>
      </c>
      <c r="T290" t="s">
        <v>111</v>
      </c>
      <c r="U290">
        <v>40</v>
      </c>
      <c r="V290" s="1">
        <v>34700</v>
      </c>
      <c r="W290" s="1">
        <v>34700</v>
      </c>
      <c r="X290" s="1">
        <v>34700</v>
      </c>
      <c r="Y290" s="1">
        <v>49310</v>
      </c>
      <c r="Z290" t="s">
        <v>51</v>
      </c>
      <c r="AB290" t="s">
        <v>54</v>
      </c>
      <c r="AC290">
        <v>1</v>
      </c>
      <c r="AE290" t="s">
        <v>84</v>
      </c>
      <c r="AF290">
        <v>20</v>
      </c>
      <c r="AG290" s="1">
        <v>34700</v>
      </c>
      <c r="AH290" s="1">
        <v>34700</v>
      </c>
      <c r="AI290" s="1">
        <v>34700</v>
      </c>
      <c r="AJ290" s="1">
        <v>42005</v>
      </c>
      <c r="AK290" t="s">
        <v>51</v>
      </c>
      <c r="AN290">
        <v>0</v>
      </c>
      <c r="AO290" t="s">
        <v>54</v>
      </c>
      <c r="AP290" t="s">
        <v>53</v>
      </c>
      <c r="AQ290">
        <v>0</v>
      </c>
      <c r="AR290" t="s">
        <v>53</v>
      </c>
      <c r="AS290">
        <v>0</v>
      </c>
      <c r="AT290">
        <v>0</v>
      </c>
      <c r="BK290" t="s">
        <v>85</v>
      </c>
      <c r="BL290">
        <v>50000</v>
      </c>
      <c r="BM290" s="1">
        <v>44341</v>
      </c>
      <c r="BN290" s="1">
        <v>44341</v>
      </c>
      <c r="BO290" s="1">
        <v>44341</v>
      </c>
      <c r="BP290" s="1">
        <v>48573</v>
      </c>
      <c r="BQ290" t="s">
        <v>51</v>
      </c>
      <c r="BS290" t="s">
        <v>60</v>
      </c>
      <c r="BT290" t="s">
        <v>54</v>
      </c>
      <c r="BU290" t="s">
        <v>61</v>
      </c>
      <c r="BV290" t="s">
        <v>86</v>
      </c>
      <c r="BX290">
        <v>13</v>
      </c>
      <c r="BY290">
        <v>1430</v>
      </c>
      <c r="BZ290">
        <v>0</v>
      </c>
    </row>
    <row r="291" spans="1:99" x14ac:dyDescent="0.2">
      <c r="A291" t="s">
        <v>45</v>
      </c>
      <c r="B291" t="s">
        <v>46</v>
      </c>
      <c r="C291" t="s">
        <v>45</v>
      </c>
      <c r="D291" t="s">
        <v>68</v>
      </c>
      <c r="F291" t="str">
        <f>"253232"</f>
        <v>253232</v>
      </c>
      <c r="G291" t="s">
        <v>49</v>
      </c>
      <c r="H291" t="s">
        <v>323</v>
      </c>
      <c r="K291" t="s">
        <v>51</v>
      </c>
      <c r="L291" t="s">
        <v>52</v>
      </c>
      <c r="M291">
        <v>135053.70000000001</v>
      </c>
      <c r="N291">
        <v>474673.66</v>
      </c>
      <c r="O291" t="s">
        <v>53</v>
      </c>
      <c r="P291" t="s">
        <v>54</v>
      </c>
      <c r="Q291" t="s">
        <v>55</v>
      </c>
      <c r="T291" t="s">
        <v>83</v>
      </c>
      <c r="U291">
        <v>40</v>
      </c>
      <c r="V291" s="1">
        <v>34700</v>
      </c>
      <c r="W291" s="1">
        <v>34700</v>
      </c>
      <c r="X291" s="1">
        <v>34700</v>
      </c>
      <c r="Y291" s="1">
        <v>49310</v>
      </c>
      <c r="Z291" t="s">
        <v>51</v>
      </c>
      <c r="AB291" t="s">
        <v>54</v>
      </c>
      <c r="AC291">
        <v>1</v>
      </c>
      <c r="AE291" t="s">
        <v>116</v>
      </c>
      <c r="AF291">
        <v>20</v>
      </c>
      <c r="AG291" s="1">
        <v>34700</v>
      </c>
      <c r="AH291" s="1">
        <v>34700</v>
      </c>
      <c r="AI291" s="1">
        <v>34700</v>
      </c>
      <c r="AJ291" s="1">
        <v>42005</v>
      </c>
      <c r="AK291" t="s">
        <v>51</v>
      </c>
      <c r="AN291">
        <v>0</v>
      </c>
      <c r="AO291" t="s">
        <v>54</v>
      </c>
      <c r="AP291" t="s">
        <v>53</v>
      </c>
      <c r="AQ291">
        <v>0</v>
      </c>
      <c r="AR291" t="s">
        <v>53</v>
      </c>
      <c r="AS291">
        <v>0</v>
      </c>
      <c r="AT291">
        <v>0</v>
      </c>
      <c r="BK291" t="s">
        <v>85</v>
      </c>
      <c r="BL291">
        <v>50000</v>
      </c>
      <c r="BM291" s="1">
        <v>44341</v>
      </c>
      <c r="BN291" s="1">
        <v>44341</v>
      </c>
      <c r="BO291" s="1">
        <v>44341</v>
      </c>
      <c r="BP291" s="1">
        <v>48853</v>
      </c>
      <c r="BQ291" t="s">
        <v>51</v>
      </c>
      <c r="BS291" t="s">
        <v>78</v>
      </c>
      <c r="BT291" t="s">
        <v>54</v>
      </c>
      <c r="BU291" t="s">
        <v>61</v>
      </c>
      <c r="BV291" t="s">
        <v>86</v>
      </c>
      <c r="BX291">
        <v>13</v>
      </c>
      <c r="BY291">
        <v>1430</v>
      </c>
      <c r="BZ291">
        <v>0</v>
      </c>
    </row>
    <row r="292" spans="1:99" x14ac:dyDescent="0.2">
      <c r="A292" t="s">
        <v>45</v>
      </c>
      <c r="B292" t="s">
        <v>46</v>
      </c>
      <c r="C292" t="s">
        <v>47</v>
      </c>
      <c r="D292" t="s">
        <v>68</v>
      </c>
      <c r="F292" t="str">
        <f>"253233"</f>
        <v>253233</v>
      </c>
      <c r="G292" t="s">
        <v>49</v>
      </c>
      <c r="H292" t="s">
        <v>324</v>
      </c>
      <c r="I292" t="s">
        <v>325</v>
      </c>
      <c r="K292" t="s">
        <v>51</v>
      </c>
      <c r="L292" t="s">
        <v>52</v>
      </c>
      <c r="M292">
        <v>135053.13</v>
      </c>
      <c r="N292">
        <v>474639.66</v>
      </c>
      <c r="O292" t="s">
        <v>53</v>
      </c>
      <c r="P292" t="s">
        <v>54</v>
      </c>
      <c r="Q292" t="s">
        <v>55</v>
      </c>
      <c r="T292" t="s">
        <v>56</v>
      </c>
      <c r="U292">
        <v>40</v>
      </c>
      <c r="V292" s="1">
        <v>34700</v>
      </c>
      <c r="W292" s="1">
        <v>34700</v>
      </c>
      <c r="X292" s="1">
        <v>34700</v>
      </c>
      <c r="Y292" s="1">
        <v>49310</v>
      </c>
      <c r="Z292" t="s">
        <v>51</v>
      </c>
      <c r="AB292" t="s">
        <v>54</v>
      </c>
      <c r="AC292">
        <v>1</v>
      </c>
      <c r="AE292" t="s">
        <v>116</v>
      </c>
      <c r="AF292">
        <v>20</v>
      </c>
      <c r="AG292" s="1">
        <v>34700</v>
      </c>
      <c r="AH292" s="1">
        <v>34700</v>
      </c>
      <c r="AI292" s="1">
        <v>34700</v>
      </c>
      <c r="AJ292" s="1">
        <v>42005</v>
      </c>
      <c r="AK292" t="s">
        <v>51</v>
      </c>
      <c r="AN292">
        <v>0</v>
      </c>
      <c r="AO292" t="s">
        <v>54</v>
      </c>
      <c r="AP292" t="s">
        <v>53</v>
      </c>
      <c r="AQ292">
        <v>0</v>
      </c>
      <c r="AR292" t="s">
        <v>53</v>
      </c>
      <c r="AS292">
        <v>0</v>
      </c>
      <c r="AT292">
        <v>0</v>
      </c>
      <c r="BK292" t="s">
        <v>85</v>
      </c>
      <c r="BL292">
        <v>50000</v>
      </c>
      <c r="BM292" s="1">
        <v>44341</v>
      </c>
      <c r="BN292" s="1">
        <v>44341</v>
      </c>
      <c r="BO292" s="1">
        <v>44341</v>
      </c>
      <c r="BP292" s="1">
        <v>48573</v>
      </c>
      <c r="BQ292" t="s">
        <v>51</v>
      </c>
      <c r="BS292" t="s">
        <v>60</v>
      </c>
      <c r="BT292" t="s">
        <v>54</v>
      </c>
      <c r="BU292" t="s">
        <v>61</v>
      </c>
      <c r="BV292" t="s">
        <v>86</v>
      </c>
      <c r="BX292">
        <v>13</v>
      </c>
      <c r="BY292">
        <v>1430</v>
      </c>
      <c r="BZ292">
        <v>0</v>
      </c>
    </row>
    <row r="293" spans="1:99" x14ac:dyDescent="0.2">
      <c r="A293" t="s">
        <v>45</v>
      </c>
      <c r="B293" t="s">
        <v>46</v>
      </c>
      <c r="C293" t="s">
        <v>45</v>
      </c>
      <c r="D293" t="s">
        <v>68</v>
      </c>
      <c r="F293" t="str">
        <f>"253235"</f>
        <v>253235</v>
      </c>
      <c r="G293" t="s">
        <v>49</v>
      </c>
      <c r="H293" t="s">
        <v>326</v>
      </c>
      <c r="K293" t="s">
        <v>51</v>
      </c>
      <c r="L293" t="s">
        <v>52</v>
      </c>
      <c r="M293">
        <v>134963.35999999999</v>
      </c>
      <c r="N293">
        <v>474405.18</v>
      </c>
      <c r="O293" t="s">
        <v>53</v>
      </c>
      <c r="P293" t="s">
        <v>54</v>
      </c>
      <c r="Q293" t="s">
        <v>55</v>
      </c>
      <c r="T293" t="s">
        <v>83</v>
      </c>
      <c r="U293">
        <v>40</v>
      </c>
      <c r="V293" s="1">
        <v>34700</v>
      </c>
      <c r="W293" s="1">
        <v>34700</v>
      </c>
      <c r="X293" s="1">
        <v>34700</v>
      </c>
      <c r="Y293" s="1">
        <v>49310</v>
      </c>
      <c r="Z293" t="s">
        <v>51</v>
      </c>
      <c r="AB293" t="s">
        <v>54</v>
      </c>
      <c r="AC293">
        <v>1</v>
      </c>
      <c r="AE293" t="s">
        <v>76</v>
      </c>
      <c r="AF293">
        <v>20</v>
      </c>
      <c r="AG293" s="1">
        <v>44341</v>
      </c>
      <c r="AH293" s="1">
        <v>44341</v>
      </c>
      <c r="AI293" s="1">
        <v>44341</v>
      </c>
      <c r="AJ293" s="1">
        <v>51646</v>
      </c>
      <c r="AK293" t="s">
        <v>51</v>
      </c>
      <c r="AN293">
        <v>0</v>
      </c>
      <c r="AO293" t="s">
        <v>54</v>
      </c>
      <c r="AP293" t="s">
        <v>53</v>
      </c>
      <c r="AQ293">
        <v>0</v>
      </c>
      <c r="AR293" t="s">
        <v>53</v>
      </c>
      <c r="AS293">
        <v>0</v>
      </c>
      <c r="AT293">
        <v>0</v>
      </c>
      <c r="CC293" t="s">
        <v>77</v>
      </c>
      <c r="CD293">
        <v>20</v>
      </c>
      <c r="CE293" s="1">
        <v>44341</v>
      </c>
      <c r="CF293" s="1">
        <v>44341</v>
      </c>
      <c r="CG293" s="1">
        <v>44341</v>
      </c>
      <c r="CH293" s="1">
        <v>44342</v>
      </c>
      <c r="CI293" t="s">
        <v>51</v>
      </c>
      <c r="CK293" t="s">
        <v>78</v>
      </c>
      <c r="CM293" t="s">
        <v>54</v>
      </c>
      <c r="CN293" t="s">
        <v>79</v>
      </c>
      <c r="CR293">
        <v>0</v>
      </c>
      <c r="CS293">
        <v>0</v>
      </c>
      <c r="CT293">
        <v>0</v>
      </c>
      <c r="CU293">
        <v>0</v>
      </c>
    </row>
    <row r="294" spans="1:99" x14ac:dyDescent="0.2">
      <c r="A294" t="s">
        <v>45</v>
      </c>
      <c r="B294" t="s">
        <v>46</v>
      </c>
      <c r="C294" t="s">
        <v>45</v>
      </c>
      <c r="D294" t="s">
        <v>68</v>
      </c>
      <c r="F294" t="str">
        <f>"253236"</f>
        <v>253236</v>
      </c>
      <c r="G294" t="s">
        <v>49</v>
      </c>
      <c r="H294" t="s">
        <v>327</v>
      </c>
      <c r="K294" t="s">
        <v>51</v>
      </c>
      <c r="L294" t="s">
        <v>52</v>
      </c>
      <c r="M294">
        <v>134973.47</v>
      </c>
      <c r="N294">
        <v>474432.52</v>
      </c>
      <c r="O294" t="s">
        <v>53</v>
      </c>
      <c r="P294" t="s">
        <v>54</v>
      </c>
      <c r="Q294" t="s">
        <v>55</v>
      </c>
      <c r="T294" t="s">
        <v>111</v>
      </c>
      <c r="U294">
        <v>40</v>
      </c>
      <c r="V294" s="1">
        <v>34700</v>
      </c>
      <c r="W294" s="1">
        <v>34700</v>
      </c>
      <c r="X294" s="1">
        <v>34700</v>
      </c>
      <c r="Y294" s="1">
        <v>49310</v>
      </c>
      <c r="Z294" t="s">
        <v>51</v>
      </c>
      <c r="AB294" t="s">
        <v>54</v>
      </c>
      <c r="AC294">
        <v>1</v>
      </c>
      <c r="AE294" t="s">
        <v>76</v>
      </c>
      <c r="AF294">
        <v>20</v>
      </c>
      <c r="AG294" s="1">
        <v>44341</v>
      </c>
      <c r="AH294" s="1">
        <v>44341</v>
      </c>
      <c r="AI294" s="1">
        <v>44341</v>
      </c>
      <c r="AJ294" s="1">
        <v>51646</v>
      </c>
      <c r="AK294" t="s">
        <v>51</v>
      </c>
      <c r="AN294">
        <v>0</v>
      </c>
      <c r="AO294" t="s">
        <v>54</v>
      </c>
      <c r="AP294" t="s">
        <v>53</v>
      </c>
      <c r="AQ294">
        <v>0</v>
      </c>
      <c r="AR294" t="s">
        <v>53</v>
      </c>
      <c r="AS294">
        <v>0</v>
      </c>
      <c r="AT294">
        <v>0</v>
      </c>
      <c r="CC294" t="s">
        <v>77</v>
      </c>
      <c r="CD294">
        <v>20</v>
      </c>
      <c r="CE294" s="1">
        <v>44341</v>
      </c>
      <c r="CF294" s="1">
        <v>44341</v>
      </c>
      <c r="CG294" s="1">
        <v>44341</v>
      </c>
      <c r="CH294" s="1">
        <v>44342</v>
      </c>
      <c r="CI294" t="s">
        <v>51</v>
      </c>
      <c r="CK294" t="s">
        <v>78</v>
      </c>
      <c r="CM294" t="s">
        <v>54</v>
      </c>
      <c r="CN294" t="s">
        <v>79</v>
      </c>
      <c r="CR294">
        <v>0</v>
      </c>
      <c r="CS294">
        <v>0</v>
      </c>
      <c r="CT294">
        <v>0</v>
      </c>
      <c r="CU294">
        <v>0</v>
      </c>
    </row>
    <row r="295" spans="1:99" x14ac:dyDescent="0.2">
      <c r="A295" t="s">
        <v>45</v>
      </c>
      <c r="B295" t="s">
        <v>46</v>
      </c>
      <c r="C295" t="s">
        <v>45</v>
      </c>
      <c r="D295" t="s">
        <v>68</v>
      </c>
      <c r="F295" t="str">
        <f>"253237"</f>
        <v>253237</v>
      </c>
      <c r="G295" t="s">
        <v>49</v>
      </c>
      <c r="H295" t="s">
        <v>179</v>
      </c>
      <c r="K295" t="s">
        <v>51</v>
      </c>
      <c r="L295" t="s">
        <v>52</v>
      </c>
      <c r="M295">
        <v>134982.89000000001</v>
      </c>
      <c r="N295">
        <v>474459.06</v>
      </c>
      <c r="O295" t="s">
        <v>53</v>
      </c>
      <c r="P295" t="s">
        <v>54</v>
      </c>
      <c r="Q295" t="s">
        <v>55</v>
      </c>
      <c r="T295" t="s">
        <v>83</v>
      </c>
      <c r="U295">
        <v>40</v>
      </c>
      <c r="V295" s="1">
        <v>34700</v>
      </c>
      <c r="W295" s="1">
        <v>34700</v>
      </c>
      <c r="X295" s="1">
        <v>34700</v>
      </c>
      <c r="Y295" s="1">
        <v>49310</v>
      </c>
      <c r="Z295" t="s">
        <v>51</v>
      </c>
      <c r="AB295" t="s">
        <v>54</v>
      </c>
      <c r="AC295">
        <v>1</v>
      </c>
      <c r="AE295" t="s">
        <v>76</v>
      </c>
      <c r="AF295">
        <v>20</v>
      </c>
      <c r="AG295" s="1">
        <v>44341</v>
      </c>
      <c r="AH295" s="1">
        <v>44341</v>
      </c>
      <c r="AI295" s="1">
        <v>44341</v>
      </c>
      <c r="AJ295" s="1">
        <v>51646</v>
      </c>
      <c r="AK295" t="s">
        <v>51</v>
      </c>
      <c r="AN295">
        <v>0</v>
      </c>
      <c r="AO295" t="s">
        <v>54</v>
      </c>
      <c r="AP295" t="s">
        <v>53</v>
      </c>
      <c r="AQ295">
        <v>0</v>
      </c>
      <c r="AR295" t="s">
        <v>53</v>
      </c>
      <c r="AS295">
        <v>0</v>
      </c>
      <c r="AT295">
        <v>0</v>
      </c>
      <c r="CC295" t="s">
        <v>77</v>
      </c>
      <c r="CD295">
        <v>20</v>
      </c>
      <c r="CE295" s="1">
        <v>44341</v>
      </c>
      <c r="CF295" s="1">
        <v>44341</v>
      </c>
      <c r="CG295" s="1">
        <v>44341</v>
      </c>
      <c r="CH295" s="1">
        <v>44342</v>
      </c>
      <c r="CI295" t="s">
        <v>51</v>
      </c>
      <c r="CK295" t="s">
        <v>78</v>
      </c>
      <c r="CM295" t="s">
        <v>54</v>
      </c>
      <c r="CN295" t="s">
        <v>79</v>
      </c>
      <c r="CR295">
        <v>0</v>
      </c>
      <c r="CS295">
        <v>0</v>
      </c>
      <c r="CT295">
        <v>0</v>
      </c>
      <c r="CU295">
        <v>0</v>
      </c>
    </row>
    <row r="296" spans="1:99" x14ac:dyDescent="0.2">
      <c r="A296" t="s">
        <v>45</v>
      </c>
      <c r="B296" t="s">
        <v>46</v>
      </c>
      <c r="C296" t="s">
        <v>45</v>
      </c>
      <c r="D296" t="s">
        <v>68</v>
      </c>
      <c r="F296" t="str">
        <f>"253238"</f>
        <v>253238</v>
      </c>
      <c r="G296" t="s">
        <v>49</v>
      </c>
      <c r="H296" t="s">
        <v>326</v>
      </c>
      <c r="K296" t="s">
        <v>51</v>
      </c>
      <c r="L296" t="s">
        <v>52</v>
      </c>
      <c r="M296">
        <v>134991.5</v>
      </c>
      <c r="N296">
        <v>474484.35</v>
      </c>
      <c r="O296" t="s">
        <v>53</v>
      </c>
      <c r="P296" t="s">
        <v>54</v>
      </c>
      <c r="Q296" t="s">
        <v>55</v>
      </c>
      <c r="T296" t="s">
        <v>111</v>
      </c>
      <c r="U296">
        <v>40</v>
      </c>
      <c r="V296" s="1">
        <v>34700</v>
      </c>
      <c r="W296" s="1">
        <v>34700</v>
      </c>
      <c r="X296" s="1">
        <v>34700</v>
      </c>
      <c r="Y296" s="1">
        <v>49310</v>
      </c>
      <c r="Z296" t="s">
        <v>51</v>
      </c>
      <c r="AB296" t="s">
        <v>54</v>
      </c>
      <c r="AC296">
        <v>1</v>
      </c>
      <c r="AE296" t="s">
        <v>76</v>
      </c>
      <c r="AF296">
        <v>20</v>
      </c>
      <c r="AG296" s="1">
        <v>44341</v>
      </c>
      <c r="AH296" s="1">
        <v>44341</v>
      </c>
      <c r="AI296" s="1">
        <v>44341</v>
      </c>
      <c r="AJ296" s="1">
        <v>51646</v>
      </c>
      <c r="AK296" t="s">
        <v>51</v>
      </c>
      <c r="AN296">
        <v>0</v>
      </c>
      <c r="AO296" t="s">
        <v>54</v>
      </c>
      <c r="AP296" t="s">
        <v>53</v>
      </c>
      <c r="AQ296">
        <v>0</v>
      </c>
      <c r="AR296" t="s">
        <v>53</v>
      </c>
      <c r="AS296">
        <v>0</v>
      </c>
      <c r="AT296">
        <v>0</v>
      </c>
      <c r="CC296" t="s">
        <v>77</v>
      </c>
      <c r="CD296">
        <v>20</v>
      </c>
      <c r="CE296" s="1">
        <v>44341</v>
      </c>
      <c r="CF296" s="1">
        <v>44341</v>
      </c>
      <c r="CG296" s="1">
        <v>44341</v>
      </c>
      <c r="CH296" s="1">
        <v>44342</v>
      </c>
      <c r="CI296" t="s">
        <v>51</v>
      </c>
      <c r="CK296" t="s">
        <v>78</v>
      </c>
      <c r="CM296" t="s">
        <v>54</v>
      </c>
      <c r="CN296" t="s">
        <v>79</v>
      </c>
      <c r="CR296">
        <v>0</v>
      </c>
      <c r="CS296">
        <v>0</v>
      </c>
      <c r="CT296">
        <v>0</v>
      </c>
      <c r="CU296">
        <v>0</v>
      </c>
    </row>
    <row r="297" spans="1:99" x14ac:dyDescent="0.2">
      <c r="A297" t="s">
        <v>45</v>
      </c>
      <c r="B297" t="s">
        <v>46</v>
      </c>
      <c r="C297" t="s">
        <v>45</v>
      </c>
      <c r="D297" t="s">
        <v>68</v>
      </c>
      <c r="F297" t="str">
        <f>"253239"</f>
        <v>253239</v>
      </c>
      <c r="G297" t="s">
        <v>49</v>
      </c>
      <c r="H297" t="s">
        <v>326</v>
      </c>
      <c r="K297" t="s">
        <v>51</v>
      </c>
      <c r="L297" t="s">
        <v>52</v>
      </c>
      <c r="M297">
        <v>135000.03</v>
      </c>
      <c r="N297">
        <v>474509.47</v>
      </c>
      <c r="O297" t="s">
        <v>53</v>
      </c>
      <c r="P297" t="s">
        <v>54</v>
      </c>
      <c r="Q297" t="s">
        <v>55</v>
      </c>
      <c r="T297" t="s">
        <v>111</v>
      </c>
      <c r="U297">
        <v>40</v>
      </c>
      <c r="V297" s="1">
        <v>34700</v>
      </c>
      <c r="W297" s="1">
        <v>34700</v>
      </c>
      <c r="X297" s="1">
        <v>34700</v>
      </c>
      <c r="Y297" s="1">
        <v>49310</v>
      </c>
      <c r="Z297" t="s">
        <v>51</v>
      </c>
      <c r="AB297" t="s">
        <v>54</v>
      </c>
      <c r="AC297">
        <v>1</v>
      </c>
      <c r="AE297" t="s">
        <v>76</v>
      </c>
      <c r="AF297">
        <v>20</v>
      </c>
      <c r="AG297" s="1">
        <v>44341</v>
      </c>
      <c r="AH297" s="1">
        <v>44341</v>
      </c>
      <c r="AI297" s="1">
        <v>44341</v>
      </c>
      <c r="AJ297" s="1">
        <v>51646</v>
      </c>
      <c r="AK297" t="s">
        <v>51</v>
      </c>
      <c r="AN297">
        <v>0</v>
      </c>
      <c r="AO297" t="s">
        <v>54</v>
      </c>
      <c r="AP297" t="s">
        <v>53</v>
      </c>
      <c r="AQ297">
        <v>0</v>
      </c>
      <c r="AR297" t="s">
        <v>53</v>
      </c>
      <c r="AS297">
        <v>0</v>
      </c>
      <c r="AT297">
        <v>0</v>
      </c>
      <c r="CC297" t="s">
        <v>77</v>
      </c>
      <c r="CD297">
        <v>20</v>
      </c>
      <c r="CE297" s="1">
        <v>44341</v>
      </c>
      <c r="CF297" s="1">
        <v>44341</v>
      </c>
      <c r="CG297" s="1">
        <v>44341</v>
      </c>
      <c r="CH297" s="1">
        <v>44342</v>
      </c>
      <c r="CI297" t="s">
        <v>51</v>
      </c>
      <c r="CK297" t="s">
        <v>78</v>
      </c>
      <c r="CM297" t="s">
        <v>54</v>
      </c>
      <c r="CN297" t="s">
        <v>79</v>
      </c>
      <c r="CR297">
        <v>0</v>
      </c>
      <c r="CS297">
        <v>0</v>
      </c>
      <c r="CT297">
        <v>0</v>
      </c>
      <c r="CU297">
        <v>0</v>
      </c>
    </row>
    <row r="298" spans="1:99" x14ac:dyDescent="0.2">
      <c r="A298" t="s">
        <v>45</v>
      </c>
      <c r="B298" t="s">
        <v>46</v>
      </c>
      <c r="C298" t="s">
        <v>47</v>
      </c>
      <c r="D298" t="s">
        <v>68</v>
      </c>
      <c r="F298" t="str">
        <f>"253240"</f>
        <v>253240</v>
      </c>
      <c r="G298" t="s">
        <v>49</v>
      </c>
      <c r="H298" t="s">
        <v>326</v>
      </c>
      <c r="K298" t="s">
        <v>51</v>
      </c>
      <c r="L298" t="s">
        <v>52</v>
      </c>
      <c r="M298">
        <v>135045.70000000001</v>
      </c>
      <c r="N298">
        <v>474615.72</v>
      </c>
      <c r="O298" t="s">
        <v>53</v>
      </c>
      <c r="P298" t="s">
        <v>54</v>
      </c>
      <c r="Q298" t="s">
        <v>55</v>
      </c>
      <c r="T298" t="s">
        <v>111</v>
      </c>
      <c r="U298">
        <v>40</v>
      </c>
      <c r="V298" s="1">
        <v>34700</v>
      </c>
      <c r="W298" s="1">
        <v>34700</v>
      </c>
      <c r="X298" s="1">
        <v>34700</v>
      </c>
      <c r="Y298" s="1">
        <v>49310</v>
      </c>
      <c r="Z298" t="s">
        <v>51</v>
      </c>
      <c r="AB298" t="s">
        <v>54</v>
      </c>
      <c r="AC298">
        <v>1</v>
      </c>
      <c r="AE298" t="s">
        <v>76</v>
      </c>
      <c r="AF298">
        <v>20</v>
      </c>
      <c r="AG298" s="1">
        <v>44341</v>
      </c>
      <c r="AH298" s="1">
        <v>44341</v>
      </c>
      <c r="AI298" s="1">
        <v>44341</v>
      </c>
      <c r="AJ298" s="1">
        <v>51646</v>
      </c>
      <c r="AK298" t="s">
        <v>51</v>
      </c>
      <c r="AN298">
        <v>0</v>
      </c>
      <c r="AO298" t="s">
        <v>54</v>
      </c>
      <c r="AP298" t="s">
        <v>53</v>
      </c>
      <c r="AQ298">
        <v>0</v>
      </c>
      <c r="AR298" t="s">
        <v>53</v>
      </c>
      <c r="AS298">
        <v>0</v>
      </c>
      <c r="AT298">
        <v>0</v>
      </c>
      <c r="CC298" t="s">
        <v>77</v>
      </c>
      <c r="CD298">
        <v>20</v>
      </c>
      <c r="CE298" s="1">
        <v>44341</v>
      </c>
      <c r="CF298" s="1">
        <v>44341</v>
      </c>
      <c r="CG298" s="1">
        <v>44341</v>
      </c>
      <c r="CH298" s="1">
        <v>44342</v>
      </c>
      <c r="CI298" t="s">
        <v>51</v>
      </c>
      <c r="CK298" t="s">
        <v>78</v>
      </c>
      <c r="CM298" t="s">
        <v>54</v>
      </c>
      <c r="CN298" t="s">
        <v>79</v>
      </c>
      <c r="CR298">
        <v>0</v>
      </c>
      <c r="CS298">
        <v>0</v>
      </c>
      <c r="CT298">
        <v>0</v>
      </c>
      <c r="CU298">
        <v>0</v>
      </c>
    </row>
    <row r="299" spans="1:99" x14ac:dyDescent="0.2">
      <c r="A299" t="s">
        <v>45</v>
      </c>
      <c r="B299" t="s">
        <v>46</v>
      </c>
      <c r="C299" t="s">
        <v>47</v>
      </c>
      <c r="D299" t="s">
        <v>68</v>
      </c>
      <c r="F299" t="str">
        <f>"253241"</f>
        <v>253241</v>
      </c>
      <c r="G299" t="s">
        <v>49</v>
      </c>
      <c r="H299" t="s">
        <v>326</v>
      </c>
      <c r="K299" t="s">
        <v>51</v>
      </c>
      <c r="L299" t="s">
        <v>52</v>
      </c>
      <c r="M299">
        <v>135039.44</v>
      </c>
      <c r="N299">
        <v>474596.84</v>
      </c>
      <c r="O299" t="s">
        <v>53</v>
      </c>
      <c r="P299" t="s">
        <v>54</v>
      </c>
      <c r="Q299" t="s">
        <v>55</v>
      </c>
      <c r="T299" t="s">
        <v>111</v>
      </c>
      <c r="U299">
        <v>40</v>
      </c>
      <c r="V299" s="1">
        <v>34700</v>
      </c>
      <c r="W299" s="1">
        <v>34700</v>
      </c>
      <c r="X299" s="1">
        <v>34700</v>
      </c>
      <c r="Y299" s="1">
        <v>49310</v>
      </c>
      <c r="Z299" t="s">
        <v>51</v>
      </c>
      <c r="AB299" t="s">
        <v>54</v>
      </c>
      <c r="AC299">
        <v>1</v>
      </c>
      <c r="AE299" t="s">
        <v>76</v>
      </c>
      <c r="AF299">
        <v>20</v>
      </c>
      <c r="AG299" s="1">
        <v>44341</v>
      </c>
      <c r="AH299" s="1">
        <v>44341</v>
      </c>
      <c r="AI299" s="1">
        <v>44341</v>
      </c>
      <c r="AJ299" s="1">
        <v>51646</v>
      </c>
      <c r="AK299" t="s">
        <v>51</v>
      </c>
      <c r="AN299">
        <v>0</v>
      </c>
      <c r="AO299" t="s">
        <v>54</v>
      </c>
      <c r="AP299" t="s">
        <v>53</v>
      </c>
      <c r="AQ299">
        <v>0</v>
      </c>
      <c r="AR299" t="s">
        <v>53</v>
      </c>
      <c r="AS299">
        <v>0</v>
      </c>
      <c r="AT299">
        <v>0</v>
      </c>
      <c r="CC299" t="s">
        <v>77</v>
      </c>
      <c r="CD299">
        <v>20</v>
      </c>
      <c r="CE299" s="1">
        <v>44341</v>
      </c>
      <c r="CF299" s="1">
        <v>44341</v>
      </c>
      <c r="CG299" s="1">
        <v>44341</v>
      </c>
      <c r="CH299" s="1">
        <v>44342</v>
      </c>
      <c r="CI299" t="s">
        <v>51</v>
      </c>
      <c r="CK299" t="s">
        <v>78</v>
      </c>
      <c r="CM299" t="s">
        <v>54</v>
      </c>
      <c r="CN299" t="s">
        <v>79</v>
      </c>
      <c r="CR299">
        <v>0</v>
      </c>
      <c r="CS299">
        <v>0</v>
      </c>
      <c r="CT299">
        <v>0</v>
      </c>
      <c r="CU299">
        <v>0</v>
      </c>
    </row>
    <row r="300" spans="1:99" x14ac:dyDescent="0.2">
      <c r="A300" t="s">
        <v>45</v>
      </c>
      <c r="B300" t="s">
        <v>46</v>
      </c>
      <c r="C300" t="s">
        <v>47</v>
      </c>
      <c r="D300" t="s">
        <v>68</v>
      </c>
      <c r="F300" t="str">
        <f>"253242"</f>
        <v>253242</v>
      </c>
      <c r="G300" t="s">
        <v>49</v>
      </c>
      <c r="H300" t="s">
        <v>326</v>
      </c>
      <c r="K300" t="s">
        <v>51</v>
      </c>
      <c r="L300" t="s">
        <v>52</v>
      </c>
      <c r="M300">
        <v>135030.5</v>
      </c>
      <c r="N300">
        <v>474564.44</v>
      </c>
      <c r="O300" t="s">
        <v>53</v>
      </c>
      <c r="P300" t="s">
        <v>54</v>
      </c>
      <c r="Q300" t="s">
        <v>55</v>
      </c>
      <c r="T300" t="s">
        <v>81</v>
      </c>
      <c r="U300">
        <v>40</v>
      </c>
      <c r="V300" s="1">
        <v>34700</v>
      </c>
      <c r="W300" s="1">
        <v>34700</v>
      </c>
      <c r="X300" s="1">
        <v>34700</v>
      </c>
      <c r="Y300" s="1">
        <v>49310</v>
      </c>
      <c r="Z300" t="s">
        <v>51</v>
      </c>
      <c r="AB300" t="s">
        <v>54</v>
      </c>
      <c r="AC300">
        <v>1</v>
      </c>
      <c r="AE300" t="s">
        <v>76</v>
      </c>
      <c r="AF300">
        <v>20</v>
      </c>
      <c r="AG300" s="1">
        <v>44341</v>
      </c>
      <c r="AH300" s="1">
        <v>44341</v>
      </c>
      <c r="AI300" s="1">
        <v>44341</v>
      </c>
      <c r="AJ300" s="1">
        <v>51646</v>
      </c>
      <c r="AK300" t="s">
        <v>51</v>
      </c>
      <c r="AN300">
        <v>0</v>
      </c>
      <c r="AO300" t="s">
        <v>54</v>
      </c>
      <c r="AP300" t="s">
        <v>53</v>
      </c>
      <c r="AQ300">
        <v>0</v>
      </c>
      <c r="AR300" t="s">
        <v>53</v>
      </c>
      <c r="AS300">
        <v>0</v>
      </c>
      <c r="AT300">
        <v>0</v>
      </c>
      <c r="CC300" t="s">
        <v>77</v>
      </c>
      <c r="CD300">
        <v>20</v>
      </c>
      <c r="CE300" s="1">
        <v>44341</v>
      </c>
      <c r="CF300" s="1">
        <v>44341</v>
      </c>
      <c r="CG300" s="1">
        <v>44341</v>
      </c>
      <c r="CH300" s="1">
        <v>44342</v>
      </c>
      <c r="CI300" t="s">
        <v>51</v>
      </c>
      <c r="CK300" t="s">
        <v>78</v>
      </c>
      <c r="CM300" t="s">
        <v>54</v>
      </c>
      <c r="CN300" t="s">
        <v>79</v>
      </c>
      <c r="CR300">
        <v>0</v>
      </c>
      <c r="CS300">
        <v>0</v>
      </c>
      <c r="CT300">
        <v>0</v>
      </c>
      <c r="CU300">
        <v>0</v>
      </c>
    </row>
    <row r="301" spans="1:99" x14ac:dyDescent="0.2">
      <c r="A301" t="s">
        <v>45</v>
      </c>
      <c r="B301" t="s">
        <v>46</v>
      </c>
      <c r="C301" t="s">
        <v>47</v>
      </c>
      <c r="D301" t="s">
        <v>68</v>
      </c>
      <c r="F301" t="str">
        <f>"253243"</f>
        <v>253243</v>
      </c>
      <c r="G301" t="s">
        <v>49</v>
      </c>
      <c r="H301" t="s">
        <v>326</v>
      </c>
      <c r="K301" t="s">
        <v>51</v>
      </c>
      <c r="L301" t="s">
        <v>52</v>
      </c>
      <c r="M301">
        <v>135018.19</v>
      </c>
      <c r="N301">
        <v>474534.13</v>
      </c>
      <c r="O301" t="s">
        <v>53</v>
      </c>
      <c r="P301" t="s">
        <v>54</v>
      </c>
      <c r="Q301" t="s">
        <v>55</v>
      </c>
      <c r="T301" t="s">
        <v>111</v>
      </c>
      <c r="U301">
        <v>40</v>
      </c>
      <c r="V301" s="1">
        <v>34700</v>
      </c>
      <c r="W301" s="1">
        <v>34700</v>
      </c>
      <c r="X301" s="1">
        <v>34700</v>
      </c>
      <c r="Y301" s="1">
        <v>49310</v>
      </c>
      <c r="Z301" t="s">
        <v>51</v>
      </c>
      <c r="AB301" t="s">
        <v>54</v>
      </c>
      <c r="AC301">
        <v>1</v>
      </c>
      <c r="AE301" t="s">
        <v>76</v>
      </c>
      <c r="AF301">
        <v>20</v>
      </c>
      <c r="AG301" s="1">
        <v>44341</v>
      </c>
      <c r="AH301" s="1">
        <v>44341</v>
      </c>
      <c r="AI301" s="1">
        <v>44341</v>
      </c>
      <c r="AJ301" s="1">
        <v>51646</v>
      </c>
      <c r="AK301" t="s">
        <v>51</v>
      </c>
      <c r="AN301">
        <v>0</v>
      </c>
      <c r="AO301" t="s">
        <v>54</v>
      </c>
      <c r="AP301" t="s">
        <v>53</v>
      </c>
      <c r="AQ301">
        <v>0</v>
      </c>
      <c r="AR301" t="s">
        <v>53</v>
      </c>
      <c r="AS301">
        <v>0</v>
      </c>
      <c r="AT301">
        <v>0</v>
      </c>
      <c r="CC301" t="s">
        <v>77</v>
      </c>
      <c r="CD301">
        <v>20</v>
      </c>
      <c r="CE301" s="1">
        <v>44341</v>
      </c>
      <c r="CF301" s="1">
        <v>44341</v>
      </c>
      <c r="CG301" s="1">
        <v>44341</v>
      </c>
      <c r="CH301" s="1">
        <v>44342</v>
      </c>
      <c r="CI301" t="s">
        <v>51</v>
      </c>
      <c r="CK301" t="s">
        <v>78</v>
      </c>
      <c r="CM301" t="s">
        <v>54</v>
      </c>
      <c r="CN301" t="s">
        <v>79</v>
      </c>
      <c r="CR301">
        <v>0</v>
      </c>
      <c r="CS301">
        <v>0</v>
      </c>
      <c r="CT301">
        <v>0</v>
      </c>
      <c r="CU301">
        <v>0</v>
      </c>
    </row>
    <row r="302" spans="1:99" x14ac:dyDescent="0.2">
      <c r="A302" t="s">
        <v>45</v>
      </c>
      <c r="B302" t="s">
        <v>46</v>
      </c>
      <c r="C302" t="s">
        <v>47</v>
      </c>
      <c r="D302" t="s">
        <v>48</v>
      </c>
      <c r="F302" t="str">
        <f>"253255"</f>
        <v>253255</v>
      </c>
      <c r="G302" t="s">
        <v>49</v>
      </c>
      <c r="I302" t="s">
        <v>50</v>
      </c>
      <c r="K302" t="s">
        <v>51</v>
      </c>
      <c r="L302" t="s">
        <v>52</v>
      </c>
      <c r="M302">
        <v>135736.85999999999</v>
      </c>
      <c r="N302">
        <v>473881.24</v>
      </c>
      <c r="O302" t="s">
        <v>53</v>
      </c>
      <c r="P302" t="s">
        <v>54</v>
      </c>
      <c r="Q302" t="s">
        <v>55</v>
      </c>
      <c r="T302" t="s">
        <v>56</v>
      </c>
      <c r="U302">
        <v>40</v>
      </c>
      <c r="V302" s="1">
        <v>22647</v>
      </c>
      <c r="W302" s="1">
        <v>22647</v>
      </c>
      <c r="X302" s="1">
        <v>22647</v>
      </c>
      <c r="Y302" s="1">
        <v>37257</v>
      </c>
      <c r="Z302" t="s">
        <v>51</v>
      </c>
      <c r="AB302" t="s">
        <v>54</v>
      </c>
      <c r="AC302">
        <v>1</v>
      </c>
      <c r="AE302" t="s">
        <v>64</v>
      </c>
      <c r="AF302">
        <v>20</v>
      </c>
      <c r="AG302" s="1">
        <v>30682</v>
      </c>
      <c r="AH302" s="1">
        <v>30682</v>
      </c>
      <c r="AI302" s="1">
        <v>30682</v>
      </c>
      <c r="AJ302" s="1">
        <v>37987</v>
      </c>
      <c r="AK302" t="s">
        <v>51</v>
      </c>
      <c r="AN302">
        <v>0</v>
      </c>
      <c r="AO302" t="s">
        <v>54</v>
      </c>
      <c r="AP302" t="s">
        <v>53</v>
      </c>
      <c r="AQ302">
        <v>0</v>
      </c>
      <c r="AR302" t="s">
        <v>53</v>
      </c>
      <c r="AS302">
        <v>0</v>
      </c>
      <c r="AT302">
        <v>0</v>
      </c>
      <c r="AW302" t="s">
        <v>58</v>
      </c>
      <c r="AX302">
        <v>20</v>
      </c>
      <c r="AY302" s="1">
        <v>30682</v>
      </c>
      <c r="AZ302" s="1">
        <v>30682</v>
      </c>
      <c r="BA302" s="1">
        <v>30682</v>
      </c>
      <c r="BB302" s="1">
        <v>37987</v>
      </c>
      <c r="BC302" t="s">
        <v>51</v>
      </c>
      <c r="BE302" t="s">
        <v>54</v>
      </c>
      <c r="BF302">
        <v>2</v>
      </c>
      <c r="BG302">
        <v>0</v>
      </c>
      <c r="BH302" t="s">
        <v>53</v>
      </c>
      <c r="BK302" t="s">
        <v>59</v>
      </c>
      <c r="BL302">
        <v>14000</v>
      </c>
      <c r="BM302" s="1">
        <v>44322</v>
      </c>
      <c r="BN302" s="1">
        <v>44322</v>
      </c>
      <c r="BO302" s="1">
        <v>44322</v>
      </c>
      <c r="BP302" s="1">
        <v>45544</v>
      </c>
      <c r="BQ302" t="s">
        <v>51</v>
      </c>
      <c r="BS302" t="s">
        <v>60</v>
      </c>
      <c r="BT302" t="s">
        <v>54</v>
      </c>
      <c r="BU302" t="s">
        <v>61</v>
      </c>
      <c r="BV302" t="s">
        <v>62</v>
      </c>
      <c r="BX302">
        <v>24</v>
      </c>
      <c r="BY302">
        <v>0</v>
      </c>
      <c r="BZ302">
        <v>0</v>
      </c>
    </row>
    <row r="303" spans="1:99" x14ac:dyDescent="0.2">
      <c r="A303" t="s">
        <v>45</v>
      </c>
      <c r="B303" t="s">
        <v>46</v>
      </c>
      <c r="C303" t="s">
        <v>47</v>
      </c>
      <c r="D303" t="s">
        <v>48</v>
      </c>
      <c r="F303" t="str">
        <f>"253274"</f>
        <v>253274</v>
      </c>
      <c r="G303" t="s">
        <v>49</v>
      </c>
      <c r="H303" t="s">
        <v>219</v>
      </c>
      <c r="K303" t="s">
        <v>51</v>
      </c>
      <c r="L303" t="s">
        <v>52</v>
      </c>
      <c r="M303">
        <v>135769.68</v>
      </c>
      <c r="N303">
        <v>473865.58</v>
      </c>
      <c r="O303" t="s">
        <v>53</v>
      </c>
      <c r="P303" t="s">
        <v>54</v>
      </c>
      <c r="Q303" t="s">
        <v>55</v>
      </c>
      <c r="T303" t="s">
        <v>131</v>
      </c>
      <c r="U303">
        <v>40</v>
      </c>
      <c r="V303" s="1">
        <v>35431</v>
      </c>
      <c r="W303" s="1">
        <v>35431</v>
      </c>
      <c r="X303" s="1">
        <v>35431</v>
      </c>
      <c r="Y303" s="1">
        <v>50041</v>
      </c>
      <c r="Z303" t="s">
        <v>51</v>
      </c>
      <c r="AB303" t="s">
        <v>54</v>
      </c>
      <c r="AC303">
        <v>1</v>
      </c>
      <c r="AE303" t="s">
        <v>84</v>
      </c>
      <c r="AF303">
        <v>20</v>
      </c>
      <c r="AG303" s="1">
        <v>37886</v>
      </c>
      <c r="AH303" s="1">
        <v>37886</v>
      </c>
      <c r="AI303" s="1">
        <v>37886</v>
      </c>
      <c r="AJ303" s="1">
        <v>45191</v>
      </c>
      <c r="AK303" t="s">
        <v>51</v>
      </c>
      <c r="AN303">
        <v>0</v>
      </c>
      <c r="AO303" t="s">
        <v>54</v>
      </c>
      <c r="AP303" t="s">
        <v>53</v>
      </c>
      <c r="AQ303">
        <v>0</v>
      </c>
      <c r="AR303" t="s">
        <v>53</v>
      </c>
      <c r="AS303">
        <v>0</v>
      </c>
      <c r="AT303">
        <v>0</v>
      </c>
      <c r="AW303" t="s">
        <v>58</v>
      </c>
      <c r="AX303">
        <v>20</v>
      </c>
      <c r="AY303" s="1">
        <v>44935</v>
      </c>
      <c r="AZ303" s="1">
        <v>44935</v>
      </c>
      <c r="BA303" s="1">
        <v>44935</v>
      </c>
      <c r="BB303" s="1">
        <v>52240</v>
      </c>
      <c r="BC303" t="s">
        <v>51</v>
      </c>
      <c r="BE303" t="s">
        <v>54</v>
      </c>
      <c r="BF303">
        <v>2</v>
      </c>
      <c r="BG303">
        <v>0</v>
      </c>
      <c r="BH303" t="s">
        <v>53</v>
      </c>
      <c r="BK303" t="s">
        <v>59</v>
      </c>
      <c r="BL303">
        <v>14000</v>
      </c>
      <c r="BM303" s="1">
        <v>44322</v>
      </c>
      <c r="BN303" s="1">
        <v>44322</v>
      </c>
      <c r="BO303" s="1">
        <v>44935</v>
      </c>
      <c r="BP303" s="1">
        <v>45544</v>
      </c>
      <c r="BQ303" t="s">
        <v>51</v>
      </c>
      <c r="BS303" t="s">
        <v>60</v>
      </c>
      <c r="BT303" t="s">
        <v>54</v>
      </c>
      <c r="BU303" t="s">
        <v>61</v>
      </c>
      <c r="BV303" t="s">
        <v>62</v>
      </c>
      <c r="BX303">
        <v>24</v>
      </c>
      <c r="BY303">
        <v>0</v>
      </c>
      <c r="BZ303">
        <v>0</v>
      </c>
    </row>
    <row r="304" spans="1:99" x14ac:dyDescent="0.2">
      <c r="A304" t="s">
        <v>45</v>
      </c>
      <c r="B304" t="s">
        <v>46</v>
      </c>
      <c r="C304" t="s">
        <v>47</v>
      </c>
      <c r="D304" t="s">
        <v>48</v>
      </c>
      <c r="F304" t="str">
        <f>"253275"</f>
        <v>253275</v>
      </c>
      <c r="G304" t="s">
        <v>49</v>
      </c>
      <c r="H304" t="s">
        <v>219</v>
      </c>
      <c r="K304" t="s">
        <v>51</v>
      </c>
      <c r="L304" t="s">
        <v>52</v>
      </c>
      <c r="M304">
        <v>135780.24</v>
      </c>
      <c r="N304">
        <v>473860.15</v>
      </c>
      <c r="O304" t="s">
        <v>53</v>
      </c>
      <c r="P304" t="s">
        <v>54</v>
      </c>
      <c r="Q304" t="s">
        <v>55</v>
      </c>
      <c r="T304" t="s">
        <v>131</v>
      </c>
      <c r="U304">
        <v>40</v>
      </c>
      <c r="V304" s="1">
        <v>35796</v>
      </c>
      <c r="W304" s="1">
        <v>35796</v>
      </c>
      <c r="X304" s="1">
        <v>35796</v>
      </c>
      <c r="Y304" s="1">
        <v>50406</v>
      </c>
      <c r="Z304" t="s">
        <v>51</v>
      </c>
      <c r="AB304" t="s">
        <v>54</v>
      </c>
      <c r="AC304">
        <v>1</v>
      </c>
      <c r="AE304" t="s">
        <v>84</v>
      </c>
      <c r="AF304">
        <v>20</v>
      </c>
      <c r="AG304" s="1">
        <v>35796</v>
      </c>
      <c r="AH304" s="1">
        <v>35796</v>
      </c>
      <c r="AI304" s="1">
        <v>35796</v>
      </c>
      <c r="AJ304" s="1">
        <v>43101</v>
      </c>
      <c r="AK304" t="s">
        <v>51</v>
      </c>
      <c r="AN304">
        <v>0</v>
      </c>
      <c r="AO304" t="s">
        <v>54</v>
      </c>
      <c r="AP304" t="s">
        <v>53</v>
      </c>
      <c r="AQ304">
        <v>0</v>
      </c>
      <c r="AR304" t="s">
        <v>53</v>
      </c>
      <c r="AS304">
        <v>0</v>
      </c>
      <c r="AT304">
        <v>0</v>
      </c>
      <c r="AW304" t="s">
        <v>58</v>
      </c>
      <c r="AX304">
        <v>20</v>
      </c>
      <c r="AY304" s="1">
        <v>35796</v>
      </c>
      <c r="AZ304" s="1">
        <v>35796</v>
      </c>
      <c r="BA304" s="1">
        <v>35796</v>
      </c>
      <c r="BB304" s="1">
        <v>43101</v>
      </c>
      <c r="BC304" t="s">
        <v>51</v>
      </c>
      <c r="BE304" t="s">
        <v>54</v>
      </c>
      <c r="BF304">
        <v>2</v>
      </c>
      <c r="BG304">
        <v>0</v>
      </c>
      <c r="BH304" t="s">
        <v>53</v>
      </c>
      <c r="BK304" t="s">
        <v>59</v>
      </c>
      <c r="BL304">
        <v>14000</v>
      </c>
      <c r="BM304" s="1">
        <v>44322</v>
      </c>
      <c r="BN304" s="1">
        <v>44322</v>
      </c>
      <c r="BO304" s="1">
        <v>44322</v>
      </c>
      <c r="BP304" s="1">
        <v>45544</v>
      </c>
      <c r="BQ304" t="s">
        <v>51</v>
      </c>
      <c r="BS304" t="s">
        <v>60</v>
      </c>
      <c r="BT304" t="s">
        <v>54</v>
      </c>
      <c r="BU304" t="s">
        <v>61</v>
      </c>
      <c r="BV304" t="s">
        <v>62</v>
      </c>
      <c r="BX304">
        <v>24</v>
      </c>
      <c r="BY304">
        <v>0</v>
      </c>
      <c r="BZ304">
        <v>0</v>
      </c>
    </row>
    <row r="305" spans="1:78" x14ac:dyDescent="0.2">
      <c r="A305" t="s">
        <v>45</v>
      </c>
      <c r="B305" t="s">
        <v>46</v>
      </c>
      <c r="C305" t="s">
        <v>47</v>
      </c>
      <c r="D305" t="s">
        <v>48</v>
      </c>
      <c r="F305" t="str">
        <f>"253276"</f>
        <v>253276</v>
      </c>
      <c r="G305" t="s">
        <v>49</v>
      </c>
      <c r="H305">
        <v>4</v>
      </c>
      <c r="K305" t="s">
        <v>51</v>
      </c>
      <c r="L305" t="s">
        <v>52</v>
      </c>
      <c r="M305">
        <v>135805.49</v>
      </c>
      <c r="N305">
        <v>473842.61</v>
      </c>
      <c r="O305" t="s">
        <v>53</v>
      </c>
      <c r="P305" t="s">
        <v>54</v>
      </c>
      <c r="Q305" t="s">
        <v>55</v>
      </c>
      <c r="T305" t="s">
        <v>241</v>
      </c>
      <c r="U305">
        <v>40</v>
      </c>
      <c r="V305" s="1">
        <v>35431</v>
      </c>
      <c r="W305" s="1">
        <v>35431</v>
      </c>
      <c r="X305" s="1">
        <v>35431</v>
      </c>
      <c r="Y305" s="1">
        <v>50041</v>
      </c>
      <c r="Z305" t="s">
        <v>51</v>
      </c>
      <c r="AB305" t="s">
        <v>54</v>
      </c>
      <c r="AC305">
        <v>1</v>
      </c>
      <c r="AE305" t="s">
        <v>222</v>
      </c>
      <c r="AF305">
        <v>20</v>
      </c>
      <c r="AG305" s="1">
        <v>35431</v>
      </c>
      <c r="AH305" s="1">
        <v>35431</v>
      </c>
      <c r="AI305" s="1">
        <v>35431</v>
      </c>
      <c r="AJ305" s="1">
        <v>42736</v>
      </c>
      <c r="AK305" t="s">
        <v>51</v>
      </c>
      <c r="AN305">
        <v>0</v>
      </c>
      <c r="AO305" t="s">
        <v>54</v>
      </c>
      <c r="AP305" t="s">
        <v>53</v>
      </c>
      <c r="AQ305">
        <v>0</v>
      </c>
      <c r="AR305" t="s">
        <v>53</v>
      </c>
      <c r="AS305">
        <v>0</v>
      </c>
      <c r="AT305">
        <v>0</v>
      </c>
      <c r="AW305" t="s">
        <v>58</v>
      </c>
      <c r="AX305">
        <v>20</v>
      </c>
      <c r="AY305" s="1">
        <v>35431</v>
      </c>
      <c r="AZ305" s="1">
        <v>35431</v>
      </c>
      <c r="BA305" s="1">
        <v>35431</v>
      </c>
      <c r="BB305" s="1">
        <v>42736</v>
      </c>
      <c r="BC305" t="s">
        <v>51</v>
      </c>
      <c r="BE305" t="s">
        <v>54</v>
      </c>
      <c r="BF305">
        <v>2</v>
      </c>
      <c r="BG305">
        <v>0</v>
      </c>
      <c r="BH305" t="s">
        <v>53</v>
      </c>
      <c r="BK305" t="s">
        <v>59</v>
      </c>
      <c r="BL305">
        <v>14000</v>
      </c>
      <c r="BM305" s="1">
        <v>44322</v>
      </c>
      <c r="BN305" s="1">
        <v>44322</v>
      </c>
      <c r="BO305" s="1">
        <v>44322</v>
      </c>
      <c r="BP305" s="1">
        <v>45544</v>
      </c>
      <c r="BQ305" t="s">
        <v>51</v>
      </c>
      <c r="BS305" t="s">
        <v>60</v>
      </c>
      <c r="BT305" t="s">
        <v>54</v>
      </c>
      <c r="BU305" t="s">
        <v>61</v>
      </c>
      <c r="BV305" t="s">
        <v>62</v>
      </c>
      <c r="BX305">
        <v>24</v>
      </c>
      <c r="BY305">
        <v>0</v>
      </c>
      <c r="BZ305">
        <v>0</v>
      </c>
    </row>
    <row r="306" spans="1:78" x14ac:dyDescent="0.2">
      <c r="A306" t="s">
        <v>45</v>
      </c>
      <c r="B306" t="s">
        <v>46</v>
      </c>
      <c r="C306" t="s">
        <v>47</v>
      </c>
      <c r="D306" t="s">
        <v>48</v>
      </c>
      <c r="F306" t="str">
        <f>"253277"</f>
        <v>253277</v>
      </c>
      <c r="G306" t="s">
        <v>49</v>
      </c>
      <c r="H306">
        <v>7</v>
      </c>
      <c r="K306" t="s">
        <v>51</v>
      </c>
      <c r="L306" t="s">
        <v>52</v>
      </c>
      <c r="M306">
        <v>135834.15</v>
      </c>
      <c r="N306">
        <v>473830.26</v>
      </c>
      <c r="O306" t="s">
        <v>53</v>
      </c>
      <c r="P306" t="s">
        <v>54</v>
      </c>
      <c r="Q306" t="s">
        <v>55</v>
      </c>
      <c r="T306" t="s">
        <v>241</v>
      </c>
      <c r="U306">
        <v>40</v>
      </c>
      <c r="V306" s="1">
        <v>35431</v>
      </c>
      <c r="W306" s="1">
        <v>35431</v>
      </c>
      <c r="X306" s="1">
        <v>35431</v>
      </c>
      <c r="Y306" s="1">
        <v>50041</v>
      </c>
      <c r="Z306" t="s">
        <v>51</v>
      </c>
      <c r="AB306" t="s">
        <v>54</v>
      </c>
      <c r="AC306">
        <v>1</v>
      </c>
      <c r="AE306" t="s">
        <v>222</v>
      </c>
      <c r="AF306">
        <v>20</v>
      </c>
      <c r="AG306" s="1">
        <v>35431</v>
      </c>
      <c r="AH306" s="1">
        <v>35431</v>
      </c>
      <c r="AI306" s="1">
        <v>35431</v>
      </c>
      <c r="AJ306" s="1">
        <v>42736</v>
      </c>
      <c r="AK306" t="s">
        <v>51</v>
      </c>
      <c r="AN306">
        <v>0</v>
      </c>
      <c r="AO306" t="s">
        <v>54</v>
      </c>
      <c r="AP306" t="s">
        <v>53</v>
      </c>
      <c r="AQ306">
        <v>0</v>
      </c>
      <c r="AR306" t="s">
        <v>53</v>
      </c>
      <c r="AS306">
        <v>0</v>
      </c>
      <c r="AT306">
        <v>0</v>
      </c>
      <c r="AW306" t="s">
        <v>58</v>
      </c>
      <c r="AX306">
        <v>20</v>
      </c>
      <c r="AY306" s="1">
        <v>35431</v>
      </c>
      <c r="AZ306" s="1">
        <v>35431</v>
      </c>
      <c r="BA306" s="1">
        <v>35431</v>
      </c>
      <c r="BB306" s="1">
        <v>42736</v>
      </c>
      <c r="BC306" t="s">
        <v>51</v>
      </c>
      <c r="BE306" t="s">
        <v>54</v>
      </c>
      <c r="BF306">
        <v>2</v>
      </c>
      <c r="BG306">
        <v>0</v>
      </c>
      <c r="BH306" t="s">
        <v>53</v>
      </c>
      <c r="BK306" t="s">
        <v>59</v>
      </c>
      <c r="BL306">
        <v>14000</v>
      </c>
      <c r="BM306" s="1">
        <v>44322</v>
      </c>
      <c r="BN306" s="1">
        <v>44322</v>
      </c>
      <c r="BO306" s="1">
        <v>44322</v>
      </c>
      <c r="BP306" s="1">
        <v>45544</v>
      </c>
      <c r="BQ306" t="s">
        <v>51</v>
      </c>
      <c r="BS306" t="s">
        <v>60</v>
      </c>
      <c r="BT306" t="s">
        <v>54</v>
      </c>
      <c r="BU306" t="s">
        <v>61</v>
      </c>
      <c r="BV306" t="s">
        <v>62</v>
      </c>
      <c r="BX306">
        <v>24</v>
      </c>
      <c r="BY306">
        <v>0</v>
      </c>
      <c r="BZ306">
        <v>0</v>
      </c>
    </row>
    <row r="307" spans="1:78" x14ac:dyDescent="0.2">
      <c r="A307" t="s">
        <v>45</v>
      </c>
      <c r="B307" t="s">
        <v>46</v>
      </c>
      <c r="C307" t="s">
        <v>47</v>
      </c>
      <c r="D307" t="s">
        <v>48</v>
      </c>
      <c r="F307" t="str">
        <f>"253278"</f>
        <v>253278</v>
      </c>
      <c r="G307" t="s">
        <v>49</v>
      </c>
      <c r="H307">
        <v>10</v>
      </c>
      <c r="K307" t="s">
        <v>51</v>
      </c>
      <c r="L307" t="s">
        <v>52</v>
      </c>
      <c r="M307">
        <v>135864.23000000001</v>
      </c>
      <c r="N307">
        <v>473817.65</v>
      </c>
      <c r="O307" t="s">
        <v>53</v>
      </c>
      <c r="P307" t="s">
        <v>54</v>
      </c>
      <c r="Q307" t="s">
        <v>55</v>
      </c>
      <c r="T307" t="s">
        <v>241</v>
      </c>
      <c r="U307">
        <v>40</v>
      </c>
      <c r="V307" s="1">
        <v>35431</v>
      </c>
      <c r="W307" s="1">
        <v>35431</v>
      </c>
      <c r="X307" s="1">
        <v>35431</v>
      </c>
      <c r="Y307" s="1">
        <v>50041</v>
      </c>
      <c r="Z307" t="s">
        <v>51</v>
      </c>
      <c r="AB307" t="s">
        <v>54</v>
      </c>
      <c r="AC307">
        <v>1</v>
      </c>
      <c r="AE307" t="s">
        <v>222</v>
      </c>
      <c r="AF307">
        <v>20</v>
      </c>
      <c r="AG307" s="1">
        <v>35431</v>
      </c>
      <c r="AH307" s="1">
        <v>35431</v>
      </c>
      <c r="AI307" s="1">
        <v>35431</v>
      </c>
      <c r="AJ307" s="1">
        <v>42736</v>
      </c>
      <c r="AK307" t="s">
        <v>51</v>
      </c>
      <c r="AN307">
        <v>0</v>
      </c>
      <c r="AO307" t="s">
        <v>54</v>
      </c>
      <c r="AP307" t="s">
        <v>53</v>
      </c>
      <c r="AQ307">
        <v>0</v>
      </c>
      <c r="AR307" t="s">
        <v>53</v>
      </c>
      <c r="AS307">
        <v>0</v>
      </c>
      <c r="AT307">
        <v>0</v>
      </c>
      <c r="AW307" t="s">
        <v>58</v>
      </c>
      <c r="AX307">
        <v>20</v>
      </c>
      <c r="AY307" s="1">
        <v>35431</v>
      </c>
      <c r="AZ307" s="1">
        <v>35431</v>
      </c>
      <c r="BA307" s="1">
        <v>35431</v>
      </c>
      <c r="BB307" s="1">
        <v>42736</v>
      </c>
      <c r="BC307" t="s">
        <v>51</v>
      </c>
      <c r="BE307" t="s">
        <v>54</v>
      </c>
      <c r="BF307">
        <v>2</v>
      </c>
      <c r="BG307">
        <v>0</v>
      </c>
      <c r="BH307" t="s">
        <v>53</v>
      </c>
      <c r="BK307" t="s">
        <v>59</v>
      </c>
      <c r="BL307">
        <v>14000</v>
      </c>
      <c r="BM307" s="1">
        <v>44322</v>
      </c>
      <c r="BN307" s="1">
        <v>44322</v>
      </c>
      <c r="BO307" s="1">
        <v>44322</v>
      </c>
      <c r="BP307" s="1">
        <v>45544</v>
      </c>
      <c r="BQ307" t="s">
        <v>51</v>
      </c>
      <c r="BS307" t="s">
        <v>60</v>
      </c>
      <c r="BT307" t="s">
        <v>54</v>
      </c>
      <c r="BU307" t="s">
        <v>61</v>
      </c>
      <c r="BV307" t="s">
        <v>62</v>
      </c>
      <c r="BX307">
        <v>24</v>
      </c>
      <c r="BY307">
        <v>0</v>
      </c>
      <c r="BZ307">
        <v>0</v>
      </c>
    </row>
    <row r="308" spans="1:78" x14ac:dyDescent="0.2">
      <c r="A308" t="s">
        <v>45</v>
      </c>
      <c r="B308" t="s">
        <v>46</v>
      </c>
      <c r="C308" t="s">
        <v>47</v>
      </c>
      <c r="D308" t="s">
        <v>48</v>
      </c>
      <c r="F308" t="str">
        <f>"253279"</f>
        <v>253279</v>
      </c>
      <c r="G308" t="s">
        <v>49</v>
      </c>
      <c r="H308">
        <v>41609</v>
      </c>
      <c r="K308" t="s">
        <v>51</v>
      </c>
      <c r="L308" t="s">
        <v>52</v>
      </c>
      <c r="M308">
        <v>135887.95000000001</v>
      </c>
      <c r="N308">
        <v>473808.43</v>
      </c>
      <c r="O308" t="s">
        <v>53</v>
      </c>
      <c r="P308" t="s">
        <v>54</v>
      </c>
      <c r="Q308" t="s">
        <v>55</v>
      </c>
      <c r="T308" t="s">
        <v>241</v>
      </c>
      <c r="U308">
        <v>40</v>
      </c>
      <c r="V308" s="1">
        <v>35431</v>
      </c>
      <c r="W308" s="1">
        <v>35431</v>
      </c>
      <c r="X308" s="1">
        <v>35431</v>
      </c>
      <c r="Y308" s="1">
        <v>50041</v>
      </c>
      <c r="Z308" t="s">
        <v>51</v>
      </c>
      <c r="AB308" t="s">
        <v>54</v>
      </c>
      <c r="AC308">
        <v>1</v>
      </c>
      <c r="AE308" t="s">
        <v>222</v>
      </c>
      <c r="AF308">
        <v>20</v>
      </c>
      <c r="AG308" s="1">
        <v>35431</v>
      </c>
      <c r="AH308" s="1">
        <v>35431</v>
      </c>
      <c r="AI308" s="1">
        <v>35431</v>
      </c>
      <c r="AJ308" s="1">
        <v>42736</v>
      </c>
      <c r="AK308" t="s">
        <v>51</v>
      </c>
      <c r="AN308">
        <v>0</v>
      </c>
      <c r="AO308" t="s">
        <v>54</v>
      </c>
      <c r="AP308" t="s">
        <v>53</v>
      </c>
      <c r="AQ308">
        <v>0</v>
      </c>
      <c r="AR308" t="s">
        <v>53</v>
      </c>
      <c r="AS308">
        <v>0</v>
      </c>
      <c r="AT308">
        <v>0</v>
      </c>
      <c r="AW308" t="s">
        <v>58</v>
      </c>
      <c r="AX308">
        <v>20</v>
      </c>
      <c r="AY308" s="1">
        <v>35431</v>
      </c>
      <c r="AZ308" s="1">
        <v>35431</v>
      </c>
      <c r="BA308" s="1">
        <v>35431</v>
      </c>
      <c r="BB308" s="1">
        <v>42736</v>
      </c>
      <c r="BC308" t="s">
        <v>51</v>
      </c>
      <c r="BE308" t="s">
        <v>54</v>
      </c>
      <c r="BF308">
        <v>2</v>
      </c>
      <c r="BG308">
        <v>0</v>
      </c>
      <c r="BH308" t="s">
        <v>53</v>
      </c>
      <c r="BK308" t="s">
        <v>59</v>
      </c>
      <c r="BL308">
        <v>14000</v>
      </c>
      <c r="BM308" s="1">
        <v>44322</v>
      </c>
      <c r="BN308" s="1">
        <v>44322</v>
      </c>
      <c r="BO308" s="1">
        <v>44322</v>
      </c>
      <c r="BP308" s="1">
        <v>45544</v>
      </c>
      <c r="BQ308" t="s">
        <v>51</v>
      </c>
      <c r="BS308" t="s">
        <v>60</v>
      </c>
      <c r="BT308" t="s">
        <v>54</v>
      </c>
      <c r="BU308" t="s">
        <v>61</v>
      </c>
      <c r="BV308" t="s">
        <v>62</v>
      </c>
      <c r="BX308">
        <v>24</v>
      </c>
      <c r="BY308">
        <v>0</v>
      </c>
      <c r="BZ308">
        <v>0</v>
      </c>
    </row>
    <row r="309" spans="1:78" x14ac:dyDescent="0.2">
      <c r="A309" t="s">
        <v>45</v>
      </c>
      <c r="B309" t="s">
        <v>46</v>
      </c>
      <c r="C309" t="s">
        <v>47</v>
      </c>
      <c r="D309" t="s">
        <v>48</v>
      </c>
      <c r="F309" t="str">
        <f>"253280"</f>
        <v>253280</v>
      </c>
      <c r="G309" t="s">
        <v>49</v>
      </c>
      <c r="K309" t="s">
        <v>51</v>
      </c>
      <c r="L309" t="s">
        <v>52</v>
      </c>
      <c r="M309">
        <v>135915.32</v>
      </c>
      <c r="N309">
        <v>473797.57</v>
      </c>
      <c r="O309" t="s">
        <v>53</v>
      </c>
      <c r="P309" t="s">
        <v>54</v>
      </c>
      <c r="Q309" t="s">
        <v>55</v>
      </c>
      <c r="T309" t="s">
        <v>100</v>
      </c>
      <c r="U309">
        <v>40</v>
      </c>
      <c r="V309" s="1">
        <v>22647</v>
      </c>
      <c r="W309" s="1">
        <v>22647</v>
      </c>
      <c r="X309" s="1">
        <v>22647</v>
      </c>
      <c r="Y309" s="1">
        <v>37257</v>
      </c>
      <c r="Z309" t="s">
        <v>51</v>
      </c>
      <c r="AB309" t="s">
        <v>54</v>
      </c>
      <c r="AC309">
        <v>1</v>
      </c>
      <c r="AE309" t="s">
        <v>222</v>
      </c>
      <c r="AF309">
        <v>20</v>
      </c>
      <c r="AG309" s="1">
        <v>30682</v>
      </c>
      <c r="AH309" s="1">
        <v>30682</v>
      </c>
      <c r="AI309" s="1">
        <v>30682</v>
      </c>
      <c r="AJ309" s="1">
        <v>37987</v>
      </c>
      <c r="AK309" t="s">
        <v>51</v>
      </c>
      <c r="AN309">
        <v>0</v>
      </c>
      <c r="AO309" t="s">
        <v>54</v>
      </c>
      <c r="AP309" t="s">
        <v>53</v>
      </c>
      <c r="AQ309">
        <v>0</v>
      </c>
      <c r="AR309" t="s">
        <v>53</v>
      </c>
      <c r="AS309">
        <v>0</v>
      </c>
      <c r="AT309">
        <v>0</v>
      </c>
      <c r="AW309" t="s">
        <v>58</v>
      </c>
      <c r="AX309">
        <v>20</v>
      </c>
      <c r="AY309" s="1">
        <v>30682</v>
      </c>
      <c r="AZ309" s="1">
        <v>30682</v>
      </c>
      <c r="BA309" s="1">
        <v>30682</v>
      </c>
      <c r="BB309" s="1">
        <v>37987</v>
      </c>
      <c r="BC309" t="s">
        <v>51</v>
      </c>
      <c r="BE309" t="s">
        <v>54</v>
      </c>
      <c r="BF309">
        <v>2</v>
      </c>
      <c r="BG309">
        <v>0</v>
      </c>
      <c r="BH309" t="s">
        <v>53</v>
      </c>
      <c r="BK309" t="s">
        <v>59</v>
      </c>
      <c r="BL309">
        <v>14000</v>
      </c>
      <c r="BM309" s="1">
        <v>44322</v>
      </c>
      <c r="BN309" s="1">
        <v>44322</v>
      </c>
      <c r="BO309" s="1">
        <v>44322</v>
      </c>
      <c r="BP309" s="1">
        <v>45544</v>
      </c>
      <c r="BQ309" t="s">
        <v>51</v>
      </c>
      <c r="BS309" t="s">
        <v>60</v>
      </c>
      <c r="BT309" t="s">
        <v>54</v>
      </c>
      <c r="BU309" t="s">
        <v>61</v>
      </c>
      <c r="BV309" t="s">
        <v>62</v>
      </c>
      <c r="BX309">
        <v>24</v>
      </c>
      <c r="BY309">
        <v>0</v>
      </c>
      <c r="BZ309">
        <v>0</v>
      </c>
    </row>
    <row r="310" spans="1:78" x14ac:dyDescent="0.2">
      <c r="A310" t="s">
        <v>45</v>
      </c>
      <c r="B310" t="s">
        <v>46</v>
      </c>
      <c r="C310" t="s">
        <v>47</v>
      </c>
      <c r="D310" t="s">
        <v>48</v>
      </c>
      <c r="F310" t="str">
        <f>"253281"</f>
        <v>253281</v>
      </c>
      <c r="G310" t="s">
        <v>49</v>
      </c>
      <c r="H310">
        <v>19</v>
      </c>
      <c r="K310" t="s">
        <v>51</v>
      </c>
      <c r="L310" t="s">
        <v>52</v>
      </c>
      <c r="M310">
        <v>135943.94</v>
      </c>
      <c r="N310">
        <v>473785.96</v>
      </c>
      <c r="O310" t="s">
        <v>53</v>
      </c>
      <c r="P310" t="s">
        <v>54</v>
      </c>
      <c r="Q310" t="s">
        <v>55</v>
      </c>
      <c r="T310" t="s">
        <v>241</v>
      </c>
      <c r="U310">
        <v>40</v>
      </c>
      <c r="V310" s="1">
        <v>35431</v>
      </c>
      <c r="W310" s="1">
        <v>35431</v>
      </c>
      <c r="X310" s="1">
        <v>35431</v>
      </c>
      <c r="Y310" s="1">
        <v>50041</v>
      </c>
      <c r="Z310" t="s">
        <v>51</v>
      </c>
      <c r="AB310" t="s">
        <v>54</v>
      </c>
      <c r="AC310">
        <v>1</v>
      </c>
      <c r="AE310" t="s">
        <v>222</v>
      </c>
      <c r="AF310">
        <v>20</v>
      </c>
      <c r="AG310" s="1">
        <v>35431</v>
      </c>
      <c r="AH310" s="1">
        <v>35431</v>
      </c>
      <c r="AI310" s="1">
        <v>35431</v>
      </c>
      <c r="AJ310" s="1">
        <v>42736</v>
      </c>
      <c r="AK310" t="s">
        <v>51</v>
      </c>
      <c r="AN310">
        <v>0</v>
      </c>
      <c r="AO310" t="s">
        <v>54</v>
      </c>
      <c r="AP310" t="s">
        <v>53</v>
      </c>
      <c r="AQ310">
        <v>0</v>
      </c>
      <c r="AR310" t="s">
        <v>53</v>
      </c>
      <c r="AS310">
        <v>0</v>
      </c>
      <c r="AT310">
        <v>0</v>
      </c>
      <c r="AW310" t="s">
        <v>58</v>
      </c>
      <c r="AX310">
        <v>20</v>
      </c>
      <c r="AY310" s="1">
        <v>35431</v>
      </c>
      <c r="AZ310" s="1">
        <v>35431</v>
      </c>
      <c r="BA310" s="1">
        <v>35431</v>
      </c>
      <c r="BB310" s="1">
        <v>42736</v>
      </c>
      <c r="BC310" t="s">
        <v>51</v>
      </c>
      <c r="BE310" t="s">
        <v>54</v>
      </c>
      <c r="BF310">
        <v>2</v>
      </c>
      <c r="BG310">
        <v>0</v>
      </c>
      <c r="BH310" t="s">
        <v>53</v>
      </c>
      <c r="BK310" t="s">
        <v>59</v>
      </c>
      <c r="BL310">
        <v>14000</v>
      </c>
      <c r="BM310" s="1">
        <v>44322</v>
      </c>
      <c r="BN310" s="1">
        <v>44322</v>
      </c>
      <c r="BO310" s="1">
        <v>44322</v>
      </c>
      <c r="BP310" s="1">
        <v>45544</v>
      </c>
      <c r="BQ310" t="s">
        <v>51</v>
      </c>
      <c r="BS310" t="s">
        <v>60</v>
      </c>
      <c r="BT310" t="s">
        <v>54</v>
      </c>
      <c r="BU310" t="s">
        <v>61</v>
      </c>
      <c r="BV310" t="s">
        <v>62</v>
      </c>
      <c r="BX310">
        <v>24</v>
      </c>
      <c r="BY310">
        <v>0</v>
      </c>
      <c r="BZ310">
        <v>0</v>
      </c>
    </row>
    <row r="311" spans="1:78" x14ac:dyDescent="0.2">
      <c r="A311" t="s">
        <v>45</v>
      </c>
      <c r="B311" t="s">
        <v>46</v>
      </c>
      <c r="C311" t="s">
        <v>47</v>
      </c>
      <c r="D311" t="s">
        <v>48</v>
      </c>
      <c r="F311" t="str">
        <f>"253282"</f>
        <v>253282</v>
      </c>
      <c r="G311" t="s">
        <v>49</v>
      </c>
      <c r="H311">
        <v>22</v>
      </c>
      <c r="K311" t="s">
        <v>51</v>
      </c>
      <c r="L311" t="s">
        <v>52</v>
      </c>
      <c r="M311">
        <v>135967.32999999999</v>
      </c>
      <c r="N311">
        <v>473776.21</v>
      </c>
      <c r="O311" t="s">
        <v>53</v>
      </c>
      <c r="P311" t="s">
        <v>54</v>
      </c>
      <c r="Q311" t="s">
        <v>55</v>
      </c>
      <c r="T311" t="s">
        <v>241</v>
      </c>
      <c r="U311">
        <v>40</v>
      </c>
      <c r="V311" s="1">
        <v>35431</v>
      </c>
      <c r="W311" s="1">
        <v>35431</v>
      </c>
      <c r="X311" s="1">
        <v>35431</v>
      </c>
      <c r="Y311" s="1">
        <v>50041</v>
      </c>
      <c r="Z311" t="s">
        <v>51</v>
      </c>
      <c r="AB311" t="s">
        <v>54</v>
      </c>
      <c r="AC311">
        <v>1</v>
      </c>
      <c r="AE311" t="s">
        <v>222</v>
      </c>
      <c r="AF311">
        <v>20</v>
      </c>
      <c r="AG311" s="1">
        <v>35431</v>
      </c>
      <c r="AH311" s="1">
        <v>35431</v>
      </c>
      <c r="AI311" s="1">
        <v>35431</v>
      </c>
      <c r="AJ311" s="1">
        <v>42736</v>
      </c>
      <c r="AK311" t="s">
        <v>51</v>
      </c>
      <c r="AN311">
        <v>0</v>
      </c>
      <c r="AO311" t="s">
        <v>54</v>
      </c>
      <c r="AP311" t="s">
        <v>53</v>
      </c>
      <c r="AQ311">
        <v>0</v>
      </c>
      <c r="AR311" t="s">
        <v>53</v>
      </c>
      <c r="AS311">
        <v>0</v>
      </c>
      <c r="AT311">
        <v>0</v>
      </c>
      <c r="AW311" t="s">
        <v>58</v>
      </c>
      <c r="AX311">
        <v>20</v>
      </c>
      <c r="AY311" s="1">
        <v>35431</v>
      </c>
      <c r="AZ311" s="1">
        <v>35431</v>
      </c>
      <c r="BA311" s="1">
        <v>35431</v>
      </c>
      <c r="BB311" s="1">
        <v>42736</v>
      </c>
      <c r="BC311" t="s">
        <v>51</v>
      </c>
      <c r="BE311" t="s">
        <v>54</v>
      </c>
      <c r="BF311">
        <v>2</v>
      </c>
      <c r="BG311">
        <v>0</v>
      </c>
      <c r="BH311" t="s">
        <v>53</v>
      </c>
      <c r="BK311" t="s">
        <v>59</v>
      </c>
      <c r="BL311">
        <v>14000</v>
      </c>
      <c r="BM311" s="1">
        <v>44319</v>
      </c>
      <c r="BN311" s="1">
        <v>44319</v>
      </c>
      <c r="BO311" s="1">
        <v>44319</v>
      </c>
      <c r="BP311" s="1">
        <v>45541</v>
      </c>
      <c r="BQ311" t="s">
        <v>51</v>
      </c>
      <c r="BS311" t="s">
        <v>60</v>
      </c>
      <c r="BT311" t="s">
        <v>54</v>
      </c>
      <c r="BU311" t="s">
        <v>61</v>
      </c>
      <c r="BV311" t="s">
        <v>62</v>
      </c>
      <c r="BX311">
        <v>24</v>
      </c>
      <c r="BY311">
        <v>0</v>
      </c>
      <c r="BZ311">
        <v>0</v>
      </c>
    </row>
    <row r="312" spans="1:78" x14ac:dyDescent="0.2">
      <c r="A312" t="s">
        <v>45</v>
      </c>
      <c r="B312" t="s">
        <v>46</v>
      </c>
      <c r="C312" t="s">
        <v>47</v>
      </c>
      <c r="D312" t="s">
        <v>48</v>
      </c>
      <c r="F312" t="str">
        <f>"253283"</f>
        <v>253283</v>
      </c>
      <c r="G312" t="s">
        <v>49</v>
      </c>
      <c r="H312">
        <v>27</v>
      </c>
      <c r="K312" t="s">
        <v>51</v>
      </c>
      <c r="L312" t="s">
        <v>52</v>
      </c>
      <c r="M312">
        <v>135999.35</v>
      </c>
      <c r="N312">
        <v>473763.27</v>
      </c>
      <c r="O312" t="s">
        <v>53</v>
      </c>
      <c r="P312" t="s">
        <v>54</v>
      </c>
      <c r="Q312" t="s">
        <v>55</v>
      </c>
      <c r="T312" t="s">
        <v>241</v>
      </c>
      <c r="U312">
        <v>40</v>
      </c>
      <c r="V312" s="1">
        <v>35431</v>
      </c>
      <c r="W312" s="1">
        <v>35431</v>
      </c>
      <c r="X312" s="1">
        <v>35431</v>
      </c>
      <c r="Y312" s="1">
        <v>50041</v>
      </c>
      <c r="Z312" t="s">
        <v>51</v>
      </c>
      <c r="AB312" t="s">
        <v>54</v>
      </c>
      <c r="AC312">
        <v>1</v>
      </c>
      <c r="AE312" t="s">
        <v>222</v>
      </c>
      <c r="AF312">
        <v>20</v>
      </c>
      <c r="AG312" s="1">
        <v>35431</v>
      </c>
      <c r="AH312" s="1">
        <v>35431</v>
      </c>
      <c r="AI312" s="1">
        <v>35431</v>
      </c>
      <c r="AJ312" s="1">
        <v>42736</v>
      </c>
      <c r="AK312" t="s">
        <v>51</v>
      </c>
      <c r="AN312">
        <v>0</v>
      </c>
      <c r="AO312" t="s">
        <v>54</v>
      </c>
      <c r="AP312" t="s">
        <v>53</v>
      </c>
      <c r="AQ312">
        <v>0</v>
      </c>
      <c r="AR312" t="s">
        <v>53</v>
      </c>
      <c r="AS312">
        <v>0</v>
      </c>
      <c r="AT312">
        <v>0</v>
      </c>
      <c r="AW312" t="s">
        <v>58</v>
      </c>
      <c r="AX312">
        <v>20</v>
      </c>
      <c r="AY312" s="1">
        <v>35431</v>
      </c>
      <c r="AZ312" s="1">
        <v>35431</v>
      </c>
      <c r="BA312" s="1">
        <v>35431</v>
      </c>
      <c r="BB312" s="1">
        <v>42736</v>
      </c>
      <c r="BC312" t="s">
        <v>51</v>
      </c>
      <c r="BE312" t="s">
        <v>54</v>
      </c>
      <c r="BF312">
        <v>2</v>
      </c>
      <c r="BG312">
        <v>0</v>
      </c>
      <c r="BH312" t="s">
        <v>53</v>
      </c>
      <c r="BK312" t="s">
        <v>59</v>
      </c>
      <c r="BL312">
        <v>14000</v>
      </c>
      <c r="BM312" s="1">
        <v>44319</v>
      </c>
      <c r="BN312" s="1">
        <v>44319</v>
      </c>
      <c r="BO312" s="1">
        <v>44319</v>
      </c>
      <c r="BP312" s="1">
        <v>45541</v>
      </c>
      <c r="BQ312" t="s">
        <v>51</v>
      </c>
      <c r="BS312" t="s">
        <v>60</v>
      </c>
      <c r="BT312" t="s">
        <v>54</v>
      </c>
      <c r="BU312" t="s">
        <v>61</v>
      </c>
      <c r="BV312" t="s">
        <v>62</v>
      </c>
      <c r="BX312">
        <v>24</v>
      </c>
      <c r="BY312">
        <v>0</v>
      </c>
      <c r="BZ312">
        <v>0</v>
      </c>
    </row>
    <row r="313" spans="1:78" x14ac:dyDescent="0.2">
      <c r="A313" t="s">
        <v>45</v>
      </c>
      <c r="B313" t="s">
        <v>46</v>
      </c>
      <c r="C313" t="s">
        <v>47</v>
      </c>
      <c r="D313" t="s">
        <v>48</v>
      </c>
      <c r="F313" t="str">
        <f>"253284"</f>
        <v>253284</v>
      </c>
      <c r="G313" t="s">
        <v>49</v>
      </c>
      <c r="H313">
        <v>31</v>
      </c>
      <c r="K313" t="s">
        <v>51</v>
      </c>
      <c r="L313" t="s">
        <v>52</v>
      </c>
      <c r="M313">
        <v>136023.07</v>
      </c>
      <c r="N313">
        <v>473753.43</v>
      </c>
      <c r="O313" t="s">
        <v>53</v>
      </c>
      <c r="P313" t="s">
        <v>54</v>
      </c>
      <c r="Q313" t="s">
        <v>55</v>
      </c>
      <c r="T313" t="s">
        <v>241</v>
      </c>
      <c r="U313">
        <v>40</v>
      </c>
      <c r="V313" s="1">
        <v>35431</v>
      </c>
      <c r="W313" s="1">
        <v>35431</v>
      </c>
      <c r="X313" s="1">
        <v>35431</v>
      </c>
      <c r="Y313" s="1">
        <v>50041</v>
      </c>
      <c r="Z313" t="s">
        <v>51</v>
      </c>
      <c r="AB313" t="s">
        <v>54</v>
      </c>
      <c r="AC313">
        <v>1</v>
      </c>
      <c r="AE313" t="s">
        <v>222</v>
      </c>
      <c r="AF313">
        <v>20</v>
      </c>
      <c r="AG313" s="1">
        <v>35431</v>
      </c>
      <c r="AH313" s="1">
        <v>35431</v>
      </c>
      <c r="AI313" s="1">
        <v>35431</v>
      </c>
      <c r="AJ313" s="1">
        <v>42736</v>
      </c>
      <c r="AK313" t="s">
        <v>51</v>
      </c>
      <c r="AN313">
        <v>0</v>
      </c>
      <c r="AO313" t="s">
        <v>54</v>
      </c>
      <c r="AP313" t="s">
        <v>53</v>
      </c>
      <c r="AQ313">
        <v>0</v>
      </c>
      <c r="AR313" t="s">
        <v>53</v>
      </c>
      <c r="AS313">
        <v>0</v>
      </c>
      <c r="AT313">
        <v>0</v>
      </c>
      <c r="AW313" t="s">
        <v>58</v>
      </c>
      <c r="AX313">
        <v>20</v>
      </c>
      <c r="AY313" s="1">
        <v>44725</v>
      </c>
      <c r="AZ313" s="1">
        <v>44725</v>
      </c>
      <c r="BA313" s="1">
        <v>44725</v>
      </c>
      <c r="BB313" s="1">
        <v>52030</v>
      </c>
      <c r="BC313" t="s">
        <v>51</v>
      </c>
      <c r="BE313" t="s">
        <v>54</v>
      </c>
      <c r="BF313">
        <v>2</v>
      </c>
      <c r="BG313">
        <v>0</v>
      </c>
      <c r="BH313" t="s">
        <v>53</v>
      </c>
      <c r="BK313" t="s">
        <v>59</v>
      </c>
      <c r="BL313">
        <v>14000</v>
      </c>
      <c r="BM313" s="1">
        <v>44319</v>
      </c>
      <c r="BN313" s="1">
        <v>44319</v>
      </c>
      <c r="BO313" s="1">
        <v>44725</v>
      </c>
      <c r="BP313" s="1">
        <v>45541</v>
      </c>
      <c r="BQ313" t="s">
        <v>51</v>
      </c>
      <c r="BS313" t="s">
        <v>60</v>
      </c>
      <c r="BT313" t="s">
        <v>54</v>
      </c>
      <c r="BU313" t="s">
        <v>61</v>
      </c>
      <c r="BV313" t="s">
        <v>62</v>
      </c>
      <c r="BX313">
        <v>24</v>
      </c>
      <c r="BY313">
        <v>0</v>
      </c>
      <c r="BZ313">
        <v>0</v>
      </c>
    </row>
    <row r="314" spans="1:78" x14ac:dyDescent="0.2">
      <c r="A314" t="s">
        <v>45</v>
      </c>
      <c r="B314" t="s">
        <v>46</v>
      </c>
      <c r="C314" t="s">
        <v>47</v>
      </c>
      <c r="D314" t="s">
        <v>48</v>
      </c>
      <c r="F314" t="str">
        <f>"253285"</f>
        <v>253285</v>
      </c>
      <c r="G314" t="s">
        <v>49</v>
      </c>
      <c r="H314">
        <v>35</v>
      </c>
      <c r="K314" t="s">
        <v>51</v>
      </c>
      <c r="L314" t="s">
        <v>52</v>
      </c>
      <c r="M314">
        <v>136048.5</v>
      </c>
      <c r="N314">
        <v>473743.08</v>
      </c>
      <c r="O314" t="s">
        <v>53</v>
      </c>
      <c r="P314" t="s">
        <v>54</v>
      </c>
      <c r="Q314" t="s">
        <v>55</v>
      </c>
      <c r="T314" t="s">
        <v>241</v>
      </c>
      <c r="U314">
        <v>40</v>
      </c>
      <c r="V314" s="1">
        <v>35431</v>
      </c>
      <c r="W314" s="1">
        <v>35431</v>
      </c>
      <c r="X314" s="1">
        <v>35431</v>
      </c>
      <c r="Y314" s="1">
        <v>50041</v>
      </c>
      <c r="Z314" t="s">
        <v>51</v>
      </c>
      <c r="AB314" t="s">
        <v>54</v>
      </c>
      <c r="AC314">
        <v>1</v>
      </c>
      <c r="AE314" t="s">
        <v>222</v>
      </c>
      <c r="AF314">
        <v>20</v>
      </c>
      <c r="AG314" s="1">
        <v>35431</v>
      </c>
      <c r="AH314" s="1">
        <v>35431</v>
      </c>
      <c r="AI314" s="1">
        <v>35431</v>
      </c>
      <c r="AJ314" s="1">
        <v>42736</v>
      </c>
      <c r="AK314" t="s">
        <v>51</v>
      </c>
      <c r="AN314">
        <v>0</v>
      </c>
      <c r="AO314" t="s">
        <v>54</v>
      </c>
      <c r="AP314" t="s">
        <v>53</v>
      </c>
      <c r="AQ314">
        <v>0</v>
      </c>
      <c r="AR314" t="s">
        <v>53</v>
      </c>
      <c r="AS314">
        <v>0</v>
      </c>
      <c r="AT314">
        <v>0</v>
      </c>
      <c r="AW314" t="s">
        <v>58</v>
      </c>
      <c r="AX314">
        <v>20</v>
      </c>
      <c r="AY314" s="1">
        <v>35431</v>
      </c>
      <c r="AZ314" s="1">
        <v>35431</v>
      </c>
      <c r="BA314" s="1">
        <v>35431</v>
      </c>
      <c r="BB314" s="1">
        <v>42736</v>
      </c>
      <c r="BC314" t="s">
        <v>51</v>
      </c>
      <c r="BE314" t="s">
        <v>54</v>
      </c>
      <c r="BF314">
        <v>2</v>
      </c>
      <c r="BG314">
        <v>0</v>
      </c>
      <c r="BH314" t="s">
        <v>53</v>
      </c>
      <c r="BK314" t="s">
        <v>59</v>
      </c>
      <c r="BL314">
        <v>14000</v>
      </c>
      <c r="BM314" s="1">
        <v>44319</v>
      </c>
      <c r="BN314" s="1">
        <v>44319</v>
      </c>
      <c r="BO314" s="1">
        <v>44319</v>
      </c>
      <c r="BP314" s="1">
        <v>45541</v>
      </c>
      <c r="BQ314" t="s">
        <v>51</v>
      </c>
      <c r="BS314" t="s">
        <v>60</v>
      </c>
      <c r="BT314" t="s">
        <v>54</v>
      </c>
      <c r="BU314" t="s">
        <v>61</v>
      </c>
      <c r="BV314" t="s">
        <v>62</v>
      </c>
      <c r="BX314">
        <v>24</v>
      </c>
      <c r="BY314">
        <v>0</v>
      </c>
      <c r="BZ314">
        <v>0</v>
      </c>
    </row>
    <row r="315" spans="1:78" x14ac:dyDescent="0.2">
      <c r="A315" t="s">
        <v>45</v>
      </c>
      <c r="B315" t="s">
        <v>46</v>
      </c>
      <c r="C315" t="s">
        <v>47</v>
      </c>
      <c r="D315" t="s">
        <v>48</v>
      </c>
      <c r="F315" t="str">
        <f>"253286"</f>
        <v>253286</v>
      </c>
      <c r="G315" t="s">
        <v>49</v>
      </c>
      <c r="H315">
        <v>39</v>
      </c>
      <c r="K315" t="s">
        <v>51</v>
      </c>
      <c r="L315" t="s">
        <v>52</v>
      </c>
      <c r="M315">
        <v>136075.43</v>
      </c>
      <c r="N315">
        <v>473732</v>
      </c>
      <c r="O315" t="s">
        <v>53</v>
      </c>
      <c r="P315" t="s">
        <v>54</v>
      </c>
      <c r="Q315" t="s">
        <v>55</v>
      </c>
      <c r="T315" t="s">
        <v>241</v>
      </c>
      <c r="U315">
        <v>40</v>
      </c>
      <c r="V315" s="1">
        <v>35431</v>
      </c>
      <c r="W315" s="1">
        <v>35431</v>
      </c>
      <c r="X315" s="1">
        <v>35431</v>
      </c>
      <c r="Y315" s="1">
        <v>50041</v>
      </c>
      <c r="Z315" t="s">
        <v>51</v>
      </c>
      <c r="AB315" t="s">
        <v>54</v>
      </c>
      <c r="AC315">
        <v>1</v>
      </c>
      <c r="AE315" t="s">
        <v>222</v>
      </c>
      <c r="AF315">
        <v>20</v>
      </c>
      <c r="AG315" s="1">
        <v>35431</v>
      </c>
      <c r="AH315" s="1">
        <v>35431</v>
      </c>
      <c r="AI315" s="1">
        <v>35431</v>
      </c>
      <c r="AJ315" s="1">
        <v>42736</v>
      </c>
      <c r="AK315" t="s">
        <v>51</v>
      </c>
      <c r="AN315">
        <v>0</v>
      </c>
      <c r="AO315" t="s">
        <v>54</v>
      </c>
      <c r="AP315" t="s">
        <v>53</v>
      </c>
      <c r="AQ315">
        <v>0</v>
      </c>
      <c r="AR315" t="s">
        <v>53</v>
      </c>
      <c r="AS315">
        <v>0</v>
      </c>
      <c r="AT315">
        <v>0</v>
      </c>
      <c r="AW315" t="s">
        <v>58</v>
      </c>
      <c r="AX315">
        <v>20</v>
      </c>
      <c r="AY315" s="1">
        <v>35431</v>
      </c>
      <c r="AZ315" s="1">
        <v>35431</v>
      </c>
      <c r="BA315" s="1">
        <v>35431</v>
      </c>
      <c r="BB315" s="1">
        <v>42736</v>
      </c>
      <c r="BC315" t="s">
        <v>51</v>
      </c>
      <c r="BE315" t="s">
        <v>54</v>
      </c>
      <c r="BF315">
        <v>2</v>
      </c>
      <c r="BG315">
        <v>0</v>
      </c>
      <c r="BH315" t="s">
        <v>53</v>
      </c>
      <c r="BK315" t="s">
        <v>59</v>
      </c>
      <c r="BL315">
        <v>14000</v>
      </c>
      <c r="BM315" s="1">
        <v>44319</v>
      </c>
      <c r="BN315" s="1">
        <v>44319</v>
      </c>
      <c r="BO315" s="1">
        <v>44319</v>
      </c>
      <c r="BP315" s="1">
        <v>45541</v>
      </c>
      <c r="BQ315" t="s">
        <v>51</v>
      </c>
      <c r="BS315" t="s">
        <v>60</v>
      </c>
      <c r="BT315" t="s">
        <v>54</v>
      </c>
      <c r="BU315" t="s">
        <v>61</v>
      </c>
      <c r="BV315" t="s">
        <v>62</v>
      </c>
      <c r="BX315">
        <v>24</v>
      </c>
      <c r="BY315">
        <v>0</v>
      </c>
      <c r="BZ315">
        <v>0</v>
      </c>
    </row>
    <row r="316" spans="1:78" x14ac:dyDescent="0.2">
      <c r="A316" t="s">
        <v>45</v>
      </c>
      <c r="B316" t="s">
        <v>46</v>
      </c>
      <c r="C316" t="s">
        <v>47</v>
      </c>
      <c r="D316" t="s">
        <v>48</v>
      </c>
      <c r="F316" t="str">
        <f>"253287"</f>
        <v>253287</v>
      </c>
      <c r="G316" t="s">
        <v>49</v>
      </c>
      <c r="H316">
        <v>43</v>
      </c>
      <c r="K316" t="s">
        <v>51</v>
      </c>
      <c r="L316" t="s">
        <v>52</v>
      </c>
      <c r="M316">
        <v>136103.07999999999</v>
      </c>
      <c r="N316">
        <v>473720.64</v>
      </c>
      <c r="O316" t="s">
        <v>53</v>
      </c>
      <c r="P316" t="s">
        <v>54</v>
      </c>
      <c r="Q316" t="s">
        <v>55</v>
      </c>
      <c r="T316" t="s">
        <v>241</v>
      </c>
      <c r="U316">
        <v>40</v>
      </c>
      <c r="V316" s="1">
        <v>35431</v>
      </c>
      <c r="W316" s="1">
        <v>35431</v>
      </c>
      <c r="X316" s="1">
        <v>35431</v>
      </c>
      <c r="Y316" s="1">
        <v>50041</v>
      </c>
      <c r="Z316" t="s">
        <v>51</v>
      </c>
      <c r="AB316" t="s">
        <v>54</v>
      </c>
      <c r="AC316">
        <v>1</v>
      </c>
      <c r="AE316" t="s">
        <v>222</v>
      </c>
      <c r="AF316">
        <v>20</v>
      </c>
      <c r="AG316" s="1">
        <v>35431</v>
      </c>
      <c r="AH316" s="1">
        <v>35431</v>
      </c>
      <c r="AI316" s="1">
        <v>35431</v>
      </c>
      <c r="AJ316" s="1">
        <v>42736</v>
      </c>
      <c r="AK316" t="s">
        <v>51</v>
      </c>
      <c r="AN316">
        <v>0</v>
      </c>
      <c r="AO316" t="s">
        <v>54</v>
      </c>
      <c r="AP316" t="s">
        <v>53</v>
      </c>
      <c r="AQ316">
        <v>0</v>
      </c>
      <c r="AR316" t="s">
        <v>53</v>
      </c>
      <c r="AS316">
        <v>0</v>
      </c>
      <c r="AT316">
        <v>0</v>
      </c>
      <c r="AW316" t="s">
        <v>58</v>
      </c>
      <c r="AX316">
        <v>20</v>
      </c>
      <c r="AY316" s="1">
        <v>35431</v>
      </c>
      <c r="AZ316" s="1">
        <v>35431</v>
      </c>
      <c r="BA316" s="1">
        <v>35431</v>
      </c>
      <c r="BB316" s="1">
        <v>42736</v>
      </c>
      <c r="BC316" t="s">
        <v>51</v>
      </c>
      <c r="BE316" t="s">
        <v>54</v>
      </c>
      <c r="BF316">
        <v>2</v>
      </c>
      <c r="BG316">
        <v>0</v>
      </c>
      <c r="BH316" t="s">
        <v>53</v>
      </c>
      <c r="BK316" t="s">
        <v>59</v>
      </c>
      <c r="BL316">
        <v>14000</v>
      </c>
      <c r="BM316" s="1">
        <v>44319</v>
      </c>
      <c r="BN316" s="1">
        <v>44319</v>
      </c>
      <c r="BO316" s="1">
        <v>44319</v>
      </c>
      <c r="BP316" s="1">
        <v>45541</v>
      </c>
      <c r="BQ316" t="s">
        <v>51</v>
      </c>
      <c r="BS316" t="s">
        <v>60</v>
      </c>
      <c r="BT316" t="s">
        <v>54</v>
      </c>
      <c r="BU316" t="s">
        <v>61</v>
      </c>
      <c r="BV316" t="s">
        <v>62</v>
      </c>
      <c r="BX316">
        <v>24</v>
      </c>
      <c r="BY316">
        <v>0</v>
      </c>
      <c r="BZ316">
        <v>0</v>
      </c>
    </row>
    <row r="317" spans="1:78" x14ac:dyDescent="0.2">
      <c r="A317" t="s">
        <v>45</v>
      </c>
      <c r="B317" t="s">
        <v>46</v>
      </c>
      <c r="C317" t="s">
        <v>47</v>
      </c>
      <c r="D317" t="s">
        <v>48</v>
      </c>
      <c r="F317" t="str">
        <f>"253288"</f>
        <v>253288</v>
      </c>
      <c r="G317" t="s">
        <v>49</v>
      </c>
      <c r="H317">
        <v>47</v>
      </c>
      <c r="K317" t="s">
        <v>51</v>
      </c>
      <c r="L317" t="s">
        <v>52</v>
      </c>
      <c r="M317">
        <v>136129.49</v>
      </c>
      <c r="N317">
        <v>473709.91</v>
      </c>
      <c r="O317" t="s">
        <v>53</v>
      </c>
      <c r="P317" t="s">
        <v>54</v>
      </c>
      <c r="Q317" t="s">
        <v>55</v>
      </c>
      <c r="T317" t="s">
        <v>241</v>
      </c>
      <c r="U317">
        <v>40</v>
      </c>
      <c r="V317" s="1">
        <v>35431</v>
      </c>
      <c r="W317" s="1">
        <v>35431</v>
      </c>
      <c r="X317" s="1">
        <v>35431</v>
      </c>
      <c r="Y317" s="1">
        <v>50041</v>
      </c>
      <c r="Z317" t="s">
        <v>51</v>
      </c>
      <c r="AB317" t="s">
        <v>54</v>
      </c>
      <c r="AC317">
        <v>1</v>
      </c>
      <c r="AE317" t="s">
        <v>222</v>
      </c>
      <c r="AF317">
        <v>20</v>
      </c>
      <c r="AG317" s="1">
        <v>35431</v>
      </c>
      <c r="AH317" s="1">
        <v>35431</v>
      </c>
      <c r="AI317" s="1">
        <v>35431</v>
      </c>
      <c r="AJ317" s="1">
        <v>42736</v>
      </c>
      <c r="AK317" t="s">
        <v>51</v>
      </c>
      <c r="AN317">
        <v>0</v>
      </c>
      <c r="AO317" t="s">
        <v>54</v>
      </c>
      <c r="AP317" t="s">
        <v>53</v>
      </c>
      <c r="AQ317">
        <v>0</v>
      </c>
      <c r="AR317" t="s">
        <v>53</v>
      </c>
      <c r="AS317">
        <v>0</v>
      </c>
      <c r="AT317">
        <v>0</v>
      </c>
      <c r="AW317" t="s">
        <v>58</v>
      </c>
      <c r="AX317">
        <v>20</v>
      </c>
      <c r="AY317" s="1">
        <v>35431</v>
      </c>
      <c r="AZ317" s="1">
        <v>35431</v>
      </c>
      <c r="BA317" s="1">
        <v>35431</v>
      </c>
      <c r="BB317" s="1">
        <v>42736</v>
      </c>
      <c r="BC317" t="s">
        <v>51</v>
      </c>
      <c r="BE317" t="s">
        <v>54</v>
      </c>
      <c r="BF317">
        <v>2</v>
      </c>
      <c r="BG317">
        <v>0</v>
      </c>
      <c r="BH317" t="s">
        <v>53</v>
      </c>
      <c r="BK317" t="s">
        <v>59</v>
      </c>
      <c r="BL317">
        <v>14000</v>
      </c>
      <c r="BM317" s="1">
        <v>44319</v>
      </c>
      <c r="BN317" s="1">
        <v>44319</v>
      </c>
      <c r="BO317" s="1">
        <v>44319</v>
      </c>
      <c r="BP317" s="1">
        <v>45541</v>
      </c>
      <c r="BQ317" t="s">
        <v>51</v>
      </c>
      <c r="BS317" t="s">
        <v>60</v>
      </c>
      <c r="BT317" t="s">
        <v>54</v>
      </c>
      <c r="BU317" t="s">
        <v>61</v>
      </c>
      <c r="BV317" t="s">
        <v>62</v>
      </c>
      <c r="BX317">
        <v>24</v>
      </c>
      <c r="BY317">
        <v>0</v>
      </c>
      <c r="BZ317">
        <v>0</v>
      </c>
    </row>
    <row r="318" spans="1:78" x14ac:dyDescent="0.2">
      <c r="A318" t="s">
        <v>45</v>
      </c>
      <c r="B318" t="s">
        <v>46</v>
      </c>
      <c r="C318" t="s">
        <v>47</v>
      </c>
      <c r="D318" t="s">
        <v>48</v>
      </c>
      <c r="F318" t="str">
        <f>"253289"</f>
        <v>253289</v>
      </c>
      <c r="G318" t="s">
        <v>49</v>
      </c>
      <c r="H318" t="s">
        <v>328</v>
      </c>
      <c r="K318" t="s">
        <v>51</v>
      </c>
      <c r="L318" t="s">
        <v>52</v>
      </c>
      <c r="M318">
        <v>136148.92000000001</v>
      </c>
      <c r="N318">
        <v>473701.72</v>
      </c>
      <c r="O318" t="s">
        <v>53</v>
      </c>
      <c r="P318" t="s">
        <v>54</v>
      </c>
      <c r="Q318" t="s">
        <v>55</v>
      </c>
      <c r="T318" t="s">
        <v>241</v>
      </c>
      <c r="U318">
        <v>40</v>
      </c>
      <c r="V318" s="1">
        <v>35431</v>
      </c>
      <c r="W318" s="1">
        <v>35431</v>
      </c>
      <c r="X318" s="1">
        <v>35431</v>
      </c>
      <c r="Y318" s="1">
        <v>50041</v>
      </c>
      <c r="Z318" t="s">
        <v>51</v>
      </c>
      <c r="AB318" t="s">
        <v>54</v>
      </c>
      <c r="AC318">
        <v>1</v>
      </c>
      <c r="AE318" t="s">
        <v>222</v>
      </c>
      <c r="AF318">
        <v>20</v>
      </c>
      <c r="AG318" s="1">
        <v>35431</v>
      </c>
      <c r="AH318" s="1">
        <v>35431</v>
      </c>
      <c r="AI318" s="1">
        <v>35431</v>
      </c>
      <c r="AJ318" s="1">
        <v>42736</v>
      </c>
      <c r="AK318" t="s">
        <v>51</v>
      </c>
      <c r="AN318">
        <v>0</v>
      </c>
      <c r="AO318" t="s">
        <v>54</v>
      </c>
      <c r="AP318" t="s">
        <v>53</v>
      </c>
      <c r="AQ318">
        <v>0</v>
      </c>
      <c r="AR318" t="s">
        <v>53</v>
      </c>
      <c r="AS318">
        <v>0</v>
      </c>
      <c r="AT318">
        <v>0</v>
      </c>
      <c r="AW318" t="s">
        <v>58</v>
      </c>
      <c r="AX318">
        <v>20</v>
      </c>
      <c r="AY318" s="1">
        <v>35431</v>
      </c>
      <c r="AZ318" s="1">
        <v>35431</v>
      </c>
      <c r="BA318" s="1">
        <v>35431</v>
      </c>
      <c r="BB318" s="1">
        <v>42736</v>
      </c>
      <c r="BC318" t="s">
        <v>51</v>
      </c>
      <c r="BE318" t="s">
        <v>54</v>
      </c>
      <c r="BF318">
        <v>2</v>
      </c>
      <c r="BG318">
        <v>0</v>
      </c>
      <c r="BH318" t="s">
        <v>53</v>
      </c>
      <c r="BK318" t="s">
        <v>59</v>
      </c>
      <c r="BL318">
        <v>14000</v>
      </c>
      <c r="BM318" s="1">
        <v>44319</v>
      </c>
      <c r="BN318" s="1">
        <v>44319</v>
      </c>
      <c r="BO318" s="1">
        <v>44319</v>
      </c>
      <c r="BP318" s="1">
        <v>45541</v>
      </c>
      <c r="BQ318" t="s">
        <v>51</v>
      </c>
      <c r="BS318" t="s">
        <v>60</v>
      </c>
      <c r="BT318" t="s">
        <v>54</v>
      </c>
      <c r="BU318" t="s">
        <v>61</v>
      </c>
      <c r="BV318" t="s">
        <v>62</v>
      </c>
      <c r="BX318">
        <v>24</v>
      </c>
      <c r="BY318">
        <v>0</v>
      </c>
      <c r="BZ318">
        <v>0</v>
      </c>
    </row>
    <row r="319" spans="1:78" x14ac:dyDescent="0.2">
      <c r="A319" t="s">
        <v>45</v>
      </c>
      <c r="B319" t="s">
        <v>46</v>
      </c>
      <c r="C319" t="s">
        <v>47</v>
      </c>
      <c r="D319" t="s">
        <v>48</v>
      </c>
      <c r="F319" t="str">
        <f>"253290"</f>
        <v>253290</v>
      </c>
      <c r="G319" t="s">
        <v>49</v>
      </c>
      <c r="H319">
        <v>52</v>
      </c>
      <c r="I319" t="s">
        <v>329</v>
      </c>
      <c r="K319" t="s">
        <v>51</v>
      </c>
      <c r="L319" t="s">
        <v>52</v>
      </c>
      <c r="M319">
        <v>136180.95000000001</v>
      </c>
      <c r="N319">
        <v>473688.82</v>
      </c>
      <c r="O319" t="s">
        <v>53</v>
      </c>
      <c r="P319" t="s">
        <v>54</v>
      </c>
      <c r="Q319" t="s">
        <v>55</v>
      </c>
      <c r="T319" t="s">
        <v>241</v>
      </c>
      <c r="U319">
        <v>40</v>
      </c>
      <c r="V319" s="1">
        <v>35431</v>
      </c>
      <c r="W319" s="1">
        <v>35431</v>
      </c>
      <c r="X319" s="1">
        <v>35431</v>
      </c>
      <c r="Y319" s="1">
        <v>50041</v>
      </c>
      <c r="Z319" t="s">
        <v>51</v>
      </c>
      <c r="AB319" t="s">
        <v>54</v>
      </c>
      <c r="AC319">
        <v>1</v>
      </c>
      <c r="AE319" t="s">
        <v>222</v>
      </c>
      <c r="AF319">
        <v>20</v>
      </c>
      <c r="AG319" s="1">
        <v>35431</v>
      </c>
      <c r="AH319" s="1">
        <v>35431</v>
      </c>
      <c r="AI319" s="1">
        <v>35431</v>
      </c>
      <c r="AJ319" s="1">
        <v>42736</v>
      </c>
      <c r="AK319" t="s">
        <v>51</v>
      </c>
      <c r="AN319">
        <v>0</v>
      </c>
      <c r="AO319" t="s">
        <v>54</v>
      </c>
      <c r="AP319" t="s">
        <v>53</v>
      </c>
      <c r="AQ319">
        <v>0</v>
      </c>
      <c r="AR319" t="s">
        <v>53</v>
      </c>
      <c r="AS319">
        <v>0</v>
      </c>
      <c r="AT319">
        <v>0</v>
      </c>
      <c r="AW319" t="s">
        <v>58</v>
      </c>
      <c r="AX319">
        <v>20</v>
      </c>
      <c r="AY319" s="1">
        <v>35431</v>
      </c>
      <c r="AZ319" s="1">
        <v>35431</v>
      </c>
      <c r="BA319" s="1">
        <v>35431</v>
      </c>
      <c r="BB319" s="1">
        <v>42736</v>
      </c>
      <c r="BC319" t="s">
        <v>51</v>
      </c>
      <c r="BE319" t="s">
        <v>54</v>
      </c>
      <c r="BF319">
        <v>2</v>
      </c>
      <c r="BG319">
        <v>0</v>
      </c>
      <c r="BH319" t="s">
        <v>53</v>
      </c>
      <c r="BK319" t="s">
        <v>59</v>
      </c>
      <c r="BL319">
        <v>14000</v>
      </c>
      <c r="BM319" s="1">
        <v>44319</v>
      </c>
      <c r="BN319" s="1">
        <v>44319</v>
      </c>
      <c r="BO319" s="1">
        <v>44319</v>
      </c>
      <c r="BP319" s="1">
        <v>45541</v>
      </c>
      <c r="BQ319" t="s">
        <v>51</v>
      </c>
      <c r="BS319" t="s">
        <v>60</v>
      </c>
      <c r="BT319" t="s">
        <v>54</v>
      </c>
      <c r="BU319" t="s">
        <v>61</v>
      </c>
      <c r="BV319" t="s">
        <v>62</v>
      </c>
      <c r="BX319">
        <v>24</v>
      </c>
      <c r="BY319">
        <v>0</v>
      </c>
      <c r="BZ319">
        <v>0</v>
      </c>
    </row>
    <row r="320" spans="1:78" x14ac:dyDescent="0.2">
      <c r="A320" t="s">
        <v>45</v>
      </c>
      <c r="B320" t="s">
        <v>46</v>
      </c>
      <c r="C320" t="s">
        <v>47</v>
      </c>
      <c r="D320" t="s">
        <v>48</v>
      </c>
      <c r="F320" t="str">
        <f>"253291"</f>
        <v>253291</v>
      </c>
      <c r="G320" t="s">
        <v>49</v>
      </c>
      <c r="H320">
        <v>56</v>
      </c>
      <c r="I320" t="s">
        <v>329</v>
      </c>
      <c r="K320" t="s">
        <v>51</v>
      </c>
      <c r="L320" t="s">
        <v>52</v>
      </c>
      <c r="M320">
        <v>136207.92000000001</v>
      </c>
      <c r="N320">
        <v>473677.75</v>
      </c>
      <c r="O320" t="s">
        <v>53</v>
      </c>
      <c r="P320" t="s">
        <v>54</v>
      </c>
      <c r="Q320" t="s">
        <v>55</v>
      </c>
      <c r="T320" t="s">
        <v>241</v>
      </c>
      <c r="U320">
        <v>40</v>
      </c>
      <c r="V320" s="1">
        <v>35431</v>
      </c>
      <c r="W320" s="1">
        <v>35431</v>
      </c>
      <c r="X320" s="1">
        <v>35431</v>
      </c>
      <c r="Y320" s="1">
        <v>50041</v>
      </c>
      <c r="Z320" t="s">
        <v>51</v>
      </c>
      <c r="AB320" t="s">
        <v>54</v>
      </c>
      <c r="AC320">
        <v>1</v>
      </c>
      <c r="AE320" t="s">
        <v>222</v>
      </c>
      <c r="AF320">
        <v>20</v>
      </c>
      <c r="AG320" s="1">
        <v>35431</v>
      </c>
      <c r="AH320" s="1">
        <v>35431</v>
      </c>
      <c r="AI320" s="1">
        <v>35431</v>
      </c>
      <c r="AJ320" s="1">
        <v>42736</v>
      </c>
      <c r="AK320" t="s">
        <v>51</v>
      </c>
      <c r="AN320">
        <v>0</v>
      </c>
      <c r="AO320" t="s">
        <v>54</v>
      </c>
      <c r="AP320" t="s">
        <v>53</v>
      </c>
      <c r="AQ320">
        <v>0</v>
      </c>
      <c r="AR320" t="s">
        <v>53</v>
      </c>
      <c r="AS320">
        <v>0</v>
      </c>
      <c r="AT320">
        <v>0</v>
      </c>
      <c r="AW320" t="s">
        <v>58</v>
      </c>
      <c r="AX320">
        <v>20</v>
      </c>
      <c r="AY320" s="1">
        <v>35431</v>
      </c>
      <c r="AZ320" s="1">
        <v>35431</v>
      </c>
      <c r="BA320" s="1">
        <v>35431</v>
      </c>
      <c r="BB320" s="1">
        <v>42736</v>
      </c>
      <c r="BC320" t="s">
        <v>51</v>
      </c>
      <c r="BE320" t="s">
        <v>54</v>
      </c>
      <c r="BF320">
        <v>2</v>
      </c>
      <c r="BG320">
        <v>0</v>
      </c>
      <c r="BH320" t="s">
        <v>53</v>
      </c>
      <c r="BK320" t="s">
        <v>59</v>
      </c>
      <c r="BL320">
        <v>14000</v>
      </c>
      <c r="BM320" s="1">
        <v>44319</v>
      </c>
      <c r="BN320" s="1">
        <v>44319</v>
      </c>
      <c r="BO320" s="1">
        <v>44319</v>
      </c>
      <c r="BP320" s="1">
        <v>45541</v>
      </c>
      <c r="BQ320" t="s">
        <v>51</v>
      </c>
      <c r="BS320" t="s">
        <v>60</v>
      </c>
      <c r="BT320" t="s">
        <v>54</v>
      </c>
      <c r="BU320" t="s">
        <v>61</v>
      </c>
      <c r="BV320" t="s">
        <v>62</v>
      </c>
      <c r="BX320">
        <v>24</v>
      </c>
      <c r="BY320">
        <v>0</v>
      </c>
      <c r="BZ320">
        <v>0</v>
      </c>
    </row>
    <row r="321" spans="1:78" x14ac:dyDescent="0.2">
      <c r="A321" t="s">
        <v>45</v>
      </c>
      <c r="B321" t="s">
        <v>46</v>
      </c>
      <c r="C321" t="s">
        <v>47</v>
      </c>
      <c r="D321" t="s">
        <v>48</v>
      </c>
      <c r="F321" t="str">
        <f>"253292"</f>
        <v>253292</v>
      </c>
      <c r="G321" t="s">
        <v>49</v>
      </c>
      <c r="H321" t="s">
        <v>330</v>
      </c>
      <c r="K321" t="s">
        <v>51</v>
      </c>
      <c r="L321" t="s">
        <v>52</v>
      </c>
      <c r="M321">
        <v>136236.53</v>
      </c>
      <c r="N321">
        <v>473666.22</v>
      </c>
      <c r="O321" t="s">
        <v>53</v>
      </c>
      <c r="P321" t="s">
        <v>54</v>
      </c>
      <c r="Q321" t="s">
        <v>55</v>
      </c>
      <c r="T321" t="s">
        <v>241</v>
      </c>
      <c r="U321">
        <v>40</v>
      </c>
      <c r="V321" s="1">
        <v>35431</v>
      </c>
      <c r="W321" s="1">
        <v>35431</v>
      </c>
      <c r="X321" s="1">
        <v>35431</v>
      </c>
      <c r="Y321" s="1">
        <v>50041</v>
      </c>
      <c r="Z321" t="s">
        <v>51</v>
      </c>
      <c r="AB321" t="s">
        <v>54</v>
      </c>
      <c r="AC321">
        <v>1</v>
      </c>
      <c r="AE321" t="s">
        <v>222</v>
      </c>
      <c r="AF321">
        <v>20</v>
      </c>
      <c r="AG321" s="1">
        <v>35431</v>
      </c>
      <c r="AH321" s="1">
        <v>35431</v>
      </c>
      <c r="AI321" s="1">
        <v>35431</v>
      </c>
      <c r="AJ321" s="1">
        <v>42736</v>
      </c>
      <c r="AK321" t="s">
        <v>51</v>
      </c>
      <c r="AN321">
        <v>0</v>
      </c>
      <c r="AO321" t="s">
        <v>54</v>
      </c>
      <c r="AP321" t="s">
        <v>53</v>
      </c>
      <c r="AQ321">
        <v>0</v>
      </c>
      <c r="AR321" t="s">
        <v>53</v>
      </c>
      <c r="AS321">
        <v>0</v>
      </c>
      <c r="AT321">
        <v>0</v>
      </c>
      <c r="AW321" t="s">
        <v>58</v>
      </c>
      <c r="AX321">
        <v>20</v>
      </c>
      <c r="AY321" s="1">
        <v>35431</v>
      </c>
      <c r="AZ321" s="1">
        <v>35431</v>
      </c>
      <c r="BA321" s="1">
        <v>35431</v>
      </c>
      <c r="BB321" s="1">
        <v>42736</v>
      </c>
      <c r="BC321" t="s">
        <v>51</v>
      </c>
      <c r="BE321" t="s">
        <v>54</v>
      </c>
      <c r="BF321">
        <v>2</v>
      </c>
      <c r="BG321">
        <v>0</v>
      </c>
      <c r="BH321" t="s">
        <v>53</v>
      </c>
      <c r="BK321" t="s">
        <v>59</v>
      </c>
      <c r="BL321">
        <v>14000</v>
      </c>
      <c r="BM321" s="1">
        <v>44319</v>
      </c>
      <c r="BN321" s="1">
        <v>44319</v>
      </c>
      <c r="BO321" s="1">
        <v>44319</v>
      </c>
      <c r="BP321" s="1">
        <v>45541</v>
      </c>
      <c r="BQ321" t="s">
        <v>51</v>
      </c>
      <c r="BS321" t="s">
        <v>60</v>
      </c>
      <c r="BT321" t="s">
        <v>54</v>
      </c>
      <c r="BU321" t="s">
        <v>61</v>
      </c>
      <c r="BV321" t="s">
        <v>62</v>
      </c>
      <c r="BX321">
        <v>24</v>
      </c>
      <c r="BY321">
        <v>0</v>
      </c>
      <c r="BZ321">
        <v>0</v>
      </c>
    </row>
    <row r="322" spans="1:78" x14ac:dyDescent="0.2">
      <c r="A322" t="s">
        <v>45</v>
      </c>
      <c r="B322" t="s">
        <v>46</v>
      </c>
      <c r="C322" t="s">
        <v>47</v>
      </c>
      <c r="D322" t="s">
        <v>48</v>
      </c>
      <c r="F322" t="str">
        <f>"253293"</f>
        <v>253293</v>
      </c>
      <c r="G322" t="s">
        <v>49</v>
      </c>
      <c r="H322">
        <v>62</v>
      </c>
      <c r="K322" t="s">
        <v>51</v>
      </c>
      <c r="L322" t="s">
        <v>52</v>
      </c>
      <c r="M322">
        <v>136269.14000000001</v>
      </c>
      <c r="N322">
        <v>473652.81</v>
      </c>
      <c r="O322" t="s">
        <v>53</v>
      </c>
      <c r="P322" t="s">
        <v>54</v>
      </c>
      <c r="Q322" t="s">
        <v>55</v>
      </c>
      <c r="T322" t="s">
        <v>241</v>
      </c>
      <c r="U322">
        <v>40</v>
      </c>
      <c r="V322" s="1">
        <v>35431</v>
      </c>
      <c r="W322" s="1">
        <v>35431</v>
      </c>
      <c r="X322" s="1">
        <v>35431</v>
      </c>
      <c r="Y322" s="1">
        <v>50041</v>
      </c>
      <c r="Z322" t="s">
        <v>51</v>
      </c>
      <c r="AB322" t="s">
        <v>54</v>
      </c>
      <c r="AC322">
        <v>1</v>
      </c>
      <c r="AE322" t="s">
        <v>222</v>
      </c>
      <c r="AF322">
        <v>20</v>
      </c>
      <c r="AG322" s="1">
        <v>35431</v>
      </c>
      <c r="AH322" s="1">
        <v>35431</v>
      </c>
      <c r="AI322" s="1">
        <v>35431</v>
      </c>
      <c r="AJ322" s="1">
        <v>42736</v>
      </c>
      <c r="AK322" t="s">
        <v>51</v>
      </c>
      <c r="AN322">
        <v>0</v>
      </c>
      <c r="AO322" t="s">
        <v>54</v>
      </c>
      <c r="AP322" t="s">
        <v>53</v>
      </c>
      <c r="AQ322">
        <v>0</v>
      </c>
      <c r="AR322" t="s">
        <v>53</v>
      </c>
      <c r="AS322">
        <v>0</v>
      </c>
      <c r="AT322">
        <v>0</v>
      </c>
      <c r="AW322" t="s">
        <v>58</v>
      </c>
      <c r="AX322">
        <v>20</v>
      </c>
      <c r="AY322" s="1">
        <v>44333</v>
      </c>
      <c r="AZ322" s="1">
        <v>44333</v>
      </c>
      <c r="BA322" s="1">
        <v>44333</v>
      </c>
      <c r="BB322" s="1">
        <v>51638</v>
      </c>
      <c r="BC322" t="s">
        <v>51</v>
      </c>
      <c r="BE322" t="s">
        <v>54</v>
      </c>
      <c r="BF322">
        <v>2</v>
      </c>
      <c r="BG322">
        <v>0</v>
      </c>
      <c r="BH322" t="s">
        <v>53</v>
      </c>
      <c r="BK322" t="s">
        <v>59</v>
      </c>
      <c r="BL322">
        <v>14000</v>
      </c>
      <c r="BM322" s="1">
        <v>44319</v>
      </c>
      <c r="BN322" s="1">
        <v>44319</v>
      </c>
      <c r="BO322" s="1">
        <v>44333</v>
      </c>
      <c r="BP322" s="1">
        <v>45541</v>
      </c>
      <c r="BQ322" t="s">
        <v>51</v>
      </c>
      <c r="BS322" t="s">
        <v>60</v>
      </c>
      <c r="BT322" t="s">
        <v>54</v>
      </c>
      <c r="BU322" t="s">
        <v>61</v>
      </c>
      <c r="BV322" t="s">
        <v>62</v>
      </c>
      <c r="BX322">
        <v>24</v>
      </c>
      <c r="BY322">
        <v>0</v>
      </c>
      <c r="BZ322">
        <v>0</v>
      </c>
    </row>
    <row r="323" spans="1:78" x14ac:dyDescent="0.2">
      <c r="A323" t="s">
        <v>45</v>
      </c>
      <c r="B323" t="s">
        <v>46</v>
      </c>
      <c r="C323" t="s">
        <v>47</v>
      </c>
      <c r="D323" t="s">
        <v>48</v>
      </c>
      <c r="F323" t="str">
        <f>"253294"</f>
        <v>253294</v>
      </c>
      <c r="G323" t="s">
        <v>49</v>
      </c>
      <c r="H323">
        <v>63</v>
      </c>
      <c r="K323" t="s">
        <v>51</v>
      </c>
      <c r="L323" t="s">
        <v>52</v>
      </c>
      <c r="M323">
        <v>136295.54</v>
      </c>
      <c r="N323">
        <v>473642.13</v>
      </c>
      <c r="O323" t="s">
        <v>53</v>
      </c>
      <c r="P323" t="s">
        <v>54</v>
      </c>
      <c r="Q323" t="s">
        <v>55</v>
      </c>
      <c r="T323" t="s">
        <v>241</v>
      </c>
      <c r="U323">
        <v>40</v>
      </c>
      <c r="V323" s="1">
        <v>35431</v>
      </c>
      <c r="W323" s="1">
        <v>35431</v>
      </c>
      <c r="X323" s="1">
        <v>35431</v>
      </c>
      <c r="Y323" s="1">
        <v>50041</v>
      </c>
      <c r="Z323" t="s">
        <v>51</v>
      </c>
      <c r="AB323" t="s">
        <v>54</v>
      </c>
      <c r="AC323">
        <v>1</v>
      </c>
      <c r="AE323" t="s">
        <v>222</v>
      </c>
      <c r="AF323">
        <v>20</v>
      </c>
      <c r="AG323" s="1">
        <v>35431</v>
      </c>
      <c r="AH323" s="1">
        <v>35431</v>
      </c>
      <c r="AI323" s="1">
        <v>35431</v>
      </c>
      <c r="AJ323" s="1">
        <v>42736</v>
      </c>
      <c r="AK323" t="s">
        <v>51</v>
      </c>
      <c r="AN323">
        <v>0</v>
      </c>
      <c r="AO323" t="s">
        <v>54</v>
      </c>
      <c r="AP323" t="s">
        <v>53</v>
      </c>
      <c r="AQ323">
        <v>0</v>
      </c>
      <c r="AR323" t="s">
        <v>53</v>
      </c>
      <c r="AS323">
        <v>0</v>
      </c>
      <c r="AT323">
        <v>0</v>
      </c>
      <c r="AW323" t="s">
        <v>58</v>
      </c>
      <c r="AX323">
        <v>20</v>
      </c>
      <c r="AY323" s="1">
        <v>35431</v>
      </c>
      <c r="AZ323" s="1">
        <v>35431</v>
      </c>
      <c r="BA323" s="1">
        <v>35431</v>
      </c>
      <c r="BB323" s="1">
        <v>42736</v>
      </c>
      <c r="BC323" t="s">
        <v>51</v>
      </c>
      <c r="BE323" t="s">
        <v>54</v>
      </c>
      <c r="BF323">
        <v>2</v>
      </c>
      <c r="BG323">
        <v>0</v>
      </c>
      <c r="BH323" t="s">
        <v>53</v>
      </c>
      <c r="BK323" t="s">
        <v>59</v>
      </c>
      <c r="BL323">
        <v>14000</v>
      </c>
      <c r="BM323" s="1">
        <v>44319</v>
      </c>
      <c r="BN323" s="1">
        <v>44319</v>
      </c>
      <c r="BO323" s="1">
        <v>44319</v>
      </c>
      <c r="BP323" s="1">
        <v>45541</v>
      </c>
      <c r="BQ323" t="s">
        <v>51</v>
      </c>
      <c r="BS323" t="s">
        <v>60</v>
      </c>
      <c r="BT323" t="s">
        <v>54</v>
      </c>
      <c r="BU323" t="s">
        <v>61</v>
      </c>
      <c r="BV323" t="s">
        <v>62</v>
      </c>
      <c r="BX323">
        <v>24</v>
      </c>
      <c r="BY323">
        <v>0</v>
      </c>
      <c r="BZ323">
        <v>0</v>
      </c>
    </row>
    <row r="324" spans="1:78" x14ac:dyDescent="0.2">
      <c r="A324" t="s">
        <v>45</v>
      </c>
      <c r="B324" t="s">
        <v>46</v>
      </c>
      <c r="C324" t="s">
        <v>47</v>
      </c>
      <c r="D324" t="s">
        <v>48</v>
      </c>
      <c r="F324" t="str">
        <f>"253295"</f>
        <v>253295</v>
      </c>
      <c r="G324" t="s">
        <v>49</v>
      </c>
      <c r="H324" t="s">
        <v>331</v>
      </c>
      <c r="K324" t="s">
        <v>51</v>
      </c>
      <c r="L324" t="s">
        <v>52</v>
      </c>
      <c r="M324">
        <v>136321.01</v>
      </c>
      <c r="N324">
        <v>473631.41</v>
      </c>
      <c r="O324" t="s">
        <v>53</v>
      </c>
      <c r="P324" t="s">
        <v>54</v>
      </c>
      <c r="Q324" t="s">
        <v>55</v>
      </c>
      <c r="T324" t="s">
        <v>241</v>
      </c>
      <c r="U324">
        <v>40</v>
      </c>
      <c r="V324" s="1">
        <v>35431</v>
      </c>
      <c r="W324" s="1">
        <v>35431</v>
      </c>
      <c r="X324" s="1">
        <v>35431</v>
      </c>
      <c r="Y324" s="1">
        <v>50041</v>
      </c>
      <c r="Z324" t="s">
        <v>51</v>
      </c>
      <c r="AB324" t="s">
        <v>54</v>
      </c>
      <c r="AC324">
        <v>1</v>
      </c>
      <c r="AE324" t="s">
        <v>222</v>
      </c>
      <c r="AF324">
        <v>20</v>
      </c>
      <c r="AG324" s="1">
        <v>35431</v>
      </c>
      <c r="AH324" s="1">
        <v>35431</v>
      </c>
      <c r="AI324" s="1">
        <v>35431</v>
      </c>
      <c r="AJ324" s="1">
        <v>42736</v>
      </c>
      <c r="AK324" t="s">
        <v>51</v>
      </c>
      <c r="AN324">
        <v>0</v>
      </c>
      <c r="AO324" t="s">
        <v>54</v>
      </c>
      <c r="AP324" t="s">
        <v>53</v>
      </c>
      <c r="AQ324">
        <v>0</v>
      </c>
      <c r="AR324" t="s">
        <v>53</v>
      </c>
      <c r="AS324">
        <v>0</v>
      </c>
      <c r="AT324">
        <v>0</v>
      </c>
      <c r="AW324" t="s">
        <v>58</v>
      </c>
      <c r="AX324">
        <v>20</v>
      </c>
      <c r="AY324" s="1">
        <v>35431</v>
      </c>
      <c r="AZ324" s="1">
        <v>35431</v>
      </c>
      <c r="BA324" s="1">
        <v>35431</v>
      </c>
      <c r="BB324" s="1">
        <v>42736</v>
      </c>
      <c r="BC324" t="s">
        <v>51</v>
      </c>
      <c r="BE324" t="s">
        <v>54</v>
      </c>
      <c r="BF324">
        <v>2</v>
      </c>
      <c r="BG324">
        <v>0</v>
      </c>
      <c r="BH324" t="s">
        <v>53</v>
      </c>
      <c r="BK324" t="s">
        <v>65</v>
      </c>
      <c r="BL324">
        <v>14000</v>
      </c>
      <c r="BM324" s="1">
        <v>44319</v>
      </c>
      <c r="BN324" s="1">
        <v>44319</v>
      </c>
      <c r="BO324" s="1">
        <v>44319</v>
      </c>
      <c r="BP324" s="1">
        <v>45541</v>
      </c>
      <c r="BQ324" t="s">
        <v>51</v>
      </c>
      <c r="BS324" t="s">
        <v>60</v>
      </c>
      <c r="BT324" t="s">
        <v>54</v>
      </c>
      <c r="BU324" t="s">
        <v>61</v>
      </c>
      <c r="BV324" t="s">
        <v>62</v>
      </c>
      <c r="BX324">
        <v>36</v>
      </c>
      <c r="BY324">
        <v>0</v>
      </c>
      <c r="BZ324">
        <v>0</v>
      </c>
    </row>
    <row r="325" spans="1:78" x14ac:dyDescent="0.2">
      <c r="A325" t="s">
        <v>45</v>
      </c>
      <c r="B325" t="s">
        <v>46</v>
      </c>
      <c r="C325" t="s">
        <v>47</v>
      </c>
      <c r="D325" t="s">
        <v>48</v>
      </c>
      <c r="F325" t="str">
        <f>"253296"</f>
        <v>253296</v>
      </c>
      <c r="G325" t="s">
        <v>49</v>
      </c>
      <c r="H325">
        <v>71</v>
      </c>
      <c r="K325" t="s">
        <v>51</v>
      </c>
      <c r="L325" t="s">
        <v>52</v>
      </c>
      <c r="M325">
        <v>136352.5</v>
      </c>
      <c r="N325">
        <v>473618.61</v>
      </c>
      <c r="O325" t="s">
        <v>53</v>
      </c>
      <c r="P325" t="s">
        <v>54</v>
      </c>
      <c r="Q325" t="s">
        <v>55</v>
      </c>
      <c r="T325" t="s">
        <v>241</v>
      </c>
      <c r="U325">
        <v>40</v>
      </c>
      <c r="V325" s="1">
        <v>35431</v>
      </c>
      <c r="W325" s="1">
        <v>35431</v>
      </c>
      <c r="X325" s="1">
        <v>35431</v>
      </c>
      <c r="Y325" s="1">
        <v>50041</v>
      </c>
      <c r="Z325" t="s">
        <v>51</v>
      </c>
      <c r="AB325" t="s">
        <v>54</v>
      </c>
      <c r="AC325">
        <v>1</v>
      </c>
      <c r="AE325" t="s">
        <v>222</v>
      </c>
      <c r="AF325">
        <v>20</v>
      </c>
      <c r="AG325" s="1">
        <v>35431</v>
      </c>
      <c r="AH325" s="1">
        <v>35431</v>
      </c>
      <c r="AI325" s="1">
        <v>35431</v>
      </c>
      <c r="AJ325" s="1">
        <v>42736</v>
      </c>
      <c r="AK325" t="s">
        <v>51</v>
      </c>
      <c r="AN325">
        <v>0</v>
      </c>
      <c r="AO325" t="s">
        <v>54</v>
      </c>
      <c r="AP325" t="s">
        <v>53</v>
      </c>
      <c r="AQ325">
        <v>0</v>
      </c>
      <c r="AR325" t="s">
        <v>53</v>
      </c>
      <c r="AS325">
        <v>0</v>
      </c>
      <c r="AT325">
        <v>0</v>
      </c>
      <c r="AW325" t="s">
        <v>58</v>
      </c>
      <c r="AX325">
        <v>20</v>
      </c>
      <c r="AY325" s="1">
        <v>35431</v>
      </c>
      <c r="AZ325" s="1">
        <v>35431</v>
      </c>
      <c r="BA325" s="1">
        <v>35431</v>
      </c>
      <c r="BB325" s="1">
        <v>42736</v>
      </c>
      <c r="BC325" t="s">
        <v>51</v>
      </c>
      <c r="BE325" t="s">
        <v>54</v>
      </c>
      <c r="BF325">
        <v>2</v>
      </c>
      <c r="BG325">
        <v>0</v>
      </c>
      <c r="BH325" t="s">
        <v>53</v>
      </c>
      <c r="BK325" t="s">
        <v>59</v>
      </c>
      <c r="BL325">
        <v>14000</v>
      </c>
      <c r="BM325" s="1">
        <v>44319</v>
      </c>
      <c r="BN325" s="1">
        <v>44319</v>
      </c>
      <c r="BO325" s="1">
        <v>44319</v>
      </c>
      <c r="BP325" s="1">
        <v>45541</v>
      </c>
      <c r="BQ325" t="s">
        <v>51</v>
      </c>
      <c r="BS325" t="s">
        <v>60</v>
      </c>
      <c r="BT325" t="s">
        <v>54</v>
      </c>
      <c r="BU325" t="s">
        <v>61</v>
      </c>
      <c r="BV325" t="s">
        <v>62</v>
      </c>
      <c r="BX325">
        <v>24</v>
      </c>
      <c r="BY325">
        <v>0</v>
      </c>
      <c r="BZ325">
        <v>0</v>
      </c>
    </row>
    <row r="326" spans="1:78" x14ac:dyDescent="0.2">
      <c r="A326" t="s">
        <v>45</v>
      </c>
      <c r="B326" t="s">
        <v>46</v>
      </c>
      <c r="C326" t="s">
        <v>47</v>
      </c>
      <c r="D326" t="s">
        <v>48</v>
      </c>
      <c r="F326" t="str">
        <f>"253297"</f>
        <v>253297</v>
      </c>
      <c r="G326" t="s">
        <v>49</v>
      </c>
      <c r="H326">
        <v>73</v>
      </c>
      <c r="I326" t="s">
        <v>329</v>
      </c>
      <c r="K326" t="s">
        <v>51</v>
      </c>
      <c r="L326" t="s">
        <v>52</v>
      </c>
      <c r="M326">
        <v>136379.29</v>
      </c>
      <c r="N326">
        <v>473607.48</v>
      </c>
      <c r="O326" t="s">
        <v>53</v>
      </c>
      <c r="P326" t="s">
        <v>54</v>
      </c>
      <c r="Q326" t="s">
        <v>55</v>
      </c>
      <c r="T326" t="s">
        <v>241</v>
      </c>
      <c r="U326">
        <v>40</v>
      </c>
      <c r="V326" s="1">
        <v>35431</v>
      </c>
      <c r="W326" s="1">
        <v>35431</v>
      </c>
      <c r="X326" s="1">
        <v>35431</v>
      </c>
      <c r="Y326" s="1">
        <v>50041</v>
      </c>
      <c r="Z326" t="s">
        <v>51</v>
      </c>
      <c r="AB326" t="s">
        <v>54</v>
      </c>
      <c r="AC326">
        <v>1</v>
      </c>
      <c r="AE326" t="s">
        <v>222</v>
      </c>
      <c r="AF326">
        <v>20</v>
      </c>
      <c r="AG326" s="1">
        <v>35431</v>
      </c>
      <c r="AH326" s="1">
        <v>35431</v>
      </c>
      <c r="AI326" s="1">
        <v>35431</v>
      </c>
      <c r="AJ326" s="1">
        <v>42736</v>
      </c>
      <c r="AK326" t="s">
        <v>51</v>
      </c>
      <c r="AN326">
        <v>0</v>
      </c>
      <c r="AO326" t="s">
        <v>54</v>
      </c>
      <c r="AP326" t="s">
        <v>53</v>
      </c>
      <c r="AQ326">
        <v>0</v>
      </c>
      <c r="AR326" t="s">
        <v>53</v>
      </c>
      <c r="AS326">
        <v>0</v>
      </c>
      <c r="AT326">
        <v>0</v>
      </c>
      <c r="AW326" t="s">
        <v>58</v>
      </c>
      <c r="AX326">
        <v>20</v>
      </c>
      <c r="AY326" s="1">
        <v>35431</v>
      </c>
      <c r="AZ326" s="1">
        <v>35431</v>
      </c>
      <c r="BA326" s="1">
        <v>35431</v>
      </c>
      <c r="BB326" s="1">
        <v>42736</v>
      </c>
      <c r="BC326" t="s">
        <v>51</v>
      </c>
      <c r="BE326" t="s">
        <v>54</v>
      </c>
      <c r="BF326">
        <v>2</v>
      </c>
      <c r="BG326">
        <v>0</v>
      </c>
      <c r="BH326" t="s">
        <v>53</v>
      </c>
      <c r="BK326" t="s">
        <v>59</v>
      </c>
      <c r="BL326">
        <v>14000</v>
      </c>
      <c r="BM326" s="1">
        <v>44319</v>
      </c>
      <c r="BN326" s="1">
        <v>44319</v>
      </c>
      <c r="BO326" s="1">
        <v>44319</v>
      </c>
      <c r="BP326" s="1">
        <v>45541</v>
      </c>
      <c r="BQ326" t="s">
        <v>51</v>
      </c>
      <c r="BS326" t="s">
        <v>60</v>
      </c>
      <c r="BT326" t="s">
        <v>54</v>
      </c>
      <c r="BU326" t="s">
        <v>61</v>
      </c>
      <c r="BV326" t="s">
        <v>62</v>
      </c>
      <c r="BX326">
        <v>24</v>
      </c>
      <c r="BY326">
        <v>0</v>
      </c>
      <c r="BZ326">
        <v>0</v>
      </c>
    </row>
    <row r="327" spans="1:78" x14ac:dyDescent="0.2">
      <c r="A327" t="s">
        <v>45</v>
      </c>
      <c r="B327" t="s">
        <v>46</v>
      </c>
      <c r="C327" t="s">
        <v>47</v>
      </c>
      <c r="D327" t="s">
        <v>48</v>
      </c>
      <c r="F327" t="str">
        <f>"253298"</f>
        <v>253298</v>
      </c>
      <c r="G327" t="s">
        <v>49</v>
      </c>
      <c r="H327">
        <v>77</v>
      </c>
      <c r="K327" t="s">
        <v>51</v>
      </c>
      <c r="L327" t="s">
        <v>52</v>
      </c>
      <c r="M327">
        <v>136402.51999999999</v>
      </c>
      <c r="N327">
        <v>473598.44</v>
      </c>
      <c r="O327" t="s">
        <v>53</v>
      </c>
      <c r="P327" t="s">
        <v>54</v>
      </c>
      <c r="Q327" t="s">
        <v>55</v>
      </c>
      <c r="T327" t="s">
        <v>131</v>
      </c>
      <c r="U327">
        <v>40</v>
      </c>
      <c r="V327" s="1">
        <v>35431</v>
      </c>
      <c r="W327" s="1">
        <v>35431</v>
      </c>
      <c r="X327" s="1">
        <v>35431</v>
      </c>
      <c r="Y327" s="1">
        <v>50041</v>
      </c>
      <c r="Z327" t="s">
        <v>51</v>
      </c>
      <c r="AB327" t="s">
        <v>54</v>
      </c>
      <c r="AC327">
        <v>1</v>
      </c>
      <c r="AE327" t="s">
        <v>64</v>
      </c>
      <c r="AF327">
        <v>20</v>
      </c>
      <c r="AG327" s="1">
        <v>35431</v>
      </c>
      <c r="AH327" s="1">
        <v>35431</v>
      </c>
      <c r="AI327" s="1">
        <v>35431</v>
      </c>
      <c r="AJ327" s="1">
        <v>42736</v>
      </c>
      <c r="AK327" t="s">
        <v>51</v>
      </c>
      <c r="AN327">
        <v>0</v>
      </c>
      <c r="AO327" t="s">
        <v>54</v>
      </c>
      <c r="AP327" t="s">
        <v>53</v>
      </c>
      <c r="AQ327">
        <v>0</v>
      </c>
      <c r="AR327" t="s">
        <v>53</v>
      </c>
      <c r="AS327">
        <v>0</v>
      </c>
      <c r="AT327">
        <v>0</v>
      </c>
      <c r="AW327" t="s">
        <v>58</v>
      </c>
      <c r="AX327">
        <v>20</v>
      </c>
      <c r="AY327" s="1">
        <v>35431</v>
      </c>
      <c r="AZ327" s="1">
        <v>35431</v>
      </c>
      <c r="BA327" s="1">
        <v>35431</v>
      </c>
      <c r="BB327" s="1">
        <v>42736</v>
      </c>
      <c r="BC327" t="s">
        <v>51</v>
      </c>
      <c r="BE327" t="s">
        <v>54</v>
      </c>
      <c r="BF327">
        <v>2</v>
      </c>
      <c r="BG327">
        <v>0</v>
      </c>
      <c r="BH327" t="s">
        <v>53</v>
      </c>
      <c r="BK327" t="s">
        <v>65</v>
      </c>
      <c r="BL327">
        <v>14000</v>
      </c>
      <c r="BM327" s="1">
        <v>44319</v>
      </c>
      <c r="BN327" s="1">
        <v>44319</v>
      </c>
      <c r="BO327" s="1">
        <v>44319</v>
      </c>
      <c r="BP327" s="1">
        <v>45541</v>
      </c>
      <c r="BQ327" t="s">
        <v>51</v>
      </c>
      <c r="BS327" t="s">
        <v>60</v>
      </c>
      <c r="BT327" t="s">
        <v>54</v>
      </c>
      <c r="BU327" t="s">
        <v>61</v>
      </c>
      <c r="BV327" t="s">
        <v>62</v>
      </c>
      <c r="BX327">
        <v>36</v>
      </c>
      <c r="BY327">
        <v>0</v>
      </c>
      <c r="BZ327">
        <v>0</v>
      </c>
    </row>
    <row r="328" spans="1:78" x14ac:dyDescent="0.2">
      <c r="A328" t="s">
        <v>45</v>
      </c>
      <c r="B328" t="s">
        <v>46</v>
      </c>
      <c r="C328" t="s">
        <v>47</v>
      </c>
      <c r="D328" t="s">
        <v>48</v>
      </c>
      <c r="F328" t="str">
        <f>"253299"</f>
        <v>253299</v>
      </c>
      <c r="G328" t="s">
        <v>49</v>
      </c>
      <c r="H328">
        <v>79</v>
      </c>
      <c r="K328" t="s">
        <v>51</v>
      </c>
      <c r="L328" t="s">
        <v>52</v>
      </c>
      <c r="M328">
        <v>136421.85</v>
      </c>
      <c r="N328">
        <v>473599.02</v>
      </c>
      <c r="O328" t="s">
        <v>53</v>
      </c>
      <c r="P328" t="s">
        <v>54</v>
      </c>
      <c r="Q328" t="s">
        <v>55</v>
      </c>
      <c r="T328" t="s">
        <v>131</v>
      </c>
      <c r="U328">
        <v>40</v>
      </c>
      <c r="V328" s="1">
        <v>35431</v>
      </c>
      <c r="W328" s="1">
        <v>35431</v>
      </c>
      <c r="X328" s="1">
        <v>35431</v>
      </c>
      <c r="Y328" s="1">
        <v>50041</v>
      </c>
      <c r="Z328" t="s">
        <v>51</v>
      </c>
      <c r="AB328" t="s">
        <v>54</v>
      </c>
      <c r="AC328">
        <v>1</v>
      </c>
      <c r="AE328" t="s">
        <v>84</v>
      </c>
      <c r="AF328">
        <v>20</v>
      </c>
      <c r="AG328" s="1">
        <v>35431</v>
      </c>
      <c r="AH328" s="1">
        <v>35431</v>
      </c>
      <c r="AI328" s="1">
        <v>35431</v>
      </c>
      <c r="AJ328" s="1">
        <v>42736</v>
      </c>
      <c r="AK328" t="s">
        <v>51</v>
      </c>
      <c r="AN328">
        <v>0</v>
      </c>
      <c r="AO328" t="s">
        <v>54</v>
      </c>
      <c r="AP328" t="s">
        <v>53</v>
      </c>
      <c r="AQ328">
        <v>0</v>
      </c>
      <c r="AR328" t="s">
        <v>53</v>
      </c>
      <c r="AS328">
        <v>0</v>
      </c>
      <c r="AT328">
        <v>0</v>
      </c>
      <c r="AW328" t="s">
        <v>58</v>
      </c>
      <c r="AX328">
        <v>20</v>
      </c>
      <c r="AY328" s="1">
        <v>35431</v>
      </c>
      <c r="AZ328" s="1">
        <v>35431</v>
      </c>
      <c r="BA328" s="1">
        <v>35431</v>
      </c>
      <c r="BB328" s="1">
        <v>42736</v>
      </c>
      <c r="BC328" t="s">
        <v>51</v>
      </c>
      <c r="BE328" t="s">
        <v>54</v>
      </c>
      <c r="BF328">
        <v>2</v>
      </c>
      <c r="BG328">
        <v>0</v>
      </c>
      <c r="BH328" t="s">
        <v>53</v>
      </c>
      <c r="BK328" t="s">
        <v>59</v>
      </c>
      <c r="BL328">
        <v>14000</v>
      </c>
      <c r="BM328" s="1">
        <v>44319</v>
      </c>
      <c r="BN328" s="1">
        <v>44319</v>
      </c>
      <c r="BO328" s="1">
        <v>44319</v>
      </c>
      <c r="BP328" s="1">
        <v>45541</v>
      </c>
      <c r="BQ328" t="s">
        <v>51</v>
      </c>
      <c r="BS328" t="s">
        <v>60</v>
      </c>
      <c r="BT328" t="s">
        <v>54</v>
      </c>
      <c r="BU328" t="s">
        <v>61</v>
      </c>
      <c r="BV328" t="s">
        <v>62</v>
      </c>
      <c r="BX328">
        <v>24</v>
      </c>
      <c r="BY328">
        <v>0</v>
      </c>
      <c r="BZ328">
        <v>0</v>
      </c>
    </row>
    <row r="329" spans="1:78" x14ac:dyDescent="0.2">
      <c r="A329" t="s">
        <v>45</v>
      </c>
      <c r="B329" t="s">
        <v>46</v>
      </c>
      <c r="C329" t="s">
        <v>47</v>
      </c>
      <c r="D329" t="s">
        <v>48</v>
      </c>
      <c r="F329" t="str">
        <f>"253303"</f>
        <v>253303</v>
      </c>
      <c r="G329" t="s">
        <v>49</v>
      </c>
      <c r="H329" t="s">
        <v>332</v>
      </c>
      <c r="K329" t="s">
        <v>51</v>
      </c>
      <c r="L329" t="s">
        <v>52</v>
      </c>
      <c r="M329">
        <v>136537.92000000001</v>
      </c>
      <c r="N329">
        <v>473551.67</v>
      </c>
      <c r="O329" t="s">
        <v>53</v>
      </c>
      <c r="P329" t="s">
        <v>54</v>
      </c>
      <c r="Q329" t="s">
        <v>55</v>
      </c>
      <c r="T329" t="s">
        <v>131</v>
      </c>
      <c r="U329">
        <v>40</v>
      </c>
      <c r="V329" s="1">
        <v>35431</v>
      </c>
      <c r="W329" s="1">
        <v>35431</v>
      </c>
      <c r="X329" s="1">
        <v>35431</v>
      </c>
      <c r="Y329" s="1">
        <v>50041</v>
      </c>
      <c r="Z329" t="s">
        <v>51</v>
      </c>
      <c r="AB329" t="s">
        <v>54</v>
      </c>
      <c r="AC329">
        <v>1</v>
      </c>
      <c r="AE329" t="s">
        <v>84</v>
      </c>
      <c r="AF329">
        <v>20</v>
      </c>
      <c r="AG329" s="1">
        <v>35431</v>
      </c>
      <c r="AH329" s="1">
        <v>35431</v>
      </c>
      <c r="AI329" s="1">
        <v>35431</v>
      </c>
      <c r="AJ329" s="1">
        <v>42736</v>
      </c>
      <c r="AK329" t="s">
        <v>51</v>
      </c>
      <c r="AN329">
        <v>0</v>
      </c>
      <c r="AO329" t="s">
        <v>54</v>
      </c>
      <c r="AP329" t="s">
        <v>53</v>
      </c>
      <c r="AQ329">
        <v>0</v>
      </c>
      <c r="AR329" t="s">
        <v>53</v>
      </c>
      <c r="AS329">
        <v>0</v>
      </c>
      <c r="AT329">
        <v>0</v>
      </c>
      <c r="AW329" t="s">
        <v>333</v>
      </c>
      <c r="AX329">
        <v>0</v>
      </c>
      <c r="AY329" s="1">
        <v>44320</v>
      </c>
      <c r="AZ329" s="1">
        <v>44320</v>
      </c>
      <c r="BA329" s="1">
        <v>44320</v>
      </c>
      <c r="BB329" s="1">
        <v>44320</v>
      </c>
      <c r="BC329" t="s">
        <v>51</v>
      </c>
      <c r="BE329" t="s">
        <v>54</v>
      </c>
      <c r="BF329">
        <v>0</v>
      </c>
      <c r="BG329">
        <v>0</v>
      </c>
      <c r="BH329" t="s">
        <v>53</v>
      </c>
      <c r="BK329" t="s">
        <v>59</v>
      </c>
      <c r="BL329">
        <v>14000</v>
      </c>
      <c r="BM329" s="1">
        <v>44319</v>
      </c>
      <c r="BN329" s="1">
        <v>44319</v>
      </c>
      <c r="BO329" s="1">
        <v>44320</v>
      </c>
      <c r="BP329" s="1">
        <v>45541</v>
      </c>
      <c r="BQ329" t="s">
        <v>51</v>
      </c>
      <c r="BS329" t="s">
        <v>60</v>
      </c>
      <c r="BT329" t="s">
        <v>54</v>
      </c>
      <c r="BU329" t="s">
        <v>61</v>
      </c>
      <c r="BV329" t="s">
        <v>62</v>
      </c>
      <c r="BX329">
        <v>24</v>
      </c>
      <c r="BY329">
        <v>0</v>
      </c>
      <c r="BZ329">
        <v>0</v>
      </c>
    </row>
    <row r="330" spans="1:78" x14ac:dyDescent="0.2">
      <c r="A330" t="s">
        <v>45</v>
      </c>
      <c r="B330" t="s">
        <v>46</v>
      </c>
      <c r="C330" t="s">
        <v>47</v>
      </c>
      <c r="D330" t="s">
        <v>48</v>
      </c>
      <c r="F330" t="str">
        <f>"253304"</f>
        <v>253304</v>
      </c>
      <c r="G330" t="s">
        <v>49</v>
      </c>
      <c r="H330">
        <v>89</v>
      </c>
      <c r="K330" t="s">
        <v>51</v>
      </c>
      <c r="L330" t="s">
        <v>52</v>
      </c>
      <c r="M330">
        <v>136566.13</v>
      </c>
      <c r="N330">
        <v>473540.02</v>
      </c>
      <c r="O330" t="s">
        <v>53</v>
      </c>
      <c r="P330" t="s">
        <v>54</v>
      </c>
      <c r="Q330" t="s">
        <v>55</v>
      </c>
      <c r="T330" t="s">
        <v>131</v>
      </c>
      <c r="U330">
        <v>40</v>
      </c>
      <c r="V330" s="1">
        <v>35431</v>
      </c>
      <c r="W330" s="1">
        <v>35431</v>
      </c>
      <c r="X330" s="1">
        <v>35431</v>
      </c>
      <c r="Y330" s="1">
        <v>50041</v>
      </c>
      <c r="Z330" t="s">
        <v>51</v>
      </c>
      <c r="AB330" t="s">
        <v>54</v>
      </c>
      <c r="AC330">
        <v>1</v>
      </c>
      <c r="AE330" t="s">
        <v>84</v>
      </c>
      <c r="AF330">
        <v>20</v>
      </c>
      <c r="AG330" s="1">
        <v>35431</v>
      </c>
      <c r="AH330" s="1">
        <v>35431</v>
      </c>
      <c r="AI330" s="1">
        <v>35431</v>
      </c>
      <c r="AJ330" s="1">
        <v>42736</v>
      </c>
      <c r="AK330" t="s">
        <v>51</v>
      </c>
      <c r="AN330">
        <v>0</v>
      </c>
      <c r="AO330" t="s">
        <v>54</v>
      </c>
      <c r="AP330" t="s">
        <v>53</v>
      </c>
      <c r="AQ330">
        <v>0</v>
      </c>
      <c r="AR330" t="s">
        <v>53</v>
      </c>
      <c r="AS330">
        <v>0</v>
      </c>
      <c r="AT330">
        <v>0</v>
      </c>
      <c r="AW330" t="s">
        <v>58</v>
      </c>
      <c r="AX330">
        <v>20</v>
      </c>
      <c r="AY330" s="1">
        <v>35431</v>
      </c>
      <c r="AZ330" s="1">
        <v>35431</v>
      </c>
      <c r="BA330" s="1">
        <v>35431</v>
      </c>
      <c r="BB330" s="1">
        <v>42736</v>
      </c>
      <c r="BC330" t="s">
        <v>51</v>
      </c>
      <c r="BE330" t="s">
        <v>54</v>
      </c>
      <c r="BF330">
        <v>2</v>
      </c>
      <c r="BG330">
        <v>0</v>
      </c>
      <c r="BH330" t="s">
        <v>53</v>
      </c>
      <c r="BK330" t="s">
        <v>59</v>
      </c>
      <c r="BL330">
        <v>14000</v>
      </c>
      <c r="BM330" s="1">
        <v>44319</v>
      </c>
      <c r="BN330" s="1">
        <v>44319</v>
      </c>
      <c r="BO330" s="1">
        <v>44319</v>
      </c>
      <c r="BP330" s="1">
        <v>45541</v>
      </c>
      <c r="BQ330" t="s">
        <v>51</v>
      </c>
      <c r="BS330" t="s">
        <v>60</v>
      </c>
      <c r="BT330" t="s">
        <v>54</v>
      </c>
      <c r="BU330" t="s">
        <v>61</v>
      </c>
      <c r="BV330" t="s">
        <v>62</v>
      </c>
      <c r="BX330">
        <v>24</v>
      </c>
      <c r="BY330">
        <v>0</v>
      </c>
      <c r="BZ330">
        <v>0</v>
      </c>
    </row>
    <row r="331" spans="1:78" x14ac:dyDescent="0.2">
      <c r="A331" t="s">
        <v>45</v>
      </c>
      <c r="B331" t="s">
        <v>46</v>
      </c>
      <c r="C331" t="s">
        <v>47</v>
      </c>
      <c r="D331" t="s">
        <v>48</v>
      </c>
      <c r="F331" t="str">
        <f>"253305"</f>
        <v>253305</v>
      </c>
      <c r="G331" t="s">
        <v>49</v>
      </c>
      <c r="H331" t="s">
        <v>318</v>
      </c>
      <c r="K331" t="s">
        <v>51</v>
      </c>
      <c r="L331" t="s">
        <v>52</v>
      </c>
      <c r="M331">
        <v>136584.4</v>
      </c>
      <c r="N331">
        <v>473534.63</v>
      </c>
      <c r="O331" t="s">
        <v>53</v>
      </c>
      <c r="P331" t="s">
        <v>54</v>
      </c>
      <c r="Q331" t="s">
        <v>55</v>
      </c>
      <c r="T331" t="s">
        <v>131</v>
      </c>
      <c r="U331">
        <v>40</v>
      </c>
      <c r="V331" s="1">
        <v>35431</v>
      </c>
      <c r="W331" s="1">
        <v>35431</v>
      </c>
      <c r="X331" s="1">
        <v>35431</v>
      </c>
      <c r="Y331" s="1">
        <v>50041</v>
      </c>
      <c r="Z331" t="s">
        <v>51</v>
      </c>
      <c r="AB331" t="s">
        <v>54</v>
      </c>
      <c r="AC331">
        <v>1</v>
      </c>
      <c r="AE331" t="s">
        <v>84</v>
      </c>
      <c r="AF331">
        <v>20</v>
      </c>
      <c r="AG331" s="1">
        <v>35431</v>
      </c>
      <c r="AH331" s="1">
        <v>35431</v>
      </c>
      <c r="AI331" s="1">
        <v>35431</v>
      </c>
      <c r="AJ331" s="1">
        <v>42736</v>
      </c>
      <c r="AK331" t="s">
        <v>51</v>
      </c>
      <c r="AN331">
        <v>0</v>
      </c>
      <c r="AO331" t="s">
        <v>54</v>
      </c>
      <c r="AP331" t="s">
        <v>53</v>
      </c>
      <c r="AQ331">
        <v>0</v>
      </c>
      <c r="AR331" t="s">
        <v>53</v>
      </c>
      <c r="AS331">
        <v>0</v>
      </c>
      <c r="AT331">
        <v>0</v>
      </c>
      <c r="AW331" t="s">
        <v>58</v>
      </c>
      <c r="AX331">
        <v>20</v>
      </c>
      <c r="AY331" s="1">
        <v>44627</v>
      </c>
      <c r="AZ331" s="1">
        <v>44627</v>
      </c>
      <c r="BA331" s="1">
        <v>44627</v>
      </c>
      <c r="BB331" s="1">
        <v>51932</v>
      </c>
      <c r="BC331" t="s">
        <v>51</v>
      </c>
      <c r="BE331" t="s">
        <v>54</v>
      </c>
      <c r="BF331">
        <v>2</v>
      </c>
      <c r="BG331">
        <v>0</v>
      </c>
      <c r="BH331" t="s">
        <v>53</v>
      </c>
      <c r="BK331" t="s">
        <v>59</v>
      </c>
      <c r="BL331">
        <v>14000</v>
      </c>
      <c r="BM331" s="1">
        <v>44627</v>
      </c>
      <c r="BN331" s="1">
        <v>44627</v>
      </c>
      <c r="BO331" s="1">
        <v>44627</v>
      </c>
      <c r="BP331" s="1">
        <v>45835</v>
      </c>
      <c r="BQ331" t="s">
        <v>51</v>
      </c>
      <c r="BS331" t="s">
        <v>60</v>
      </c>
      <c r="BT331" t="s">
        <v>54</v>
      </c>
      <c r="BU331" t="s">
        <v>61</v>
      </c>
      <c r="BV331" t="s">
        <v>62</v>
      </c>
      <c r="BX331">
        <v>24</v>
      </c>
      <c r="BY331">
        <v>0</v>
      </c>
      <c r="BZ331">
        <v>0</v>
      </c>
    </row>
    <row r="332" spans="1:78" x14ac:dyDescent="0.2">
      <c r="A332" t="s">
        <v>45</v>
      </c>
      <c r="B332" t="s">
        <v>46</v>
      </c>
      <c r="C332" t="s">
        <v>47</v>
      </c>
      <c r="D332" t="s">
        <v>48</v>
      </c>
      <c r="F332" t="str">
        <f>"253306"</f>
        <v>253306</v>
      </c>
      <c r="G332" t="s">
        <v>49</v>
      </c>
      <c r="H332">
        <v>92</v>
      </c>
      <c r="K332" t="s">
        <v>51</v>
      </c>
      <c r="L332" t="s">
        <v>52</v>
      </c>
      <c r="M332">
        <v>136620.5</v>
      </c>
      <c r="N332">
        <v>473517.93</v>
      </c>
      <c r="O332" t="s">
        <v>53</v>
      </c>
      <c r="P332" t="s">
        <v>54</v>
      </c>
      <c r="Q332" t="s">
        <v>55</v>
      </c>
      <c r="T332" t="s">
        <v>131</v>
      </c>
      <c r="U332">
        <v>40</v>
      </c>
      <c r="V332" s="1">
        <v>35431</v>
      </c>
      <c r="W332" s="1">
        <v>35431</v>
      </c>
      <c r="X332" s="1">
        <v>35431</v>
      </c>
      <c r="Y332" s="1">
        <v>50041</v>
      </c>
      <c r="Z332" t="s">
        <v>51</v>
      </c>
      <c r="AB332" t="s">
        <v>54</v>
      </c>
      <c r="AC332">
        <v>1</v>
      </c>
      <c r="AE332" t="s">
        <v>84</v>
      </c>
      <c r="AF332">
        <v>20</v>
      </c>
      <c r="AG332" s="1">
        <v>38301</v>
      </c>
      <c r="AH332" s="1">
        <v>38301</v>
      </c>
      <c r="AI332" s="1">
        <v>38301</v>
      </c>
      <c r="AJ332" s="1">
        <v>45606</v>
      </c>
      <c r="AK332" t="s">
        <v>51</v>
      </c>
      <c r="AN332">
        <v>0</v>
      </c>
      <c r="AO332" t="s">
        <v>54</v>
      </c>
      <c r="AP332" t="s">
        <v>53</v>
      </c>
      <c r="AQ332">
        <v>0</v>
      </c>
      <c r="AR332" t="s">
        <v>53</v>
      </c>
      <c r="AS332">
        <v>0</v>
      </c>
      <c r="AT332">
        <v>0</v>
      </c>
      <c r="AW332" t="s">
        <v>58</v>
      </c>
      <c r="AX332">
        <v>20</v>
      </c>
      <c r="AY332" s="1">
        <v>38301</v>
      </c>
      <c r="AZ332" s="1">
        <v>38301</v>
      </c>
      <c r="BA332" s="1">
        <v>38301</v>
      </c>
      <c r="BB332" s="1">
        <v>45606</v>
      </c>
      <c r="BC332" t="s">
        <v>51</v>
      </c>
      <c r="BE332" t="s">
        <v>54</v>
      </c>
      <c r="BF332">
        <v>2</v>
      </c>
      <c r="BG332">
        <v>0</v>
      </c>
      <c r="BH332" t="s">
        <v>53</v>
      </c>
      <c r="BK332" t="s">
        <v>59</v>
      </c>
      <c r="BL332">
        <v>14000</v>
      </c>
      <c r="BM332" s="1">
        <v>44319</v>
      </c>
      <c r="BN332" s="1">
        <v>44319</v>
      </c>
      <c r="BO332" s="1">
        <v>44319</v>
      </c>
      <c r="BP332" s="1">
        <v>45541</v>
      </c>
      <c r="BQ332" t="s">
        <v>51</v>
      </c>
      <c r="BS332" t="s">
        <v>60</v>
      </c>
      <c r="BT332" t="s">
        <v>54</v>
      </c>
      <c r="BU332" t="s">
        <v>61</v>
      </c>
      <c r="BV332" t="s">
        <v>62</v>
      </c>
      <c r="BX332">
        <v>24</v>
      </c>
      <c r="BY332">
        <v>0</v>
      </c>
      <c r="BZ332">
        <v>0</v>
      </c>
    </row>
    <row r="333" spans="1:78" x14ac:dyDescent="0.2">
      <c r="A333" t="s">
        <v>45</v>
      </c>
      <c r="B333" t="s">
        <v>46</v>
      </c>
      <c r="C333" t="s">
        <v>47</v>
      </c>
      <c r="D333" t="s">
        <v>48</v>
      </c>
      <c r="F333" t="str">
        <f>"253307"</f>
        <v>253307</v>
      </c>
      <c r="G333" t="s">
        <v>49</v>
      </c>
      <c r="H333" t="s">
        <v>142</v>
      </c>
      <c r="K333" t="s">
        <v>51</v>
      </c>
      <c r="L333" t="s">
        <v>52</v>
      </c>
      <c r="M333">
        <v>136649.95000000001</v>
      </c>
      <c r="N333">
        <v>473506.15</v>
      </c>
      <c r="O333" t="s">
        <v>53</v>
      </c>
      <c r="P333" t="s">
        <v>54</v>
      </c>
      <c r="Q333" t="s">
        <v>55</v>
      </c>
      <c r="T333" t="s">
        <v>131</v>
      </c>
      <c r="U333">
        <v>40</v>
      </c>
      <c r="V333" s="1">
        <v>35431</v>
      </c>
      <c r="W333" s="1">
        <v>35431</v>
      </c>
      <c r="X333" s="1">
        <v>35431</v>
      </c>
      <c r="Y333" s="1">
        <v>50041</v>
      </c>
      <c r="Z333" t="s">
        <v>51</v>
      </c>
      <c r="AB333" t="s">
        <v>54</v>
      </c>
      <c r="AC333">
        <v>1</v>
      </c>
      <c r="AE333" t="s">
        <v>84</v>
      </c>
      <c r="AF333">
        <v>20</v>
      </c>
      <c r="AG333" s="1">
        <v>35431</v>
      </c>
      <c r="AH333" s="1">
        <v>35431</v>
      </c>
      <c r="AI333" s="1">
        <v>35431</v>
      </c>
      <c r="AJ333" s="1">
        <v>42736</v>
      </c>
      <c r="AK333" t="s">
        <v>51</v>
      </c>
      <c r="AN333">
        <v>0</v>
      </c>
      <c r="AO333" t="s">
        <v>54</v>
      </c>
      <c r="AP333" t="s">
        <v>53</v>
      </c>
      <c r="AQ333">
        <v>0</v>
      </c>
      <c r="AR333" t="s">
        <v>53</v>
      </c>
      <c r="AS333">
        <v>0</v>
      </c>
      <c r="AT333">
        <v>0</v>
      </c>
      <c r="AW333" t="s">
        <v>333</v>
      </c>
      <c r="AX333">
        <v>0</v>
      </c>
      <c r="AY333" s="1">
        <v>35431</v>
      </c>
      <c r="AZ333" s="1">
        <v>35431</v>
      </c>
      <c r="BA333" s="1">
        <v>35431</v>
      </c>
      <c r="BB333" s="1">
        <v>35431</v>
      </c>
      <c r="BC333" t="s">
        <v>51</v>
      </c>
      <c r="BE333" t="s">
        <v>54</v>
      </c>
      <c r="BF333">
        <v>0</v>
      </c>
      <c r="BG333">
        <v>0</v>
      </c>
      <c r="BH333" t="s">
        <v>53</v>
      </c>
      <c r="BK333" t="s">
        <v>59</v>
      </c>
      <c r="BL333">
        <v>14000</v>
      </c>
      <c r="BM333" s="1">
        <v>44319</v>
      </c>
      <c r="BN333" s="1">
        <v>44319</v>
      </c>
      <c r="BO333" s="1">
        <v>44319</v>
      </c>
      <c r="BP333" s="1">
        <v>45541</v>
      </c>
      <c r="BQ333" t="s">
        <v>51</v>
      </c>
      <c r="BS333" t="s">
        <v>60</v>
      </c>
      <c r="BT333" t="s">
        <v>54</v>
      </c>
      <c r="BU333" t="s">
        <v>61</v>
      </c>
      <c r="BV333" t="s">
        <v>62</v>
      </c>
      <c r="BX333">
        <v>24</v>
      </c>
      <c r="BY333">
        <v>0</v>
      </c>
      <c r="BZ333">
        <v>0</v>
      </c>
    </row>
    <row r="334" spans="1:78" x14ac:dyDescent="0.2">
      <c r="A334" t="s">
        <v>45</v>
      </c>
      <c r="B334" t="s">
        <v>46</v>
      </c>
      <c r="C334" t="s">
        <v>47</v>
      </c>
      <c r="D334" t="s">
        <v>48</v>
      </c>
      <c r="F334" t="str">
        <f>"253308"</f>
        <v>253308</v>
      </c>
      <c r="G334" t="s">
        <v>49</v>
      </c>
      <c r="H334">
        <v>98</v>
      </c>
      <c r="K334" t="s">
        <v>51</v>
      </c>
      <c r="L334" t="s">
        <v>52</v>
      </c>
      <c r="M334">
        <v>136678.31</v>
      </c>
      <c r="N334">
        <v>473495.2</v>
      </c>
      <c r="O334" t="s">
        <v>53</v>
      </c>
      <c r="P334" t="s">
        <v>54</v>
      </c>
      <c r="Q334" t="s">
        <v>55</v>
      </c>
      <c r="T334" t="s">
        <v>131</v>
      </c>
      <c r="U334">
        <v>40</v>
      </c>
      <c r="V334" s="1">
        <v>35431</v>
      </c>
      <c r="W334" s="1">
        <v>35431</v>
      </c>
      <c r="X334" s="1">
        <v>35431</v>
      </c>
      <c r="Y334" s="1">
        <v>50041</v>
      </c>
      <c r="Z334" t="s">
        <v>51</v>
      </c>
      <c r="AB334" t="s">
        <v>54</v>
      </c>
      <c r="AC334">
        <v>1</v>
      </c>
      <c r="AE334" t="s">
        <v>84</v>
      </c>
      <c r="AF334">
        <v>20</v>
      </c>
      <c r="AG334" s="1">
        <v>35431</v>
      </c>
      <c r="AH334" s="1">
        <v>35431</v>
      </c>
      <c r="AI334" s="1">
        <v>35431</v>
      </c>
      <c r="AJ334" s="1">
        <v>42736</v>
      </c>
      <c r="AK334" t="s">
        <v>51</v>
      </c>
      <c r="AN334">
        <v>0</v>
      </c>
      <c r="AO334" t="s">
        <v>54</v>
      </c>
      <c r="AP334" t="s">
        <v>53</v>
      </c>
      <c r="AQ334">
        <v>0</v>
      </c>
      <c r="AR334" t="s">
        <v>53</v>
      </c>
      <c r="AS334">
        <v>0</v>
      </c>
      <c r="AT334">
        <v>0</v>
      </c>
      <c r="AW334" t="s">
        <v>333</v>
      </c>
      <c r="AX334">
        <v>0</v>
      </c>
      <c r="AY334" s="1">
        <v>35431</v>
      </c>
      <c r="AZ334" s="1">
        <v>35431</v>
      </c>
      <c r="BA334" s="1">
        <v>35431</v>
      </c>
      <c r="BB334" s="1">
        <v>35431</v>
      </c>
      <c r="BC334" t="s">
        <v>51</v>
      </c>
      <c r="BE334" t="s">
        <v>54</v>
      </c>
      <c r="BF334">
        <v>0</v>
      </c>
      <c r="BG334">
        <v>0</v>
      </c>
      <c r="BH334" t="s">
        <v>53</v>
      </c>
      <c r="BK334" t="s">
        <v>59</v>
      </c>
      <c r="BL334">
        <v>14000</v>
      </c>
      <c r="BM334" s="1">
        <v>44319</v>
      </c>
      <c r="BN334" s="1">
        <v>44319</v>
      </c>
      <c r="BO334" s="1">
        <v>44319</v>
      </c>
      <c r="BP334" s="1">
        <v>45541</v>
      </c>
      <c r="BQ334" t="s">
        <v>51</v>
      </c>
      <c r="BS334" t="s">
        <v>60</v>
      </c>
      <c r="BT334" t="s">
        <v>54</v>
      </c>
      <c r="BU334" t="s">
        <v>61</v>
      </c>
      <c r="BV334" t="s">
        <v>62</v>
      </c>
      <c r="BX334">
        <v>24</v>
      </c>
      <c r="BY334">
        <v>0</v>
      </c>
      <c r="BZ334">
        <v>0</v>
      </c>
    </row>
    <row r="335" spans="1:78" x14ac:dyDescent="0.2">
      <c r="A335" t="s">
        <v>45</v>
      </c>
      <c r="B335" t="s">
        <v>46</v>
      </c>
      <c r="C335" t="s">
        <v>47</v>
      </c>
      <c r="D335" t="s">
        <v>48</v>
      </c>
      <c r="F335" t="str">
        <f>"253309"</f>
        <v>253309</v>
      </c>
      <c r="G335" t="s">
        <v>49</v>
      </c>
      <c r="H335">
        <v>103</v>
      </c>
      <c r="K335" t="s">
        <v>51</v>
      </c>
      <c r="L335" t="s">
        <v>52</v>
      </c>
      <c r="M335">
        <v>136704.26</v>
      </c>
      <c r="N335">
        <v>473485.07</v>
      </c>
      <c r="O335" t="s">
        <v>53</v>
      </c>
      <c r="P335" t="s">
        <v>54</v>
      </c>
      <c r="Q335" t="s">
        <v>55</v>
      </c>
      <c r="T335" t="s">
        <v>131</v>
      </c>
      <c r="U335">
        <v>40</v>
      </c>
      <c r="V335" s="1">
        <v>35431</v>
      </c>
      <c r="W335" s="1">
        <v>35431</v>
      </c>
      <c r="X335" s="1">
        <v>35431</v>
      </c>
      <c r="Y335" s="1">
        <v>50041</v>
      </c>
      <c r="Z335" t="s">
        <v>51</v>
      </c>
      <c r="AB335" t="s">
        <v>54</v>
      </c>
      <c r="AC335">
        <v>1</v>
      </c>
      <c r="AE335" t="s">
        <v>84</v>
      </c>
      <c r="AF335">
        <v>20</v>
      </c>
      <c r="AG335" s="1">
        <v>35431</v>
      </c>
      <c r="AH335" s="1">
        <v>35431</v>
      </c>
      <c r="AI335" s="1">
        <v>35431</v>
      </c>
      <c r="AJ335" s="1">
        <v>42736</v>
      </c>
      <c r="AK335" t="s">
        <v>51</v>
      </c>
      <c r="AN335">
        <v>0</v>
      </c>
      <c r="AO335" t="s">
        <v>54</v>
      </c>
      <c r="AP335" t="s">
        <v>53</v>
      </c>
      <c r="AQ335">
        <v>0</v>
      </c>
      <c r="AR335" t="s">
        <v>53</v>
      </c>
      <c r="AS335">
        <v>0</v>
      </c>
      <c r="AT335">
        <v>0</v>
      </c>
      <c r="AW335" t="s">
        <v>58</v>
      </c>
      <c r="AX335">
        <v>20</v>
      </c>
      <c r="AY335" s="1">
        <v>35431</v>
      </c>
      <c r="AZ335" s="1">
        <v>35431</v>
      </c>
      <c r="BA335" s="1">
        <v>35431</v>
      </c>
      <c r="BB335" s="1">
        <v>42736</v>
      </c>
      <c r="BC335" t="s">
        <v>51</v>
      </c>
      <c r="BE335" t="s">
        <v>54</v>
      </c>
      <c r="BF335">
        <v>2</v>
      </c>
      <c r="BG335">
        <v>0</v>
      </c>
      <c r="BH335" t="s">
        <v>53</v>
      </c>
      <c r="BK335" t="s">
        <v>59</v>
      </c>
      <c r="BL335">
        <v>14000</v>
      </c>
      <c r="BM335" s="1">
        <v>44319</v>
      </c>
      <c r="BN335" s="1">
        <v>44319</v>
      </c>
      <c r="BO335" s="1">
        <v>44319</v>
      </c>
      <c r="BP335" s="1">
        <v>45541</v>
      </c>
      <c r="BQ335" t="s">
        <v>51</v>
      </c>
      <c r="BS335" t="s">
        <v>60</v>
      </c>
      <c r="BT335" t="s">
        <v>54</v>
      </c>
      <c r="BU335" t="s">
        <v>61</v>
      </c>
      <c r="BV335" t="s">
        <v>62</v>
      </c>
      <c r="BX335">
        <v>24</v>
      </c>
      <c r="BY335">
        <v>0</v>
      </c>
      <c r="BZ335">
        <v>0</v>
      </c>
    </row>
    <row r="336" spans="1:78" x14ac:dyDescent="0.2">
      <c r="A336" t="s">
        <v>45</v>
      </c>
      <c r="B336" t="s">
        <v>46</v>
      </c>
      <c r="C336" t="s">
        <v>47</v>
      </c>
      <c r="D336" t="s">
        <v>48</v>
      </c>
      <c r="F336" t="str">
        <f>"253310"</f>
        <v>253310</v>
      </c>
      <c r="G336" t="s">
        <v>49</v>
      </c>
      <c r="H336">
        <v>113</v>
      </c>
      <c r="K336" t="s">
        <v>51</v>
      </c>
      <c r="L336" t="s">
        <v>52</v>
      </c>
      <c r="M336">
        <v>136731.41</v>
      </c>
      <c r="N336">
        <v>473473.82</v>
      </c>
      <c r="O336" t="s">
        <v>53</v>
      </c>
      <c r="P336" t="s">
        <v>54</v>
      </c>
      <c r="Q336" t="s">
        <v>55</v>
      </c>
      <c r="T336" t="s">
        <v>131</v>
      </c>
      <c r="U336">
        <v>40</v>
      </c>
      <c r="V336" s="1">
        <v>35431</v>
      </c>
      <c r="W336" s="1">
        <v>35431</v>
      </c>
      <c r="X336" s="1">
        <v>35431</v>
      </c>
      <c r="Y336" s="1">
        <v>50041</v>
      </c>
      <c r="Z336" t="s">
        <v>51</v>
      </c>
      <c r="AB336" t="s">
        <v>54</v>
      </c>
      <c r="AC336">
        <v>1</v>
      </c>
      <c r="AE336" t="s">
        <v>84</v>
      </c>
      <c r="AF336">
        <v>20</v>
      </c>
      <c r="AG336" s="1">
        <v>35431</v>
      </c>
      <c r="AH336" s="1">
        <v>35431</v>
      </c>
      <c r="AI336" s="1">
        <v>35431</v>
      </c>
      <c r="AJ336" s="1">
        <v>42736</v>
      </c>
      <c r="AK336" t="s">
        <v>51</v>
      </c>
      <c r="AN336">
        <v>0</v>
      </c>
      <c r="AO336" t="s">
        <v>54</v>
      </c>
      <c r="AP336" t="s">
        <v>53</v>
      </c>
      <c r="AQ336">
        <v>0</v>
      </c>
      <c r="AR336" t="s">
        <v>53</v>
      </c>
      <c r="AS336">
        <v>0</v>
      </c>
      <c r="AT336">
        <v>0</v>
      </c>
      <c r="AW336" t="s">
        <v>58</v>
      </c>
      <c r="AX336">
        <v>20</v>
      </c>
      <c r="AY336" s="1">
        <v>35431</v>
      </c>
      <c r="AZ336" s="1">
        <v>35431</v>
      </c>
      <c r="BA336" s="1">
        <v>35431</v>
      </c>
      <c r="BB336" s="1">
        <v>42736</v>
      </c>
      <c r="BC336" t="s">
        <v>51</v>
      </c>
      <c r="BE336" t="s">
        <v>54</v>
      </c>
      <c r="BF336">
        <v>2</v>
      </c>
      <c r="BG336">
        <v>0</v>
      </c>
      <c r="BH336" t="s">
        <v>53</v>
      </c>
      <c r="BK336" t="s">
        <v>59</v>
      </c>
      <c r="BL336">
        <v>14000</v>
      </c>
      <c r="BM336" s="1">
        <v>44319</v>
      </c>
      <c r="BN336" s="1">
        <v>44319</v>
      </c>
      <c r="BO336" s="1">
        <v>44319</v>
      </c>
      <c r="BP336" s="1">
        <v>45541</v>
      </c>
      <c r="BQ336" t="s">
        <v>51</v>
      </c>
      <c r="BS336" t="s">
        <v>60</v>
      </c>
      <c r="BT336" t="s">
        <v>54</v>
      </c>
      <c r="BU336" t="s">
        <v>61</v>
      </c>
      <c r="BV336" t="s">
        <v>62</v>
      </c>
      <c r="BX336">
        <v>24</v>
      </c>
      <c r="BY336">
        <v>0</v>
      </c>
      <c r="BZ336">
        <v>0</v>
      </c>
    </row>
    <row r="337" spans="1:99" x14ac:dyDescent="0.2">
      <c r="A337" t="s">
        <v>45</v>
      </c>
      <c r="B337" t="s">
        <v>46</v>
      </c>
      <c r="C337" t="s">
        <v>47</v>
      </c>
      <c r="D337" t="s">
        <v>48</v>
      </c>
      <c r="F337" t="str">
        <f>"253311"</f>
        <v>253311</v>
      </c>
      <c r="G337" t="s">
        <v>49</v>
      </c>
      <c r="H337">
        <v>115</v>
      </c>
      <c r="K337" t="s">
        <v>51</v>
      </c>
      <c r="L337" t="s">
        <v>52</v>
      </c>
      <c r="M337">
        <v>136762.29999999999</v>
      </c>
      <c r="N337">
        <v>473460.99</v>
      </c>
      <c r="O337" t="s">
        <v>53</v>
      </c>
      <c r="P337" t="s">
        <v>54</v>
      </c>
      <c r="Q337" t="s">
        <v>55</v>
      </c>
      <c r="T337" t="s">
        <v>131</v>
      </c>
      <c r="U337">
        <v>40</v>
      </c>
      <c r="V337" s="1">
        <v>35431</v>
      </c>
      <c r="W337" s="1">
        <v>35431</v>
      </c>
      <c r="X337" s="1">
        <v>35431</v>
      </c>
      <c r="Y337" s="1">
        <v>50041</v>
      </c>
      <c r="Z337" t="s">
        <v>51</v>
      </c>
      <c r="AB337" t="s">
        <v>54</v>
      </c>
      <c r="AC337">
        <v>1</v>
      </c>
      <c r="AE337" t="s">
        <v>84</v>
      </c>
      <c r="AF337">
        <v>20</v>
      </c>
      <c r="AG337" s="1">
        <v>35431</v>
      </c>
      <c r="AH337" s="1">
        <v>35431</v>
      </c>
      <c r="AI337" s="1">
        <v>35431</v>
      </c>
      <c r="AJ337" s="1">
        <v>42736</v>
      </c>
      <c r="AK337" t="s">
        <v>51</v>
      </c>
      <c r="AN337">
        <v>0</v>
      </c>
      <c r="AO337" t="s">
        <v>54</v>
      </c>
      <c r="AP337" t="s">
        <v>53</v>
      </c>
      <c r="AQ337">
        <v>0</v>
      </c>
      <c r="AR337" t="s">
        <v>53</v>
      </c>
      <c r="AS337">
        <v>0</v>
      </c>
      <c r="AT337">
        <v>0</v>
      </c>
      <c r="AW337" t="s">
        <v>161</v>
      </c>
      <c r="AX337">
        <v>50</v>
      </c>
      <c r="AY337" s="1">
        <v>35431</v>
      </c>
      <c r="AZ337" s="1">
        <v>35431</v>
      </c>
      <c r="BA337" s="1">
        <v>35431</v>
      </c>
      <c r="BB337" s="1">
        <v>53693</v>
      </c>
      <c r="BC337" t="s">
        <v>51</v>
      </c>
      <c r="BE337" t="s">
        <v>54</v>
      </c>
      <c r="BF337">
        <v>0</v>
      </c>
      <c r="BG337">
        <v>0</v>
      </c>
      <c r="BH337" t="s">
        <v>53</v>
      </c>
      <c r="BK337" t="s">
        <v>59</v>
      </c>
      <c r="BL337">
        <v>14000</v>
      </c>
      <c r="BM337" s="1">
        <v>44319</v>
      </c>
      <c r="BN337" s="1">
        <v>44319</v>
      </c>
      <c r="BO337" s="1">
        <v>44319</v>
      </c>
      <c r="BP337" s="1">
        <v>45541</v>
      </c>
      <c r="BQ337" t="s">
        <v>51</v>
      </c>
      <c r="BS337" t="s">
        <v>60</v>
      </c>
      <c r="BT337" t="s">
        <v>54</v>
      </c>
      <c r="BU337" t="s">
        <v>61</v>
      </c>
      <c r="BV337" t="s">
        <v>62</v>
      </c>
      <c r="BX337">
        <v>24</v>
      </c>
      <c r="BY337">
        <v>0</v>
      </c>
      <c r="BZ337">
        <v>0</v>
      </c>
    </row>
    <row r="338" spans="1:99" x14ac:dyDescent="0.2">
      <c r="A338" t="s">
        <v>45</v>
      </c>
      <c r="B338" t="s">
        <v>46</v>
      </c>
      <c r="C338" t="s">
        <v>47</v>
      </c>
      <c r="D338" t="s">
        <v>48</v>
      </c>
      <c r="F338" t="str">
        <f>"253312"</f>
        <v>253312</v>
      </c>
      <c r="G338" t="s">
        <v>49</v>
      </c>
      <c r="H338">
        <v>116</v>
      </c>
      <c r="K338" t="s">
        <v>51</v>
      </c>
      <c r="L338" t="s">
        <v>52</v>
      </c>
      <c r="M338">
        <v>136786.13</v>
      </c>
      <c r="N338">
        <v>473456.92</v>
      </c>
      <c r="O338" t="s">
        <v>53</v>
      </c>
      <c r="P338" t="s">
        <v>54</v>
      </c>
      <c r="Q338" t="s">
        <v>55</v>
      </c>
      <c r="T338" t="s">
        <v>131</v>
      </c>
      <c r="U338">
        <v>40</v>
      </c>
      <c r="V338" s="1">
        <v>42552</v>
      </c>
      <c r="W338" s="1">
        <v>42552</v>
      </c>
      <c r="X338" s="1">
        <v>42552</v>
      </c>
      <c r="Y338" s="1">
        <v>57162</v>
      </c>
      <c r="Z338" t="s">
        <v>51</v>
      </c>
      <c r="AB338" t="s">
        <v>54</v>
      </c>
      <c r="AC338">
        <v>1</v>
      </c>
      <c r="AE338" t="s">
        <v>84</v>
      </c>
      <c r="AF338">
        <v>20</v>
      </c>
      <c r="AG338" s="1">
        <v>42552</v>
      </c>
      <c r="AH338" s="1">
        <v>42552</v>
      </c>
      <c r="AI338" s="1">
        <v>42552</v>
      </c>
      <c r="AJ338" s="1">
        <v>49857</v>
      </c>
      <c r="AK338" t="s">
        <v>51</v>
      </c>
      <c r="AN338">
        <v>0</v>
      </c>
      <c r="AO338" t="s">
        <v>54</v>
      </c>
      <c r="AP338" t="s">
        <v>53</v>
      </c>
      <c r="AQ338">
        <v>0</v>
      </c>
      <c r="AR338" t="s">
        <v>53</v>
      </c>
      <c r="AS338">
        <v>0</v>
      </c>
      <c r="AT338">
        <v>0</v>
      </c>
      <c r="AW338" t="s">
        <v>58</v>
      </c>
      <c r="AX338">
        <v>20</v>
      </c>
      <c r="AY338" s="1">
        <v>44935</v>
      </c>
      <c r="AZ338" s="1">
        <v>44935</v>
      </c>
      <c r="BA338" s="1">
        <v>44935</v>
      </c>
      <c r="BB338" s="1">
        <v>52240</v>
      </c>
      <c r="BC338" t="s">
        <v>51</v>
      </c>
      <c r="BE338" t="s">
        <v>54</v>
      </c>
      <c r="BF338">
        <v>2</v>
      </c>
      <c r="BG338">
        <v>0</v>
      </c>
      <c r="BH338" t="s">
        <v>53</v>
      </c>
      <c r="BK338" t="s">
        <v>65</v>
      </c>
      <c r="BL338">
        <v>14000</v>
      </c>
      <c r="BM338" s="1">
        <v>44320</v>
      </c>
      <c r="BN338" s="1">
        <v>44320</v>
      </c>
      <c r="BO338" s="1">
        <v>44935</v>
      </c>
      <c r="BP338" s="1">
        <v>45542</v>
      </c>
      <c r="BQ338" t="s">
        <v>51</v>
      </c>
      <c r="BS338" t="s">
        <v>60</v>
      </c>
      <c r="BT338" t="s">
        <v>54</v>
      </c>
      <c r="BU338" t="s">
        <v>61</v>
      </c>
      <c r="BV338" t="s">
        <v>62</v>
      </c>
      <c r="BX338">
        <v>36</v>
      </c>
      <c r="BY338">
        <v>0</v>
      </c>
      <c r="BZ338">
        <v>0</v>
      </c>
    </row>
    <row r="339" spans="1:99" x14ac:dyDescent="0.2">
      <c r="A339" t="s">
        <v>45</v>
      </c>
      <c r="B339" t="s">
        <v>46</v>
      </c>
      <c r="C339" t="s">
        <v>47</v>
      </c>
      <c r="D339" t="s">
        <v>153</v>
      </c>
      <c r="F339" t="str">
        <f>"253944"</f>
        <v>253944</v>
      </c>
      <c r="G339" t="s">
        <v>49</v>
      </c>
      <c r="H339">
        <v>1</v>
      </c>
      <c r="K339" t="s">
        <v>51</v>
      </c>
      <c r="L339" t="s">
        <v>52</v>
      </c>
      <c r="M339">
        <v>136789.81</v>
      </c>
      <c r="N339">
        <v>473473.53</v>
      </c>
      <c r="O339" t="s">
        <v>53</v>
      </c>
      <c r="P339" t="s">
        <v>54</v>
      </c>
      <c r="Q339" t="s">
        <v>55</v>
      </c>
      <c r="T339" t="s">
        <v>170</v>
      </c>
      <c r="U339">
        <v>40</v>
      </c>
      <c r="V339" s="1">
        <v>42186</v>
      </c>
      <c r="W339" s="1">
        <v>42186</v>
      </c>
      <c r="X339" s="1">
        <v>42186</v>
      </c>
      <c r="Y339" s="1">
        <v>56796</v>
      </c>
      <c r="Z339" t="s">
        <v>51</v>
      </c>
      <c r="AB339" t="s">
        <v>54</v>
      </c>
      <c r="AC339">
        <v>1</v>
      </c>
      <c r="AE339" t="s">
        <v>171</v>
      </c>
      <c r="AF339">
        <v>20</v>
      </c>
      <c r="AG339" s="1">
        <v>42186</v>
      </c>
      <c r="AH339" s="1">
        <v>42186</v>
      </c>
      <c r="AI339" s="1">
        <v>42186</v>
      </c>
      <c r="AJ339" s="1">
        <v>49491</v>
      </c>
      <c r="AK339" t="s">
        <v>51</v>
      </c>
      <c r="AN339">
        <v>0</v>
      </c>
      <c r="AO339" t="s">
        <v>54</v>
      </c>
      <c r="AP339" t="s">
        <v>53</v>
      </c>
      <c r="AQ339">
        <v>0</v>
      </c>
      <c r="AR339" t="s">
        <v>53</v>
      </c>
      <c r="AS339">
        <v>0</v>
      </c>
      <c r="AT339">
        <v>0</v>
      </c>
      <c r="AW339" t="s">
        <v>172</v>
      </c>
      <c r="AX339">
        <v>15</v>
      </c>
      <c r="AY339" s="1">
        <v>44341</v>
      </c>
      <c r="AZ339" s="1">
        <v>44341</v>
      </c>
      <c r="BA339" s="1">
        <v>44341</v>
      </c>
      <c r="BB339" s="1">
        <v>49820</v>
      </c>
      <c r="BC339" t="s">
        <v>51</v>
      </c>
      <c r="BE339" t="s">
        <v>54</v>
      </c>
      <c r="BF339">
        <v>40</v>
      </c>
      <c r="BG339">
        <v>0</v>
      </c>
      <c r="BH339" t="s">
        <v>145</v>
      </c>
      <c r="CC339" t="s">
        <v>173</v>
      </c>
      <c r="CD339">
        <v>100000</v>
      </c>
      <c r="CE339" s="1">
        <v>44341</v>
      </c>
      <c r="CF339" s="1">
        <v>44341</v>
      </c>
      <c r="CG339" s="1">
        <v>44341</v>
      </c>
      <c r="CH339" s="1">
        <v>52822</v>
      </c>
      <c r="CI339" t="s">
        <v>51</v>
      </c>
      <c r="CK339" t="s">
        <v>78</v>
      </c>
      <c r="CM339" t="s">
        <v>54</v>
      </c>
      <c r="CN339" t="s">
        <v>174</v>
      </c>
      <c r="CO339" t="s">
        <v>86</v>
      </c>
      <c r="CP339">
        <v>830</v>
      </c>
      <c r="CR339">
        <v>19</v>
      </c>
      <c r="CS339">
        <v>1800</v>
      </c>
      <c r="CT339">
        <v>0</v>
      </c>
      <c r="CU339">
        <v>16</v>
      </c>
    </row>
    <row r="340" spans="1:99" x14ac:dyDescent="0.2">
      <c r="A340" t="s">
        <v>45</v>
      </c>
      <c r="B340" t="s">
        <v>46</v>
      </c>
      <c r="C340" t="s">
        <v>47</v>
      </c>
      <c r="D340" t="s">
        <v>153</v>
      </c>
      <c r="F340" t="str">
        <f>"253945"</f>
        <v>253945</v>
      </c>
      <c r="G340" t="s">
        <v>49</v>
      </c>
      <c r="H340" t="s">
        <v>334</v>
      </c>
      <c r="K340" t="s">
        <v>51</v>
      </c>
      <c r="L340" t="s">
        <v>52</v>
      </c>
      <c r="M340">
        <v>136787.12</v>
      </c>
      <c r="N340">
        <v>473522.22</v>
      </c>
      <c r="O340" t="s">
        <v>53</v>
      </c>
      <c r="P340" t="s">
        <v>54</v>
      </c>
      <c r="Q340" t="s">
        <v>55</v>
      </c>
      <c r="T340" t="s">
        <v>170</v>
      </c>
      <c r="U340">
        <v>40</v>
      </c>
      <c r="V340" s="1">
        <v>42186</v>
      </c>
      <c r="W340" s="1">
        <v>42186</v>
      </c>
      <c r="X340" s="1">
        <v>42186</v>
      </c>
      <c r="Y340" s="1">
        <v>56796</v>
      </c>
      <c r="Z340" t="s">
        <v>51</v>
      </c>
      <c r="AB340" t="s">
        <v>54</v>
      </c>
      <c r="AC340">
        <v>1</v>
      </c>
      <c r="AE340" t="s">
        <v>171</v>
      </c>
      <c r="AF340">
        <v>20</v>
      </c>
      <c r="AG340" s="1">
        <v>42186</v>
      </c>
      <c r="AH340" s="1">
        <v>42186</v>
      </c>
      <c r="AI340" s="1">
        <v>42186</v>
      </c>
      <c r="AJ340" s="1">
        <v>49491</v>
      </c>
      <c r="AK340" t="s">
        <v>51</v>
      </c>
      <c r="AN340">
        <v>0</v>
      </c>
      <c r="AO340" t="s">
        <v>54</v>
      </c>
      <c r="AP340" t="s">
        <v>53</v>
      </c>
      <c r="AQ340">
        <v>0</v>
      </c>
      <c r="AR340" t="s">
        <v>53</v>
      </c>
      <c r="AS340">
        <v>0</v>
      </c>
      <c r="AT340">
        <v>0</v>
      </c>
      <c r="AW340" t="s">
        <v>172</v>
      </c>
      <c r="AX340">
        <v>15</v>
      </c>
      <c r="AY340" s="1">
        <v>44341</v>
      </c>
      <c r="AZ340" s="1">
        <v>44341</v>
      </c>
      <c r="BA340" s="1">
        <v>44341</v>
      </c>
      <c r="BB340" s="1">
        <v>49820</v>
      </c>
      <c r="BC340" t="s">
        <v>51</v>
      </c>
      <c r="BE340" t="s">
        <v>54</v>
      </c>
      <c r="BF340">
        <v>40</v>
      </c>
      <c r="BG340">
        <v>0</v>
      </c>
      <c r="BH340" t="s">
        <v>145</v>
      </c>
      <c r="CC340" t="s">
        <v>173</v>
      </c>
      <c r="CD340">
        <v>100000</v>
      </c>
      <c r="CE340" s="1">
        <v>44341</v>
      </c>
      <c r="CF340" s="1">
        <v>44341</v>
      </c>
      <c r="CG340" s="1">
        <v>44341</v>
      </c>
      <c r="CH340" s="1">
        <v>52822</v>
      </c>
      <c r="CI340" t="s">
        <v>51</v>
      </c>
      <c r="CK340" t="s">
        <v>78</v>
      </c>
      <c r="CM340" t="s">
        <v>54</v>
      </c>
      <c r="CN340" t="s">
        <v>174</v>
      </c>
      <c r="CO340" t="s">
        <v>86</v>
      </c>
      <c r="CP340">
        <v>830</v>
      </c>
      <c r="CR340">
        <v>19</v>
      </c>
      <c r="CS340">
        <v>1800</v>
      </c>
      <c r="CT340">
        <v>0</v>
      </c>
      <c r="CU340">
        <v>16</v>
      </c>
    </row>
    <row r="341" spans="1:99" x14ac:dyDescent="0.2">
      <c r="A341" t="s">
        <v>45</v>
      </c>
      <c r="B341" t="s">
        <v>46</v>
      </c>
      <c r="C341" t="s">
        <v>47</v>
      </c>
      <c r="D341" t="s">
        <v>153</v>
      </c>
      <c r="F341" t="str">
        <f>"253946"</f>
        <v>253946</v>
      </c>
      <c r="G341" t="s">
        <v>49</v>
      </c>
      <c r="H341" t="s">
        <v>335</v>
      </c>
      <c r="K341" t="s">
        <v>51</v>
      </c>
      <c r="L341" t="s">
        <v>52</v>
      </c>
      <c r="M341">
        <v>136786.85999999999</v>
      </c>
      <c r="N341">
        <v>473554.17</v>
      </c>
      <c r="O341" t="s">
        <v>53</v>
      </c>
      <c r="P341" t="s">
        <v>54</v>
      </c>
      <c r="Q341" t="s">
        <v>55</v>
      </c>
      <c r="T341" t="s">
        <v>170</v>
      </c>
      <c r="U341">
        <v>40</v>
      </c>
      <c r="V341" s="1">
        <v>42186</v>
      </c>
      <c r="W341" s="1">
        <v>42186</v>
      </c>
      <c r="X341" s="1">
        <v>42186</v>
      </c>
      <c r="Y341" s="1">
        <v>56796</v>
      </c>
      <c r="Z341" t="s">
        <v>51</v>
      </c>
      <c r="AB341" t="s">
        <v>54</v>
      </c>
      <c r="AC341">
        <v>1</v>
      </c>
      <c r="AE341" t="s">
        <v>171</v>
      </c>
      <c r="AF341">
        <v>20</v>
      </c>
      <c r="AG341" s="1">
        <v>42186</v>
      </c>
      <c r="AH341" s="1">
        <v>42186</v>
      </c>
      <c r="AI341" s="1">
        <v>42186</v>
      </c>
      <c r="AJ341" s="1">
        <v>49491</v>
      </c>
      <c r="AK341" t="s">
        <v>51</v>
      </c>
      <c r="AN341">
        <v>0</v>
      </c>
      <c r="AO341" t="s">
        <v>54</v>
      </c>
      <c r="AP341" t="s">
        <v>53</v>
      </c>
      <c r="AQ341">
        <v>0</v>
      </c>
      <c r="AR341" t="s">
        <v>53</v>
      </c>
      <c r="AS341">
        <v>0</v>
      </c>
      <c r="AT341">
        <v>0</v>
      </c>
      <c r="AW341" t="s">
        <v>172</v>
      </c>
      <c r="AX341">
        <v>15</v>
      </c>
      <c r="AY341" s="1">
        <v>44341</v>
      </c>
      <c r="AZ341" s="1">
        <v>44341</v>
      </c>
      <c r="BA341" s="1">
        <v>44341</v>
      </c>
      <c r="BB341" s="1">
        <v>49820</v>
      </c>
      <c r="BC341" t="s">
        <v>51</v>
      </c>
      <c r="BE341" t="s">
        <v>54</v>
      </c>
      <c r="BF341">
        <v>40</v>
      </c>
      <c r="BG341">
        <v>0</v>
      </c>
      <c r="BH341" t="s">
        <v>145</v>
      </c>
      <c r="CC341" t="s">
        <v>173</v>
      </c>
      <c r="CD341">
        <v>100000</v>
      </c>
      <c r="CE341" s="1">
        <v>44341</v>
      </c>
      <c r="CF341" s="1">
        <v>44341</v>
      </c>
      <c r="CG341" s="1">
        <v>44341</v>
      </c>
      <c r="CH341" s="1">
        <v>52822</v>
      </c>
      <c r="CI341" t="s">
        <v>51</v>
      </c>
      <c r="CK341" t="s">
        <v>78</v>
      </c>
      <c r="CM341" t="s">
        <v>54</v>
      </c>
      <c r="CN341" t="s">
        <v>174</v>
      </c>
      <c r="CO341" t="s">
        <v>86</v>
      </c>
      <c r="CP341">
        <v>830</v>
      </c>
      <c r="CR341">
        <v>19</v>
      </c>
      <c r="CS341">
        <v>1800</v>
      </c>
      <c r="CT341">
        <v>0</v>
      </c>
      <c r="CU341">
        <v>16</v>
      </c>
    </row>
    <row r="342" spans="1:99" x14ac:dyDescent="0.2">
      <c r="A342" t="s">
        <v>45</v>
      </c>
      <c r="B342" t="s">
        <v>46</v>
      </c>
      <c r="C342" t="s">
        <v>47</v>
      </c>
      <c r="D342" t="s">
        <v>153</v>
      </c>
      <c r="F342" t="str">
        <f>"253947"</f>
        <v>253947</v>
      </c>
      <c r="G342" t="s">
        <v>49</v>
      </c>
      <c r="H342" t="s">
        <v>336</v>
      </c>
      <c r="K342" t="s">
        <v>51</v>
      </c>
      <c r="L342" t="s">
        <v>52</v>
      </c>
      <c r="M342">
        <v>136785.45000000001</v>
      </c>
      <c r="N342">
        <v>473579.11</v>
      </c>
      <c r="O342" t="s">
        <v>53</v>
      </c>
      <c r="P342" t="s">
        <v>54</v>
      </c>
      <c r="Q342" t="s">
        <v>55</v>
      </c>
      <c r="T342" t="s">
        <v>170</v>
      </c>
      <c r="U342">
        <v>40</v>
      </c>
      <c r="V342" s="1">
        <v>42186</v>
      </c>
      <c r="W342" s="1">
        <v>42186</v>
      </c>
      <c r="X342" s="1">
        <v>42186</v>
      </c>
      <c r="Y342" s="1">
        <v>56796</v>
      </c>
      <c r="Z342" t="s">
        <v>51</v>
      </c>
      <c r="AB342" t="s">
        <v>54</v>
      </c>
      <c r="AC342">
        <v>1</v>
      </c>
      <c r="AE342" t="s">
        <v>171</v>
      </c>
      <c r="AF342">
        <v>20</v>
      </c>
      <c r="AG342" s="1">
        <v>42186</v>
      </c>
      <c r="AH342" s="1">
        <v>42186</v>
      </c>
      <c r="AI342" s="1">
        <v>42186</v>
      </c>
      <c r="AJ342" s="1">
        <v>49491</v>
      </c>
      <c r="AK342" t="s">
        <v>51</v>
      </c>
      <c r="AN342">
        <v>0</v>
      </c>
      <c r="AO342" t="s">
        <v>54</v>
      </c>
      <c r="AP342" t="s">
        <v>53</v>
      </c>
      <c r="AQ342">
        <v>0</v>
      </c>
      <c r="AR342" t="s">
        <v>53</v>
      </c>
      <c r="AS342">
        <v>0</v>
      </c>
      <c r="AT342">
        <v>0</v>
      </c>
      <c r="AW342" t="s">
        <v>172</v>
      </c>
      <c r="AX342">
        <v>15</v>
      </c>
      <c r="AY342" s="1">
        <v>44341</v>
      </c>
      <c r="AZ342" s="1">
        <v>44341</v>
      </c>
      <c r="BA342" s="1">
        <v>44341</v>
      </c>
      <c r="BB342" s="1">
        <v>49820</v>
      </c>
      <c r="BC342" t="s">
        <v>51</v>
      </c>
      <c r="BE342" t="s">
        <v>54</v>
      </c>
      <c r="BF342">
        <v>40</v>
      </c>
      <c r="BG342">
        <v>0</v>
      </c>
      <c r="BH342" t="s">
        <v>145</v>
      </c>
      <c r="CC342" t="s">
        <v>173</v>
      </c>
      <c r="CD342">
        <v>100000</v>
      </c>
      <c r="CE342" s="1">
        <v>44341</v>
      </c>
      <c r="CF342" s="1">
        <v>44341</v>
      </c>
      <c r="CG342" s="1">
        <v>44341</v>
      </c>
      <c r="CH342" s="1">
        <v>52822</v>
      </c>
      <c r="CI342" t="s">
        <v>51</v>
      </c>
      <c r="CK342" t="s">
        <v>78</v>
      </c>
      <c r="CM342" t="s">
        <v>54</v>
      </c>
      <c r="CN342" t="s">
        <v>174</v>
      </c>
      <c r="CO342" t="s">
        <v>86</v>
      </c>
      <c r="CP342">
        <v>830</v>
      </c>
      <c r="CR342">
        <v>19</v>
      </c>
      <c r="CS342">
        <v>1800</v>
      </c>
      <c r="CT342">
        <v>0</v>
      </c>
      <c r="CU342">
        <v>16</v>
      </c>
    </row>
    <row r="343" spans="1:99" x14ac:dyDescent="0.2">
      <c r="A343" t="s">
        <v>45</v>
      </c>
      <c r="B343" t="s">
        <v>46</v>
      </c>
      <c r="C343" t="s">
        <v>47</v>
      </c>
      <c r="D343" t="s">
        <v>153</v>
      </c>
      <c r="F343" t="str">
        <f>"253948"</f>
        <v>253948</v>
      </c>
      <c r="G343" t="s">
        <v>49</v>
      </c>
      <c r="H343" t="s">
        <v>337</v>
      </c>
      <c r="K343" t="s">
        <v>51</v>
      </c>
      <c r="L343" t="s">
        <v>52</v>
      </c>
      <c r="M343">
        <v>136784.26999999999</v>
      </c>
      <c r="N343">
        <v>473629.16</v>
      </c>
      <c r="O343" t="s">
        <v>53</v>
      </c>
      <c r="P343" t="s">
        <v>54</v>
      </c>
      <c r="Q343" t="s">
        <v>55</v>
      </c>
      <c r="T343" t="s">
        <v>170</v>
      </c>
      <c r="U343">
        <v>40</v>
      </c>
      <c r="V343" s="1">
        <v>42186</v>
      </c>
      <c r="W343" s="1">
        <v>42186</v>
      </c>
      <c r="X343" s="1">
        <v>42186</v>
      </c>
      <c r="Y343" s="1">
        <v>56796</v>
      </c>
      <c r="Z343" t="s">
        <v>51</v>
      </c>
      <c r="AB343" t="s">
        <v>54</v>
      </c>
      <c r="AC343">
        <v>1</v>
      </c>
      <c r="AE343" t="s">
        <v>171</v>
      </c>
      <c r="AF343">
        <v>20</v>
      </c>
      <c r="AG343" s="1">
        <v>42186</v>
      </c>
      <c r="AH343" s="1">
        <v>42186</v>
      </c>
      <c r="AI343" s="1">
        <v>42186</v>
      </c>
      <c r="AJ343" s="1">
        <v>49491</v>
      </c>
      <c r="AK343" t="s">
        <v>51</v>
      </c>
      <c r="AN343">
        <v>0</v>
      </c>
      <c r="AO343" t="s">
        <v>54</v>
      </c>
      <c r="AP343" t="s">
        <v>53</v>
      </c>
      <c r="AQ343">
        <v>0</v>
      </c>
      <c r="AR343" t="s">
        <v>53</v>
      </c>
      <c r="AS343">
        <v>0</v>
      </c>
      <c r="AT343">
        <v>0</v>
      </c>
      <c r="AW343" t="s">
        <v>172</v>
      </c>
      <c r="AX343">
        <v>15</v>
      </c>
      <c r="AY343" s="1">
        <v>44341</v>
      </c>
      <c r="AZ343" s="1">
        <v>44341</v>
      </c>
      <c r="BA343" s="1">
        <v>44341</v>
      </c>
      <c r="BB343" s="1">
        <v>49820</v>
      </c>
      <c r="BC343" t="s">
        <v>51</v>
      </c>
      <c r="BE343" t="s">
        <v>54</v>
      </c>
      <c r="BF343">
        <v>40</v>
      </c>
      <c r="BG343">
        <v>0</v>
      </c>
      <c r="BH343" t="s">
        <v>145</v>
      </c>
      <c r="CC343" t="s">
        <v>173</v>
      </c>
      <c r="CD343">
        <v>100000</v>
      </c>
      <c r="CE343" s="1">
        <v>44341</v>
      </c>
      <c r="CF343" s="1">
        <v>44341</v>
      </c>
      <c r="CG343" s="1">
        <v>44341</v>
      </c>
      <c r="CH343" s="1">
        <v>52822</v>
      </c>
      <c r="CI343" t="s">
        <v>51</v>
      </c>
      <c r="CK343" t="s">
        <v>78</v>
      </c>
      <c r="CM343" t="s">
        <v>54</v>
      </c>
      <c r="CN343" t="s">
        <v>174</v>
      </c>
      <c r="CO343" t="s">
        <v>86</v>
      </c>
      <c r="CP343">
        <v>830</v>
      </c>
      <c r="CR343">
        <v>19</v>
      </c>
      <c r="CS343">
        <v>1800</v>
      </c>
      <c r="CT343">
        <v>0</v>
      </c>
      <c r="CU343">
        <v>16</v>
      </c>
    </row>
    <row r="344" spans="1:99" x14ac:dyDescent="0.2">
      <c r="A344" t="s">
        <v>45</v>
      </c>
      <c r="B344" t="s">
        <v>46</v>
      </c>
      <c r="C344" t="s">
        <v>47</v>
      </c>
      <c r="D344" t="s">
        <v>153</v>
      </c>
      <c r="F344" t="str">
        <f>"253949"</f>
        <v>253949</v>
      </c>
      <c r="G344" t="s">
        <v>49</v>
      </c>
      <c r="H344" t="s">
        <v>338</v>
      </c>
      <c r="K344" t="s">
        <v>51</v>
      </c>
      <c r="L344" t="s">
        <v>52</v>
      </c>
      <c r="M344">
        <v>136784.09</v>
      </c>
      <c r="N344">
        <v>473667.2</v>
      </c>
      <c r="O344" t="s">
        <v>53</v>
      </c>
      <c r="P344" t="s">
        <v>54</v>
      </c>
      <c r="Q344" t="s">
        <v>55</v>
      </c>
      <c r="T344" t="s">
        <v>170</v>
      </c>
      <c r="U344">
        <v>40</v>
      </c>
      <c r="V344" s="1">
        <v>42186</v>
      </c>
      <c r="W344" s="1">
        <v>42186</v>
      </c>
      <c r="X344" s="1">
        <v>42186</v>
      </c>
      <c r="Y344" s="1">
        <v>56796</v>
      </c>
      <c r="Z344" t="s">
        <v>51</v>
      </c>
      <c r="AB344" t="s">
        <v>54</v>
      </c>
      <c r="AC344">
        <v>1</v>
      </c>
      <c r="AE344" t="s">
        <v>171</v>
      </c>
      <c r="AF344">
        <v>20</v>
      </c>
      <c r="AG344" s="1">
        <v>42186</v>
      </c>
      <c r="AH344" s="1">
        <v>42186</v>
      </c>
      <c r="AI344" s="1">
        <v>42186</v>
      </c>
      <c r="AJ344" s="1">
        <v>49491</v>
      </c>
      <c r="AK344" t="s">
        <v>51</v>
      </c>
      <c r="AN344">
        <v>0</v>
      </c>
      <c r="AO344" t="s">
        <v>54</v>
      </c>
      <c r="AP344" t="s">
        <v>53</v>
      </c>
      <c r="AQ344">
        <v>0</v>
      </c>
      <c r="AR344" t="s">
        <v>53</v>
      </c>
      <c r="AS344">
        <v>0</v>
      </c>
      <c r="AT344">
        <v>0</v>
      </c>
      <c r="AW344" t="s">
        <v>172</v>
      </c>
      <c r="AX344">
        <v>15</v>
      </c>
      <c r="AY344" s="1">
        <v>44341</v>
      </c>
      <c r="AZ344" s="1">
        <v>44341</v>
      </c>
      <c r="BA344" s="1">
        <v>44341</v>
      </c>
      <c r="BB344" s="1">
        <v>49820</v>
      </c>
      <c r="BC344" t="s">
        <v>51</v>
      </c>
      <c r="BE344" t="s">
        <v>54</v>
      </c>
      <c r="BF344">
        <v>40</v>
      </c>
      <c r="BG344">
        <v>0</v>
      </c>
      <c r="BH344" t="s">
        <v>145</v>
      </c>
      <c r="CC344" t="s">
        <v>173</v>
      </c>
      <c r="CD344">
        <v>100000</v>
      </c>
      <c r="CE344" s="1">
        <v>44341</v>
      </c>
      <c r="CF344" s="1">
        <v>44341</v>
      </c>
      <c r="CG344" s="1">
        <v>44341</v>
      </c>
      <c r="CH344" s="1">
        <v>52822</v>
      </c>
      <c r="CI344" t="s">
        <v>51</v>
      </c>
      <c r="CK344" t="s">
        <v>78</v>
      </c>
      <c r="CM344" t="s">
        <v>54</v>
      </c>
      <c r="CN344" t="s">
        <v>174</v>
      </c>
      <c r="CO344" t="s">
        <v>86</v>
      </c>
      <c r="CP344">
        <v>830</v>
      </c>
      <c r="CR344">
        <v>19</v>
      </c>
      <c r="CS344">
        <v>1800</v>
      </c>
      <c r="CT344">
        <v>0</v>
      </c>
      <c r="CU344">
        <v>16</v>
      </c>
    </row>
    <row r="345" spans="1:99" x14ac:dyDescent="0.2">
      <c r="A345" t="s">
        <v>45</v>
      </c>
      <c r="B345" t="s">
        <v>46</v>
      </c>
      <c r="C345" t="s">
        <v>47</v>
      </c>
      <c r="D345" t="s">
        <v>153</v>
      </c>
      <c r="F345" t="str">
        <f>"253950"</f>
        <v>253950</v>
      </c>
      <c r="G345" t="s">
        <v>49</v>
      </c>
      <c r="H345">
        <v>23</v>
      </c>
      <c r="K345" t="s">
        <v>51</v>
      </c>
      <c r="L345" t="s">
        <v>52</v>
      </c>
      <c r="M345">
        <v>136780.60999999999</v>
      </c>
      <c r="N345">
        <v>473694.41</v>
      </c>
      <c r="O345" t="s">
        <v>53</v>
      </c>
      <c r="P345" t="s">
        <v>54</v>
      </c>
      <c r="Q345" t="s">
        <v>55</v>
      </c>
      <c r="T345" t="s">
        <v>170</v>
      </c>
      <c r="U345">
        <v>40</v>
      </c>
      <c r="V345" s="1">
        <v>42186</v>
      </c>
      <c r="W345" s="1">
        <v>42186</v>
      </c>
      <c r="X345" s="1">
        <v>42186</v>
      </c>
      <c r="Y345" s="1">
        <v>56796</v>
      </c>
      <c r="Z345" t="s">
        <v>51</v>
      </c>
      <c r="AB345" t="s">
        <v>54</v>
      </c>
      <c r="AC345">
        <v>1</v>
      </c>
      <c r="AE345" t="s">
        <v>171</v>
      </c>
      <c r="AF345">
        <v>20</v>
      </c>
      <c r="AG345" s="1">
        <v>42186</v>
      </c>
      <c r="AH345" s="1">
        <v>42186</v>
      </c>
      <c r="AI345" s="1">
        <v>42186</v>
      </c>
      <c r="AJ345" s="1">
        <v>49491</v>
      </c>
      <c r="AK345" t="s">
        <v>51</v>
      </c>
      <c r="AN345">
        <v>0</v>
      </c>
      <c r="AO345" t="s">
        <v>54</v>
      </c>
      <c r="AP345" t="s">
        <v>53</v>
      </c>
      <c r="AQ345">
        <v>0</v>
      </c>
      <c r="AR345" t="s">
        <v>53</v>
      </c>
      <c r="AS345">
        <v>0</v>
      </c>
      <c r="AT345">
        <v>0</v>
      </c>
      <c r="AW345" t="s">
        <v>172</v>
      </c>
      <c r="AX345">
        <v>15</v>
      </c>
      <c r="AY345" s="1">
        <v>44341</v>
      </c>
      <c r="AZ345" s="1">
        <v>44341</v>
      </c>
      <c r="BA345" s="1">
        <v>44341</v>
      </c>
      <c r="BB345" s="1">
        <v>49820</v>
      </c>
      <c r="BC345" t="s">
        <v>51</v>
      </c>
      <c r="BE345" t="s">
        <v>54</v>
      </c>
      <c r="BF345">
        <v>40</v>
      </c>
      <c r="BG345">
        <v>0</v>
      </c>
      <c r="BH345" t="s">
        <v>145</v>
      </c>
      <c r="CC345" t="s">
        <v>173</v>
      </c>
      <c r="CD345">
        <v>100000</v>
      </c>
      <c r="CE345" s="1">
        <v>44341</v>
      </c>
      <c r="CF345" s="1">
        <v>44341</v>
      </c>
      <c r="CG345" s="1">
        <v>44341</v>
      </c>
      <c r="CH345" s="1">
        <v>52822</v>
      </c>
      <c r="CI345" t="s">
        <v>51</v>
      </c>
      <c r="CK345" t="s">
        <v>78</v>
      </c>
      <c r="CM345" t="s">
        <v>54</v>
      </c>
      <c r="CN345" t="s">
        <v>174</v>
      </c>
      <c r="CO345" t="s">
        <v>86</v>
      </c>
      <c r="CP345">
        <v>830</v>
      </c>
      <c r="CR345">
        <v>19</v>
      </c>
      <c r="CS345">
        <v>1800</v>
      </c>
      <c r="CT345">
        <v>0</v>
      </c>
      <c r="CU345">
        <v>16</v>
      </c>
    </row>
    <row r="346" spans="1:99" x14ac:dyDescent="0.2">
      <c r="A346" t="s">
        <v>45</v>
      </c>
      <c r="B346" t="s">
        <v>46</v>
      </c>
      <c r="C346" t="s">
        <v>47</v>
      </c>
      <c r="D346" t="s">
        <v>153</v>
      </c>
      <c r="F346" t="str">
        <f>"253951"</f>
        <v>253951</v>
      </c>
      <c r="G346" t="s">
        <v>49</v>
      </c>
      <c r="H346" t="s">
        <v>339</v>
      </c>
      <c r="K346" t="s">
        <v>51</v>
      </c>
      <c r="L346" t="s">
        <v>52</v>
      </c>
      <c r="M346">
        <v>136778.31</v>
      </c>
      <c r="N346">
        <v>473717.06</v>
      </c>
      <c r="O346" t="s">
        <v>53</v>
      </c>
      <c r="P346" t="s">
        <v>54</v>
      </c>
      <c r="Q346" t="s">
        <v>55</v>
      </c>
      <c r="T346" t="s">
        <v>170</v>
      </c>
      <c r="U346">
        <v>40</v>
      </c>
      <c r="V346" s="1">
        <v>42186</v>
      </c>
      <c r="W346" s="1">
        <v>42186</v>
      </c>
      <c r="X346" s="1">
        <v>42186</v>
      </c>
      <c r="Y346" s="1">
        <v>56796</v>
      </c>
      <c r="Z346" t="s">
        <v>51</v>
      </c>
      <c r="AB346" t="s">
        <v>54</v>
      </c>
      <c r="AC346">
        <v>1</v>
      </c>
      <c r="AE346" t="s">
        <v>171</v>
      </c>
      <c r="AF346">
        <v>20</v>
      </c>
      <c r="AG346" s="1">
        <v>42186</v>
      </c>
      <c r="AH346" s="1">
        <v>42186</v>
      </c>
      <c r="AI346" s="1">
        <v>42186</v>
      </c>
      <c r="AJ346" s="1">
        <v>49491</v>
      </c>
      <c r="AK346" t="s">
        <v>51</v>
      </c>
      <c r="AN346">
        <v>0</v>
      </c>
      <c r="AO346" t="s">
        <v>54</v>
      </c>
      <c r="AP346" t="s">
        <v>53</v>
      </c>
      <c r="AQ346">
        <v>0</v>
      </c>
      <c r="AR346" t="s">
        <v>53</v>
      </c>
      <c r="AS346">
        <v>0</v>
      </c>
      <c r="AT346">
        <v>0</v>
      </c>
      <c r="AW346" t="s">
        <v>172</v>
      </c>
      <c r="AX346">
        <v>15</v>
      </c>
      <c r="AY346" s="1">
        <v>44341</v>
      </c>
      <c r="AZ346" s="1">
        <v>44341</v>
      </c>
      <c r="BA346" s="1">
        <v>44341</v>
      </c>
      <c r="BB346" s="1">
        <v>49820</v>
      </c>
      <c r="BC346" t="s">
        <v>51</v>
      </c>
      <c r="BE346" t="s">
        <v>54</v>
      </c>
      <c r="BF346">
        <v>40</v>
      </c>
      <c r="BG346">
        <v>0</v>
      </c>
      <c r="BH346" t="s">
        <v>145</v>
      </c>
      <c r="CC346" t="s">
        <v>173</v>
      </c>
      <c r="CD346">
        <v>100000</v>
      </c>
      <c r="CE346" s="1">
        <v>44341</v>
      </c>
      <c r="CF346" s="1">
        <v>44341</v>
      </c>
      <c r="CG346" s="1">
        <v>44341</v>
      </c>
      <c r="CH346" s="1">
        <v>52822</v>
      </c>
      <c r="CI346" t="s">
        <v>51</v>
      </c>
      <c r="CK346" t="s">
        <v>78</v>
      </c>
      <c r="CM346" t="s">
        <v>54</v>
      </c>
      <c r="CN346" t="s">
        <v>174</v>
      </c>
      <c r="CO346" t="s">
        <v>86</v>
      </c>
      <c r="CP346">
        <v>830</v>
      </c>
      <c r="CR346">
        <v>19</v>
      </c>
      <c r="CS346">
        <v>1800</v>
      </c>
      <c r="CT346">
        <v>0</v>
      </c>
      <c r="CU346">
        <v>16</v>
      </c>
    </row>
    <row r="347" spans="1:99" x14ac:dyDescent="0.2">
      <c r="A347" t="s">
        <v>45</v>
      </c>
      <c r="B347" t="s">
        <v>46</v>
      </c>
      <c r="C347" t="s">
        <v>47</v>
      </c>
      <c r="D347" t="s">
        <v>153</v>
      </c>
      <c r="F347" t="str">
        <f>"253952"</f>
        <v>253952</v>
      </c>
      <c r="G347" t="s">
        <v>49</v>
      </c>
      <c r="H347">
        <v>27</v>
      </c>
      <c r="K347" t="s">
        <v>51</v>
      </c>
      <c r="L347" t="s">
        <v>52</v>
      </c>
      <c r="M347">
        <v>136777.20000000001</v>
      </c>
      <c r="N347">
        <v>473741.12</v>
      </c>
      <c r="O347" t="s">
        <v>53</v>
      </c>
      <c r="P347" t="s">
        <v>54</v>
      </c>
      <c r="Q347" t="s">
        <v>55</v>
      </c>
      <c r="T347" t="s">
        <v>170</v>
      </c>
      <c r="U347">
        <v>40</v>
      </c>
      <c r="V347" s="1">
        <v>42186</v>
      </c>
      <c r="W347" s="1">
        <v>42186</v>
      </c>
      <c r="X347" s="1">
        <v>42186</v>
      </c>
      <c r="Y347" s="1">
        <v>56796</v>
      </c>
      <c r="Z347" t="s">
        <v>51</v>
      </c>
      <c r="AB347" t="s">
        <v>54</v>
      </c>
      <c r="AC347">
        <v>1</v>
      </c>
      <c r="AE347" t="s">
        <v>171</v>
      </c>
      <c r="AF347">
        <v>20</v>
      </c>
      <c r="AG347" s="1">
        <v>42186</v>
      </c>
      <c r="AH347" s="1">
        <v>42186</v>
      </c>
      <c r="AI347" s="1">
        <v>42186</v>
      </c>
      <c r="AJ347" s="1">
        <v>49491</v>
      </c>
      <c r="AK347" t="s">
        <v>51</v>
      </c>
      <c r="AN347">
        <v>0</v>
      </c>
      <c r="AO347" t="s">
        <v>54</v>
      </c>
      <c r="AP347" t="s">
        <v>53</v>
      </c>
      <c r="AQ347">
        <v>0</v>
      </c>
      <c r="AR347" t="s">
        <v>53</v>
      </c>
      <c r="AS347">
        <v>0</v>
      </c>
      <c r="AT347">
        <v>0</v>
      </c>
      <c r="AW347" t="s">
        <v>172</v>
      </c>
      <c r="AX347">
        <v>15</v>
      </c>
      <c r="AY347" s="1">
        <v>44341</v>
      </c>
      <c r="AZ347" s="1">
        <v>44341</v>
      </c>
      <c r="BA347" s="1">
        <v>44341</v>
      </c>
      <c r="BB347" s="1">
        <v>49820</v>
      </c>
      <c r="BC347" t="s">
        <v>51</v>
      </c>
      <c r="BE347" t="s">
        <v>54</v>
      </c>
      <c r="BF347">
        <v>40</v>
      </c>
      <c r="BG347">
        <v>0</v>
      </c>
      <c r="BH347" t="s">
        <v>145</v>
      </c>
      <c r="CC347" t="s">
        <v>173</v>
      </c>
      <c r="CD347">
        <v>100000</v>
      </c>
      <c r="CE347" s="1">
        <v>44341</v>
      </c>
      <c r="CF347" s="1">
        <v>44341</v>
      </c>
      <c r="CG347" s="1">
        <v>44341</v>
      </c>
      <c r="CH347" s="1">
        <v>52822</v>
      </c>
      <c r="CI347" t="s">
        <v>51</v>
      </c>
      <c r="CK347" t="s">
        <v>78</v>
      </c>
      <c r="CM347" t="s">
        <v>54</v>
      </c>
      <c r="CN347" t="s">
        <v>174</v>
      </c>
      <c r="CO347" t="s">
        <v>86</v>
      </c>
      <c r="CP347">
        <v>830</v>
      </c>
      <c r="CR347">
        <v>19</v>
      </c>
      <c r="CS347">
        <v>1800</v>
      </c>
      <c r="CT347">
        <v>0</v>
      </c>
      <c r="CU347">
        <v>16</v>
      </c>
    </row>
    <row r="348" spans="1:99" x14ac:dyDescent="0.2">
      <c r="A348" t="s">
        <v>45</v>
      </c>
      <c r="B348" t="s">
        <v>46</v>
      </c>
      <c r="C348" t="s">
        <v>47</v>
      </c>
      <c r="D348" t="s">
        <v>153</v>
      </c>
      <c r="F348" t="str">
        <f>"253953"</f>
        <v>253953</v>
      </c>
      <c r="G348" t="s">
        <v>49</v>
      </c>
      <c r="H348">
        <v>31</v>
      </c>
      <c r="K348" t="s">
        <v>51</v>
      </c>
      <c r="L348" t="s">
        <v>52</v>
      </c>
      <c r="M348">
        <v>136777.47</v>
      </c>
      <c r="N348">
        <v>473766</v>
      </c>
      <c r="O348" t="s">
        <v>53</v>
      </c>
      <c r="P348" t="s">
        <v>54</v>
      </c>
      <c r="Q348" t="s">
        <v>55</v>
      </c>
      <c r="T348" t="s">
        <v>170</v>
      </c>
      <c r="U348">
        <v>40</v>
      </c>
      <c r="V348" s="1">
        <v>42186</v>
      </c>
      <c r="W348" s="1">
        <v>42186</v>
      </c>
      <c r="X348" s="1">
        <v>42186</v>
      </c>
      <c r="Y348" s="1">
        <v>56796</v>
      </c>
      <c r="Z348" t="s">
        <v>51</v>
      </c>
      <c r="AB348" t="s">
        <v>54</v>
      </c>
      <c r="AC348">
        <v>1</v>
      </c>
      <c r="AE348" t="s">
        <v>171</v>
      </c>
      <c r="AF348">
        <v>20</v>
      </c>
      <c r="AG348" s="1">
        <v>42186</v>
      </c>
      <c r="AH348" s="1">
        <v>42186</v>
      </c>
      <c r="AI348" s="1">
        <v>42186</v>
      </c>
      <c r="AJ348" s="1">
        <v>49491</v>
      </c>
      <c r="AK348" t="s">
        <v>51</v>
      </c>
      <c r="AN348">
        <v>0</v>
      </c>
      <c r="AO348" t="s">
        <v>54</v>
      </c>
      <c r="AP348" t="s">
        <v>53</v>
      </c>
      <c r="AQ348">
        <v>0</v>
      </c>
      <c r="AR348" t="s">
        <v>53</v>
      </c>
      <c r="AS348">
        <v>0</v>
      </c>
      <c r="AT348">
        <v>0</v>
      </c>
      <c r="AW348" t="s">
        <v>172</v>
      </c>
      <c r="AX348">
        <v>15</v>
      </c>
      <c r="AY348" s="1">
        <v>44341</v>
      </c>
      <c r="AZ348" s="1">
        <v>44341</v>
      </c>
      <c r="BA348" s="1">
        <v>44341</v>
      </c>
      <c r="BB348" s="1">
        <v>49820</v>
      </c>
      <c r="BC348" t="s">
        <v>51</v>
      </c>
      <c r="BE348" t="s">
        <v>54</v>
      </c>
      <c r="BF348">
        <v>40</v>
      </c>
      <c r="BG348">
        <v>0</v>
      </c>
      <c r="BH348" t="s">
        <v>145</v>
      </c>
      <c r="CC348" t="s">
        <v>173</v>
      </c>
      <c r="CD348">
        <v>100000</v>
      </c>
      <c r="CE348" s="1">
        <v>44341</v>
      </c>
      <c r="CF348" s="1">
        <v>44341</v>
      </c>
      <c r="CG348" s="1">
        <v>44341</v>
      </c>
      <c r="CH348" s="1">
        <v>52822</v>
      </c>
      <c r="CI348" t="s">
        <v>51</v>
      </c>
      <c r="CK348" t="s">
        <v>78</v>
      </c>
      <c r="CM348" t="s">
        <v>54</v>
      </c>
      <c r="CN348" t="s">
        <v>174</v>
      </c>
      <c r="CO348" t="s">
        <v>86</v>
      </c>
      <c r="CP348">
        <v>830</v>
      </c>
      <c r="CR348">
        <v>19</v>
      </c>
      <c r="CS348">
        <v>1800</v>
      </c>
      <c r="CT348">
        <v>0</v>
      </c>
      <c r="CU348">
        <v>16</v>
      </c>
    </row>
    <row r="349" spans="1:99" x14ac:dyDescent="0.2">
      <c r="A349" t="s">
        <v>45</v>
      </c>
      <c r="B349" t="s">
        <v>46</v>
      </c>
      <c r="C349" t="s">
        <v>47</v>
      </c>
      <c r="D349" t="s">
        <v>153</v>
      </c>
      <c r="F349" t="str">
        <f>"253954"</f>
        <v>253954</v>
      </c>
      <c r="G349" t="s">
        <v>49</v>
      </c>
      <c r="H349">
        <v>45</v>
      </c>
      <c r="K349" t="s">
        <v>51</v>
      </c>
      <c r="L349" t="s">
        <v>52</v>
      </c>
      <c r="M349">
        <v>136776.28</v>
      </c>
      <c r="N349">
        <v>473795.13</v>
      </c>
      <c r="O349" t="s">
        <v>53</v>
      </c>
      <c r="P349" t="s">
        <v>54</v>
      </c>
      <c r="Q349" t="s">
        <v>55</v>
      </c>
      <c r="T349" t="s">
        <v>170</v>
      </c>
      <c r="U349">
        <v>40</v>
      </c>
      <c r="V349" s="1">
        <v>42186</v>
      </c>
      <c r="W349" s="1">
        <v>42186</v>
      </c>
      <c r="X349" s="1">
        <v>42186</v>
      </c>
      <c r="Y349" s="1">
        <v>56796</v>
      </c>
      <c r="Z349" t="s">
        <v>51</v>
      </c>
      <c r="AB349" t="s">
        <v>54</v>
      </c>
      <c r="AC349">
        <v>1</v>
      </c>
      <c r="AE349" t="s">
        <v>171</v>
      </c>
      <c r="AF349">
        <v>20</v>
      </c>
      <c r="AG349" s="1">
        <v>42186</v>
      </c>
      <c r="AH349" s="1">
        <v>42186</v>
      </c>
      <c r="AI349" s="1">
        <v>42186</v>
      </c>
      <c r="AJ349" s="1">
        <v>49491</v>
      </c>
      <c r="AK349" t="s">
        <v>51</v>
      </c>
      <c r="AN349">
        <v>0</v>
      </c>
      <c r="AO349" t="s">
        <v>54</v>
      </c>
      <c r="AP349" t="s">
        <v>53</v>
      </c>
      <c r="AQ349">
        <v>0</v>
      </c>
      <c r="AR349" t="s">
        <v>53</v>
      </c>
      <c r="AS349">
        <v>0</v>
      </c>
      <c r="AT349">
        <v>0</v>
      </c>
      <c r="AW349" t="s">
        <v>172</v>
      </c>
      <c r="AX349">
        <v>15</v>
      </c>
      <c r="AY349" s="1">
        <v>44341</v>
      </c>
      <c r="AZ349" s="1">
        <v>44341</v>
      </c>
      <c r="BA349" s="1">
        <v>44341</v>
      </c>
      <c r="BB349" s="1">
        <v>49820</v>
      </c>
      <c r="BC349" t="s">
        <v>51</v>
      </c>
      <c r="BE349" t="s">
        <v>54</v>
      </c>
      <c r="BF349">
        <v>40</v>
      </c>
      <c r="BG349">
        <v>0</v>
      </c>
      <c r="BH349" t="s">
        <v>145</v>
      </c>
      <c r="CC349" t="s">
        <v>173</v>
      </c>
      <c r="CD349">
        <v>100000</v>
      </c>
      <c r="CE349" s="1">
        <v>44341</v>
      </c>
      <c r="CF349" s="1">
        <v>44341</v>
      </c>
      <c r="CG349" s="1">
        <v>44341</v>
      </c>
      <c r="CH349" s="1">
        <v>52822</v>
      </c>
      <c r="CI349" t="s">
        <v>51</v>
      </c>
      <c r="CK349" t="s">
        <v>78</v>
      </c>
      <c r="CM349" t="s">
        <v>54</v>
      </c>
      <c r="CN349" t="s">
        <v>174</v>
      </c>
      <c r="CO349" t="s">
        <v>86</v>
      </c>
      <c r="CP349">
        <v>830</v>
      </c>
      <c r="CR349">
        <v>19</v>
      </c>
      <c r="CS349">
        <v>1800</v>
      </c>
      <c r="CT349">
        <v>0</v>
      </c>
      <c r="CU349">
        <v>16</v>
      </c>
    </row>
    <row r="350" spans="1:99" x14ac:dyDescent="0.2">
      <c r="A350" t="s">
        <v>45</v>
      </c>
      <c r="B350" t="s">
        <v>46</v>
      </c>
      <c r="C350" t="s">
        <v>47</v>
      </c>
      <c r="D350" t="s">
        <v>153</v>
      </c>
      <c r="F350" t="str">
        <f>"253955"</f>
        <v>253955</v>
      </c>
      <c r="G350" t="s">
        <v>49</v>
      </c>
      <c r="H350">
        <v>49</v>
      </c>
      <c r="K350" t="s">
        <v>51</v>
      </c>
      <c r="L350" t="s">
        <v>52</v>
      </c>
      <c r="M350">
        <v>136775.34</v>
      </c>
      <c r="N350">
        <v>473821.38</v>
      </c>
      <c r="O350" t="s">
        <v>53</v>
      </c>
      <c r="P350" t="s">
        <v>54</v>
      </c>
      <c r="Q350" t="s">
        <v>55</v>
      </c>
      <c r="T350" t="s">
        <v>170</v>
      </c>
      <c r="U350">
        <v>40</v>
      </c>
      <c r="V350" s="1">
        <v>42186</v>
      </c>
      <c r="W350" s="1">
        <v>42186</v>
      </c>
      <c r="X350" s="1">
        <v>42186</v>
      </c>
      <c r="Y350" s="1">
        <v>56796</v>
      </c>
      <c r="Z350" t="s">
        <v>51</v>
      </c>
      <c r="AB350" t="s">
        <v>54</v>
      </c>
      <c r="AC350">
        <v>1</v>
      </c>
      <c r="AE350" t="s">
        <v>171</v>
      </c>
      <c r="AF350">
        <v>20</v>
      </c>
      <c r="AG350" s="1">
        <v>42186</v>
      </c>
      <c r="AH350" s="1">
        <v>42186</v>
      </c>
      <c r="AI350" s="1">
        <v>42186</v>
      </c>
      <c r="AJ350" s="1">
        <v>49491</v>
      </c>
      <c r="AK350" t="s">
        <v>51</v>
      </c>
      <c r="AN350">
        <v>0</v>
      </c>
      <c r="AO350" t="s">
        <v>54</v>
      </c>
      <c r="AP350" t="s">
        <v>53</v>
      </c>
      <c r="AQ350">
        <v>0</v>
      </c>
      <c r="AR350" t="s">
        <v>53</v>
      </c>
      <c r="AS350">
        <v>0</v>
      </c>
      <c r="AT350">
        <v>0</v>
      </c>
      <c r="AW350" t="s">
        <v>172</v>
      </c>
      <c r="AX350">
        <v>15</v>
      </c>
      <c r="AY350" s="1">
        <v>44341</v>
      </c>
      <c r="AZ350" s="1">
        <v>44341</v>
      </c>
      <c r="BA350" s="1">
        <v>44341</v>
      </c>
      <c r="BB350" s="1">
        <v>49820</v>
      </c>
      <c r="BC350" t="s">
        <v>51</v>
      </c>
      <c r="BE350" t="s">
        <v>54</v>
      </c>
      <c r="BF350">
        <v>40</v>
      </c>
      <c r="BG350">
        <v>0</v>
      </c>
      <c r="BH350" t="s">
        <v>145</v>
      </c>
      <c r="CC350" t="s">
        <v>173</v>
      </c>
      <c r="CD350">
        <v>100000</v>
      </c>
      <c r="CE350" s="1">
        <v>44341</v>
      </c>
      <c r="CF350" s="1">
        <v>44341</v>
      </c>
      <c r="CG350" s="1">
        <v>44341</v>
      </c>
      <c r="CH350" s="1">
        <v>52822</v>
      </c>
      <c r="CI350" t="s">
        <v>51</v>
      </c>
      <c r="CK350" t="s">
        <v>78</v>
      </c>
      <c r="CM350" t="s">
        <v>54</v>
      </c>
      <c r="CN350" t="s">
        <v>174</v>
      </c>
      <c r="CO350" t="s">
        <v>86</v>
      </c>
      <c r="CP350">
        <v>830</v>
      </c>
      <c r="CR350">
        <v>19</v>
      </c>
      <c r="CS350">
        <v>1800</v>
      </c>
      <c r="CT350">
        <v>0</v>
      </c>
      <c r="CU350">
        <v>16</v>
      </c>
    </row>
    <row r="351" spans="1:99" x14ac:dyDescent="0.2">
      <c r="A351" t="s">
        <v>45</v>
      </c>
      <c r="B351" t="s">
        <v>46</v>
      </c>
      <c r="C351" t="s">
        <v>47</v>
      </c>
      <c r="D351" t="s">
        <v>153</v>
      </c>
      <c r="F351" t="str">
        <f>"253956"</f>
        <v>253956</v>
      </c>
      <c r="G351" t="s">
        <v>49</v>
      </c>
      <c r="H351">
        <v>51</v>
      </c>
      <c r="I351" t="s">
        <v>340</v>
      </c>
      <c r="K351" t="s">
        <v>51</v>
      </c>
      <c r="L351" t="s">
        <v>52</v>
      </c>
      <c r="M351">
        <v>136774.97</v>
      </c>
      <c r="N351">
        <v>473845.71</v>
      </c>
      <c r="O351" t="s">
        <v>53</v>
      </c>
      <c r="P351" t="s">
        <v>54</v>
      </c>
      <c r="Q351" t="s">
        <v>55</v>
      </c>
      <c r="T351" t="s">
        <v>170</v>
      </c>
      <c r="U351">
        <v>40</v>
      </c>
      <c r="V351" s="1">
        <v>42186</v>
      </c>
      <c r="W351" s="1">
        <v>42186</v>
      </c>
      <c r="X351" s="1">
        <v>42186</v>
      </c>
      <c r="Y351" s="1">
        <v>56796</v>
      </c>
      <c r="Z351" t="s">
        <v>51</v>
      </c>
      <c r="AB351" t="s">
        <v>54</v>
      </c>
      <c r="AC351">
        <v>1</v>
      </c>
      <c r="AE351" t="s">
        <v>171</v>
      </c>
      <c r="AF351">
        <v>20</v>
      </c>
      <c r="AG351" s="1">
        <v>42186</v>
      </c>
      <c r="AH351" s="1">
        <v>42186</v>
      </c>
      <c r="AI351" s="1">
        <v>42186</v>
      </c>
      <c r="AJ351" s="1">
        <v>49491</v>
      </c>
      <c r="AK351" t="s">
        <v>51</v>
      </c>
      <c r="AN351">
        <v>0</v>
      </c>
      <c r="AO351" t="s">
        <v>54</v>
      </c>
      <c r="AP351" t="s">
        <v>53</v>
      </c>
      <c r="AQ351">
        <v>0</v>
      </c>
      <c r="AR351" t="s">
        <v>53</v>
      </c>
      <c r="AS351">
        <v>0</v>
      </c>
      <c r="AT351">
        <v>0</v>
      </c>
      <c r="AW351" t="s">
        <v>172</v>
      </c>
      <c r="AX351">
        <v>15</v>
      </c>
      <c r="AY351" s="1">
        <v>44341</v>
      </c>
      <c r="AZ351" s="1">
        <v>44341</v>
      </c>
      <c r="BA351" s="1">
        <v>44341</v>
      </c>
      <c r="BB351" s="1">
        <v>49820</v>
      </c>
      <c r="BC351" t="s">
        <v>51</v>
      </c>
      <c r="BE351" t="s">
        <v>54</v>
      </c>
      <c r="BF351">
        <v>40</v>
      </c>
      <c r="BG351">
        <v>0</v>
      </c>
      <c r="BH351" t="s">
        <v>145</v>
      </c>
      <c r="CC351" t="s">
        <v>173</v>
      </c>
      <c r="CD351">
        <v>100000</v>
      </c>
      <c r="CE351" s="1">
        <v>44341</v>
      </c>
      <c r="CF351" s="1">
        <v>44341</v>
      </c>
      <c r="CG351" s="1">
        <v>44341</v>
      </c>
      <c r="CH351" s="1">
        <v>52822</v>
      </c>
      <c r="CI351" t="s">
        <v>51</v>
      </c>
      <c r="CK351" t="s">
        <v>78</v>
      </c>
      <c r="CM351" t="s">
        <v>54</v>
      </c>
      <c r="CN351" t="s">
        <v>174</v>
      </c>
      <c r="CO351" t="s">
        <v>86</v>
      </c>
      <c r="CP351">
        <v>830</v>
      </c>
      <c r="CR351">
        <v>19</v>
      </c>
      <c r="CS351">
        <v>1800</v>
      </c>
      <c r="CT351">
        <v>0</v>
      </c>
      <c r="CU351">
        <v>16</v>
      </c>
    </row>
    <row r="352" spans="1:99" x14ac:dyDescent="0.2">
      <c r="A352" t="s">
        <v>45</v>
      </c>
      <c r="B352" t="s">
        <v>46</v>
      </c>
      <c r="C352" t="s">
        <v>47</v>
      </c>
      <c r="D352" t="s">
        <v>153</v>
      </c>
      <c r="F352" t="str">
        <f>"253957"</f>
        <v>253957</v>
      </c>
      <c r="G352" t="s">
        <v>49</v>
      </c>
      <c r="H352" t="s">
        <v>341</v>
      </c>
      <c r="K352" t="s">
        <v>51</v>
      </c>
      <c r="L352" t="s">
        <v>52</v>
      </c>
      <c r="M352">
        <v>136774.04999999999</v>
      </c>
      <c r="N352">
        <v>473877.91</v>
      </c>
      <c r="O352" t="s">
        <v>53</v>
      </c>
      <c r="P352" t="s">
        <v>54</v>
      </c>
      <c r="Q352" t="s">
        <v>55</v>
      </c>
      <c r="T352" t="s">
        <v>170</v>
      </c>
      <c r="U352">
        <v>40</v>
      </c>
      <c r="V352" s="1">
        <v>42186</v>
      </c>
      <c r="W352" s="1">
        <v>42186</v>
      </c>
      <c r="X352" s="1">
        <v>42186</v>
      </c>
      <c r="Y352" s="1">
        <v>56796</v>
      </c>
      <c r="Z352" t="s">
        <v>51</v>
      </c>
      <c r="AB352" t="s">
        <v>54</v>
      </c>
      <c r="AC352">
        <v>1</v>
      </c>
      <c r="AE352" t="s">
        <v>342</v>
      </c>
      <c r="AF352">
        <v>20</v>
      </c>
      <c r="AG352" s="1">
        <v>42186</v>
      </c>
      <c r="AH352" s="1">
        <v>42186</v>
      </c>
      <c r="AI352" s="1">
        <v>42186</v>
      </c>
      <c r="AJ352" s="1">
        <v>49491</v>
      </c>
      <c r="AK352" t="s">
        <v>51</v>
      </c>
      <c r="AN352">
        <v>0</v>
      </c>
      <c r="AO352" t="s">
        <v>54</v>
      </c>
      <c r="AP352" t="s">
        <v>53</v>
      </c>
      <c r="AQ352">
        <v>0</v>
      </c>
      <c r="AR352" t="s">
        <v>145</v>
      </c>
      <c r="AS352">
        <v>19</v>
      </c>
      <c r="AT352">
        <v>1800</v>
      </c>
      <c r="AW352" t="s">
        <v>172</v>
      </c>
      <c r="AX352">
        <v>15</v>
      </c>
      <c r="AY352" s="1">
        <v>44341</v>
      </c>
      <c r="AZ352" s="1">
        <v>44341</v>
      </c>
      <c r="BA352" s="1">
        <v>44341</v>
      </c>
      <c r="BB352" s="1">
        <v>49820</v>
      </c>
      <c r="BC352" t="s">
        <v>51</v>
      </c>
      <c r="BE352" t="s">
        <v>54</v>
      </c>
      <c r="BF352">
        <v>40</v>
      </c>
      <c r="BG352">
        <v>0</v>
      </c>
      <c r="BH352" t="s">
        <v>145</v>
      </c>
      <c r="CC352" t="s">
        <v>173</v>
      </c>
      <c r="CD352">
        <v>100000</v>
      </c>
      <c r="CE352" s="1">
        <v>44341</v>
      </c>
      <c r="CF352" s="1">
        <v>44341</v>
      </c>
      <c r="CG352" s="1">
        <v>44341</v>
      </c>
      <c r="CH352" s="1">
        <v>52822</v>
      </c>
      <c r="CI352" t="s">
        <v>51</v>
      </c>
      <c r="CK352" t="s">
        <v>78</v>
      </c>
      <c r="CM352" t="s">
        <v>54</v>
      </c>
      <c r="CN352" t="s">
        <v>174</v>
      </c>
      <c r="CO352" t="s">
        <v>86</v>
      </c>
      <c r="CP352">
        <v>830</v>
      </c>
      <c r="CR352">
        <v>19</v>
      </c>
      <c r="CS352">
        <v>1800</v>
      </c>
      <c r="CT352">
        <v>0</v>
      </c>
      <c r="CU352">
        <v>16</v>
      </c>
    </row>
    <row r="353" spans="1:99" x14ac:dyDescent="0.2">
      <c r="A353" t="s">
        <v>45</v>
      </c>
      <c r="B353" t="s">
        <v>46</v>
      </c>
      <c r="C353" t="s">
        <v>47</v>
      </c>
      <c r="D353" t="s">
        <v>153</v>
      </c>
      <c r="F353" t="str">
        <f>"253958"</f>
        <v>253958</v>
      </c>
      <c r="G353" t="s">
        <v>49</v>
      </c>
      <c r="H353" t="s">
        <v>343</v>
      </c>
      <c r="K353" t="s">
        <v>51</v>
      </c>
      <c r="L353" t="s">
        <v>52</v>
      </c>
      <c r="M353">
        <v>136773.82999999999</v>
      </c>
      <c r="N353">
        <v>473900.22</v>
      </c>
      <c r="O353" t="s">
        <v>53</v>
      </c>
      <c r="P353" t="s">
        <v>54</v>
      </c>
      <c r="Q353" t="s">
        <v>55</v>
      </c>
      <c r="T353" t="s">
        <v>170</v>
      </c>
      <c r="U353">
        <v>40</v>
      </c>
      <c r="V353" s="1">
        <v>42186</v>
      </c>
      <c r="W353" s="1">
        <v>42186</v>
      </c>
      <c r="X353" s="1">
        <v>42186</v>
      </c>
      <c r="Y353" s="1">
        <v>56796</v>
      </c>
      <c r="Z353" t="s">
        <v>51</v>
      </c>
      <c r="AB353" t="s">
        <v>54</v>
      </c>
      <c r="AC353">
        <v>1</v>
      </c>
      <c r="AE353" t="s">
        <v>171</v>
      </c>
      <c r="AF353">
        <v>20</v>
      </c>
      <c r="AG353" s="1">
        <v>42186</v>
      </c>
      <c r="AH353" s="1">
        <v>42186</v>
      </c>
      <c r="AI353" s="1">
        <v>42186</v>
      </c>
      <c r="AJ353" s="1">
        <v>49491</v>
      </c>
      <c r="AK353" t="s">
        <v>51</v>
      </c>
      <c r="AN353">
        <v>0</v>
      </c>
      <c r="AO353" t="s">
        <v>54</v>
      </c>
      <c r="AP353" t="s">
        <v>53</v>
      </c>
      <c r="AQ353">
        <v>0</v>
      </c>
      <c r="AR353" t="s">
        <v>53</v>
      </c>
      <c r="AS353">
        <v>0</v>
      </c>
      <c r="AT353">
        <v>0</v>
      </c>
      <c r="AW353" t="s">
        <v>172</v>
      </c>
      <c r="AX353">
        <v>15</v>
      </c>
      <c r="AY353" s="1">
        <v>44341</v>
      </c>
      <c r="AZ353" s="1">
        <v>44341</v>
      </c>
      <c r="BA353" s="1">
        <v>44341</v>
      </c>
      <c r="BB353" s="1">
        <v>49820</v>
      </c>
      <c r="BC353" t="s">
        <v>51</v>
      </c>
      <c r="BE353" t="s">
        <v>54</v>
      </c>
      <c r="BF353">
        <v>40</v>
      </c>
      <c r="BG353">
        <v>0</v>
      </c>
      <c r="BH353" t="s">
        <v>145</v>
      </c>
      <c r="CC353" t="s">
        <v>173</v>
      </c>
      <c r="CD353">
        <v>100000</v>
      </c>
      <c r="CE353" s="1">
        <v>44341</v>
      </c>
      <c r="CF353" s="1">
        <v>44341</v>
      </c>
      <c r="CG353" s="1">
        <v>44341</v>
      </c>
      <c r="CH353" s="1">
        <v>52822</v>
      </c>
      <c r="CI353" t="s">
        <v>51</v>
      </c>
      <c r="CK353" t="s">
        <v>78</v>
      </c>
      <c r="CM353" t="s">
        <v>54</v>
      </c>
      <c r="CN353" t="s">
        <v>174</v>
      </c>
      <c r="CO353" t="s">
        <v>86</v>
      </c>
      <c r="CP353">
        <v>830</v>
      </c>
      <c r="CR353">
        <v>19</v>
      </c>
      <c r="CS353">
        <v>1800</v>
      </c>
      <c r="CT353">
        <v>0</v>
      </c>
      <c r="CU353">
        <v>16</v>
      </c>
    </row>
    <row r="354" spans="1:99" x14ac:dyDescent="0.2">
      <c r="A354" t="s">
        <v>45</v>
      </c>
      <c r="B354" t="s">
        <v>46</v>
      </c>
      <c r="C354" t="s">
        <v>47</v>
      </c>
      <c r="D354" t="s">
        <v>153</v>
      </c>
      <c r="F354" t="str">
        <f>"253959"</f>
        <v>253959</v>
      </c>
      <c r="G354" t="s">
        <v>49</v>
      </c>
      <c r="H354" t="s">
        <v>343</v>
      </c>
      <c r="K354" t="s">
        <v>51</v>
      </c>
      <c r="L354" t="s">
        <v>52</v>
      </c>
      <c r="M354">
        <v>136773.14000000001</v>
      </c>
      <c r="N354">
        <v>473925.91</v>
      </c>
      <c r="O354" t="s">
        <v>53</v>
      </c>
      <c r="P354" t="s">
        <v>54</v>
      </c>
      <c r="Q354" t="s">
        <v>55</v>
      </c>
      <c r="T354" t="s">
        <v>170</v>
      </c>
      <c r="U354">
        <v>40</v>
      </c>
      <c r="V354" s="1">
        <v>42186</v>
      </c>
      <c r="W354" s="1">
        <v>42186</v>
      </c>
      <c r="X354" s="1">
        <v>42186</v>
      </c>
      <c r="Y354" s="1">
        <v>56796</v>
      </c>
      <c r="Z354" t="s">
        <v>51</v>
      </c>
      <c r="AB354" t="s">
        <v>54</v>
      </c>
      <c r="AC354">
        <v>1</v>
      </c>
      <c r="AE354" t="s">
        <v>171</v>
      </c>
      <c r="AF354">
        <v>20</v>
      </c>
      <c r="AG354" s="1">
        <v>42186</v>
      </c>
      <c r="AH354" s="1">
        <v>42186</v>
      </c>
      <c r="AI354" s="1">
        <v>42186</v>
      </c>
      <c r="AJ354" s="1">
        <v>49491</v>
      </c>
      <c r="AK354" t="s">
        <v>51</v>
      </c>
      <c r="AN354">
        <v>0</v>
      </c>
      <c r="AO354" t="s">
        <v>54</v>
      </c>
      <c r="AP354" t="s">
        <v>53</v>
      </c>
      <c r="AQ354">
        <v>0</v>
      </c>
      <c r="AR354" t="s">
        <v>53</v>
      </c>
      <c r="AS354">
        <v>0</v>
      </c>
      <c r="AT354">
        <v>0</v>
      </c>
      <c r="AW354" t="s">
        <v>172</v>
      </c>
      <c r="AX354">
        <v>15</v>
      </c>
      <c r="AY354" s="1">
        <v>44865</v>
      </c>
      <c r="AZ354" s="1">
        <v>44865</v>
      </c>
      <c r="BA354" s="1">
        <v>44865</v>
      </c>
      <c r="BB354" s="1">
        <v>50344</v>
      </c>
      <c r="BC354" t="s">
        <v>51</v>
      </c>
      <c r="BE354" t="s">
        <v>54</v>
      </c>
      <c r="BF354">
        <v>40</v>
      </c>
      <c r="BG354">
        <v>0</v>
      </c>
      <c r="BH354" t="s">
        <v>145</v>
      </c>
      <c r="CC354" t="s">
        <v>173</v>
      </c>
      <c r="CD354">
        <v>100000</v>
      </c>
      <c r="CE354" s="1">
        <v>44341</v>
      </c>
      <c r="CF354" s="1">
        <v>44341</v>
      </c>
      <c r="CG354" s="1">
        <v>44865</v>
      </c>
      <c r="CH354" s="1">
        <v>52822</v>
      </c>
      <c r="CI354" t="s">
        <v>51</v>
      </c>
      <c r="CK354" t="s">
        <v>78</v>
      </c>
      <c r="CM354" t="s">
        <v>54</v>
      </c>
      <c r="CN354" t="s">
        <v>174</v>
      </c>
      <c r="CO354" t="s">
        <v>86</v>
      </c>
      <c r="CP354">
        <v>830</v>
      </c>
      <c r="CR354">
        <v>19</v>
      </c>
      <c r="CS354">
        <v>1800</v>
      </c>
      <c r="CT354">
        <v>0</v>
      </c>
      <c r="CU354">
        <v>16</v>
      </c>
    </row>
    <row r="355" spans="1:99" x14ac:dyDescent="0.2">
      <c r="A355" t="s">
        <v>45</v>
      </c>
      <c r="B355" t="s">
        <v>46</v>
      </c>
      <c r="C355" t="s">
        <v>47</v>
      </c>
      <c r="D355" t="s">
        <v>153</v>
      </c>
      <c r="F355" t="str">
        <f>"253962"</f>
        <v>253962</v>
      </c>
      <c r="G355" t="s">
        <v>49</v>
      </c>
      <c r="H355" t="s">
        <v>344</v>
      </c>
      <c r="I355" t="s">
        <v>345</v>
      </c>
      <c r="K355" t="s">
        <v>51</v>
      </c>
      <c r="L355" t="s">
        <v>52</v>
      </c>
      <c r="M355">
        <v>136768.76999999999</v>
      </c>
      <c r="N355">
        <v>474003.83</v>
      </c>
      <c r="O355" t="s">
        <v>53</v>
      </c>
      <c r="P355" t="s">
        <v>54</v>
      </c>
      <c r="Q355" t="s">
        <v>55</v>
      </c>
      <c r="T355" t="s">
        <v>170</v>
      </c>
      <c r="U355">
        <v>40</v>
      </c>
      <c r="V355" s="1">
        <v>42186</v>
      </c>
      <c r="W355" s="1">
        <v>42186</v>
      </c>
      <c r="X355" s="1">
        <v>42186</v>
      </c>
      <c r="Y355" s="1">
        <v>56796</v>
      </c>
      <c r="Z355" t="s">
        <v>51</v>
      </c>
      <c r="AB355" t="s">
        <v>54</v>
      </c>
      <c r="AC355">
        <v>1</v>
      </c>
      <c r="AE355" t="s">
        <v>171</v>
      </c>
      <c r="AF355">
        <v>20</v>
      </c>
      <c r="AG355" s="1">
        <v>42186</v>
      </c>
      <c r="AH355" s="1">
        <v>42186</v>
      </c>
      <c r="AI355" s="1">
        <v>42186</v>
      </c>
      <c r="AJ355" s="1">
        <v>49491</v>
      </c>
      <c r="AK355" t="s">
        <v>51</v>
      </c>
      <c r="AN355">
        <v>0</v>
      </c>
      <c r="AO355" t="s">
        <v>54</v>
      </c>
      <c r="AP355" t="s">
        <v>53</v>
      </c>
      <c r="AQ355">
        <v>0</v>
      </c>
      <c r="AR355" t="s">
        <v>53</v>
      </c>
      <c r="AS355">
        <v>0</v>
      </c>
      <c r="AT355">
        <v>0</v>
      </c>
      <c r="AW355" t="s">
        <v>172</v>
      </c>
      <c r="AX355">
        <v>15</v>
      </c>
      <c r="AY355" s="1">
        <v>44341</v>
      </c>
      <c r="AZ355" s="1">
        <v>44341</v>
      </c>
      <c r="BA355" s="1">
        <v>44341</v>
      </c>
      <c r="BB355" s="1">
        <v>49820</v>
      </c>
      <c r="BC355" t="s">
        <v>51</v>
      </c>
      <c r="BE355" t="s">
        <v>54</v>
      </c>
      <c r="BF355">
        <v>40</v>
      </c>
      <c r="BG355">
        <v>0</v>
      </c>
      <c r="BH355" t="s">
        <v>145</v>
      </c>
      <c r="CC355" t="s">
        <v>173</v>
      </c>
      <c r="CD355">
        <v>100000</v>
      </c>
      <c r="CE355" s="1">
        <v>44341</v>
      </c>
      <c r="CF355" s="1">
        <v>44341</v>
      </c>
      <c r="CG355" s="1">
        <v>44341</v>
      </c>
      <c r="CH355" s="1">
        <v>52822</v>
      </c>
      <c r="CI355" t="s">
        <v>51</v>
      </c>
      <c r="CK355" t="s">
        <v>78</v>
      </c>
      <c r="CM355" t="s">
        <v>54</v>
      </c>
      <c r="CN355" t="s">
        <v>174</v>
      </c>
      <c r="CO355" t="s">
        <v>86</v>
      </c>
      <c r="CP355">
        <v>830</v>
      </c>
      <c r="CR355">
        <v>19</v>
      </c>
      <c r="CS355">
        <v>1800</v>
      </c>
      <c r="CT355">
        <v>0</v>
      </c>
      <c r="CU355">
        <v>16</v>
      </c>
    </row>
    <row r="356" spans="1:99" x14ac:dyDescent="0.2">
      <c r="A356" t="s">
        <v>45</v>
      </c>
      <c r="B356" t="s">
        <v>46</v>
      </c>
      <c r="C356" t="s">
        <v>47</v>
      </c>
      <c r="D356" t="s">
        <v>153</v>
      </c>
      <c r="F356" t="str">
        <f>"253963"</f>
        <v>253963</v>
      </c>
      <c r="G356" t="s">
        <v>49</v>
      </c>
      <c r="H356" t="s">
        <v>346</v>
      </c>
      <c r="K356" t="s">
        <v>51</v>
      </c>
      <c r="L356" t="s">
        <v>52</v>
      </c>
      <c r="M356">
        <v>136767.59</v>
      </c>
      <c r="N356">
        <v>474031.81</v>
      </c>
      <c r="O356" t="s">
        <v>53</v>
      </c>
      <c r="P356" t="s">
        <v>54</v>
      </c>
      <c r="Q356" t="s">
        <v>55</v>
      </c>
      <c r="T356" t="s">
        <v>170</v>
      </c>
      <c r="U356">
        <v>40</v>
      </c>
      <c r="V356" s="1">
        <v>42186</v>
      </c>
      <c r="W356" s="1">
        <v>42186</v>
      </c>
      <c r="X356" s="1">
        <v>42186</v>
      </c>
      <c r="Y356" s="1">
        <v>56796</v>
      </c>
      <c r="Z356" t="s">
        <v>51</v>
      </c>
      <c r="AB356" t="s">
        <v>54</v>
      </c>
      <c r="AC356">
        <v>1</v>
      </c>
      <c r="AE356" t="s">
        <v>171</v>
      </c>
      <c r="AF356">
        <v>20</v>
      </c>
      <c r="AG356" s="1">
        <v>42186</v>
      </c>
      <c r="AH356" s="1">
        <v>42186</v>
      </c>
      <c r="AI356" s="1">
        <v>42186</v>
      </c>
      <c r="AJ356" s="1">
        <v>49491</v>
      </c>
      <c r="AK356" t="s">
        <v>51</v>
      </c>
      <c r="AN356">
        <v>0</v>
      </c>
      <c r="AO356" t="s">
        <v>54</v>
      </c>
      <c r="AP356" t="s">
        <v>53</v>
      </c>
      <c r="AQ356">
        <v>0</v>
      </c>
      <c r="AR356" t="s">
        <v>53</v>
      </c>
      <c r="AS356">
        <v>0</v>
      </c>
      <c r="AT356">
        <v>0</v>
      </c>
      <c r="AW356" t="s">
        <v>172</v>
      </c>
      <c r="AX356">
        <v>15</v>
      </c>
      <c r="AY356" s="1">
        <v>44341</v>
      </c>
      <c r="AZ356" s="1">
        <v>44341</v>
      </c>
      <c r="BA356" s="1">
        <v>44341</v>
      </c>
      <c r="BB356" s="1">
        <v>49820</v>
      </c>
      <c r="BC356" t="s">
        <v>51</v>
      </c>
      <c r="BE356" t="s">
        <v>54</v>
      </c>
      <c r="BF356">
        <v>40</v>
      </c>
      <c r="BG356">
        <v>0</v>
      </c>
      <c r="BH356" t="s">
        <v>145</v>
      </c>
      <c r="CC356" t="s">
        <v>173</v>
      </c>
      <c r="CD356">
        <v>100000</v>
      </c>
      <c r="CE356" s="1">
        <v>44341</v>
      </c>
      <c r="CF356" s="1">
        <v>44341</v>
      </c>
      <c r="CG356" s="1">
        <v>44341</v>
      </c>
      <c r="CH356" s="1">
        <v>52822</v>
      </c>
      <c r="CI356" t="s">
        <v>51</v>
      </c>
      <c r="CK356" t="s">
        <v>78</v>
      </c>
      <c r="CM356" t="s">
        <v>54</v>
      </c>
      <c r="CN356" t="s">
        <v>174</v>
      </c>
      <c r="CO356" t="s">
        <v>86</v>
      </c>
      <c r="CP356">
        <v>830</v>
      </c>
      <c r="CR356">
        <v>19</v>
      </c>
      <c r="CS356">
        <v>1800</v>
      </c>
      <c r="CT356">
        <v>0</v>
      </c>
      <c r="CU356">
        <v>16</v>
      </c>
    </row>
    <row r="357" spans="1:99" x14ac:dyDescent="0.2">
      <c r="A357" t="s">
        <v>45</v>
      </c>
      <c r="B357" t="s">
        <v>46</v>
      </c>
      <c r="C357" t="s">
        <v>47</v>
      </c>
      <c r="D357" t="s">
        <v>153</v>
      </c>
      <c r="F357" t="str">
        <f>"253964"</f>
        <v>253964</v>
      </c>
      <c r="G357" t="s">
        <v>49</v>
      </c>
      <c r="H357" t="s">
        <v>346</v>
      </c>
      <c r="K357" t="s">
        <v>51</v>
      </c>
      <c r="L357" t="s">
        <v>52</v>
      </c>
      <c r="M357">
        <v>136767.04999999999</v>
      </c>
      <c r="N357">
        <v>474058.06</v>
      </c>
      <c r="O357" t="s">
        <v>53</v>
      </c>
      <c r="P357" t="s">
        <v>54</v>
      </c>
      <c r="Q357" t="s">
        <v>55</v>
      </c>
      <c r="T357" t="s">
        <v>170</v>
      </c>
      <c r="U357">
        <v>40</v>
      </c>
      <c r="V357" s="1">
        <v>42186</v>
      </c>
      <c r="W357" s="1">
        <v>42186</v>
      </c>
      <c r="X357" s="1">
        <v>42186</v>
      </c>
      <c r="Y357" s="1">
        <v>56796</v>
      </c>
      <c r="Z357" t="s">
        <v>51</v>
      </c>
      <c r="AB357" t="s">
        <v>54</v>
      </c>
      <c r="AC357">
        <v>1</v>
      </c>
      <c r="AE357" t="s">
        <v>171</v>
      </c>
      <c r="AF357">
        <v>20</v>
      </c>
      <c r="AG357" s="1">
        <v>42186</v>
      </c>
      <c r="AH357" s="1">
        <v>42186</v>
      </c>
      <c r="AI357" s="1">
        <v>42186</v>
      </c>
      <c r="AJ357" s="1">
        <v>49491</v>
      </c>
      <c r="AK357" t="s">
        <v>51</v>
      </c>
      <c r="AN357">
        <v>0</v>
      </c>
      <c r="AO357" t="s">
        <v>54</v>
      </c>
      <c r="AP357" t="s">
        <v>53</v>
      </c>
      <c r="AQ357">
        <v>0</v>
      </c>
      <c r="AR357" t="s">
        <v>53</v>
      </c>
      <c r="AS357">
        <v>0</v>
      </c>
      <c r="AT357">
        <v>0</v>
      </c>
      <c r="AW357" t="s">
        <v>172</v>
      </c>
      <c r="AX357">
        <v>15</v>
      </c>
      <c r="AY357" s="1">
        <v>44341</v>
      </c>
      <c r="AZ357" s="1">
        <v>44341</v>
      </c>
      <c r="BA357" s="1">
        <v>44341</v>
      </c>
      <c r="BB357" s="1">
        <v>49820</v>
      </c>
      <c r="BC357" t="s">
        <v>51</v>
      </c>
      <c r="BE357" t="s">
        <v>54</v>
      </c>
      <c r="BF357">
        <v>40</v>
      </c>
      <c r="BG357">
        <v>0</v>
      </c>
      <c r="BH357" t="s">
        <v>145</v>
      </c>
      <c r="CC357" t="s">
        <v>173</v>
      </c>
      <c r="CD357">
        <v>100000</v>
      </c>
      <c r="CE357" s="1">
        <v>44341</v>
      </c>
      <c r="CF357" s="1">
        <v>44341</v>
      </c>
      <c r="CG357" s="1">
        <v>44341</v>
      </c>
      <c r="CH357" s="1">
        <v>52822</v>
      </c>
      <c r="CI357" t="s">
        <v>51</v>
      </c>
      <c r="CK357" t="s">
        <v>78</v>
      </c>
      <c r="CM357" t="s">
        <v>54</v>
      </c>
      <c r="CN357" t="s">
        <v>174</v>
      </c>
      <c r="CO357" t="s">
        <v>86</v>
      </c>
      <c r="CP357">
        <v>830</v>
      </c>
      <c r="CR357">
        <v>19</v>
      </c>
      <c r="CS357">
        <v>1800</v>
      </c>
      <c r="CT357">
        <v>0</v>
      </c>
      <c r="CU357">
        <v>16</v>
      </c>
    </row>
    <row r="358" spans="1:99" x14ac:dyDescent="0.2">
      <c r="A358" t="s">
        <v>45</v>
      </c>
      <c r="B358" t="s">
        <v>46</v>
      </c>
      <c r="C358" t="s">
        <v>47</v>
      </c>
      <c r="D358" t="s">
        <v>153</v>
      </c>
      <c r="F358" t="str">
        <f>"253965"</f>
        <v>253965</v>
      </c>
      <c r="G358" t="s">
        <v>49</v>
      </c>
      <c r="H358" t="s">
        <v>346</v>
      </c>
      <c r="K358" t="s">
        <v>51</v>
      </c>
      <c r="L358" t="s">
        <v>52</v>
      </c>
      <c r="M358">
        <v>136765.84</v>
      </c>
      <c r="N358">
        <v>474084.59</v>
      </c>
      <c r="O358" t="s">
        <v>53</v>
      </c>
      <c r="P358" t="s">
        <v>54</v>
      </c>
      <c r="Q358" t="s">
        <v>55</v>
      </c>
      <c r="T358" t="s">
        <v>170</v>
      </c>
      <c r="U358">
        <v>40</v>
      </c>
      <c r="V358" s="1">
        <v>42186</v>
      </c>
      <c r="W358" s="1">
        <v>42186</v>
      </c>
      <c r="X358" s="1">
        <v>42186</v>
      </c>
      <c r="Y358" s="1">
        <v>56796</v>
      </c>
      <c r="Z358" t="s">
        <v>51</v>
      </c>
      <c r="AB358" t="s">
        <v>54</v>
      </c>
      <c r="AC358">
        <v>1</v>
      </c>
      <c r="AE358" t="s">
        <v>171</v>
      </c>
      <c r="AF358">
        <v>20</v>
      </c>
      <c r="AG358" s="1">
        <v>42186</v>
      </c>
      <c r="AH358" s="1">
        <v>42186</v>
      </c>
      <c r="AI358" s="1">
        <v>42186</v>
      </c>
      <c r="AJ358" s="1">
        <v>49491</v>
      </c>
      <c r="AK358" t="s">
        <v>51</v>
      </c>
      <c r="AN358">
        <v>0</v>
      </c>
      <c r="AO358" t="s">
        <v>54</v>
      </c>
      <c r="AP358" t="s">
        <v>53</v>
      </c>
      <c r="AQ358">
        <v>0</v>
      </c>
      <c r="AR358" t="s">
        <v>53</v>
      </c>
      <c r="AS358">
        <v>0</v>
      </c>
      <c r="AT358">
        <v>0</v>
      </c>
      <c r="AW358" t="s">
        <v>172</v>
      </c>
      <c r="AX358">
        <v>15</v>
      </c>
      <c r="AY358" s="1">
        <v>44341</v>
      </c>
      <c r="AZ358" s="1">
        <v>44341</v>
      </c>
      <c r="BA358" s="1">
        <v>44341</v>
      </c>
      <c r="BB358" s="1">
        <v>49820</v>
      </c>
      <c r="BC358" t="s">
        <v>51</v>
      </c>
      <c r="BE358" t="s">
        <v>54</v>
      </c>
      <c r="BF358">
        <v>40</v>
      </c>
      <c r="BG358">
        <v>0</v>
      </c>
      <c r="BH358" t="s">
        <v>145</v>
      </c>
      <c r="CC358" t="s">
        <v>173</v>
      </c>
      <c r="CD358">
        <v>100000</v>
      </c>
      <c r="CE358" s="1">
        <v>44341</v>
      </c>
      <c r="CF358" s="1">
        <v>44341</v>
      </c>
      <c r="CG358" s="1">
        <v>44341</v>
      </c>
      <c r="CH358" s="1">
        <v>52822</v>
      </c>
      <c r="CI358" t="s">
        <v>51</v>
      </c>
      <c r="CK358" t="s">
        <v>78</v>
      </c>
      <c r="CM358" t="s">
        <v>54</v>
      </c>
      <c r="CN358" t="s">
        <v>174</v>
      </c>
      <c r="CO358" t="s">
        <v>86</v>
      </c>
      <c r="CP358">
        <v>830</v>
      </c>
      <c r="CR358">
        <v>19</v>
      </c>
      <c r="CS358">
        <v>1800</v>
      </c>
      <c r="CT358">
        <v>0</v>
      </c>
      <c r="CU358">
        <v>16</v>
      </c>
    </row>
    <row r="359" spans="1:99" x14ac:dyDescent="0.2">
      <c r="A359" t="s">
        <v>45</v>
      </c>
      <c r="B359" t="s">
        <v>46</v>
      </c>
      <c r="C359" t="s">
        <v>47</v>
      </c>
      <c r="D359" t="s">
        <v>153</v>
      </c>
      <c r="F359" t="str">
        <f>"253966"</f>
        <v>253966</v>
      </c>
      <c r="G359" t="s">
        <v>49</v>
      </c>
      <c r="K359" t="s">
        <v>51</v>
      </c>
      <c r="L359" t="s">
        <v>52</v>
      </c>
      <c r="M359">
        <v>136764.59</v>
      </c>
      <c r="N359">
        <v>474111.59</v>
      </c>
      <c r="O359" t="s">
        <v>53</v>
      </c>
      <c r="P359" t="s">
        <v>54</v>
      </c>
      <c r="Q359" t="s">
        <v>55</v>
      </c>
      <c r="T359" t="s">
        <v>170</v>
      </c>
      <c r="U359">
        <v>40</v>
      </c>
      <c r="V359" s="1">
        <v>42186</v>
      </c>
      <c r="W359" s="1">
        <v>42186</v>
      </c>
      <c r="X359" s="1">
        <v>42186</v>
      </c>
      <c r="Y359" s="1">
        <v>56796</v>
      </c>
      <c r="Z359" t="s">
        <v>51</v>
      </c>
      <c r="AB359" t="s">
        <v>54</v>
      </c>
      <c r="AC359">
        <v>1</v>
      </c>
      <c r="AE359" t="s">
        <v>171</v>
      </c>
      <c r="AF359">
        <v>20</v>
      </c>
      <c r="AG359" s="1">
        <v>42186</v>
      </c>
      <c r="AH359" s="1">
        <v>42186</v>
      </c>
      <c r="AI359" s="1">
        <v>42186</v>
      </c>
      <c r="AJ359" s="1">
        <v>49491</v>
      </c>
      <c r="AK359" t="s">
        <v>51</v>
      </c>
      <c r="AN359">
        <v>0</v>
      </c>
      <c r="AO359" t="s">
        <v>54</v>
      </c>
      <c r="AP359" t="s">
        <v>53</v>
      </c>
      <c r="AQ359">
        <v>0</v>
      </c>
      <c r="AR359" t="s">
        <v>53</v>
      </c>
      <c r="AS359">
        <v>0</v>
      </c>
      <c r="AT359">
        <v>0</v>
      </c>
      <c r="AW359" t="s">
        <v>172</v>
      </c>
      <c r="AX359">
        <v>15</v>
      </c>
      <c r="AY359" s="1">
        <v>44341</v>
      </c>
      <c r="AZ359" s="1">
        <v>44341</v>
      </c>
      <c r="BA359" s="1">
        <v>44341</v>
      </c>
      <c r="BB359" s="1">
        <v>49820</v>
      </c>
      <c r="BC359" t="s">
        <v>51</v>
      </c>
      <c r="BE359" t="s">
        <v>54</v>
      </c>
      <c r="BF359">
        <v>40</v>
      </c>
      <c r="BG359">
        <v>0</v>
      </c>
      <c r="BH359" t="s">
        <v>145</v>
      </c>
      <c r="CC359" t="s">
        <v>173</v>
      </c>
      <c r="CD359">
        <v>100000</v>
      </c>
      <c r="CE359" s="1">
        <v>44341</v>
      </c>
      <c r="CF359" s="1">
        <v>44341</v>
      </c>
      <c r="CG359" s="1">
        <v>44341</v>
      </c>
      <c r="CH359" s="1">
        <v>52822</v>
      </c>
      <c r="CI359" t="s">
        <v>51</v>
      </c>
      <c r="CK359" t="s">
        <v>78</v>
      </c>
      <c r="CM359" t="s">
        <v>54</v>
      </c>
      <c r="CN359" t="s">
        <v>174</v>
      </c>
      <c r="CO359" t="s">
        <v>86</v>
      </c>
      <c r="CP359">
        <v>830</v>
      </c>
      <c r="CR359">
        <v>19</v>
      </c>
      <c r="CS359">
        <v>1800</v>
      </c>
      <c r="CT359">
        <v>0</v>
      </c>
      <c r="CU359">
        <v>16</v>
      </c>
    </row>
    <row r="360" spans="1:99" x14ac:dyDescent="0.2">
      <c r="A360" t="s">
        <v>45</v>
      </c>
      <c r="B360" t="s">
        <v>46</v>
      </c>
      <c r="C360" t="s">
        <v>47</v>
      </c>
      <c r="D360" t="s">
        <v>153</v>
      </c>
      <c r="F360" t="str">
        <f>"253967"</f>
        <v>253967</v>
      </c>
      <c r="G360" t="s">
        <v>49</v>
      </c>
      <c r="H360" t="s">
        <v>347</v>
      </c>
      <c r="K360" t="s">
        <v>51</v>
      </c>
      <c r="L360" t="s">
        <v>52</v>
      </c>
      <c r="M360">
        <v>136763.18</v>
      </c>
      <c r="N360">
        <v>474136.69</v>
      </c>
      <c r="O360" t="s">
        <v>53</v>
      </c>
      <c r="P360" t="s">
        <v>54</v>
      </c>
      <c r="Q360" t="s">
        <v>55</v>
      </c>
      <c r="T360" t="s">
        <v>170</v>
      </c>
      <c r="U360">
        <v>40</v>
      </c>
      <c r="V360" s="1">
        <v>42186</v>
      </c>
      <c r="W360" s="1">
        <v>42186</v>
      </c>
      <c r="X360" s="1">
        <v>42186</v>
      </c>
      <c r="Y360" s="1">
        <v>56796</v>
      </c>
      <c r="Z360" t="s">
        <v>51</v>
      </c>
      <c r="AB360" t="s">
        <v>54</v>
      </c>
      <c r="AC360">
        <v>1</v>
      </c>
      <c r="AE360" t="s">
        <v>171</v>
      </c>
      <c r="AF360">
        <v>20</v>
      </c>
      <c r="AG360" s="1">
        <v>42186</v>
      </c>
      <c r="AH360" s="1">
        <v>42186</v>
      </c>
      <c r="AI360" s="1">
        <v>42186</v>
      </c>
      <c r="AJ360" s="1">
        <v>49491</v>
      </c>
      <c r="AK360" t="s">
        <v>51</v>
      </c>
      <c r="AN360">
        <v>0</v>
      </c>
      <c r="AO360" t="s">
        <v>54</v>
      </c>
      <c r="AP360" t="s">
        <v>53</v>
      </c>
      <c r="AQ360">
        <v>0</v>
      </c>
      <c r="AR360" t="s">
        <v>53</v>
      </c>
      <c r="AS360">
        <v>0</v>
      </c>
      <c r="AT360">
        <v>0</v>
      </c>
      <c r="AW360" t="s">
        <v>172</v>
      </c>
      <c r="AX360">
        <v>15</v>
      </c>
      <c r="AY360" s="1">
        <v>44341</v>
      </c>
      <c r="AZ360" s="1">
        <v>44341</v>
      </c>
      <c r="BA360" s="1">
        <v>44341</v>
      </c>
      <c r="BB360" s="1">
        <v>49820</v>
      </c>
      <c r="BC360" t="s">
        <v>51</v>
      </c>
      <c r="BE360" t="s">
        <v>54</v>
      </c>
      <c r="BF360">
        <v>40</v>
      </c>
      <c r="BG360">
        <v>0</v>
      </c>
      <c r="BH360" t="s">
        <v>145</v>
      </c>
      <c r="CC360" t="s">
        <v>173</v>
      </c>
      <c r="CD360">
        <v>100000</v>
      </c>
      <c r="CE360" s="1">
        <v>44341</v>
      </c>
      <c r="CF360" s="1">
        <v>44341</v>
      </c>
      <c r="CG360" s="1">
        <v>44341</v>
      </c>
      <c r="CH360" s="1">
        <v>52822</v>
      </c>
      <c r="CI360" t="s">
        <v>51</v>
      </c>
      <c r="CK360" t="s">
        <v>78</v>
      </c>
      <c r="CM360" t="s">
        <v>54</v>
      </c>
      <c r="CN360" t="s">
        <v>174</v>
      </c>
      <c r="CO360" t="s">
        <v>86</v>
      </c>
      <c r="CP360">
        <v>830</v>
      </c>
      <c r="CR360">
        <v>19</v>
      </c>
      <c r="CS360">
        <v>1800</v>
      </c>
      <c r="CT360">
        <v>0</v>
      </c>
      <c r="CU360">
        <v>16</v>
      </c>
    </row>
    <row r="361" spans="1:99" x14ac:dyDescent="0.2">
      <c r="A361" t="s">
        <v>45</v>
      </c>
      <c r="B361" t="s">
        <v>46</v>
      </c>
      <c r="C361" t="s">
        <v>47</v>
      </c>
      <c r="D361" t="s">
        <v>153</v>
      </c>
      <c r="F361" t="str">
        <f>"253968"</f>
        <v>253968</v>
      </c>
      <c r="G361" t="s">
        <v>49</v>
      </c>
      <c r="H361" t="s">
        <v>348</v>
      </c>
      <c r="K361" t="s">
        <v>51</v>
      </c>
      <c r="L361" t="s">
        <v>52</v>
      </c>
      <c r="M361">
        <v>136762.35999999999</v>
      </c>
      <c r="N361">
        <v>474163.59</v>
      </c>
      <c r="O361" t="s">
        <v>53</v>
      </c>
      <c r="P361" t="s">
        <v>54</v>
      </c>
      <c r="Q361" t="s">
        <v>55</v>
      </c>
      <c r="T361" t="s">
        <v>170</v>
      </c>
      <c r="U361">
        <v>40</v>
      </c>
      <c r="V361" s="1">
        <v>42186</v>
      </c>
      <c r="W361" s="1">
        <v>42186</v>
      </c>
      <c r="X361" s="1">
        <v>42186</v>
      </c>
      <c r="Y361" s="1">
        <v>56796</v>
      </c>
      <c r="Z361" t="s">
        <v>51</v>
      </c>
      <c r="AB361" t="s">
        <v>54</v>
      </c>
      <c r="AC361">
        <v>1</v>
      </c>
      <c r="AE361" t="s">
        <v>171</v>
      </c>
      <c r="AF361">
        <v>20</v>
      </c>
      <c r="AG361" s="1">
        <v>42186</v>
      </c>
      <c r="AH361" s="1">
        <v>42186</v>
      </c>
      <c r="AI361" s="1">
        <v>42186</v>
      </c>
      <c r="AJ361" s="1">
        <v>49491</v>
      </c>
      <c r="AK361" t="s">
        <v>51</v>
      </c>
      <c r="AN361">
        <v>0</v>
      </c>
      <c r="AO361" t="s">
        <v>54</v>
      </c>
      <c r="AP361" t="s">
        <v>53</v>
      </c>
      <c r="AQ361">
        <v>0</v>
      </c>
      <c r="AR361" t="s">
        <v>53</v>
      </c>
      <c r="AS361">
        <v>0</v>
      </c>
      <c r="AT361">
        <v>0</v>
      </c>
      <c r="AW361" t="s">
        <v>172</v>
      </c>
      <c r="AX361">
        <v>15</v>
      </c>
      <c r="AY361" s="1">
        <v>44341</v>
      </c>
      <c r="AZ361" s="1">
        <v>44341</v>
      </c>
      <c r="BA361" s="1">
        <v>44341</v>
      </c>
      <c r="BB361" s="1">
        <v>49820</v>
      </c>
      <c r="BC361" t="s">
        <v>51</v>
      </c>
      <c r="BE361" t="s">
        <v>54</v>
      </c>
      <c r="BF361">
        <v>40</v>
      </c>
      <c r="BG361">
        <v>0</v>
      </c>
      <c r="BH361" t="s">
        <v>145</v>
      </c>
      <c r="CC361" t="s">
        <v>173</v>
      </c>
      <c r="CD361">
        <v>100000</v>
      </c>
      <c r="CE361" s="1">
        <v>44341</v>
      </c>
      <c r="CF361" s="1">
        <v>44341</v>
      </c>
      <c r="CG361" s="1">
        <v>44341</v>
      </c>
      <c r="CH361" s="1">
        <v>52822</v>
      </c>
      <c r="CI361" t="s">
        <v>51</v>
      </c>
      <c r="CK361" t="s">
        <v>78</v>
      </c>
      <c r="CM361" t="s">
        <v>54</v>
      </c>
      <c r="CN361" t="s">
        <v>174</v>
      </c>
      <c r="CO361" t="s">
        <v>86</v>
      </c>
      <c r="CP361">
        <v>830</v>
      </c>
      <c r="CR361">
        <v>19</v>
      </c>
      <c r="CS361">
        <v>1800</v>
      </c>
      <c r="CT361">
        <v>0</v>
      </c>
      <c r="CU361">
        <v>16</v>
      </c>
    </row>
    <row r="362" spans="1:99" x14ac:dyDescent="0.2">
      <c r="A362" t="s">
        <v>45</v>
      </c>
      <c r="B362" t="s">
        <v>46</v>
      </c>
      <c r="C362" t="s">
        <v>47</v>
      </c>
      <c r="D362" t="s">
        <v>295</v>
      </c>
      <c r="F362" t="str">
        <f>"253339"</f>
        <v>253339</v>
      </c>
      <c r="G362" t="s">
        <v>49</v>
      </c>
      <c r="H362" t="s">
        <v>130</v>
      </c>
      <c r="I362" t="s">
        <v>349</v>
      </c>
      <c r="K362" t="s">
        <v>51</v>
      </c>
      <c r="L362" t="s">
        <v>52</v>
      </c>
      <c r="M362">
        <v>135246.63</v>
      </c>
      <c r="N362">
        <v>474985.73</v>
      </c>
      <c r="O362" t="s">
        <v>53</v>
      </c>
      <c r="P362" t="s">
        <v>54</v>
      </c>
      <c r="Q362" t="s">
        <v>55</v>
      </c>
      <c r="T362" t="s">
        <v>100</v>
      </c>
      <c r="U362">
        <v>40</v>
      </c>
      <c r="V362" s="1">
        <v>24108</v>
      </c>
      <c r="W362" s="1">
        <v>24108</v>
      </c>
      <c r="X362" s="1">
        <v>24108</v>
      </c>
      <c r="Y362" s="1">
        <v>38718</v>
      </c>
      <c r="Z362" t="s">
        <v>51</v>
      </c>
      <c r="AB362" t="s">
        <v>54</v>
      </c>
      <c r="AC362">
        <v>1</v>
      </c>
      <c r="AE362" t="s">
        <v>222</v>
      </c>
      <c r="AF362">
        <v>20</v>
      </c>
      <c r="AG362" s="1">
        <v>36161</v>
      </c>
      <c r="AH362" s="1">
        <v>36161</v>
      </c>
      <c r="AI362" s="1">
        <v>36161</v>
      </c>
      <c r="AJ362" s="1">
        <v>43466</v>
      </c>
      <c r="AK362" t="s">
        <v>51</v>
      </c>
      <c r="AN362">
        <v>0</v>
      </c>
      <c r="AO362" t="s">
        <v>54</v>
      </c>
      <c r="AP362" t="s">
        <v>53</v>
      </c>
      <c r="AQ362">
        <v>0</v>
      </c>
      <c r="AR362" t="s">
        <v>53</v>
      </c>
      <c r="AS362">
        <v>0</v>
      </c>
      <c r="AT362">
        <v>0</v>
      </c>
      <c r="BK362" t="s">
        <v>85</v>
      </c>
      <c r="BL362">
        <v>50000</v>
      </c>
      <c r="BM362" s="1">
        <v>44321</v>
      </c>
      <c r="BN362" s="1">
        <v>44321</v>
      </c>
      <c r="BO362" s="1">
        <v>44321</v>
      </c>
      <c r="BP362" s="1">
        <v>48564</v>
      </c>
      <c r="BQ362" t="s">
        <v>51</v>
      </c>
      <c r="BS362" t="s">
        <v>60</v>
      </c>
      <c r="BT362" t="s">
        <v>54</v>
      </c>
      <c r="BU362" t="s">
        <v>61</v>
      </c>
      <c r="BV362" t="s">
        <v>86</v>
      </c>
      <c r="BX362">
        <v>13</v>
      </c>
      <c r="BY362">
        <v>1430</v>
      </c>
      <c r="BZ362">
        <v>0</v>
      </c>
    </row>
    <row r="363" spans="1:99" x14ac:dyDescent="0.2">
      <c r="A363" t="s">
        <v>45</v>
      </c>
      <c r="B363" t="s">
        <v>46</v>
      </c>
      <c r="C363" t="s">
        <v>47</v>
      </c>
      <c r="D363" t="s">
        <v>48</v>
      </c>
      <c r="F363" t="str">
        <f>"??253302"</f>
        <v>??253302</v>
      </c>
      <c r="G363" t="s">
        <v>49</v>
      </c>
      <c r="H363">
        <v>85</v>
      </c>
      <c r="K363" t="s">
        <v>51</v>
      </c>
      <c r="L363" t="s">
        <v>52</v>
      </c>
      <c r="M363">
        <v>136503.96</v>
      </c>
      <c r="N363">
        <v>473565.68</v>
      </c>
      <c r="O363" t="s">
        <v>53</v>
      </c>
      <c r="P363" t="s">
        <v>54</v>
      </c>
      <c r="Q363" t="s">
        <v>55</v>
      </c>
      <c r="T363" t="s">
        <v>131</v>
      </c>
      <c r="U363">
        <v>40</v>
      </c>
      <c r="V363" s="1">
        <v>35431</v>
      </c>
      <c r="W363" s="1">
        <v>35431</v>
      </c>
      <c r="X363" s="1">
        <v>35431</v>
      </c>
      <c r="Y363" s="1">
        <v>50041</v>
      </c>
      <c r="Z363" t="s">
        <v>51</v>
      </c>
      <c r="AB363" t="s">
        <v>54</v>
      </c>
      <c r="AC363">
        <v>1</v>
      </c>
      <c r="AE363" t="s">
        <v>84</v>
      </c>
      <c r="AF363">
        <v>20</v>
      </c>
      <c r="AG363" s="1">
        <v>35431</v>
      </c>
      <c r="AH363" s="1">
        <v>35431</v>
      </c>
      <c r="AI363" s="1">
        <v>35431</v>
      </c>
      <c r="AJ363" s="1">
        <v>42736</v>
      </c>
      <c r="AK363" t="s">
        <v>51</v>
      </c>
      <c r="AN363">
        <v>0</v>
      </c>
      <c r="AO363" t="s">
        <v>54</v>
      </c>
      <c r="AP363" t="s">
        <v>53</v>
      </c>
      <c r="AQ363">
        <v>0</v>
      </c>
      <c r="AR363" t="s">
        <v>53</v>
      </c>
      <c r="AS363">
        <v>0</v>
      </c>
      <c r="AT363">
        <v>0</v>
      </c>
      <c r="AW363" t="s">
        <v>333</v>
      </c>
      <c r="AX363">
        <v>0</v>
      </c>
      <c r="AY363" s="1">
        <v>35431</v>
      </c>
      <c r="AZ363" s="1">
        <v>35431</v>
      </c>
      <c r="BA363" s="1">
        <v>35431</v>
      </c>
      <c r="BB363" s="1">
        <v>35431</v>
      </c>
      <c r="BC363" t="s">
        <v>51</v>
      </c>
      <c r="BE363" t="s">
        <v>54</v>
      </c>
      <c r="BF363">
        <v>0</v>
      </c>
      <c r="BG363">
        <v>0</v>
      </c>
      <c r="BH363" t="s">
        <v>53</v>
      </c>
      <c r="BK363" t="s">
        <v>59</v>
      </c>
      <c r="BL363">
        <v>14000</v>
      </c>
      <c r="BM363" s="1">
        <v>44319</v>
      </c>
      <c r="BN363" s="1">
        <v>44319</v>
      </c>
      <c r="BO363" s="1">
        <v>44319</v>
      </c>
      <c r="BP363" s="1">
        <v>45541</v>
      </c>
      <c r="BQ363" t="s">
        <v>51</v>
      </c>
      <c r="BS363" t="s">
        <v>60</v>
      </c>
      <c r="BT363" t="s">
        <v>54</v>
      </c>
      <c r="BU363" t="s">
        <v>61</v>
      </c>
      <c r="BV363" t="s">
        <v>62</v>
      </c>
      <c r="BX363">
        <v>24</v>
      </c>
      <c r="BY363">
        <v>0</v>
      </c>
      <c r="BZ363">
        <v>0</v>
      </c>
    </row>
    <row r="364" spans="1:99" x14ac:dyDescent="0.2">
      <c r="A364" t="s">
        <v>45</v>
      </c>
      <c r="B364" t="s">
        <v>46</v>
      </c>
      <c r="C364" t="s">
        <v>47</v>
      </c>
      <c r="D364" t="s">
        <v>48</v>
      </c>
      <c r="F364" t="str">
        <f>"??253344"</f>
        <v>??253344</v>
      </c>
      <c r="G364" t="s">
        <v>49</v>
      </c>
      <c r="I364" t="s">
        <v>350</v>
      </c>
      <c r="K364" t="s">
        <v>51</v>
      </c>
      <c r="L364" t="s">
        <v>52</v>
      </c>
      <c r="M364">
        <v>135024.32999999999</v>
      </c>
      <c r="N364">
        <v>474169.88</v>
      </c>
      <c r="O364" t="s">
        <v>53</v>
      </c>
      <c r="P364" t="s">
        <v>54</v>
      </c>
      <c r="Q364" t="s">
        <v>55</v>
      </c>
      <c r="T364" t="s">
        <v>69</v>
      </c>
      <c r="U364">
        <v>40</v>
      </c>
      <c r="V364" s="1">
        <v>30682</v>
      </c>
      <c r="W364" s="1">
        <v>30682</v>
      </c>
      <c r="X364" s="1">
        <v>30682</v>
      </c>
      <c r="Y364" s="1">
        <v>45292</v>
      </c>
      <c r="Z364" t="s">
        <v>51</v>
      </c>
      <c r="AB364" t="s">
        <v>54</v>
      </c>
      <c r="AC364">
        <v>1</v>
      </c>
      <c r="AE364" t="s">
        <v>351</v>
      </c>
      <c r="AF364">
        <v>20</v>
      </c>
      <c r="AG364" s="1">
        <v>30682</v>
      </c>
      <c r="AH364" s="1">
        <v>30682</v>
      </c>
      <c r="AI364" s="1">
        <v>30682</v>
      </c>
      <c r="AJ364" s="1">
        <v>37987</v>
      </c>
      <c r="AK364" t="s">
        <v>51</v>
      </c>
      <c r="AN364">
        <v>0</v>
      </c>
      <c r="AO364" t="s">
        <v>54</v>
      </c>
      <c r="AP364" t="s">
        <v>53</v>
      </c>
      <c r="AQ364">
        <v>0</v>
      </c>
      <c r="AR364" t="s">
        <v>53</v>
      </c>
      <c r="AS364">
        <v>0</v>
      </c>
      <c r="AT364">
        <v>0</v>
      </c>
      <c r="AW364" t="s">
        <v>161</v>
      </c>
      <c r="AX364">
        <v>50</v>
      </c>
      <c r="AY364" s="1">
        <v>30682</v>
      </c>
      <c r="AZ364" s="1">
        <v>30682</v>
      </c>
      <c r="BA364" s="1">
        <v>30682</v>
      </c>
      <c r="BB364" s="1">
        <v>48945</v>
      </c>
      <c r="BC364" t="s">
        <v>51</v>
      </c>
      <c r="BE364" t="s">
        <v>54</v>
      </c>
      <c r="BF364">
        <v>0</v>
      </c>
      <c r="BG364">
        <v>0</v>
      </c>
      <c r="BH364" t="s">
        <v>53</v>
      </c>
      <c r="BK364" t="s">
        <v>352</v>
      </c>
      <c r="BL364">
        <v>21500</v>
      </c>
      <c r="BM364" s="1">
        <v>44341</v>
      </c>
      <c r="BN364" s="1">
        <v>44341</v>
      </c>
      <c r="BO364" s="1">
        <v>44341</v>
      </c>
      <c r="BP364" s="1">
        <v>46153</v>
      </c>
      <c r="BQ364" t="s">
        <v>51</v>
      </c>
      <c r="BS364" t="s">
        <v>60</v>
      </c>
      <c r="BT364" t="s">
        <v>54</v>
      </c>
      <c r="BU364" t="s">
        <v>353</v>
      </c>
      <c r="BV364" t="s">
        <v>354</v>
      </c>
      <c r="BX364">
        <v>100</v>
      </c>
      <c r="BY364">
        <v>0</v>
      </c>
      <c r="BZ364">
        <v>0</v>
      </c>
    </row>
    <row r="365" spans="1:99" x14ac:dyDescent="0.2">
      <c r="A365" t="s">
        <v>45</v>
      </c>
      <c r="B365" t="s">
        <v>46</v>
      </c>
      <c r="C365" t="s">
        <v>47</v>
      </c>
      <c r="D365" t="s">
        <v>48</v>
      </c>
      <c r="F365" t="str">
        <f>"??253345"</f>
        <v>??253345</v>
      </c>
      <c r="G365" t="s">
        <v>49</v>
      </c>
      <c r="I365" t="s">
        <v>350</v>
      </c>
      <c r="K365" t="s">
        <v>51</v>
      </c>
      <c r="L365" t="s">
        <v>52</v>
      </c>
      <c r="M365">
        <v>135053.46</v>
      </c>
      <c r="N365">
        <v>474152.49</v>
      </c>
      <c r="O365" t="s">
        <v>53</v>
      </c>
      <c r="P365" t="s">
        <v>54</v>
      </c>
      <c r="Q365" t="s">
        <v>55</v>
      </c>
      <c r="T365" t="s">
        <v>56</v>
      </c>
      <c r="U365">
        <v>40</v>
      </c>
      <c r="V365" s="1">
        <v>24838</v>
      </c>
      <c r="W365" s="1">
        <v>24838</v>
      </c>
      <c r="X365" s="1">
        <v>24838</v>
      </c>
      <c r="Y365" s="1">
        <v>39448</v>
      </c>
      <c r="Z365" t="s">
        <v>51</v>
      </c>
      <c r="AB365" t="s">
        <v>54</v>
      </c>
      <c r="AC365">
        <v>1</v>
      </c>
      <c r="AE365" t="s">
        <v>64</v>
      </c>
      <c r="AF365">
        <v>20</v>
      </c>
      <c r="AG365" s="1">
        <v>30682</v>
      </c>
      <c r="AH365" s="1">
        <v>30682</v>
      </c>
      <c r="AI365" s="1">
        <v>30682</v>
      </c>
      <c r="AJ365" s="1">
        <v>37987</v>
      </c>
      <c r="AK365" t="s">
        <v>51</v>
      </c>
      <c r="AN365">
        <v>0</v>
      </c>
      <c r="AO365" t="s">
        <v>54</v>
      </c>
      <c r="AP365" t="s">
        <v>53</v>
      </c>
      <c r="AQ365">
        <v>0</v>
      </c>
      <c r="AR365" t="s">
        <v>53</v>
      </c>
      <c r="AS365">
        <v>0</v>
      </c>
      <c r="AT365">
        <v>0</v>
      </c>
      <c r="AW365" t="s">
        <v>58</v>
      </c>
      <c r="AX365">
        <v>20</v>
      </c>
      <c r="AY365" s="1">
        <v>30682</v>
      </c>
      <c r="AZ365" s="1">
        <v>30682</v>
      </c>
      <c r="BA365" s="1">
        <v>30682</v>
      </c>
      <c r="BB365" s="1">
        <v>37987</v>
      </c>
      <c r="BC365" t="s">
        <v>51</v>
      </c>
      <c r="BE365" t="s">
        <v>54</v>
      </c>
      <c r="BF365">
        <v>2</v>
      </c>
      <c r="BG365">
        <v>0</v>
      </c>
      <c r="BH365" t="s">
        <v>53</v>
      </c>
      <c r="BK365" t="s">
        <v>65</v>
      </c>
      <c r="BL365">
        <v>14000</v>
      </c>
      <c r="BM365" s="1">
        <v>44322</v>
      </c>
      <c r="BN365" s="1">
        <v>44322</v>
      </c>
      <c r="BO365" s="1">
        <v>44322</v>
      </c>
      <c r="BP365" s="1">
        <v>45544</v>
      </c>
      <c r="BQ365" t="s">
        <v>51</v>
      </c>
      <c r="BS365" t="s">
        <v>60</v>
      </c>
      <c r="BT365" t="s">
        <v>54</v>
      </c>
      <c r="BU365" t="s">
        <v>61</v>
      </c>
      <c r="BV365" t="s">
        <v>62</v>
      </c>
      <c r="BX365">
        <v>36</v>
      </c>
      <c r="BY365">
        <v>0</v>
      </c>
      <c r="BZ365">
        <v>0</v>
      </c>
    </row>
    <row r="366" spans="1:99" x14ac:dyDescent="0.2">
      <c r="A366" t="s">
        <v>45</v>
      </c>
      <c r="B366" t="s">
        <v>46</v>
      </c>
      <c r="C366" t="s">
        <v>47</v>
      </c>
      <c r="D366" t="s">
        <v>48</v>
      </c>
      <c r="F366" t="str">
        <f>"??253346"</f>
        <v>??253346</v>
      </c>
      <c r="G366" t="s">
        <v>49</v>
      </c>
      <c r="I366" t="s">
        <v>67</v>
      </c>
      <c r="K366" t="s">
        <v>51</v>
      </c>
      <c r="L366" t="s">
        <v>52</v>
      </c>
      <c r="M366">
        <v>135120.25</v>
      </c>
      <c r="N366">
        <v>474121.98</v>
      </c>
      <c r="O366" t="s">
        <v>53</v>
      </c>
      <c r="P366" t="s">
        <v>54</v>
      </c>
      <c r="Q366" t="s">
        <v>55</v>
      </c>
      <c r="T366" t="s">
        <v>56</v>
      </c>
      <c r="U366">
        <v>40</v>
      </c>
      <c r="V366" s="1">
        <v>38252</v>
      </c>
      <c r="W366" s="1">
        <v>38252</v>
      </c>
      <c r="X366" s="1">
        <v>38252</v>
      </c>
      <c r="Y366" s="1">
        <v>52862</v>
      </c>
      <c r="Z366" t="s">
        <v>51</v>
      </c>
      <c r="AB366" t="s">
        <v>54</v>
      </c>
      <c r="AC366">
        <v>1</v>
      </c>
      <c r="AE366" t="s">
        <v>84</v>
      </c>
      <c r="AF366">
        <v>20</v>
      </c>
      <c r="AG366" s="1">
        <v>38231</v>
      </c>
      <c r="AH366" s="1">
        <v>38231</v>
      </c>
      <c r="AI366" s="1">
        <v>38252</v>
      </c>
      <c r="AJ366" s="1">
        <v>45536</v>
      </c>
      <c r="AK366" t="s">
        <v>51</v>
      </c>
      <c r="AN366">
        <v>0</v>
      </c>
      <c r="AO366" t="s">
        <v>54</v>
      </c>
      <c r="AP366" t="s">
        <v>53</v>
      </c>
      <c r="AQ366">
        <v>0</v>
      </c>
      <c r="AR366" t="s">
        <v>53</v>
      </c>
      <c r="AS366">
        <v>0</v>
      </c>
      <c r="AT366">
        <v>0</v>
      </c>
      <c r="AW366" t="s">
        <v>58</v>
      </c>
      <c r="AX366">
        <v>20</v>
      </c>
      <c r="AY366" s="1">
        <v>38231</v>
      </c>
      <c r="AZ366" s="1">
        <v>38231</v>
      </c>
      <c r="BA366" s="1">
        <v>38252</v>
      </c>
      <c r="BB366" s="1">
        <v>45536</v>
      </c>
      <c r="BC366" t="s">
        <v>51</v>
      </c>
      <c r="BE366" t="s">
        <v>54</v>
      </c>
      <c r="BF366">
        <v>2</v>
      </c>
      <c r="BG366">
        <v>0</v>
      </c>
      <c r="BH366" t="s">
        <v>53</v>
      </c>
      <c r="BK366" t="s">
        <v>59</v>
      </c>
      <c r="BL366">
        <v>14000</v>
      </c>
      <c r="BM366" s="1">
        <v>44322</v>
      </c>
      <c r="BN366" s="1">
        <v>44322</v>
      </c>
      <c r="BO366" s="1">
        <v>44322</v>
      </c>
      <c r="BP366" s="1">
        <v>45544</v>
      </c>
      <c r="BQ366" t="s">
        <v>51</v>
      </c>
      <c r="BS366" t="s">
        <v>60</v>
      </c>
      <c r="BT366" t="s">
        <v>54</v>
      </c>
      <c r="BU366" t="s">
        <v>61</v>
      </c>
      <c r="BV366" t="s">
        <v>62</v>
      </c>
      <c r="BX366">
        <v>24</v>
      </c>
      <c r="BY366">
        <v>0</v>
      </c>
      <c r="BZ366">
        <v>0</v>
      </c>
    </row>
    <row r="367" spans="1:99" x14ac:dyDescent="0.2">
      <c r="A367" t="s">
        <v>45</v>
      </c>
      <c r="B367" t="s">
        <v>46</v>
      </c>
      <c r="C367" t="s">
        <v>47</v>
      </c>
      <c r="D367" t="s">
        <v>355</v>
      </c>
      <c r="F367" t="str">
        <f>"1112"</f>
        <v>1112</v>
      </c>
      <c r="G367" t="s">
        <v>49</v>
      </c>
      <c r="K367" t="s">
        <v>51</v>
      </c>
      <c r="L367" t="s">
        <v>52</v>
      </c>
      <c r="M367">
        <v>136478.53</v>
      </c>
      <c r="N367">
        <v>473593.91</v>
      </c>
      <c r="O367" t="s">
        <v>53</v>
      </c>
      <c r="P367" t="s">
        <v>54</v>
      </c>
      <c r="Q367" t="s">
        <v>55</v>
      </c>
      <c r="T367" t="s">
        <v>100</v>
      </c>
      <c r="U367">
        <v>40</v>
      </c>
      <c r="V367" s="1">
        <v>35431</v>
      </c>
      <c r="W367" s="1">
        <v>35431</v>
      </c>
      <c r="X367" s="1">
        <v>35431</v>
      </c>
      <c r="Y367" s="1">
        <v>50041</v>
      </c>
      <c r="Z367" t="s">
        <v>51</v>
      </c>
      <c r="AB367" t="s">
        <v>54</v>
      </c>
      <c r="AC367">
        <v>1</v>
      </c>
      <c r="AE367" t="s">
        <v>222</v>
      </c>
      <c r="AF367">
        <v>20</v>
      </c>
      <c r="AG367" s="1">
        <v>35431</v>
      </c>
      <c r="AH367" s="1">
        <v>35431</v>
      </c>
      <c r="AI367" s="1">
        <v>35431</v>
      </c>
      <c r="AJ367" s="1">
        <v>42736</v>
      </c>
      <c r="AK367" t="s">
        <v>51</v>
      </c>
      <c r="AN367">
        <v>0</v>
      </c>
      <c r="AO367" t="s">
        <v>54</v>
      </c>
      <c r="AP367" t="s">
        <v>53</v>
      </c>
      <c r="AQ367">
        <v>0</v>
      </c>
      <c r="AR367" t="s">
        <v>53</v>
      </c>
      <c r="AS367">
        <v>0</v>
      </c>
      <c r="AT367">
        <v>0</v>
      </c>
      <c r="AW367" t="s">
        <v>58</v>
      </c>
      <c r="AX367">
        <v>20</v>
      </c>
      <c r="AY367" s="1">
        <v>35431</v>
      </c>
      <c r="AZ367" s="1">
        <v>35431</v>
      </c>
      <c r="BA367" s="1">
        <v>35431</v>
      </c>
      <c r="BB367" s="1">
        <v>42736</v>
      </c>
      <c r="BC367" t="s">
        <v>51</v>
      </c>
      <c r="BE367" t="s">
        <v>54</v>
      </c>
      <c r="BF367">
        <v>2</v>
      </c>
      <c r="BG367">
        <v>0</v>
      </c>
      <c r="BH367" t="s">
        <v>53</v>
      </c>
      <c r="BK367" t="s">
        <v>59</v>
      </c>
      <c r="BL367">
        <v>14000</v>
      </c>
      <c r="BM367" s="1">
        <v>44322</v>
      </c>
      <c r="BN367" s="1">
        <v>44322</v>
      </c>
      <c r="BO367" s="1">
        <v>44322</v>
      </c>
      <c r="BP367" s="1">
        <v>45544</v>
      </c>
      <c r="BQ367" t="s">
        <v>51</v>
      </c>
      <c r="BS367" t="s">
        <v>60</v>
      </c>
      <c r="BT367" t="s">
        <v>54</v>
      </c>
      <c r="BU367" t="s">
        <v>61</v>
      </c>
      <c r="BV367" t="s">
        <v>62</v>
      </c>
      <c r="BX367">
        <v>24</v>
      </c>
      <c r="BY367">
        <v>0</v>
      </c>
      <c r="BZ367">
        <v>0</v>
      </c>
    </row>
    <row r="368" spans="1:99" x14ac:dyDescent="0.2">
      <c r="A368" t="s">
        <v>45</v>
      </c>
      <c r="B368" t="s">
        <v>46</v>
      </c>
      <c r="C368" t="s">
        <v>47</v>
      </c>
      <c r="D368" t="s">
        <v>153</v>
      </c>
      <c r="F368" t="str">
        <f>"253395"</f>
        <v>253395</v>
      </c>
      <c r="G368" t="s">
        <v>49</v>
      </c>
      <c r="K368" t="s">
        <v>51</v>
      </c>
      <c r="L368" t="s">
        <v>52</v>
      </c>
      <c r="M368">
        <v>136749.51</v>
      </c>
      <c r="N368">
        <v>474494.34</v>
      </c>
      <c r="O368" t="s">
        <v>53</v>
      </c>
      <c r="P368" t="s">
        <v>54</v>
      </c>
      <c r="Q368" t="s">
        <v>55</v>
      </c>
      <c r="T368" t="s">
        <v>81</v>
      </c>
      <c r="U368">
        <v>40</v>
      </c>
      <c r="V368" s="1">
        <v>29952</v>
      </c>
      <c r="W368" s="1">
        <v>29952</v>
      </c>
      <c r="X368" s="1">
        <v>29952</v>
      </c>
      <c r="Y368" s="1">
        <v>44562</v>
      </c>
      <c r="Z368" t="s">
        <v>51</v>
      </c>
      <c r="AB368" t="s">
        <v>54</v>
      </c>
      <c r="AC368">
        <v>1</v>
      </c>
      <c r="AE368" t="s">
        <v>356</v>
      </c>
      <c r="AF368">
        <v>20</v>
      </c>
      <c r="AG368" s="1">
        <v>44200</v>
      </c>
      <c r="AH368" s="1">
        <v>44200</v>
      </c>
      <c r="AI368" s="1">
        <v>44200</v>
      </c>
      <c r="AJ368" s="1">
        <v>51505</v>
      </c>
      <c r="AK368" t="s">
        <v>51</v>
      </c>
      <c r="AN368">
        <v>0</v>
      </c>
      <c r="AO368" t="s">
        <v>54</v>
      </c>
      <c r="AP368" t="s">
        <v>53</v>
      </c>
      <c r="AQ368">
        <v>0</v>
      </c>
      <c r="AR368" t="s">
        <v>145</v>
      </c>
      <c r="AS368">
        <v>0</v>
      </c>
      <c r="AT368">
        <v>0</v>
      </c>
      <c r="AW368" t="s">
        <v>172</v>
      </c>
      <c r="AX368">
        <v>15</v>
      </c>
      <c r="AY368" s="1">
        <v>38353</v>
      </c>
      <c r="AZ368" s="1">
        <v>38353</v>
      </c>
      <c r="BA368" s="1">
        <v>44200</v>
      </c>
      <c r="BB368" s="1">
        <v>43831</v>
      </c>
      <c r="BC368" t="s">
        <v>51</v>
      </c>
      <c r="BE368" t="s">
        <v>54</v>
      </c>
      <c r="BF368">
        <v>40</v>
      </c>
      <c r="BG368">
        <v>0</v>
      </c>
      <c r="BH368" t="s">
        <v>145</v>
      </c>
      <c r="CC368" t="s">
        <v>250</v>
      </c>
      <c r="CD368">
        <v>100000</v>
      </c>
      <c r="CE368" s="1">
        <v>44321</v>
      </c>
      <c r="CF368" s="1">
        <v>44321</v>
      </c>
      <c r="CG368" s="1">
        <v>44321</v>
      </c>
      <c r="CH368" s="1">
        <v>52803</v>
      </c>
      <c r="CI368" t="s">
        <v>51</v>
      </c>
      <c r="CK368" t="s">
        <v>78</v>
      </c>
      <c r="CM368" t="s">
        <v>54</v>
      </c>
      <c r="CN368" t="s">
        <v>174</v>
      </c>
      <c r="CR368">
        <v>13.2</v>
      </c>
      <c r="CS368">
        <v>1800</v>
      </c>
      <c r="CT368">
        <v>0</v>
      </c>
      <c r="CU368">
        <v>16</v>
      </c>
    </row>
    <row r="369" spans="1:112" x14ac:dyDescent="0.2">
      <c r="A369" t="s">
        <v>45</v>
      </c>
      <c r="B369" t="s">
        <v>46</v>
      </c>
      <c r="C369" t="s">
        <v>47</v>
      </c>
      <c r="D369" t="s">
        <v>357</v>
      </c>
      <c r="F369" t="str">
        <f>"1109"</f>
        <v>1109</v>
      </c>
      <c r="G369" t="s">
        <v>49</v>
      </c>
      <c r="K369" t="s">
        <v>51</v>
      </c>
      <c r="L369" t="s">
        <v>52</v>
      </c>
      <c r="M369">
        <v>136600.94</v>
      </c>
      <c r="N369">
        <v>473574.66</v>
      </c>
      <c r="O369" t="s">
        <v>53</v>
      </c>
      <c r="P369" t="s">
        <v>54</v>
      </c>
      <c r="Q369" t="s">
        <v>55</v>
      </c>
      <c r="T369" t="s">
        <v>100</v>
      </c>
      <c r="U369">
        <v>40</v>
      </c>
      <c r="V369" s="1">
        <v>35431</v>
      </c>
      <c r="W369" s="1">
        <v>35431</v>
      </c>
      <c r="X369" s="1">
        <v>35431</v>
      </c>
      <c r="Y369" s="1">
        <v>50041</v>
      </c>
      <c r="Z369" t="s">
        <v>51</v>
      </c>
      <c r="AB369" t="s">
        <v>54</v>
      </c>
      <c r="AC369">
        <v>1</v>
      </c>
      <c r="AE369" t="s">
        <v>222</v>
      </c>
      <c r="AF369">
        <v>20</v>
      </c>
      <c r="AG369" s="1">
        <v>35431</v>
      </c>
      <c r="AH369" s="1">
        <v>35431</v>
      </c>
      <c r="AI369" s="1">
        <v>35431</v>
      </c>
      <c r="AJ369" s="1">
        <v>42736</v>
      </c>
      <c r="AK369" t="s">
        <v>51</v>
      </c>
      <c r="AN369">
        <v>0</v>
      </c>
      <c r="AO369" t="s">
        <v>54</v>
      </c>
      <c r="AP369" t="s">
        <v>53</v>
      </c>
      <c r="AQ369">
        <v>0</v>
      </c>
      <c r="AR369" t="s">
        <v>53</v>
      </c>
      <c r="AS369">
        <v>0</v>
      </c>
      <c r="AT369">
        <v>0</v>
      </c>
      <c r="AW369" t="s">
        <v>58</v>
      </c>
      <c r="AX369">
        <v>20</v>
      </c>
      <c r="AY369" s="1">
        <v>35431</v>
      </c>
      <c r="AZ369" s="1">
        <v>35431</v>
      </c>
      <c r="BA369" s="1">
        <v>35431</v>
      </c>
      <c r="BB369" s="1">
        <v>42736</v>
      </c>
      <c r="BC369" t="s">
        <v>51</v>
      </c>
      <c r="BE369" t="s">
        <v>54</v>
      </c>
      <c r="BF369">
        <v>2</v>
      </c>
      <c r="BG369">
        <v>0</v>
      </c>
      <c r="BH369" t="s">
        <v>53</v>
      </c>
      <c r="BK369" t="s">
        <v>59</v>
      </c>
      <c r="BL369">
        <v>14000</v>
      </c>
      <c r="BM369" s="1">
        <v>44322</v>
      </c>
      <c r="BN369" s="1">
        <v>44322</v>
      </c>
      <c r="BO369" s="1">
        <v>44322</v>
      </c>
      <c r="BP369" s="1">
        <v>45544</v>
      </c>
      <c r="BQ369" t="s">
        <v>51</v>
      </c>
      <c r="BS369" t="s">
        <v>60</v>
      </c>
      <c r="BT369" t="s">
        <v>54</v>
      </c>
      <c r="BU369" t="s">
        <v>61</v>
      </c>
      <c r="BV369" t="s">
        <v>62</v>
      </c>
      <c r="BX369">
        <v>24</v>
      </c>
      <c r="BY369">
        <v>0</v>
      </c>
      <c r="BZ369">
        <v>0</v>
      </c>
    </row>
    <row r="370" spans="1:112" x14ac:dyDescent="0.2">
      <c r="A370" t="s">
        <v>45</v>
      </c>
      <c r="B370" t="s">
        <v>46</v>
      </c>
      <c r="C370" t="s">
        <v>47</v>
      </c>
      <c r="D370" t="s">
        <v>358</v>
      </c>
      <c r="F370" t="str">
        <f>"1110"</f>
        <v>1110</v>
      </c>
      <c r="G370" t="s">
        <v>49</v>
      </c>
      <c r="K370" t="s">
        <v>51</v>
      </c>
      <c r="L370" t="s">
        <v>52</v>
      </c>
      <c r="M370">
        <v>136534.60999999999</v>
      </c>
      <c r="N370">
        <v>473578.45</v>
      </c>
      <c r="O370" t="s">
        <v>53</v>
      </c>
      <c r="P370" t="s">
        <v>54</v>
      </c>
      <c r="Q370" t="s">
        <v>55</v>
      </c>
      <c r="T370" t="s">
        <v>100</v>
      </c>
      <c r="U370">
        <v>40</v>
      </c>
      <c r="V370" s="1">
        <v>35431</v>
      </c>
      <c r="W370" s="1">
        <v>35431</v>
      </c>
      <c r="X370" s="1">
        <v>35431</v>
      </c>
      <c r="Y370" s="1">
        <v>50041</v>
      </c>
      <c r="Z370" t="s">
        <v>51</v>
      </c>
      <c r="AB370" t="s">
        <v>54</v>
      </c>
      <c r="AC370">
        <v>1</v>
      </c>
      <c r="AE370" t="s">
        <v>222</v>
      </c>
      <c r="AF370">
        <v>20</v>
      </c>
      <c r="AG370" s="1">
        <v>35431</v>
      </c>
      <c r="AH370" s="1">
        <v>35431</v>
      </c>
      <c r="AI370" s="1">
        <v>35431</v>
      </c>
      <c r="AJ370" s="1">
        <v>42736</v>
      </c>
      <c r="AK370" t="s">
        <v>51</v>
      </c>
      <c r="AN370">
        <v>0</v>
      </c>
      <c r="AO370" t="s">
        <v>54</v>
      </c>
      <c r="AP370" t="s">
        <v>53</v>
      </c>
      <c r="AQ370">
        <v>0</v>
      </c>
      <c r="AR370" t="s">
        <v>53</v>
      </c>
      <c r="AS370">
        <v>0</v>
      </c>
      <c r="AT370">
        <v>0</v>
      </c>
      <c r="AW370" t="s">
        <v>58</v>
      </c>
      <c r="AX370">
        <v>20</v>
      </c>
      <c r="AY370" s="1">
        <v>35431</v>
      </c>
      <c r="AZ370" s="1">
        <v>35431</v>
      </c>
      <c r="BA370" s="1">
        <v>35431</v>
      </c>
      <c r="BB370" s="1">
        <v>42736</v>
      </c>
      <c r="BC370" t="s">
        <v>51</v>
      </c>
      <c r="BE370" t="s">
        <v>54</v>
      </c>
      <c r="BF370">
        <v>2</v>
      </c>
      <c r="BG370">
        <v>0</v>
      </c>
      <c r="BH370" t="s">
        <v>53</v>
      </c>
      <c r="BK370" t="s">
        <v>59</v>
      </c>
      <c r="BL370">
        <v>14000</v>
      </c>
      <c r="BM370" s="1">
        <v>44322</v>
      </c>
      <c r="BN370" s="1">
        <v>44322</v>
      </c>
      <c r="BO370" s="1">
        <v>44322</v>
      </c>
      <c r="BP370" s="1">
        <v>45544</v>
      </c>
      <c r="BQ370" t="s">
        <v>51</v>
      </c>
      <c r="BS370" t="s">
        <v>60</v>
      </c>
      <c r="BT370" t="s">
        <v>54</v>
      </c>
      <c r="BU370" t="s">
        <v>61</v>
      </c>
      <c r="BV370" t="s">
        <v>62</v>
      </c>
      <c r="BX370">
        <v>24</v>
      </c>
      <c r="BY370">
        <v>0</v>
      </c>
      <c r="BZ370">
        <v>0</v>
      </c>
    </row>
    <row r="371" spans="1:112" x14ac:dyDescent="0.2">
      <c r="A371" t="s">
        <v>45</v>
      </c>
      <c r="B371" t="s">
        <v>46</v>
      </c>
      <c r="C371" t="s">
        <v>47</v>
      </c>
      <c r="D371" t="s">
        <v>358</v>
      </c>
      <c r="F371" t="str">
        <f>"1111"</f>
        <v>1111</v>
      </c>
      <c r="G371" t="s">
        <v>49</v>
      </c>
      <c r="K371" t="s">
        <v>51</v>
      </c>
      <c r="L371" t="s">
        <v>52</v>
      </c>
      <c r="M371">
        <v>136546.26999999999</v>
      </c>
      <c r="N371">
        <v>473597.47</v>
      </c>
      <c r="O371" t="s">
        <v>53</v>
      </c>
      <c r="P371" t="s">
        <v>54</v>
      </c>
      <c r="Q371" t="s">
        <v>55</v>
      </c>
      <c r="T371" t="s">
        <v>100</v>
      </c>
      <c r="U371">
        <v>40</v>
      </c>
      <c r="V371" s="1">
        <v>35431</v>
      </c>
      <c r="W371" s="1">
        <v>35431</v>
      </c>
      <c r="X371" s="1">
        <v>35431</v>
      </c>
      <c r="Y371" s="1">
        <v>50041</v>
      </c>
      <c r="Z371" t="s">
        <v>51</v>
      </c>
      <c r="AB371" t="s">
        <v>54</v>
      </c>
      <c r="AC371">
        <v>1</v>
      </c>
      <c r="AE371" t="s">
        <v>222</v>
      </c>
      <c r="AF371">
        <v>20</v>
      </c>
      <c r="AG371" s="1">
        <v>35431</v>
      </c>
      <c r="AH371" s="1">
        <v>35431</v>
      </c>
      <c r="AI371" s="1">
        <v>35431</v>
      </c>
      <c r="AJ371" s="1">
        <v>42736</v>
      </c>
      <c r="AK371" t="s">
        <v>51</v>
      </c>
      <c r="AN371">
        <v>0</v>
      </c>
      <c r="AO371" t="s">
        <v>54</v>
      </c>
      <c r="AP371" t="s">
        <v>53</v>
      </c>
      <c r="AQ371">
        <v>0</v>
      </c>
      <c r="AR371" t="s">
        <v>53</v>
      </c>
      <c r="AS371">
        <v>0</v>
      </c>
      <c r="AT371">
        <v>0</v>
      </c>
      <c r="AW371" t="s">
        <v>58</v>
      </c>
      <c r="AX371">
        <v>20</v>
      </c>
      <c r="AY371" s="1">
        <v>35431</v>
      </c>
      <c r="AZ371" s="1">
        <v>35431</v>
      </c>
      <c r="BA371" s="1">
        <v>35431</v>
      </c>
      <c r="BB371" s="1">
        <v>42736</v>
      </c>
      <c r="BC371" t="s">
        <v>51</v>
      </c>
      <c r="BE371" t="s">
        <v>54</v>
      </c>
      <c r="BF371">
        <v>2</v>
      </c>
      <c r="BG371">
        <v>0</v>
      </c>
      <c r="BH371" t="s">
        <v>53</v>
      </c>
      <c r="BK371" t="s">
        <v>65</v>
      </c>
      <c r="BL371">
        <v>14000</v>
      </c>
      <c r="BM371" s="1">
        <v>42917</v>
      </c>
      <c r="BN371" s="1">
        <v>42917</v>
      </c>
      <c r="BO371" s="1">
        <v>42917</v>
      </c>
      <c r="BP371" s="1">
        <v>44117</v>
      </c>
      <c r="BQ371" t="s">
        <v>51</v>
      </c>
      <c r="BS371" t="s">
        <v>60</v>
      </c>
      <c r="BT371" t="s">
        <v>54</v>
      </c>
      <c r="BU371" t="s">
        <v>61</v>
      </c>
      <c r="BV371" t="s">
        <v>62</v>
      </c>
      <c r="BX371">
        <v>36</v>
      </c>
      <c r="BY371">
        <v>0</v>
      </c>
      <c r="BZ371">
        <v>0</v>
      </c>
    </row>
    <row r="372" spans="1:112" x14ac:dyDescent="0.2">
      <c r="A372" t="s">
        <v>45</v>
      </c>
      <c r="B372" t="s">
        <v>46</v>
      </c>
      <c r="C372" t="s">
        <v>47</v>
      </c>
      <c r="D372" t="s">
        <v>355</v>
      </c>
      <c r="F372" t="str">
        <f>"1114"</f>
        <v>1114</v>
      </c>
      <c r="G372" t="s">
        <v>49</v>
      </c>
      <c r="K372" t="s">
        <v>51</v>
      </c>
      <c r="L372" t="s">
        <v>52</v>
      </c>
      <c r="M372">
        <v>136490.54999999999</v>
      </c>
      <c r="N372">
        <v>473636.35</v>
      </c>
      <c r="O372" t="s">
        <v>53</v>
      </c>
      <c r="P372" t="s">
        <v>54</v>
      </c>
      <c r="Q372" t="s">
        <v>55</v>
      </c>
      <c r="T372" t="s">
        <v>100</v>
      </c>
      <c r="U372">
        <v>40</v>
      </c>
      <c r="V372" s="1">
        <v>35431</v>
      </c>
      <c r="W372" s="1">
        <v>35431</v>
      </c>
      <c r="X372" s="1">
        <v>35431</v>
      </c>
      <c r="Y372" s="1">
        <v>50041</v>
      </c>
      <c r="Z372" t="s">
        <v>51</v>
      </c>
      <c r="AB372" t="s">
        <v>54</v>
      </c>
      <c r="AC372">
        <v>1</v>
      </c>
      <c r="AE372" t="s">
        <v>222</v>
      </c>
      <c r="AF372">
        <v>20</v>
      </c>
      <c r="AG372" s="1">
        <v>35431</v>
      </c>
      <c r="AH372" s="1">
        <v>35431</v>
      </c>
      <c r="AI372" s="1">
        <v>35431</v>
      </c>
      <c r="AJ372" s="1">
        <v>42736</v>
      </c>
      <c r="AK372" t="s">
        <v>51</v>
      </c>
      <c r="AN372">
        <v>0</v>
      </c>
      <c r="AO372" t="s">
        <v>54</v>
      </c>
      <c r="AP372" t="s">
        <v>53</v>
      </c>
      <c r="AQ372">
        <v>0</v>
      </c>
      <c r="AR372" t="s">
        <v>53</v>
      </c>
      <c r="AS372">
        <v>0</v>
      </c>
      <c r="AT372">
        <v>0</v>
      </c>
      <c r="AW372" t="s">
        <v>58</v>
      </c>
      <c r="AX372">
        <v>20</v>
      </c>
      <c r="AY372" s="1">
        <v>35431</v>
      </c>
      <c r="AZ372" s="1">
        <v>35431</v>
      </c>
      <c r="BA372" s="1">
        <v>35431</v>
      </c>
      <c r="BB372" s="1">
        <v>42736</v>
      </c>
      <c r="BC372" t="s">
        <v>51</v>
      </c>
      <c r="BE372" t="s">
        <v>54</v>
      </c>
      <c r="BF372">
        <v>2</v>
      </c>
      <c r="BG372">
        <v>0</v>
      </c>
      <c r="BH372" t="s">
        <v>53</v>
      </c>
      <c r="BK372" t="s">
        <v>59</v>
      </c>
      <c r="BL372">
        <v>14000</v>
      </c>
      <c r="BM372" s="1">
        <v>44322</v>
      </c>
      <c r="BN372" s="1">
        <v>44322</v>
      </c>
      <c r="BO372" s="1">
        <v>44322</v>
      </c>
      <c r="BP372" s="1">
        <v>45544</v>
      </c>
      <c r="BQ372" t="s">
        <v>51</v>
      </c>
      <c r="BS372" t="s">
        <v>60</v>
      </c>
      <c r="BT372" t="s">
        <v>54</v>
      </c>
      <c r="BU372" t="s">
        <v>61</v>
      </c>
      <c r="BV372" t="s">
        <v>62</v>
      </c>
      <c r="BX372">
        <v>24</v>
      </c>
      <c r="BY372">
        <v>0</v>
      </c>
      <c r="BZ372">
        <v>0</v>
      </c>
    </row>
    <row r="373" spans="1:112" x14ac:dyDescent="0.2">
      <c r="A373" t="s">
        <v>45</v>
      </c>
      <c r="B373" t="s">
        <v>46</v>
      </c>
      <c r="C373" t="s">
        <v>47</v>
      </c>
      <c r="D373" t="s">
        <v>48</v>
      </c>
      <c r="F373" t="str">
        <f>"?253300"</f>
        <v>?253300</v>
      </c>
      <c r="G373" t="s">
        <v>49</v>
      </c>
      <c r="H373">
        <v>83</v>
      </c>
      <c r="K373" t="s">
        <v>51</v>
      </c>
      <c r="L373" t="s">
        <v>52</v>
      </c>
      <c r="M373">
        <v>136450.85999999999</v>
      </c>
      <c r="N373">
        <v>473587.4</v>
      </c>
      <c r="O373" t="s">
        <v>53</v>
      </c>
      <c r="P373" t="s">
        <v>54</v>
      </c>
      <c r="Q373" t="s">
        <v>55</v>
      </c>
      <c r="T373" t="s">
        <v>131</v>
      </c>
      <c r="U373">
        <v>40</v>
      </c>
      <c r="V373" s="1">
        <v>35431</v>
      </c>
      <c r="W373" s="1">
        <v>35431</v>
      </c>
      <c r="X373" s="1">
        <v>35431</v>
      </c>
      <c r="Y373" s="1">
        <v>50041</v>
      </c>
      <c r="Z373" t="s">
        <v>51</v>
      </c>
      <c r="AB373" t="s">
        <v>54</v>
      </c>
      <c r="AC373">
        <v>1</v>
      </c>
      <c r="AE373" t="s">
        <v>84</v>
      </c>
      <c r="AF373">
        <v>20</v>
      </c>
      <c r="AG373" s="1">
        <v>35431</v>
      </c>
      <c r="AH373" s="1">
        <v>35431</v>
      </c>
      <c r="AI373" s="1">
        <v>35431</v>
      </c>
      <c r="AJ373" s="1">
        <v>42736</v>
      </c>
      <c r="AK373" t="s">
        <v>51</v>
      </c>
      <c r="AN373">
        <v>0</v>
      </c>
      <c r="AO373" t="s">
        <v>54</v>
      </c>
      <c r="AP373" t="s">
        <v>53</v>
      </c>
      <c r="AQ373">
        <v>0</v>
      </c>
      <c r="AR373" t="s">
        <v>53</v>
      </c>
      <c r="AS373">
        <v>0</v>
      </c>
      <c r="AT373">
        <v>0</v>
      </c>
      <c r="AW373" t="s">
        <v>161</v>
      </c>
      <c r="AX373">
        <v>50</v>
      </c>
      <c r="AY373" s="1">
        <v>35431</v>
      </c>
      <c r="AZ373" s="1">
        <v>35431</v>
      </c>
      <c r="BA373" s="1">
        <v>35431</v>
      </c>
      <c r="BB373" s="1">
        <v>53693</v>
      </c>
      <c r="BC373" t="s">
        <v>51</v>
      </c>
      <c r="BE373" t="s">
        <v>54</v>
      </c>
      <c r="BF373">
        <v>0</v>
      </c>
      <c r="BG373">
        <v>0</v>
      </c>
      <c r="BH373" t="s">
        <v>53</v>
      </c>
      <c r="BK373" t="s">
        <v>59</v>
      </c>
      <c r="BL373">
        <v>14000</v>
      </c>
      <c r="BM373" s="1">
        <v>44319</v>
      </c>
      <c r="BN373" s="1">
        <v>44319</v>
      </c>
      <c r="BO373" s="1">
        <v>44319</v>
      </c>
      <c r="BP373" s="1">
        <v>45541</v>
      </c>
      <c r="BQ373" t="s">
        <v>51</v>
      </c>
      <c r="BS373" t="s">
        <v>60</v>
      </c>
      <c r="BT373" t="s">
        <v>54</v>
      </c>
      <c r="BU373" t="s">
        <v>61</v>
      </c>
      <c r="BV373" t="s">
        <v>62</v>
      </c>
      <c r="BX373">
        <v>24</v>
      </c>
      <c r="BY373">
        <v>0</v>
      </c>
      <c r="BZ373">
        <v>0</v>
      </c>
    </row>
    <row r="374" spans="1:112" x14ac:dyDescent="0.2">
      <c r="A374" t="s">
        <v>45</v>
      </c>
      <c r="B374" t="s">
        <v>46</v>
      </c>
      <c r="C374" t="s">
        <v>47</v>
      </c>
      <c r="D374" t="s">
        <v>48</v>
      </c>
      <c r="F374" t="str">
        <f>"254349"</f>
        <v>254349</v>
      </c>
      <c r="G374" t="s">
        <v>49</v>
      </c>
      <c r="H374" t="s">
        <v>359</v>
      </c>
      <c r="K374" t="s">
        <v>51</v>
      </c>
      <c r="L374" t="s">
        <v>52</v>
      </c>
      <c r="M374">
        <v>136476.73000000001</v>
      </c>
      <c r="N374">
        <v>473576.83</v>
      </c>
      <c r="O374" t="s">
        <v>53</v>
      </c>
      <c r="P374" t="s">
        <v>54</v>
      </c>
      <c r="Q374" t="s">
        <v>55</v>
      </c>
      <c r="T374" t="s">
        <v>81</v>
      </c>
      <c r="U374">
        <v>40</v>
      </c>
      <c r="V374" s="1">
        <v>43654</v>
      </c>
      <c r="W374" s="1">
        <v>43654</v>
      </c>
      <c r="X374" s="1">
        <v>43654</v>
      </c>
      <c r="Y374" s="1">
        <v>58264</v>
      </c>
      <c r="Z374" t="s">
        <v>51</v>
      </c>
      <c r="AB374" t="s">
        <v>54</v>
      </c>
      <c r="AC374">
        <v>1</v>
      </c>
      <c r="AE374" t="s">
        <v>116</v>
      </c>
      <c r="AF374">
        <v>20</v>
      </c>
      <c r="AG374" s="1">
        <v>43668</v>
      </c>
      <c r="AH374" s="1">
        <v>43668</v>
      </c>
      <c r="AI374" s="1">
        <v>43668</v>
      </c>
      <c r="AJ374" s="1">
        <v>50973</v>
      </c>
      <c r="AK374" t="s">
        <v>51</v>
      </c>
      <c r="AN374">
        <v>0</v>
      </c>
      <c r="AO374" t="s">
        <v>54</v>
      </c>
      <c r="AP374" t="s">
        <v>53</v>
      </c>
      <c r="AQ374">
        <v>0</v>
      </c>
      <c r="AR374" t="s">
        <v>53</v>
      </c>
      <c r="AS374">
        <v>0</v>
      </c>
      <c r="AT374">
        <v>0</v>
      </c>
      <c r="AW374" t="s">
        <v>58</v>
      </c>
      <c r="AX374">
        <v>20</v>
      </c>
      <c r="AY374" s="1">
        <v>35431</v>
      </c>
      <c r="AZ374" s="1">
        <v>35431</v>
      </c>
      <c r="BA374" s="1">
        <v>43668</v>
      </c>
      <c r="BB374" s="1">
        <v>42736</v>
      </c>
      <c r="BC374" t="s">
        <v>51</v>
      </c>
      <c r="BE374" t="s">
        <v>54</v>
      </c>
      <c r="BF374">
        <v>2</v>
      </c>
      <c r="BG374">
        <v>0</v>
      </c>
      <c r="BH374" t="s">
        <v>53</v>
      </c>
      <c r="BK374" t="s">
        <v>65</v>
      </c>
      <c r="BL374">
        <v>14000</v>
      </c>
      <c r="BM374" s="1">
        <v>44319</v>
      </c>
      <c r="BN374" s="1">
        <v>44319</v>
      </c>
      <c r="BO374" s="1">
        <v>44319</v>
      </c>
      <c r="BP374" s="1">
        <v>45541</v>
      </c>
      <c r="BQ374" t="s">
        <v>51</v>
      </c>
      <c r="BS374" t="s">
        <v>60</v>
      </c>
      <c r="BT374" t="s">
        <v>54</v>
      </c>
      <c r="BU374" t="s">
        <v>61</v>
      </c>
      <c r="BV374" t="s">
        <v>62</v>
      </c>
      <c r="BX374">
        <v>36</v>
      </c>
      <c r="BY374">
        <v>0</v>
      </c>
      <c r="BZ374">
        <v>0</v>
      </c>
      <c r="CX374" t="s">
        <v>360</v>
      </c>
      <c r="CY374">
        <v>40</v>
      </c>
      <c r="CZ374" s="1">
        <v>43654</v>
      </c>
      <c r="DA374" s="1">
        <v>43654</v>
      </c>
      <c r="DB374" s="1">
        <v>43654</v>
      </c>
      <c r="DC374" s="1">
        <v>58264</v>
      </c>
      <c r="DD374" t="s">
        <v>51</v>
      </c>
      <c r="DF374" t="s">
        <v>54</v>
      </c>
      <c r="DG374">
        <v>0</v>
      </c>
      <c r="DH374">
        <v>0</v>
      </c>
    </row>
    <row r="375" spans="1:112" x14ac:dyDescent="0.2">
      <c r="A375" t="s">
        <v>45</v>
      </c>
      <c r="B375" t="s">
        <v>46</v>
      </c>
      <c r="C375" t="s">
        <v>47</v>
      </c>
      <c r="D375" t="s">
        <v>153</v>
      </c>
      <c r="F375" t="str">
        <f>"253960"</f>
        <v>253960</v>
      </c>
      <c r="G375" t="s">
        <v>49</v>
      </c>
      <c r="H375" t="s">
        <v>346</v>
      </c>
      <c r="K375" t="s">
        <v>51</v>
      </c>
      <c r="L375" t="s">
        <v>52</v>
      </c>
      <c r="M375">
        <v>136771.66</v>
      </c>
      <c r="N375">
        <v>473952.44</v>
      </c>
      <c r="O375" t="s">
        <v>53</v>
      </c>
      <c r="P375" t="s">
        <v>54</v>
      </c>
      <c r="Q375" t="s">
        <v>55</v>
      </c>
      <c r="T375" t="s">
        <v>170</v>
      </c>
      <c r="U375">
        <v>40</v>
      </c>
      <c r="V375" s="1">
        <v>42186</v>
      </c>
      <c r="W375" s="1">
        <v>42186</v>
      </c>
      <c r="X375" s="1">
        <v>42186</v>
      </c>
      <c r="Y375" s="1">
        <v>56796</v>
      </c>
      <c r="Z375" t="s">
        <v>51</v>
      </c>
      <c r="AB375" t="s">
        <v>54</v>
      </c>
      <c r="AC375">
        <v>1</v>
      </c>
      <c r="AE375" t="s">
        <v>171</v>
      </c>
      <c r="AF375">
        <v>20</v>
      </c>
      <c r="AG375" s="1">
        <v>42186</v>
      </c>
      <c r="AH375" s="1">
        <v>42186</v>
      </c>
      <c r="AI375" s="1">
        <v>42186</v>
      </c>
      <c r="AJ375" s="1">
        <v>49491</v>
      </c>
      <c r="AK375" t="s">
        <v>51</v>
      </c>
      <c r="AN375">
        <v>0</v>
      </c>
      <c r="AO375" t="s">
        <v>54</v>
      </c>
      <c r="AP375" t="s">
        <v>53</v>
      </c>
      <c r="AQ375">
        <v>0</v>
      </c>
      <c r="AR375" t="s">
        <v>53</v>
      </c>
      <c r="AS375">
        <v>0</v>
      </c>
      <c r="AT375">
        <v>0</v>
      </c>
      <c r="AW375" t="s">
        <v>172</v>
      </c>
      <c r="AX375">
        <v>15</v>
      </c>
      <c r="AY375" s="1">
        <v>44341</v>
      </c>
      <c r="AZ375" s="1">
        <v>44341</v>
      </c>
      <c r="BA375" s="1">
        <v>44341</v>
      </c>
      <c r="BB375" s="1">
        <v>49820</v>
      </c>
      <c r="BC375" t="s">
        <v>51</v>
      </c>
      <c r="BE375" t="s">
        <v>54</v>
      </c>
      <c r="BF375">
        <v>40</v>
      </c>
      <c r="BG375">
        <v>0</v>
      </c>
      <c r="BH375" t="s">
        <v>145</v>
      </c>
      <c r="CC375" t="s">
        <v>173</v>
      </c>
      <c r="CD375">
        <v>100000</v>
      </c>
      <c r="CE375" s="1">
        <v>44341</v>
      </c>
      <c r="CF375" s="1">
        <v>44341</v>
      </c>
      <c r="CG375" s="1">
        <v>44341</v>
      </c>
      <c r="CH375" s="1">
        <v>52822</v>
      </c>
      <c r="CI375" t="s">
        <v>51</v>
      </c>
      <c r="CK375" t="s">
        <v>78</v>
      </c>
      <c r="CM375" t="s">
        <v>54</v>
      </c>
      <c r="CN375" t="s">
        <v>174</v>
      </c>
      <c r="CO375" t="s">
        <v>86</v>
      </c>
      <c r="CP375">
        <v>830</v>
      </c>
      <c r="CR375">
        <v>19</v>
      </c>
      <c r="CS375">
        <v>1800</v>
      </c>
      <c r="CT375">
        <v>0</v>
      </c>
      <c r="CU375">
        <v>16</v>
      </c>
    </row>
    <row r="376" spans="1:112" x14ac:dyDescent="0.2">
      <c r="A376" t="s">
        <v>45</v>
      </c>
      <c r="B376" t="s">
        <v>46</v>
      </c>
      <c r="C376" t="s">
        <v>47</v>
      </c>
      <c r="D376" t="s">
        <v>153</v>
      </c>
      <c r="F376" t="str">
        <f>"253961"</f>
        <v>253961</v>
      </c>
      <c r="G376" t="s">
        <v>49</v>
      </c>
      <c r="H376" t="s">
        <v>346</v>
      </c>
      <c r="K376" t="s">
        <v>51</v>
      </c>
      <c r="L376" t="s">
        <v>52</v>
      </c>
      <c r="M376">
        <v>136770.01</v>
      </c>
      <c r="N376">
        <v>473977.49</v>
      </c>
      <c r="O376" t="s">
        <v>53</v>
      </c>
      <c r="P376" t="s">
        <v>54</v>
      </c>
      <c r="Q376" t="s">
        <v>55</v>
      </c>
      <c r="T376" t="s">
        <v>170</v>
      </c>
      <c r="U376">
        <v>40</v>
      </c>
      <c r="V376" s="1">
        <v>42186</v>
      </c>
      <c r="W376" s="1">
        <v>42186</v>
      </c>
      <c r="X376" s="1">
        <v>42186</v>
      </c>
      <c r="Y376" s="1">
        <v>56796</v>
      </c>
      <c r="Z376" t="s">
        <v>51</v>
      </c>
      <c r="AB376" t="s">
        <v>54</v>
      </c>
      <c r="AC376">
        <v>1</v>
      </c>
      <c r="AE376" t="s">
        <v>171</v>
      </c>
      <c r="AF376">
        <v>20</v>
      </c>
      <c r="AG376" s="1">
        <v>42186</v>
      </c>
      <c r="AH376" s="1">
        <v>42186</v>
      </c>
      <c r="AI376" s="1">
        <v>42186</v>
      </c>
      <c r="AJ376" s="1">
        <v>49491</v>
      </c>
      <c r="AK376" t="s">
        <v>51</v>
      </c>
      <c r="AN376">
        <v>0</v>
      </c>
      <c r="AO376" t="s">
        <v>54</v>
      </c>
      <c r="AP376" t="s">
        <v>53</v>
      </c>
      <c r="AQ376">
        <v>0</v>
      </c>
      <c r="AR376" t="s">
        <v>53</v>
      </c>
      <c r="AS376">
        <v>0</v>
      </c>
      <c r="AT376">
        <v>0</v>
      </c>
      <c r="AW376" t="s">
        <v>172</v>
      </c>
      <c r="AX376">
        <v>15</v>
      </c>
      <c r="AY376" s="1">
        <v>44341</v>
      </c>
      <c r="AZ376" s="1">
        <v>44341</v>
      </c>
      <c r="BA376" s="1">
        <v>44341</v>
      </c>
      <c r="BB376" s="1">
        <v>49820</v>
      </c>
      <c r="BC376" t="s">
        <v>51</v>
      </c>
      <c r="BE376" t="s">
        <v>54</v>
      </c>
      <c r="BF376">
        <v>40</v>
      </c>
      <c r="BG376">
        <v>0</v>
      </c>
      <c r="BH376" t="s">
        <v>145</v>
      </c>
      <c r="CC376" t="s">
        <v>173</v>
      </c>
      <c r="CD376">
        <v>100000</v>
      </c>
      <c r="CE376" s="1">
        <v>44341</v>
      </c>
      <c r="CF376" s="1">
        <v>44341</v>
      </c>
      <c r="CG376" s="1">
        <v>44341</v>
      </c>
      <c r="CH376" s="1">
        <v>52822</v>
      </c>
      <c r="CI376" t="s">
        <v>51</v>
      </c>
      <c r="CK376" t="s">
        <v>78</v>
      </c>
      <c r="CM376" t="s">
        <v>54</v>
      </c>
      <c r="CN376" t="s">
        <v>174</v>
      </c>
      <c r="CO376" t="s">
        <v>86</v>
      </c>
      <c r="CP376">
        <v>830</v>
      </c>
      <c r="CR376">
        <v>19</v>
      </c>
      <c r="CS376">
        <v>1800</v>
      </c>
      <c r="CT376">
        <v>0</v>
      </c>
      <c r="CU376">
        <v>16</v>
      </c>
    </row>
    <row r="377" spans="1:112" x14ac:dyDescent="0.2">
      <c r="A377" t="s">
        <v>45</v>
      </c>
      <c r="B377" t="s">
        <v>46</v>
      </c>
      <c r="C377" t="s">
        <v>47</v>
      </c>
      <c r="D377" t="s">
        <v>48</v>
      </c>
      <c r="F377" t="str">
        <f>"?253347"</f>
        <v>?253347</v>
      </c>
      <c r="G377" t="s">
        <v>49</v>
      </c>
      <c r="K377" t="s">
        <v>51</v>
      </c>
      <c r="L377" t="s">
        <v>52</v>
      </c>
      <c r="M377">
        <v>135188.49299999999</v>
      </c>
      <c r="N377">
        <v>474094.98700000002</v>
      </c>
      <c r="O377" t="s">
        <v>53</v>
      </c>
      <c r="P377" t="s">
        <v>54</v>
      </c>
      <c r="Q377" t="s">
        <v>55</v>
      </c>
      <c r="T377" t="s">
        <v>220</v>
      </c>
      <c r="U377">
        <v>40</v>
      </c>
      <c r="V377" s="1">
        <v>22647</v>
      </c>
      <c r="W377" s="1">
        <v>22647</v>
      </c>
      <c r="X377" s="1">
        <v>22647</v>
      </c>
      <c r="Y377" s="1">
        <v>37257</v>
      </c>
      <c r="Z377" t="s">
        <v>51</v>
      </c>
      <c r="AB377" t="s">
        <v>54</v>
      </c>
      <c r="AE377" t="s">
        <v>64</v>
      </c>
      <c r="AF377">
        <v>20</v>
      </c>
      <c r="AG377" s="1">
        <v>31048</v>
      </c>
      <c r="AH377" s="1">
        <v>31048</v>
      </c>
      <c r="AI377" s="1">
        <v>31048</v>
      </c>
      <c r="AK377" t="s">
        <v>51</v>
      </c>
      <c r="AN377">
        <v>0</v>
      </c>
      <c r="AO377" t="s">
        <v>54</v>
      </c>
      <c r="AP377" t="s">
        <v>53</v>
      </c>
      <c r="AQ377">
        <v>0</v>
      </c>
      <c r="AR377" t="s">
        <v>53</v>
      </c>
      <c r="AS377">
        <v>0</v>
      </c>
      <c r="AT377">
        <v>0</v>
      </c>
      <c r="BK377" t="s">
        <v>65</v>
      </c>
      <c r="BL377">
        <v>14000</v>
      </c>
      <c r="BM377" s="1">
        <v>44322</v>
      </c>
      <c r="BN377" s="1">
        <v>44322</v>
      </c>
      <c r="BO377" s="1">
        <v>44322</v>
      </c>
      <c r="BP377" s="1">
        <v>45544</v>
      </c>
      <c r="BQ377" t="s">
        <v>51</v>
      </c>
      <c r="BS377" t="s">
        <v>60</v>
      </c>
      <c r="BT377" t="s">
        <v>54</v>
      </c>
      <c r="BU377" t="s">
        <v>61</v>
      </c>
      <c r="BV377" t="s">
        <v>62</v>
      </c>
      <c r="BX377">
        <v>36</v>
      </c>
      <c r="BY377">
        <v>0</v>
      </c>
      <c r="BZ377">
        <v>0</v>
      </c>
    </row>
    <row r="378" spans="1:112" x14ac:dyDescent="0.2">
      <c r="A378" t="s">
        <v>45</v>
      </c>
      <c r="B378" t="s">
        <v>46</v>
      </c>
      <c r="C378" t="s">
        <v>47</v>
      </c>
      <c r="D378" t="s">
        <v>48</v>
      </c>
      <c r="F378" t="str">
        <f>"?253892"</f>
        <v>?253892</v>
      </c>
      <c r="G378" t="s">
        <v>49</v>
      </c>
      <c r="I378" t="s">
        <v>350</v>
      </c>
      <c r="K378" t="s">
        <v>51</v>
      </c>
      <c r="L378" t="s">
        <v>52</v>
      </c>
      <c r="M378">
        <v>135029.06</v>
      </c>
      <c r="N378">
        <v>474148.71</v>
      </c>
      <c r="O378" t="s">
        <v>53</v>
      </c>
      <c r="P378" t="s">
        <v>54</v>
      </c>
      <c r="Q378" t="s">
        <v>55</v>
      </c>
      <c r="T378" t="s">
        <v>69</v>
      </c>
      <c r="U378">
        <v>40</v>
      </c>
      <c r="V378" s="1">
        <v>30682</v>
      </c>
      <c r="W378" s="1">
        <v>30682</v>
      </c>
      <c r="X378" s="1">
        <v>30682</v>
      </c>
      <c r="Y378" s="1">
        <v>45292</v>
      </c>
      <c r="Z378" t="s">
        <v>51</v>
      </c>
      <c r="AB378" t="s">
        <v>54</v>
      </c>
      <c r="AC378">
        <v>1</v>
      </c>
      <c r="AE378" t="s">
        <v>351</v>
      </c>
      <c r="AF378">
        <v>20</v>
      </c>
      <c r="AG378" s="1">
        <v>30682</v>
      </c>
      <c r="AH378" s="1">
        <v>30682</v>
      </c>
      <c r="AI378" s="1">
        <v>30682</v>
      </c>
      <c r="AJ378" s="1">
        <v>37987</v>
      </c>
      <c r="AK378" t="s">
        <v>51</v>
      </c>
      <c r="AN378">
        <v>0</v>
      </c>
      <c r="AO378" t="s">
        <v>54</v>
      </c>
      <c r="AP378" t="s">
        <v>53</v>
      </c>
      <c r="AQ378">
        <v>0</v>
      </c>
      <c r="AR378" t="s">
        <v>53</v>
      </c>
      <c r="AS378">
        <v>0</v>
      </c>
      <c r="AT378">
        <v>0</v>
      </c>
      <c r="AW378" t="s">
        <v>161</v>
      </c>
      <c r="AX378">
        <v>50</v>
      </c>
      <c r="AY378" s="1">
        <v>30682</v>
      </c>
      <c r="AZ378" s="1">
        <v>30682</v>
      </c>
      <c r="BA378" s="1">
        <v>30682</v>
      </c>
      <c r="BB378" s="1">
        <v>48945</v>
      </c>
      <c r="BC378" t="s">
        <v>51</v>
      </c>
      <c r="BE378" t="s">
        <v>54</v>
      </c>
      <c r="BF378">
        <v>0</v>
      </c>
      <c r="BG378">
        <v>0</v>
      </c>
      <c r="BH378" t="s">
        <v>53</v>
      </c>
      <c r="BK378" t="s">
        <v>361</v>
      </c>
      <c r="BL378">
        <v>21500</v>
      </c>
      <c r="BM378" s="1">
        <v>44322</v>
      </c>
      <c r="BN378" s="1">
        <v>44322</v>
      </c>
      <c r="BO378" s="1">
        <v>44322</v>
      </c>
      <c r="BP378" s="1">
        <v>46136</v>
      </c>
      <c r="BQ378" t="s">
        <v>51</v>
      </c>
      <c r="BS378" t="s">
        <v>60</v>
      </c>
      <c r="BT378" t="s">
        <v>54</v>
      </c>
      <c r="BU378" t="s">
        <v>362</v>
      </c>
      <c r="BV378" t="s">
        <v>354</v>
      </c>
      <c r="BX378">
        <v>70</v>
      </c>
      <c r="BY378">
        <v>0</v>
      </c>
      <c r="BZ378">
        <v>0</v>
      </c>
    </row>
    <row r="379" spans="1:112" x14ac:dyDescent="0.2">
      <c r="A379" t="s">
        <v>45</v>
      </c>
      <c r="B379" t="s">
        <v>46</v>
      </c>
      <c r="C379" t="s">
        <v>47</v>
      </c>
      <c r="D379" t="s">
        <v>48</v>
      </c>
      <c r="F379" t="str">
        <f>"?253893"</f>
        <v>?253893</v>
      </c>
      <c r="G379" t="s">
        <v>49</v>
      </c>
      <c r="I379" t="s">
        <v>363</v>
      </c>
      <c r="K379" t="s">
        <v>51</v>
      </c>
      <c r="L379" t="s">
        <v>52</v>
      </c>
      <c r="M379">
        <v>135006.28</v>
      </c>
      <c r="N379">
        <v>474162.69</v>
      </c>
      <c r="O379" t="s">
        <v>53</v>
      </c>
      <c r="P379" t="s">
        <v>54</v>
      </c>
      <c r="Q379" t="s">
        <v>55</v>
      </c>
      <c r="T379" t="s">
        <v>69</v>
      </c>
      <c r="U379">
        <v>40</v>
      </c>
      <c r="V379" s="1">
        <v>30682</v>
      </c>
      <c r="W379" s="1">
        <v>30682</v>
      </c>
      <c r="X379" s="1">
        <v>30682</v>
      </c>
      <c r="Y379" s="1">
        <v>45292</v>
      </c>
      <c r="Z379" t="s">
        <v>51</v>
      </c>
      <c r="AB379" t="s">
        <v>54</v>
      </c>
      <c r="AC379">
        <v>1</v>
      </c>
      <c r="AE379" t="s">
        <v>351</v>
      </c>
      <c r="AF379">
        <v>20</v>
      </c>
      <c r="AG379" s="1">
        <v>30682</v>
      </c>
      <c r="AH379" s="1">
        <v>30682</v>
      </c>
      <c r="AI379" s="1">
        <v>30682</v>
      </c>
      <c r="AJ379" s="1">
        <v>37987</v>
      </c>
      <c r="AK379" t="s">
        <v>51</v>
      </c>
      <c r="AN379">
        <v>0</v>
      </c>
      <c r="AO379" t="s">
        <v>54</v>
      </c>
      <c r="AP379" t="s">
        <v>53</v>
      </c>
      <c r="AQ379">
        <v>0</v>
      </c>
      <c r="AR379" t="s">
        <v>53</v>
      </c>
      <c r="AS379">
        <v>0</v>
      </c>
      <c r="AT379">
        <v>0</v>
      </c>
      <c r="AW379" t="s">
        <v>161</v>
      </c>
      <c r="AX379">
        <v>50</v>
      </c>
      <c r="AY379" s="1">
        <v>30682</v>
      </c>
      <c r="AZ379" s="1">
        <v>30682</v>
      </c>
      <c r="BA379" s="1">
        <v>30682</v>
      </c>
      <c r="BB379" s="1">
        <v>48945</v>
      </c>
      <c r="BC379" t="s">
        <v>51</v>
      </c>
      <c r="BE379" t="s">
        <v>54</v>
      </c>
      <c r="BF379">
        <v>0</v>
      </c>
      <c r="BG379">
        <v>0</v>
      </c>
      <c r="BH379" t="s">
        <v>53</v>
      </c>
      <c r="BK379" t="s">
        <v>361</v>
      </c>
      <c r="BL379">
        <v>21500</v>
      </c>
      <c r="BM379" s="1">
        <v>44322</v>
      </c>
      <c r="BN379" s="1">
        <v>44322</v>
      </c>
      <c r="BO379" s="1">
        <v>44322</v>
      </c>
      <c r="BP379" s="1">
        <v>46136</v>
      </c>
      <c r="BQ379" t="s">
        <v>51</v>
      </c>
      <c r="BS379" t="s">
        <v>60</v>
      </c>
      <c r="BT379" t="s">
        <v>54</v>
      </c>
      <c r="BU379" t="s">
        <v>362</v>
      </c>
      <c r="BV379" t="s">
        <v>354</v>
      </c>
      <c r="BX379">
        <v>70</v>
      </c>
      <c r="BY379">
        <v>0</v>
      </c>
      <c r="BZ379">
        <v>0</v>
      </c>
    </row>
    <row r="380" spans="1:112" x14ac:dyDescent="0.2">
      <c r="A380" t="s">
        <v>45</v>
      </c>
      <c r="B380" t="s">
        <v>46</v>
      </c>
      <c r="C380" t="s">
        <v>47</v>
      </c>
      <c r="D380" t="s">
        <v>364</v>
      </c>
      <c r="F380" t="str">
        <f>"1107"</f>
        <v>1107</v>
      </c>
      <c r="G380" t="s">
        <v>49</v>
      </c>
      <c r="K380" t="s">
        <v>51</v>
      </c>
      <c r="L380" t="s">
        <v>52</v>
      </c>
      <c r="M380">
        <v>136657.96</v>
      </c>
      <c r="N380">
        <v>473553.08</v>
      </c>
      <c r="O380" t="s">
        <v>53</v>
      </c>
      <c r="P380" t="s">
        <v>54</v>
      </c>
      <c r="Q380" t="s">
        <v>55</v>
      </c>
      <c r="T380" t="s">
        <v>100</v>
      </c>
      <c r="U380">
        <v>40</v>
      </c>
      <c r="V380" s="1">
        <v>35431</v>
      </c>
      <c r="W380" s="1">
        <v>35431</v>
      </c>
      <c r="X380" s="1">
        <v>35431</v>
      </c>
      <c r="Y380" s="1">
        <v>50041</v>
      </c>
      <c r="Z380" t="s">
        <v>51</v>
      </c>
      <c r="AB380" t="s">
        <v>54</v>
      </c>
      <c r="AC380">
        <v>1</v>
      </c>
      <c r="AE380" t="s">
        <v>222</v>
      </c>
      <c r="AF380">
        <v>20</v>
      </c>
      <c r="AG380" s="1">
        <v>35431</v>
      </c>
      <c r="AH380" s="1">
        <v>35431</v>
      </c>
      <c r="AI380" s="1">
        <v>35431</v>
      </c>
      <c r="AJ380" s="1">
        <v>42736</v>
      </c>
      <c r="AK380" t="s">
        <v>51</v>
      </c>
      <c r="AN380">
        <v>0</v>
      </c>
      <c r="AO380" t="s">
        <v>54</v>
      </c>
      <c r="AP380" t="s">
        <v>53</v>
      </c>
      <c r="AQ380">
        <v>0</v>
      </c>
      <c r="AR380" t="s">
        <v>53</v>
      </c>
      <c r="AS380">
        <v>0</v>
      </c>
      <c r="AT380">
        <v>0</v>
      </c>
      <c r="AW380" t="s">
        <v>58</v>
      </c>
      <c r="AX380">
        <v>20</v>
      </c>
      <c r="AY380" s="1">
        <v>35431</v>
      </c>
      <c r="AZ380" s="1">
        <v>35431</v>
      </c>
      <c r="BA380" s="1">
        <v>35431</v>
      </c>
      <c r="BB380" s="1">
        <v>42736</v>
      </c>
      <c r="BC380" t="s">
        <v>51</v>
      </c>
      <c r="BE380" t="s">
        <v>54</v>
      </c>
      <c r="BF380">
        <v>2</v>
      </c>
      <c r="BG380">
        <v>0</v>
      </c>
      <c r="BH380" t="s">
        <v>53</v>
      </c>
      <c r="BK380" t="s">
        <v>59</v>
      </c>
      <c r="BL380">
        <v>14000</v>
      </c>
      <c r="BM380" s="1">
        <v>44322</v>
      </c>
      <c r="BN380" s="1">
        <v>44322</v>
      </c>
      <c r="BO380" s="1">
        <v>44322</v>
      </c>
      <c r="BP380" s="1">
        <v>45544</v>
      </c>
      <c r="BQ380" t="s">
        <v>51</v>
      </c>
      <c r="BS380" t="s">
        <v>60</v>
      </c>
      <c r="BT380" t="s">
        <v>54</v>
      </c>
      <c r="BU380" t="s">
        <v>61</v>
      </c>
      <c r="BV380" t="s">
        <v>62</v>
      </c>
      <c r="BX380">
        <v>24</v>
      </c>
      <c r="BY380">
        <v>0</v>
      </c>
      <c r="BZ380">
        <v>0</v>
      </c>
    </row>
    <row r="381" spans="1:112" x14ac:dyDescent="0.2">
      <c r="A381" t="s">
        <v>45</v>
      </c>
      <c r="B381" t="s">
        <v>46</v>
      </c>
      <c r="C381" t="s">
        <v>47</v>
      </c>
      <c r="D381" t="s">
        <v>357</v>
      </c>
      <c r="F381" t="str">
        <f>"1108"</f>
        <v>1108</v>
      </c>
      <c r="G381" t="s">
        <v>49</v>
      </c>
      <c r="K381" t="s">
        <v>51</v>
      </c>
      <c r="L381" t="s">
        <v>52</v>
      </c>
      <c r="M381">
        <v>136589.9</v>
      </c>
      <c r="N381">
        <v>473555.14</v>
      </c>
      <c r="O381" t="s">
        <v>53</v>
      </c>
      <c r="P381" t="s">
        <v>54</v>
      </c>
      <c r="Q381" t="s">
        <v>55</v>
      </c>
      <c r="T381" t="s">
        <v>100</v>
      </c>
      <c r="U381">
        <v>40</v>
      </c>
      <c r="V381" s="1">
        <v>35431</v>
      </c>
      <c r="W381" s="1">
        <v>35431</v>
      </c>
      <c r="X381" s="1">
        <v>35431</v>
      </c>
      <c r="Y381" s="1">
        <v>50041</v>
      </c>
      <c r="Z381" t="s">
        <v>51</v>
      </c>
      <c r="AB381" t="s">
        <v>54</v>
      </c>
      <c r="AC381">
        <v>1</v>
      </c>
      <c r="AE381" t="s">
        <v>222</v>
      </c>
      <c r="AF381">
        <v>20</v>
      </c>
      <c r="AG381" s="1">
        <v>35431</v>
      </c>
      <c r="AH381" s="1">
        <v>35431</v>
      </c>
      <c r="AI381" s="1">
        <v>35431</v>
      </c>
      <c r="AJ381" s="1">
        <v>42736</v>
      </c>
      <c r="AK381" t="s">
        <v>51</v>
      </c>
      <c r="AN381">
        <v>0</v>
      </c>
      <c r="AO381" t="s">
        <v>54</v>
      </c>
      <c r="AP381" t="s">
        <v>53</v>
      </c>
      <c r="AQ381">
        <v>0</v>
      </c>
      <c r="AR381" t="s">
        <v>53</v>
      </c>
      <c r="AS381">
        <v>0</v>
      </c>
      <c r="AT381">
        <v>0</v>
      </c>
      <c r="AW381" t="s">
        <v>58</v>
      </c>
      <c r="AX381">
        <v>20</v>
      </c>
      <c r="AY381" s="1">
        <v>35431</v>
      </c>
      <c r="AZ381" s="1">
        <v>35431</v>
      </c>
      <c r="BA381" s="1">
        <v>35431</v>
      </c>
      <c r="BB381" s="1">
        <v>42736</v>
      </c>
      <c r="BC381" t="s">
        <v>51</v>
      </c>
      <c r="BE381" t="s">
        <v>54</v>
      </c>
      <c r="BF381">
        <v>2</v>
      </c>
      <c r="BG381">
        <v>0</v>
      </c>
      <c r="BH381" t="s">
        <v>53</v>
      </c>
      <c r="BK381" t="s">
        <v>59</v>
      </c>
      <c r="BL381">
        <v>14000</v>
      </c>
      <c r="BM381" s="1">
        <v>44322</v>
      </c>
      <c r="BN381" s="1">
        <v>44322</v>
      </c>
      <c r="BO381" s="1">
        <v>44322</v>
      </c>
      <c r="BP381" s="1">
        <v>45544</v>
      </c>
      <c r="BQ381" t="s">
        <v>51</v>
      </c>
      <c r="BS381" t="s">
        <v>60</v>
      </c>
      <c r="BT381" t="s">
        <v>54</v>
      </c>
      <c r="BU381" t="s">
        <v>61</v>
      </c>
      <c r="BV381" t="s">
        <v>62</v>
      </c>
      <c r="BX381">
        <v>24</v>
      </c>
      <c r="BY381">
        <v>0</v>
      </c>
      <c r="BZ381">
        <v>0</v>
      </c>
    </row>
    <row r="382" spans="1:112" x14ac:dyDescent="0.2">
      <c r="A382" t="s">
        <v>45</v>
      </c>
      <c r="B382" t="s">
        <v>46</v>
      </c>
      <c r="C382" t="s">
        <v>47</v>
      </c>
      <c r="D382" t="s">
        <v>364</v>
      </c>
      <c r="F382" t="str">
        <f>"1106"</f>
        <v>1106</v>
      </c>
      <c r="G382" t="s">
        <v>49</v>
      </c>
      <c r="K382" t="s">
        <v>51</v>
      </c>
      <c r="L382" t="s">
        <v>52</v>
      </c>
      <c r="M382">
        <v>136642.69</v>
      </c>
      <c r="N382">
        <v>473538.44</v>
      </c>
      <c r="O382" t="s">
        <v>53</v>
      </c>
      <c r="P382" t="s">
        <v>54</v>
      </c>
      <c r="Q382" t="s">
        <v>55</v>
      </c>
      <c r="T382" t="s">
        <v>100</v>
      </c>
      <c r="U382">
        <v>40</v>
      </c>
      <c r="V382" s="1">
        <v>35431</v>
      </c>
      <c r="W382" s="1">
        <v>35431</v>
      </c>
      <c r="X382" s="1">
        <v>35431</v>
      </c>
      <c r="Y382" s="1">
        <v>50041</v>
      </c>
      <c r="Z382" t="s">
        <v>51</v>
      </c>
      <c r="AB382" t="s">
        <v>54</v>
      </c>
      <c r="AC382">
        <v>1</v>
      </c>
      <c r="AE382" t="s">
        <v>222</v>
      </c>
      <c r="AF382">
        <v>20</v>
      </c>
      <c r="AG382" s="1">
        <v>35431</v>
      </c>
      <c r="AH382" s="1">
        <v>35431</v>
      </c>
      <c r="AI382" s="1">
        <v>35431</v>
      </c>
      <c r="AJ382" s="1">
        <v>42736</v>
      </c>
      <c r="AK382" t="s">
        <v>51</v>
      </c>
      <c r="AN382">
        <v>0</v>
      </c>
      <c r="AO382" t="s">
        <v>54</v>
      </c>
      <c r="AP382" t="s">
        <v>53</v>
      </c>
      <c r="AQ382">
        <v>0</v>
      </c>
      <c r="AR382" t="s">
        <v>53</v>
      </c>
      <c r="AS382">
        <v>0</v>
      </c>
      <c r="AT382">
        <v>0</v>
      </c>
      <c r="AW382" t="s">
        <v>58</v>
      </c>
      <c r="AX382">
        <v>20</v>
      </c>
      <c r="AY382" s="1">
        <v>35431</v>
      </c>
      <c r="AZ382" s="1">
        <v>35431</v>
      </c>
      <c r="BA382" s="1">
        <v>35431</v>
      </c>
      <c r="BB382" s="1">
        <v>42736</v>
      </c>
      <c r="BC382" t="s">
        <v>51</v>
      </c>
      <c r="BE382" t="s">
        <v>54</v>
      </c>
      <c r="BF382">
        <v>2</v>
      </c>
      <c r="BG382">
        <v>0</v>
      </c>
      <c r="BH382" t="s">
        <v>53</v>
      </c>
      <c r="BK382" t="s">
        <v>59</v>
      </c>
      <c r="BL382">
        <v>14000</v>
      </c>
      <c r="BM382" s="1">
        <v>44322</v>
      </c>
      <c r="BN382" s="1">
        <v>44322</v>
      </c>
      <c r="BO382" s="1">
        <v>44322</v>
      </c>
      <c r="BP382" s="1">
        <v>45544</v>
      </c>
      <c r="BQ382" t="s">
        <v>51</v>
      </c>
      <c r="BS382" t="s">
        <v>60</v>
      </c>
      <c r="BT382" t="s">
        <v>54</v>
      </c>
      <c r="BU382" t="s">
        <v>61</v>
      </c>
      <c r="BV382" t="s">
        <v>62</v>
      </c>
      <c r="BX382">
        <v>24</v>
      </c>
      <c r="BY382">
        <v>0</v>
      </c>
      <c r="BZ382">
        <v>0</v>
      </c>
    </row>
    <row r="383" spans="1:112" x14ac:dyDescent="0.2">
      <c r="A383" t="s">
        <v>45</v>
      </c>
      <c r="B383" t="s">
        <v>46</v>
      </c>
      <c r="C383" t="s">
        <v>47</v>
      </c>
      <c r="D383" t="s">
        <v>87</v>
      </c>
      <c r="F383" t="str">
        <f>"1272"</f>
        <v>1272</v>
      </c>
      <c r="G383" t="s">
        <v>49</v>
      </c>
      <c r="K383" t="s">
        <v>51</v>
      </c>
      <c r="L383" t="s">
        <v>52</v>
      </c>
      <c r="M383">
        <v>135855.4</v>
      </c>
      <c r="N383">
        <v>475231.05</v>
      </c>
      <c r="O383" t="s">
        <v>53</v>
      </c>
      <c r="P383" t="s">
        <v>54</v>
      </c>
      <c r="Q383" t="s">
        <v>55</v>
      </c>
      <c r="T383" t="s">
        <v>96</v>
      </c>
      <c r="U383">
        <v>30</v>
      </c>
      <c r="V383" s="1">
        <v>35431</v>
      </c>
      <c r="W383" s="1">
        <v>35431</v>
      </c>
      <c r="X383" s="1">
        <v>35431</v>
      </c>
      <c r="Y383" s="1">
        <v>46388</v>
      </c>
      <c r="Z383" t="s">
        <v>51</v>
      </c>
      <c r="AB383" t="s">
        <v>54</v>
      </c>
      <c r="AC383">
        <v>1</v>
      </c>
      <c r="AE383" t="s">
        <v>84</v>
      </c>
      <c r="AF383">
        <v>20</v>
      </c>
      <c r="AG383" s="1">
        <v>35431</v>
      </c>
      <c r="AH383" s="1">
        <v>35431</v>
      </c>
      <c r="AI383" s="1">
        <v>35431</v>
      </c>
      <c r="AJ383" s="1">
        <v>42736</v>
      </c>
      <c r="AK383" t="s">
        <v>51</v>
      </c>
      <c r="AN383">
        <v>0</v>
      </c>
      <c r="AO383" t="s">
        <v>54</v>
      </c>
      <c r="AP383" t="s">
        <v>53</v>
      </c>
      <c r="AQ383">
        <v>0</v>
      </c>
      <c r="AR383" t="s">
        <v>53</v>
      </c>
      <c r="AS383">
        <v>0</v>
      </c>
      <c r="AT383">
        <v>0</v>
      </c>
      <c r="AW383" t="s">
        <v>58</v>
      </c>
      <c r="AX383">
        <v>20</v>
      </c>
      <c r="AY383" s="1">
        <v>35431</v>
      </c>
      <c r="AZ383" s="1">
        <v>35431</v>
      </c>
      <c r="BA383" s="1">
        <v>35431</v>
      </c>
      <c r="BB383" s="1">
        <v>42736</v>
      </c>
      <c r="BC383" t="s">
        <v>51</v>
      </c>
      <c r="BE383" t="s">
        <v>54</v>
      </c>
      <c r="BF383">
        <v>2</v>
      </c>
      <c r="BG383">
        <v>0</v>
      </c>
      <c r="BH383" t="s">
        <v>53</v>
      </c>
      <c r="BK383" t="s">
        <v>59</v>
      </c>
      <c r="BL383">
        <v>14000</v>
      </c>
      <c r="BM383" s="1">
        <v>44334</v>
      </c>
      <c r="BN383" s="1">
        <v>44334</v>
      </c>
      <c r="BO383" s="1">
        <v>44334</v>
      </c>
      <c r="BP383" s="1">
        <v>45551</v>
      </c>
      <c r="BQ383" t="s">
        <v>51</v>
      </c>
      <c r="BS383" t="s">
        <v>60</v>
      </c>
      <c r="BT383" t="s">
        <v>54</v>
      </c>
      <c r="BU383" t="s">
        <v>61</v>
      </c>
      <c r="BV383" t="s">
        <v>62</v>
      </c>
      <c r="BX383">
        <v>24</v>
      </c>
      <c r="BY383">
        <v>0</v>
      </c>
      <c r="BZ383">
        <v>0</v>
      </c>
    </row>
    <row r="384" spans="1:112" x14ac:dyDescent="0.2">
      <c r="A384" t="s">
        <v>45</v>
      </c>
      <c r="B384" t="s">
        <v>46</v>
      </c>
      <c r="C384" t="s">
        <v>47</v>
      </c>
      <c r="D384" t="s">
        <v>48</v>
      </c>
      <c r="F384" t="str">
        <f>"30871"</f>
        <v>30871</v>
      </c>
      <c r="G384" t="s">
        <v>49</v>
      </c>
      <c r="K384" t="s">
        <v>51</v>
      </c>
      <c r="L384" t="s">
        <v>52</v>
      </c>
      <c r="M384">
        <v>135005.45000000001</v>
      </c>
      <c r="N384">
        <v>474187.19</v>
      </c>
      <c r="O384" t="s">
        <v>53</v>
      </c>
      <c r="P384" t="s">
        <v>54</v>
      </c>
      <c r="Q384" t="s">
        <v>55</v>
      </c>
      <c r="T384" t="s">
        <v>365</v>
      </c>
      <c r="U384">
        <v>40</v>
      </c>
      <c r="V384" s="1">
        <v>22647</v>
      </c>
      <c r="W384" s="1">
        <v>22647</v>
      </c>
      <c r="X384" s="1">
        <v>22647</v>
      </c>
      <c r="Y384" s="1">
        <v>37257</v>
      </c>
      <c r="Z384" t="s">
        <v>51</v>
      </c>
      <c r="AB384" t="s">
        <v>54</v>
      </c>
      <c r="AC384">
        <v>1</v>
      </c>
      <c r="AE384" t="s">
        <v>351</v>
      </c>
      <c r="AF384">
        <v>20</v>
      </c>
      <c r="AG384" s="1">
        <v>30682</v>
      </c>
      <c r="AH384" s="1">
        <v>30682</v>
      </c>
      <c r="AI384" s="1">
        <v>30682</v>
      </c>
      <c r="AJ384" s="1">
        <v>37987</v>
      </c>
      <c r="AK384" t="s">
        <v>51</v>
      </c>
      <c r="AN384">
        <v>0</v>
      </c>
      <c r="AO384" t="s">
        <v>54</v>
      </c>
      <c r="AP384" t="s">
        <v>53</v>
      </c>
      <c r="AQ384">
        <v>0</v>
      </c>
      <c r="AR384" t="s">
        <v>53</v>
      </c>
      <c r="AS384">
        <v>0</v>
      </c>
      <c r="AT384">
        <v>0</v>
      </c>
      <c r="AW384" t="s">
        <v>161</v>
      </c>
      <c r="AX384">
        <v>50</v>
      </c>
      <c r="AY384" s="1">
        <v>30682</v>
      </c>
      <c r="AZ384" s="1">
        <v>30682</v>
      </c>
      <c r="BA384" s="1">
        <v>30682</v>
      </c>
      <c r="BB384" s="1">
        <v>48945</v>
      </c>
      <c r="BC384" t="s">
        <v>51</v>
      </c>
      <c r="BE384" t="s">
        <v>54</v>
      </c>
      <c r="BF384">
        <v>0</v>
      </c>
      <c r="BG384">
        <v>0</v>
      </c>
      <c r="BH384" t="s">
        <v>53</v>
      </c>
      <c r="BK384" t="s">
        <v>352</v>
      </c>
      <c r="BL384">
        <v>21500</v>
      </c>
      <c r="BM384" s="1">
        <v>44341</v>
      </c>
      <c r="BN384" s="1">
        <v>44341</v>
      </c>
      <c r="BO384" s="1">
        <v>44341</v>
      </c>
      <c r="BP384" s="1">
        <v>46153</v>
      </c>
      <c r="BQ384" t="s">
        <v>51</v>
      </c>
      <c r="BS384" t="s">
        <v>60</v>
      </c>
      <c r="BT384" t="s">
        <v>54</v>
      </c>
      <c r="BU384" t="s">
        <v>353</v>
      </c>
      <c r="BV384" t="s">
        <v>354</v>
      </c>
      <c r="BX384">
        <v>100</v>
      </c>
      <c r="BY384">
        <v>0</v>
      </c>
      <c r="BZ384">
        <v>0</v>
      </c>
    </row>
    <row r="385" spans="1:78" x14ac:dyDescent="0.2">
      <c r="A385" t="s">
        <v>45</v>
      </c>
      <c r="B385" t="s">
        <v>46</v>
      </c>
      <c r="C385" t="s">
        <v>47</v>
      </c>
      <c r="D385" t="s">
        <v>48</v>
      </c>
      <c r="F385" t="str">
        <f>"1105"</f>
        <v>1105</v>
      </c>
      <c r="G385" t="s">
        <v>49</v>
      </c>
      <c r="K385" t="s">
        <v>51</v>
      </c>
      <c r="L385" t="s">
        <v>52</v>
      </c>
      <c r="M385">
        <v>134991.92000000001</v>
      </c>
      <c r="N385">
        <v>474179.54</v>
      </c>
      <c r="O385" t="s">
        <v>53</v>
      </c>
      <c r="P385" t="s">
        <v>54</v>
      </c>
      <c r="Q385" t="s">
        <v>55</v>
      </c>
      <c r="T385" t="s">
        <v>366</v>
      </c>
      <c r="U385">
        <v>40</v>
      </c>
      <c r="V385" s="1">
        <v>22647</v>
      </c>
      <c r="W385" s="1">
        <v>22647</v>
      </c>
      <c r="X385" s="1">
        <v>22647</v>
      </c>
      <c r="Y385" s="1">
        <v>37257</v>
      </c>
      <c r="Z385" t="s">
        <v>51</v>
      </c>
      <c r="AB385" t="s">
        <v>54</v>
      </c>
      <c r="AC385">
        <v>1</v>
      </c>
      <c r="AE385" t="s">
        <v>356</v>
      </c>
      <c r="AF385">
        <v>20</v>
      </c>
      <c r="AG385" s="1">
        <v>43650</v>
      </c>
      <c r="AH385" s="1">
        <v>43650</v>
      </c>
      <c r="AI385" s="1">
        <v>43650</v>
      </c>
      <c r="AJ385" s="1">
        <v>50955</v>
      </c>
      <c r="AK385" t="s">
        <v>51</v>
      </c>
      <c r="AN385">
        <v>9</v>
      </c>
      <c r="AO385" t="s">
        <v>54</v>
      </c>
      <c r="AP385" t="s">
        <v>53</v>
      </c>
      <c r="AQ385">
        <v>0</v>
      </c>
      <c r="AR385" t="s">
        <v>145</v>
      </c>
      <c r="AS385">
        <v>0</v>
      </c>
      <c r="AT385">
        <v>0</v>
      </c>
      <c r="AW385" t="s">
        <v>172</v>
      </c>
      <c r="AX385">
        <v>15</v>
      </c>
      <c r="AY385" s="1">
        <v>30682</v>
      </c>
      <c r="AZ385" s="1">
        <v>30682</v>
      </c>
      <c r="BA385" s="1">
        <v>30682</v>
      </c>
      <c r="BB385" s="1">
        <v>36161</v>
      </c>
      <c r="BC385" t="s">
        <v>51</v>
      </c>
      <c r="BE385" t="s">
        <v>54</v>
      </c>
      <c r="BF385">
        <v>40</v>
      </c>
      <c r="BG385">
        <v>0</v>
      </c>
      <c r="BH385" t="s">
        <v>145</v>
      </c>
    </row>
    <row r="386" spans="1:78" x14ac:dyDescent="0.2">
      <c r="A386" t="s">
        <v>45</v>
      </c>
      <c r="B386" t="s">
        <v>46</v>
      </c>
      <c r="C386" t="s">
        <v>47</v>
      </c>
      <c r="D386" t="s">
        <v>87</v>
      </c>
      <c r="F386" t="str">
        <f>"1270"</f>
        <v>1270</v>
      </c>
      <c r="G386" t="s">
        <v>49</v>
      </c>
      <c r="K386" t="s">
        <v>51</v>
      </c>
      <c r="L386" t="s">
        <v>52</v>
      </c>
      <c r="M386">
        <v>135804.42000000001</v>
      </c>
      <c r="N386">
        <v>475257.86</v>
      </c>
      <c r="O386" t="s">
        <v>53</v>
      </c>
      <c r="P386" t="s">
        <v>54</v>
      </c>
      <c r="Q386" t="s">
        <v>55</v>
      </c>
      <c r="T386" t="s">
        <v>100</v>
      </c>
      <c r="U386">
        <v>40</v>
      </c>
      <c r="V386" s="1">
        <v>35431</v>
      </c>
      <c r="W386" s="1">
        <v>35431</v>
      </c>
      <c r="X386" s="1">
        <v>35431</v>
      </c>
      <c r="Y386" s="1">
        <v>50041</v>
      </c>
      <c r="Z386" t="s">
        <v>51</v>
      </c>
      <c r="AB386" t="s">
        <v>54</v>
      </c>
      <c r="AC386">
        <v>1</v>
      </c>
      <c r="AE386" t="s">
        <v>84</v>
      </c>
      <c r="AF386">
        <v>20</v>
      </c>
      <c r="AG386" s="1">
        <v>35431</v>
      </c>
      <c r="AH386" s="1">
        <v>35431</v>
      </c>
      <c r="AI386" s="1">
        <v>35431</v>
      </c>
      <c r="AJ386" s="1">
        <v>42736</v>
      </c>
      <c r="AK386" t="s">
        <v>51</v>
      </c>
      <c r="AN386">
        <v>0</v>
      </c>
      <c r="AO386" t="s">
        <v>54</v>
      </c>
      <c r="AP386" t="s">
        <v>53</v>
      </c>
      <c r="AQ386">
        <v>0</v>
      </c>
      <c r="AR386" t="s">
        <v>53</v>
      </c>
      <c r="AS386">
        <v>0</v>
      </c>
      <c r="AT386">
        <v>0</v>
      </c>
      <c r="AW386" t="s">
        <v>58</v>
      </c>
      <c r="AX386">
        <v>20</v>
      </c>
      <c r="AY386" s="1">
        <v>35431</v>
      </c>
      <c r="AZ386" s="1">
        <v>35431</v>
      </c>
      <c r="BA386" s="1">
        <v>35431</v>
      </c>
      <c r="BB386" s="1">
        <v>42736</v>
      </c>
      <c r="BC386" t="s">
        <v>51</v>
      </c>
      <c r="BE386" t="s">
        <v>54</v>
      </c>
      <c r="BF386">
        <v>2</v>
      </c>
      <c r="BG386">
        <v>0</v>
      </c>
      <c r="BH386" t="s">
        <v>53</v>
      </c>
      <c r="BK386" t="s">
        <v>59</v>
      </c>
      <c r="BL386">
        <v>14000</v>
      </c>
      <c r="BM386" s="1">
        <v>44327</v>
      </c>
      <c r="BN386" s="1">
        <v>44327</v>
      </c>
      <c r="BO386" s="1">
        <v>44327</v>
      </c>
      <c r="BP386" s="1">
        <v>45547</v>
      </c>
      <c r="BQ386" t="s">
        <v>51</v>
      </c>
      <c r="BS386" t="s">
        <v>60</v>
      </c>
      <c r="BT386" t="s">
        <v>54</v>
      </c>
      <c r="BU386" t="s">
        <v>61</v>
      </c>
      <c r="BV386" t="s">
        <v>62</v>
      </c>
      <c r="BX386">
        <v>24</v>
      </c>
      <c r="BY386">
        <v>0</v>
      </c>
      <c r="BZ386">
        <v>0</v>
      </c>
    </row>
    <row r="387" spans="1:78" x14ac:dyDescent="0.2">
      <c r="A387" t="s">
        <v>45</v>
      </c>
      <c r="B387" t="s">
        <v>46</v>
      </c>
      <c r="C387" t="s">
        <v>47</v>
      </c>
      <c r="D387" t="s">
        <v>355</v>
      </c>
      <c r="F387" t="str">
        <f>"1113"</f>
        <v>1113</v>
      </c>
      <c r="G387" t="s">
        <v>49</v>
      </c>
      <c r="K387" t="s">
        <v>51</v>
      </c>
      <c r="L387" t="s">
        <v>52</v>
      </c>
      <c r="M387">
        <v>136486.70000000001</v>
      </c>
      <c r="N387">
        <v>473612.67</v>
      </c>
      <c r="O387" t="s">
        <v>53</v>
      </c>
      <c r="P387" t="s">
        <v>54</v>
      </c>
      <c r="Q387" t="s">
        <v>55</v>
      </c>
      <c r="T387" t="s">
        <v>100</v>
      </c>
      <c r="U387">
        <v>40</v>
      </c>
      <c r="V387" s="1">
        <v>35431</v>
      </c>
      <c r="W387" s="1">
        <v>35431</v>
      </c>
      <c r="X387" s="1">
        <v>35431</v>
      </c>
      <c r="Y387" s="1">
        <v>50041</v>
      </c>
      <c r="Z387" t="s">
        <v>51</v>
      </c>
      <c r="AB387" t="s">
        <v>54</v>
      </c>
      <c r="AC387">
        <v>1</v>
      </c>
      <c r="AE387" t="s">
        <v>222</v>
      </c>
      <c r="AF387">
        <v>20</v>
      </c>
      <c r="AG387" s="1">
        <v>35431</v>
      </c>
      <c r="AH387" s="1">
        <v>35431</v>
      </c>
      <c r="AI387" s="1">
        <v>35431</v>
      </c>
      <c r="AJ387" s="1">
        <v>42736</v>
      </c>
      <c r="AK387" t="s">
        <v>51</v>
      </c>
      <c r="AN387">
        <v>0</v>
      </c>
      <c r="AO387" t="s">
        <v>54</v>
      </c>
      <c r="AP387" t="s">
        <v>53</v>
      </c>
      <c r="AQ387">
        <v>0</v>
      </c>
      <c r="AR387" t="s">
        <v>53</v>
      </c>
      <c r="AS387">
        <v>0</v>
      </c>
      <c r="AT387">
        <v>0</v>
      </c>
      <c r="AW387" t="s">
        <v>58</v>
      </c>
      <c r="AX387">
        <v>20</v>
      </c>
      <c r="AY387" s="1">
        <v>35431</v>
      </c>
      <c r="AZ387" s="1">
        <v>35431</v>
      </c>
      <c r="BA387" s="1">
        <v>35431</v>
      </c>
      <c r="BB387" s="1">
        <v>42736</v>
      </c>
      <c r="BC387" t="s">
        <v>51</v>
      </c>
      <c r="BE387" t="s">
        <v>54</v>
      </c>
      <c r="BF387">
        <v>2</v>
      </c>
      <c r="BG387">
        <v>0</v>
      </c>
      <c r="BH387" t="s">
        <v>53</v>
      </c>
      <c r="BK387" t="s">
        <v>59</v>
      </c>
      <c r="BL387">
        <v>14000</v>
      </c>
      <c r="BM387" s="1">
        <v>44322</v>
      </c>
      <c r="BN387" s="1">
        <v>44322</v>
      </c>
      <c r="BO387" s="1">
        <v>44322</v>
      </c>
      <c r="BP387" s="1">
        <v>45544</v>
      </c>
      <c r="BQ387" t="s">
        <v>51</v>
      </c>
      <c r="BS387" t="s">
        <v>60</v>
      </c>
      <c r="BT387" t="s">
        <v>54</v>
      </c>
      <c r="BU387" t="s">
        <v>61</v>
      </c>
      <c r="BV387" t="s">
        <v>62</v>
      </c>
      <c r="BX387">
        <v>24</v>
      </c>
      <c r="BY387">
        <v>0</v>
      </c>
      <c r="BZ387">
        <v>0</v>
      </c>
    </row>
    <row r="388" spans="1:78" x14ac:dyDescent="0.2">
      <c r="A388" t="s">
        <v>45</v>
      </c>
      <c r="B388" t="s">
        <v>46</v>
      </c>
      <c r="C388" t="s">
        <v>47</v>
      </c>
      <c r="D388" t="s">
        <v>87</v>
      </c>
      <c r="F388" t="str">
        <f>"1295"</f>
        <v>1295</v>
      </c>
      <c r="G388" t="s">
        <v>49</v>
      </c>
      <c r="K388" t="s">
        <v>51</v>
      </c>
      <c r="L388" t="s">
        <v>52</v>
      </c>
      <c r="M388">
        <v>136475.96</v>
      </c>
      <c r="N388">
        <v>474909.68</v>
      </c>
      <c r="O388" t="s">
        <v>53</v>
      </c>
      <c r="P388" t="s">
        <v>54</v>
      </c>
      <c r="Q388" t="s">
        <v>55</v>
      </c>
      <c r="T388" t="s">
        <v>96</v>
      </c>
      <c r="U388">
        <v>30</v>
      </c>
      <c r="V388" s="1">
        <v>35431</v>
      </c>
      <c r="W388" s="1">
        <v>35431</v>
      </c>
      <c r="X388" s="1">
        <v>35431</v>
      </c>
      <c r="Y388" s="1">
        <v>46388</v>
      </c>
      <c r="Z388" t="s">
        <v>51</v>
      </c>
      <c r="AB388" t="s">
        <v>54</v>
      </c>
      <c r="AC388">
        <v>1</v>
      </c>
      <c r="AE388" t="s">
        <v>79</v>
      </c>
      <c r="AF388">
        <v>20</v>
      </c>
      <c r="AG388" s="1">
        <v>35431</v>
      </c>
      <c r="AH388" s="1">
        <v>35431</v>
      </c>
      <c r="AI388" s="1">
        <v>35431</v>
      </c>
      <c r="AJ388" s="1">
        <v>42736</v>
      </c>
      <c r="AK388" t="s">
        <v>51</v>
      </c>
      <c r="AN388">
        <v>0</v>
      </c>
      <c r="AO388" t="s">
        <v>54</v>
      </c>
      <c r="AP388" t="s">
        <v>53</v>
      </c>
      <c r="AQ388">
        <v>0</v>
      </c>
      <c r="AR388" t="s">
        <v>145</v>
      </c>
      <c r="AS388">
        <v>0</v>
      </c>
      <c r="AT388">
        <v>0</v>
      </c>
      <c r="AW388" t="s">
        <v>79</v>
      </c>
      <c r="AX388">
        <v>20</v>
      </c>
      <c r="AY388" s="1">
        <v>35431</v>
      </c>
      <c r="AZ388" s="1">
        <v>35431</v>
      </c>
      <c r="BA388" s="1">
        <v>35431</v>
      </c>
      <c r="BB388" s="1">
        <v>42736</v>
      </c>
      <c r="BC388" t="s">
        <v>51</v>
      </c>
      <c r="BE388" t="s">
        <v>54</v>
      </c>
      <c r="BF388">
        <v>5</v>
      </c>
      <c r="BG388">
        <v>0</v>
      </c>
      <c r="BH388" t="s">
        <v>53</v>
      </c>
      <c r="BK388" t="s">
        <v>59</v>
      </c>
      <c r="BL388">
        <v>14000</v>
      </c>
      <c r="BM388" s="1">
        <v>44334</v>
      </c>
      <c r="BN388" s="1">
        <v>44334</v>
      </c>
      <c r="BO388" s="1">
        <v>44334</v>
      </c>
      <c r="BP388" s="1">
        <v>45551</v>
      </c>
      <c r="BQ388" t="s">
        <v>51</v>
      </c>
      <c r="BS388" t="s">
        <v>60</v>
      </c>
      <c r="BT388" t="s">
        <v>54</v>
      </c>
      <c r="BU388" t="s">
        <v>61</v>
      </c>
      <c r="BV388" t="s">
        <v>62</v>
      </c>
      <c r="BX388">
        <v>24</v>
      </c>
      <c r="BY388">
        <v>0</v>
      </c>
      <c r="BZ388">
        <v>0</v>
      </c>
    </row>
    <row r="389" spans="1:78" x14ac:dyDescent="0.2">
      <c r="A389" t="s">
        <v>367</v>
      </c>
      <c r="B389" t="s">
        <v>368</v>
      </c>
      <c r="C389" t="s">
        <v>369</v>
      </c>
      <c r="D389" t="s">
        <v>370</v>
      </c>
      <c r="F389" t="str">
        <f>"165589"</f>
        <v>165589</v>
      </c>
      <c r="G389" t="s">
        <v>49</v>
      </c>
      <c r="H389" t="s">
        <v>371</v>
      </c>
      <c r="K389" t="s">
        <v>51</v>
      </c>
      <c r="L389" t="s">
        <v>52</v>
      </c>
      <c r="M389">
        <v>133257.72</v>
      </c>
      <c r="N389">
        <v>466514.93</v>
      </c>
      <c r="O389" t="s">
        <v>53</v>
      </c>
      <c r="P389" t="s">
        <v>54</v>
      </c>
      <c r="Q389" t="s">
        <v>55</v>
      </c>
      <c r="T389" t="s">
        <v>372</v>
      </c>
      <c r="U389">
        <v>40</v>
      </c>
      <c r="V389" s="1">
        <v>39119</v>
      </c>
      <c r="W389" s="1">
        <v>39119</v>
      </c>
      <c r="X389" s="1">
        <v>39119</v>
      </c>
      <c r="Y389" s="1">
        <v>53729</v>
      </c>
      <c r="Z389" t="s">
        <v>51</v>
      </c>
      <c r="AB389" t="s">
        <v>54</v>
      </c>
      <c r="AC389">
        <v>1</v>
      </c>
      <c r="AE389" t="s">
        <v>373</v>
      </c>
      <c r="AF389">
        <v>20</v>
      </c>
      <c r="AG389" s="1">
        <v>40437</v>
      </c>
      <c r="AH389" s="1">
        <v>40437</v>
      </c>
      <c r="AI389" s="1">
        <v>40437</v>
      </c>
      <c r="AJ389" s="1">
        <v>47742</v>
      </c>
      <c r="AK389" t="s">
        <v>51</v>
      </c>
      <c r="AN389">
        <v>0</v>
      </c>
      <c r="AO389" t="s">
        <v>54</v>
      </c>
      <c r="AP389" t="s">
        <v>53</v>
      </c>
      <c r="AQ389">
        <v>0</v>
      </c>
      <c r="AR389" t="s">
        <v>53</v>
      </c>
      <c r="AS389">
        <v>0</v>
      </c>
      <c r="AT389">
        <v>0</v>
      </c>
      <c r="BK389" t="s">
        <v>374</v>
      </c>
      <c r="BL389">
        <v>50000</v>
      </c>
      <c r="BM389" s="1">
        <v>44369</v>
      </c>
      <c r="BN389" s="1">
        <v>44369</v>
      </c>
      <c r="BO389" s="1">
        <v>44369</v>
      </c>
      <c r="BP389" s="1">
        <v>48587</v>
      </c>
      <c r="BQ389" t="s">
        <v>51</v>
      </c>
      <c r="BS389" t="s">
        <v>60</v>
      </c>
      <c r="BT389" t="s">
        <v>54</v>
      </c>
      <c r="BU389" t="s">
        <v>61</v>
      </c>
      <c r="BV389" t="s">
        <v>62</v>
      </c>
      <c r="BX389">
        <v>26</v>
      </c>
      <c r="BY389">
        <v>2860</v>
      </c>
      <c r="BZ389">
        <v>0</v>
      </c>
    </row>
    <row r="390" spans="1:78" x14ac:dyDescent="0.2">
      <c r="A390" t="s">
        <v>367</v>
      </c>
      <c r="B390" t="s">
        <v>368</v>
      </c>
      <c r="C390" t="s">
        <v>369</v>
      </c>
      <c r="D390" t="s">
        <v>370</v>
      </c>
      <c r="F390" t="str">
        <f>"165590"</f>
        <v>165590</v>
      </c>
      <c r="G390" t="s">
        <v>49</v>
      </c>
      <c r="H390" t="s">
        <v>375</v>
      </c>
      <c r="K390" t="s">
        <v>51</v>
      </c>
      <c r="L390" t="s">
        <v>52</v>
      </c>
      <c r="M390">
        <v>133260.35</v>
      </c>
      <c r="N390">
        <v>466476.73</v>
      </c>
      <c r="O390" t="s">
        <v>53</v>
      </c>
      <c r="P390" t="s">
        <v>54</v>
      </c>
      <c r="Q390" t="s">
        <v>55</v>
      </c>
      <c r="T390" t="s">
        <v>376</v>
      </c>
      <c r="U390">
        <v>40</v>
      </c>
      <c r="V390" s="1">
        <v>37306</v>
      </c>
      <c r="W390" s="1">
        <v>37306</v>
      </c>
      <c r="X390" s="1">
        <v>37306</v>
      </c>
      <c r="Y390" s="1">
        <v>51916</v>
      </c>
      <c r="Z390" t="s">
        <v>51</v>
      </c>
      <c r="AB390" t="s">
        <v>54</v>
      </c>
      <c r="AC390">
        <v>1</v>
      </c>
      <c r="AE390" t="s">
        <v>373</v>
      </c>
      <c r="AF390">
        <v>20</v>
      </c>
      <c r="AG390" s="1">
        <v>40437</v>
      </c>
      <c r="AH390" s="1">
        <v>40437</v>
      </c>
      <c r="AI390" s="1">
        <v>40437</v>
      </c>
      <c r="AJ390" s="1">
        <v>47742</v>
      </c>
      <c r="AK390" t="s">
        <v>51</v>
      </c>
      <c r="AN390">
        <v>0</v>
      </c>
      <c r="AO390" t="s">
        <v>54</v>
      </c>
      <c r="AP390" t="s">
        <v>53</v>
      </c>
      <c r="AQ390">
        <v>0</v>
      </c>
      <c r="AR390" t="s">
        <v>53</v>
      </c>
      <c r="AS390">
        <v>0</v>
      </c>
      <c r="AT390">
        <v>0</v>
      </c>
      <c r="BK390" t="s">
        <v>374</v>
      </c>
      <c r="BL390">
        <v>50000</v>
      </c>
      <c r="BM390" s="1">
        <v>44369</v>
      </c>
      <c r="BN390" s="1">
        <v>44369</v>
      </c>
      <c r="BO390" s="1">
        <v>44369</v>
      </c>
      <c r="BP390" s="1">
        <v>48587</v>
      </c>
      <c r="BQ390" t="s">
        <v>51</v>
      </c>
      <c r="BS390" t="s">
        <v>60</v>
      </c>
      <c r="BT390" t="s">
        <v>54</v>
      </c>
      <c r="BU390" t="s">
        <v>61</v>
      </c>
      <c r="BV390" t="s">
        <v>62</v>
      </c>
      <c r="BX390">
        <v>26</v>
      </c>
      <c r="BY390">
        <v>2860</v>
      </c>
      <c r="BZ390">
        <v>0</v>
      </c>
    </row>
    <row r="391" spans="1:78" x14ac:dyDescent="0.2">
      <c r="A391" t="s">
        <v>367</v>
      </c>
      <c r="B391" t="s">
        <v>368</v>
      </c>
      <c r="C391" t="s">
        <v>369</v>
      </c>
      <c r="D391" t="s">
        <v>370</v>
      </c>
      <c r="F391" t="str">
        <f>"165591"</f>
        <v>165591</v>
      </c>
      <c r="G391" t="s">
        <v>49</v>
      </c>
      <c r="H391" t="s">
        <v>377</v>
      </c>
      <c r="K391" t="s">
        <v>51</v>
      </c>
      <c r="L391" t="s">
        <v>52</v>
      </c>
      <c r="M391">
        <v>133255.03</v>
      </c>
      <c r="N391">
        <v>466443.82</v>
      </c>
      <c r="O391" t="s">
        <v>53</v>
      </c>
      <c r="P391" t="s">
        <v>54</v>
      </c>
      <c r="Q391" t="s">
        <v>55</v>
      </c>
      <c r="T391" t="s">
        <v>376</v>
      </c>
      <c r="U391">
        <v>40</v>
      </c>
      <c r="V391" s="1">
        <v>37306</v>
      </c>
      <c r="W391" s="1">
        <v>37306</v>
      </c>
      <c r="X391" s="1">
        <v>37306</v>
      </c>
      <c r="Y391" s="1">
        <v>51916</v>
      </c>
      <c r="Z391" t="s">
        <v>51</v>
      </c>
      <c r="AB391" t="s">
        <v>54</v>
      </c>
      <c r="AC391">
        <v>1</v>
      </c>
      <c r="AE391" t="s">
        <v>373</v>
      </c>
      <c r="AF391">
        <v>20</v>
      </c>
      <c r="AG391" s="1">
        <v>40437</v>
      </c>
      <c r="AH391" s="1">
        <v>40437</v>
      </c>
      <c r="AI391" s="1">
        <v>40437</v>
      </c>
      <c r="AJ391" s="1">
        <v>47742</v>
      </c>
      <c r="AK391" t="s">
        <v>51</v>
      </c>
      <c r="AN391">
        <v>0</v>
      </c>
      <c r="AO391" t="s">
        <v>54</v>
      </c>
      <c r="AP391" t="s">
        <v>53</v>
      </c>
      <c r="AQ391">
        <v>0</v>
      </c>
      <c r="AR391" t="s">
        <v>53</v>
      </c>
      <c r="AS391">
        <v>0</v>
      </c>
      <c r="AT391">
        <v>0</v>
      </c>
      <c r="BK391" t="s">
        <v>374</v>
      </c>
      <c r="BL391">
        <v>50000</v>
      </c>
      <c r="BM391" s="1">
        <v>44369</v>
      </c>
      <c r="BN391" s="1">
        <v>44369</v>
      </c>
      <c r="BO391" s="1">
        <v>44369</v>
      </c>
      <c r="BP391" s="1">
        <v>48587</v>
      </c>
      <c r="BQ391" t="s">
        <v>51</v>
      </c>
      <c r="BS391" t="s">
        <v>60</v>
      </c>
      <c r="BT391" t="s">
        <v>54</v>
      </c>
      <c r="BU391" t="s">
        <v>61</v>
      </c>
      <c r="BV391" t="s">
        <v>62</v>
      </c>
      <c r="BX391">
        <v>26</v>
      </c>
      <c r="BY391">
        <v>2860</v>
      </c>
      <c r="BZ391">
        <v>0</v>
      </c>
    </row>
    <row r="392" spans="1:78" x14ac:dyDescent="0.2">
      <c r="A392" t="s">
        <v>367</v>
      </c>
      <c r="B392" t="s">
        <v>368</v>
      </c>
      <c r="C392" t="s">
        <v>369</v>
      </c>
      <c r="D392" t="s">
        <v>370</v>
      </c>
      <c r="F392" t="str">
        <f>"165592"</f>
        <v>165592</v>
      </c>
      <c r="G392" t="s">
        <v>49</v>
      </c>
      <c r="H392" t="s">
        <v>378</v>
      </c>
      <c r="K392" t="s">
        <v>51</v>
      </c>
      <c r="L392" t="s">
        <v>52</v>
      </c>
      <c r="M392">
        <v>133250.98000000001</v>
      </c>
      <c r="N392">
        <v>466414.99</v>
      </c>
      <c r="O392" t="s">
        <v>53</v>
      </c>
      <c r="P392" t="s">
        <v>54</v>
      </c>
      <c r="Q392" t="s">
        <v>55</v>
      </c>
      <c r="T392" t="s">
        <v>376</v>
      </c>
      <c r="U392">
        <v>40</v>
      </c>
      <c r="V392" s="1">
        <v>37306</v>
      </c>
      <c r="W392" s="1">
        <v>37306</v>
      </c>
      <c r="X392" s="1">
        <v>37306</v>
      </c>
      <c r="Y392" s="1">
        <v>51916</v>
      </c>
      <c r="Z392" t="s">
        <v>51</v>
      </c>
      <c r="AB392" t="s">
        <v>54</v>
      </c>
      <c r="AC392">
        <v>1</v>
      </c>
      <c r="AE392" t="s">
        <v>373</v>
      </c>
      <c r="AF392">
        <v>20</v>
      </c>
      <c r="AG392" s="1">
        <v>40437</v>
      </c>
      <c r="AH392" s="1">
        <v>40437</v>
      </c>
      <c r="AI392" s="1">
        <v>40437</v>
      </c>
      <c r="AJ392" s="1">
        <v>47742</v>
      </c>
      <c r="AK392" t="s">
        <v>51</v>
      </c>
      <c r="AN392">
        <v>0</v>
      </c>
      <c r="AO392" t="s">
        <v>54</v>
      </c>
      <c r="AP392" t="s">
        <v>53</v>
      </c>
      <c r="AQ392">
        <v>0</v>
      </c>
      <c r="AR392" t="s">
        <v>53</v>
      </c>
      <c r="AS392">
        <v>0</v>
      </c>
      <c r="AT392">
        <v>0</v>
      </c>
      <c r="BK392" t="s">
        <v>374</v>
      </c>
      <c r="BL392">
        <v>50000</v>
      </c>
      <c r="BM392" s="1">
        <v>44369</v>
      </c>
      <c r="BN392" s="1">
        <v>44369</v>
      </c>
      <c r="BO392" s="1">
        <v>44369</v>
      </c>
      <c r="BP392" s="1">
        <v>48587</v>
      </c>
      <c r="BQ392" t="s">
        <v>51</v>
      </c>
      <c r="BS392" t="s">
        <v>60</v>
      </c>
      <c r="BT392" t="s">
        <v>54</v>
      </c>
      <c r="BU392" t="s">
        <v>61</v>
      </c>
      <c r="BV392" t="s">
        <v>62</v>
      </c>
      <c r="BX392">
        <v>26</v>
      </c>
      <c r="BY392">
        <v>2860</v>
      </c>
      <c r="BZ392">
        <v>0</v>
      </c>
    </row>
    <row r="393" spans="1:78" x14ac:dyDescent="0.2">
      <c r="A393" t="s">
        <v>367</v>
      </c>
      <c r="B393" t="s">
        <v>368</v>
      </c>
      <c r="C393" t="s">
        <v>369</v>
      </c>
      <c r="D393" t="s">
        <v>370</v>
      </c>
      <c r="F393" t="str">
        <f>"165593"</f>
        <v>165593</v>
      </c>
      <c r="G393" t="s">
        <v>49</v>
      </c>
      <c r="H393" t="s">
        <v>379</v>
      </c>
      <c r="K393" t="s">
        <v>51</v>
      </c>
      <c r="L393" t="s">
        <v>52</v>
      </c>
      <c r="M393">
        <v>133247.10999999999</v>
      </c>
      <c r="N393">
        <v>466388.69</v>
      </c>
      <c r="O393" t="s">
        <v>53</v>
      </c>
      <c r="P393" t="s">
        <v>54</v>
      </c>
      <c r="Q393" t="s">
        <v>55</v>
      </c>
      <c r="T393" t="s">
        <v>376</v>
      </c>
      <c r="U393">
        <v>40</v>
      </c>
      <c r="V393" s="1">
        <v>37306</v>
      </c>
      <c r="W393" s="1">
        <v>37306</v>
      </c>
      <c r="X393" s="1">
        <v>37306</v>
      </c>
      <c r="Y393" s="1">
        <v>51916</v>
      </c>
      <c r="Z393" t="s">
        <v>51</v>
      </c>
      <c r="AB393" t="s">
        <v>54</v>
      </c>
      <c r="AC393">
        <v>1</v>
      </c>
      <c r="AE393" t="s">
        <v>373</v>
      </c>
      <c r="AF393">
        <v>20</v>
      </c>
      <c r="AG393" s="1">
        <v>40437</v>
      </c>
      <c r="AH393" s="1">
        <v>40437</v>
      </c>
      <c r="AI393" s="1">
        <v>40437</v>
      </c>
      <c r="AJ393" s="1">
        <v>47742</v>
      </c>
      <c r="AK393" t="s">
        <v>51</v>
      </c>
      <c r="AN393">
        <v>0</v>
      </c>
      <c r="AO393" t="s">
        <v>54</v>
      </c>
      <c r="AP393" t="s">
        <v>53</v>
      </c>
      <c r="AQ393">
        <v>0</v>
      </c>
      <c r="AR393" t="s">
        <v>53</v>
      </c>
      <c r="AS393">
        <v>0</v>
      </c>
      <c r="AT393">
        <v>0</v>
      </c>
      <c r="BK393" t="s">
        <v>374</v>
      </c>
      <c r="BL393">
        <v>50000</v>
      </c>
      <c r="BM393" s="1">
        <v>44369</v>
      </c>
      <c r="BN393" s="1">
        <v>44369</v>
      </c>
      <c r="BO393" s="1">
        <v>44369</v>
      </c>
      <c r="BP393" s="1">
        <v>48587</v>
      </c>
      <c r="BQ393" t="s">
        <v>51</v>
      </c>
      <c r="BS393" t="s">
        <v>60</v>
      </c>
      <c r="BT393" t="s">
        <v>54</v>
      </c>
      <c r="BU393" t="s">
        <v>61</v>
      </c>
      <c r="BV393" t="s">
        <v>62</v>
      </c>
      <c r="BX393">
        <v>26</v>
      </c>
      <c r="BY393">
        <v>2860</v>
      </c>
      <c r="BZ393">
        <v>0</v>
      </c>
    </row>
    <row r="394" spans="1:78" x14ac:dyDescent="0.2">
      <c r="A394" t="s">
        <v>367</v>
      </c>
      <c r="B394" t="s">
        <v>368</v>
      </c>
      <c r="C394" t="s">
        <v>369</v>
      </c>
      <c r="D394" t="s">
        <v>370</v>
      </c>
      <c r="F394" t="str">
        <f>"165594"</f>
        <v>165594</v>
      </c>
      <c r="G394" t="s">
        <v>49</v>
      </c>
      <c r="H394" t="s">
        <v>380</v>
      </c>
      <c r="K394" t="s">
        <v>51</v>
      </c>
      <c r="L394" t="s">
        <v>52</v>
      </c>
      <c r="M394">
        <v>133242.59</v>
      </c>
      <c r="N394">
        <v>466358.21</v>
      </c>
      <c r="O394" t="s">
        <v>53</v>
      </c>
      <c r="P394" t="s">
        <v>54</v>
      </c>
      <c r="Q394" t="s">
        <v>55</v>
      </c>
      <c r="T394" t="s">
        <v>376</v>
      </c>
      <c r="U394">
        <v>40</v>
      </c>
      <c r="V394" s="1">
        <v>37306</v>
      </c>
      <c r="W394" s="1">
        <v>37306</v>
      </c>
      <c r="X394" s="1">
        <v>37306</v>
      </c>
      <c r="Y394" s="1">
        <v>51916</v>
      </c>
      <c r="Z394" t="s">
        <v>51</v>
      </c>
      <c r="AB394" t="s">
        <v>54</v>
      </c>
      <c r="AC394">
        <v>1</v>
      </c>
      <c r="AE394" t="s">
        <v>373</v>
      </c>
      <c r="AF394">
        <v>20</v>
      </c>
      <c r="AG394" s="1">
        <v>40437</v>
      </c>
      <c r="AH394" s="1">
        <v>40437</v>
      </c>
      <c r="AI394" s="1">
        <v>40437</v>
      </c>
      <c r="AJ394" s="1">
        <v>47742</v>
      </c>
      <c r="AK394" t="s">
        <v>51</v>
      </c>
      <c r="AN394">
        <v>0</v>
      </c>
      <c r="AO394" t="s">
        <v>54</v>
      </c>
      <c r="AP394" t="s">
        <v>53</v>
      </c>
      <c r="AQ394">
        <v>0</v>
      </c>
      <c r="AR394" t="s">
        <v>53</v>
      </c>
      <c r="AS394">
        <v>0</v>
      </c>
      <c r="AT394">
        <v>0</v>
      </c>
      <c r="BK394" t="s">
        <v>374</v>
      </c>
      <c r="BL394">
        <v>50000</v>
      </c>
      <c r="BM394" s="1">
        <v>44369</v>
      </c>
      <c r="BN394" s="1">
        <v>44369</v>
      </c>
      <c r="BO394" s="1">
        <v>44369</v>
      </c>
      <c r="BP394" s="1">
        <v>48587</v>
      </c>
      <c r="BQ394" t="s">
        <v>51</v>
      </c>
      <c r="BS394" t="s">
        <v>60</v>
      </c>
      <c r="BT394" t="s">
        <v>54</v>
      </c>
      <c r="BU394" t="s">
        <v>61</v>
      </c>
      <c r="BV394" t="s">
        <v>62</v>
      </c>
      <c r="BX394">
        <v>26</v>
      </c>
      <c r="BY394">
        <v>2860</v>
      </c>
      <c r="BZ394">
        <v>0</v>
      </c>
    </row>
    <row r="395" spans="1:78" x14ac:dyDescent="0.2">
      <c r="A395" t="s">
        <v>367</v>
      </c>
      <c r="B395" t="s">
        <v>368</v>
      </c>
      <c r="C395" t="s">
        <v>381</v>
      </c>
      <c r="D395" t="s">
        <v>370</v>
      </c>
      <c r="F395" t="str">
        <f>"165595"</f>
        <v>165595</v>
      </c>
      <c r="G395" t="s">
        <v>49</v>
      </c>
      <c r="H395" t="s">
        <v>380</v>
      </c>
      <c r="K395" t="s">
        <v>51</v>
      </c>
      <c r="L395" t="s">
        <v>52</v>
      </c>
      <c r="M395">
        <v>133238.76</v>
      </c>
      <c r="N395">
        <v>466330.79</v>
      </c>
      <c r="O395" t="s">
        <v>53</v>
      </c>
      <c r="P395" t="s">
        <v>54</v>
      </c>
      <c r="Q395" t="s">
        <v>55</v>
      </c>
      <c r="T395" t="s">
        <v>376</v>
      </c>
      <c r="U395">
        <v>40</v>
      </c>
      <c r="V395" s="1">
        <v>37306</v>
      </c>
      <c r="W395" s="1">
        <v>37306</v>
      </c>
      <c r="X395" s="1">
        <v>37306</v>
      </c>
      <c r="Y395" s="1">
        <v>51916</v>
      </c>
      <c r="Z395" t="s">
        <v>51</v>
      </c>
      <c r="AB395" t="s">
        <v>54</v>
      </c>
      <c r="AC395">
        <v>1</v>
      </c>
      <c r="AE395" t="s">
        <v>373</v>
      </c>
      <c r="AF395">
        <v>20</v>
      </c>
      <c r="AG395" s="1">
        <v>40437</v>
      </c>
      <c r="AH395" s="1">
        <v>40437</v>
      </c>
      <c r="AI395" s="1">
        <v>40437</v>
      </c>
      <c r="AJ395" s="1">
        <v>47742</v>
      </c>
      <c r="AK395" t="s">
        <v>51</v>
      </c>
      <c r="AN395">
        <v>0</v>
      </c>
      <c r="AO395" t="s">
        <v>54</v>
      </c>
      <c r="AP395" t="s">
        <v>53</v>
      </c>
      <c r="AQ395">
        <v>0</v>
      </c>
      <c r="AR395" t="s">
        <v>53</v>
      </c>
      <c r="AS395">
        <v>0</v>
      </c>
      <c r="AT395">
        <v>0</v>
      </c>
      <c r="BK395" t="s">
        <v>374</v>
      </c>
      <c r="BL395">
        <v>50000</v>
      </c>
      <c r="BM395" s="1">
        <v>44369</v>
      </c>
      <c r="BN395" s="1">
        <v>44369</v>
      </c>
      <c r="BO395" s="1">
        <v>44369</v>
      </c>
      <c r="BP395" s="1">
        <v>48587</v>
      </c>
      <c r="BQ395" t="s">
        <v>51</v>
      </c>
      <c r="BS395" t="s">
        <v>60</v>
      </c>
      <c r="BT395" t="s">
        <v>54</v>
      </c>
      <c r="BU395" t="s">
        <v>61</v>
      </c>
      <c r="BV395" t="s">
        <v>62</v>
      </c>
      <c r="BX395">
        <v>26</v>
      </c>
      <c r="BY395">
        <v>2860</v>
      </c>
      <c r="BZ395">
        <v>0</v>
      </c>
    </row>
    <row r="396" spans="1:78" x14ac:dyDescent="0.2">
      <c r="A396" t="s">
        <v>367</v>
      </c>
      <c r="B396" t="s">
        <v>368</v>
      </c>
      <c r="C396" t="s">
        <v>381</v>
      </c>
      <c r="D396" t="s">
        <v>370</v>
      </c>
      <c r="F396" t="str">
        <f>"165596"</f>
        <v>165596</v>
      </c>
      <c r="G396" t="s">
        <v>49</v>
      </c>
      <c r="H396" t="s">
        <v>382</v>
      </c>
      <c r="K396" t="s">
        <v>51</v>
      </c>
      <c r="L396" t="s">
        <v>52</v>
      </c>
      <c r="M396">
        <v>133233.51999999999</v>
      </c>
      <c r="N396">
        <v>466302.36</v>
      </c>
      <c r="O396" t="s">
        <v>53</v>
      </c>
      <c r="P396" t="s">
        <v>54</v>
      </c>
      <c r="Q396" t="s">
        <v>55</v>
      </c>
      <c r="T396" t="s">
        <v>376</v>
      </c>
      <c r="U396">
        <v>40</v>
      </c>
      <c r="V396" s="1">
        <v>37306</v>
      </c>
      <c r="W396" s="1">
        <v>37306</v>
      </c>
      <c r="X396" s="1">
        <v>37306</v>
      </c>
      <c r="Y396" s="1">
        <v>51916</v>
      </c>
      <c r="Z396" t="s">
        <v>51</v>
      </c>
      <c r="AB396" t="s">
        <v>54</v>
      </c>
      <c r="AC396">
        <v>1</v>
      </c>
      <c r="AE396" t="s">
        <v>373</v>
      </c>
      <c r="AF396">
        <v>20</v>
      </c>
      <c r="AG396" s="1">
        <v>40437</v>
      </c>
      <c r="AH396" s="1">
        <v>40437</v>
      </c>
      <c r="AI396" s="1">
        <v>40437</v>
      </c>
      <c r="AJ396" s="1">
        <v>47742</v>
      </c>
      <c r="AK396" t="s">
        <v>51</v>
      </c>
      <c r="AN396">
        <v>0</v>
      </c>
      <c r="AO396" t="s">
        <v>54</v>
      </c>
      <c r="AP396" t="s">
        <v>53</v>
      </c>
      <c r="AQ396">
        <v>0</v>
      </c>
      <c r="AR396" t="s">
        <v>53</v>
      </c>
      <c r="AS396">
        <v>0</v>
      </c>
      <c r="AT396">
        <v>0</v>
      </c>
      <c r="BK396" t="s">
        <v>374</v>
      </c>
      <c r="BL396">
        <v>50000</v>
      </c>
      <c r="BM396" s="1">
        <v>44369</v>
      </c>
      <c r="BN396" s="1">
        <v>44369</v>
      </c>
      <c r="BO396" s="1">
        <v>44369</v>
      </c>
      <c r="BP396" s="1">
        <v>48587</v>
      </c>
      <c r="BQ396" t="s">
        <v>51</v>
      </c>
      <c r="BS396" t="s">
        <v>60</v>
      </c>
      <c r="BT396" t="s">
        <v>54</v>
      </c>
      <c r="BU396" t="s">
        <v>61</v>
      </c>
      <c r="BV396" t="s">
        <v>62</v>
      </c>
      <c r="BX396">
        <v>26</v>
      </c>
      <c r="BY396">
        <v>2860</v>
      </c>
      <c r="BZ396">
        <v>0</v>
      </c>
    </row>
    <row r="397" spans="1:78" x14ac:dyDescent="0.2">
      <c r="A397" t="s">
        <v>367</v>
      </c>
      <c r="B397" t="s">
        <v>368</v>
      </c>
      <c r="C397" t="s">
        <v>381</v>
      </c>
      <c r="D397" t="s">
        <v>370</v>
      </c>
      <c r="F397" t="str">
        <f>"165597"</f>
        <v>165597</v>
      </c>
      <c r="G397" t="s">
        <v>49</v>
      </c>
      <c r="H397" t="s">
        <v>383</v>
      </c>
      <c r="K397" t="s">
        <v>51</v>
      </c>
      <c r="L397" t="s">
        <v>52</v>
      </c>
      <c r="M397">
        <v>133231.35999999999</v>
      </c>
      <c r="N397">
        <v>466273.24</v>
      </c>
      <c r="O397" t="s">
        <v>53</v>
      </c>
      <c r="P397" t="s">
        <v>54</v>
      </c>
      <c r="Q397" t="s">
        <v>55</v>
      </c>
      <c r="T397" t="s">
        <v>376</v>
      </c>
      <c r="U397">
        <v>40</v>
      </c>
      <c r="V397" s="1">
        <v>37306</v>
      </c>
      <c r="W397" s="1">
        <v>37306</v>
      </c>
      <c r="X397" s="1">
        <v>37306</v>
      </c>
      <c r="Y397" s="1">
        <v>51916</v>
      </c>
      <c r="Z397" t="s">
        <v>51</v>
      </c>
      <c r="AB397" t="s">
        <v>54</v>
      </c>
      <c r="AC397">
        <v>1</v>
      </c>
      <c r="AE397" t="s">
        <v>373</v>
      </c>
      <c r="AF397">
        <v>20</v>
      </c>
      <c r="AG397" s="1">
        <v>40437</v>
      </c>
      <c r="AH397" s="1">
        <v>40437</v>
      </c>
      <c r="AI397" s="1">
        <v>40437</v>
      </c>
      <c r="AJ397" s="1">
        <v>47742</v>
      </c>
      <c r="AK397" t="s">
        <v>51</v>
      </c>
      <c r="AN397">
        <v>0</v>
      </c>
      <c r="AO397" t="s">
        <v>54</v>
      </c>
      <c r="AP397" t="s">
        <v>53</v>
      </c>
      <c r="AQ397">
        <v>0</v>
      </c>
      <c r="AR397" t="s">
        <v>53</v>
      </c>
      <c r="AS397">
        <v>0</v>
      </c>
      <c r="AT397">
        <v>0</v>
      </c>
      <c r="BK397" t="s">
        <v>374</v>
      </c>
      <c r="BL397">
        <v>50000</v>
      </c>
      <c r="BM397" s="1">
        <v>44369</v>
      </c>
      <c r="BN397" s="1">
        <v>44369</v>
      </c>
      <c r="BO397" s="1">
        <v>44369</v>
      </c>
      <c r="BP397" s="1">
        <v>48587</v>
      </c>
      <c r="BQ397" t="s">
        <v>51</v>
      </c>
      <c r="BS397" t="s">
        <v>60</v>
      </c>
      <c r="BT397" t="s">
        <v>54</v>
      </c>
      <c r="BU397" t="s">
        <v>61</v>
      </c>
      <c r="BV397" t="s">
        <v>62</v>
      </c>
      <c r="BX397">
        <v>26</v>
      </c>
      <c r="BY397">
        <v>2860</v>
      </c>
      <c r="BZ397">
        <v>0</v>
      </c>
    </row>
    <row r="398" spans="1:78" x14ac:dyDescent="0.2">
      <c r="A398" t="s">
        <v>367</v>
      </c>
      <c r="B398" t="s">
        <v>368</v>
      </c>
      <c r="C398" t="s">
        <v>381</v>
      </c>
      <c r="D398" t="s">
        <v>370</v>
      </c>
      <c r="F398" t="str">
        <f>"165598"</f>
        <v>165598</v>
      </c>
      <c r="G398" t="s">
        <v>49</v>
      </c>
      <c r="H398" t="s">
        <v>384</v>
      </c>
      <c r="K398" t="s">
        <v>51</v>
      </c>
      <c r="L398" t="s">
        <v>52</v>
      </c>
      <c r="M398">
        <v>133226.04</v>
      </c>
      <c r="N398">
        <v>466245.91</v>
      </c>
      <c r="O398" t="s">
        <v>53</v>
      </c>
      <c r="P398" t="s">
        <v>54</v>
      </c>
      <c r="Q398" t="s">
        <v>55</v>
      </c>
      <c r="T398" t="s">
        <v>376</v>
      </c>
      <c r="U398">
        <v>40</v>
      </c>
      <c r="V398" s="1">
        <v>37306</v>
      </c>
      <c r="W398" s="1">
        <v>37306</v>
      </c>
      <c r="X398" s="1">
        <v>37306</v>
      </c>
      <c r="Y398" s="1">
        <v>51916</v>
      </c>
      <c r="Z398" t="s">
        <v>51</v>
      </c>
      <c r="AB398" t="s">
        <v>54</v>
      </c>
      <c r="AC398">
        <v>1</v>
      </c>
      <c r="AE398" t="s">
        <v>373</v>
      </c>
      <c r="AF398">
        <v>20</v>
      </c>
      <c r="AG398" s="1">
        <v>40437</v>
      </c>
      <c r="AH398" s="1">
        <v>40437</v>
      </c>
      <c r="AI398" s="1">
        <v>40437</v>
      </c>
      <c r="AJ398" s="1">
        <v>47742</v>
      </c>
      <c r="AK398" t="s">
        <v>51</v>
      </c>
      <c r="AN398">
        <v>0</v>
      </c>
      <c r="AO398" t="s">
        <v>54</v>
      </c>
      <c r="AP398" t="s">
        <v>53</v>
      </c>
      <c r="AQ398">
        <v>0</v>
      </c>
      <c r="AR398" t="s">
        <v>53</v>
      </c>
      <c r="AS398">
        <v>0</v>
      </c>
      <c r="AT398">
        <v>0</v>
      </c>
      <c r="BK398" t="s">
        <v>374</v>
      </c>
      <c r="BL398">
        <v>50000</v>
      </c>
      <c r="BM398" s="1">
        <v>44369</v>
      </c>
      <c r="BN398" s="1">
        <v>44369</v>
      </c>
      <c r="BO398" s="1">
        <v>44369</v>
      </c>
      <c r="BP398" s="1">
        <v>48587</v>
      </c>
      <c r="BQ398" t="s">
        <v>51</v>
      </c>
      <c r="BS398" t="s">
        <v>60</v>
      </c>
      <c r="BT398" t="s">
        <v>54</v>
      </c>
      <c r="BU398" t="s">
        <v>61</v>
      </c>
      <c r="BV398" t="s">
        <v>62</v>
      </c>
      <c r="BX398">
        <v>26</v>
      </c>
      <c r="BY398">
        <v>2860</v>
      </c>
      <c r="BZ398">
        <v>0</v>
      </c>
    </row>
    <row r="399" spans="1:78" x14ac:dyDescent="0.2">
      <c r="A399" t="s">
        <v>367</v>
      </c>
      <c r="B399" t="s">
        <v>368</v>
      </c>
      <c r="C399" t="s">
        <v>381</v>
      </c>
      <c r="D399" t="s">
        <v>370</v>
      </c>
      <c r="F399" t="str">
        <f>"165599"</f>
        <v>165599</v>
      </c>
      <c r="G399" t="s">
        <v>49</v>
      </c>
      <c r="H399" t="s">
        <v>385</v>
      </c>
      <c r="K399" t="s">
        <v>51</v>
      </c>
      <c r="L399" t="s">
        <v>52</v>
      </c>
      <c r="M399">
        <v>133212.4</v>
      </c>
      <c r="N399">
        <v>466221.26</v>
      </c>
      <c r="O399" t="s">
        <v>53</v>
      </c>
      <c r="P399" t="s">
        <v>54</v>
      </c>
      <c r="Q399" t="s">
        <v>55</v>
      </c>
      <c r="T399" t="s">
        <v>376</v>
      </c>
      <c r="U399">
        <v>40</v>
      </c>
      <c r="V399" s="1">
        <v>37306</v>
      </c>
      <c r="W399" s="1">
        <v>37306</v>
      </c>
      <c r="X399" s="1">
        <v>37306</v>
      </c>
      <c r="Y399" s="1">
        <v>51916</v>
      </c>
      <c r="Z399" t="s">
        <v>51</v>
      </c>
      <c r="AB399" t="s">
        <v>54</v>
      </c>
      <c r="AC399">
        <v>1</v>
      </c>
      <c r="AE399" t="s">
        <v>373</v>
      </c>
      <c r="AF399">
        <v>20</v>
      </c>
      <c r="AG399" s="1">
        <v>40437</v>
      </c>
      <c r="AH399" s="1">
        <v>40437</v>
      </c>
      <c r="AI399" s="1">
        <v>40437</v>
      </c>
      <c r="AJ399" s="1">
        <v>47742</v>
      </c>
      <c r="AK399" t="s">
        <v>51</v>
      </c>
      <c r="AN399">
        <v>0</v>
      </c>
      <c r="AO399" t="s">
        <v>54</v>
      </c>
      <c r="AP399" t="s">
        <v>53</v>
      </c>
      <c r="AQ399">
        <v>0</v>
      </c>
      <c r="AR399" t="s">
        <v>53</v>
      </c>
      <c r="AS399">
        <v>0</v>
      </c>
      <c r="AT399">
        <v>0</v>
      </c>
      <c r="BK399" t="s">
        <v>374</v>
      </c>
      <c r="BL399">
        <v>50000</v>
      </c>
      <c r="BM399" s="1">
        <v>44369</v>
      </c>
      <c r="BN399" s="1">
        <v>44369</v>
      </c>
      <c r="BO399" s="1">
        <v>44369</v>
      </c>
      <c r="BP399" s="1">
        <v>48587</v>
      </c>
      <c r="BQ399" t="s">
        <v>51</v>
      </c>
      <c r="BS399" t="s">
        <v>60</v>
      </c>
      <c r="BT399" t="s">
        <v>54</v>
      </c>
      <c r="BU399" t="s">
        <v>61</v>
      </c>
      <c r="BV399" t="s">
        <v>62</v>
      </c>
      <c r="BX399">
        <v>26</v>
      </c>
      <c r="BY399">
        <v>2860</v>
      </c>
      <c r="BZ399">
        <v>0</v>
      </c>
    </row>
    <row r="400" spans="1:78" x14ac:dyDescent="0.2">
      <c r="A400" t="s">
        <v>367</v>
      </c>
      <c r="B400" t="s">
        <v>368</v>
      </c>
      <c r="C400" t="s">
        <v>381</v>
      </c>
      <c r="D400" t="s">
        <v>370</v>
      </c>
      <c r="F400" t="str">
        <f>"165600"</f>
        <v>165600</v>
      </c>
      <c r="G400" t="s">
        <v>49</v>
      </c>
      <c r="H400" t="s">
        <v>386</v>
      </c>
      <c r="K400" t="s">
        <v>51</v>
      </c>
      <c r="L400" t="s">
        <v>52</v>
      </c>
      <c r="M400">
        <v>133207.69</v>
      </c>
      <c r="N400">
        <v>466184.17</v>
      </c>
      <c r="O400" t="s">
        <v>53</v>
      </c>
      <c r="P400" t="s">
        <v>54</v>
      </c>
      <c r="Q400" t="s">
        <v>55</v>
      </c>
      <c r="T400" t="s">
        <v>376</v>
      </c>
      <c r="U400">
        <v>40</v>
      </c>
      <c r="V400" s="1">
        <v>37306</v>
      </c>
      <c r="W400" s="1">
        <v>37306</v>
      </c>
      <c r="X400" s="1">
        <v>37306</v>
      </c>
      <c r="Y400" s="1">
        <v>51916</v>
      </c>
      <c r="Z400" t="s">
        <v>51</v>
      </c>
      <c r="AB400" t="s">
        <v>54</v>
      </c>
      <c r="AC400">
        <v>1</v>
      </c>
      <c r="AE400" t="s">
        <v>373</v>
      </c>
      <c r="AF400">
        <v>20</v>
      </c>
      <c r="AG400" s="1">
        <v>40437</v>
      </c>
      <c r="AH400" s="1">
        <v>40437</v>
      </c>
      <c r="AI400" s="1">
        <v>40437</v>
      </c>
      <c r="AJ400" s="1">
        <v>47742</v>
      </c>
      <c r="AK400" t="s">
        <v>51</v>
      </c>
      <c r="AN400">
        <v>0</v>
      </c>
      <c r="AO400" t="s">
        <v>54</v>
      </c>
      <c r="AP400" t="s">
        <v>53</v>
      </c>
      <c r="AQ400">
        <v>0</v>
      </c>
      <c r="AR400" t="s">
        <v>53</v>
      </c>
      <c r="AS400">
        <v>0</v>
      </c>
      <c r="AT400">
        <v>0</v>
      </c>
      <c r="BK400" t="s">
        <v>374</v>
      </c>
      <c r="BL400">
        <v>50000</v>
      </c>
      <c r="BM400" s="1">
        <v>44369</v>
      </c>
      <c r="BN400" s="1">
        <v>44369</v>
      </c>
      <c r="BO400" s="1">
        <v>44369</v>
      </c>
      <c r="BP400" s="1">
        <v>48587</v>
      </c>
      <c r="BQ400" t="s">
        <v>51</v>
      </c>
      <c r="BS400" t="s">
        <v>60</v>
      </c>
      <c r="BT400" t="s">
        <v>54</v>
      </c>
      <c r="BU400" t="s">
        <v>61</v>
      </c>
      <c r="BV400" t="s">
        <v>62</v>
      </c>
      <c r="BX400">
        <v>26</v>
      </c>
      <c r="BY400">
        <v>2860</v>
      </c>
      <c r="BZ400">
        <v>0</v>
      </c>
    </row>
    <row r="401" spans="1:78" x14ac:dyDescent="0.2">
      <c r="A401" t="s">
        <v>387</v>
      </c>
      <c r="B401" t="s">
        <v>388</v>
      </c>
      <c r="C401" t="s">
        <v>387</v>
      </c>
      <c r="D401" t="s">
        <v>48</v>
      </c>
      <c r="F401" t="str">
        <f>"213681"</f>
        <v>213681</v>
      </c>
      <c r="G401" t="s">
        <v>49</v>
      </c>
      <c r="H401" t="s">
        <v>389</v>
      </c>
      <c r="K401" t="s">
        <v>51</v>
      </c>
      <c r="L401" t="s">
        <v>52</v>
      </c>
      <c r="M401">
        <v>133302.51999999999</v>
      </c>
      <c r="N401">
        <v>464835.28</v>
      </c>
      <c r="O401" t="s">
        <v>53</v>
      </c>
      <c r="P401" t="s">
        <v>54</v>
      </c>
      <c r="Q401" t="s">
        <v>55</v>
      </c>
      <c r="T401" t="s">
        <v>372</v>
      </c>
      <c r="U401">
        <v>40</v>
      </c>
      <c r="V401" s="1">
        <v>40568</v>
      </c>
      <c r="W401" s="1">
        <v>40568</v>
      </c>
      <c r="X401" s="1">
        <v>40568</v>
      </c>
      <c r="Y401" s="1">
        <v>55178</v>
      </c>
      <c r="Z401" t="s">
        <v>51</v>
      </c>
      <c r="AB401" t="s">
        <v>54</v>
      </c>
      <c r="AC401">
        <v>1</v>
      </c>
      <c r="AE401" t="s">
        <v>390</v>
      </c>
      <c r="AF401">
        <v>20</v>
      </c>
      <c r="AG401" s="1">
        <v>40568</v>
      </c>
      <c r="AH401" s="1">
        <v>40568</v>
      </c>
      <c r="AI401" s="1">
        <v>40568</v>
      </c>
      <c r="AJ401" s="1">
        <v>47873</v>
      </c>
      <c r="AK401" t="s">
        <v>51</v>
      </c>
      <c r="AN401">
        <v>0</v>
      </c>
      <c r="AO401" t="s">
        <v>54</v>
      </c>
      <c r="AP401" t="s">
        <v>53</v>
      </c>
      <c r="AQ401">
        <v>0</v>
      </c>
      <c r="AR401" t="s">
        <v>53</v>
      </c>
      <c r="AS401">
        <v>0</v>
      </c>
      <c r="AT401">
        <v>0</v>
      </c>
      <c r="BK401" t="s">
        <v>374</v>
      </c>
      <c r="BL401">
        <v>50000</v>
      </c>
      <c r="BM401" s="1">
        <v>44369</v>
      </c>
      <c r="BN401" s="1">
        <v>44369</v>
      </c>
      <c r="BO401" s="1">
        <v>44369</v>
      </c>
      <c r="BP401" s="1">
        <v>48587</v>
      </c>
      <c r="BQ401" t="s">
        <v>51</v>
      </c>
      <c r="BS401" t="s">
        <v>60</v>
      </c>
      <c r="BT401" t="s">
        <v>54</v>
      </c>
      <c r="BU401" t="s">
        <v>61</v>
      </c>
      <c r="BV401" t="s">
        <v>62</v>
      </c>
      <c r="BX401">
        <v>26</v>
      </c>
      <c r="BY401">
        <v>2860</v>
      </c>
      <c r="BZ401">
        <v>0</v>
      </c>
    </row>
    <row r="402" spans="1:78" x14ac:dyDescent="0.2">
      <c r="A402" t="s">
        <v>387</v>
      </c>
      <c r="B402" t="s">
        <v>388</v>
      </c>
      <c r="C402" t="s">
        <v>387</v>
      </c>
      <c r="D402" t="s">
        <v>48</v>
      </c>
      <c r="F402" t="str">
        <f>"213682"</f>
        <v>213682</v>
      </c>
      <c r="G402" t="s">
        <v>49</v>
      </c>
      <c r="H402" t="s">
        <v>391</v>
      </c>
      <c r="K402" t="s">
        <v>51</v>
      </c>
      <c r="L402" t="s">
        <v>52</v>
      </c>
      <c r="M402">
        <v>133297.29999999999</v>
      </c>
      <c r="N402">
        <v>464866.38</v>
      </c>
      <c r="O402" t="s">
        <v>53</v>
      </c>
      <c r="P402" t="s">
        <v>54</v>
      </c>
      <c r="Q402" t="s">
        <v>55</v>
      </c>
      <c r="T402" t="s">
        <v>372</v>
      </c>
      <c r="U402">
        <v>40</v>
      </c>
      <c r="V402" s="1">
        <v>40568</v>
      </c>
      <c r="W402" s="1">
        <v>40568</v>
      </c>
      <c r="X402" s="1">
        <v>40568</v>
      </c>
      <c r="Y402" s="1">
        <v>55178</v>
      </c>
      <c r="Z402" t="s">
        <v>51</v>
      </c>
      <c r="AB402" t="s">
        <v>54</v>
      </c>
      <c r="AC402">
        <v>1</v>
      </c>
      <c r="AE402" t="s">
        <v>390</v>
      </c>
      <c r="AF402">
        <v>20</v>
      </c>
      <c r="AG402" s="1">
        <v>40568</v>
      </c>
      <c r="AH402" s="1">
        <v>40568</v>
      </c>
      <c r="AI402" s="1">
        <v>40568</v>
      </c>
      <c r="AJ402" s="1">
        <v>47873</v>
      </c>
      <c r="AK402" t="s">
        <v>51</v>
      </c>
      <c r="AN402">
        <v>0</v>
      </c>
      <c r="AO402" t="s">
        <v>54</v>
      </c>
      <c r="AP402" t="s">
        <v>53</v>
      </c>
      <c r="AQ402">
        <v>0</v>
      </c>
      <c r="AR402" t="s">
        <v>53</v>
      </c>
      <c r="AS402">
        <v>0</v>
      </c>
      <c r="AT402">
        <v>0</v>
      </c>
      <c r="BK402" t="s">
        <v>374</v>
      </c>
      <c r="BL402">
        <v>50000</v>
      </c>
      <c r="BM402" s="1">
        <v>44369</v>
      </c>
      <c r="BN402" s="1">
        <v>44369</v>
      </c>
      <c r="BO402" s="1">
        <v>44369</v>
      </c>
      <c r="BP402" s="1">
        <v>48587</v>
      </c>
      <c r="BQ402" t="s">
        <v>51</v>
      </c>
      <c r="BS402" t="s">
        <v>60</v>
      </c>
      <c r="BT402" t="s">
        <v>54</v>
      </c>
      <c r="BU402" t="s">
        <v>61</v>
      </c>
      <c r="BV402" t="s">
        <v>62</v>
      </c>
      <c r="BX402">
        <v>26</v>
      </c>
      <c r="BY402">
        <v>2860</v>
      </c>
      <c r="BZ402">
        <v>0</v>
      </c>
    </row>
    <row r="403" spans="1:78" x14ac:dyDescent="0.2">
      <c r="A403" t="s">
        <v>387</v>
      </c>
      <c r="B403" t="s">
        <v>388</v>
      </c>
      <c r="C403" t="s">
        <v>387</v>
      </c>
      <c r="D403" t="s">
        <v>48</v>
      </c>
      <c r="F403" t="str">
        <f>"213683"</f>
        <v>213683</v>
      </c>
      <c r="G403" t="s">
        <v>49</v>
      </c>
      <c r="H403" t="s">
        <v>392</v>
      </c>
      <c r="K403" t="s">
        <v>51</v>
      </c>
      <c r="L403" t="s">
        <v>52</v>
      </c>
      <c r="M403">
        <v>133293.88</v>
      </c>
      <c r="N403">
        <v>464900.81</v>
      </c>
      <c r="O403" t="s">
        <v>53</v>
      </c>
      <c r="P403" t="s">
        <v>54</v>
      </c>
      <c r="Q403" t="s">
        <v>55</v>
      </c>
      <c r="T403" t="s">
        <v>372</v>
      </c>
      <c r="U403">
        <v>40</v>
      </c>
      <c r="V403" s="1">
        <v>40568</v>
      </c>
      <c r="W403" s="1">
        <v>40568</v>
      </c>
      <c r="X403" s="1">
        <v>40568</v>
      </c>
      <c r="Y403" s="1">
        <v>55178</v>
      </c>
      <c r="Z403" t="s">
        <v>51</v>
      </c>
      <c r="AB403" t="s">
        <v>54</v>
      </c>
      <c r="AC403">
        <v>1</v>
      </c>
      <c r="AE403" t="s">
        <v>390</v>
      </c>
      <c r="AF403">
        <v>20</v>
      </c>
      <c r="AG403" s="1">
        <v>40568</v>
      </c>
      <c r="AH403" s="1">
        <v>40568</v>
      </c>
      <c r="AI403" s="1">
        <v>40568</v>
      </c>
      <c r="AJ403" s="1">
        <v>47873</v>
      </c>
      <c r="AK403" t="s">
        <v>51</v>
      </c>
      <c r="AN403">
        <v>0</v>
      </c>
      <c r="AO403" t="s">
        <v>54</v>
      </c>
      <c r="AP403" t="s">
        <v>53</v>
      </c>
      <c r="AQ403">
        <v>0</v>
      </c>
      <c r="AR403" t="s">
        <v>53</v>
      </c>
      <c r="AS403">
        <v>0</v>
      </c>
      <c r="AT403">
        <v>0</v>
      </c>
      <c r="BK403" t="s">
        <v>374</v>
      </c>
      <c r="BL403">
        <v>50000</v>
      </c>
      <c r="BM403" s="1">
        <v>44369</v>
      </c>
      <c r="BN403" s="1">
        <v>44369</v>
      </c>
      <c r="BO403" s="1">
        <v>44369</v>
      </c>
      <c r="BP403" s="1">
        <v>48587</v>
      </c>
      <c r="BQ403" t="s">
        <v>51</v>
      </c>
      <c r="BS403" t="s">
        <v>60</v>
      </c>
      <c r="BT403" t="s">
        <v>54</v>
      </c>
      <c r="BU403" t="s">
        <v>61</v>
      </c>
      <c r="BV403" t="s">
        <v>62</v>
      </c>
      <c r="BX403">
        <v>26</v>
      </c>
      <c r="BY403">
        <v>2860</v>
      </c>
      <c r="BZ403">
        <v>0</v>
      </c>
    </row>
    <row r="404" spans="1:78" x14ac:dyDescent="0.2">
      <c r="A404" t="s">
        <v>387</v>
      </c>
      <c r="B404" t="s">
        <v>388</v>
      </c>
      <c r="C404" t="s">
        <v>387</v>
      </c>
      <c r="D404" t="s">
        <v>48</v>
      </c>
      <c r="F404" t="str">
        <f>"213684"</f>
        <v>213684</v>
      </c>
      <c r="G404" t="s">
        <v>49</v>
      </c>
      <c r="H404" t="s">
        <v>393</v>
      </c>
      <c r="K404" t="s">
        <v>51</v>
      </c>
      <c r="L404" t="s">
        <v>52</v>
      </c>
      <c r="M404">
        <v>133291.54199999999</v>
      </c>
      <c r="N404">
        <v>464940.01400000002</v>
      </c>
      <c r="O404" t="s">
        <v>53</v>
      </c>
      <c r="P404" t="s">
        <v>54</v>
      </c>
      <c r="Q404" t="s">
        <v>55</v>
      </c>
      <c r="T404" t="s">
        <v>372</v>
      </c>
      <c r="U404">
        <v>40</v>
      </c>
      <c r="V404" s="1">
        <v>40568</v>
      </c>
      <c r="W404" s="1">
        <v>40568</v>
      </c>
      <c r="X404" s="1">
        <v>40568</v>
      </c>
      <c r="Y404" s="1">
        <v>55178</v>
      </c>
      <c r="Z404" t="s">
        <v>51</v>
      </c>
      <c r="AB404" t="s">
        <v>54</v>
      </c>
      <c r="AC404">
        <v>1</v>
      </c>
      <c r="AE404" t="s">
        <v>390</v>
      </c>
      <c r="AF404">
        <v>20</v>
      </c>
      <c r="AG404" s="1">
        <v>40568</v>
      </c>
      <c r="AH404" s="1">
        <v>40568</v>
      </c>
      <c r="AI404" s="1">
        <v>40568</v>
      </c>
      <c r="AJ404" s="1">
        <v>47873</v>
      </c>
      <c r="AK404" t="s">
        <v>51</v>
      </c>
      <c r="AN404">
        <v>0</v>
      </c>
      <c r="AO404" t="s">
        <v>54</v>
      </c>
      <c r="AP404" t="s">
        <v>53</v>
      </c>
      <c r="AQ404">
        <v>0</v>
      </c>
      <c r="AR404" t="s">
        <v>53</v>
      </c>
      <c r="AS404">
        <v>0</v>
      </c>
      <c r="AT404">
        <v>0</v>
      </c>
      <c r="BK404" t="s">
        <v>374</v>
      </c>
      <c r="BL404">
        <v>50000</v>
      </c>
      <c r="BM404" s="1">
        <v>44369</v>
      </c>
      <c r="BN404" s="1">
        <v>44369</v>
      </c>
      <c r="BO404" s="1">
        <v>44369</v>
      </c>
      <c r="BP404" s="1">
        <v>48587</v>
      </c>
      <c r="BQ404" t="s">
        <v>51</v>
      </c>
      <c r="BS404" t="s">
        <v>60</v>
      </c>
      <c r="BT404" t="s">
        <v>54</v>
      </c>
      <c r="BU404" t="s">
        <v>61</v>
      </c>
      <c r="BV404" t="s">
        <v>62</v>
      </c>
      <c r="BX404">
        <v>26</v>
      </c>
      <c r="BY404">
        <v>2860</v>
      </c>
      <c r="BZ404">
        <v>0</v>
      </c>
    </row>
    <row r="405" spans="1:78" x14ac:dyDescent="0.2">
      <c r="A405" t="s">
        <v>387</v>
      </c>
      <c r="B405" t="s">
        <v>388</v>
      </c>
      <c r="C405" t="s">
        <v>387</v>
      </c>
      <c r="D405" t="s">
        <v>48</v>
      </c>
      <c r="F405" t="str">
        <f>"213685"</f>
        <v>213685</v>
      </c>
      <c r="G405" t="s">
        <v>49</v>
      </c>
      <c r="H405" t="s">
        <v>394</v>
      </c>
      <c r="K405" t="s">
        <v>51</v>
      </c>
      <c r="L405" t="s">
        <v>52</v>
      </c>
      <c r="M405">
        <v>133289.62899999999</v>
      </c>
      <c r="N405">
        <v>464978.81599999999</v>
      </c>
      <c r="O405" t="s">
        <v>53</v>
      </c>
      <c r="P405" t="s">
        <v>54</v>
      </c>
      <c r="Q405" t="s">
        <v>55</v>
      </c>
      <c r="T405" t="s">
        <v>372</v>
      </c>
      <c r="U405">
        <v>40</v>
      </c>
      <c r="V405" s="1">
        <v>40568</v>
      </c>
      <c r="W405" s="1">
        <v>40568</v>
      </c>
      <c r="X405" s="1">
        <v>40568</v>
      </c>
      <c r="Y405" s="1">
        <v>55178</v>
      </c>
      <c r="Z405" t="s">
        <v>51</v>
      </c>
      <c r="AB405" t="s">
        <v>54</v>
      </c>
      <c r="AC405">
        <v>1</v>
      </c>
      <c r="AE405" t="s">
        <v>390</v>
      </c>
      <c r="AF405">
        <v>20</v>
      </c>
      <c r="AG405" s="1">
        <v>40568</v>
      </c>
      <c r="AH405" s="1">
        <v>40568</v>
      </c>
      <c r="AI405" s="1">
        <v>40568</v>
      </c>
      <c r="AJ405" s="1">
        <v>47873</v>
      </c>
      <c r="AK405" t="s">
        <v>51</v>
      </c>
      <c r="AN405">
        <v>0</v>
      </c>
      <c r="AO405" t="s">
        <v>54</v>
      </c>
      <c r="AP405" t="s">
        <v>53</v>
      </c>
      <c r="AQ405">
        <v>0</v>
      </c>
      <c r="AR405" t="s">
        <v>53</v>
      </c>
      <c r="AS405">
        <v>0</v>
      </c>
      <c r="AT405">
        <v>0</v>
      </c>
      <c r="BK405" t="s">
        <v>374</v>
      </c>
      <c r="BL405">
        <v>50000</v>
      </c>
      <c r="BM405" s="1">
        <v>44369</v>
      </c>
      <c r="BN405" s="1">
        <v>44369</v>
      </c>
      <c r="BO405" s="1">
        <v>44369</v>
      </c>
      <c r="BP405" s="1">
        <v>48587</v>
      </c>
      <c r="BQ405" t="s">
        <v>51</v>
      </c>
      <c r="BS405" t="s">
        <v>60</v>
      </c>
      <c r="BT405" t="s">
        <v>54</v>
      </c>
      <c r="BU405" t="s">
        <v>61</v>
      </c>
      <c r="BV405" t="s">
        <v>62</v>
      </c>
      <c r="BX405">
        <v>26</v>
      </c>
      <c r="BY405">
        <v>2860</v>
      </c>
      <c r="BZ405">
        <v>0</v>
      </c>
    </row>
    <row r="406" spans="1:78" x14ac:dyDescent="0.2">
      <c r="A406" t="s">
        <v>387</v>
      </c>
      <c r="B406" t="s">
        <v>388</v>
      </c>
      <c r="C406" t="s">
        <v>387</v>
      </c>
      <c r="D406" t="s">
        <v>48</v>
      </c>
      <c r="F406" t="str">
        <f>"213686"</f>
        <v>213686</v>
      </c>
      <c r="G406" t="s">
        <v>49</v>
      </c>
      <c r="H406" t="s">
        <v>395</v>
      </c>
      <c r="K406" t="s">
        <v>51</v>
      </c>
      <c r="L406" t="s">
        <v>52</v>
      </c>
      <c r="M406">
        <v>133287.51999999999</v>
      </c>
      <c r="N406">
        <v>465017.91</v>
      </c>
      <c r="O406" t="s">
        <v>53</v>
      </c>
      <c r="P406" t="s">
        <v>54</v>
      </c>
      <c r="Q406" t="s">
        <v>55</v>
      </c>
      <c r="T406" t="s">
        <v>372</v>
      </c>
      <c r="U406">
        <v>40</v>
      </c>
      <c r="V406" s="1">
        <v>40568</v>
      </c>
      <c r="W406" s="1">
        <v>40568</v>
      </c>
      <c r="X406" s="1">
        <v>40568</v>
      </c>
      <c r="Y406" s="1">
        <v>55178</v>
      </c>
      <c r="Z406" t="s">
        <v>51</v>
      </c>
      <c r="AB406" t="s">
        <v>54</v>
      </c>
      <c r="AC406">
        <v>1</v>
      </c>
      <c r="AE406" t="s">
        <v>390</v>
      </c>
      <c r="AF406">
        <v>20</v>
      </c>
      <c r="AG406" s="1">
        <v>40568</v>
      </c>
      <c r="AH406" s="1">
        <v>40568</v>
      </c>
      <c r="AI406" s="1">
        <v>40568</v>
      </c>
      <c r="AJ406" s="1">
        <v>47873</v>
      </c>
      <c r="AK406" t="s">
        <v>51</v>
      </c>
      <c r="AN406">
        <v>0</v>
      </c>
      <c r="AO406" t="s">
        <v>54</v>
      </c>
      <c r="AP406" t="s">
        <v>53</v>
      </c>
      <c r="AQ406">
        <v>0</v>
      </c>
      <c r="AR406" t="s">
        <v>53</v>
      </c>
      <c r="AS406">
        <v>0</v>
      </c>
      <c r="AT406">
        <v>0</v>
      </c>
      <c r="BK406" t="s">
        <v>374</v>
      </c>
      <c r="BL406">
        <v>50000</v>
      </c>
      <c r="BM406" s="1">
        <v>44369</v>
      </c>
      <c r="BN406" s="1">
        <v>44369</v>
      </c>
      <c r="BO406" s="1">
        <v>44369</v>
      </c>
      <c r="BP406" s="1">
        <v>48587</v>
      </c>
      <c r="BQ406" t="s">
        <v>51</v>
      </c>
      <c r="BS406" t="s">
        <v>60</v>
      </c>
      <c r="BT406" t="s">
        <v>54</v>
      </c>
      <c r="BU406" t="s">
        <v>61</v>
      </c>
      <c r="BV406" t="s">
        <v>62</v>
      </c>
      <c r="BX406">
        <v>26</v>
      </c>
      <c r="BY406">
        <v>2860</v>
      </c>
      <c r="BZ406">
        <v>0</v>
      </c>
    </row>
    <row r="407" spans="1:78" x14ac:dyDescent="0.2">
      <c r="A407" t="s">
        <v>387</v>
      </c>
      <c r="B407" t="s">
        <v>388</v>
      </c>
      <c r="C407" t="s">
        <v>387</v>
      </c>
      <c r="D407" t="s">
        <v>48</v>
      </c>
      <c r="F407" t="str">
        <f>"213687"</f>
        <v>213687</v>
      </c>
      <c r="G407" t="s">
        <v>49</v>
      </c>
      <c r="H407" t="s">
        <v>396</v>
      </c>
      <c r="K407" t="s">
        <v>51</v>
      </c>
      <c r="L407" t="s">
        <v>52</v>
      </c>
      <c r="M407">
        <v>133285.31</v>
      </c>
      <c r="N407">
        <v>465053.07</v>
      </c>
      <c r="O407" t="s">
        <v>53</v>
      </c>
      <c r="P407" t="s">
        <v>54</v>
      </c>
      <c r="Q407" t="s">
        <v>55</v>
      </c>
      <c r="T407" t="s">
        <v>372</v>
      </c>
      <c r="U407">
        <v>40</v>
      </c>
      <c r="V407" s="1">
        <v>40568</v>
      </c>
      <c r="W407" s="1">
        <v>40568</v>
      </c>
      <c r="X407" s="1">
        <v>40568</v>
      </c>
      <c r="Y407" s="1">
        <v>55178</v>
      </c>
      <c r="Z407" t="s">
        <v>51</v>
      </c>
      <c r="AB407" t="s">
        <v>54</v>
      </c>
      <c r="AC407">
        <v>1</v>
      </c>
      <c r="AE407" t="s">
        <v>390</v>
      </c>
      <c r="AF407">
        <v>20</v>
      </c>
      <c r="AG407" s="1">
        <v>40568</v>
      </c>
      <c r="AH407" s="1">
        <v>40568</v>
      </c>
      <c r="AI407" s="1">
        <v>40568</v>
      </c>
      <c r="AJ407" s="1">
        <v>47873</v>
      </c>
      <c r="AK407" t="s">
        <v>51</v>
      </c>
      <c r="AN407">
        <v>0</v>
      </c>
      <c r="AO407" t="s">
        <v>54</v>
      </c>
      <c r="AP407" t="s">
        <v>53</v>
      </c>
      <c r="AQ407">
        <v>0</v>
      </c>
      <c r="AR407" t="s">
        <v>53</v>
      </c>
      <c r="AS407">
        <v>0</v>
      </c>
      <c r="AT407">
        <v>0</v>
      </c>
      <c r="BK407" t="s">
        <v>374</v>
      </c>
      <c r="BL407">
        <v>50000</v>
      </c>
      <c r="BM407" s="1">
        <v>44369</v>
      </c>
      <c r="BN407" s="1">
        <v>44369</v>
      </c>
      <c r="BO407" s="1">
        <v>44369</v>
      </c>
      <c r="BP407" s="1">
        <v>48587</v>
      </c>
      <c r="BQ407" t="s">
        <v>51</v>
      </c>
      <c r="BS407" t="s">
        <v>60</v>
      </c>
      <c r="BT407" t="s">
        <v>54</v>
      </c>
      <c r="BU407" t="s">
        <v>61</v>
      </c>
      <c r="BV407" t="s">
        <v>62</v>
      </c>
      <c r="BX407">
        <v>26</v>
      </c>
      <c r="BY407">
        <v>2860</v>
      </c>
      <c r="BZ407">
        <v>0</v>
      </c>
    </row>
    <row r="408" spans="1:78" x14ac:dyDescent="0.2">
      <c r="A408" t="s">
        <v>387</v>
      </c>
      <c r="B408" t="s">
        <v>388</v>
      </c>
      <c r="C408" t="s">
        <v>387</v>
      </c>
      <c r="D408" t="s">
        <v>48</v>
      </c>
      <c r="F408" t="str">
        <f>"213688"</f>
        <v>213688</v>
      </c>
      <c r="G408" t="s">
        <v>49</v>
      </c>
      <c r="H408" t="s">
        <v>397</v>
      </c>
      <c r="K408" t="s">
        <v>51</v>
      </c>
      <c r="L408" t="s">
        <v>52</v>
      </c>
      <c r="M408">
        <v>133282.98000000001</v>
      </c>
      <c r="N408">
        <v>465092.06</v>
      </c>
      <c r="O408" t="s">
        <v>53</v>
      </c>
      <c r="P408" t="s">
        <v>54</v>
      </c>
      <c r="Q408" t="s">
        <v>55</v>
      </c>
      <c r="T408" t="s">
        <v>372</v>
      </c>
      <c r="U408">
        <v>40</v>
      </c>
      <c r="V408" s="1">
        <v>40568</v>
      </c>
      <c r="W408" s="1">
        <v>40568</v>
      </c>
      <c r="X408" s="1">
        <v>40568</v>
      </c>
      <c r="Y408" s="1">
        <v>55178</v>
      </c>
      <c r="Z408" t="s">
        <v>51</v>
      </c>
      <c r="AB408" t="s">
        <v>54</v>
      </c>
      <c r="AC408">
        <v>1</v>
      </c>
      <c r="AE408" t="s">
        <v>390</v>
      </c>
      <c r="AF408">
        <v>20</v>
      </c>
      <c r="AG408" s="1">
        <v>40568</v>
      </c>
      <c r="AH408" s="1">
        <v>40568</v>
      </c>
      <c r="AI408" s="1">
        <v>40568</v>
      </c>
      <c r="AJ408" s="1">
        <v>47873</v>
      </c>
      <c r="AK408" t="s">
        <v>51</v>
      </c>
      <c r="AN408">
        <v>0</v>
      </c>
      <c r="AO408" t="s">
        <v>54</v>
      </c>
      <c r="AP408" t="s">
        <v>53</v>
      </c>
      <c r="AQ408">
        <v>0</v>
      </c>
      <c r="AR408" t="s">
        <v>53</v>
      </c>
      <c r="AS408">
        <v>0</v>
      </c>
      <c r="AT408">
        <v>0</v>
      </c>
      <c r="BK408" t="s">
        <v>374</v>
      </c>
      <c r="BL408">
        <v>50000</v>
      </c>
      <c r="BM408" s="1">
        <v>44369</v>
      </c>
      <c r="BN408" s="1">
        <v>44369</v>
      </c>
      <c r="BO408" s="1">
        <v>44369</v>
      </c>
      <c r="BP408" s="1">
        <v>48587</v>
      </c>
      <c r="BQ408" t="s">
        <v>51</v>
      </c>
      <c r="BS408" t="s">
        <v>60</v>
      </c>
      <c r="BT408" t="s">
        <v>54</v>
      </c>
      <c r="BU408" t="s">
        <v>61</v>
      </c>
      <c r="BV408" t="s">
        <v>62</v>
      </c>
      <c r="BX408">
        <v>26</v>
      </c>
      <c r="BY408">
        <v>2860</v>
      </c>
      <c r="BZ408">
        <v>0</v>
      </c>
    </row>
    <row r="409" spans="1:78" x14ac:dyDescent="0.2">
      <c r="A409" t="s">
        <v>387</v>
      </c>
      <c r="B409" t="s">
        <v>388</v>
      </c>
      <c r="C409" t="s">
        <v>387</v>
      </c>
      <c r="D409" t="s">
        <v>48</v>
      </c>
      <c r="F409" t="str">
        <f>"213689"</f>
        <v>213689</v>
      </c>
      <c r="G409" t="s">
        <v>49</v>
      </c>
      <c r="H409" t="s">
        <v>398</v>
      </c>
      <c r="K409" t="s">
        <v>51</v>
      </c>
      <c r="L409" t="s">
        <v>52</v>
      </c>
      <c r="M409">
        <v>133279.82999999999</v>
      </c>
      <c r="N409">
        <v>465133.49</v>
      </c>
      <c r="O409" t="s">
        <v>53</v>
      </c>
      <c r="P409" t="s">
        <v>54</v>
      </c>
      <c r="Q409" t="s">
        <v>55</v>
      </c>
      <c r="T409" t="s">
        <v>372</v>
      </c>
      <c r="U409">
        <v>40</v>
      </c>
      <c r="V409" s="1">
        <v>40568</v>
      </c>
      <c r="W409" s="1">
        <v>40568</v>
      </c>
      <c r="X409" s="1">
        <v>40568</v>
      </c>
      <c r="Y409" s="1">
        <v>55178</v>
      </c>
      <c r="Z409" t="s">
        <v>51</v>
      </c>
      <c r="AB409" t="s">
        <v>54</v>
      </c>
      <c r="AC409">
        <v>1</v>
      </c>
      <c r="AE409" t="s">
        <v>390</v>
      </c>
      <c r="AF409">
        <v>20</v>
      </c>
      <c r="AG409" s="1">
        <v>40568</v>
      </c>
      <c r="AH409" s="1">
        <v>40568</v>
      </c>
      <c r="AI409" s="1">
        <v>40568</v>
      </c>
      <c r="AJ409" s="1">
        <v>47873</v>
      </c>
      <c r="AK409" t="s">
        <v>51</v>
      </c>
      <c r="AN409">
        <v>0</v>
      </c>
      <c r="AO409" t="s">
        <v>54</v>
      </c>
      <c r="AP409" t="s">
        <v>53</v>
      </c>
      <c r="AQ409">
        <v>0</v>
      </c>
      <c r="AR409" t="s">
        <v>53</v>
      </c>
      <c r="AS409">
        <v>0</v>
      </c>
      <c r="AT409">
        <v>0</v>
      </c>
      <c r="BK409" t="s">
        <v>374</v>
      </c>
      <c r="BL409">
        <v>50000</v>
      </c>
      <c r="BM409" s="1">
        <v>44369</v>
      </c>
      <c r="BN409" s="1">
        <v>44369</v>
      </c>
      <c r="BO409" s="1">
        <v>44369</v>
      </c>
      <c r="BP409" s="1">
        <v>48587</v>
      </c>
      <c r="BQ409" t="s">
        <v>51</v>
      </c>
      <c r="BS409" t="s">
        <v>60</v>
      </c>
      <c r="BT409" t="s">
        <v>54</v>
      </c>
      <c r="BU409" t="s">
        <v>61</v>
      </c>
      <c r="BV409" t="s">
        <v>62</v>
      </c>
      <c r="BX409">
        <v>26</v>
      </c>
      <c r="BY409">
        <v>2860</v>
      </c>
      <c r="BZ409">
        <v>0</v>
      </c>
    </row>
    <row r="410" spans="1:78" x14ac:dyDescent="0.2">
      <c r="A410" t="s">
        <v>387</v>
      </c>
      <c r="B410" t="s">
        <v>388</v>
      </c>
      <c r="C410" t="s">
        <v>387</v>
      </c>
      <c r="D410" t="s">
        <v>48</v>
      </c>
      <c r="F410" t="str">
        <f>"213690"</f>
        <v>213690</v>
      </c>
      <c r="G410" t="s">
        <v>49</v>
      </c>
      <c r="H410" t="s">
        <v>399</v>
      </c>
      <c r="K410" t="s">
        <v>51</v>
      </c>
      <c r="L410" t="s">
        <v>52</v>
      </c>
      <c r="M410">
        <v>133277.04</v>
      </c>
      <c r="N410">
        <v>465174.51</v>
      </c>
      <c r="O410" t="s">
        <v>53</v>
      </c>
      <c r="P410" t="s">
        <v>54</v>
      </c>
      <c r="Q410" t="s">
        <v>55</v>
      </c>
      <c r="T410" t="s">
        <v>372</v>
      </c>
      <c r="U410">
        <v>40</v>
      </c>
      <c r="V410" s="1">
        <v>40568</v>
      </c>
      <c r="W410" s="1">
        <v>40568</v>
      </c>
      <c r="X410" s="1">
        <v>40568</v>
      </c>
      <c r="Y410" s="1">
        <v>55178</v>
      </c>
      <c r="Z410" t="s">
        <v>51</v>
      </c>
      <c r="AB410" t="s">
        <v>54</v>
      </c>
      <c r="AC410">
        <v>1</v>
      </c>
      <c r="AE410" t="s">
        <v>390</v>
      </c>
      <c r="AF410">
        <v>20</v>
      </c>
      <c r="AG410" s="1">
        <v>40568</v>
      </c>
      <c r="AH410" s="1">
        <v>40568</v>
      </c>
      <c r="AI410" s="1">
        <v>40568</v>
      </c>
      <c r="AJ410" s="1">
        <v>47873</v>
      </c>
      <c r="AK410" t="s">
        <v>51</v>
      </c>
      <c r="AN410">
        <v>0</v>
      </c>
      <c r="AO410" t="s">
        <v>54</v>
      </c>
      <c r="AP410" t="s">
        <v>53</v>
      </c>
      <c r="AQ410">
        <v>0</v>
      </c>
      <c r="AR410" t="s">
        <v>53</v>
      </c>
      <c r="AS410">
        <v>0</v>
      </c>
      <c r="AT410">
        <v>0</v>
      </c>
      <c r="BK410" t="s">
        <v>374</v>
      </c>
      <c r="BL410">
        <v>50000</v>
      </c>
      <c r="BM410" s="1">
        <v>44369</v>
      </c>
      <c r="BN410" s="1">
        <v>44369</v>
      </c>
      <c r="BO410" s="1">
        <v>44369</v>
      </c>
      <c r="BP410" s="1">
        <v>48587</v>
      </c>
      <c r="BQ410" t="s">
        <v>51</v>
      </c>
      <c r="BS410" t="s">
        <v>60</v>
      </c>
      <c r="BT410" t="s">
        <v>54</v>
      </c>
      <c r="BU410" t="s">
        <v>61</v>
      </c>
      <c r="BV410" t="s">
        <v>62</v>
      </c>
      <c r="BX410">
        <v>26</v>
      </c>
      <c r="BY410">
        <v>2860</v>
      </c>
      <c r="BZ410">
        <v>0</v>
      </c>
    </row>
    <row r="411" spans="1:78" x14ac:dyDescent="0.2">
      <c r="A411" t="s">
        <v>387</v>
      </c>
      <c r="B411" t="s">
        <v>388</v>
      </c>
      <c r="C411" t="s">
        <v>387</v>
      </c>
      <c r="D411" t="s">
        <v>48</v>
      </c>
      <c r="F411" t="str">
        <f>"213691"</f>
        <v>213691</v>
      </c>
      <c r="G411" t="s">
        <v>49</v>
      </c>
      <c r="H411" t="s">
        <v>400</v>
      </c>
      <c r="K411" t="s">
        <v>51</v>
      </c>
      <c r="L411" t="s">
        <v>52</v>
      </c>
      <c r="M411">
        <v>133273.97</v>
      </c>
      <c r="N411">
        <v>465216.46</v>
      </c>
      <c r="O411" t="s">
        <v>53</v>
      </c>
      <c r="P411" t="s">
        <v>54</v>
      </c>
      <c r="Q411" t="s">
        <v>55</v>
      </c>
      <c r="T411" t="s">
        <v>372</v>
      </c>
      <c r="U411">
        <v>40</v>
      </c>
      <c r="V411" s="1">
        <v>40568</v>
      </c>
      <c r="W411" s="1">
        <v>40568</v>
      </c>
      <c r="X411" s="1">
        <v>40568</v>
      </c>
      <c r="Y411" s="1">
        <v>55178</v>
      </c>
      <c r="Z411" t="s">
        <v>51</v>
      </c>
      <c r="AB411" t="s">
        <v>54</v>
      </c>
      <c r="AC411">
        <v>1</v>
      </c>
      <c r="AE411" t="s">
        <v>390</v>
      </c>
      <c r="AF411">
        <v>20</v>
      </c>
      <c r="AG411" s="1">
        <v>40568</v>
      </c>
      <c r="AH411" s="1">
        <v>40568</v>
      </c>
      <c r="AI411" s="1">
        <v>40568</v>
      </c>
      <c r="AJ411" s="1">
        <v>47873</v>
      </c>
      <c r="AK411" t="s">
        <v>51</v>
      </c>
      <c r="AN411">
        <v>0</v>
      </c>
      <c r="AO411" t="s">
        <v>54</v>
      </c>
      <c r="AP411" t="s">
        <v>53</v>
      </c>
      <c r="AQ411">
        <v>0</v>
      </c>
      <c r="AR411" t="s">
        <v>53</v>
      </c>
      <c r="AS411">
        <v>0</v>
      </c>
      <c r="AT411">
        <v>0</v>
      </c>
      <c r="BK411" t="s">
        <v>374</v>
      </c>
      <c r="BL411">
        <v>50000</v>
      </c>
      <c r="BM411" s="1">
        <v>44369</v>
      </c>
      <c r="BN411" s="1">
        <v>44369</v>
      </c>
      <c r="BO411" s="1">
        <v>44369</v>
      </c>
      <c r="BP411" s="1">
        <v>48587</v>
      </c>
      <c r="BQ411" t="s">
        <v>51</v>
      </c>
      <c r="BS411" t="s">
        <v>60</v>
      </c>
      <c r="BT411" t="s">
        <v>54</v>
      </c>
      <c r="BU411" t="s">
        <v>61</v>
      </c>
      <c r="BV411" t="s">
        <v>62</v>
      </c>
      <c r="BX411">
        <v>26</v>
      </c>
      <c r="BY411">
        <v>2860</v>
      </c>
      <c r="BZ411">
        <v>0</v>
      </c>
    </row>
    <row r="412" spans="1:78" x14ac:dyDescent="0.2">
      <c r="A412" t="s">
        <v>387</v>
      </c>
      <c r="B412" t="s">
        <v>388</v>
      </c>
      <c r="C412" t="s">
        <v>387</v>
      </c>
      <c r="D412" t="s">
        <v>48</v>
      </c>
      <c r="F412" t="str">
        <f>"213692"</f>
        <v>213692</v>
      </c>
      <c r="G412" t="s">
        <v>49</v>
      </c>
      <c r="H412" t="s">
        <v>401</v>
      </c>
      <c r="K412" t="s">
        <v>51</v>
      </c>
      <c r="L412" t="s">
        <v>52</v>
      </c>
      <c r="M412">
        <v>133270.96</v>
      </c>
      <c r="N412">
        <v>465257.24</v>
      </c>
      <c r="O412" t="s">
        <v>53</v>
      </c>
      <c r="P412" t="s">
        <v>54</v>
      </c>
      <c r="Q412" t="s">
        <v>55</v>
      </c>
      <c r="T412" t="s">
        <v>372</v>
      </c>
      <c r="U412">
        <v>40</v>
      </c>
      <c r="V412" s="1">
        <v>40568</v>
      </c>
      <c r="W412" s="1">
        <v>40568</v>
      </c>
      <c r="X412" s="1">
        <v>40568</v>
      </c>
      <c r="Y412" s="1">
        <v>55178</v>
      </c>
      <c r="Z412" t="s">
        <v>51</v>
      </c>
      <c r="AB412" t="s">
        <v>54</v>
      </c>
      <c r="AC412">
        <v>1</v>
      </c>
      <c r="AE412" t="s">
        <v>390</v>
      </c>
      <c r="AF412">
        <v>20</v>
      </c>
      <c r="AG412" s="1">
        <v>40568</v>
      </c>
      <c r="AH412" s="1">
        <v>40568</v>
      </c>
      <c r="AI412" s="1">
        <v>40568</v>
      </c>
      <c r="AJ412" s="1">
        <v>47873</v>
      </c>
      <c r="AK412" t="s">
        <v>51</v>
      </c>
      <c r="AN412">
        <v>0</v>
      </c>
      <c r="AO412" t="s">
        <v>54</v>
      </c>
      <c r="AP412" t="s">
        <v>53</v>
      </c>
      <c r="AQ412">
        <v>0</v>
      </c>
      <c r="AR412" t="s">
        <v>53</v>
      </c>
      <c r="AS412">
        <v>0</v>
      </c>
      <c r="AT412">
        <v>0</v>
      </c>
      <c r="BK412" t="s">
        <v>374</v>
      </c>
      <c r="BL412">
        <v>50000</v>
      </c>
      <c r="BM412" s="1">
        <v>44369</v>
      </c>
      <c r="BN412" s="1">
        <v>44369</v>
      </c>
      <c r="BO412" s="1">
        <v>44369</v>
      </c>
      <c r="BP412" s="1">
        <v>48587</v>
      </c>
      <c r="BQ412" t="s">
        <v>51</v>
      </c>
      <c r="BS412" t="s">
        <v>60</v>
      </c>
      <c r="BT412" t="s">
        <v>54</v>
      </c>
      <c r="BU412" t="s">
        <v>61</v>
      </c>
      <c r="BV412" t="s">
        <v>62</v>
      </c>
      <c r="BX412">
        <v>26</v>
      </c>
      <c r="BY412">
        <v>2860</v>
      </c>
      <c r="BZ412">
        <v>0</v>
      </c>
    </row>
    <row r="413" spans="1:78" x14ac:dyDescent="0.2">
      <c r="A413" t="s">
        <v>387</v>
      </c>
      <c r="B413" t="s">
        <v>388</v>
      </c>
      <c r="C413" t="s">
        <v>387</v>
      </c>
      <c r="D413" t="s">
        <v>48</v>
      </c>
      <c r="F413" t="str">
        <f>"213693"</f>
        <v>213693</v>
      </c>
      <c r="G413" t="s">
        <v>49</v>
      </c>
      <c r="H413" t="s">
        <v>402</v>
      </c>
      <c r="K413" t="s">
        <v>51</v>
      </c>
      <c r="L413" t="s">
        <v>52</v>
      </c>
      <c r="M413">
        <v>133268.49299999999</v>
      </c>
      <c r="N413">
        <v>465300.565</v>
      </c>
      <c r="O413" t="s">
        <v>53</v>
      </c>
      <c r="P413" t="s">
        <v>54</v>
      </c>
      <c r="Q413" t="s">
        <v>55</v>
      </c>
      <c r="T413" t="s">
        <v>372</v>
      </c>
      <c r="U413">
        <v>40</v>
      </c>
      <c r="V413" s="1">
        <v>40568</v>
      </c>
      <c r="W413" s="1">
        <v>40568</v>
      </c>
      <c r="X413" s="1">
        <v>40568</v>
      </c>
      <c r="Y413" s="1">
        <v>55178</v>
      </c>
      <c r="Z413" t="s">
        <v>51</v>
      </c>
      <c r="AB413" t="s">
        <v>54</v>
      </c>
      <c r="AC413">
        <v>1</v>
      </c>
      <c r="AE413" t="s">
        <v>390</v>
      </c>
      <c r="AF413">
        <v>20</v>
      </c>
      <c r="AG413" s="1">
        <v>40568</v>
      </c>
      <c r="AH413" s="1">
        <v>40568</v>
      </c>
      <c r="AI413" s="1">
        <v>40568</v>
      </c>
      <c r="AJ413" s="1">
        <v>47873</v>
      </c>
      <c r="AK413" t="s">
        <v>51</v>
      </c>
      <c r="AN413">
        <v>0</v>
      </c>
      <c r="AO413" t="s">
        <v>54</v>
      </c>
      <c r="AP413" t="s">
        <v>53</v>
      </c>
      <c r="AQ413">
        <v>0</v>
      </c>
      <c r="AR413" t="s">
        <v>53</v>
      </c>
      <c r="AS413">
        <v>0</v>
      </c>
      <c r="AT413">
        <v>0</v>
      </c>
      <c r="BK413" t="s">
        <v>374</v>
      </c>
      <c r="BL413">
        <v>50000</v>
      </c>
      <c r="BM413" s="1">
        <v>44369</v>
      </c>
      <c r="BN413" s="1">
        <v>44369</v>
      </c>
      <c r="BO413" s="1">
        <v>44369</v>
      </c>
      <c r="BP413" s="1">
        <v>48587</v>
      </c>
      <c r="BQ413" t="s">
        <v>51</v>
      </c>
      <c r="BS413" t="s">
        <v>60</v>
      </c>
      <c r="BT413" t="s">
        <v>54</v>
      </c>
      <c r="BU413" t="s">
        <v>61</v>
      </c>
      <c r="BV413" t="s">
        <v>62</v>
      </c>
      <c r="BX413">
        <v>26</v>
      </c>
      <c r="BY413">
        <v>2860</v>
      </c>
      <c r="BZ413">
        <v>0</v>
      </c>
    </row>
    <row r="414" spans="1:78" x14ac:dyDescent="0.2">
      <c r="A414" t="s">
        <v>387</v>
      </c>
      <c r="B414" t="s">
        <v>388</v>
      </c>
      <c r="C414" t="s">
        <v>387</v>
      </c>
      <c r="D414" t="s">
        <v>48</v>
      </c>
      <c r="F414" t="str">
        <f>"213694"</f>
        <v>213694</v>
      </c>
      <c r="G414" t="s">
        <v>49</v>
      </c>
      <c r="H414" t="s">
        <v>403</v>
      </c>
      <c r="K414" t="s">
        <v>51</v>
      </c>
      <c r="L414" t="s">
        <v>52</v>
      </c>
      <c r="M414">
        <v>133265.09</v>
      </c>
      <c r="N414">
        <v>465345.36</v>
      </c>
      <c r="O414" t="s">
        <v>53</v>
      </c>
      <c r="P414" t="s">
        <v>54</v>
      </c>
      <c r="Q414" t="s">
        <v>55</v>
      </c>
      <c r="T414" t="s">
        <v>372</v>
      </c>
      <c r="U414">
        <v>40</v>
      </c>
      <c r="V414" s="1">
        <v>40568</v>
      </c>
      <c r="W414" s="1">
        <v>40568</v>
      </c>
      <c r="X414" s="1">
        <v>40568</v>
      </c>
      <c r="Y414" s="1">
        <v>55178</v>
      </c>
      <c r="Z414" t="s">
        <v>51</v>
      </c>
      <c r="AB414" t="s">
        <v>54</v>
      </c>
      <c r="AC414">
        <v>1</v>
      </c>
      <c r="AE414" t="s">
        <v>390</v>
      </c>
      <c r="AF414">
        <v>20</v>
      </c>
      <c r="AG414" s="1">
        <v>40568</v>
      </c>
      <c r="AH414" s="1">
        <v>40568</v>
      </c>
      <c r="AI414" s="1">
        <v>40568</v>
      </c>
      <c r="AJ414" s="1">
        <v>47873</v>
      </c>
      <c r="AK414" t="s">
        <v>51</v>
      </c>
      <c r="AN414">
        <v>0</v>
      </c>
      <c r="AO414" t="s">
        <v>54</v>
      </c>
      <c r="AP414" t="s">
        <v>53</v>
      </c>
      <c r="AQ414">
        <v>0</v>
      </c>
      <c r="AR414" t="s">
        <v>53</v>
      </c>
      <c r="AS414">
        <v>0</v>
      </c>
      <c r="AT414">
        <v>0</v>
      </c>
      <c r="BK414" t="s">
        <v>374</v>
      </c>
      <c r="BL414">
        <v>50000</v>
      </c>
      <c r="BM414" s="1">
        <v>44369</v>
      </c>
      <c r="BN414" s="1">
        <v>44369</v>
      </c>
      <c r="BO414" s="1">
        <v>44369</v>
      </c>
      <c r="BP414" s="1">
        <v>48587</v>
      </c>
      <c r="BQ414" t="s">
        <v>51</v>
      </c>
      <c r="BS414" t="s">
        <v>60</v>
      </c>
      <c r="BT414" t="s">
        <v>54</v>
      </c>
      <c r="BU414" t="s">
        <v>61</v>
      </c>
      <c r="BV414" t="s">
        <v>62</v>
      </c>
      <c r="BX414">
        <v>26</v>
      </c>
      <c r="BY414">
        <v>2860</v>
      </c>
      <c r="BZ414">
        <v>0</v>
      </c>
    </row>
    <row r="415" spans="1:78" x14ac:dyDescent="0.2">
      <c r="A415" t="s">
        <v>387</v>
      </c>
      <c r="B415" t="s">
        <v>388</v>
      </c>
      <c r="C415" t="s">
        <v>387</v>
      </c>
      <c r="D415" t="s">
        <v>48</v>
      </c>
      <c r="F415" t="str">
        <f>"213695"</f>
        <v>213695</v>
      </c>
      <c r="G415" t="s">
        <v>49</v>
      </c>
      <c r="H415" t="s">
        <v>404</v>
      </c>
      <c r="K415" t="s">
        <v>51</v>
      </c>
      <c r="L415" t="s">
        <v>52</v>
      </c>
      <c r="M415">
        <v>133261.85699999999</v>
      </c>
      <c r="N415">
        <v>465386.891</v>
      </c>
      <c r="O415" t="s">
        <v>53</v>
      </c>
      <c r="P415" t="s">
        <v>54</v>
      </c>
      <c r="Q415" t="s">
        <v>55</v>
      </c>
      <c r="T415" t="s">
        <v>372</v>
      </c>
      <c r="U415">
        <v>40</v>
      </c>
      <c r="V415" s="1">
        <v>40568</v>
      </c>
      <c r="W415" s="1">
        <v>40568</v>
      </c>
      <c r="X415" s="1">
        <v>40568</v>
      </c>
      <c r="Y415" s="1">
        <v>55178</v>
      </c>
      <c r="Z415" t="s">
        <v>51</v>
      </c>
      <c r="AB415" t="s">
        <v>54</v>
      </c>
      <c r="AC415">
        <v>1</v>
      </c>
      <c r="AE415" t="s">
        <v>390</v>
      </c>
      <c r="AF415">
        <v>20</v>
      </c>
      <c r="AG415" s="1">
        <v>40568</v>
      </c>
      <c r="AH415" s="1">
        <v>40568</v>
      </c>
      <c r="AI415" s="1">
        <v>40568</v>
      </c>
      <c r="AJ415" s="1">
        <v>47873</v>
      </c>
      <c r="AK415" t="s">
        <v>51</v>
      </c>
      <c r="AN415">
        <v>0</v>
      </c>
      <c r="AO415" t="s">
        <v>54</v>
      </c>
      <c r="AP415" t="s">
        <v>53</v>
      </c>
      <c r="AQ415">
        <v>0</v>
      </c>
      <c r="AR415" t="s">
        <v>53</v>
      </c>
      <c r="AS415">
        <v>0</v>
      </c>
      <c r="AT415">
        <v>0</v>
      </c>
      <c r="BK415" t="s">
        <v>374</v>
      </c>
      <c r="BL415">
        <v>50000</v>
      </c>
      <c r="BM415" s="1">
        <v>44369</v>
      </c>
      <c r="BN415" s="1">
        <v>44369</v>
      </c>
      <c r="BO415" s="1">
        <v>44369</v>
      </c>
      <c r="BP415" s="1">
        <v>48587</v>
      </c>
      <c r="BQ415" t="s">
        <v>51</v>
      </c>
      <c r="BS415" t="s">
        <v>60</v>
      </c>
      <c r="BT415" t="s">
        <v>54</v>
      </c>
      <c r="BU415" t="s">
        <v>61</v>
      </c>
      <c r="BV415" t="s">
        <v>62</v>
      </c>
      <c r="BX415">
        <v>26</v>
      </c>
      <c r="BY415">
        <v>2860</v>
      </c>
      <c r="BZ415">
        <v>0</v>
      </c>
    </row>
    <row r="416" spans="1:78" x14ac:dyDescent="0.2">
      <c r="A416" t="s">
        <v>387</v>
      </c>
      <c r="B416" t="s">
        <v>388</v>
      </c>
      <c r="C416" t="s">
        <v>387</v>
      </c>
      <c r="D416" t="s">
        <v>48</v>
      </c>
      <c r="F416" t="str">
        <f>"213696"</f>
        <v>213696</v>
      </c>
      <c r="G416" t="s">
        <v>49</v>
      </c>
      <c r="H416" t="s">
        <v>405</v>
      </c>
      <c r="K416" t="s">
        <v>51</v>
      </c>
      <c r="L416" t="s">
        <v>52</v>
      </c>
      <c r="M416">
        <v>133258.34</v>
      </c>
      <c r="N416">
        <v>465418.53</v>
      </c>
      <c r="O416" t="s">
        <v>53</v>
      </c>
      <c r="P416" t="s">
        <v>54</v>
      </c>
      <c r="Q416" t="s">
        <v>55</v>
      </c>
      <c r="T416" t="s">
        <v>372</v>
      </c>
      <c r="U416">
        <v>40</v>
      </c>
      <c r="V416" s="1">
        <v>40568</v>
      </c>
      <c r="W416" s="1">
        <v>40568</v>
      </c>
      <c r="X416" s="1">
        <v>40568</v>
      </c>
      <c r="Y416" s="1">
        <v>55178</v>
      </c>
      <c r="Z416" t="s">
        <v>51</v>
      </c>
      <c r="AB416" t="s">
        <v>54</v>
      </c>
      <c r="AC416">
        <v>1</v>
      </c>
      <c r="AE416" t="s">
        <v>390</v>
      </c>
      <c r="AF416">
        <v>20</v>
      </c>
      <c r="AG416" s="1">
        <v>40568</v>
      </c>
      <c r="AH416" s="1">
        <v>40568</v>
      </c>
      <c r="AI416" s="1">
        <v>40568</v>
      </c>
      <c r="AJ416" s="1">
        <v>47873</v>
      </c>
      <c r="AK416" t="s">
        <v>51</v>
      </c>
      <c r="AN416">
        <v>0</v>
      </c>
      <c r="AO416" t="s">
        <v>54</v>
      </c>
      <c r="AP416" t="s">
        <v>53</v>
      </c>
      <c r="AQ416">
        <v>0</v>
      </c>
      <c r="AR416" t="s">
        <v>53</v>
      </c>
      <c r="AS416">
        <v>0</v>
      </c>
      <c r="AT416">
        <v>0</v>
      </c>
      <c r="BK416" t="s">
        <v>374</v>
      </c>
      <c r="BL416">
        <v>50000</v>
      </c>
      <c r="BM416" s="1">
        <v>44369</v>
      </c>
      <c r="BN416" s="1">
        <v>44369</v>
      </c>
      <c r="BO416" s="1">
        <v>44369</v>
      </c>
      <c r="BP416" s="1">
        <v>48587</v>
      </c>
      <c r="BQ416" t="s">
        <v>51</v>
      </c>
      <c r="BS416" t="s">
        <v>60</v>
      </c>
      <c r="BT416" t="s">
        <v>54</v>
      </c>
      <c r="BU416" t="s">
        <v>61</v>
      </c>
      <c r="BV416" t="s">
        <v>62</v>
      </c>
      <c r="BX416">
        <v>26</v>
      </c>
      <c r="BY416">
        <v>2860</v>
      </c>
      <c r="BZ416">
        <v>0</v>
      </c>
    </row>
    <row r="417" spans="1:78" x14ac:dyDescent="0.2">
      <c r="A417" t="s">
        <v>387</v>
      </c>
      <c r="B417" t="s">
        <v>388</v>
      </c>
      <c r="C417" t="s">
        <v>387</v>
      </c>
      <c r="D417" t="s">
        <v>48</v>
      </c>
      <c r="F417" t="str">
        <f>"213697"</f>
        <v>213697</v>
      </c>
      <c r="G417" t="s">
        <v>49</v>
      </c>
      <c r="H417" t="s">
        <v>406</v>
      </c>
      <c r="K417" t="s">
        <v>51</v>
      </c>
      <c r="L417" t="s">
        <v>52</v>
      </c>
      <c r="M417">
        <v>133256.07999999999</v>
      </c>
      <c r="N417">
        <v>465454.44</v>
      </c>
      <c r="O417" t="s">
        <v>53</v>
      </c>
      <c r="P417" t="s">
        <v>54</v>
      </c>
      <c r="Q417" t="s">
        <v>55</v>
      </c>
      <c r="T417" t="s">
        <v>372</v>
      </c>
      <c r="U417">
        <v>40</v>
      </c>
      <c r="V417" s="1">
        <v>40568</v>
      </c>
      <c r="W417" s="1">
        <v>40568</v>
      </c>
      <c r="X417" s="1">
        <v>40568</v>
      </c>
      <c r="Y417" s="1">
        <v>55178</v>
      </c>
      <c r="Z417" t="s">
        <v>51</v>
      </c>
      <c r="AB417" t="s">
        <v>54</v>
      </c>
      <c r="AC417">
        <v>1</v>
      </c>
      <c r="AE417" t="s">
        <v>390</v>
      </c>
      <c r="AF417">
        <v>20</v>
      </c>
      <c r="AG417" s="1">
        <v>40568</v>
      </c>
      <c r="AH417" s="1">
        <v>40568</v>
      </c>
      <c r="AI417" s="1">
        <v>40568</v>
      </c>
      <c r="AJ417" s="1">
        <v>47873</v>
      </c>
      <c r="AK417" t="s">
        <v>51</v>
      </c>
      <c r="AN417">
        <v>0</v>
      </c>
      <c r="AO417" t="s">
        <v>54</v>
      </c>
      <c r="AP417" t="s">
        <v>53</v>
      </c>
      <c r="AQ417">
        <v>0</v>
      </c>
      <c r="AR417" t="s">
        <v>53</v>
      </c>
      <c r="AS417">
        <v>0</v>
      </c>
      <c r="AT417">
        <v>0</v>
      </c>
      <c r="BK417" t="s">
        <v>374</v>
      </c>
      <c r="BL417">
        <v>50000</v>
      </c>
      <c r="BM417" s="1">
        <v>44369</v>
      </c>
      <c r="BN417" s="1">
        <v>44369</v>
      </c>
      <c r="BO417" s="1">
        <v>44369</v>
      </c>
      <c r="BP417" s="1">
        <v>48587</v>
      </c>
      <c r="BQ417" t="s">
        <v>51</v>
      </c>
      <c r="BS417" t="s">
        <v>60</v>
      </c>
      <c r="BT417" t="s">
        <v>54</v>
      </c>
      <c r="BU417" t="s">
        <v>61</v>
      </c>
      <c r="BV417" t="s">
        <v>62</v>
      </c>
      <c r="BX417">
        <v>26</v>
      </c>
      <c r="BY417">
        <v>2860</v>
      </c>
      <c r="BZ417">
        <v>0</v>
      </c>
    </row>
    <row r="418" spans="1:78" x14ac:dyDescent="0.2">
      <c r="A418" t="s">
        <v>387</v>
      </c>
      <c r="B418" t="s">
        <v>388</v>
      </c>
      <c r="C418" t="s">
        <v>387</v>
      </c>
      <c r="D418" t="s">
        <v>48</v>
      </c>
      <c r="F418" t="str">
        <f>"213698"</f>
        <v>213698</v>
      </c>
      <c r="G418" t="s">
        <v>49</v>
      </c>
      <c r="H418" t="s">
        <v>407</v>
      </c>
      <c r="K418" t="s">
        <v>51</v>
      </c>
      <c r="L418" t="s">
        <v>52</v>
      </c>
      <c r="M418">
        <v>133253.39000000001</v>
      </c>
      <c r="N418">
        <v>465490.26</v>
      </c>
      <c r="O418" t="s">
        <v>53</v>
      </c>
      <c r="P418" t="s">
        <v>54</v>
      </c>
      <c r="Q418" t="s">
        <v>55</v>
      </c>
      <c r="T418" t="s">
        <v>372</v>
      </c>
      <c r="U418">
        <v>40</v>
      </c>
      <c r="V418" s="1">
        <v>40578</v>
      </c>
      <c r="W418" s="1">
        <v>40578</v>
      </c>
      <c r="X418" s="1">
        <v>40578</v>
      </c>
      <c r="Y418" s="1">
        <v>55188</v>
      </c>
      <c r="Z418" t="s">
        <v>51</v>
      </c>
      <c r="AB418" t="s">
        <v>54</v>
      </c>
      <c r="AC418">
        <v>1</v>
      </c>
      <c r="AE418" t="s">
        <v>390</v>
      </c>
      <c r="AF418">
        <v>20</v>
      </c>
      <c r="AG418" s="1">
        <v>40578</v>
      </c>
      <c r="AH418" s="1">
        <v>40578</v>
      </c>
      <c r="AI418" s="1">
        <v>40578</v>
      </c>
      <c r="AJ418" s="1">
        <v>47883</v>
      </c>
      <c r="AK418" t="s">
        <v>51</v>
      </c>
      <c r="AN418">
        <v>0</v>
      </c>
      <c r="AO418" t="s">
        <v>54</v>
      </c>
      <c r="AP418" t="s">
        <v>53</v>
      </c>
      <c r="AQ418">
        <v>0</v>
      </c>
      <c r="AR418" t="s">
        <v>53</v>
      </c>
      <c r="AS418">
        <v>0</v>
      </c>
      <c r="AT418">
        <v>0</v>
      </c>
      <c r="BK418" t="s">
        <v>374</v>
      </c>
      <c r="BL418">
        <v>50000</v>
      </c>
      <c r="BM418" s="1">
        <v>44369</v>
      </c>
      <c r="BN418" s="1">
        <v>44369</v>
      </c>
      <c r="BO418" s="1">
        <v>44369</v>
      </c>
      <c r="BP418" s="1">
        <v>48587</v>
      </c>
      <c r="BQ418" t="s">
        <v>51</v>
      </c>
      <c r="BS418" t="s">
        <v>60</v>
      </c>
      <c r="BT418" t="s">
        <v>54</v>
      </c>
      <c r="BU418" t="s">
        <v>61</v>
      </c>
      <c r="BV418" t="s">
        <v>62</v>
      </c>
      <c r="BX418">
        <v>26</v>
      </c>
      <c r="BY418">
        <v>2860</v>
      </c>
      <c r="BZ418">
        <v>0</v>
      </c>
    </row>
    <row r="419" spans="1:78" x14ac:dyDescent="0.2">
      <c r="A419" t="s">
        <v>387</v>
      </c>
      <c r="B419" t="s">
        <v>388</v>
      </c>
      <c r="C419" t="s">
        <v>387</v>
      </c>
      <c r="D419" t="s">
        <v>48</v>
      </c>
      <c r="F419" t="str">
        <f>"213699"</f>
        <v>213699</v>
      </c>
      <c r="G419" t="s">
        <v>49</v>
      </c>
      <c r="H419" t="s">
        <v>408</v>
      </c>
      <c r="K419" t="s">
        <v>51</v>
      </c>
      <c r="L419" t="s">
        <v>52</v>
      </c>
      <c r="M419">
        <v>133251.29999999999</v>
      </c>
      <c r="N419">
        <v>465530.65</v>
      </c>
      <c r="O419" t="s">
        <v>53</v>
      </c>
      <c r="P419" t="s">
        <v>54</v>
      </c>
      <c r="Q419" t="s">
        <v>55</v>
      </c>
      <c r="T419" t="s">
        <v>372</v>
      </c>
      <c r="U419">
        <v>40</v>
      </c>
      <c r="V419" s="1">
        <v>40578</v>
      </c>
      <c r="W419" s="1">
        <v>40578</v>
      </c>
      <c r="X419" s="1">
        <v>40578</v>
      </c>
      <c r="Y419" s="1">
        <v>55188</v>
      </c>
      <c r="Z419" t="s">
        <v>51</v>
      </c>
      <c r="AB419" t="s">
        <v>54</v>
      </c>
      <c r="AC419">
        <v>1</v>
      </c>
      <c r="AE419" t="s">
        <v>390</v>
      </c>
      <c r="AF419">
        <v>20</v>
      </c>
      <c r="AG419" s="1">
        <v>40578</v>
      </c>
      <c r="AH419" s="1">
        <v>40578</v>
      </c>
      <c r="AI419" s="1">
        <v>40578</v>
      </c>
      <c r="AJ419" s="1">
        <v>47883</v>
      </c>
      <c r="AK419" t="s">
        <v>51</v>
      </c>
      <c r="AN419">
        <v>0</v>
      </c>
      <c r="AO419" t="s">
        <v>54</v>
      </c>
      <c r="AP419" t="s">
        <v>53</v>
      </c>
      <c r="AQ419">
        <v>0</v>
      </c>
      <c r="AR419" t="s">
        <v>53</v>
      </c>
      <c r="AS419">
        <v>0</v>
      </c>
      <c r="AT419">
        <v>0</v>
      </c>
      <c r="BK419" t="s">
        <v>374</v>
      </c>
      <c r="BL419">
        <v>50000</v>
      </c>
      <c r="BM419" s="1">
        <v>44369</v>
      </c>
      <c r="BN419" s="1">
        <v>44369</v>
      </c>
      <c r="BO419" s="1">
        <v>44369</v>
      </c>
      <c r="BP419" s="1">
        <v>48587</v>
      </c>
      <c r="BQ419" t="s">
        <v>51</v>
      </c>
      <c r="BS419" t="s">
        <v>60</v>
      </c>
      <c r="BT419" t="s">
        <v>54</v>
      </c>
      <c r="BU419" t="s">
        <v>61</v>
      </c>
      <c r="BV419" t="s">
        <v>62</v>
      </c>
      <c r="BX419">
        <v>26</v>
      </c>
      <c r="BY419">
        <v>2860</v>
      </c>
      <c r="BZ419">
        <v>0</v>
      </c>
    </row>
    <row r="420" spans="1:78" x14ac:dyDescent="0.2">
      <c r="A420" t="s">
        <v>387</v>
      </c>
      <c r="B420" t="s">
        <v>388</v>
      </c>
      <c r="C420" t="s">
        <v>387</v>
      </c>
      <c r="D420" t="s">
        <v>48</v>
      </c>
      <c r="F420" t="str">
        <f>"213700"</f>
        <v>213700</v>
      </c>
      <c r="G420" t="s">
        <v>49</v>
      </c>
      <c r="H420" t="s">
        <v>409</v>
      </c>
      <c r="K420" t="s">
        <v>51</v>
      </c>
      <c r="L420" t="s">
        <v>52</v>
      </c>
      <c r="M420">
        <v>133249.13</v>
      </c>
      <c r="N420">
        <v>465569.64</v>
      </c>
      <c r="O420" t="s">
        <v>53</v>
      </c>
      <c r="P420" t="s">
        <v>54</v>
      </c>
      <c r="Q420" t="s">
        <v>55</v>
      </c>
      <c r="T420" t="s">
        <v>372</v>
      </c>
      <c r="U420">
        <v>40</v>
      </c>
      <c r="V420" s="1">
        <v>40578</v>
      </c>
      <c r="W420" s="1">
        <v>40578</v>
      </c>
      <c r="X420" s="1">
        <v>40578</v>
      </c>
      <c r="Y420" s="1">
        <v>55188</v>
      </c>
      <c r="Z420" t="s">
        <v>51</v>
      </c>
      <c r="AB420" t="s">
        <v>54</v>
      </c>
      <c r="AC420">
        <v>1</v>
      </c>
      <c r="AE420" t="s">
        <v>390</v>
      </c>
      <c r="AF420">
        <v>20</v>
      </c>
      <c r="AG420" s="1">
        <v>40578</v>
      </c>
      <c r="AH420" s="1">
        <v>40578</v>
      </c>
      <c r="AI420" s="1">
        <v>40578</v>
      </c>
      <c r="AJ420" s="1">
        <v>47883</v>
      </c>
      <c r="AK420" t="s">
        <v>51</v>
      </c>
      <c r="AN420">
        <v>0</v>
      </c>
      <c r="AO420" t="s">
        <v>54</v>
      </c>
      <c r="AP420" t="s">
        <v>53</v>
      </c>
      <c r="AQ420">
        <v>0</v>
      </c>
      <c r="AR420" t="s">
        <v>53</v>
      </c>
      <c r="AS420">
        <v>0</v>
      </c>
      <c r="AT420">
        <v>0</v>
      </c>
      <c r="BK420" t="s">
        <v>374</v>
      </c>
      <c r="BL420">
        <v>50000</v>
      </c>
      <c r="BM420" s="1">
        <v>44369</v>
      </c>
      <c r="BN420" s="1">
        <v>44369</v>
      </c>
      <c r="BO420" s="1">
        <v>44369</v>
      </c>
      <c r="BP420" s="1">
        <v>48587</v>
      </c>
      <c r="BQ420" t="s">
        <v>51</v>
      </c>
      <c r="BS420" t="s">
        <v>60</v>
      </c>
      <c r="BT420" t="s">
        <v>54</v>
      </c>
      <c r="BU420" t="s">
        <v>61</v>
      </c>
      <c r="BV420" t="s">
        <v>62</v>
      </c>
      <c r="BX420">
        <v>26</v>
      </c>
      <c r="BY420">
        <v>2860</v>
      </c>
      <c r="BZ420">
        <v>0</v>
      </c>
    </row>
    <row r="421" spans="1:78" x14ac:dyDescent="0.2">
      <c r="A421" t="s">
        <v>387</v>
      </c>
      <c r="B421" t="s">
        <v>388</v>
      </c>
      <c r="C421" t="s">
        <v>387</v>
      </c>
      <c r="D421" t="s">
        <v>48</v>
      </c>
      <c r="F421" t="str">
        <f>"213701"</f>
        <v>213701</v>
      </c>
      <c r="G421" t="s">
        <v>49</v>
      </c>
      <c r="H421" t="s">
        <v>410</v>
      </c>
      <c r="K421" t="s">
        <v>51</v>
      </c>
      <c r="L421" t="s">
        <v>52</v>
      </c>
      <c r="M421">
        <v>133246.28</v>
      </c>
      <c r="N421">
        <v>465608.1</v>
      </c>
      <c r="O421" t="s">
        <v>53</v>
      </c>
      <c r="P421" t="s">
        <v>54</v>
      </c>
      <c r="Q421" t="s">
        <v>55</v>
      </c>
      <c r="T421" t="s">
        <v>372</v>
      </c>
      <c r="U421">
        <v>40</v>
      </c>
      <c r="V421" s="1">
        <v>40578</v>
      </c>
      <c r="W421" s="1">
        <v>40578</v>
      </c>
      <c r="X421" s="1">
        <v>40578</v>
      </c>
      <c r="Y421" s="1">
        <v>55188</v>
      </c>
      <c r="Z421" t="s">
        <v>51</v>
      </c>
      <c r="AB421" t="s">
        <v>54</v>
      </c>
      <c r="AC421">
        <v>1</v>
      </c>
      <c r="AE421" t="s">
        <v>390</v>
      </c>
      <c r="AF421">
        <v>20</v>
      </c>
      <c r="AG421" s="1">
        <v>40578</v>
      </c>
      <c r="AH421" s="1">
        <v>40578</v>
      </c>
      <c r="AI421" s="1">
        <v>40578</v>
      </c>
      <c r="AJ421" s="1">
        <v>47883</v>
      </c>
      <c r="AK421" t="s">
        <v>51</v>
      </c>
      <c r="AN421">
        <v>0</v>
      </c>
      <c r="AO421" t="s">
        <v>54</v>
      </c>
      <c r="AP421" t="s">
        <v>53</v>
      </c>
      <c r="AQ421">
        <v>0</v>
      </c>
      <c r="AR421" t="s">
        <v>53</v>
      </c>
      <c r="AS421">
        <v>0</v>
      </c>
      <c r="AT421">
        <v>0</v>
      </c>
      <c r="BK421" t="s">
        <v>374</v>
      </c>
      <c r="BL421">
        <v>50000</v>
      </c>
      <c r="BM421" s="1">
        <v>44369</v>
      </c>
      <c r="BN421" s="1">
        <v>44369</v>
      </c>
      <c r="BO421" s="1">
        <v>44369</v>
      </c>
      <c r="BP421" s="1">
        <v>48587</v>
      </c>
      <c r="BQ421" t="s">
        <v>51</v>
      </c>
      <c r="BS421" t="s">
        <v>60</v>
      </c>
      <c r="BT421" t="s">
        <v>54</v>
      </c>
      <c r="BU421" t="s">
        <v>61</v>
      </c>
      <c r="BV421" t="s">
        <v>62</v>
      </c>
      <c r="BX421">
        <v>26</v>
      </c>
      <c r="BY421">
        <v>2860</v>
      </c>
      <c r="BZ421">
        <v>0</v>
      </c>
    </row>
    <row r="422" spans="1:78" x14ac:dyDescent="0.2">
      <c r="A422" t="s">
        <v>387</v>
      </c>
      <c r="B422" t="s">
        <v>388</v>
      </c>
      <c r="C422" t="s">
        <v>387</v>
      </c>
      <c r="D422" t="s">
        <v>48</v>
      </c>
      <c r="F422" t="str">
        <f>"213702"</f>
        <v>213702</v>
      </c>
      <c r="G422" t="s">
        <v>49</v>
      </c>
      <c r="H422" t="s">
        <v>411</v>
      </c>
      <c r="K422" t="s">
        <v>51</v>
      </c>
      <c r="L422" t="s">
        <v>52</v>
      </c>
      <c r="M422">
        <v>133242.76</v>
      </c>
      <c r="N422">
        <v>465651.49</v>
      </c>
      <c r="O422" t="s">
        <v>53</v>
      </c>
      <c r="P422" t="s">
        <v>54</v>
      </c>
      <c r="Q422" t="s">
        <v>55</v>
      </c>
      <c r="T422" t="s">
        <v>372</v>
      </c>
      <c r="U422">
        <v>40</v>
      </c>
      <c r="V422" s="1">
        <v>40578</v>
      </c>
      <c r="W422" s="1">
        <v>40578</v>
      </c>
      <c r="X422" s="1">
        <v>40578</v>
      </c>
      <c r="Y422" s="1">
        <v>55188</v>
      </c>
      <c r="Z422" t="s">
        <v>51</v>
      </c>
      <c r="AB422" t="s">
        <v>54</v>
      </c>
      <c r="AC422">
        <v>1</v>
      </c>
      <c r="AE422" t="s">
        <v>390</v>
      </c>
      <c r="AF422">
        <v>20</v>
      </c>
      <c r="AG422" s="1">
        <v>40578</v>
      </c>
      <c r="AH422" s="1">
        <v>40578</v>
      </c>
      <c r="AI422" s="1">
        <v>40578</v>
      </c>
      <c r="AJ422" s="1">
        <v>47883</v>
      </c>
      <c r="AK422" t="s">
        <v>51</v>
      </c>
      <c r="AN422">
        <v>0</v>
      </c>
      <c r="AO422" t="s">
        <v>54</v>
      </c>
      <c r="AP422" t="s">
        <v>53</v>
      </c>
      <c r="AQ422">
        <v>0</v>
      </c>
      <c r="AR422" t="s">
        <v>53</v>
      </c>
      <c r="AS422">
        <v>0</v>
      </c>
      <c r="AT422">
        <v>0</v>
      </c>
      <c r="BK422" t="s">
        <v>374</v>
      </c>
      <c r="BL422">
        <v>50000</v>
      </c>
      <c r="BM422" s="1">
        <v>44369</v>
      </c>
      <c r="BN422" s="1">
        <v>44369</v>
      </c>
      <c r="BO422" s="1">
        <v>44369</v>
      </c>
      <c r="BP422" s="1">
        <v>48587</v>
      </c>
      <c r="BQ422" t="s">
        <v>51</v>
      </c>
      <c r="BS422" t="s">
        <v>60</v>
      </c>
      <c r="BT422" t="s">
        <v>54</v>
      </c>
      <c r="BU422" t="s">
        <v>61</v>
      </c>
      <c r="BV422" t="s">
        <v>62</v>
      </c>
      <c r="BX422">
        <v>26</v>
      </c>
      <c r="BY422">
        <v>2860</v>
      </c>
      <c r="BZ422">
        <v>0</v>
      </c>
    </row>
    <row r="423" spans="1:78" x14ac:dyDescent="0.2">
      <c r="A423" t="s">
        <v>387</v>
      </c>
      <c r="B423" t="s">
        <v>388</v>
      </c>
      <c r="C423" t="s">
        <v>387</v>
      </c>
      <c r="D423" t="s">
        <v>48</v>
      </c>
      <c r="F423" t="str">
        <f>"213703"</f>
        <v>213703</v>
      </c>
      <c r="G423" t="s">
        <v>49</v>
      </c>
      <c r="H423" t="s">
        <v>412</v>
      </c>
      <c r="K423" t="s">
        <v>51</v>
      </c>
      <c r="L423" t="s">
        <v>52</v>
      </c>
      <c r="M423">
        <v>133240.01999999999</v>
      </c>
      <c r="N423">
        <v>465691.65500000003</v>
      </c>
      <c r="O423" t="s">
        <v>53</v>
      </c>
      <c r="P423" t="s">
        <v>54</v>
      </c>
      <c r="Q423" t="s">
        <v>55</v>
      </c>
      <c r="T423" t="s">
        <v>372</v>
      </c>
      <c r="U423">
        <v>40</v>
      </c>
      <c r="V423" s="1">
        <v>40578</v>
      </c>
      <c r="W423" s="1">
        <v>40578</v>
      </c>
      <c r="X423" s="1">
        <v>40578</v>
      </c>
      <c r="Y423" s="1">
        <v>55188</v>
      </c>
      <c r="Z423" t="s">
        <v>51</v>
      </c>
      <c r="AB423" t="s">
        <v>54</v>
      </c>
      <c r="AC423">
        <v>1</v>
      </c>
      <c r="AE423" t="s">
        <v>390</v>
      </c>
      <c r="AF423">
        <v>20</v>
      </c>
      <c r="AG423" s="1">
        <v>40578</v>
      </c>
      <c r="AH423" s="1">
        <v>40578</v>
      </c>
      <c r="AI423" s="1">
        <v>40578</v>
      </c>
      <c r="AJ423" s="1">
        <v>47883</v>
      </c>
      <c r="AK423" t="s">
        <v>51</v>
      </c>
      <c r="AN423">
        <v>0</v>
      </c>
      <c r="AO423" t="s">
        <v>54</v>
      </c>
      <c r="AP423" t="s">
        <v>53</v>
      </c>
      <c r="AQ423">
        <v>0</v>
      </c>
      <c r="AR423" t="s">
        <v>53</v>
      </c>
      <c r="AS423">
        <v>0</v>
      </c>
      <c r="AT423">
        <v>0</v>
      </c>
      <c r="BK423" t="s">
        <v>374</v>
      </c>
      <c r="BL423">
        <v>50000</v>
      </c>
      <c r="BM423" s="1">
        <v>44369</v>
      </c>
      <c r="BN423" s="1">
        <v>44369</v>
      </c>
      <c r="BO423" s="1">
        <v>44369</v>
      </c>
      <c r="BP423" s="1">
        <v>48587</v>
      </c>
      <c r="BQ423" t="s">
        <v>51</v>
      </c>
      <c r="BS423" t="s">
        <v>60</v>
      </c>
      <c r="BT423" t="s">
        <v>54</v>
      </c>
      <c r="BU423" t="s">
        <v>61</v>
      </c>
      <c r="BV423" t="s">
        <v>62</v>
      </c>
      <c r="BX423">
        <v>26</v>
      </c>
      <c r="BY423">
        <v>2860</v>
      </c>
      <c r="BZ423">
        <v>0</v>
      </c>
    </row>
    <row r="424" spans="1:78" x14ac:dyDescent="0.2">
      <c r="A424" t="s">
        <v>387</v>
      </c>
      <c r="B424" t="s">
        <v>388</v>
      </c>
      <c r="C424" t="s">
        <v>387</v>
      </c>
      <c r="D424" t="s">
        <v>48</v>
      </c>
      <c r="F424" t="str">
        <f>"213704"</f>
        <v>213704</v>
      </c>
      <c r="G424" t="s">
        <v>49</v>
      </c>
      <c r="H424" t="s">
        <v>413</v>
      </c>
      <c r="K424" t="s">
        <v>51</v>
      </c>
      <c r="L424" t="s">
        <v>52</v>
      </c>
      <c r="M424">
        <v>133237.16</v>
      </c>
      <c r="N424">
        <v>465733.21</v>
      </c>
      <c r="O424" t="s">
        <v>53</v>
      </c>
      <c r="P424" t="s">
        <v>54</v>
      </c>
      <c r="Q424" t="s">
        <v>55</v>
      </c>
      <c r="T424" t="s">
        <v>372</v>
      </c>
      <c r="U424">
        <v>40</v>
      </c>
      <c r="V424" s="1">
        <v>40578</v>
      </c>
      <c r="W424" s="1">
        <v>40578</v>
      </c>
      <c r="X424" s="1">
        <v>40578</v>
      </c>
      <c r="Y424" s="1">
        <v>55188</v>
      </c>
      <c r="Z424" t="s">
        <v>51</v>
      </c>
      <c r="AB424" t="s">
        <v>54</v>
      </c>
      <c r="AC424">
        <v>1</v>
      </c>
      <c r="AE424" t="s">
        <v>390</v>
      </c>
      <c r="AF424">
        <v>20</v>
      </c>
      <c r="AG424" s="1">
        <v>40578</v>
      </c>
      <c r="AH424" s="1">
        <v>40578</v>
      </c>
      <c r="AI424" s="1">
        <v>40578</v>
      </c>
      <c r="AJ424" s="1">
        <v>47883</v>
      </c>
      <c r="AK424" t="s">
        <v>51</v>
      </c>
      <c r="AN424">
        <v>0</v>
      </c>
      <c r="AO424" t="s">
        <v>54</v>
      </c>
      <c r="AP424" t="s">
        <v>53</v>
      </c>
      <c r="AQ424">
        <v>0</v>
      </c>
      <c r="AR424" t="s">
        <v>53</v>
      </c>
      <c r="AS424">
        <v>0</v>
      </c>
      <c r="AT424">
        <v>0</v>
      </c>
      <c r="BK424" t="s">
        <v>374</v>
      </c>
      <c r="BL424">
        <v>50000</v>
      </c>
      <c r="BM424" s="1">
        <v>44369</v>
      </c>
      <c r="BN424" s="1">
        <v>44369</v>
      </c>
      <c r="BO424" s="1">
        <v>44369</v>
      </c>
      <c r="BP424" s="1">
        <v>48587</v>
      </c>
      <c r="BQ424" t="s">
        <v>51</v>
      </c>
      <c r="BS424" t="s">
        <v>60</v>
      </c>
      <c r="BT424" t="s">
        <v>54</v>
      </c>
      <c r="BU424" t="s">
        <v>61</v>
      </c>
      <c r="BV424" t="s">
        <v>62</v>
      </c>
      <c r="BX424">
        <v>26</v>
      </c>
      <c r="BY424">
        <v>2860</v>
      </c>
      <c r="BZ424">
        <v>0</v>
      </c>
    </row>
    <row r="425" spans="1:78" x14ac:dyDescent="0.2">
      <c r="A425" t="s">
        <v>387</v>
      </c>
      <c r="B425" t="s">
        <v>388</v>
      </c>
      <c r="C425" t="s">
        <v>387</v>
      </c>
      <c r="D425" t="s">
        <v>48</v>
      </c>
      <c r="F425" t="str">
        <f>"213705"</f>
        <v>213705</v>
      </c>
      <c r="G425" t="s">
        <v>49</v>
      </c>
      <c r="H425" t="s">
        <v>414</v>
      </c>
      <c r="K425" t="s">
        <v>51</v>
      </c>
      <c r="L425" t="s">
        <v>52</v>
      </c>
      <c r="M425">
        <v>133234.72</v>
      </c>
      <c r="N425">
        <v>465774.26</v>
      </c>
      <c r="O425" t="s">
        <v>53</v>
      </c>
      <c r="P425" t="s">
        <v>54</v>
      </c>
      <c r="Q425" t="s">
        <v>55</v>
      </c>
      <c r="T425" t="s">
        <v>372</v>
      </c>
      <c r="U425">
        <v>40</v>
      </c>
      <c r="V425" s="1">
        <v>40578</v>
      </c>
      <c r="W425" s="1">
        <v>40578</v>
      </c>
      <c r="X425" s="1">
        <v>40578</v>
      </c>
      <c r="Y425" s="1">
        <v>55188</v>
      </c>
      <c r="Z425" t="s">
        <v>51</v>
      </c>
      <c r="AB425" t="s">
        <v>54</v>
      </c>
      <c r="AC425">
        <v>1</v>
      </c>
      <c r="AE425" t="s">
        <v>390</v>
      </c>
      <c r="AF425">
        <v>20</v>
      </c>
      <c r="AG425" s="1">
        <v>40578</v>
      </c>
      <c r="AH425" s="1">
        <v>40578</v>
      </c>
      <c r="AI425" s="1">
        <v>40578</v>
      </c>
      <c r="AJ425" s="1">
        <v>47883</v>
      </c>
      <c r="AK425" t="s">
        <v>51</v>
      </c>
      <c r="AN425">
        <v>0</v>
      </c>
      <c r="AO425" t="s">
        <v>54</v>
      </c>
      <c r="AP425" t="s">
        <v>53</v>
      </c>
      <c r="AQ425">
        <v>0</v>
      </c>
      <c r="AR425" t="s">
        <v>53</v>
      </c>
      <c r="AS425">
        <v>0</v>
      </c>
      <c r="AT425">
        <v>0</v>
      </c>
      <c r="BK425" t="s">
        <v>374</v>
      </c>
      <c r="BL425">
        <v>50000</v>
      </c>
      <c r="BM425" s="1">
        <v>44369</v>
      </c>
      <c r="BN425" s="1">
        <v>44369</v>
      </c>
      <c r="BO425" s="1">
        <v>44369</v>
      </c>
      <c r="BP425" s="1">
        <v>48587</v>
      </c>
      <c r="BQ425" t="s">
        <v>51</v>
      </c>
      <c r="BS425" t="s">
        <v>60</v>
      </c>
      <c r="BT425" t="s">
        <v>54</v>
      </c>
      <c r="BU425" t="s">
        <v>61</v>
      </c>
      <c r="BV425" t="s">
        <v>62</v>
      </c>
      <c r="BX425">
        <v>26</v>
      </c>
      <c r="BY425">
        <v>2860</v>
      </c>
      <c r="BZ425">
        <v>0</v>
      </c>
    </row>
    <row r="426" spans="1:78" x14ac:dyDescent="0.2">
      <c r="A426" t="s">
        <v>387</v>
      </c>
      <c r="B426" t="s">
        <v>388</v>
      </c>
      <c r="C426" t="s">
        <v>387</v>
      </c>
      <c r="D426" t="s">
        <v>48</v>
      </c>
      <c r="F426" t="str">
        <f>"213706"</f>
        <v>213706</v>
      </c>
      <c r="G426" t="s">
        <v>49</v>
      </c>
      <c r="H426" t="s">
        <v>415</v>
      </c>
      <c r="K426" t="s">
        <v>51</v>
      </c>
      <c r="L426" t="s">
        <v>52</v>
      </c>
      <c r="M426">
        <v>133231.85</v>
      </c>
      <c r="N426">
        <v>465814.25</v>
      </c>
      <c r="O426" t="s">
        <v>53</v>
      </c>
      <c r="P426" t="s">
        <v>54</v>
      </c>
      <c r="Q426" t="s">
        <v>55</v>
      </c>
      <c r="T426" t="s">
        <v>372</v>
      </c>
      <c r="U426">
        <v>40</v>
      </c>
      <c r="V426" s="1">
        <v>40578</v>
      </c>
      <c r="W426" s="1">
        <v>40578</v>
      </c>
      <c r="X426" s="1">
        <v>40578</v>
      </c>
      <c r="Y426" s="1">
        <v>55188</v>
      </c>
      <c r="Z426" t="s">
        <v>51</v>
      </c>
      <c r="AB426" t="s">
        <v>54</v>
      </c>
      <c r="AC426">
        <v>1</v>
      </c>
      <c r="AE426" t="s">
        <v>390</v>
      </c>
      <c r="AF426">
        <v>20</v>
      </c>
      <c r="AG426" s="1">
        <v>40578</v>
      </c>
      <c r="AH426" s="1">
        <v>40578</v>
      </c>
      <c r="AI426" s="1">
        <v>40578</v>
      </c>
      <c r="AJ426" s="1">
        <v>47883</v>
      </c>
      <c r="AK426" t="s">
        <v>51</v>
      </c>
      <c r="AN426">
        <v>0</v>
      </c>
      <c r="AO426" t="s">
        <v>54</v>
      </c>
      <c r="AP426" t="s">
        <v>53</v>
      </c>
      <c r="AQ426">
        <v>0</v>
      </c>
      <c r="AR426" t="s">
        <v>53</v>
      </c>
      <c r="AS426">
        <v>0</v>
      </c>
      <c r="AT426">
        <v>0</v>
      </c>
      <c r="BK426" t="s">
        <v>374</v>
      </c>
      <c r="BL426">
        <v>50000</v>
      </c>
      <c r="BM426" s="1">
        <v>44369</v>
      </c>
      <c r="BN426" s="1">
        <v>44369</v>
      </c>
      <c r="BO426" s="1">
        <v>44369</v>
      </c>
      <c r="BP426" s="1">
        <v>48587</v>
      </c>
      <c r="BQ426" t="s">
        <v>51</v>
      </c>
      <c r="BS426" t="s">
        <v>60</v>
      </c>
      <c r="BT426" t="s">
        <v>54</v>
      </c>
      <c r="BU426" t="s">
        <v>61</v>
      </c>
      <c r="BV426" t="s">
        <v>62</v>
      </c>
      <c r="BX426">
        <v>26</v>
      </c>
      <c r="BY426">
        <v>2860</v>
      </c>
      <c r="BZ426">
        <v>0</v>
      </c>
    </row>
    <row r="427" spans="1:78" x14ac:dyDescent="0.2">
      <c r="A427" t="s">
        <v>387</v>
      </c>
      <c r="B427" t="s">
        <v>388</v>
      </c>
      <c r="C427" t="s">
        <v>387</v>
      </c>
      <c r="D427" t="s">
        <v>48</v>
      </c>
      <c r="F427" t="str">
        <f>"213707"</f>
        <v>213707</v>
      </c>
      <c r="G427" t="s">
        <v>49</v>
      </c>
      <c r="H427" t="s">
        <v>416</v>
      </c>
      <c r="K427" t="s">
        <v>51</v>
      </c>
      <c r="L427" t="s">
        <v>52</v>
      </c>
      <c r="M427">
        <v>133228.99</v>
      </c>
      <c r="N427">
        <v>465856.21</v>
      </c>
      <c r="O427" t="s">
        <v>53</v>
      </c>
      <c r="P427" t="s">
        <v>54</v>
      </c>
      <c r="Q427" t="s">
        <v>55</v>
      </c>
      <c r="T427" t="s">
        <v>372</v>
      </c>
      <c r="U427">
        <v>40</v>
      </c>
      <c r="V427" s="1">
        <v>40578</v>
      </c>
      <c r="W427" s="1">
        <v>40578</v>
      </c>
      <c r="X427" s="1">
        <v>40578</v>
      </c>
      <c r="Y427" s="1">
        <v>55188</v>
      </c>
      <c r="Z427" t="s">
        <v>51</v>
      </c>
      <c r="AB427" t="s">
        <v>54</v>
      </c>
      <c r="AC427">
        <v>1</v>
      </c>
      <c r="AE427" t="s">
        <v>390</v>
      </c>
      <c r="AF427">
        <v>20</v>
      </c>
      <c r="AG427" s="1">
        <v>40578</v>
      </c>
      <c r="AH427" s="1">
        <v>40578</v>
      </c>
      <c r="AI427" s="1">
        <v>40578</v>
      </c>
      <c r="AJ427" s="1">
        <v>47883</v>
      </c>
      <c r="AK427" t="s">
        <v>51</v>
      </c>
      <c r="AN427">
        <v>0</v>
      </c>
      <c r="AO427" t="s">
        <v>54</v>
      </c>
      <c r="AP427" t="s">
        <v>53</v>
      </c>
      <c r="AQ427">
        <v>0</v>
      </c>
      <c r="AR427" t="s">
        <v>53</v>
      </c>
      <c r="AS427">
        <v>0</v>
      </c>
      <c r="AT427">
        <v>0</v>
      </c>
      <c r="BK427" t="s">
        <v>374</v>
      </c>
      <c r="BL427">
        <v>50000</v>
      </c>
      <c r="BM427" s="1">
        <v>44369</v>
      </c>
      <c r="BN427" s="1">
        <v>44369</v>
      </c>
      <c r="BO427" s="1">
        <v>44369</v>
      </c>
      <c r="BP427" s="1">
        <v>48587</v>
      </c>
      <c r="BQ427" t="s">
        <v>51</v>
      </c>
      <c r="BS427" t="s">
        <v>60</v>
      </c>
      <c r="BT427" t="s">
        <v>54</v>
      </c>
      <c r="BU427" t="s">
        <v>61</v>
      </c>
      <c r="BV427" t="s">
        <v>62</v>
      </c>
      <c r="BX427">
        <v>26</v>
      </c>
      <c r="BY427">
        <v>2860</v>
      </c>
      <c r="BZ427">
        <v>0</v>
      </c>
    </row>
    <row r="428" spans="1:78" x14ac:dyDescent="0.2">
      <c r="A428" t="s">
        <v>387</v>
      </c>
      <c r="B428" t="s">
        <v>388</v>
      </c>
      <c r="C428" t="s">
        <v>387</v>
      </c>
      <c r="D428" t="s">
        <v>48</v>
      </c>
      <c r="F428" t="str">
        <f>"213708"</f>
        <v>213708</v>
      </c>
      <c r="G428" t="s">
        <v>49</v>
      </c>
      <c r="H428" t="s">
        <v>417</v>
      </c>
      <c r="K428" t="s">
        <v>51</v>
      </c>
      <c r="L428" t="s">
        <v>52</v>
      </c>
      <c r="M428">
        <v>133225.889</v>
      </c>
      <c r="N428">
        <v>465892.55699999997</v>
      </c>
      <c r="O428" t="s">
        <v>53</v>
      </c>
      <c r="P428" t="s">
        <v>54</v>
      </c>
      <c r="Q428" t="s">
        <v>55</v>
      </c>
      <c r="T428" t="s">
        <v>372</v>
      </c>
      <c r="U428">
        <v>40</v>
      </c>
      <c r="V428" s="1">
        <v>40578</v>
      </c>
      <c r="W428" s="1">
        <v>40578</v>
      </c>
      <c r="X428" s="1">
        <v>40578</v>
      </c>
      <c r="Y428" s="1">
        <v>55188</v>
      </c>
      <c r="Z428" t="s">
        <v>51</v>
      </c>
      <c r="AB428" t="s">
        <v>54</v>
      </c>
      <c r="AC428">
        <v>1</v>
      </c>
      <c r="AE428" t="s">
        <v>390</v>
      </c>
      <c r="AF428">
        <v>20</v>
      </c>
      <c r="AG428" s="1">
        <v>40578</v>
      </c>
      <c r="AH428" s="1">
        <v>40578</v>
      </c>
      <c r="AI428" s="1">
        <v>40578</v>
      </c>
      <c r="AJ428" s="1">
        <v>47883</v>
      </c>
      <c r="AK428" t="s">
        <v>51</v>
      </c>
      <c r="AN428">
        <v>0</v>
      </c>
      <c r="AO428" t="s">
        <v>54</v>
      </c>
      <c r="AP428" t="s">
        <v>53</v>
      </c>
      <c r="AQ428">
        <v>0</v>
      </c>
      <c r="AR428" t="s">
        <v>53</v>
      </c>
      <c r="AS428">
        <v>0</v>
      </c>
      <c r="AT428">
        <v>0</v>
      </c>
      <c r="BK428" t="s">
        <v>374</v>
      </c>
      <c r="BL428">
        <v>50000</v>
      </c>
      <c r="BM428" s="1">
        <v>44369</v>
      </c>
      <c r="BN428" s="1">
        <v>44369</v>
      </c>
      <c r="BO428" s="1">
        <v>44369</v>
      </c>
      <c r="BP428" s="1">
        <v>48587</v>
      </c>
      <c r="BQ428" t="s">
        <v>51</v>
      </c>
      <c r="BS428" t="s">
        <v>60</v>
      </c>
      <c r="BT428" t="s">
        <v>54</v>
      </c>
      <c r="BU428" t="s">
        <v>61</v>
      </c>
      <c r="BV428" t="s">
        <v>62</v>
      </c>
      <c r="BX428">
        <v>26</v>
      </c>
      <c r="BY428">
        <v>2860</v>
      </c>
      <c r="BZ428">
        <v>0</v>
      </c>
    </row>
    <row r="429" spans="1:78" x14ac:dyDescent="0.2">
      <c r="A429" t="s">
        <v>387</v>
      </c>
      <c r="B429" t="s">
        <v>388</v>
      </c>
      <c r="C429" t="s">
        <v>387</v>
      </c>
      <c r="D429" t="s">
        <v>48</v>
      </c>
      <c r="F429" t="str">
        <f>"213709"</f>
        <v>213709</v>
      </c>
      <c r="G429" t="s">
        <v>49</v>
      </c>
      <c r="H429" t="s">
        <v>418</v>
      </c>
      <c r="K429" t="s">
        <v>51</v>
      </c>
      <c r="L429" t="s">
        <v>52</v>
      </c>
      <c r="M429">
        <v>133222.49</v>
      </c>
      <c r="N429">
        <v>465932.82</v>
      </c>
      <c r="O429" t="s">
        <v>53</v>
      </c>
      <c r="P429" t="s">
        <v>54</v>
      </c>
      <c r="Q429" t="s">
        <v>55</v>
      </c>
      <c r="T429" t="s">
        <v>372</v>
      </c>
      <c r="U429">
        <v>40</v>
      </c>
      <c r="V429" s="1">
        <v>40578</v>
      </c>
      <c r="W429" s="1">
        <v>40578</v>
      </c>
      <c r="X429" s="1">
        <v>40578</v>
      </c>
      <c r="Y429" s="1">
        <v>55188</v>
      </c>
      <c r="Z429" t="s">
        <v>51</v>
      </c>
      <c r="AB429" t="s">
        <v>54</v>
      </c>
      <c r="AC429">
        <v>1</v>
      </c>
      <c r="AE429" t="s">
        <v>390</v>
      </c>
      <c r="AF429">
        <v>20</v>
      </c>
      <c r="AG429" s="1">
        <v>40578</v>
      </c>
      <c r="AH429" s="1">
        <v>40578</v>
      </c>
      <c r="AI429" s="1">
        <v>40578</v>
      </c>
      <c r="AJ429" s="1">
        <v>47883</v>
      </c>
      <c r="AK429" t="s">
        <v>51</v>
      </c>
      <c r="AN429">
        <v>0</v>
      </c>
      <c r="AO429" t="s">
        <v>54</v>
      </c>
      <c r="AP429" t="s">
        <v>53</v>
      </c>
      <c r="AQ429">
        <v>0</v>
      </c>
      <c r="AR429" t="s">
        <v>53</v>
      </c>
      <c r="AS429">
        <v>0</v>
      </c>
      <c r="AT429">
        <v>0</v>
      </c>
      <c r="BK429" t="s">
        <v>374</v>
      </c>
      <c r="BL429">
        <v>50000</v>
      </c>
      <c r="BM429" s="1">
        <v>44369</v>
      </c>
      <c r="BN429" s="1">
        <v>44369</v>
      </c>
      <c r="BO429" s="1">
        <v>44369</v>
      </c>
      <c r="BP429" s="1">
        <v>48587</v>
      </c>
      <c r="BQ429" t="s">
        <v>51</v>
      </c>
      <c r="BS429" t="s">
        <v>60</v>
      </c>
      <c r="BT429" t="s">
        <v>54</v>
      </c>
      <c r="BU429" t="s">
        <v>61</v>
      </c>
      <c r="BV429" t="s">
        <v>62</v>
      </c>
      <c r="BX429">
        <v>26</v>
      </c>
      <c r="BY429">
        <v>2860</v>
      </c>
      <c r="BZ429">
        <v>0</v>
      </c>
    </row>
    <row r="430" spans="1:78" x14ac:dyDescent="0.2">
      <c r="A430" t="s">
        <v>387</v>
      </c>
      <c r="B430" t="s">
        <v>388</v>
      </c>
      <c r="C430" t="s">
        <v>387</v>
      </c>
      <c r="D430" t="s">
        <v>48</v>
      </c>
      <c r="F430" t="str">
        <f>"213710"</f>
        <v>213710</v>
      </c>
      <c r="G430" t="s">
        <v>49</v>
      </c>
      <c r="H430" t="s">
        <v>419</v>
      </c>
      <c r="K430" t="s">
        <v>51</v>
      </c>
      <c r="L430" t="s">
        <v>52</v>
      </c>
      <c r="M430">
        <v>133220.022</v>
      </c>
      <c r="N430">
        <v>465972.38199999998</v>
      </c>
      <c r="O430" t="s">
        <v>53</v>
      </c>
      <c r="P430" t="s">
        <v>54</v>
      </c>
      <c r="Q430" t="s">
        <v>55</v>
      </c>
      <c r="T430" t="s">
        <v>372</v>
      </c>
      <c r="U430">
        <v>40</v>
      </c>
      <c r="V430" s="1">
        <v>40578</v>
      </c>
      <c r="W430" s="1">
        <v>40578</v>
      </c>
      <c r="X430" s="1">
        <v>40578</v>
      </c>
      <c r="Y430" s="1">
        <v>55188</v>
      </c>
      <c r="Z430" t="s">
        <v>51</v>
      </c>
      <c r="AB430" t="s">
        <v>54</v>
      </c>
      <c r="AC430">
        <v>1</v>
      </c>
      <c r="AE430" t="s">
        <v>390</v>
      </c>
      <c r="AF430">
        <v>20</v>
      </c>
      <c r="AG430" s="1">
        <v>40578</v>
      </c>
      <c r="AH430" s="1">
        <v>40578</v>
      </c>
      <c r="AI430" s="1">
        <v>40578</v>
      </c>
      <c r="AJ430" s="1">
        <v>47883</v>
      </c>
      <c r="AK430" t="s">
        <v>51</v>
      </c>
      <c r="AN430">
        <v>0</v>
      </c>
      <c r="AO430" t="s">
        <v>54</v>
      </c>
      <c r="AP430" t="s">
        <v>53</v>
      </c>
      <c r="AQ430">
        <v>0</v>
      </c>
      <c r="AR430" t="s">
        <v>53</v>
      </c>
      <c r="AS430">
        <v>0</v>
      </c>
      <c r="AT430">
        <v>0</v>
      </c>
      <c r="BK430" t="s">
        <v>374</v>
      </c>
      <c r="BL430">
        <v>50000</v>
      </c>
      <c r="BM430" s="1">
        <v>44369</v>
      </c>
      <c r="BN430" s="1">
        <v>44369</v>
      </c>
      <c r="BO430" s="1">
        <v>44369</v>
      </c>
      <c r="BP430" s="1">
        <v>48587</v>
      </c>
      <c r="BQ430" t="s">
        <v>51</v>
      </c>
      <c r="BS430" t="s">
        <v>60</v>
      </c>
      <c r="BT430" t="s">
        <v>54</v>
      </c>
      <c r="BU430" t="s">
        <v>61</v>
      </c>
      <c r="BV430" t="s">
        <v>62</v>
      </c>
      <c r="BX430">
        <v>26</v>
      </c>
      <c r="BY430">
        <v>2860</v>
      </c>
      <c r="BZ430">
        <v>0</v>
      </c>
    </row>
    <row r="431" spans="1:78" x14ac:dyDescent="0.2">
      <c r="A431" t="s">
        <v>387</v>
      </c>
      <c r="B431" t="s">
        <v>388</v>
      </c>
      <c r="C431" t="s">
        <v>387</v>
      </c>
      <c r="D431" t="s">
        <v>48</v>
      </c>
      <c r="F431" t="str">
        <f>"213711"</f>
        <v>213711</v>
      </c>
      <c r="G431" t="s">
        <v>49</v>
      </c>
      <c r="H431" t="s">
        <v>420</v>
      </c>
      <c r="K431" t="s">
        <v>51</v>
      </c>
      <c r="L431" t="s">
        <v>52</v>
      </c>
      <c r="M431">
        <v>133216.67000000001</v>
      </c>
      <c r="N431">
        <v>466016.73</v>
      </c>
      <c r="O431" t="s">
        <v>53</v>
      </c>
      <c r="P431" t="s">
        <v>54</v>
      </c>
      <c r="Q431" t="s">
        <v>55</v>
      </c>
      <c r="T431" t="s">
        <v>372</v>
      </c>
      <c r="U431">
        <v>40</v>
      </c>
      <c r="V431" s="1">
        <v>40578</v>
      </c>
      <c r="W431" s="1">
        <v>40578</v>
      </c>
      <c r="X431" s="1">
        <v>40578</v>
      </c>
      <c r="Y431" s="1">
        <v>55188</v>
      </c>
      <c r="Z431" t="s">
        <v>51</v>
      </c>
      <c r="AB431" t="s">
        <v>54</v>
      </c>
      <c r="AC431">
        <v>1</v>
      </c>
      <c r="AE431" t="s">
        <v>390</v>
      </c>
      <c r="AF431">
        <v>20</v>
      </c>
      <c r="AG431" s="1">
        <v>40578</v>
      </c>
      <c r="AH431" s="1">
        <v>40578</v>
      </c>
      <c r="AI431" s="1">
        <v>40578</v>
      </c>
      <c r="AJ431" s="1">
        <v>47883</v>
      </c>
      <c r="AK431" t="s">
        <v>51</v>
      </c>
      <c r="AN431">
        <v>0</v>
      </c>
      <c r="AO431" t="s">
        <v>54</v>
      </c>
      <c r="AP431" t="s">
        <v>53</v>
      </c>
      <c r="AQ431">
        <v>0</v>
      </c>
      <c r="AR431" t="s">
        <v>53</v>
      </c>
      <c r="AS431">
        <v>0</v>
      </c>
      <c r="AT431">
        <v>0</v>
      </c>
      <c r="BK431" t="s">
        <v>374</v>
      </c>
      <c r="BL431">
        <v>50000</v>
      </c>
      <c r="BM431" s="1">
        <v>44369</v>
      </c>
      <c r="BN431" s="1">
        <v>44369</v>
      </c>
      <c r="BO431" s="1">
        <v>44369</v>
      </c>
      <c r="BP431" s="1">
        <v>48587</v>
      </c>
      <c r="BQ431" t="s">
        <v>51</v>
      </c>
      <c r="BS431" t="s">
        <v>60</v>
      </c>
      <c r="BT431" t="s">
        <v>54</v>
      </c>
      <c r="BU431" t="s">
        <v>61</v>
      </c>
      <c r="BV431" t="s">
        <v>62</v>
      </c>
      <c r="BX431">
        <v>26</v>
      </c>
      <c r="BY431">
        <v>2860</v>
      </c>
      <c r="BZ431">
        <v>0</v>
      </c>
    </row>
    <row r="432" spans="1:78" x14ac:dyDescent="0.2">
      <c r="A432" t="s">
        <v>387</v>
      </c>
      <c r="B432" t="s">
        <v>388</v>
      </c>
      <c r="C432" t="s">
        <v>387</v>
      </c>
      <c r="D432" t="s">
        <v>48</v>
      </c>
      <c r="F432" t="str">
        <f>"213712"</f>
        <v>213712</v>
      </c>
      <c r="G432" t="s">
        <v>49</v>
      </c>
      <c r="H432" t="s">
        <v>421</v>
      </c>
      <c r="K432" t="s">
        <v>51</v>
      </c>
      <c r="L432" t="s">
        <v>52</v>
      </c>
      <c r="M432">
        <v>133214.5</v>
      </c>
      <c r="N432">
        <v>466047.86</v>
      </c>
      <c r="O432" t="s">
        <v>53</v>
      </c>
      <c r="P432" t="s">
        <v>54</v>
      </c>
      <c r="Q432" t="s">
        <v>55</v>
      </c>
      <c r="T432" t="s">
        <v>372</v>
      </c>
      <c r="U432">
        <v>40</v>
      </c>
      <c r="V432" s="1">
        <v>40578</v>
      </c>
      <c r="W432" s="1">
        <v>40578</v>
      </c>
      <c r="X432" s="1">
        <v>40578</v>
      </c>
      <c r="Y432" s="1">
        <v>55188</v>
      </c>
      <c r="Z432" t="s">
        <v>51</v>
      </c>
      <c r="AB432" t="s">
        <v>54</v>
      </c>
      <c r="AC432">
        <v>1</v>
      </c>
      <c r="AE432" t="s">
        <v>390</v>
      </c>
      <c r="AF432">
        <v>20</v>
      </c>
      <c r="AG432" s="1">
        <v>40578</v>
      </c>
      <c r="AH432" s="1">
        <v>40578</v>
      </c>
      <c r="AI432" s="1">
        <v>40578</v>
      </c>
      <c r="AJ432" s="1">
        <v>47883</v>
      </c>
      <c r="AK432" t="s">
        <v>51</v>
      </c>
      <c r="AN432">
        <v>0</v>
      </c>
      <c r="AO432" t="s">
        <v>54</v>
      </c>
      <c r="AP432" t="s">
        <v>53</v>
      </c>
      <c r="AQ432">
        <v>0</v>
      </c>
      <c r="AR432" t="s">
        <v>53</v>
      </c>
      <c r="AS432">
        <v>0</v>
      </c>
      <c r="AT432">
        <v>0</v>
      </c>
      <c r="BK432" t="s">
        <v>374</v>
      </c>
      <c r="BL432">
        <v>50000</v>
      </c>
      <c r="BM432" s="1">
        <v>44369</v>
      </c>
      <c r="BN432" s="1">
        <v>44369</v>
      </c>
      <c r="BO432" s="1">
        <v>44369</v>
      </c>
      <c r="BP432" s="1">
        <v>48587</v>
      </c>
      <c r="BQ432" t="s">
        <v>51</v>
      </c>
      <c r="BS432" t="s">
        <v>60</v>
      </c>
      <c r="BT432" t="s">
        <v>54</v>
      </c>
      <c r="BU432" t="s">
        <v>61</v>
      </c>
      <c r="BV432" t="s">
        <v>62</v>
      </c>
      <c r="BX432">
        <v>26</v>
      </c>
      <c r="BY432">
        <v>2860</v>
      </c>
      <c r="BZ432">
        <v>0</v>
      </c>
    </row>
    <row r="433" spans="1:99" x14ac:dyDescent="0.2">
      <c r="A433" t="s">
        <v>387</v>
      </c>
      <c r="B433" t="s">
        <v>388</v>
      </c>
      <c r="C433" t="s">
        <v>387</v>
      </c>
      <c r="D433" t="s">
        <v>48</v>
      </c>
      <c r="F433" t="str">
        <f>"213714"</f>
        <v>213714</v>
      </c>
      <c r="G433" t="s">
        <v>49</v>
      </c>
      <c r="H433" t="s">
        <v>422</v>
      </c>
      <c r="K433" t="s">
        <v>51</v>
      </c>
      <c r="L433" t="s">
        <v>52</v>
      </c>
      <c r="M433">
        <v>133212.37700000001</v>
      </c>
      <c r="N433">
        <v>466087.97899999999</v>
      </c>
      <c r="O433" t="s">
        <v>53</v>
      </c>
      <c r="P433" t="s">
        <v>54</v>
      </c>
      <c r="Q433" t="s">
        <v>55</v>
      </c>
      <c r="T433" t="s">
        <v>372</v>
      </c>
      <c r="U433">
        <v>40</v>
      </c>
      <c r="V433" s="1">
        <v>40578</v>
      </c>
      <c r="W433" s="1">
        <v>40578</v>
      </c>
      <c r="X433" s="1">
        <v>40578</v>
      </c>
      <c r="Y433" s="1">
        <v>55188</v>
      </c>
      <c r="Z433" t="s">
        <v>51</v>
      </c>
      <c r="AB433" t="s">
        <v>54</v>
      </c>
      <c r="AC433">
        <v>1</v>
      </c>
      <c r="AE433" t="s">
        <v>390</v>
      </c>
      <c r="AF433">
        <v>20</v>
      </c>
      <c r="AG433" s="1">
        <v>40578</v>
      </c>
      <c r="AH433" s="1">
        <v>40578</v>
      </c>
      <c r="AI433" s="1">
        <v>40578</v>
      </c>
      <c r="AJ433" s="1">
        <v>47883</v>
      </c>
      <c r="AK433" t="s">
        <v>51</v>
      </c>
      <c r="AN433">
        <v>0</v>
      </c>
      <c r="AO433" t="s">
        <v>54</v>
      </c>
      <c r="AP433" t="s">
        <v>53</v>
      </c>
      <c r="AQ433">
        <v>0</v>
      </c>
      <c r="AR433" t="s">
        <v>53</v>
      </c>
      <c r="AS433">
        <v>0</v>
      </c>
      <c r="AT433">
        <v>0</v>
      </c>
      <c r="BK433" t="s">
        <v>374</v>
      </c>
      <c r="BL433">
        <v>50000</v>
      </c>
      <c r="BM433" s="1">
        <v>44369</v>
      </c>
      <c r="BN433" s="1">
        <v>44369</v>
      </c>
      <c r="BO433" s="1">
        <v>44369</v>
      </c>
      <c r="BP433" s="1">
        <v>48587</v>
      </c>
      <c r="BQ433" t="s">
        <v>51</v>
      </c>
      <c r="BS433" t="s">
        <v>60</v>
      </c>
      <c r="BT433" t="s">
        <v>54</v>
      </c>
      <c r="BU433" t="s">
        <v>61</v>
      </c>
      <c r="BV433" t="s">
        <v>62</v>
      </c>
      <c r="BX433">
        <v>26</v>
      </c>
      <c r="BY433">
        <v>2860</v>
      </c>
      <c r="BZ433">
        <v>0</v>
      </c>
    </row>
    <row r="434" spans="1:99" x14ac:dyDescent="0.2">
      <c r="A434" t="s">
        <v>387</v>
      </c>
      <c r="B434" t="s">
        <v>388</v>
      </c>
      <c r="C434" t="s">
        <v>387</v>
      </c>
      <c r="D434" t="s">
        <v>48</v>
      </c>
      <c r="F434" t="str">
        <f>"213715"</f>
        <v>213715</v>
      </c>
      <c r="G434" t="s">
        <v>49</v>
      </c>
      <c r="H434" t="s">
        <v>423</v>
      </c>
      <c r="K434" t="s">
        <v>51</v>
      </c>
      <c r="L434" t="s">
        <v>52</v>
      </c>
      <c r="M434">
        <v>133209.76999999999</v>
      </c>
      <c r="N434">
        <v>466127.39</v>
      </c>
      <c r="O434" t="s">
        <v>53</v>
      </c>
      <c r="P434" t="s">
        <v>54</v>
      </c>
      <c r="Q434" t="s">
        <v>55</v>
      </c>
      <c r="T434" t="s">
        <v>372</v>
      </c>
      <c r="U434">
        <v>40</v>
      </c>
      <c r="V434" s="1">
        <v>40578</v>
      </c>
      <c r="W434" s="1">
        <v>40578</v>
      </c>
      <c r="X434" s="1">
        <v>40578</v>
      </c>
      <c r="Y434" s="1">
        <v>55188</v>
      </c>
      <c r="Z434" t="s">
        <v>51</v>
      </c>
      <c r="AB434" t="s">
        <v>54</v>
      </c>
      <c r="AC434">
        <v>1</v>
      </c>
      <c r="AE434" t="s">
        <v>390</v>
      </c>
      <c r="AF434">
        <v>20</v>
      </c>
      <c r="AG434" s="1">
        <v>40578</v>
      </c>
      <c r="AH434" s="1">
        <v>40578</v>
      </c>
      <c r="AI434" s="1">
        <v>40578</v>
      </c>
      <c r="AJ434" s="1">
        <v>47883</v>
      </c>
      <c r="AK434" t="s">
        <v>51</v>
      </c>
      <c r="AN434">
        <v>0</v>
      </c>
      <c r="AO434" t="s">
        <v>54</v>
      </c>
      <c r="AP434" t="s">
        <v>53</v>
      </c>
      <c r="AQ434">
        <v>0</v>
      </c>
      <c r="AR434" t="s">
        <v>53</v>
      </c>
      <c r="AS434">
        <v>0</v>
      </c>
      <c r="AT434">
        <v>0</v>
      </c>
      <c r="BK434" t="s">
        <v>374</v>
      </c>
      <c r="BL434">
        <v>50000</v>
      </c>
      <c r="BM434" s="1">
        <v>44369</v>
      </c>
      <c r="BN434" s="1">
        <v>44369</v>
      </c>
      <c r="BO434" s="1">
        <v>44369</v>
      </c>
      <c r="BP434" s="1">
        <v>48587</v>
      </c>
      <c r="BQ434" t="s">
        <v>51</v>
      </c>
      <c r="BS434" t="s">
        <v>60</v>
      </c>
      <c r="BT434" t="s">
        <v>54</v>
      </c>
      <c r="BU434" t="s">
        <v>61</v>
      </c>
      <c r="BV434" t="s">
        <v>62</v>
      </c>
      <c r="BX434">
        <v>26</v>
      </c>
      <c r="BY434">
        <v>2860</v>
      </c>
      <c r="BZ434">
        <v>0</v>
      </c>
    </row>
    <row r="435" spans="1:99" x14ac:dyDescent="0.2">
      <c r="A435" t="s">
        <v>387</v>
      </c>
      <c r="B435" t="s">
        <v>388</v>
      </c>
      <c r="C435" t="s">
        <v>387</v>
      </c>
      <c r="D435" t="s">
        <v>48</v>
      </c>
      <c r="F435" t="str">
        <f>"213716"</f>
        <v>213716</v>
      </c>
      <c r="G435" t="s">
        <v>49</v>
      </c>
      <c r="H435" t="s">
        <v>424</v>
      </c>
      <c r="K435" t="s">
        <v>51</v>
      </c>
      <c r="L435" t="s">
        <v>52</v>
      </c>
      <c r="M435">
        <v>133209.07999999999</v>
      </c>
      <c r="N435">
        <v>466161.66</v>
      </c>
      <c r="O435" t="s">
        <v>53</v>
      </c>
      <c r="P435" t="s">
        <v>54</v>
      </c>
      <c r="Q435" t="s">
        <v>55</v>
      </c>
      <c r="T435" t="s">
        <v>372</v>
      </c>
      <c r="U435">
        <v>40</v>
      </c>
      <c r="V435" s="1">
        <v>40578</v>
      </c>
      <c r="W435" s="1">
        <v>40578</v>
      </c>
      <c r="X435" s="1">
        <v>40578</v>
      </c>
      <c r="Y435" s="1">
        <v>55188</v>
      </c>
      <c r="Z435" t="s">
        <v>51</v>
      </c>
      <c r="AB435" t="s">
        <v>54</v>
      </c>
      <c r="AC435">
        <v>1</v>
      </c>
      <c r="AE435" t="s">
        <v>390</v>
      </c>
      <c r="AF435">
        <v>20</v>
      </c>
      <c r="AG435" s="1">
        <v>40578</v>
      </c>
      <c r="AH435" s="1">
        <v>40578</v>
      </c>
      <c r="AI435" s="1">
        <v>40578</v>
      </c>
      <c r="AJ435" s="1">
        <v>47883</v>
      </c>
      <c r="AK435" t="s">
        <v>51</v>
      </c>
      <c r="AN435">
        <v>0</v>
      </c>
      <c r="AO435" t="s">
        <v>54</v>
      </c>
      <c r="AP435" t="s">
        <v>53</v>
      </c>
      <c r="AQ435">
        <v>0</v>
      </c>
      <c r="AR435" t="s">
        <v>53</v>
      </c>
      <c r="AS435">
        <v>0</v>
      </c>
      <c r="AT435">
        <v>0</v>
      </c>
      <c r="BH435" t="s">
        <v>53</v>
      </c>
    </row>
    <row r="436" spans="1:99" x14ac:dyDescent="0.2">
      <c r="A436" t="s">
        <v>425</v>
      </c>
      <c r="B436" t="s">
        <v>425</v>
      </c>
      <c r="C436" t="s">
        <v>425</v>
      </c>
      <c r="D436" t="s">
        <v>426</v>
      </c>
      <c r="F436" t="str">
        <f>"?128"</f>
        <v>?128</v>
      </c>
      <c r="G436" t="s">
        <v>49</v>
      </c>
      <c r="K436" t="s">
        <v>427</v>
      </c>
      <c r="L436" t="s">
        <v>52</v>
      </c>
      <c r="M436">
        <v>137150.28</v>
      </c>
      <c r="N436">
        <v>470222.08000000002</v>
      </c>
      <c r="O436" t="s">
        <v>53</v>
      </c>
      <c r="P436" t="s">
        <v>54</v>
      </c>
      <c r="AP436" t="s">
        <v>53</v>
      </c>
      <c r="AR436" t="s">
        <v>53</v>
      </c>
      <c r="BH436" t="s">
        <v>53</v>
      </c>
    </row>
    <row r="437" spans="1:99" x14ac:dyDescent="0.2">
      <c r="A437" t="s">
        <v>425</v>
      </c>
      <c r="B437" t="s">
        <v>425</v>
      </c>
      <c r="C437" t="s">
        <v>425</v>
      </c>
      <c r="D437" t="s">
        <v>426</v>
      </c>
      <c r="F437" t="str">
        <f>"?129"</f>
        <v>?129</v>
      </c>
      <c r="G437" t="s">
        <v>49</v>
      </c>
      <c r="K437" t="s">
        <v>427</v>
      </c>
      <c r="L437" t="s">
        <v>52</v>
      </c>
      <c r="M437">
        <v>137108.07999999999</v>
      </c>
      <c r="N437">
        <v>470215.54</v>
      </c>
      <c r="O437" t="s">
        <v>53</v>
      </c>
      <c r="P437" t="s">
        <v>54</v>
      </c>
      <c r="AP437" t="s">
        <v>53</v>
      </c>
      <c r="AR437" t="s">
        <v>53</v>
      </c>
      <c r="BH437" t="s">
        <v>53</v>
      </c>
    </row>
    <row r="438" spans="1:99" x14ac:dyDescent="0.2">
      <c r="A438" t="s">
        <v>425</v>
      </c>
      <c r="B438" t="s">
        <v>425</v>
      </c>
      <c r="C438" t="s">
        <v>425</v>
      </c>
      <c r="D438" t="s">
        <v>426</v>
      </c>
      <c r="F438" t="str">
        <f>"?130"</f>
        <v>?130</v>
      </c>
      <c r="G438" t="s">
        <v>49</v>
      </c>
      <c r="K438" t="s">
        <v>427</v>
      </c>
      <c r="L438" t="s">
        <v>52</v>
      </c>
      <c r="M438">
        <v>137036.03</v>
      </c>
      <c r="N438">
        <v>470196.86</v>
      </c>
      <c r="O438" t="s">
        <v>53</v>
      </c>
      <c r="P438" t="s">
        <v>54</v>
      </c>
      <c r="AP438" t="s">
        <v>53</v>
      </c>
      <c r="AR438" t="s">
        <v>53</v>
      </c>
      <c r="BH438" t="s">
        <v>53</v>
      </c>
    </row>
    <row r="439" spans="1:99" x14ac:dyDescent="0.2">
      <c r="A439" t="s">
        <v>425</v>
      </c>
      <c r="B439" t="s">
        <v>425</v>
      </c>
      <c r="C439" t="s">
        <v>425</v>
      </c>
      <c r="D439" t="s">
        <v>426</v>
      </c>
      <c r="F439" t="str">
        <f>"?131"</f>
        <v>?131</v>
      </c>
      <c r="G439" t="s">
        <v>49</v>
      </c>
      <c r="K439" t="s">
        <v>427</v>
      </c>
      <c r="L439" t="s">
        <v>52</v>
      </c>
      <c r="M439">
        <v>137064.72</v>
      </c>
      <c r="N439">
        <v>470189.14</v>
      </c>
      <c r="O439" t="s">
        <v>53</v>
      </c>
      <c r="P439" t="s">
        <v>54</v>
      </c>
      <c r="AP439" t="s">
        <v>53</v>
      </c>
      <c r="AR439" t="s">
        <v>53</v>
      </c>
      <c r="BH439" t="s">
        <v>53</v>
      </c>
    </row>
    <row r="440" spans="1:99" x14ac:dyDescent="0.2">
      <c r="A440" t="s">
        <v>425</v>
      </c>
      <c r="B440" t="s">
        <v>425</v>
      </c>
      <c r="C440" t="s">
        <v>425</v>
      </c>
      <c r="D440" t="s">
        <v>426</v>
      </c>
      <c r="F440" t="str">
        <f>"?132"</f>
        <v>?132</v>
      </c>
      <c r="G440" t="s">
        <v>49</v>
      </c>
      <c r="K440" t="s">
        <v>427</v>
      </c>
      <c r="L440" t="s">
        <v>52</v>
      </c>
      <c r="M440">
        <v>137018.98000000001</v>
      </c>
      <c r="N440">
        <v>470209.31</v>
      </c>
      <c r="O440" t="s">
        <v>53</v>
      </c>
      <c r="P440" t="s">
        <v>54</v>
      </c>
      <c r="AP440" t="s">
        <v>53</v>
      </c>
      <c r="AR440" t="s">
        <v>53</v>
      </c>
      <c r="BH440" t="s">
        <v>53</v>
      </c>
    </row>
    <row r="441" spans="1:99" x14ac:dyDescent="0.2">
      <c r="A441" t="s">
        <v>425</v>
      </c>
      <c r="B441" t="s">
        <v>425</v>
      </c>
      <c r="C441" t="s">
        <v>425</v>
      </c>
      <c r="D441" t="s">
        <v>426</v>
      </c>
      <c r="F441" t="str">
        <f>"?133"</f>
        <v>?133</v>
      </c>
      <c r="G441" t="s">
        <v>49</v>
      </c>
      <c r="K441" t="s">
        <v>427</v>
      </c>
      <c r="L441" t="s">
        <v>52</v>
      </c>
      <c r="M441">
        <v>137063.60999999999</v>
      </c>
      <c r="N441">
        <v>470210.04</v>
      </c>
      <c r="O441" t="s">
        <v>53</v>
      </c>
      <c r="P441" t="s">
        <v>54</v>
      </c>
      <c r="AP441" t="s">
        <v>53</v>
      </c>
      <c r="AR441" t="s">
        <v>53</v>
      </c>
      <c r="BH441" t="s">
        <v>53</v>
      </c>
    </row>
    <row r="442" spans="1:99" x14ac:dyDescent="0.2">
      <c r="A442" t="s">
        <v>425</v>
      </c>
      <c r="B442" t="s">
        <v>425</v>
      </c>
      <c r="C442" t="s">
        <v>425</v>
      </c>
      <c r="D442" t="s">
        <v>426</v>
      </c>
      <c r="F442" t="str">
        <f>"?134"</f>
        <v>?134</v>
      </c>
      <c r="G442" t="s">
        <v>49</v>
      </c>
      <c r="K442" t="s">
        <v>427</v>
      </c>
      <c r="L442" t="s">
        <v>52</v>
      </c>
      <c r="M442">
        <v>136977.39000000001</v>
      </c>
      <c r="N442">
        <v>470177.1</v>
      </c>
      <c r="O442" t="s">
        <v>53</v>
      </c>
      <c r="P442" t="s">
        <v>54</v>
      </c>
      <c r="AP442" t="s">
        <v>53</v>
      </c>
      <c r="AR442" t="s">
        <v>53</v>
      </c>
      <c r="BH442" t="s">
        <v>53</v>
      </c>
    </row>
    <row r="443" spans="1:99" x14ac:dyDescent="0.2">
      <c r="A443" t="s">
        <v>425</v>
      </c>
      <c r="B443" t="s">
        <v>425</v>
      </c>
      <c r="C443" t="s">
        <v>425</v>
      </c>
      <c r="D443" t="s">
        <v>426</v>
      </c>
      <c r="F443" t="str">
        <f>"?135"</f>
        <v>?135</v>
      </c>
      <c r="G443" t="s">
        <v>49</v>
      </c>
      <c r="K443" t="s">
        <v>427</v>
      </c>
      <c r="L443" t="s">
        <v>52</v>
      </c>
      <c r="M443">
        <v>137023.1</v>
      </c>
      <c r="N443">
        <v>470181.82</v>
      </c>
      <c r="O443" t="s">
        <v>53</v>
      </c>
      <c r="P443" t="s">
        <v>54</v>
      </c>
      <c r="AP443" t="s">
        <v>53</v>
      </c>
      <c r="AR443" t="s">
        <v>53</v>
      </c>
      <c r="BH443" t="s">
        <v>53</v>
      </c>
    </row>
    <row r="444" spans="1:99" x14ac:dyDescent="0.2">
      <c r="A444" t="s">
        <v>425</v>
      </c>
      <c r="B444" t="s">
        <v>425</v>
      </c>
      <c r="C444" t="s">
        <v>425</v>
      </c>
      <c r="D444" t="s">
        <v>428</v>
      </c>
      <c r="F444" t="str">
        <f>"?136"</f>
        <v>?136</v>
      </c>
      <c r="G444" t="s">
        <v>49</v>
      </c>
      <c r="K444" t="s">
        <v>429</v>
      </c>
      <c r="L444" t="s">
        <v>52</v>
      </c>
      <c r="M444">
        <v>137020.32999999999</v>
      </c>
      <c r="N444">
        <v>470230.46</v>
      </c>
      <c r="O444" t="s">
        <v>53</v>
      </c>
      <c r="P444" t="s">
        <v>54</v>
      </c>
      <c r="AP444" t="s">
        <v>53</v>
      </c>
      <c r="AR444" t="s">
        <v>53</v>
      </c>
      <c r="BH444" t="s">
        <v>53</v>
      </c>
    </row>
    <row r="445" spans="1:99" x14ac:dyDescent="0.2">
      <c r="A445" t="s">
        <v>425</v>
      </c>
      <c r="B445" t="s">
        <v>425</v>
      </c>
      <c r="C445" t="s">
        <v>425</v>
      </c>
      <c r="D445" t="s">
        <v>426</v>
      </c>
      <c r="F445" t="str">
        <f>"?137"</f>
        <v>?137</v>
      </c>
      <c r="G445" t="s">
        <v>49</v>
      </c>
      <c r="K445" t="s">
        <v>427</v>
      </c>
      <c r="L445" t="s">
        <v>52</v>
      </c>
      <c r="M445">
        <v>136975.4</v>
      </c>
      <c r="N445">
        <v>470202.13</v>
      </c>
      <c r="O445" t="s">
        <v>53</v>
      </c>
      <c r="P445" t="s">
        <v>54</v>
      </c>
      <c r="AP445" t="s">
        <v>53</v>
      </c>
      <c r="AR445" t="s">
        <v>53</v>
      </c>
      <c r="BH445" t="s">
        <v>53</v>
      </c>
    </row>
    <row r="446" spans="1:99" x14ac:dyDescent="0.2">
      <c r="A446" t="s">
        <v>425</v>
      </c>
      <c r="B446" t="s">
        <v>425</v>
      </c>
      <c r="C446" t="s">
        <v>425</v>
      </c>
      <c r="D446" t="s">
        <v>426</v>
      </c>
      <c r="F446" t="str">
        <f>"?139"</f>
        <v>?139</v>
      </c>
      <c r="G446" t="s">
        <v>49</v>
      </c>
      <c r="K446" t="s">
        <v>427</v>
      </c>
      <c r="L446" t="s">
        <v>52</v>
      </c>
      <c r="M446">
        <v>136932.03</v>
      </c>
      <c r="N446">
        <v>470175.55</v>
      </c>
      <c r="O446" t="s">
        <v>53</v>
      </c>
      <c r="P446" t="s">
        <v>54</v>
      </c>
      <c r="AP446" t="s">
        <v>53</v>
      </c>
      <c r="AR446" t="s">
        <v>53</v>
      </c>
      <c r="BH446" t="s">
        <v>53</v>
      </c>
    </row>
    <row r="447" spans="1:99" x14ac:dyDescent="0.2">
      <c r="A447" t="s">
        <v>425</v>
      </c>
      <c r="B447" t="s">
        <v>425</v>
      </c>
      <c r="C447" t="s">
        <v>425</v>
      </c>
      <c r="D447" t="s">
        <v>426</v>
      </c>
      <c r="F447" t="str">
        <f>"?140"</f>
        <v>?140</v>
      </c>
      <c r="G447" t="s">
        <v>49</v>
      </c>
      <c r="K447" t="s">
        <v>427</v>
      </c>
      <c r="L447" t="s">
        <v>52</v>
      </c>
      <c r="M447">
        <v>136930.22</v>
      </c>
      <c r="N447">
        <v>470200.9</v>
      </c>
      <c r="O447" t="s">
        <v>53</v>
      </c>
      <c r="P447" t="s">
        <v>54</v>
      </c>
      <c r="AP447" t="s">
        <v>53</v>
      </c>
      <c r="AR447" t="s">
        <v>53</v>
      </c>
      <c r="BH447" t="s">
        <v>53</v>
      </c>
    </row>
    <row r="448" spans="1:99" x14ac:dyDescent="0.2">
      <c r="A448" t="s">
        <v>180</v>
      </c>
      <c r="B448" t="s">
        <v>181</v>
      </c>
      <c r="C448" t="s">
        <v>184</v>
      </c>
      <c r="D448" t="s">
        <v>430</v>
      </c>
      <c r="F448" t="str">
        <f>"251"</f>
        <v>251</v>
      </c>
      <c r="G448" t="s">
        <v>49</v>
      </c>
      <c r="K448" t="s">
        <v>51</v>
      </c>
      <c r="L448" t="s">
        <v>52</v>
      </c>
      <c r="M448">
        <v>136184.24</v>
      </c>
      <c r="N448">
        <v>472352.01</v>
      </c>
      <c r="O448" t="s">
        <v>53</v>
      </c>
      <c r="P448" t="s">
        <v>54</v>
      </c>
      <c r="Q448" t="s">
        <v>55</v>
      </c>
      <c r="T448" t="s">
        <v>431</v>
      </c>
      <c r="U448">
        <v>40</v>
      </c>
      <c r="V448" s="1">
        <v>42186</v>
      </c>
      <c r="W448" s="1">
        <v>42186</v>
      </c>
      <c r="X448" s="1">
        <v>42186</v>
      </c>
      <c r="Y448" s="1">
        <v>56796</v>
      </c>
      <c r="Z448" t="s">
        <v>51</v>
      </c>
      <c r="AB448" t="s">
        <v>54</v>
      </c>
      <c r="AC448">
        <v>1</v>
      </c>
      <c r="AE448" t="s">
        <v>79</v>
      </c>
      <c r="AF448">
        <v>20</v>
      </c>
      <c r="AG448" s="1">
        <v>42186</v>
      </c>
      <c r="AH448" s="1">
        <v>42186</v>
      </c>
      <c r="AI448" s="1">
        <v>42186</v>
      </c>
      <c r="AJ448" s="1">
        <v>49491</v>
      </c>
      <c r="AK448" t="s">
        <v>51</v>
      </c>
      <c r="AN448">
        <v>0</v>
      </c>
      <c r="AO448" t="s">
        <v>54</v>
      </c>
      <c r="AP448" t="s">
        <v>53</v>
      </c>
      <c r="AQ448">
        <v>0</v>
      </c>
      <c r="AR448" t="s">
        <v>145</v>
      </c>
      <c r="AS448">
        <v>0</v>
      </c>
      <c r="AT448">
        <v>0</v>
      </c>
      <c r="CC448" t="s">
        <v>432</v>
      </c>
      <c r="CD448">
        <v>85000</v>
      </c>
      <c r="CE448" s="1">
        <v>42186</v>
      </c>
      <c r="CF448" s="1">
        <v>42186</v>
      </c>
      <c r="CG448" s="1">
        <v>42186</v>
      </c>
      <c r="CH448" s="1">
        <v>49348</v>
      </c>
      <c r="CI448" t="s">
        <v>51</v>
      </c>
      <c r="CK448" t="s">
        <v>78</v>
      </c>
      <c r="CM448" t="s">
        <v>54</v>
      </c>
      <c r="CN448" t="s">
        <v>174</v>
      </c>
      <c r="CO448" t="s">
        <v>86</v>
      </c>
      <c r="CR448">
        <v>24</v>
      </c>
      <c r="CS448">
        <v>0</v>
      </c>
      <c r="CT448">
        <v>0</v>
      </c>
      <c r="CU448">
        <v>0</v>
      </c>
    </row>
    <row r="449" spans="1:99" x14ac:dyDescent="0.2">
      <c r="A449" t="s">
        <v>180</v>
      </c>
      <c r="B449" t="s">
        <v>181</v>
      </c>
      <c r="C449" t="s">
        <v>433</v>
      </c>
      <c r="D449" t="s">
        <v>434</v>
      </c>
      <c r="F449" t="str">
        <f>"132954"</f>
        <v>132954</v>
      </c>
      <c r="G449" t="s">
        <v>49</v>
      </c>
      <c r="H449" t="s">
        <v>435</v>
      </c>
      <c r="K449" t="s">
        <v>51</v>
      </c>
      <c r="L449" t="s">
        <v>52</v>
      </c>
      <c r="M449">
        <v>136894.46</v>
      </c>
      <c r="N449">
        <v>470093.72</v>
      </c>
      <c r="O449" t="s">
        <v>53</v>
      </c>
      <c r="P449" t="s">
        <v>54</v>
      </c>
      <c r="Q449" t="s">
        <v>55</v>
      </c>
      <c r="T449" t="s">
        <v>365</v>
      </c>
      <c r="U449">
        <v>40</v>
      </c>
      <c r="V449" s="1">
        <v>42552</v>
      </c>
      <c r="W449" s="1">
        <v>42552</v>
      </c>
      <c r="X449" s="1">
        <v>42552</v>
      </c>
      <c r="Y449" s="1">
        <v>57162</v>
      </c>
      <c r="Z449" t="s">
        <v>51</v>
      </c>
      <c r="AB449" t="s">
        <v>54</v>
      </c>
      <c r="AC449">
        <v>1</v>
      </c>
      <c r="AE449" t="s">
        <v>79</v>
      </c>
      <c r="AF449">
        <v>20</v>
      </c>
      <c r="AG449" s="1">
        <v>42552</v>
      </c>
      <c r="AH449" s="1">
        <v>42552</v>
      </c>
      <c r="AI449" s="1">
        <v>42552</v>
      </c>
      <c r="AJ449" s="1">
        <v>49857</v>
      </c>
      <c r="AK449" t="s">
        <v>51</v>
      </c>
      <c r="AN449">
        <v>0</v>
      </c>
      <c r="AO449" t="s">
        <v>54</v>
      </c>
      <c r="AP449" t="s">
        <v>53</v>
      </c>
      <c r="AQ449">
        <v>0</v>
      </c>
      <c r="AR449" t="s">
        <v>145</v>
      </c>
      <c r="AS449">
        <v>0</v>
      </c>
      <c r="AT449">
        <v>0</v>
      </c>
      <c r="CC449" t="s">
        <v>436</v>
      </c>
      <c r="CD449">
        <v>85000</v>
      </c>
      <c r="CE449" s="1">
        <v>42552</v>
      </c>
      <c r="CF449" s="1">
        <v>42552</v>
      </c>
      <c r="CG449" s="1">
        <v>42552</v>
      </c>
      <c r="CH449" s="1">
        <v>49714</v>
      </c>
      <c r="CI449" t="s">
        <v>51</v>
      </c>
      <c r="CK449" t="s">
        <v>78</v>
      </c>
      <c r="CM449" t="s">
        <v>54</v>
      </c>
      <c r="CN449" t="s">
        <v>174</v>
      </c>
      <c r="CO449" t="s">
        <v>86</v>
      </c>
      <c r="CR449">
        <v>55</v>
      </c>
      <c r="CS449">
        <v>0</v>
      </c>
      <c r="CT449">
        <v>0</v>
      </c>
      <c r="CU449">
        <v>0</v>
      </c>
    </row>
    <row r="450" spans="1:99" x14ac:dyDescent="0.2">
      <c r="A450" t="s">
        <v>180</v>
      </c>
      <c r="B450" t="s">
        <v>181</v>
      </c>
      <c r="C450" t="s">
        <v>433</v>
      </c>
      <c r="D450" t="s">
        <v>434</v>
      </c>
      <c r="F450" t="str">
        <f>"132955"</f>
        <v>132955</v>
      </c>
      <c r="G450" t="s">
        <v>49</v>
      </c>
      <c r="H450" t="s">
        <v>437</v>
      </c>
      <c r="K450" t="s">
        <v>51</v>
      </c>
      <c r="L450" t="s">
        <v>52</v>
      </c>
      <c r="M450">
        <v>136883.18</v>
      </c>
      <c r="N450">
        <v>470068.64</v>
      </c>
      <c r="O450" t="s">
        <v>53</v>
      </c>
      <c r="P450" t="s">
        <v>54</v>
      </c>
      <c r="Q450" t="s">
        <v>55</v>
      </c>
      <c r="T450" t="s">
        <v>365</v>
      </c>
      <c r="U450">
        <v>40</v>
      </c>
      <c r="V450" s="1">
        <v>42552</v>
      </c>
      <c r="W450" s="1">
        <v>42552</v>
      </c>
      <c r="X450" s="1">
        <v>42552</v>
      </c>
      <c r="Y450" s="1">
        <v>57162</v>
      </c>
      <c r="Z450" t="s">
        <v>51</v>
      </c>
      <c r="AB450" t="s">
        <v>54</v>
      </c>
      <c r="AC450">
        <v>1</v>
      </c>
      <c r="AE450" t="s">
        <v>79</v>
      </c>
      <c r="AF450">
        <v>20</v>
      </c>
      <c r="AG450" s="1">
        <v>42552</v>
      </c>
      <c r="AH450" s="1">
        <v>42552</v>
      </c>
      <c r="AI450" s="1">
        <v>42552</v>
      </c>
      <c r="AJ450" s="1">
        <v>49857</v>
      </c>
      <c r="AK450" t="s">
        <v>51</v>
      </c>
      <c r="AN450">
        <v>0</v>
      </c>
      <c r="AO450" t="s">
        <v>54</v>
      </c>
      <c r="AP450" t="s">
        <v>53</v>
      </c>
      <c r="AQ450">
        <v>0</v>
      </c>
      <c r="AR450" t="s">
        <v>145</v>
      </c>
      <c r="AS450">
        <v>0</v>
      </c>
      <c r="AT450">
        <v>0</v>
      </c>
      <c r="CC450" t="s">
        <v>436</v>
      </c>
      <c r="CD450">
        <v>85000</v>
      </c>
      <c r="CE450" s="1">
        <v>42552</v>
      </c>
      <c r="CF450" s="1">
        <v>42552</v>
      </c>
      <c r="CG450" s="1">
        <v>42552</v>
      </c>
      <c r="CH450" s="1">
        <v>49714</v>
      </c>
      <c r="CI450" t="s">
        <v>51</v>
      </c>
      <c r="CK450" t="s">
        <v>78</v>
      </c>
      <c r="CM450" t="s">
        <v>54</v>
      </c>
      <c r="CN450" t="s">
        <v>174</v>
      </c>
      <c r="CO450" t="s">
        <v>86</v>
      </c>
      <c r="CR450">
        <v>55</v>
      </c>
      <c r="CS450">
        <v>0</v>
      </c>
      <c r="CT450">
        <v>0</v>
      </c>
      <c r="CU450">
        <v>0</v>
      </c>
    </row>
    <row r="451" spans="1:99" x14ac:dyDescent="0.2">
      <c r="A451" t="s">
        <v>180</v>
      </c>
      <c r="B451" t="s">
        <v>181</v>
      </c>
      <c r="C451" t="s">
        <v>433</v>
      </c>
      <c r="D451" t="s">
        <v>434</v>
      </c>
      <c r="F451" t="str">
        <f>"132956"</f>
        <v>132956</v>
      </c>
      <c r="G451" t="s">
        <v>49</v>
      </c>
      <c r="H451" t="s">
        <v>438</v>
      </c>
      <c r="K451" t="s">
        <v>51</v>
      </c>
      <c r="L451" t="s">
        <v>52</v>
      </c>
      <c r="M451">
        <v>136867.91</v>
      </c>
      <c r="N451">
        <v>470044.87</v>
      </c>
      <c r="O451" t="s">
        <v>53</v>
      </c>
      <c r="P451" t="s">
        <v>54</v>
      </c>
      <c r="Q451" t="s">
        <v>55</v>
      </c>
      <c r="T451" t="s">
        <v>365</v>
      </c>
      <c r="U451">
        <v>40</v>
      </c>
      <c r="V451" s="1">
        <v>42552</v>
      </c>
      <c r="W451" s="1">
        <v>42552</v>
      </c>
      <c r="X451" s="1">
        <v>42552</v>
      </c>
      <c r="Y451" s="1">
        <v>57162</v>
      </c>
      <c r="Z451" t="s">
        <v>51</v>
      </c>
      <c r="AB451" t="s">
        <v>54</v>
      </c>
      <c r="AC451">
        <v>1</v>
      </c>
      <c r="AE451" t="s">
        <v>79</v>
      </c>
      <c r="AF451">
        <v>20</v>
      </c>
      <c r="AG451" s="1">
        <v>42552</v>
      </c>
      <c r="AH451" s="1">
        <v>42552</v>
      </c>
      <c r="AI451" s="1">
        <v>42552</v>
      </c>
      <c r="AJ451" s="1">
        <v>49857</v>
      </c>
      <c r="AK451" t="s">
        <v>51</v>
      </c>
      <c r="AN451">
        <v>0</v>
      </c>
      <c r="AO451" t="s">
        <v>54</v>
      </c>
      <c r="AP451" t="s">
        <v>53</v>
      </c>
      <c r="AQ451">
        <v>0</v>
      </c>
      <c r="AR451" t="s">
        <v>145</v>
      </c>
      <c r="AS451">
        <v>0</v>
      </c>
      <c r="AT451">
        <v>0</v>
      </c>
      <c r="CC451" t="s">
        <v>439</v>
      </c>
      <c r="CD451">
        <v>85000</v>
      </c>
      <c r="CE451" s="1">
        <v>42552</v>
      </c>
      <c r="CF451" s="1">
        <v>42552</v>
      </c>
      <c r="CG451" s="1">
        <v>42552</v>
      </c>
      <c r="CH451" s="1">
        <v>49714</v>
      </c>
      <c r="CI451" t="s">
        <v>51</v>
      </c>
      <c r="CK451" t="s">
        <v>78</v>
      </c>
      <c r="CM451" t="s">
        <v>54</v>
      </c>
      <c r="CN451" t="s">
        <v>174</v>
      </c>
      <c r="CO451" t="s">
        <v>86</v>
      </c>
      <c r="CR451">
        <v>25</v>
      </c>
      <c r="CS451">
        <v>0</v>
      </c>
      <c r="CT451">
        <v>0</v>
      </c>
      <c r="CU451">
        <v>0</v>
      </c>
    </row>
    <row r="452" spans="1:99" x14ac:dyDescent="0.2">
      <c r="A452" t="s">
        <v>367</v>
      </c>
      <c r="B452" t="s">
        <v>440</v>
      </c>
      <c r="C452" t="s">
        <v>441</v>
      </c>
      <c r="D452" t="s">
        <v>434</v>
      </c>
      <c r="F452" t="str">
        <f>"132957"</f>
        <v>132957</v>
      </c>
      <c r="G452" t="s">
        <v>49</v>
      </c>
      <c r="H452" t="s">
        <v>442</v>
      </c>
      <c r="K452" t="s">
        <v>51</v>
      </c>
      <c r="L452" t="s">
        <v>52</v>
      </c>
      <c r="M452">
        <v>136855.19</v>
      </c>
      <c r="N452">
        <v>470021.81</v>
      </c>
      <c r="O452" t="s">
        <v>53</v>
      </c>
      <c r="P452" t="s">
        <v>54</v>
      </c>
      <c r="Q452" t="s">
        <v>55</v>
      </c>
      <c r="T452" t="s">
        <v>365</v>
      </c>
      <c r="U452">
        <v>40</v>
      </c>
      <c r="V452" s="1">
        <v>42552</v>
      </c>
      <c r="W452" s="1">
        <v>42552</v>
      </c>
      <c r="X452" s="1">
        <v>42552</v>
      </c>
      <c r="Y452" s="1">
        <v>57162</v>
      </c>
      <c r="Z452" t="s">
        <v>51</v>
      </c>
      <c r="AB452" t="s">
        <v>54</v>
      </c>
      <c r="AC452">
        <v>1</v>
      </c>
      <c r="AE452" t="s">
        <v>79</v>
      </c>
      <c r="AF452">
        <v>20</v>
      </c>
      <c r="AG452" s="1">
        <v>42552</v>
      </c>
      <c r="AH452" s="1">
        <v>42552</v>
      </c>
      <c r="AI452" s="1">
        <v>42552</v>
      </c>
      <c r="AJ452" s="1">
        <v>49857</v>
      </c>
      <c r="AK452" t="s">
        <v>51</v>
      </c>
      <c r="AN452">
        <v>0</v>
      </c>
      <c r="AO452" t="s">
        <v>54</v>
      </c>
      <c r="AP452" t="s">
        <v>53</v>
      </c>
      <c r="AQ452">
        <v>0</v>
      </c>
      <c r="AR452" t="s">
        <v>145</v>
      </c>
      <c r="AS452">
        <v>0</v>
      </c>
      <c r="AT452">
        <v>0</v>
      </c>
      <c r="CC452" t="s">
        <v>436</v>
      </c>
      <c r="CD452">
        <v>85000</v>
      </c>
      <c r="CE452" s="1">
        <v>42552</v>
      </c>
      <c r="CF452" s="1">
        <v>42552</v>
      </c>
      <c r="CG452" s="1">
        <v>42552</v>
      </c>
      <c r="CH452" s="1">
        <v>49714</v>
      </c>
      <c r="CI452" t="s">
        <v>51</v>
      </c>
      <c r="CK452" t="s">
        <v>78</v>
      </c>
      <c r="CM452" t="s">
        <v>54</v>
      </c>
      <c r="CN452" t="s">
        <v>174</v>
      </c>
      <c r="CO452" t="s">
        <v>86</v>
      </c>
      <c r="CR452">
        <v>55</v>
      </c>
      <c r="CS452">
        <v>0</v>
      </c>
      <c r="CT452">
        <v>0</v>
      </c>
      <c r="CU452">
        <v>0</v>
      </c>
    </row>
    <row r="453" spans="1:99" x14ac:dyDescent="0.2">
      <c r="A453" t="s">
        <v>367</v>
      </c>
      <c r="B453" t="s">
        <v>440</v>
      </c>
      <c r="C453" t="s">
        <v>441</v>
      </c>
      <c r="D453" t="s">
        <v>434</v>
      </c>
      <c r="F453" t="str">
        <f>"132958"</f>
        <v>132958</v>
      </c>
      <c r="G453" t="s">
        <v>49</v>
      </c>
      <c r="H453" t="s">
        <v>443</v>
      </c>
      <c r="K453" t="s">
        <v>51</v>
      </c>
      <c r="L453" t="s">
        <v>52</v>
      </c>
      <c r="M453">
        <v>136843.49</v>
      </c>
      <c r="N453">
        <v>470000.69</v>
      </c>
      <c r="O453" t="s">
        <v>53</v>
      </c>
      <c r="P453" t="s">
        <v>54</v>
      </c>
      <c r="Q453" t="s">
        <v>55</v>
      </c>
      <c r="T453" t="s">
        <v>365</v>
      </c>
      <c r="U453">
        <v>40</v>
      </c>
      <c r="V453" s="1">
        <v>42552</v>
      </c>
      <c r="W453" s="1">
        <v>42552</v>
      </c>
      <c r="X453" s="1">
        <v>42552</v>
      </c>
      <c r="Y453" s="1">
        <v>57162</v>
      </c>
      <c r="Z453" t="s">
        <v>51</v>
      </c>
      <c r="AB453" t="s">
        <v>54</v>
      </c>
      <c r="AC453">
        <v>1</v>
      </c>
      <c r="AE453" t="s">
        <v>79</v>
      </c>
      <c r="AF453">
        <v>20</v>
      </c>
      <c r="AG453" s="1">
        <v>42552</v>
      </c>
      <c r="AH453" s="1">
        <v>42552</v>
      </c>
      <c r="AI453" s="1">
        <v>42552</v>
      </c>
      <c r="AJ453" s="1">
        <v>49857</v>
      </c>
      <c r="AK453" t="s">
        <v>51</v>
      </c>
      <c r="AN453">
        <v>0</v>
      </c>
      <c r="AO453" t="s">
        <v>54</v>
      </c>
      <c r="AP453" t="s">
        <v>53</v>
      </c>
      <c r="AQ453">
        <v>0</v>
      </c>
      <c r="AR453" t="s">
        <v>145</v>
      </c>
      <c r="AS453">
        <v>0</v>
      </c>
      <c r="AT453">
        <v>0</v>
      </c>
      <c r="CC453" t="s">
        <v>436</v>
      </c>
      <c r="CD453">
        <v>85000</v>
      </c>
      <c r="CE453" s="1">
        <v>42552</v>
      </c>
      <c r="CF453" s="1">
        <v>42552</v>
      </c>
      <c r="CG453" s="1">
        <v>42552</v>
      </c>
      <c r="CH453" s="1">
        <v>49714</v>
      </c>
      <c r="CI453" t="s">
        <v>51</v>
      </c>
      <c r="CK453" t="s">
        <v>78</v>
      </c>
      <c r="CM453" t="s">
        <v>54</v>
      </c>
      <c r="CN453" t="s">
        <v>174</v>
      </c>
      <c r="CO453" t="s">
        <v>86</v>
      </c>
      <c r="CR453">
        <v>55</v>
      </c>
      <c r="CS453">
        <v>0</v>
      </c>
      <c r="CT453">
        <v>0</v>
      </c>
      <c r="CU453">
        <v>0</v>
      </c>
    </row>
    <row r="454" spans="1:99" x14ac:dyDescent="0.2">
      <c r="A454" t="s">
        <v>367</v>
      </c>
      <c r="B454" t="s">
        <v>440</v>
      </c>
      <c r="C454" t="s">
        <v>441</v>
      </c>
      <c r="D454" t="s">
        <v>434</v>
      </c>
      <c r="F454" t="str">
        <f>"132959"</f>
        <v>132959</v>
      </c>
      <c r="G454" t="s">
        <v>49</v>
      </c>
      <c r="H454" t="s">
        <v>444</v>
      </c>
      <c r="K454" t="s">
        <v>51</v>
      </c>
      <c r="L454" t="s">
        <v>52</v>
      </c>
      <c r="M454">
        <v>136832.31</v>
      </c>
      <c r="N454">
        <v>469980.83</v>
      </c>
      <c r="O454" t="s">
        <v>53</v>
      </c>
      <c r="P454" t="s">
        <v>54</v>
      </c>
      <c r="Q454" t="s">
        <v>55</v>
      </c>
      <c r="T454" t="s">
        <v>365</v>
      </c>
      <c r="U454">
        <v>40</v>
      </c>
      <c r="V454" s="1">
        <v>42552</v>
      </c>
      <c r="W454" s="1">
        <v>42552</v>
      </c>
      <c r="X454" s="1">
        <v>42552</v>
      </c>
      <c r="Y454" s="1">
        <v>57162</v>
      </c>
      <c r="Z454" t="s">
        <v>51</v>
      </c>
      <c r="AB454" t="s">
        <v>54</v>
      </c>
      <c r="AC454">
        <v>1</v>
      </c>
      <c r="AE454" t="s">
        <v>79</v>
      </c>
      <c r="AF454">
        <v>20</v>
      </c>
      <c r="AG454" s="1">
        <v>42552</v>
      </c>
      <c r="AH454" s="1">
        <v>42552</v>
      </c>
      <c r="AI454" s="1">
        <v>42552</v>
      </c>
      <c r="AJ454" s="1">
        <v>49857</v>
      </c>
      <c r="AK454" t="s">
        <v>51</v>
      </c>
      <c r="AN454">
        <v>0</v>
      </c>
      <c r="AO454" t="s">
        <v>54</v>
      </c>
      <c r="AP454" t="s">
        <v>53</v>
      </c>
      <c r="AQ454">
        <v>0</v>
      </c>
      <c r="AR454" t="s">
        <v>145</v>
      </c>
      <c r="AS454">
        <v>0</v>
      </c>
      <c r="AT454">
        <v>0</v>
      </c>
      <c r="CC454" t="s">
        <v>436</v>
      </c>
      <c r="CD454">
        <v>85000</v>
      </c>
      <c r="CE454" s="1">
        <v>42552</v>
      </c>
      <c r="CF454" s="1">
        <v>42552</v>
      </c>
      <c r="CG454" s="1">
        <v>42552</v>
      </c>
      <c r="CH454" s="1">
        <v>49714</v>
      </c>
      <c r="CI454" t="s">
        <v>51</v>
      </c>
      <c r="CK454" t="s">
        <v>78</v>
      </c>
      <c r="CM454" t="s">
        <v>54</v>
      </c>
      <c r="CN454" t="s">
        <v>174</v>
      </c>
      <c r="CO454" t="s">
        <v>86</v>
      </c>
      <c r="CR454">
        <v>55</v>
      </c>
      <c r="CS454">
        <v>0</v>
      </c>
      <c r="CT454">
        <v>0</v>
      </c>
      <c r="CU454">
        <v>0</v>
      </c>
    </row>
    <row r="455" spans="1:99" x14ac:dyDescent="0.2">
      <c r="A455" t="s">
        <v>367</v>
      </c>
      <c r="B455" t="s">
        <v>440</v>
      </c>
      <c r="C455" t="s">
        <v>441</v>
      </c>
      <c r="D455" t="s">
        <v>434</v>
      </c>
      <c r="F455" t="str">
        <f>"132960"</f>
        <v>132960</v>
      </c>
      <c r="G455" t="s">
        <v>49</v>
      </c>
      <c r="H455" t="s">
        <v>445</v>
      </c>
      <c r="K455" t="s">
        <v>51</v>
      </c>
      <c r="L455" t="s">
        <v>52</v>
      </c>
      <c r="M455">
        <v>136819.62</v>
      </c>
      <c r="N455">
        <v>469958.68</v>
      </c>
      <c r="O455" t="s">
        <v>53</v>
      </c>
      <c r="P455" t="s">
        <v>54</v>
      </c>
      <c r="Q455" t="s">
        <v>55</v>
      </c>
      <c r="T455" t="s">
        <v>365</v>
      </c>
      <c r="U455">
        <v>40</v>
      </c>
      <c r="V455" s="1">
        <v>42552</v>
      </c>
      <c r="W455" s="1">
        <v>42552</v>
      </c>
      <c r="X455" s="1">
        <v>42552</v>
      </c>
      <c r="Y455" s="1">
        <v>57162</v>
      </c>
      <c r="Z455" t="s">
        <v>51</v>
      </c>
      <c r="AB455" t="s">
        <v>54</v>
      </c>
      <c r="AC455">
        <v>1</v>
      </c>
      <c r="AE455" t="s">
        <v>79</v>
      </c>
      <c r="AF455">
        <v>20</v>
      </c>
      <c r="AG455" s="1">
        <v>42552</v>
      </c>
      <c r="AH455" s="1">
        <v>42552</v>
      </c>
      <c r="AI455" s="1">
        <v>42552</v>
      </c>
      <c r="AJ455" s="1">
        <v>49857</v>
      </c>
      <c r="AK455" t="s">
        <v>51</v>
      </c>
      <c r="AN455">
        <v>0</v>
      </c>
      <c r="AO455" t="s">
        <v>54</v>
      </c>
      <c r="AP455" t="s">
        <v>53</v>
      </c>
      <c r="AQ455">
        <v>0</v>
      </c>
      <c r="AR455" t="s">
        <v>145</v>
      </c>
      <c r="AS455">
        <v>0</v>
      </c>
      <c r="AT455">
        <v>0</v>
      </c>
      <c r="CC455" t="s">
        <v>436</v>
      </c>
      <c r="CD455">
        <v>85000</v>
      </c>
      <c r="CE455" s="1">
        <v>42552</v>
      </c>
      <c r="CF455" s="1">
        <v>42552</v>
      </c>
      <c r="CG455" s="1">
        <v>42552</v>
      </c>
      <c r="CH455" s="1">
        <v>49714</v>
      </c>
      <c r="CI455" t="s">
        <v>51</v>
      </c>
      <c r="CK455" t="s">
        <v>78</v>
      </c>
      <c r="CM455" t="s">
        <v>54</v>
      </c>
      <c r="CN455" t="s">
        <v>174</v>
      </c>
      <c r="CO455" t="s">
        <v>86</v>
      </c>
      <c r="CR455">
        <v>55</v>
      </c>
      <c r="CS455">
        <v>0</v>
      </c>
      <c r="CT455">
        <v>0</v>
      </c>
      <c r="CU455">
        <v>0</v>
      </c>
    </row>
    <row r="456" spans="1:99" x14ac:dyDescent="0.2">
      <c r="A456" t="s">
        <v>367</v>
      </c>
      <c r="B456" t="s">
        <v>440</v>
      </c>
      <c r="C456" t="s">
        <v>441</v>
      </c>
      <c r="D456" t="s">
        <v>434</v>
      </c>
      <c r="F456" t="str">
        <f>"132961"</f>
        <v>132961</v>
      </c>
      <c r="G456" t="s">
        <v>49</v>
      </c>
      <c r="H456" t="s">
        <v>383</v>
      </c>
      <c r="K456" t="s">
        <v>51</v>
      </c>
      <c r="L456" t="s">
        <v>52</v>
      </c>
      <c r="M456">
        <v>136809.06</v>
      </c>
      <c r="N456">
        <v>469938.88</v>
      </c>
      <c r="O456" t="s">
        <v>53</v>
      </c>
      <c r="P456" t="s">
        <v>54</v>
      </c>
      <c r="Q456" t="s">
        <v>55</v>
      </c>
      <c r="T456" t="s">
        <v>365</v>
      </c>
      <c r="U456">
        <v>40</v>
      </c>
      <c r="V456" s="1">
        <v>42552</v>
      </c>
      <c r="W456" s="1">
        <v>42552</v>
      </c>
      <c r="X456" s="1">
        <v>42552</v>
      </c>
      <c r="Y456" s="1">
        <v>57162</v>
      </c>
      <c r="Z456" t="s">
        <v>51</v>
      </c>
      <c r="AB456" t="s">
        <v>54</v>
      </c>
      <c r="AC456">
        <v>1</v>
      </c>
      <c r="AE456" t="s">
        <v>79</v>
      </c>
      <c r="AF456">
        <v>20</v>
      </c>
      <c r="AG456" s="1">
        <v>42552</v>
      </c>
      <c r="AH456" s="1">
        <v>42552</v>
      </c>
      <c r="AI456" s="1">
        <v>42552</v>
      </c>
      <c r="AJ456" s="1">
        <v>49857</v>
      </c>
      <c r="AK456" t="s">
        <v>51</v>
      </c>
      <c r="AN456">
        <v>0</v>
      </c>
      <c r="AO456" t="s">
        <v>54</v>
      </c>
      <c r="AP456" t="s">
        <v>53</v>
      </c>
      <c r="AQ456">
        <v>0</v>
      </c>
      <c r="AR456" t="s">
        <v>145</v>
      </c>
      <c r="AS456">
        <v>0</v>
      </c>
      <c r="AT456">
        <v>0</v>
      </c>
      <c r="CC456" t="s">
        <v>436</v>
      </c>
      <c r="CD456">
        <v>85000</v>
      </c>
      <c r="CE456" s="1">
        <v>42552</v>
      </c>
      <c r="CF456" s="1">
        <v>42552</v>
      </c>
      <c r="CG456" s="1">
        <v>42552</v>
      </c>
      <c r="CH456" s="1">
        <v>49714</v>
      </c>
      <c r="CI456" t="s">
        <v>51</v>
      </c>
      <c r="CK456" t="s">
        <v>78</v>
      </c>
      <c r="CM456" t="s">
        <v>54</v>
      </c>
      <c r="CN456" t="s">
        <v>174</v>
      </c>
      <c r="CO456" t="s">
        <v>86</v>
      </c>
      <c r="CR456">
        <v>55</v>
      </c>
      <c r="CS456">
        <v>0</v>
      </c>
      <c r="CT456">
        <v>0</v>
      </c>
      <c r="CU456">
        <v>0</v>
      </c>
    </row>
    <row r="457" spans="1:99" x14ac:dyDescent="0.2">
      <c r="A457" t="s">
        <v>367</v>
      </c>
      <c r="B457" t="s">
        <v>440</v>
      </c>
      <c r="C457" t="s">
        <v>441</v>
      </c>
      <c r="D457" t="s">
        <v>434</v>
      </c>
      <c r="F457" t="str">
        <f>"132962"</f>
        <v>132962</v>
      </c>
      <c r="G457" t="s">
        <v>49</v>
      </c>
      <c r="H457" t="s">
        <v>446</v>
      </c>
      <c r="K457" t="s">
        <v>51</v>
      </c>
      <c r="L457" t="s">
        <v>52</v>
      </c>
      <c r="M457">
        <v>136796.87</v>
      </c>
      <c r="N457">
        <v>469917.97</v>
      </c>
      <c r="O457" t="s">
        <v>53</v>
      </c>
      <c r="P457" t="s">
        <v>54</v>
      </c>
      <c r="Q457" t="s">
        <v>55</v>
      </c>
      <c r="T457" t="s">
        <v>365</v>
      </c>
      <c r="U457">
        <v>40</v>
      </c>
      <c r="V457" s="1">
        <v>42552</v>
      </c>
      <c r="W457" s="1">
        <v>42552</v>
      </c>
      <c r="X457" s="1">
        <v>42552</v>
      </c>
      <c r="Y457" s="1">
        <v>57162</v>
      </c>
      <c r="Z457" t="s">
        <v>51</v>
      </c>
      <c r="AB457" t="s">
        <v>54</v>
      </c>
      <c r="AC457">
        <v>1</v>
      </c>
      <c r="AE457" t="s">
        <v>79</v>
      </c>
      <c r="AF457">
        <v>20</v>
      </c>
      <c r="AG457" s="1">
        <v>42552</v>
      </c>
      <c r="AH457" s="1">
        <v>42552</v>
      </c>
      <c r="AI457" s="1">
        <v>42552</v>
      </c>
      <c r="AJ457" s="1">
        <v>49857</v>
      </c>
      <c r="AK457" t="s">
        <v>51</v>
      </c>
      <c r="AN457">
        <v>0</v>
      </c>
      <c r="AO457" t="s">
        <v>54</v>
      </c>
      <c r="AP457" t="s">
        <v>53</v>
      </c>
      <c r="AQ457">
        <v>0</v>
      </c>
      <c r="AR457" t="s">
        <v>145</v>
      </c>
      <c r="AS457">
        <v>0</v>
      </c>
      <c r="AT457">
        <v>0</v>
      </c>
      <c r="CC457" t="s">
        <v>436</v>
      </c>
      <c r="CD457">
        <v>85000</v>
      </c>
      <c r="CE457" s="1">
        <v>42552</v>
      </c>
      <c r="CF457" s="1">
        <v>42552</v>
      </c>
      <c r="CG457" s="1">
        <v>42552</v>
      </c>
      <c r="CH457" s="1">
        <v>49714</v>
      </c>
      <c r="CI457" t="s">
        <v>51</v>
      </c>
      <c r="CK457" t="s">
        <v>78</v>
      </c>
      <c r="CM457" t="s">
        <v>54</v>
      </c>
      <c r="CN457" t="s">
        <v>174</v>
      </c>
      <c r="CO457" t="s">
        <v>86</v>
      </c>
      <c r="CR457">
        <v>55</v>
      </c>
      <c r="CS457">
        <v>0</v>
      </c>
      <c r="CT457">
        <v>0</v>
      </c>
      <c r="CU457">
        <v>0</v>
      </c>
    </row>
    <row r="458" spans="1:99" x14ac:dyDescent="0.2">
      <c r="A458" t="s">
        <v>367</v>
      </c>
      <c r="B458" t="s">
        <v>440</v>
      </c>
      <c r="C458" t="s">
        <v>441</v>
      </c>
      <c r="D458" t="s">
        <v>434</v>
      </c>
      <c r="F458" t="str">
        <f>"132963"</f>
        <v>132963</v>
      </c>
      <c r="G458" t="s">
        <v>49</v>
      </c>
      <c r="H458" t="s">
        <v>447</v>
      </c>
      <c r="K458" t="s">
        <v>51</v>
      </c>
      <c r="L458" t="s">
        <v>52</v>
      </c>
      <c r="M458">
        <v>136783.20000000001</v>
      </c>
      <c r="N458">
        <v>469894.99</v>
      </c>
      <c r="O458" t="s">
        <v>53</v>
      </c>
      <c r="P458" t="s">
        <v>54</v>
      </c>
      <c r="Q458" t="s">
        <v>55</v>
      </c>
      <c r="T458" t="s">
        <v>365</v>
      </c>
      <c r="U458">
        <v>40</v>
      </c>
      <c r="V458" s="1">
        <v>42552</v>
      </c>
      <c r="W458" s="1">
        <v>42552</v>
      </c>
      <c r="X458" s="1">
        <v>42552</v>
      </c>
      <c r="Y458" s="1">
        <v>57162</v>
      </c>
      <c r="Z458" t="s">
        <v>51</v>
      </c>
      <c r="AB458" t="s">
        <v>54</v>
      </c>
      <c r="AC458">
        <v>1</v>
      </c>
      <c r="AE458" t="s">
        <v>79</v>
      </c>
      <c r="AF458">
        <v>20</v>
      </c>
      <c r="AG458" s="1">
        <v>42552</v>
      </c>
      <c r="AH458" s="1">
        <v>42552</v>
      </c>
      <c r="AI458" s="1">
        <v>42552</v>
      </c>
      <c r="AJ458" s="1">
        <v>49857</v>
      </c>
      <c r="AK458" t="s">
        <v>51</v>
      </c>
      <c r="AN458">
        <v>0</v>
      </c>
      <c r="AO458" t="s">
        <v>54</v>
      </c>
      <c r="AP458" t="s">
        <v>53</v>
      </c>
      <c r="AQ458">
        <v>0</v>
      </c>
      <c r="AR458" t="s">
        <v>145</v>
      </c>
      <c r="AS458">
        <v>0</v>
      </c>
      <c r="AT458">
        <v>0</v>
      </c>
      <c r="CC458" t="s">
        <v>436</v>
      </c>
      <c r="CD458">
        <v>85000</v>
      </c>
      <c r="CE458" s="1">
        <v>42552</v>
      </c>
      <c r="CF458" s="1">
        <v>42552</v>
      </c>
      <c r="CG458" s="1">
        <v>42552</v>
      </c>
      <c r="CH458" s="1">
        <v>49714</v>
      </c>
      <c r="CI458" t="s">
        <v>51</v>
      </c>
      <c r="CK458" t="s">
        <v>78</v>
      </c>
      <c r="CM458" t="s">
        <v>54</v>
      </c>
      <c r="CN458" t="s">
        <v>174</v>
      </c>
      <c r="CO458" t="s">
        <v>86</v>
      </c>
      <c r="CR458">
        <v>55</v>
      </c>
      <c r="CS458">
        <v>0</v>
      </c>
      <c r="CT458">
        <v>0</v>
      </c>
      <c r="CU458">
        <v>0</v>
      </c>
    </row>
    <row r="459" spans="1:99" x14ac:dyDescent="0.2">
      <c r="A459" t="s">
        <v>367</v>
      </c>
      <c r="B459" t="s">
        <v>440</v>
      </c>
      <c r="C459" t="s">
        <v>441</v>
      </c>
      <c r="D459" t="s">
        <v>434</v>
      </c>
      <c r="F459" t="str">
        <f>"132964"</f>
        <v>132964</v>
      </c>
      <c r="G459" t="s">
        <v>49</v>
      </c>
      <c r="H459" t="s">
        <v>447</v>
      </c>
      <c r="K459" t="s">
        <v>51</v>
      </c>
      <c r="L459" t="s">
        <v>52</v>
      </c>
      <c r="M459">
        <v>136769.60000000001</v>
      </c>
      <c r="N459">
        <v>469871.92</v>
      </c>
      <c r="O459" t="s">
        <v>53</v>
      </c>
      <c r="P459" t="s">
        <v>54</v>
      </c>
      <c r="Q459" t="s">
        <v>55</v>
      </c>
      <c r="T459" t="s">
        <v>365</v>
      </c>
      <c r="U459">
        <v>40</v>
      </c>
      <c r="V459" s="1">
        <v>42552</v>
      </c>
      <c r="W459" s="1">
        <v>42552</v>
      </c>
      <c r="X459" s="1">
        <v>42552</v>
      </c>
      <c r="Y459" s="1">
        <v>57162</v>
      </c>
      <c r="Z459" t="s">
        <v>51</v>
      </c>
      <c r="AB459" t="s">
        <v>54</v>
      </c>
      <c r="AC459">
        <v>1</v>
      </c>
      <c r="AE459" t="s">
        <v>79</v>
      </c>
      <c r="AF459">
        <v>20</v>
      </c>
      <c r="AG459" s="1">
        <v>42552</v>
      </c>
      <c r="AH459" s="1">
        <v>42552</v>
      </c>
      <c r="AI459" s="1">
        <v>42552</v>
      </c>
      <c r="AJ459" s="1">
        <v>49857</v>
      </c>
      <c r="AK459" t="s">
        <v>51</v>
      </c>
      <c r="AN459">
        <v>0</v>
      </c>
      <c r="AO459" t="s">
        <v>54</v>
      </c>
      <c r="AP459" t="s">
        <v>53</v>
      </c>
      <c r="AQ459">
        <v>0</v>
      </c>
      <c r="AR459" t="s">
        <v>145</v>
      </c>
      <c r="AS459">
        <v>0</v>
      </c>
      <c r="AT459">
        <v>0</v>
      </c>
      <c r="CC459" t="s">
        <v>436</v>
      </c>
      <c r="CD459">
        <v>85000</v>
      </c>
      <c r="CE459" s="1">
        <v>42552</v>
      </c>
      <c r="CF459" s="1">
        <v>42552</v>
      </c>
      <c r="CG459" s="1">
        <v>42552</v>
      </c>
      <c r="CH459" s="1">
        <v>49714</v>
      </c>
      <c r="CI459" t="s">
        <v>51</v>
      </c>
      <c r="CK459" t="s">
        <v>78</v>
      </c>
      <c r="CM459" t="s">
        <v>54</v>
      </c>
      <c r="CN459" t="s">
        <v>174</v>
      </c>
      <c r="CO459" t="s">
        <v>86</v>
      </c>
      <c r="CR459">
        <v>55</v>
      </c>
      <c r="CS459">
        <v>0</v>
      </c>
      <c r="CT459">
        <v>0</v>
      </c>
      <c r="CU459">
        <v>0</v>
      </c>
    </row>
    <row r="460" spans="1:99" x14ac:dyDescent="0.2">
      <c r="A460" t="s">
        <v>367</v>
      </c>
      <c r="B460" t="s">
        <v>440</v>
      </c>
      <c r="C460" t="s">
        <v>441</v>
      </c>
      <c r="D460" t="s">
        <v>434</v>
      </c>
      <c r="F460" t="str">
        <f>"132965"</f>
        <v>132965</v>
      </c>
      <c r="G460" t="s">
        <v>49</v>
      </c>
      <c r="H460" t="s">
        <v>448</v>
      </c>
      <c r="K460" t="s">
        <v>51</v>
      </c>
      <c r="L460" t="s">
        <v>52</v>
      </c>
      <c r="M460">
        <v>136754.20000000001</v>
      </c>
      <c r="N460">
        <v>469845.42</v>
      </c>
      <c r="O460" t="s">
        <v>53</v>
      </c>
      <c r="P460" t="s">
        <v>54</v>
      </c>
      <c r="Q460" t="s">
        <v>55</v>
      </c>
      <c r="T460" t="s">
        <v>365</v>
      </c>
      <c r="U460">
        <v>40</v>
      </c>
      <c r="V460" s="1">
        <v>42552</v>
      </c>
      <c r="W460" s="1">
        <v>42552</v>
      </c>
      <c r="X460" s="1">
        <v>42552</v>
      </c>
      <c r="Y460" s="1">
        <v>57162</v>
      </c>
      <c r="Z460" t="s">
        <v>51</v>
      </c>
      <c r="AB460" t="s">
        <v>54</v>
      </c>
      <c r="AC460">
        <v>1</v>
      </c>
      <c r="AE460" t="s">
        <v>79</v>
      </c>
      <c r="AF460">
        <v>20</v>
      </c>
      <c r="AG460" s="1">
        <v>42552</v>
      </c>
      <c r="AH460" s="1">
        <v>42552</v>
      </c>
      <c r="AI460" s="1">
        <v>42552</v>
      </c>
      <c r="AJ460" s="1">
        <v>49857</v>
      </c>
      <c r="AK460" t="s">
        <v>51</v>
      </c>
      <c r="AN460">
        <v>0</v>
      </c>
      <c r="AO460" t="s">
        <v>54</v>
      </c>
      <c r="AP460" t="s">
        <v>53</v>
      </c>
      <c r="AQ460">
        <v>0</v>
      </c>
      <c r="AR460" t="s">
        <v>145</v>
      </c>
      <c r="AS460">
        <v>0</v>
      </c>
      <c r="AT460">
        <v>0</v>
      </c>
      <c r="CC460" t="s">
        <v>436</v>
      </c>
      <c r="CD460">
        <v>85000</v>
      </c>
      <c r="CE460" s="1">
        <v>42552</v>
      </c>
      <c r="CF460" s="1">
        <v>42552</v>
      </c>
      <c r="CG460" s="1">
        <v>42552</v>
      </c>
      <c r="CH460" s="1">
        <v>49714</v>
      </c>
      <c r="CI460" t="s">
        <v>51</v>
      </c>
      <c r="CK460" t="s">
        <v>78</v>
      </c>
      <c r="CM460" t="s">
        <v>54</v>
      </c>
      <c r="CN460" t="s">
        <v>174</v>
      </c>
      <c r="CO460" t="s">
        <v>86</v>
      </c>
      <c r="CR460">
        <v>55</v>
      </c>
      <c r="CS460">
        <v>0</v>
      </c>
      <c r="CT460">
        <v>0</v>
      </c>
      <c r="CU460">
        <v>0</v>
      </c>
    </row>
    <row r="461" spans="1:99" x14ac:dyDescent="0.2">
      <c r="A461" t="s">
        <v>367</v>
      </c>
      <c r="B461" t="s">
        <v>440</v>
      </c>
      <c r="C461" t="s">
        <v>441</v>
      </c>
      <c r="D461" t="s">
        <v>434</v>
      </c>
      <c r="F461" t="str">
        <f>"132966"</f>
        <v>132966</v>
      </c>
      <c r="G461" t="s">
        <v>49</v>
      </c>
      <c r="H461" t="s">
        <v>449</v>
      </c>
      <c r="K461" t="s">
        <v>51</v>
      </c>
      <c r="L461" t="s">
        <v>52</v>
      </c>
      <c r="M461">
        <v>136743.94</v>
      </c>
      <c r="N461">
        <v>469829.49</v>
      </c>
      <c r="O461" t="s">
        <v>53</v>
      </c>
      <c r="P461" t="s">
        <v>54</v>
      </c>
      <c r="Q461" t="s">
        <v>55</v>
      </c>
      <c r="T461" t="s">
        <v>365</v>
      </c>
      <c r="U461">
        <v>40</v>
      </c>
      <c r="V461" s="1">
        <v>42552</v>
      </c>
      <c r="W461" s="1">
        <v>42552</v>
      </c>
      <c r="X461" s="1">
        <v>42552</v>
      </c>
      <c r="Y461" s="1">
        <v>57162</v>
      </c>
      <c r="Z461" t="s">
        <v>51</v>
      </c>
      <c r="AB461" t="s">
        <v>54</v>
      </c>
      <c r="AC461">
        <v>1</v>
      </c>
      <c r="AE461" t="s">
        <v>79</v>
      </c>
      <c r="AF461">
        <v>20</v>
      </c>
      <c r="AG461" s="1">
        <v>42552</v>
      </c>
      <c r="AH461" s="1">
        <v>42552</v>
      </c>
      <c r="AI461" s="1">
        <v>42552</v>
      </c>
      <c r="AJ461" s="1">
        <v>49857</v>
      </c>
      <c r="AK461" t="s">
        <v>51</v>
      </c>
      <c r="AN461">
        <v>0</v>
      </c>
      <c r="AO461" t="s">
        <v>54</v>
      </c>
      <c r="AP461" t="s">
        <v>53</v>
      </c>
      <c r="AQ461">
        <v>0</v>
      </c>
      <c r="AR461" t="s">
        <v>145</v>
      </c>
      <c r="AS461">
        <v>0</v>
      </c>
      <c r="AT461">
        <v>0</v>
      </c>
      <c r="CC461" t="s">
        <v>436</v>
      </c>
      <c r="CD461">
        <v>85000</v>
      </c>
      <c r="CE461" s="1">
        <v>42552</v>
      </c>
      <c r="CF461" s="1">
        <v>42552</v>
      </c>
      <c r="CG461" s="1">
        <v>42552</v>
      </c>
      <c r="CH461" s="1">
        <v>49714</v>
      </c>
      <c r="CI461" t="s">
        <v>51</v>
      </c>
      <c r="CK461" t="s">
        <v>78</v>
      </c>
      <c r="CM461" t="s">
        <v>54</v>
      </c>
      <c r="CN461" t="s">
        <v>174</v>
      </c>
      <c r="CO461" t="s">
        <v>86</v>
      </c>
      <c r="CR461">
        <v>55</v>
      </c>
      <c r="CS461">
        <v>0</v>
      </c>
      <c r="CT461">
        <v>0</v>
      </c>
      <c r="CU461">
        <v>0</v>
      </c>
    </row>
    <row r="462" spans="1:99" x14ac:dyDescent="0.2">
      <c r="A462" t="s">
        <v>367</v>
      </c>
      <c r="B462" t="s">
        <v>440</v>
      </c>
      <c r="C462" t="s">
        <v>441</v>
      </c>
      <c r="D462" t="s">
        <v>434</v>
      </c>
      <c r="F462" t="str">
        <f>"132967"</f>
        <v>132967</v>
      </c>
      <c r="G462" t="s">
        <v>49</v>
      </c>
      <c r="H462" t="s">
        <v>449</v>
      </c>
      <c r="K462" t="s">
        <v>51</v>
      </c>
      <c r="L462" t="s">
        <v>52</v>
      </c>
      <c r="M462">
        <v>136734.14000000001</v>
      </c>
      <c r="N462">
        <v>469814.53</v>
      </c>
      <c r="O462" t="s">
        <v>53</v>
      </c>
      <c r="P462" t="s">
        <v>54</v>
      </c>
      <c r="Q462" t="s">
        <v>55</v>
      </c>
      <c r="T462" t="s">
        <v>365</v>
      </c>
      <c r="U462">
        <v>40</v>
      </c>
      <c r="V462" s="1">
        <v>42552</v>
      </c>
      <c r="W462" s="1">
        <v>42552</v>
      </c>
      <c r="X462" s="1">
        <v>42552</v>
      </c>
      <c r="Y462" s="1">
        <v>57162</v>
      </c>
      <c r="Z462" t="s">
        <v>51</v>
      </c>
      <c r="AB462" t="s">
        <v>54</v>
      </c>
      <c r="AC462">
        <v>1</v>
      </c>
      <c r="AE462" t="s">
        <v>79</v>
      </c>
      <c r="AF462">
        <v>20</v>
      </c>
      <c r="AG462" s="1">
        <v>42552</v>
      </c>
      <c r="AH462" s="1">
        <v>42552</v>
      </c>
      <c r="AI462" s="1">
        <v>42552</v>
      </c>
      <c r="AJ462" s="1">
        <v>49857</v>
      </c>
      <c r="AK462" t="s">
        <v>51</v>
      </c>
      <c r="AN462">
        <v>0</v>
      </c>
      <c r="AO462" t="s">
        <v>54</v>
      </c>
      <c r="AP462" t="s">
        <v>53</v>
      </c>
      <c r="AQ462">
        <v>0</v>
      </c>
      <c r="AR462" t="s">
        <v>145</v>
      </c>
      <c r="AS462">
        <v>0</v>
      </c>
      <c r="AT462">
        <v>0</v>
      </c>
      <c r="CC462" t="s">
        <v>436</v>
      </c>
      <c r="CD462">
        <v>85000</v>
      </c>
      <c r="CE462" s="1">
        <v>44599</v>
      </c>
      <c r="CF462" s="1">
        <v>44599</v>
      </c>
      <c r="CG462" s="1">
        <v>44599</v>
      </c>
      <c r="CH462" s="1">
        <v>51815</v>
      </c>
      <c r="CI462" t="s">
        <v>51</v>
      </c>
      <c r="CK462" t="s">
        <v>78</v>
      </c>
      <c r="CM462" t="s">
        <v>54</v>
      </c>
      <c r="CN462" t="s">
        <v>174</v>
      </c>
      <c r="CO462" t="s">
        <v>86</v>
      </c>
      <c r="CR462">
        <v>55</v>
      </c>
      <c r="CS462">
        <v>0</v>
      </c>
      <c r="CT462">
        <v>0</v>
      </c>
      <c r="CU462">
        <v>0</v>
      </c>
    </row>
    <row r="463" spans="1:99" x14ac:dyDescent="0.2">
      <c r="A463" t="s">
        <v>367</v>
      </c>
      <c r="B463" t="s">
        <v>440</v>
      </c>
      <c r="C463" t="s">
        <v>441</v>
      </c>
      <c r="D463" t="s">
        <v>434</v>
      </c>
      <c r="F463" t="str">
        <f>"132968"</f>
        <v>132968</v>
      </c>
      <c r="G463" t="s">
        <v>49</v>
      </c>
      <c r="H463" t="s">
        <v>450</v>
      </c>
      <c r="K463" t="s">
        <v>51</v>
      </c>
      <c r="L463" t="s">
        <v>52</v>
      </c>
      <c r="M463">
        <v>136719.82999999999</v>
      </c>
      <c r="N463">
        <v>469789.69</v>
      </c>
      <c r="O463" t="s">
        <v>53</v>
      </c>
      <c r="P463" t="s">
        <v>54</v>
      </c>
      <c r="Q463" t="s">
        <v>55</v>
      </c>
      <c r="T463" t="s">
        <v>365</v>
      </c>
      <c r="U463">
        <v>40</v>
      </c>
      <c r="V463" s="1">
        <v>34598</v>
      </c>
      <c r="W463" s="1">
        <v>34598</v>
      </c>
      <c r="X463" s="1">
        <v>34598</v>
      </c>
      <c r="Y463" s="1">
        <v>49208</v>
      </c>
      <c r="Z463" t="s">
        <v>51</v>
      </c>
      <c r="AB463" t="s">
        <v>54</v>
      </c>
      <c r="AC463">
        <v>1</v>
      </c>
      <c r="AE463" t="s">
        <v>91</v>
      </c>
      <c r="AF463">
        <v>20</v>
      </c>
      <c r="AG463" s="1">
        <v>40655</v>
      </c>
      <c r="AH463" s="1">
        <v>40655</v>
      </c>
      <c r="AI463" s="1">
        <v>40655</v>
      </c>
      <c r="AJ463" s="1">
        <v>47960</v>
      </c>
      <c r="AK463" t="s">
        <v>51</v>
      </c>
      <c r="AN463">
        <v>0</v>
      </c>
      <c r="AO463" t="s">
        <v>54</v>
      </c>
      <c r="AP463" t="s">
        <v>53</v>
      </c>
      <c r="AQ463">
        <v>0</v>
      </c>
      <c r="AR463" t="s">
        <v>53</v>
      </c>
      <c r="AS463">
        <v>0</v>
      </c>
      <c r="AT463">
        <v>0</v>
      </c>
      <c r="AW463" t="s">
        <v>58</v>
      </c>
      <c r="AX463">
        <v>20</v>
      </c>
      <c r="AY463" s="1">
        <v>40655</v>
      </c>
      <c r="AZ463" s="1">
        <v>40655</v>
      </c>
      <c r="BA463" s="1">
        <v>40655</v>
      </c>
      <c r="BB463" s="1">
        <v>47960</v>
      </c>
      <c r="BC463" t="s">
        <v>51</v>
      </c>
      <c r="BE463" t="s">
        <v>54</v>
      </c>
      <c r="BF463">
        <v>2</v>
      </c>
      <c r="BG463">
        <v>0</v>
      </c>
      <c r="BH463" t="s">
        <v>53</v>
      </c>
      <c r="BK463" t="s">
        <v>92</v>
      </c>
      <c r="BL463">
        <v>14000</v>
      </c>
      <c r="BM463" s="1">
        <v>40655</v>
      </c>
      <c r="BN463" s="1">
        <v>40655</v>
      </c>
      <c r="BO463" s="1">
        <v>40655</v>
      </c>
      <c r="BP463" s="1">
        <v>41879</v>
      </c>
      <c r="BQ463" t="s">
        <v>51</v>
      </c>
      <c r="BS463" t="s">
        <v>60</v>
      </c>
      <c r="BT463" t="s">
        <v>54</v>
      </c>
      <c r="BU463" t="s">
        <v>61</v>
      </c>
      <c r="BV463" t="s">
        <v>62</v>
      </c>
      <c r="BX463">
        <v>55</v>
      </c>
      <c r="BY463">
        <v>0</v>
      </c>
      <c r="BZ463">
        <v>0</v>
      </c>
    </row>
    <row r="464" spans="1:99" x14ac:dyDescent="0.2">
      <c r="A464" t="s">
        <v>180</v>
      </c>
      <c r="B464" t="s">
        <v>181</v>
      </c>
      <c r="C464" t="s">
        <v>433</v>
      </c>
      <c r="D464" t="s">
        <v>434</v>
      </c>
      <c r="F464" t="str">
        <f>"165676"</f>
        <v>165676</v>
      </c>
      <c r="G464" t="s">
        <v>49</v>
      </c>
      <c r="H464" t="s">
        <v>451</v>
      </c>
      <c r="K464" t="s">
        <v>51</v>
      </c>
      <c r="L464" t="s">
        <v>52</v>
      </c>
      <c r="M464">
        <v>136902.69</v>
      </c>
      <c r="N464">
        <v>470110.35</v>
      </c>
      <c r="O464" t="s">
        <v>53</v>
      </c>
      <c r="P464" t="s">
        <v>54</v>
      </c>
      <c r="Q464" t="s">
        <v>55</v>
      </c>
      <c r="T464" t="s">
        <v>365</v>
      </c>
      <c r="U464">
        <v>40</v>
      </c>
      <c r="V464" s="1">
        <v>42552</v>
      </c>
      <c r="W464" s="1">
        <v>42552</v>
      </c>
      <c r="X464" s="1">
        <v>42552</v>
      </c>
      <c r="Y464" s="1">
        <v>57162</v>
      </c>
      <c r="Z464" t="s">
        <v>51</v>
      </c>
      <c r="AB464" t="s">
        <v>54</v>
      </c>
      <c r="AC464">
        <v>1</v>
      </c>
      <c r="AE464" t="s">
        <v>79</v>
      </c>
      <c r="AF464">
        <v>20</v>
      </c>
      <c r="AG464" s="1">
        <v>42552</v>
      </c>
      <c r="AH464" s="1">
        <v>42552</v>
      </c>
      <c r="AI464" s="1">
        <v>42552</v>
      </c>
      <c r="AJ464" s="1">
        <v>49857</v>
      </c>
      <c r="AK464" t="s">
        <v>51</v>
      </c>
      <c r="AN464">
        <v>0</v>
      </c>
      <c r="AO464" t="s">
        <v>54</v>
      </c>
      <c r="AP464" t="s">
        <v>53</v>
      </c>
      <c r="AQ464">
        <v>0</v>
      </c>
      <c r="AR464" t="s">
        <v>145</v>
      </c>
      <c r="AS464">
        <v>0</v>
      </c>
      <c r="AT464">
        <v>0</v>
      </c>
      <c r="CC464" t="s">
        <v>436</v>
      </c>
      <c r="CD464">
        <v>85000</v>
      </c>
      <c r="CE464" s="1">
        <v>42552</v>
      </c>
      <c r="CF464" s="1">
        <v>42552</v>
      </c>
      <c r="CG464" s="1">
        <v>42552</v>
      </c>
      <c r="CH464" s="1">
        <v>49714</v>
      </c>
      <c r="CI464" t="s">
        <v>51</v>
      </c>
      <c r="CK464" t="s">
        <v>78</v>
      </c>
      <c r="CM464" t="s">
        <v>54</v>
      </c>
      <c r="CN464" t="s">
        <v>174</v>
      </c>
      <c r="CO464" t="s">
        <v>86</v>
      </c>
      <c r="CR464">
        <v>55</v>
      </c>
      <c r="CS464">
        <v>0</v>
      </c>
      <c r="CT464">
        <v>0</v>
      </c>
      <c r="CU464">
        <v>0</v>
      </c>
    </row>
    <row r="465" spans="1:99" x14ac:dyDescent="0.2">
      <c r="A465" t="s">
        <v>180</v>
      </c>
      <c r="B465" t="s">
        <v>181</v>
      </c>
      <c r="C465" t="s">
        <v>433</v>
      </c>
      <c r="D465" t="s">
        <v>434</v>
      </c>
      <c r="F465" t="str">
        <f>"165677"</f>
        <v>165677</v>
      </c>
      <c r="G465" t="s">
        <v>49</v>
      </c>
      <c r="H465" t="s">
        <v>451</v>
      </c>
      <c r="K465" t="s">
        <v>51</v>
      </c>
      <c r="L465" t="s">
        <v>52</v>
      </c>
      <c r="M465">
        <v>136904.42000000001</v>
      </c>
      <c r="N465">
        <v>470138.53</v>
      </c>
      <c r="O465" t="s">
        <v>53</v>
      </c>
      <c r="P465" t="s">
        <v>54</v>
      </c>
      <c r="Q465" t="s">
        <v>55</v>
      </c>
      <c r="T465" t="s">
        <v>365</v>
      </c>
      <c r="U465">
        <v>40</v>
      </c>
      <c r="V465" s="1">
        <v>42552</v>
      </c>
      <c r="W465" s="1">
        <v>42552</v>
      </c>
      <c r="X465" s="1">
        <v>42552</v>
      </c>
      <c r="Y465" s="1">
        <v>57162</v>
      </c>
      <c r="Z465" t="s">
        <v>51</v>
      </c>
      <c r="AB465" t="s">
        <v>54</v>
      </c>
      <c r="AC465">
        <v>1</v>
      </c>
      <c r="AE465" t="s">
        <v>79</v>
      </c>
      <c r="AF465">
        <v>20</v>
      </c>
      <c r="AG465" s="1">
        <v>42552</v>
      </c>
      <c r="AH465" s="1">
        <v>42552</v>
      </c>
      <c r="AI465" s="1">
        <v>42552</v>
      </c>
      <c r="AJ465" s="1">
        <v>49857</v>
      </c>
      <c r="AK465" t="s">
        <v>51</v>
      </c>
      <c r="AN465">
        <v>0</v>
      </c>
      <c r="AO465" t="s">
        <v>54</v>
      </c>
      <c r="AP465" t="s">
        <v>53</v>
      </c>
      <c r="AQ465">
        <v>0</v>
      </c>
      <c r="AR465" t="s">
        <v>145</v>
      </c>
      <c r="AS465">
        <v>0</v>
      </c>
      <c r="AT465">
        <v>0</v>
      </c>
      <c r="CC465" t="s">
        <v>436</v>
      </c>
      <c r="CD465">
        <v>85000</v>
      </c>
      <c r="CE465" s="1">
        <v>42552</v>
      </c>
      <c r="CF465" s="1">
        <v>42552</v>
      </c>
      <c r="CG465" s="1">
        <v>42552</v>
      </c>
      <c r="CH465" s="1">
        <v>49714</v>
      </c>
      <c r="CI465" t="s">
        <v>51</v>
      </c>
      <c r="CK465" t="s">
        <v>78</v>
      </c>
      <c r="CM465" t="s">
        <v>54</v>
      </c>
      <c r="CN465" t="s">
        <v>174</v>
      </c>
      <c r="CO465" t="s">
        <v>86</v>
      </c>
      <c r="CR465">
        <v>55</v>
      </c>
      <c r="CS465">
        <v>0</v>
      </c>
      <c r="CT465">
        <v>0</v>
      </c>
      <c r="CU465">
        <v>0</v>
      </c>
    </row>
    <row r="466" spans="1:99" x14ac:dyDescent="0.2">
      <c r="A466" t="s">
        <v>180</v>
      </c>
      <c r="B466" t="s">
        <v>181</v>
      </c>
      <c r="C466" t="s">
        <v>184</v>
      </c>
      <c r="D466" t="s">
        <v>452</v>
      </c>
      <c r="F466" t="str">
        <f>"250001"</f>
        <v>250001</v>
      </c>
      <c r="G466" t="s">
        <v>49</v>
      </c>
      <c r="H466" t="s">
        <v>453</v>
      </c>
      <c r="K466" t="s">
        <v>51</v>
      </c>
      <c r="L466" t="s">
        <v>52</v>
      </c>
      <c r="M466">
        <v>136796.47</v>
      </c>
      <c r="N466">
        <v>473401.11</v>
      </c>
      <c r="O466" t="s">
        <v>53</v>
      </c>
      <c r="P466" t="s">
        <v>54</v>
      </c>
      <c r="Q466" t="s">
        <v>55</v>
      </c>
      <c r="T466" t="s">
        <v>454</v>
      </c>
      <c r="U466">
        <v>40</v>
      </c>
      <c r="V466" s="1">
        <v>29768</v>
      </c>
      <c r="W466" s="1">
        <v>29768</v>
      </c>
      <c r="X466" s="1">
        <v>29768</v>
      </c>
      <c r="Y466" s="1">
        <v>44378</v>
      </c>
      <c r="Z466" t="s">
        <v>51</v>
      </c>
      <c r="AB466" t="s">
        <v>54</v>
      </c>
      <c r="AC466">
        <v>1</v>
      </c>
      <c r="AE466" t="s">
        <v>84</v>
      </c>
      <c r="AF466">
        <v>20</v>
      </c>
      <c r="AG466" s="1">
        <v>34881</v>
      </c>
      <c r="AH466" s="1">
        <v>34881</v>
      </c>
      <c r="AI466" s="1">
        <v>34881</v>
      </c>
      <c r="AJ466" s="1">
        <v>42186</v>
      </c>
      <c r="AK466" t="s">
        <v>51</v>
      </c>
      <c r="AN466">
        <v>0</v>
      </c>
      <c r="AO466" t="s">
        <v>54</v>
      </c>
      <c r="AP466" t="s">
        <v>53</v>
      </c>
      <c r="AQ466">
        <v>0</v>
      </c>
      <c r="AR466" t="s">
        <v>53</v>
      </c>
      <c r="AS466">
        <v>0</v>
      </c>
      <c r="AT466">
        <v>0</v>
      </c>
      <c r="AW466" t="s">
        <v>58</v>
      </c>
      <c r="AX466">
        <v>20</v>
      </c>
      <c r="AY466" s="1">
        <v>34881</v>
      </c>
      <c r="AZ466" s="1">
        <v>34881</v>
      </c>
      <c r="BA466" s="1">
        <v>34881</v>
      </c>
      <c r="BB466" s="1">
        <v>42186</v>
      </c>
      <c r="BC466" t="s">
        <v>51</v>
      </c>
      <c r="BE466" t="s">
        <v>54</v>
      </c>
      <c r="BF466">
        <v>2</v>
      </c>
      <c r="BG466">
        <v>0</v>
      </c>
      <c r="BH466" t="s">
        <v>53</v>
      </c>
      <c r="BK466" t="s">
        <v>59</v>
      </c>
      <c r="BL466">
        <v>14000</v>
      </c>
      <c r="BM466" s="1">
        <v>44592</v>
      </c>
      <c r="BN466" s="1">
        <v>44592</v>
      </c>
      <c r="BO466" s="1">
        <v>44592</v>
      </c>
      <c r="BP466" s="1">
        <v>45771</v>
      </c>
      <c r="BQ466" t="s">
        <v>51</v>
      </c>
      <c r="BS466" t="s">
        <v>60</v>
      </c>
      <c r="BT466" t="s">
        <v>54</v>
      </c>
      <c r="BU466" t="s">
        <v>61</v>
      </c>
      <c r="BV466" t="s">
        <v>62</v>
      </c>
      <c r="BX466">
        <v>24</v>
      </c>
      <c r="BY466">
        <v>0</v>
      </c>
      <c r="BZ466">
        <v>0</v>
      </c>
    </row>
    <row r="467" spans="1:99" x14ac:dyDescent="0.2">
      <c r="A467" t="s">
        <v>180</v>
      </c>
      <c r="B467" t="s">
        <v>181</v>
      </c>
      <c r="C467" t="s">
        <v>184</v>
      </c>
      <c r="D467" t="s">
        <v>452</v>
      </c>
      <c r="F467" t="str">
        <f>"250003"</f>
        <v>250003</v>
      </c>
      <c r="G467" t="s">
        <v>49</v>
      </c>
      <c r="K467" t="s">
        <v>51</v>
      </c>
      <c r="L467" t="s">
        <v>52</v>
      </c>
      <c r="M467">
        <v>136797.76000000001</v>
      </c>
      <c r="N467">
        <v>473341.14</v>
      </c>
      <c r="O467" t="s">
        <v>53</v>
      </c>
      <c r="P467" t="s">
        <v>54</v>
      </c>
      <c r="Q467" t="s">
        <v>55</v>
      </c>
      <c r="T467" t="s">
        <v>183</v>
      </c>
      <c r="U467">
        <v>40</v>
      </c>
      <c r="V467" s="1">
        <v>29768</v>
      </c>
      <c r="W467" s="1">
        <v>29768</v>
      </c>
      <c r="X467" s="1">
        <v>29768</v>
      </c>
      <c r="Y467" s="1">
        <v>44378</v>
      </c>
      <c r="Z467" t="s">
        <v>51</v>
      </c>
      <c r="AB467" t="s">
        <v>54</v>
      </c>
      <c r="AC467">
        <v>1</v>
      </c>
      <c r="AE467" t="s">
        <v>84</v>
      </c>
      <c r="AF467">
        <v>20</v>
      </c>
      <c r="AG467" s="1">
        <v>34881</v>
      </c>
      <c r="AH467" s="1">
        <v>34881</v>
      </c>
      <c r="AI467" s="1">
        <v>34881</v>
      </c>
      <c r="AJ467" s="1">
        <v>42186</v>
      </c>
      <c r="AK467" t="s">
        <v>51</v>
      </c>
      <c r="AN467">
        <v>0</v>
      </c>
      <c r="AO467" t="s">
        <v>54</v>
      </c>
      <c r="AP467" t="s">
        <v>53</v>
      </c>
      <c r="AQ467">
        <v>0</v>
      </c>
      <c r="AR467" t="s">
        <v>53</v>
      </c>
      <c r="AS467">
        <v>0</v>
      </c>
      <c r="AT467">
        <v>0</v>
      </c>
      <c r="AW467" t="s">
        <v>58</v>
      </c>
      <c r="AX467">
        <v>20</v>
      </c>
      <c r="AY467" s="1">
        <v>34881</v>
      </c>
      <c r="AZ467" s="1">
        <v>34881</v>
      </c>
      <c r="BA467" s="1">
        <v>34881</v>
      </c>
      <c r="BB467" s="1">
        <v>42186</v>
      </c>
      <c r="BC467" t="s">
        <v>51</v>
      </c>
      <c r="BE467" t="s">
        <v>54</v>
      </c>
      <c r="BF467">
        <v>2</v>
      </c>
      <c r="BG467">
        <v>0</v>
      </c>
      <c r="BH467" t="s">
        <v>53</v>
      </c>
      <c r="BK467" t="s">
        <v>59</v>
      </c>
      <c r="BL467">
        <v>14000</v>
      </c>
      <c r="BM467" s="1">
        <v>41456</v>
      </c>
      <c r="BN467" s="1">
        <v>41456</v>
      </c>
      <c r="BO467" s="1">
        <v>41456</v>
      </c>
      <c r="BP467" s="1">
        <v>42656</v>
      </c>
      <c r="BQ467" t="s">
        <v>51</v>
      </c>
      <c r="BS467" t="s">
        <v>60</v>
      </c>
      <c r="BT467" t="s">
        <v>54</v>
      </c>
      <c r="BU467" t="s">
        <v>61</v>
      </c>
      <c r="BV467" t="s">
        <v>62</v>
      </c>
      <c r="BX467">
        <v>24</v>
      </c>
      <c r="BY467">
        <v>0</v>
      </c>
      <c r="BZ467">
        <v>0</v>
      </c>
    </row>
    <row r="468" spans="1:99" x14ac:dyDescent="0.2">
      <c r="A468" t="s">
        <v>180</v>
      </c>
      <c r="B468" t="s">
        <v>181</v>
      </c>
      <c r="C468" t="s">
        <v>184</v>
      </c>
      <c r="D468" t="s">
        <v>452</v>
      </c>
      <c r="F468" t="str">
        <f>"250004"</f>
        <v>250004</v>
      </c>
      <c r="G468" t="s">
        <v>49</v>
      </c>
      <c r="H468" t="s">
        <v>455</v>
      </c>
      <c r="K468" t="s">
        <v>51</v>
      </c>
      <c r="L468" t="s">
        <v>52</v>
      </c>
      <c r="M468">
        <v>136799.25</v>
      </c>
      <c r="N468">
        <v>473310.49</v>
      </c>
      <c r="O468" t="s">
        <v>53</v>
      </c>
      <c r="P468" t="s">
        <v>54</v>
      </c>
      <c r="Q468" t="s">
        <v>55</v>
      </c>
      <c r="T468" t="s">
        <v>183</v>
      </c>
      <c r="U468">
        <v>40</v>
      </c>
      <c r="V468" s="1">
        <v>22828</v>
      </c>
      <c r="W468" s="1">
        <v>22828</v>
      </c>
      <c r="X468" s="1">
        <v>22828</v>
      </c>
      <c r="Y468" s="1">
        <v>37438</v>
      </c>
      <c r="Z468" t="s">
        <v>51</v>
      </c>
      <c r="AB468" t="s">
        <v>54</v>
      </c>
      <c r="AC468">
        <v>1</v>
      </c>
      <c r="AE468" t="s">
        <v>84</v>
      </c>
      <c r="AF468">
        <v>20</v>
      </c>
      <c r="AG468" s="1">
        <v>34881</v>
      </c>
      <c r="AH468" s="1">
        <v>34881</v>
      </c>
      <c r="AI468" s="1">
        <v>34881</v>
      </c>
      <c r="AJ468" s="1">
        <v>42186</v>
      </c>
      <c r="AK468" t="s">
        <v>51</v>
      </c>
      <c r="AN468">
        <v>0</v>
      </c>
      <c r="AO468" t="s">
        <v>54</v>
      </c>
      <c r="AP468" t="s">
        <v>53</v>
      </c>
      <c r="AQ468">
        <v>0</v>
      </c>
      <c r="AR468" t="s">
        <v>53</v>
      </c>
      <c r="AS468">
        <v>0</v>
      </c>
      <c r="AT468">
        <v>0</v>
      </c>
      <c r="AW468" t="s">
        <v>58</v>
      </c>
      <c r="AX468">
        <v>20</v>
      </c>
      <c r="AY468" s="1">
        <v>34881</v>
      </c>
      <c r="AZ468" s="1">
        <v>34881</v>
      </c>
      <c r="BA468" s="1">
        <v>34881</v>
      </c>
      <c r="BB468" s="1">
        <v>42186</v>
      </c>
      <c r="BC468" t="s">
        <v>51</v>
      </c>
      <c r="BE468" t="s">
        <v>54</v>
      </c>
      <c r="BF468">
        <v>2</v>
      </c>
      <c r="BG468">
        <v>0</v>
      </c>
      <c r="BH468" t="s">
        <v>53</v>
      </c>
      <c r="BK468" t="s">
        <v>59</v>
      </c>
      <c r="BL468">
        <v>14000</v>
      </c>
      <c r="BM468" s="1">
        <v>41456</v>
      </c>
      <c r="BN468" s="1">
        <v>41456</v>
      </c>
      <c r="BO468" s="1">
        <v>41456</v>
      </c>
      <c r="BP468" s="1">
        <v>42656</v>
      </c>
      <c r="BQ468" t="s">
        <v>51</v>
      </c>
      <c r="BS468" t="s">
        <v>60</v>
      </c>
      <c r="BT468" t="s">
        <v>54</v>
      </c>
      <c r="BU468" t="s">
        <v>61</v>
      </c>
      <c r="BV468" t="s">
        <v>62</v>
      </c>
      <c r="BX468">
        <v>24</v>
      </c>
      <c r="BY468">
        <v>0</v>
      </c>
      <c r="BZ468">
        <v>0</v>
      </c>
    </row>
    <row r="469" spans="1:99" x14ac:dyDescent="0.2">
      <c r="A469" t="s">
        <v>180</v>
      </c>
      <c r="B469" t="s">
        <v>181</v>
      </c>
      <c r="C469" t="s">
        <v>184</v>
      </c>
      <c r="D469" t="s">
        <v>452</v>
      </c>
      <c r="F469" t="str">
        <f>"250005"</f>
        <v>250005</v>
      </c>
      <c r="G469" t="s">
        <v>49</v>
      </c>
      <c r="H469" t="s">
        <v>456</v>
      </c>
      <c r="K469" t="s">
        <v>51</v>
      </c>
      <c r="L469" t="s">
        <v>52</v>
      </c>
      <c r="M469">
        <v>136800.71</v>
      </c>
      <c r="N469">
        <v>473286.78</v>
      </c>
      <c r="O469" t="s">
        <v>53</v>
      </c>
      <c r="P469" t="s">
        <v>54</v>
      </c>
      <c r="Q469" t="s">
        <v>55</v>
      </c>
      <c r="T469" t="s">
        <v>183</v>
      </c>
      <c r="U469">
        <v>40</v>
      </c>
      <c r="V469" s="1">
        <v>29768</v>
      </c>
      <c r="W469" s="1">
        <v>29768</v>
      </c>
      <c r="X469" s="1">
        <v>29768</v>
      </c>
      <c r="Y469" s="1">
        <v>44378</v>
      </c>
      <c r="Z469" t="s">
        <v>51</v>
      </c>
      <c r="AB469" t="s">
        <v>54</v>
      </c>
      <c r="AC469">
        <v>1</v>
      </c>
      <c r="AE469" t="s">
        <v>84</v>
      </c>
      <c r="AF469">
        <v>20</v>
      </c>
      <c r="AG469" s="1">
        <v>34881</v>
      </c>
      <c r="AH469" s="1">
        <v>34881</v>
      </c>
      <c r="AI469" s="1">
        <v>34881</v>
      </c>
      <c r="AJ469" s="1">
        <v>42186</v>
      </c>
      <c r="AK469" t="s">
        <v>51</v>
      </c>
      <c r="AN469">
        <v>0</v>
      </c>
      <c r="AO469" t="s">
        <v>54</v>
      </c>
      <c r="AP469" t="s">
        <v>53</v>
      </c>
      <c r="AQ469">
        <v>0</v>
      </c>
      <c r="AR469" t="s">
        <v>53</v>
      </c>
      <c r="AS469">
        <v>0</v>
      </c>
      <c r="AT469">
        <v>0</v>
      </c>
      <c r="AW469" t="s">
        <v>58</v>
      </c>
      <c r="AX469">
        <v>20</v>
      </c>
      <c r="AY469" s="1">
        <v>34881</v>
      </c>
      <c r="AZ469" s="1">
        <v>34881</v>
      </c>
      <c r="BA469" s="1">
        <v>34881</v>
      </c>
      <c r="BB469" s="1">
        <v>42186</v>
      </c>
      <c r="BC469" t="s">
        <v>51</v>
      </c>
      <c r="BE469" t="s">
        <v>54</v>
      </c>
      <c r="BF469">
        <v>2</v>
      </c>
      <c r="BG469">
        <v>0</v>
      </c>
      <c r="BH469" t="s">
        <v>53</v>
      </c>
      <c r="BK469" t="s">
        <v>59</v>
      </c>
      <c r="BL469">
        <v>14000</v>
      </c>
      <c r="BM469" s="1">
        <v>41456</v>
      </c>
      <c r="BN469" s="1">
        <v>41456</v>
      </c>
      <c r="BO469" s="1">
        <v>41456</v>
      </c>
      <c r="BP469" s="1">
        <v>42656</v>
      </c>
      <c r="BQ469" t="s">
        <v>51</v>
      </c>
      <c r="BS469" t="s">
        <v>60</v>
      </c>
      <c r="BT469" t="s">
        <v>54</v>
      </c>
      <c r="BU469" t="s">
        <v>61</v>
      </c>
      <c r="BV469" t="s">
        <v>62</v>
      </c>
      <c r="BX469">
        <v>24</v>
      </c>
      <c r="BY469">
        <v>0</v>
      </c>
      <c r="BZ469">
        <v>0</v>
      </c>
    </row>
    <row r="470" spans="1:99" x14ac:dyDescent="0.2">
      <c r="A470" t="s">
        <v>180</v>
      </c>
      <c r="B470" t="s">
        <v>181</v>
      </c>
      <c r="C470" t="s">
        <v>184</v>
      </c>
      <c r="D470" t="s">
        <v>452</v>
      </c>
      <c r="F470" t="str">
        <f>"250006"</f>
        <v>250006</v>
      </c>
      <c r="G470" t="s">
        <v>49</v>
      </c>
      <c r="H470" t="s">
        <v>456</v>
      </c>
      <c r="K470" t="s">
        <v>51</v>
      </c>
      <c r="L470" t="s">
        <v>52</v>
      </c>
      <c r="M470">
        <v>136801.38</v>
      </c>
      <c r="N470">
        <v>473261.59</v>
      </c>
      <c r="O470" t="s">
        <v>53</v>
      </c>
      <c r="P470" t="s">
        <v>54</v>
      </c>
      <c r="Q470" t="s">
        <v>55</v>
      </c>
      <c r="T470" t="s">
        <v>183</v>
      </c>
      <c r="U470">
        <v>40</v>
      </c>
      <c r="V470" s="1">
        <v>38899</v>
      </c>
      <c r="W470" s="1">
        <v>38899</v>
      </c>
      <c r="X470" s="1">
        <v>38899</v>
      </c>
      <c r="Y470" s="1">
        <v>53509</v>
      </c>
      <c r="Z470" t="s">
        <v>51</v>
      </c>
      <c r="AB470" t="s">
        <v>54</v>
      </c>
      <c r="AC470">
        <v>1</v>
      </c>
      <c r="AE470" t="s">
        <v>84</v>
      </c>
      <c r="AF470">
        <v>20</v>
      </c>
      <c r="AG470" s="1">
        <v>38899</v>
      </c>
      <c r="AH470" s="1">
        <v>38899</v>
      </c>
      <c r="AI470" s="1">
        <v>38899</v>
      </c>
      <c r="AJ470" s="1">
        <v>46204</v>
      </c>
      <c r="AK470" t="s">
        <v>51</v>
      </c>
      <c r="AN470">
        <v>0</v>
      </c>
      <c r="AO470" t="s">
        <v>54</v>
      </c>
      <c r="AP470" t="s">
        <v>53</v>
      </c>
      <c r="AQ470">
        <v>0</v>
      </c>
      <c r="AR470" t="s">
        <v>53</v>
      </c>
      <c r="AS470">
        <v>0</v>
      </c>
      <c r="AT470">
        <v>0</v>
      </c>
      <c r="AW470" t="s">
        <v>58</v>
      </c>
      <c r="AX470">
        <v>20</v>
      </c>
      <c r="AY470" s="1">
        <v>38899</v>
      </c>
      <c r="AZ470" s="1">
        <v>38899</v>
      </c>
      <c r="BA470" s="1">
        <v>38899</v>
      </c>
      <c r="BB470" s="1">
        <v>46204</v>
      </c>
      <c r="BC470" t="s">
        <v>51</v>
      </c>
      <c r="BE470" t="s">
        <v>54</v>
      </c>
      <c r="BF470">
        <v>2</v>
      </c>
      <c r="BG470">
        <v>0</v>
      </c>
      <c r="BH470" t="s">
        <v>53</v>
      </c>
      <c r="BK470" t="s">
        <v>59</v>
      </c>
      <c r="BL470">
        <v>14000</v>
      </c>
      <c r="BM470" s="1">
        <v>41456</v>
      </c>
      <c r="BN470" s="1">
        <v>41456</v>
      </c>
      <c r="BO470" s="1">
        <v>41456</v>
      </c>
      <c r="BP470" s="1">
        <v>42656</v>
      </c>
      <c r="BQ470" t="s">
        <v>51</v>
      </c>
      <c r="BS470" t="s">
        <v>60</v>
      </c>
      <c r="BT470" t="s">
        <v>54</v>
      </c>
      <c r="BU470" t="s">
        <v>61</v>
      </c>
      <c r="BV470" t="s">
        <v>62</v>
      </c>
      <c r="BX470">
        <v>24</v>
      </c>
      <c r="BY470">
        <v>0</v>
      </c>
      <c r="BZ470">
        <v>0</v>
      </c>
    </row>
    <row r="471" spans="1:99" x14ac:dyDescent="0.2">
      <c r="A471" t="s">
        <v>180</v>
      </c>
      <c r="B471" t="s">
        <v>181</v>
      </c>
      <c r="C471" t="s">
        <v>184</v>
      </c>
      <c r="D471" t="s">
        <v>452</v>
      </c>
      <c r="F471" t="str">
        <f>"250007"</f>
        <v>250007</v>
      </c>
      <c r="G471" t="s">
        <v>49</v>
      </c>
      <c r="H471" t="s">
        <v>456</v>
      </c>
      <c r="K471" t="s">
        <v>51</v>
      </c>
      <c r="L471" t="s">
        <v>52</v>
      </c>
      <c r="M471">
        <v>136802.10999999999</v>
      </c>
      <c r="N471">
        <v>473237.68</v>
      </c>
      <c r="O471" t="s">
        <v>53</v>
      </c>
      <c r="P471" t="s">
        <v>54</v>
      </c>
      <c r="Q471" t="s">
        <v>55</v>
      </c>
      <c r="T471" t="s">
        <v>183</v>
      </c>
      <c r="U471">
        <v>40</v>
      </c>
      <c r="V471" s="1">
        <v>22828</v>
      </c>
      <c r="W471" s="1">
        <v>22828</v>
      </c>
      <c r="X471" s="1">
        <v>22828</v>
      </c>
      <c r="Y471" s="1">
        <v>37438</v>
      </c>
      <c r="Z471" t="s">
        <v>51</v>
      </c>
      <c r="AB471" t="s">
        <v>54</v>
      </c>
      <c r="AC471">
        <v>1</v>
      </c>
      <c r="AE471" t="s">
        <v>84</v>
      </c>
      <c r="AF471">
        <v>20</v>
      </c>
      <c r="AG471" s="1">
        <v>34881</v>
      </c>
      <c r="AH471" s="1">
        <v>34881</v>
      </c>
      <c r="AI471" s="1">
        <v>34881</v>
      </c>
      <c r="AJ471" s="1">
        <v>42186</v>
      </c>
      <c r="AK471" t="s">
        <v>51</v>
      </c>
      <c r="AN471">
        <v>0</v>
      </c>
      <c r="AO471" t="s">
        <v>54</v>
      </c>
      <c r="AP471" t="s">
        <v>53</v>
      </c>
      <c r="AQ471">
        <v>0</v>
      </c>
      <c r="AR471" t="s">
        <v>53</v>
      </c>
      <c r="AS471">
        <v>0</v>
      </c>
      <c r="AT471">
        <v>0</v>
      </c>
      <c r="AW471" t="s">
        <v>58</v>
      </c>
      <c r="AX471">
        <v>20</v>
      </c>
      <c r="AY471" s="1">
        <v>34881</v>
      </c>
      <c r="AZ471" s="1">
        <v>34881</v>
      </c>
      <c r="BA471" s="1">
        <v>34881</v>
      </c>
      <c r="BB471" s="1">
        <v>42186</v>
      </c>
      <c r="BC471" t="s">
        <v>51</v>
      </c>
      <c r="BE471" t="s">
        <v>54</v>
      </c>
      <c r="BF471">
        <v>2</v>
      </c>
      <c r="BG471">
        <v>0</v>
      </c>
      <c r="BH471" t="s">
        <v>53</v>
      </c>
      <c r="BK471" t="s">
        <v>59</v>
      </c>
      <c r="BL471">
        <v>14000</v>
      </c>
      <c r="BM471" s="1">
        <v>41456</v>
      </c>
      <c r="BN471" s="1">
        <v>41456</v>
      </c>
      <c r="BO471" s="1">
        <v>41456</v>
      </c>
      <c r="BP471" s="1">
        <v>42656</v>
      </c>
      <c r="BQ471" t="s">
        <v>51</v>
      </c>
      <c r="BS471" t="s">
        <v>60</v>
      </c>
      <c r="BT471" t="s">
        <v>54</v>
      </c>
      <c r="BU471" t="s">
        <v>61</v>
      </c>
      <c r="BV471" t="s">
        <v>62</v>
      </c>
      <c r="BX471">
        <v>24</v>
      </c>
      <c r="BY471">
        <v>0</v>
      </c>
      <c r="BZ471">
        <v>0</v>
      </c>
    </row>
    <row r="472" spans="1:99" x14ac:dyDescent="0.2">
      <c r="A472" t="s">
        <v>180</v>
      </c>
      <c r="B472" t="s">
        <v>181</v>
      </c>
      <c r="C472" t="s">
        <v>184</v>
      </c>
      <c r="D472" t="s">
        <v>452</v>
      </c>
      <c r="F472" t="str">
        <f>"250008"</f>
        <v>250008</v>
      </c>
      <c r="G472" t="s">
        <v>49</v>
      </c>
      <c r="H472" t="s">
        <v>457</v>
      </c>
      <c r="K472" t="s">
        <v>51</v>
      </c>
      <c r="L472" t="s">
        <v>52</v>
      </c>
      <c r="M472">
        <v>136802.42000000001</v>
      </c>
      <c r="N472">
        <v>473208.44</v>
      </c>
      <c r="O472" t="s">
        <v>53</v>
      </c>
      <c r="P472" t="s">
        <v>54</v>
      </c>
      <c r="Q472" t="s">
        <v>55</v>
      </c>
      <c r="T472" t="s">
        <v>183</v>
      </c>
      <c r="U472">
        <v>40</v>
      </c>
      <c r="V472" s="1">
        <v>29768</v>
      </c>
      <c r="W472" s="1">
        <v>29768</v>
      </c>
      <c r="X472" s="1">
        <v>29768</v>
      </c>
      <c r="Y472" s="1">
        <v>44378</v>
      </c>
      <c r="Z472" t="s">
        <v>51</v>
      </c>
      <c r="AB472" t="s">
        <v>54</v>
      </c>
      <c r="AC472">
        <v>1</v>
      </c>
      <c r="AE472" t="s">
        <v>84</v>
      </c>
      <c r="AF472">
        <v>20</v>
      </c>
      <c r="AG472" s="1">
        <v>34881</v>
      </c>
      <c r="AH472" s="1">
        <v>34881</v>
      </c>
      <c r="AI472" s="1">
        <v>34881</v>
      </c>
      <c r="AJ472" s="1">
        <v>42186</v>
      </c>
      <c r="AK472" t="s">
        <v>51</v>
      </c>
      <c r="AN472">
        <v>0</v>
      </c>
      <c r="AO472" t="s">
        <v>54</v>
      </c>
      <c r="AP472" t="s">
        <v>53</v>
      </c>
      <c r="AQ472">
        <v>0</v>
      </c>
      <c r="AR472" t="s">
        <v>53</v>
      </c>
      <c r="AS472">
        <v>0</v>
      </c>
      <c r="AT472">
        <v>0</v>
      </c>
      <c r="AW472" t="s">
        <v>58</v>
      </c>
      <c r="AX472">
        <v>20</v>
      </c>
      <c r="AY472" s="1">
        <v>34881</v>
      </c>
      <c r="AZ472" s="1">
        <v>34881</v>
      </c>
      <c r="BA472" s="1">
        <v>34881</v>
      </c>
      <c r="BB472" s="1">
        <v>42186</v>
      </c>
      <c r="BC472" t="s">
        <v>51</v>
      </c>
      <c r="BE472" t="s">
        <v>54</v>
      </c>
      <c r="BF472">
        <v>2</v>
      </c>
      <c r="BG472">
        <v>0</v>
      </c>
      <c r="BH472" t="s">
        <v>53</v>
      </c>
      <c r="BK472" t="s">
        <v>59</v>
      </c>
      <c r="BL472">
        <v>14000</v>
      </c>
      <c r="BM472" s="1">
        <v>41456</v>
      </c>
      <c r="BN472" s="1">
        <v>41456</v>
      </c>
      <c r="BO472" s="1">
        <v>41456</v>
      </c>
      <c r="BP472" s="1">
        <v>42656</v>
      </c>
      <c r="BQ472" t="s">
        <v>51</v>
      </c>
      <c r="BS472" t="s">
        <v>60</v>
      </c>
      <c r="BT472" t="s">
        <v>54</v>
      </c>
      <c r="BU472" t="s">
        <v>61</v>
      </c>
      <c r="BV472" t="s">
        <v>62</v>
      </c>
      <c r="BX472">
        <v>24</v>
      </c>
      <c r="BY472">
        <v>0</v>
      </c>
      <c r="BZ472">
        <v>0</v>
      </c>
    </row>
    <row r="473" spans="1:99" x14ac:dyDescent="0.2">
      <c r="A473" t="s">
        <v>180</v>
      </c>
      <c r="B473" t="s">
        <v>181</v>
      </c>
      <c r="C473" t="s">
        <v>184</v>
      </c>
      <c r="D473" t="s">
        <v>452</v>
      </c>
      <c r="F473" t="str">
        <f>"250009"</f>
        <v>250009</v>
      </c>
      <c r="G473" t="s">
        <v>49</v>
      </c>
      <c r="K473" t="s">
        <v>51</v>
      </c>
      <c r="L473" t="s">
        <v>52</v>
      </c>
      <c r="M473">
        <v>136802.89000000001</v>
      </c>
      <c r="N473">
        <v>473175.43</v>
      </c>
      <c r="O473" t="s">
        <v>53</v>
      </c>
      <c r="P473" t="s">
        <v>54</v>
      </c>
      <c r="Q473" t="s">
        <v>55</v>
      </c>
      <c r="T473" t="s">
        <v>183</v>
      </c>
      <c r="U473">
        <v>40</v>
      </c>
      <c r="V473" s="1">
        <v>37073</v>
      </c>
      <c r="W473" s="1">
        <v>37073</v>
      </c>
      <c r="X473" s="1">
        <v>37073</v>
      </c>
      <c r="Y473" s="1">
        <v>51683</v>
      </c>
      <c r="Z473" t="s">
        <v>51</v>
      </c>
      <c r="AB473" t="s">
        <v>54</v>
      </c>
      <c r="AC473">
        <v>1</v>
      </c>
      <c r="AE473" t="s">
        <v>84</v>
      </c>
      <c r="AF473">
        <v>20</v>
      </c>
      <c r="AG473" s="1">
        <v>37073</v>
      </c>
      <c r="AH473" s="1">
        <v>37073</v>
      </c>
      <c r="AI473" s="1">
        <v>37073</v>
      </c>
      <c r="AJ473" s="1">
        <v>44378</v>
      </c>
      <c r="AK473" t="s">
        <v>51</v>
      </c>
      <c r="AN473">
        <v>0</v>
      </c>
      <c r="AO473" t="s">
        <v>54</v>
      </c>
      <c r="AP473" t="s">
        <v>53</v>
      </c>
      <c r="AQ473">
        <v>0</v>
      </c>
      <c r="AR473" t="s">
        <v>53</v>
      </c>
      <c r="AS473">
        <v>0</v>
      </c>
      <c r="AT473">
        <v>0</v>
      </c>
      <c r="AW473" t="s">
        <v>58</v>
      </c>
      <c r="AX473">
        <v>20</v>
      </c>
      <c r="AY473" s="1">
        <v>37073</v>
      </c>
      <c r="AZ473" s="1">
        <v>37073</v>
      </c>
      <c r="BA473" s="1">
        <v>37073</v>
      </c>
      <c r="BB473" s="1">
        <v>44378</v>
      </c>
      <c r="BC473" t="s">
        <v>51</v>
      </c>
      <c r="BE473" t="s">
        <v>54</v>
      </c>
      <c r="BF473">
        <v>2</v>
      </c>
      <c r="BG473">
        <v>0</v>
      </c>
      <c r="BH473" t="s">
        <v>53</v>
      </c>
      <c r="BK473" t="s">
        <v>59</v>
      </c>
      <c r="BL473">
        <v>14000</v>
      </c>
      <c r="BM473" s="1">
        <v>41456</v>
      </c>
      <c r="BN473" s="1">
        <v>41456</v>
      </c>
      <c r="BO473" s="1">
        <v>41456</v>
      </c>
      <c r="BP473" s="1">
        <v>42656</v>
      </c>
      <c r="BQ473" t="s">
        <v>51</v>
      </c>
      <c r="BS473" t="s">
        <v>60</v>
      </c>
      <c r="BT473" t="s">
        <v>54</v>
      </c>
      <c r="BU473" t="s">
        <v>61</v>
      </c>
      <c r="BV473" t="s">
        <v>62</v>
      </c>
      <c r="BX473">
        <v>24</v>
      </c>
      <c r="BY473">
        <v>0</v>
      </c>
      <c r="BZ473">
        <v>0</v>
      </c>
    </row>
    <row r="474" spans="1:99" x14ac:dyDescent="0.2">
      <c r="A474" t="s">
        <v>180</v>
      </c>
      <c r="B474" t="s">
        <v>181</v>
      </c>
      <c r="C474" t="s">
        <v>184</v>
      </c>
      <c r="D474" t="s">
        <v>452</v>
      </c>
      <c r="F474" t="str">
        <f>"250010"</f>
        <v>250010</v>
      </c>
      <c r="G474" t="s">
        <v>49</v>
      </c>
      <c r="H474" t="s">
        <v>458</v>
      </c>
      <c r="K474" t="s">
        <v>51</v>
      </c>
      <c r="L474" t="s">
        <v>52</v>
      </c>
      <c r="M474">
        <v>136804.10999999999</v>
      </c>
      <c r="N474">
        <v>473155.09</v>
      </c>
      <c r="O474" t="s">
        <v>53</v>
      </c>
      <c r="P474" t="s">
        <v>54</v>
      </c>
      <c r="Q474" t="s">
        <v>55</v>
      </c>
      <c r="T474" t="s">
        <v>183</v>
      </c>
      <c r="U474">
        <v>40</v>
      </c>
      <c r="V474" s="1">
        <v>22828</v>
      </c>
      <c r="W474" s="1">
        <v>22828</v>
      </c>
      <c r="X474" s="1">
        <v>22828</v>
      </c>
      <c r="Y474" s="1">
        <v>37438</v>
      </c>
      <c r="Z474" t="s">
        <v>51</v>
      </c>
      <c r="AB474" t="s">
        <v>54</v>
      </c>
      <c r="AC474">
        <v>1</v>
      </c>
      <c r="AE474" t="s">
        <v>84</v>
      </c>
      <c r="AF474">
        <v>20</v>
      </c>
      <c r="AG474" s="1">
        <v>34881</v>
      </c>
      <c r="AH474" s="1">
        <v>34881</v>
      </c>
      <c r="AI474" s="1">
        <v>34881</v>
      </c>
      <c r="AJ474" s="1">
        <v>42186</v>
      </c>
      <c r="AK474" t="s">
        <v>51</v>
      </c>
      <c r="AN474">
        <v>0</v>
      </c>
      <c r="AO474" t="s">
        <v>54</v>
      </c>
      <c r="AP474" t="s">
        <v>53</v>
      </c>
      <c r="AQ474">
        <v>0</v>
      </c>
      <c r="AR474" t="s">
        <v>53</v>
      </c>
      <c r="AS474">
        <v>0</v>
      </c>
      <c r="AT474">
        <v>0</v>
      </c>
      <c r="AW474" t="s">
        <v>58</v>
      </c>
      <c r="AX474">
        <v>20</v>
      </c>
      <c r="AY474" s="1">
        <v>34881</v>
      </c>
      <c r="AZ474" s="1">
        <v>34881</v>
      </c>
      <c r="BA474" s="1">
        <v>34881</v>
      </c>
      <c r="BB474" s="1">
        <v>42186</v>
      </c>
      <c r="BC474" t="s">
        <v>51</v>
      </c>
      <c r="BE474" t="s">
        <v>54</v>
      </c>
      <c r="BF474">
        <v>2</v>
      </c>
      <c r="BG474">
        <v>0</v>
      </c>
      <c r="BH474" t="s">
        <v>53</v>
      </c>
      <c r="BK474" t="s">
        <v>59</v>
      </c>
      <c r="BL474">
        <v>14000</v>
      </c>
      <c r="BM474" s="1">
        <v>41456</v>
      </c>
      <c r="BN474" s="1">
        <v>41456</v>
      </c>
      <c r="BO474" s="1">
        <v>41456</v>
      </c>
      <c r="BP474" s="1">
        <v>42656</v>
      </c>
      <c r="BQ474" t="s">
        <v>51</v>
      </c>
      <c r="BS474" t="s">
        <v>60</v>
      </c>
      <c r="BT474" t="s">
        <v>54</v>
      </c>
      <c r="BU474" t="s">
        <v>61</v>
      </c>
      <c r="BV474" t="s">
        <v>62</v>
      </c>
      <c r="BX474">
        <v>24</v>
      </c>
      <c r="BY474">
        <v>0</v>
      </c>
      <c r="BZ474">
        <v>0</v>
      </c>
    </row>
    <row r="475" spans="1:99" x14ac:dyDescent="0.2">
      <c r="A475" t="s">
        <v>180</v>
      </c>
      <c r="B475" t="s">
        <v>181</v>
      </c>
      <c r="C475" t="s">
        <v>184</v>
      </c>
      <c r="D475" t="s">
        <v>452</v>
      </c>
      <c r="F475" t="str">
        <f>"250011"</f>
        <v>250011</v>
      </c>
      <c r="G475" t="s">
        <v>49</v>
      </c>
      <c r="H475" t="s">
        <v>459</v>
      </c>
      <c r="K475" t="s">
        <v>51</v>
      </c>
      <c r="L475" t="s">
        <v>52</v>
      </c>
      <c r="M475">
        <v>136802.79</v>
      </c>
      <c r="N475">
        <v>473131.72</v>
      </c>
      <c r="O475" t="s">
        <v>53</v>
      </c>
      <c r="P475" t="s">
        <v>54</v>
      </c>
      <c r="Q475" t="s">
        <v>55</v>
      </c>
      <c r="T475" t="s">
        <v>183</v>
      </c>
      <c r="U475">
        <v>40</v>
      </c>
      <c r="V475" s="1">
        <v>29768</v>
      </c>
      <c r="W475" s="1">
        <v>29768</v>
      </c>
      <c r="X475" s="1">
        <v>29768</v>
      </c>
      <c r="Y475" s="1">
        <v>44378</v>
      </c>
      <c r="Z475" t="s">
        <v>51</v>
      </c>
      <c r="AB475" t="s">
        <v>54</v>
      </c>
      <c r="AC475">
        <v>1</v>
      </c>
      <c r="AE475" t="s">
        <v>84</v>
      </c>
      <c r="AF475">
        <v>20</v>
      </c>
      <c r="AG475" s="1">
        <v>34881</v>
      </c>
      <c r="AH475" s="1">
        <v>34881</v>
      </c>
      <c r="AI475" s="1">
        <v>34881</v>
      </c>
      <c r="AJ475" s="1">
        <v>42186</v>
      </c>
      <c r="AK475" t="s">
        <v>51</v>
      </c>
      <c r="AN475">
        <v>0</v>
      </c>
      <c r="AO475" t="s">
        <v>54</v>
      </c>
      <c r="AP475" t="s">
        <v>53</v>
      </c>
      <c r="AQ475">
        <v>0</v>
      </c>
      <c r="AR475" t="s">
        <v>53</v>
      </c>
      <c r="AS475">
        <v>0</v>
      </c>
      <c r="AT475">
        <v>0</v>
      </c>
      <c r="AW475" t="s">
        <v>58</v>
      </c>
      <c r="AX475">
        <v>20</v>
      </c>
      <c r="AY475" s="1">
        <v>34881</v>
      </c>
      <c r="AZ475" s="1">
        <v>34881</v>
      </c>
      <c r="BA475" s="1">
        <v>34881</v>
      </c>
      <c r="BB475" s="1">
        <v>42186</v>
      </c>
      <c r="BC475" t="s">
        <v>51</v>
      </c>
      <c r="BE475" t="s">
        <v>54</v>
      </c>
      <c r="BF475">
        <v>2</v>
      </c>
      <c r="BG475">
        <v>0</v>
      </c>
      <c r="BH475" t="s">
        <v>53</v>
      </c>
      <c r="BK475" t="s">
        <v>59</v>
      </c>
      <c r="BL475">
        <v>14000</v>
      </c>
      <c r="BM475" s="1">
        <v>41456</v>
      </c>
      <c r="BN475" s="1">
        <v>41456</v>
      </c>
      <c r="BO475" s="1">
        <v>41456</v>
      </c>
      <c r="BP475" s="1">
        <v>42656</v>
      </c>
      <c r="BQ475" t="s">
        <v>51</v>
      </c>
      <c r="BS475" t="s">
        <v>60</v>
      </c>
      <c r="BT475" t="s">
        <v>54</v>
      </c>
      <c r="BU475" t="s">
        <v>61</v>
      </c>
      <c r="BV475" t="s">
        <v>62</v>
      </c>
      <c r="BX475">
        <v>24</v>
      </c>
      <c r="BY475">
        <v>0</v>
      </c>
      <c r="BZ475">
        <v>0</v>
      </c>
    </row>
    <row r="476" spans="1:99" x14ac:dyDescent="0.2">
      <c r="A476" t="s">
        <v>180</v>
      </c>
      <c r="B476" t="s">
        <v>181</v>
      </c>
      <c r="C476" t="s">
        <v>184</v>
      </c>
      <c r="D476" t="s">
        <v>452</v>
      </c>
      <c r="F476" t="str">
        <f>"250012"</f>
        <v>250012</v>
      </c>
      <c r="G476" t="s">
        <v>49</v>
      </c>
      <c r="H476" t="s">
        <v>460</v>
      </c>
      <c r="K476" t="s">
        <v>51</v>
      </c>
      <c r="L476" t="s">
        <v>52</v>
      </c>
      <c r="M476">
        <v>136802.60999999999</v>
      </c>
      <c r="N476">
        <v>473103.16</v>
      </c>
      <c r="O476" t="s">
        <v>53</v>
      </c>
      <c r="P476" t="s">
        <v>54</v>
      </c>
      <c r="Q476" t="s">
        <v>55</v>
      </c>
      <c r="T476" t="s">
        <v>183</v>
      </c>
      <c r="U476">
        <v>40</v>
      </c>
      <c r="V476" s="1">
        <v>29768</v>
      </c>
      <c r="W476" s="1">
        <v>29768</v>
      </c>
      <c r="X476" s="1">
        <v>29768</v>
      </c>
      <c r="Y476" s="1">
        <v>44378</v>
      </c>
      <c r="Z476" t="s">
        <v>51</v>
      </c>
      <c r="AB476" t="s">
        <v>54</v>
      </c>
      <c r="AC476">
        <v>1</v>
      </c>
      <c r="AE476" t="s">
        <v>84</v>
      </c>
      <c r="AF476">
        <v>20</v>
      </c>
      <c r="AG476" s="1">
        <v>34881</v>
      </c>
      <c r="AH476" s="1">
        <v>34881</v>
      </c>
      <c r="AI476" s="1">
        <v>34881</v>
      </c>
      <c r="AJ476" s="1">
        <v>42186</v>
      </c>
      <c r="AK476" t="s">
        <v>51</v>
      </c>
      <c r="AN476">
        <v>0</v>
      </c>
      <c r="AO476" t="s">
        <v>54</v>
      </c>
      <c r="AP476" t="s">
        <v>53</v>
      </c>
      <c r="AQ476">
        <v>0</v>
      </c>
      <c r="AR476" t="s">
        <v>53</v>
      </c>
      <c r="AS476">
        <v>0</v>
      </c>
      <c r="AT476">
        <v>0</v>
      </c>
      <c r="AW476" t="s">
        <v>58</v>
      </c>
      <c r="AX476">
        <v>20</v>
      </c>
      <c r="AY476" s="1">
        <v>44872</v>
      </c>
      <c r="AZ476" s="1">
        <v>44872</v>
      </c>
      <c r="BA476" s="1">
        <v>44872</v>
      </c>
      <c r="BB476" s="1">
        <v>52177</v>
      </c>
      <c r="BC476" t="s">
        <v>51</v>
      </c>
      <c r="BE476" t="s">
        <v>54</v>
      </c>
      <c r="BF476">
        <v>2</v>
      </c>
      <c r="BG476">
        <v>0</v>
      </c>
      <c r="BH476" t="s">
        <v>53</v>
      </c>
      <c r="BK476" t="s">
        <v>59</v>
      </c>
      <c r="BL476">
        <v>14000</v>
      </c>
      <c r="BM476" s="1">
        <v>41456</v>
      </c>
      <c r="BN476" s="1">
        <v>41456</v>
      </c>
      <c r="BO476" s="1">
        <v>44872</v>
      </c>
      <c r="BP476" s="1">
        <v>42656</v>
      </c>
      <c r="BQ476" t="s">
        <v>51</v>
      </c>
      <c r="BS476" t="s">
        <v>60</v>
      </c>
      <c r="BT476" t="s">
        <v>54</v>
      </c>
      <c r="BU476" t="s">
        <v>61</v>
      </c>
      <c r="BV476" t="s">
        <v>62</v>
      </c>
      <c r="BX476">
        <v>24</v>
      </c>
      <c r="BY476">
        <v>0</v>
      </c>
      <c r="BZ476">
        <v>0</v>
      </c>
    </row>
    <row r="477" spans="1:99" x14ac:dyDescent="0.2">
      <c r="A477" t="s">
        <v>180</v>
      </c>
      <c r="B477" t="s">
        <v>181</v>
      </c>
      <c r="C477" t="s">
        <v>184</v>
      </c>
      <c r="D477" t="s">
        <v>452</v>
      </c>
      <c r="F477" t="str">
        <f>"250013"</f>
        <v>250013</v>
      </c>
      <c r="G477" t="s">
        <v>49</v>
      </c>
      <c r="H477" t="s">
        <v>201</v>
      </c>
      <c r="K477" t="s">
        <v>51</v>
      </c>
      <c r="L477" t="s">
        <v>52</v>
      </c>
      <c r="M477">
        <v>136802.68</v>
      </c>
      <c r="N477">
        <v>473081.02</v>
      </c>
      <c r="O477" t="s">
        <v>53</v>
      </c>
      <c r="P477" t="s">
        <v>54</v>
      </c>
      <c r="Q477" t="s">
        <v>55</v>
      </c>
      <c r="T477" t="s">
        <v>183</v>
      </c>
      <c r="U477">
        <v>40</v>
      </c>
      <c r="V477" s="1">
        <v>38899</v>
      </c>
      <c r="W477" s="1">
        <v>38899</v>
      </c>
      <c r="X477" s="1">
        <v>38899</v>
      </c>
      <c r="Y477" s="1">
        <v>53509</v>
      </c>
      <c r="Z477" t="s">
        <v>51</v>
      </c>
      <c r="AB477" t="s">
        <v>54</v>
      </c>
      <c r="AC477">
        <v>1</v>
      </c>
      <c r="AE477" t="s">
        <v>57</v>
      </c>
      <c r="AF477">
        <v>20</v>
      </c>
      <c r="AG477" s="1">
        <v>38899</v>
      </c>
      <c r="AH477" s="1">
        <v>38899</v>
      </c>
      <c r="AI477" s="1">
        <v>38899</v>
      </c>
      <c r="AJ477" s="1">
        <v>46204</v>
      </c>
      <c r="AK477" t="s">
        <v>51</v>
      </c>
      <c r="AN477">
        <v>0</v>
      </c>
      <c r="AO477" t="s">
        <v>54</v>
      </c>
      <c r="AP477" t="s">
        <v>53</v>
      </c>
      <c r="AQ477">
        <v>0</v>
      </c>
      <c r="AR477" t="s">
        <v>53</v>
      </c>
      <c r="AS477">
        <v>0</v>
      </c>
      <c r="AT477">
        <v>0</v>
      </c>
      <c r="AW477" t="s">
        <v>58</v>
      </c>
      <c r="AX477">
        <v>20</v>
      </c>
      <c r="AY477" s="1">
        <v>38899</v>
      </c>
      <c r="AZ477" s="1">
        <v>38899</v>
      </c>
      <c r="BA477" s="1">
        <v>38899</v>
      </c>
      <c r="BB477" s="1">
        <v>46204</v>
      </c>
      <c r="BC477" t="s">
        <v>51</v>
      </c>
      <c r="BE477" t="s">
        <v>54</v>
      </c>
      <c r="BF477">
        <v>2</v>
      </c>
      <c r="BG477">
        <v>0</v>
      </c>
      <c r="BH477" t="s">
        <v>53</v>
      </c>
      <c r="BK477" t="s">
        <v>59</v>
      </c>
      <c r="BL477">
        <v>14000</v>
      </c>
      <c r="BM477" s="1">
        <v>41456</v>
      </c>
      <c r="BN477" s="1">
        <v>41456</v>
      </c>
      <c r="BO477" s="1">
        <v>41456</v>
      </c>
      <c r="BP477" s="1">
        <v>42656</v>
      </c>
      <c r="BQ477" t="s">
        <v>51</v>
      </c>
      <c r="BS477" t="s">
        <v>60</v>
      </c>
      <c r="BT477" t="s">
        <v>54</v>
      </c>
      <c r="BU477" t="s">
        <v>61</v>
      </c>
      <c r="BV477" t="s">
        <v>62</v>
      </c>
      <c r="BX477">
        <v>24</v>
      </c>
      <c r="BY477">
        <v>0</v>
      </c>
      <c r="BZ477">
        <v>0</v>
      </c>
    </row>
    <row r="478" spans="1:99" x14ac:dyDescent="0.2">
      <c r="A478" t="s">
        <v>180</v>
      </c>
      <c r="B478" t="s">
        <v>181</v>
      </c>
      <c r="C478" t="s">
        <v>184</v>
      </c>
      <c r="D478" t="s">
        <v>452</v>
      </c>
      <c r="F478" t="str">
        <f>"250014"</f>
        <v>250014</v>
      </c>
      <c r="G478" t="s">
        <v>49</v>
      </c>
      <c r="H478" t="s">
        <v>95</v>
      </c>
      <c r="K478" t="s">
        <v>51</v>
      </c>
      <c r="L478" t="s">
        <v>52</v>
      </c>
      <c r="M478">
        <v>136803.929</v>
      </c>
      <c r="N478">
        <v>473028.011</v>
      </c>
      <c r="O478" t="s">
        <v>53</v>
      </c>
      <c r="P478" t="s">
        <v>54</v>
      </c>
      <c r="Q478" t="s">
        <v>55</v>
      </c>
      <c r="T478" t="s">
        <v>183</v>
      </c>
      <c r="U478">
        <v>40</v>
      </c>
      <c r="V478" s="1">
        <v>34881</v>
      </c>
      <c r="W478" s="1">
        <v>34881</v>
      </c>
      <c r="X478" s="1">
        <v>34881</v>
      </c>
      <c r="Y478" s="1">
        <v>49491</v>
      </c>
      <c r="Z478" t="s">
        <v>51</v>
      </c>
      <c r="AB478" t="s">
        <v>54</v>
      </c>
      <c r="AC478">
        <v>1</v>
      </c>
      <c r="AE478" t="s">
        <v>84</v>
      </c>
      <c r="AF478">
        <v>20</v>
      </c>
      <c r="AG478" s="1">
        <v>34881</v>
      </c>
      <c r="AH478" s="1">
        <v>34881</v>
      </c>
      <c r="AI478" s="1">
        <v>34881</v>
      </c>
      <c r="AJ478" s="1">
        <v>42186</v>
      </c>
      <c r="AK478" t="s">
        <v>51</v>
      </c>
      <c r="AN478">
        <v>0</v>
      </c>
      <c r="AO478" t="s">
        <v>54</v>
      </c>
      <c r="AP478" t="s">
        <v>53</v>
      </c>
      <c r="AQ478">
        <v>0</v>
      </c>
      <c r="AR478" t="s">
        <v>53</v>
      </c>
      <c r="AS478">
        <v>0</v>
      </c>
      <c r="AT478">
        <v>0</v>
      </c>
      <c r="AW478" t="s">
        <v>58</v>
      </c>
      <c r="AX478">
        <v>20</v>
      </c>
      <c r="AY478" s="1">
        <v>44858</v>
      </c>
      <c r="AZ478" s="1">
        <v>44858</v>
      </c>
      <c r="BA478" s="1">
        <v>44858</v>
      </c>
      <c r="BB478" s="1">
        <v>52163</v>
      </c>
      <c r="BC478" t="s">
        <v>51</v>
      </c>
      <c r="BE478" t="s">
        <v>54</v>
      </c>
      <c r="BF478">
        <v>2</v>
      </c>
      <c r="BG478">
        <v>0</v>
      </c>
      <c r="BH478" t="s">
        <v>53</v>
      </c>
      <c r="BK478" t="s">
        <v>59</v>
      </c>
      <c r="BL478">
        <v>14000</v>
      </c>
      <c r="BM478" s="1">
        <v>43753</v>
      </c>
      <c r="BN478" s="1">
        <v>43753</v>
      </c>
      <c r="BO478" s="1">
        <v>44858</v>
      </c>
      <c r="BP478" s="1">
        <v>44914</v>
      </c>
      <c r="BQ478" t="s">
        <v>51</v>
      </c>
      <c r="BS478" t="s">
        <v>60</v>
      </c>
      <c r="BT478" t="s">
        <v>54</v>
      </c>
      <c r="BU478" t="s">
        <v>61</v>
      </c>
      <c r="BV478" t="s">
        <v>62</v>
      </c>
      <c r="BX478">
        <v>24</v>
      </c>
      <c r="BY478">
        <v>0</v>
      </c>
      <c r="BZ478">
        <v>0</v>
      </c>
    </row>
    <row r="479" spans="1:99" x14ac:dyDescent="0.2">
      <c r="A479" t="s">
        <v>180</v>
      </c>
      <c r="B479" t="s">
        <v>181</v>
      </c>
      <c r="C479" t="s">
        <v>184</v>
      </c>
      <c r="D479" t="s">
        <v>452</v>
      </c>
      <c r="F479" t="str">
        <f>"250016"</f>
        <v>250016</v>
      </c>
      <c r="G479" t="s">
        <v>49</v>
      </c>
      <c r="H479" t="s">
        <v>136</v>
      </c>
      <c r="K479" t="s">
        <v>51</v>
      </c>
      <c r="L479" t="s">
        <v>52</v>
      </c>
      <c r="M479">
        <v>136804.01999999999</v>
      </c>
      <c r="N479">
        <v>473007.59</v>
      </c>
      <c r="O479" t="s">
        <v>53</v>
      </c>
      <c r="P479" t="s">
        <v>54</v>
      </c>
      <c r="Q479" t="s">
        <v>55</v>
      </c>
      <c r="T479" t="s">
        <v>183</v>
      </c>
      <c r="U479">
        <v>40</v>
      </c>
      <c r="V479" s="1">
        <v>29768</v>
      </c>
      <c r="W479" s="1">
        <v>29768</v>
      </c>
      <c r="X479" s="1">
        <v>29768</v>
      </c>
      <c r="Y479" s="1">
        <v>44378</v>
      </c>
      <c r="Z479" t="s">
        <v>51</v>
      </c>
      <c r="AB479" t="s">
        <v>54</v>
      </c>
      <c r="AC479">
        <v>1</v>
      </c>
      <c r="AE479" t="s">
        <v>84</v>
      </c>
      <c r="AF479">
        <v>20</v>
      </c>
      <c r="AG479" s="1">
        <v>34881</v>
      </c>
      <c r="AH479" s="1">
        <v>34881</v>
      </c>
      <c r="AI479" s="1">
        <v>34881</v>
      </c>
      <c r="AJ479" s="1">
        <v>42186</v>
      </c>
      <c r="AK479" t="s">
        <v>51</v>
      </c>
      <c r="AN479">
        <v>0</v>
      </c>
      <c r="AO479" t="s">
        <v>54</v>
      </c>
      <c r="AP479" t="s">
        <v>53</v>
      </c>
      <c r="AQ479">
        <v>0</v>
      </c>
      <c r="AR479" t="s">
        <v>53</v>
      </c>
      <c r="AS479">
        <v>0</v>
      </c>
      <c r="AT479">
        <v>0</v>
      </c>
      <c r="AW479" t="s">
        <v>58</v>
      </c>
      <c r="AX479">
        <v>20</v>
      </c>
      <c r="AY479" s="1">
        <v>43409</v>
      </c>
      <c r="AZ479" s="1">
        <v>43409</v>
      </c>
      <c r="BA479" s="1">
        <v>43409</v>
      </c>
      <c r="BB479" s="1">
        <v>50714</v>
      </c>
      <c r="BC479" t="s">
        <v>51</v>
      </c>
      <c r="BE479" t="s">
        <v>54</v>
      </c>
      <c r="BF479">
        <v>2</v>
      </c>
      <c r="BG479">
        <v>0</v>
      </c>
      <c r="BH479" t="s">
        <v>53</v>
      </c>
      <c r="BK479" t="s">
        <v>59</v>
      </c>
      <c r="BL479">
        <v>14000</v>
      </c>
      <c r="BM479" s="1">
        <v>43409</v>
      </c>
      <c r="BN479" s="1">
        <v>43409</v>
      </c>
      <c r="BO479" s="1">
        <v>43409</v>
      </c>
      <c r="BP479" s="1">
        <v>44569</v>
      </c>
      <c r="BQ479" t="s">
        <v>51</v>
      </c>
      <c r="BS479" t="s">
        <v>60</v>
      </c>
      <c r="BT479" t="s">
        <v>54</v>
      </c>
      <c r="BU479" t="s">
        <v>61</v>
      </c>
      <c r="BV479" t="s">
        <v>62</v>
      </c>
      <c r="BX479">
        <v>24</v>
      </c>
      <c r="BY479">
        <v>0</v>
      </c>
      <c r="BZ479">
        <v>0</v>
      </c>
    </row>
    <row r="480" spans="1:99" x14ac:dyDescent="0.2">
      <c r="A480" t="s">
        <v>180</v>
      </c>
      <c r="B480" t="s">
        <v>181</v>
      </c>
      <c r="C480" t="s">
        <v>184</v>
      </c>
      <c r="D480" t="s">
        <v>452</v>
      </c>
      <c r="F480" t="str">
        <f>"250017"</f>
        <v>250017</v>
      </c>
      <c r="G480" t="s">
        <v>49</v>
      </c>
      <c r="H480" t="s">
        <v>299</v>
      </c>
      <c r="K480" t="s">
        <v>51</v>
      </c>
      <c r="L480" t="s">
        <v>52</v>
      </c>
      <c r="M480">
        <v>136803.9</v>
      </c>
      <c r="N480">
        <v>472985.01</v>
      </c>
      <c r="O480" t="s">
        <v>53</v>
      </c>
      <c r="P480" t="s">
        <v>54</v>
      </c>
      <c r="Q480" t="s">
        <v>55</v>
      </c>
      <c r="T480" t="s">
        <v>183</v>
      </c>
      <c r="U480">
        <v>40</v>
      </c>
      <c r="V480" s="1">
        <v>29768</v>
      </c>
      <c r="W480" s="1">
        <v>29768</v>
      </c>
      <c r="X480" s="1">
        <v>29768</v>
      </c>
      <c r="Y480" s="1">
        <v>44378</v>
      </c>
      <c r="Z480" t="s">
        <v>51</v>
      </c>
      <c r="AB480" t="s">
        <v>54</v>
      </c>
      <c r="AC480">
        <v>1</v>
      </c>
      <c r="AE480" t="s">
        <v>84</v>
      </c>
      <c r="AF480">
        <v>20</v>
      </c>
      <c r="AG480" s="1">
        <v>34881</v>
      </c>
      <c r="AH480" s="1">
        <v>34881</v>
      </c>
      <c r="AI480" s="1">
        <v>34881</v>
      </c>
      <c r="AJ480" s="1">
        <v>42186</v>
      </c>
      <c r="AK480" t="s">
        <v>51</v>
      </c>
      <c r="AN480">
        <v>0</v>
      </c>
      <c r="AO480" t="s">
        <v>54</v>
      </c>
      <c r="AP480" t="s">
        <v>53</v>
      </c>
      <c r="AQ480">
        <v>0</v>
      </c>
      <c r="AR480" t="s">
        <v>53</v>
      </c>
      <c r="AS480">
        <v>0</v>
      </c>
      <c r="AT480">
        <v>0</v>
      </c>
      <c r="AW480" t="s">
        <v>58</v>
      </c>
      <c r="AX480">
        <v>20</v>
      </c>
      <c r="AY480" s="1">
        <v>34881</v>
      </c>
      <c r="AZ480" s="1">
        <v>34881</v>
      </c>
      <c r="BA480" s="1">
        <v>34881</v>
      </c>
      <c r="BB480" s="1">
        <v>42186</v>
      </c>
      <c r="BC480" t="s">
        <v>51</v>
      </c>
      <c r="BE480" t="s">
        <v>54</v>
      </c>
      <c r="BF480">
        <v>2</v>
      </c>
      <c r="BG480">
        <v>0</v>
      </c>
      <c r="BH480" t="s">
        <v>53</v>
      </c>
      <c r="BK480" t="s">
        <v>59</v>
      </c>
      <c r="BL480">
        <v>14000</v>
      </c>
      <c r="BM480" s="1">
        <v>41456</v>
      </c>
      <c r="BN480" s="1">
        <v>41456</v>
      </c>
      <c r="BO480" s="1">
        <v>41456</v>
      </c>
      <c r="BP480" s="1">
        <v>42656</v>
      </c>
      <c r="BQ480" t="s">
        <v>51</v>
      </c>
      <c r="BS480" t="s">
        <v>60</v>
      </c>
      <c r="BT480" t="s">
        <v>54</v>
      </c>
      <c r="BU480" t="s">
        <v>61</v>
      </c>
      <c r="BV480" t="s">
        <v>62</v>
      </c>
      <c r="BX480">
        <v>24</v>
      </c>
      <c r="BY480">
        <v>0</v>
      </c>
      <c r="BZ480">
        <v>0</v>
      </c>
    </row>
    <row r="481" spans="1:78" x14ac:dyDescent="0.2">
      <c r="A481" t="s">
        <v>180</v>
      </c>
      <c r="B481" t="s">
        <v>181</v>
      </c>
      <c r="C481" t="s">
        <v>184</v>
      </c>
      <c r="D481" t="s">
        <v>452</v>
      </c>
      <c r="F481" t="str">
        <f>"250018"</f>
        <v>250018</v>
      </c>
      <c r="G481" t="s">
        <v>49</v>
      </c>
      <c r="K481" t="s">
        <v>51</v>
      </c>
      <c r="L481" t="s">
        <v>52</v>
      </c>
      <c r="M481">
        <v>136804.4</v>
      </c>
      <c r="N481">
        <v>472961.42</v>
      </c>
      <c r="O481" t="s">
        <v>53</v>
      </c>
      <c r="P481" t="s">
        <v>54</v>
      </c>
      <c r="Q481" t="s">
        <v>55</v>
      </c>
      <c r="T481" t="s">
        <v>183</v>
      </c>
      <c r="U481">
        <v>40</v>
      </c>
      <c r="V481" s="1">
        <v>29768</v>
      </c>
      <c r="W481" s="1">
        <v>29768</v>
      </c>
      <c r="X481" s="1">
        <v>29768</v>
      </c>
      <c r="Y481" s="1">
        <v>44378</v>
      </c>
      <c r="Z481" t="s">
        <v>51</v>
      </c>
      <c r="AB481" t="s">
        <v>54</v>
      </c>
      <c r="AC481">
        <v>1</v>
      </c>
      <c r="AE481" t="s">
        <v>84</v>
      </c>
      <c r="AF481">
        <v>20</v>
      </c>
      <c r="AG481" s="1">
        <v>34881</v>
      </c>
      <c r="AH481" s="1">
        <v>34881</v>
      </c>
      <c r="AI481" s="1">
        <v>34881</v>
      </c>
      <c r="AJ481" s="1">
        <v>42186</v>
      </c>
      <c r="AK481" t="s">
        <v>51</v>
      </c>
      <c r="AN481">
        <v>0</v>
      </c>
      <c r="AO481" t="s">
        <v>54</v>
      </c>
      <c r="AP481" t="s">
        <v>53</v>
      </c>
      <c r="AQ481">
        <v>0</v>
      </c>
      <c r="AR481" t="s">
        <v>53</v>
      </c>
      <c r="AS481">
        <v>0</v>
      </c>
      <c r="AT481">
        <v>0</v>
      </c>
      <c r="AW481" t="s">
        <v>58</v>
      </c>
      <c r="AX481">
        <v>20</v>
      </c>
      <c r="AY481" s="1">
        <v>34881</v>
      </c>
      <c r="AZ481" s="1">
        <v>34881</v>
      </c>
      <c r="BA481" s="1">
        <v>34881</v>
      </c>
      <c r="BB481" s="1">
        <v>42186</v>
      </c>
      <c r="BC481" t="s">
        <v>51</v>
      </c>
      <c r="BE481" t="s">
        <v>54</v>
      </c>
      <c r="BF481">
        <v>2</v>
      </c>
      <c r="BG481">
        <v>0</v>
      </c>
      <c r="BH481" t="s">
        <v>53</v>
      </c>
      <c r="BK481" t="s">
        <v>59</v>
      </c>
      <c r="BL481">
        <v>14000</v>
      </c>
      <c r="BM481" s="1">
        <v>41456</v>
      </c>
      <c r="BN481" s="1">
        <v>41456</v>
      </c>
      <c r="BO481" s="1">
        <v>41456</v>
      </c>
      <c r="BP481" s="1">
        <v>42656</v>
      </c>
      <c r="BQ481" t="s">
        <v>51</v>
      </c>
      <c r="BS481" t="s">
        <v>60</v>
      </c>
      <c r="BT481" t="s">
        <v>54</v>
      </c>
      <c r="BU481" t="s">
        <v>61</v>
      </c>
      <c r="BV481" t="s">
        <v>62</v>
      </c>
      <c r="BX481">
        <v>24</v>
      </c>
      <c r="BY481">
        <v>0</v>
      </c>
      <c r="BZ481">
        <v>0</v>
      </c>
    </row>
    <row r="482" spans="1:78" x14ac:dyDescent="0.2">
      <c r="A482" t="s">
        <v>180</v>
      </c>
      <c r="B482" t="s">
        <v>181</v>
      </c>
      <c r="C482" t="s">
        <v>184</v>
      </c>
      <c r="D482" t="s">
        <v>452</v>
      </c>
      <c r="F482" t="str">
        <f>"250019"</f>
        <v>250019</v>
      </c>
      <c r="G482" t="s">
        <v>49</v>
      </c>
      <c r="H482" t="s">
        <v>461</v>
      </c>
      <c r="K482" t="s">
        <v>51</v>
      </c>
      <c r="L482" t="s">
        <v>52</v>
      </c>
      <c r="M482">
        <v>136805.14000000001</v>
      </c>
      <c r="N482">
        <v>472934.14</v>
      </c>
      <c r="O482" t="s">
        <v>53</v>
      </c>
      <c r="P482" t="s">
        <v>54</v>
      </c>
      <c r="Q482" t="s">
        <v>55</v>
      </c>
      <c r="T482" t="s">
        <v>183</v>
      </c>
      <c r="U482">
        <v>40</v>
      </c>
      <c r="V482" s="1">
        <v>29768</v>
      </c>
      <c r="W482" s="1">
        <v>29768</v>
      </c>
      <c r="X482" s="1">
        <v>29768</v>
      </c>
      <c r="Y482" s="1">
        <v>44378</v>
      </c>
      <c r="Z482" t="s">
        <v>51</v>
      </c>
      <c r="AB482" t="s">
        <v>54</v>
      </c>
      <c r="AC482">
        <v>1</v>
      </c>
      <c r="AE482" t="s">
        <v>84</v>
      </c>
      <c r="AF482">
        <v>20</v>
      </c>
      <c r="AG482" s="1">
        <v>34881</v>
      </c>
      <c r="AH482" s="1">
        <v>34881</v>
      </c>
      <c r="AI482" s="1">
        <v>34881</v>
      </c>
      <c r="AJ482" s="1">
        <v>42186</v>
      </c>
      <c r="AK482" t="s">
        <v>51</v>
      </c>
      <c r="AN482">
        <v>0</v>
      </c>
      <c r="AO482" t="s">
        <v>54</v>
      </c>
      <c r="AP482" t="s">
        <v>53</v>
      </c>
      <c r="AQ482">
        <v>0</v>
      </c>
      <c r="AR482" t="s">
        <v>53</v>
      </c>
      <c r="AS482">
        <v>0</v>
      </c>
      <c r="AT482">
        <v>0</v>
      </c>
      <c r="AW482" t="s">
        <v>58</v>
      </c>
      <c r="AX482">
        <v>20</v>
      </c>
      <c r="AY482" s="1">
        <v>34881</v>
      </c>
      <c r="AZ482" s="1">
        <v>34881</v>
      </c>
      <c r="BA482" s="1">
        <v>34881</v>
      </c>
      <c r="BB482" s="1">
        <v>42186</v>
      </c>
      <c r="BC482" t="s">
        <v>51</v>
      </c>
      <c r="BE482" t="s">
        <v>54</v>
      </c>
      <c r="BF482">
        <v>2</v>
      </c>
      <c r="BG482">
        <v>0</v>
      </c>
      <c r="BH482" t="s">
        <v>53</v>
      </c>
      <c r="BK482" t="s">
        <v>59</v>
      </c>
      <c r="BL482">
        <v>14000</v>
      </c>
      <c r="BM482" s="1">
        <v>41456</v>
      </c>
      <c r="BN482" s="1">
        <v>41456</v>
      </c>
      <c r="BO482" s="1">
        <v>41456</v>
      </c>
      <c r="BP482" s="1">
        <v>42656</v>
      </c>
      <c r="BQ482" t="s">
        <v>51</v>
      </c>
      <c r="BS482" t="s">
        <v>60</v>
      </c>
      <c r="BT482" t="s">
        <v>54</v>
      </c>
      <c r="BU482" t="s">
        <v>61</v>
      </c>
      <c r="BV482" t="s">
        <v>62</v>
      </c>
      <c r="BX482">
        <v>24</v>
      </c>
      <c r="BY482">
        <v>0</v>
      </c>
      <c r="BZ482">
        <v>0</v>
      </c>
    </row>
    <row r="483" spans="1:78" x14ac:dyDescent="0.2">
      <c r="A483" t="s">
        <v>180</v>
      </c>
      <c r="B483" t="s">
        <v>181</v>
      </c>
      <c r="C483" t="s">
        <v>184</v>
      </c>
      <c r="D483" t="s">
        <v>452</v>
      </c>
      <c r="F483" t="str">
        <f>"250020"</f>
        <v>250020</v>
      </c>
      <c r="G483" t="s">
        <v>49</v>
      </c>
      <c r="H483" t="s">
        <v>292</v>
      </c>
      <c r="K483" t="s">
        <v>51</v>
      </c>
      <c r="L483" t="s">
        <v>52</v>
      </c>
      <c r="M483">
        <v>136805.75</v>
      </c>
      <c r="N483">
        <v>472913.38</v>
      </c>
      <c r="O483" t="s">
        <v>53</v>
      </c>
      <c r="P483" t="s">
        <v>54</v>
      </c>
      <c r="Q483" t="s">
        <v>55</v>
      </c>
      <c r="T483" t="s">
        <v>183</v>
      </c>
      <c r="U483">
        <v>40</v>
      </c>
      <c r="V483" s="1">
        <v>29768</v>
      </c>
      <c r="W483" s="1">
        <v>29768</v>
      </c>
      <c r="X483" s="1">
        <v>29768</v>
      </c>
      <c r="Y483" s="1">
        <v>44378</v>
      </c>
      <c r="Z483" t="s">
        <v>51</v>
      </c>
      <c r="AB483" t="s">
        <v>54</v>
      </c>
      <c r="AC483">
        <v>1</v>
      </c>
      <c r="AE483" t="s">
        <v>84</v>
      </c>
      <c r="AF483">
        <v>20</v>
      </c>
      <c r="AG483" s="1">
        <v>34881</v>
      </c>
      <c r="AH483" s="1">
        <v>34881</v>
      </c>
      <c r="AI483" s="1">
        <v>34881</v>
      </c>
      <c r="AJ483" s="1">
        <v>42186</v>
      </c>
      <c r="AK483" t="s">
        <v>51</v>
      </c>
      <c r="AN483">
        <v>0</v>
      </c>
      <c r="AO483" t="s">
        <v>54</v>
      </c>
      <c r="AP483" t="s">
        <v>53</v>
      </c>
      <c r="AQ483">
        <v>0</v>
      </c>
      <c r="AR483" t="s">
        <v>53</v>
      </c>
      <c r="AS483">
        <v>0</v>
      </c>
      <c r="AT483">
        <v>0</v>
      </c>
      <c r="AW483" t="s">
        <v>58</v>
      </c>
      <c r="AX483">
        <v>20</v>
      </c>
      <c r="AY483" s="1">
        <v>44963</v>
      </c>
      <c r="AZ483" s="1">
        <v>44963</v>
      </c>
      <c r="BA483" s="1">
        <v>44963</v>
      </c>
      <c r="BB483" s="1">
        <v>52268</v>
      </c>
      <c r="BC483" t="s">
        <v>51</v>
      </c>
      <c r="BE483" t="s">
        <v>54</v>
      </c>
      <c r="BF483">
        <v>2</v>
      </c>
      <c r="BG483">
        <v>0</v>
      </c>
      <c r="BH483" t="s">
        <v>53</v>
      </c>
      <c r="BK483" t="s">
        <v>59</v>
      </c>
      <c r="BL483">
        <v>14000</v>
      </c>
      <c r="BM483" s="1">
        <v>44963</v>
      </c>
      <c r="BN483" s="1">
        <v>44963</v>
      </c>
      <c r="BO483" s="1">
        <v>44963</v>
      </c>
      <c r="BP483" s="1">
        <v>46146</v>
      </c>
      <c r="BQ483" t="s">
        <v>51</v>
      </c>
      <c r="BS483" t="s">
        <v>60</v>
      </c>
      <c r="BT483" t="s">
        <v>54</v>
      </c>
      <c r="BU483" t="s">
        <v>61</v>
      </c>
      <c r="BV483" t="s">
        <v>62</v>
      </c>
      <c r="BX483">
        <v>24</v>
      </c>
      <c r="BY483">
        <v>0</v>
      </c>
      <c r="BZ483">
        <v>0</v>
      </c>
    </row>
    <row r="484" spans="1:78" x14ac:dyDescent="0.2">
      <c r="A484" t="s">
        <v>180</v>
      </c>
      <c r="B484" t="s">
        <v>181</v>
      </c>
      <c r="C484" t="s">
        <v>184</v>
      </c>
      <c r="D484" t="s">
        <v>452</v>
      </c>
      <c r="F484" t="str">
        <f>"250021"</f>
        <v>250021</v>
      </c>
      <c r="G484" t="s">
        <v>49</v>
      </c>
      <c r="H484" t="s">
        <v>462</v>
      </c>
      <c r="K484" t="s">
        <v>51</v>
      </c>
      <c r="L484" t="s">
        <v>52</v>
      </c>
      <c r="M484">
        <v>136806.62</v>
      </c>
      <c r="N484">
        <v>472888.32000000001</v>
      </c>
      <c r="O484" t="s">
        <v>53</v>
      </c>
      <c r="P484" t="s">
        <v>54</v>
      </c>
      <c r="Q484" t="s">
        <v>55</v>
      </c>
      <c r="T484" t="s">
        <v>183</v>
      </c>
      <c r="U484">
        <v>40</v>
      </c>
      <c r="V484" s="1">
        <v>34881</v>
      </c>
      <c r="W484" s="1">
        <v>34881</v>
      </c>
      <c r="X484" s="1">
        <v>34881</v>
      </c>
      <c r="Y484" s="1">
        <v>49491</v>
      </c>
      <c r="Z484" t="s">
        <v>51</v>
      </c>
      <c r="AB484" t="s">
        <v>54</v>
      </c>
      <c r="AC484">
        <v>1</v>
      </c>
      <c r="AE484" t="s">
        <v>84</v>
      </c>
      <c r="AF484">
        <v>20</v>
      </c>
      <c r="AG484" s="1">
        <v>34881</v>
      </c>
      <c r="AH484" s="1">
        <v>34881</v>
      </c>
      <c r="AI484" s="1">
        <v>34881</v>
      </c>
      <c r="AJ484" s="1">
        <v>42186</v>
      </c>
      <c r="AK484" t="s">
        <v>51</v>
      </c>
      <c r="AN484">
        <v>0</v>
      </c>
      <c r="AO484" t="s">
        <v>54</v>
      </c>
      <c r="AP484" t="s">
        <v>53</v>
      </c>
      <c r="AQ484">
        <v>0</v>
      </c>
      <c r="AR484" t="s">
        <v>53</v>
      </c>
      <c r="AS484">
        <v>0</v>
      </c>
      <c r="AT484">
        <v>0</v>
      </c>
      <c r="AW484" t="s">
        <v>58</v>
      </c>
      <c r="AX484">
        <v>20</v>
      </c>
      <c r="AY484" s="1">
        <v>43843</v>
      </c>
      <c r="AZ484" s="1">
        <v>43843</v>
      </c>
      <c r="BA484" s="1">
        <v>43843</v>
      </c>
      <c r="BB484" s="1">
        <v>51148</v>
      </c>
      <c r="BC484" t="s">
        <v>51</v>
      </c>
      <c r="BE484" t="s">
        <v>54</v>
      </c>
      <c r="BF484">
        <v>2</v>
      </c>
      <c r="BG484">
        <v>0</v>
      </c>
      <c r="BH484" t="s">
        <v>53</v>
      </c>
      <c r="BK484" t="s">
        <v>59</v>
      </c>
      <c r="BL484">
        <v>14000</v>
      </c>
      <c r="BM484" s="1">
        <v>43843</v>
      </c>
      <c r="BN484" s="1">
        <v>43843</v>
      </c>
      <c r="BO484" s="1">
        <v>43843</v>
      </c>
      <c r="BP484" s="1">
        <v>45012</v>
      </c>
      <c r="BQ484" t="s">
        <v>51</v>
      </c>
      <c r="BS484" t="s">
        <v>60</v>
      </c>
      <c r="BT484" t="s">
        <v>54</v>
      </c>
      <c r="BU484" t="s">
        <v>61</v>
      </c>
      <c r="BV484" t="s">
        <v>62</v>
      </c>
      <c r="BX484">
        <v>24</v>
      </c>
      <c r="BY484">
        <v>0</v>
      </c>
      <c r="BZ484">
        <v>0</v>
      </c>
    </row>
    <row r="485" spans="1:78" x14ac:dyDescent="0.2">
      <c r="A485" t="s">
        <v>180</v>
      </c>
      <c r="B485" t="s">
        <v>181</v>
      </c>
      <c r="C485" t="s">
        <v>184</v>
      </c>
      <c r="D485" t="s">
        <v>452</v>
      </c>
      <c r="F485" t="str">
        <f>"250022"</f>
        <v>250022</v>
      </c>
      <c r="G485" t="s">
        <v>49</v>
      </c>
      <c r="H485" t="s">
        <v>463</v>
      </c>
      <c r="K485" t="s">
        <v>51</v>
      </c>
      <c r="L485" t="s">
        <v>52</v>
      </c>
      <c r="M485">
        <v>136807.38</v>
      </c>
      <c r="N485">
        <v>472854.56</v>
      </c>
      <c r="O485" t="s">
        <v>53</v>
      </c>
      <c r="P485" t="s">
        <v>54</v>
      </c>
      <c r="Q485" t="s">
        <v>55</v>
      </c>
      <c r="T485" t="s">
        <v>183</v>
      </c>
      <c r="U485">
        <v>40</v>
      </c>
      <c r="V485" s="1">
        <v>34881</v>
      </c>
      <c r="W485" s="1">
        <v>34881</v>
      </c>
      <c r="X485" s="1">
        <v>34881</v>
      </c>
      <c r="Y485" s="1">
        <v>49491</v>
      </c>
      <c r="Z485" t="s">
        <v>51</v>
      </c>
      <c r="AB485" t="s">
        <v>54</v>
      </c>
      <c r="AC485">
        <v>1</v>
      </c>
      <c r="AE485" t="s">
        <v>84</v>
      </c>
      <c r="AF485">
        <v>20</v>
      </c>
      <c r="AG485" s="1">
        <v>34881</v>
      </c>
      <c r="AH485" s="1">
        <v>34881</v>
      </c>
      <c r="AI485" s="1">
        <v>34881</v>
      </c>
      <c r="AJ485" s="1">
        <v>42186</v>
      </c>
      <c r="AK485" t="s">
        <v>51</v>
      </c>
      <c r="AN485">
        <v>0</v>
      </c>
      <c r="AO485" t="s">
        <v>54</v>
      </c>
      <c r="AP485" t="s">
        <v>53</v>
      </c>
      <c r="AQ485">
        <v>0</v>
      </c>
      <c r="AR485" t="s">
        <v>53</v>
      </c>
      <c r="AS485">
        <v>0</v>
      </c>
      <c r="AT485">
        <v>0</v>
      </c>
      <c r="AW485" t="s">
        <v>58</v>
      </c>
      <c r="AX485">
        <v>20</v>
      </c>
      <c r="AY485" s="1">
        <v>34881</v>
      </c>
      <c r="AZ485" s="1">
        <v>34881</v>
      </c>
      <c r="BA485" s="1">
        <v>34881</v>
      </c>
      <c r="BB485" s="1">
        <v>42186</v>
      </c>
      <c r="BC485" t="s">
        <v>51</v>
      </c>
      <c r="BE485" t="s">
        <v>54</v>
      </c>
      <c r="BF485">
        <v>2</v>
      </c>
      <c r="BG485">
        <v>0</v>
      </c>
      <c r="BH485" t="s">
        <v>53</v>
      </c>
      <c r="BK485" t="s">
        <v>59</v>
      </c>
      <c r="BL485">
        <v>14000</v>
      </c>
      <c r="BM485" s="1">
        <v>41456</v>
      </c>
      <c r="BN485" s="1">
        <v>41456</v>
      </c>
      <c r="BO485" s="1">
        <v>41456</v>
      </c>
      <c r="BP485" s="1">
        <v>42656</v>
      </c>
      <c r="BQ485" t="s">
        <v>51</v>
      </c>
      <c r="BS485" t="s">
        <v>60</v>
      </c>
      <c r="BT485" t="s">
        <v>54</v>
      </c>
      <c r="BU485" t="s">
        <v>61</v>
      </c>
      <c r="BV485" t="s">
        <v>62</v>
      </c>
      <c r="BX485">
        <v>24</v>
      </c>
      <c r="BY485">
        <v>0</v>
      </c>
      <c r="BZ485">
        <v>0</v>
      </c>
    </row>
    <row r="486" spans="1:78" x14ac:dyDescent="0.2">
      <c r="A486" t="s">
        <v>180</v>
      </c>
      <c r="B486" t="s">
        <v>181</v>
      </c>
      <c r="C486" t="s">
        <v>184</v>
      </c>
      <c r="D486" t="s">
        <v>452</v>
      </c>
      <c r="F486" t="str">
        <f>"250023"</f>
        <v>250023</v>
      </c>
      <c r="G486" t="s">
        <v>49</v>
      </c>
      <c r="H486" t="s">
        <v>464</v>
      </c>
      <c r="K486" t="s">
        <v>51</v>
      </c>
      <c r="L486" t="s">
        <v>52</v>
      </c>
      <c r="M486">
        <v>136808.88</v>
      </c>
      <c r="N486">
        <v>472823.62</v>
      </c>
      <c r="O486" t="s">
        <v>53</v>
      </c>
      <c r="P486" t="s">
        <v>54</v>
      </c>
      <c r="Q486" t="s">
        <v>55</v>
      </c>
      <c r="T486" t="s">
        <v>183</v>
      </c>
      <c r="U486">
        <v>40</v>
      </c>
      <c r="V486" s="1">
        <v>34881</v>
      </c>
      <c r="W486" s="1">
        <v>34881</v>
      </c>
      <c r="X486" s="1">
        <v>34881</v>
      </c>
      <c r="Y486" s="1">
        <v>49491</v>
      </c>
      <c r="Z486" t="s">
        <v>51</v>
      </c>
      <c r="AB486" t="s">
        <v>54</v>
      </c>
      <c r="AC486">
        <v>1</v>
      </c>
      <c r="AE486" t="s">
        <v>84</v>
      </c>
      <c r="AF486">
        <v>20</v>
      </c>
      <c r="AG486" s="1">
        <v>34881</v>
      </c>
      <c r="AH486" s="1">
        <v>34881</v>
      </c>
      <c r="AI486" s="1">
        <v>34881</v>
      </c>
      <c r="AJ486" s="1">
        <v>42186</v>
      </c>
      <c r="AK486" t="s">
        <v>51</v>
      </c>
      <c r="AN486">
        <v>0</v>
      </c>
      <c r="AO486" t="s">
        <v>54</v>
      </c>
      <c r="AP486" t="s">
        <v>53</v>
      </c>
      <c r="AQ486">
        <v>0</v>
      </c>
      <c r="AR486" t="s">
        <v>53</v>
      </c>
      <c r="AS486">
        <v>0</v>
      </c>
      <c r="AT486">
        <v>0</v>
      </c>
      <c r="AW486" t="s">
        <v>58</v>
      </c>
      <c r="AX486">
        <v>20</v>
      </c>
      <c r="AY486" s="1">
        <v>34881</v>
      </c>
      <c r="AZ486" s="1">
        <v>34881</v>
      </c>
      <c r="BA486" s="1">
        <v>34881</v>
      </c>
      <c r="BB486" s="1">
        <v>42186</v>
      </c>
      <c r="BC486" t="s">
        <v>51</v>
      </c>
      <c r="BE486" t="s">
        <v>54</v>
      </c>
      <c r="BF486">
        <v>2</v>
      </c>
      <c r="BG486">
        <v>0</v>
      </c>
      <c r="BH486" t="s">
        <v>53</v>
      </c>
      <c r="BK486" t="s">
        <v>59</v>
      </c>
      <c r="BL486">
        <v>14000</v>
      </c>
      <c r="BM486" s="1">
        <v>41456</v>
      </c>
      <c r="BN486" s="1">
        <v>41456</v>
      </c>
      <c r="BO486" s="1">
        <v>41456</v>
      </c>
      <c r="BP486" s="1">
        <v>42656</v>
      </c>
      <c r="BQ486" t="s">
        <v>51</v>
      </c>
      <c r="BS486" t="s">
        <v>60</v>
      </c>
      <c r="BT486" t="s">
        <v>54</v>
      </c>
      <c r="BU486" t="s">
        <v>61</v>
      </c>
      <c r="BV486" t="s">
        <v>62</v>
      </c>
      <c r="BX486">
        <v>24</v>
      </c>
      <c r="BY486">
        <v>0</v>
      </c>
      <c r="BZ486">
        <v>0</v>
      </c>
    </row>
    <row r="487" spans="1:78" x14ac:dyDescent="0.2">
      <c r="A487" t="s">
        <v>180</v>
      </c>
      <c r="B487" t="s">
        <v>181</v>
      </c>
      <c r="C487" t="s">
        <v>184</v>
      </c>
      <c r="D487" t="s">
        <v>452</v>
      </c>
      <c r="F487" t="str">
        <f>"250024"</f>
        <v>250024</v>
      </c>
      <c r="G487" t="s">
        <v>49</v>
      </c>
      <c r="K487" t="s">
        <v>51</v>
      </c>
      <c r="L487" t="s">
        <v>52</v>
      </c>
      <c r="M487">
        <v>136817.5</v>
      </c>
      <c r="N487">
        <v>472793.23</v>
      </c>
      <c r="O487" t="s">
        <v>53</v>
      </c>
      <c r="P487" t="s">
        <v>54</v>
      </c>
      <c r="Q487" t="s">
        <v>55</v>
      </c>
      <c r="T487" t="s">
        <v>183</v>
      </c>
      <c r="U487">
        <v>40</v>
      </c>
      <c r="V487" s="1">
        <v>29768</v>
      </c>
      <c r="W487" s="1">
        <v>29768</v>
      </c>
      <c r="X487" s="1">
        <v>29768</v>
      </c>
      <c r="Y487" s="1">
        <v>44378</v>
      </c>
      <c r="Z487" t="s">
        <v>51</v>
      </c>
      <c r="AB487" t="s">
        <v>54</v>
      </c>
      <c r="AC487">
        <v>1</v>
      </c>
      <c r="AE487" t="s">
        <v>84</v>
      </c>
      <c r="AF487">
        <v>20</v>
      </c>
      <c r="AG487" s="1">
        <v>34881</v>
      </c>
      <c r="AH487" s="1">
        <v>34881</v>
      </c>
      <c r="AI487" s="1">
        <v>34881</v>
      </c>
      <c r="AJ487" s="1">
        <v>42186</v>
      </c>
      <c r="AK487" t="s">
        <v>51</v>
      </c>
      <c r="AN487">
        <v>0</v>
      </c>
      <c r="AO487" t="s">
        <v>54</v>
      </c>
      <c r="AP487" t="s">
        <v>53</v>
      </c>
      <c r="AQ487">
        <v>0</v>
      </c>
      <c r="AR487" t="s">
        <v>53</v>
      </c>
      <c r="AS487">
        <v>0</v>
      </c>
      <c r="AT487">
        <v>0</v>
      </c>
      <c r="AW487" t="s">
        <v>58</v>
      </c>
      <c r="AX487">
        <v>20</v>
      </c>
      <c r="AY487" s="1">
        <v>34881</v>
      </c>
      <c r="AZ487" s="1">
        <v>34881</v>
      </c>
      <c r="BA487" s="1">
        <v>34881</v>
      </c>
      <c r="BB487" s="1">
        <v>42186</v>
      </c>
      <c r="BC487" t="s">
        <v>51</v>
      </c>
      <c r="BE487" t="s">
        <v>54</v>
      </c>
      <c r="BF487">
        <v>2</v>
      </c>
      <c r="BG487">
        <v>0</v>
      </c>
      <c r="BH487" t="s">
        <v>53</v>
      </c>
      <c r="BK487" t="s">
        <v>59</v>
      </c>
      <c r="BL487">
        <v>14000</v>
      </c>
      <c r="BM487" s="1">
        <v>41456</v>
      </c>
      <c r="BN487" s="1">
        <v>41456</v>
      </c>
      <c r="BO487" s="1">
        <v>41456</v>
      </c>
      <c r="BP487" s="1">
        <v>42656</v>
      </c>
      <c r="BQ487" t="s">
        <v>51</v>
      </c>
      <c r="BS487" t="s">
        <v>60</v>
      </c>
      <c r="BT487" t="s">
        <v>54</v>
      </c>
      <c r="BU487" t="s">
        <v>61</v>
      </c>
      <c r="BV487" t="s">
        <v>62</v>
      </c>
      <c r="BX487">
        <v>24</v>
      </c>
      <c r="BY487">
        <v>0</v>
      </c>
      <c r="BZ487">
        <v>0</v>
      </c>
    </row>
    <row r="488" spans="1:78" x14ac:dyDescent="0.2">
      <c r="A488" t="s">
        <v>180</v>
      </c>
      <c r="B488" t="s">
        <v>181</v>
      </c>
      <c r="C488" t="s">
        <v>184</v>
      </c>
      <c r="D488" t="s">
        <v>452</v>
      </c>
      <c r="F488" t="str">
        <f>"250025"</f>
        <v>250025</v>
      </c>
      <c r="G488" t="s">
        <v>49</v>
      </c>
      <c r="H488" t="s">
        <v>465</v>
      </c>
      <c r="K488" t="s">
        <v>51</v>
      </c>
      <c r="L488" t="s">
        <v>52</v>
      </c>
      <c r="M488">
        <v>136822.10999999999</v>
      </c>
      <c r="N488">
        <v>472612.9</v>
      </c>
      <c r="O488" t="s">
        <v>53</v>
      </c>
      <c r="P488" t="s">
        <v>54</v>
      </c>
      <c r="Q488" t="s">
        <v>55</v>
      </c>
      <c r="T488" t="s">
        <v>466</v>
      </c>
      <c r="U488">
        <v>40</v>
      </c>
      <c r="V488" s="1">
        <v>34881</v>
      </c>
      <c r="W488" s="1">
        <v>34881</v>
      </c>
      <c r="X488" s="1">
        <v>34881</v>
      </c>
      <c r="Y488" s="1">
        <v>49491</v>
      </c>
      <c r="Z488" t="s">
        <v>51</v>
      </c>
      <c r="AB488" t="s">
        <v>54</v>
      </c>
      <c r="AC488">
        <v>1</v>
      </c>
      <c r="AE488" t="s">
        <v>84</v>
      </c>
      <c r="AF488">
        <v>20</v>
      </c>
      <c r="AG488" s="1">
        <v>34881</v>
      </c>
      <c r="AH488" s="1">
        <v>34881</v>
      </c>
      <c r="AI488" s="1">
        <v>34881</v>
      </c>
      <c r="AJ488" s="1">
        <v>42186</v>
      </c>
      <c r="AK488" t="s">
        <v>51</v>
      </c>
      <c r="AN488">
        <v>0</v>
      </c>
      <c r="AO488" t="s">
        <v>54</v>
      </c>
      <c r="AP488" t="s">
        <v>53</v>
      </c>
      <c r="AQ488">
        <v>0</v>
      </c>
      <c r="AR488" t="s">
        <v>53</v>
      </c>
      <c r="AS488">
        <v>0</v>
      </c>
      <c r="AT488">
        <v>0</v>
      </c>
      <c r="AW488" t="s">
        <v>58</v>
      </c>
      <c r="AX488">
        <v>20</v>
      </c>
      <c r="AY488" s="1">
        <v>34881</v>
      </c>
      <c r="AZ488" s="1">
        <v>34881</v>
      </c>
      <c r="BA488" s="1">
        <v>34881</v>
      </c>
      <c r="BB488" s="1">
        <v>42186</v>
      </c>
      <c r="BC488" t="s">
        <v>51</v>
      </c>
      <c r="BE488" t="s">
        <v>54</v>
      </c>
      <c r="BF488">
        <v>2</v>
      </c>
      <c r="BG488">
        <v>0</v>
      </c>
      <c r="BH488" t="s">
        <v>53</v>
      </c>
      <c r="BK488" t="s">
        <v>59</v>
      </c>
      <c r="BL488">
        <v>14000</v>
      </c>
      <c r="BM488" s="1">
        <v>41091</v>
      </c>
      <c r="BN488" s="1">
        <v>41091</v>
      </c>
      <c r="BO488" s="1">
        <v>41091</v>
      </c>
      <c r="BP488" s="1">
        <v>42291</v>
      </c>
      <c r="BQ488" t="s">
        <v>51</v>
      </c>
      <c r="BS488" t="s">
        <v>60</v>
      </c>
      <c r="BT488" t="s">
        <v>54</v>
      </c>
      <c r="BU488" t="s">
        <v>61</v>
      </c>
      <c r="BV488" t="s">
        <v>62</v>
      </c>
      <c r="BX488">
        <v>24</v>
      </c>
      <c r="BY488">
        <v>0</v>
      </c>
      <c r="BZ488">
        <v>0</v>
      </c>
    </row>
    <row r="489" spans="1:78" x14ac:dyDescent="0.2">
      <c r="A489" t="s">
        <v>180</v>
      </c>
      <c r="B489" t="s">
        <v>181</v>
      </c>
      <c r="C489" t="s">
        <v>184</v>
      </c>
      <c r="D489" t="s">
        <v>452</v>
      </c>
      <c r="F489" t="str">
        <f>"250026"</f>
        <v>250026</v>
      </c>
      <c r="G489" t="s">
        <v>49</v>
      </c>
      <c r="H489" t="s">
        <v>467</v>
      </c>
      <c r="K489" t="s">
        <v>51</v>
      </c>
      <c r="L489" t="s">
        <v>52</v>
      </c>
      <c r="M489">
        <v>136811.47</v>
      </c>
      <c r="N489">
        <v>472731.06</v>
      </c>
      <c r="O489" t="s">
        <v>53</v>
      </c>
      <c r="P489" t="s">
        <v>54</v>
      </c>
      <c r="Q489" t="s">
        <v>55</v>
      </c>
      <c r="T489" t="s">
        <v>183</v>
      </c>
      <c r="U489">
        <v>40</v>
      </c>
      <c r="V489" s="1">
        <v>34881</v>
      </c>
      <c r="W489" s="1">
        <v>34881</v>
      </c>
      <c r="X489" s="1">
        <v>34881</v>
      </c>
      <c r="Y489" s="1">
        <v>49491</v>
      </c>
      <c r="Z489" t="s">
        <v>51</v>
      </c>
      <c r="AB489" t="s">
        <v>54</v>
      </c>
      <c r="AC489">
        <v>1</v>
      </c>
      <c r="AE489" t="s">
        <v>84</v>
      </c>
      <c r="AF489">
        <v>20</v>
      </c>
      <c r="AG489" s="1">
        <v>34881</v>
      </c>
      <c r="AH489" s="1">
        <v>34881</v>
      </c>
      <c r="AI489" s="1">
        <v>34881</v>
      </c>
      <c r="AJ489" s="1">
        <v>42186</v>
      </c>
      <c r="AK489" t="s">
        <v>51</v>
      </c>
      <c r="AN489">
        <v>0</v>
      </c>
      <c r="AO489" t="s">
        <v>54</v>
      </c>
      <c r="AP489" t="s">
        <v>53</v>
      </c>
      <c r="AQ489">
        <v>0</v>
      </c>
      <c r="AR489" t="s">
        <v>53</v>
      </c>
      <c r="AS489">
        <v>0</v>
      </c>
      <c r="AT489">
        <v>0</v>
      </c>
      <c r="AW489" t="s">
        <v>58</v>
      </c>
      <c r="AX489">
        <v>20</v>
      </c>
      <c r="AY489" s="1">
        <v>34881</v>
      </c>
      <c r="AZ489" s="1">
        <v>34881</v>
      </c>
      <c r="BA489" s="1">
        <v>34881</v>
      </c>
      <c r="BB489" s="1">
        <v>42186</v>
      </c>
      <c r="BC489" t="s">
        <v>51</v>
      </c>
      <c r="BE489" t="s">
        <v>54</v>
      </c>
      <c r="BF489">
        <v>2</v>
      </c>
      <c r="BG489">
        <v>0</v>
      </c>
      <c r="BH489" t="s">
        <v>53</v>
      </c>
      <c r="BK489" t="s">
        <v>59</v>
      </c>
      <c r="BL489">
        <v>14000</v>
      </c>
      <c r="BM489" s="1">
        <v>41091</v>
      </c>
      <c r="BN489" s="1">
        <v>41091</v>
      </c>
      <c r="BO489" s="1">
        <v>41091</v>
      </c>
      <c r="BP489" s="1">
        <v>42291</v>
      </c>
      <c r="BQ489" t="s">
        <v>51</v>
      </c>
      <c r="BS489" t="s">
        <v>60</v>
      </c>
      <c r="BT489" t="s">
        <v>54</v>
      </c>
      <c r="BU489" t="s">
        <v>61</v>
      </c>
      <c r="BV489" t="s">
        <v>62</v>
      </c>
      <c r="BX489">
        <v>24</v>
      </c>
      <c r="BY489">
        <v>0</v>
      </c>
      <c r="BZ489">
        <v>0</v>
      </c>
    </row>
    <row r="490" spans="1:78" x14ac:dyDescent="0.2">
      <c r="A490" t="s">
        <v>180</v>
      </c>
      <c r="B490" t="s">
        <v>181</v>
      </c>
      <c r="C490" t="s">
        <v>184</v>
      </c>
      <c r="D490" t="s">
        <v>452</v>
      </c>
      <c r="F490" t="str">
        <f>"250027"</f>
        <v>250027</v>
      </c>
      <c r="G490" t="s">
        <v>49</v>
      </c>
      <c r="H490">
        <v>49</v>
      </c>
      <c r="K490" t="s">
        <v>51</v>
      </c>
      <c r="L490" t="s">
        <v>52</v>
      </c>
      <c r="M490">
        <v>136812.6</v>
      </c>
      <c r="N490">
        <v>472699.46</v>
      </c>
      <c r="O490" t="s">
        <v>53</v>
      </c>
      <c r="P490" t="s">
        <v>54</v>
      </c>
      <c r="Q490" t="s">
        <v>55</v>
      </c>
      <c r="T490" t="s">
        <v>183</v>
      </c>
      <c r="U490">
        <v>40</v>
      </c>
      <c r="V490" s="1">
        <v>29768</v>
      </c>
      <c r="W490" s="1">
        <v>29768</v>
      </c>
      <c r="X490" s="1">
        <v>29768</v>
      </c>
      <c r="Y490" s="1">
        <v>44378</v>
      </c>
      <c r="Z490" t="s">
        <v>51</v>
      </c>
      <c r="AB490" t="s">
        <v>54</v>
      </c>
      <c r="AC490">
        <v>1</v>
      </c>
      <c r="AE490" t="s">
        <v>84</v>
      </c>
      <c r="AF490">
        <v>20</v>
      </c>
      <c r="AG490" s="1">
        <v>34881</v>
      </c>
      <c r="AH490" s="1">
        <v>34881</v>
      </c>
      <c r="AI490" s="1">
        <v>34881</v>
      </c>
      <c r="AJ490" s="1">
        <v>42186</v>
      </c>
      <c r="AK490" t="s">
        <v>51</v>
      </c>
      <c r="AN490">
        <v>0</v>
      </c>
      <c r="AO490" t="s">
        <v>54</v>
      </c>
      <c r="AP490" t="s">
        <v>53</v>
      </c>
      <c r="AQ490">
        <v>0</v>
      </c>
      <c r="AR490" t="s">
        <v>53</v>
      </c>
      <c r="AS490">
        <v>0</v>
      </c>
      <c r="AT490">
        <v>0</v>
      </c>
      <c r="AW490" t="s">
        <v>58</v>
      </c>
      <c r="AX490">
        <v>20</v>
      </c>
      <c r="AY490" s="1">
        <v>34881</v>
      </c>
      <c r="AZ490" s="1">
        <v>34881</v>
      </c>
      <c r="BA490" s="1">
        <v>34881</v>
      </c>
      <c r="BB490" s="1">
        <v>42186</v>
      </c>
      <c r="BC490" t="s">
        <v>51</v>
      </c>
      <c r="BE490" t="s">
        <v>54</v>
      </c>
      <c r="BF490">
        <v>2</v>
      </c>
      <c r="BG490">
        <v>0</v>
      </c>
      <c r="BH490" t="s">
        <v>53</v>
      </c>
      <c r="BK490" t="s">
        <v>59</v>
      </c>
      <c r="BL490">
        <v>14000</v>
      </c>
      <c r="BM490" s="1">
        <v>41091</v>
      </c>
      <c r="BN490" s="1">
        <v>41091</v>
      </c>
      <c r="BO490" s="1">
        <v>41091</v>
      </c>
      <c r="BP490" s="1">
        <v>42291</v>
      </c>
      <c r="BQ490" t="s">
        <v>51</v>
      </c>
      <c r="BS490" t="s">
        <v>60</v>
      </c>
      <c r="BT490" t="s">
        <v>54</v>
      </c>
      <c r="BU490" t="s">
        <v>61</v>
      </c>
      <c r="BV490" t="s">
        <v>62</v>
      </c>
      <c r="BX490">
        <v>24</v>
      </c>
      <c r="BY490">
        <v>0</v>
      </c>
      <c r="BZ490">
        <v>0</v>
      </c>
    </row>
    <row r="491" spans="1:78" x14ac:dyDescent="0.2">
      <c r="A491" t="s">
        <v>180</v>
      </c>
      <c r="B491" t="s">
        <v>181</v>
      </c>
      <c r="C491" t="s">
        <v>184</v>
      </c>
      <c r="D491" t="s">
        <v>452</v>
      </c>
      <c r="F491" t="str">
        <f>"250028"</f>
        <v>250028</v>
      </c>
      <c r="G491" t="s">
        <v>49</v>
      </c>
      <c r="H491" t="s">
        <v>468</v>
      </c>
      <c r="K491" t="s">
        <v>51</v>
      </c>
      <c r="L491" t="s">
        <v>52</v>
      </c>
      <c r="M491">
        <v>136813.85999999999</v>
      </c>
      <c r="N491">
        <v>472670.06</v>
      </c>
      <c r="O491" t="s">
        <v>53</v>
      </c>
      <c r="P491" t="s">
        <v>54</v>
      </c>
      <c r="Q491" t="s">
        <v>55</v>
      </c>
      <c r="T491" t="s">
        <v>183</v>
      </c>
      <c r="U491">
        <v>40</v>
      </c>
      <c r="V491" s="1">
        <v>34881</v>
      </c>
      <c r="W491" s="1">
        <v>34881</v>
      </c>
      <c r="X491" s="1">
        <v>34881</v>
      </c>
      <c r="Y491" s="1">
        <v>49491</v>
      </c>
      <c r="Z491" t="s">
        <v>51</v>
      </c>
      <c r="AB491" t="s">
        <v>54</v>
      </c>
      <c r="AC491">
        <v>1</v>
      </c>
      <c r="AE491" t="s">
        <v>84</v>
      </c>
      <c r="AF491">
        <v>20</v>
      </c>
      <c r="AG491" s="1">
        <v>34881</v>
      </c>
      <c r="AH491" s="1">
        <v>34881</v>
      </c>
      <c r="AI491" s="1">
        <v>34881</v>
      </c>
      <c r="AJ491" s="1">
        <v>42186</v>
      </c>
      <c r="AK491" t="s">
        <v>51</v>
      </c>
      <c r="AN491">
        <v>0</v>
      </c>
      <c r="AO491" t="s">
        <v>54</v>
      </c>
      <c r="AP491" t="s">
        <v>53</v>
      </c>
      <c r="AQ491">
        <v>0</v>
      </c>
      <c r="AR491" t="s">
        <v>53</v>
      </c>
      <c r="AS491">
        <v>0</v>
      </c>
      <c r="AT491">
        <v>0</v>
      </c>
      <c r="AW491" t="s">
        <v>58</v>
      </c>
      <c r="AX491">
        <v>20</v>
      </c>
      <c r="AY491" s="1">
        <v>34881</v>
      </c>
      <c r="AZ491" s="1">
        <v>34881</v>
      </c>
      <c r="BA491" s="1">
        <v>34881</v>
      </c>
      <c r="BB491" s="1">
        <v>42186</v>
      </c>
      <c r="BC491" t="s">
        <v>51</v>
      </c>
      <c r="BE491" t="s">
        <v>54</v>
      </c>
      <c r="BF491">
        <v>2</v>
      </c>
      <c r="BG491">
        <v>0</v>
      </c>
      <c r="BH491" t="s">
        <v>53</v>
      </c>
      <c r="BK491" t="s">
        <v>59</v>
      </c>
      <c r="BL491">
        <v>14000</v>
      </c>
      <c r="BM491" s="1">
        <v>41091</v>
      </c>
      <c r="BN491" s="1">
        <v>41091</v>
      </c>
      <c r="BO491" s="1">
        <v>41091</v>
      </c>
      <c r="BP491" s="1">
        <v>42291</v>
      </c>
      <c r="BQ491" t="s">
        <v>51</v>
      </c>
      <c r="BS491" t="s">
        <v>60</v>
      </c>
      <c r="BT491" t="s">
        <v>54</v>
      </c>
      <c r="BU491" t="s">
        <v>61</v>
      </c>
      <c r="BV491" t="s">
        <v>62</v>
      </c>
      <c r="BX491">
        <v>24</v>
      </c>
      <c r="BY491">
        <v>0</v>
      </c>
      <c r="BZ491">
        <v>0</v>
      </c>
    </row>
    <row r="492" spans="1:78" x14ac:dyDescent="0.2">
      <c r="A492" t="s">
        <v>180</v>
      </c>
      <c r="B492" t="s">
        <v>181</v>
      </c>
      <c r="C492" t="s">
        <v>184</v>
      </c>
      <c r="D492" t="s">
        <v>452</v>
      </c>
      <c r="F492" t="str">
        <f>"250029"</f>
        <v>250029</v>
      </c>
      <c r="G492" t="s">
        <v>49</v>
      </c>
      <c r="K492" t="s">
        <v>51</v>
      </c>
      <c r="L492" t="s">
        <v>52</v>
      </c>
      <c r="M492">
        <v>136813.04999999999</v>
      </c>
      <c r="N492">
        <v>472640.28</v>
      </c>
      <c r="O492" t="s">
        <v>53</v>
      </c>
      <c r="P492" t="s">
        <v>54</v>
      </c>
      <c r="Q492" t="s">
        <v>55</v>
      </c>
      <c r="T492" t="s">
        <v>183</v>
      </c>
      <c r="U492">
        <v>40</v>
      </c>
      <c r="V492" s="1">
        <v>37073</v>
      </c>
      <c r="W492" s="1">
        <v>37073</v>
      </c>
      <c r="X492" s="1">
        <v>37073</v>
      </c>
      <c r="Y492" s="1">
        <v>51683</v>
      </c>
      <c r="Z492" t="s">
        <v>51</v>
      </c>
      <c r="AB492" t="s">
        <v>54</v>
      </c>
      <c r="AC492">
        <v>1</v>
      </c>
      <c r="AE492" t="s">
        <v>84</v>
      </c>
      <c r="AF492">
        <v>20</v>
      </c>
      <c r="AG492" s="1">
        <v>37073</v>
      </c>
      <c r="AH492" s="1">
        <v>37073</v>
      </c>
      <c r="AI492" s="1">
        <v>37073</v>
      </c>
      <c r="AJ492" s="1">
        <v>44378</v>
      </c>
      <c r="AK492" t="s">
        <v>51</v>
      </c>
      <c r="AN492">
        <v>0</v>
      </c>
      <c r="AO492" t="s">
        <v>54</v>
      </c>
      <c r="AP492" t="s">
        <v>53</v>
      </c>
      <c r="AQ492">
        <v>0</v>
      </c>
      <c r="AR492" t="s">
        <v>53</v>
      </c>
      <c r="AS492">
        <v>0</v>
      </c>
      <c r="AT492">
        <v>0</v>
      </c>
      <c r="AW492" t="s">
        <v>58</v>
      </c>
      <c r="AX492">
        <v>20</v>
      </c>
      <c r="AY492" s="1">
        <v>37073</v>
      </c>
      <c r="AZ492" s="1">
        <v>37073</v>
      </c>
      <c r="BA492" s="1">
        <v>37073</v>
      </c>
      <c r="BB492" s="1">
        <v>44378</v>
      </c>
      <c r="BC492" t="s">
        <v>51</v>
      </c>
      <c r="BE492" t="s">
        <v>54</v>
      </c>
      <c r="BF492">
        <v>2</v>
      </c>
      <c r="BG492">
        <v>0</v>
      </c>
      <c r="BH492" t="s">
        <v>53</v>
      </c>
      <c r="BK492" t="s">
        <v>59</v>
      </c>
      <c r="BL492">
        <v>14000</v>
      </c>
      <c r="BM492" s="1">
        <v>41091</v>
      </c>
      <c r="BN492" s="1">
        <v>41091</v>
      </c>
      <c r="BO492" s="1">
        <v>41091</v>
      </c>
      <c r="BP492" s="1">
        <v>42291</v>
      </c>
      <c r="BQ492" t="s">
        <v>51</v>
      </c>
      <c r="BS492" t="s">
        <v>60</v>
      </c>
      <c r="BT492" t="s">
        <v>54</v>
      </c>
      <c r="BU492" t="s">
        <v>61</v>
      </c>
      <c r="BV492" t="s">
        <v>62</v>
      </c>
      <c r="BX492">
        <v>24</v>
      </c>
      <c r="BY492">
        <v>0</v>
      </c>
      <c r="BZ492">
        <v>0</v>
      </c>
    </row>
    <row r="493" spans="1:78" x14ac:dyDescent="0.2">
      <c r="A493" t="s">
        <v>180</v>
      </c>
      <c r="B493" t="s">
        <v>181</v>
      </c>
      <c r="C493" t="s">
        <v>184</v>
      </c>
      <c r="D493" t="s">
        <v>452</v>
      </c>
      <c r="F493" t="str">
        <f>"250031"</f>
        <v>250031</v>
      </c>
      <c r="G493" t="s">
        <v>49</v>
      </c>
      <c r="H493" t="s">
        <v>276</v>
      </c>
      <c r="K493" t="s">
        <v>51</v>
      </c>
      <c r="L493" t="s">
        <v>52</v>
      </c>
      <c r="M493">
        <v>136815.87</v>
      </c>
      <c r="N493">
        <v>472582.29</v>
      </c>
      <c r="O493" t="s">
        <v>53</v>
      </c>
      <c r="P493" t="s">
        <v>54</v>
      </c>
      <c r="Q493" t="s">
        <v>55</v>
      </c>
      <c r="T493" t="s">
        <v>466</v>
      </c>
      <c r="U493">
        <v>40</v>
      </c>
      <c r="V493" s="1">
        <v>34881</v>
      </c>
      <c r="W493" s="1">
        <v>34881</v>
      </c>
      <c r="X493" s="1">
        <v>34881</v>
      </c>
      <c r="Y493" s="1">
        <v>49491</v>
      </c>
      <c r="Z493" t="s">
        <v>51</v>
      </c>
      <c r="AB493" t="s">
        <v>54</v>
      </c>
      <c r="AC493">
        <v>1</v>
      </c>
      <c r="AE493" t="s">
        <v>84</v>
      </c>
      <c r="AF493">
        <v>20</v>
      </c>
      <c r="AG493" s="1">
        <v>34881</v>
      </c>
      <c r="AH493" s="1">
        <v>34881</v>
      </c>
      <c r="AI493" s="1">
        <v>34881</v>
      </c>
      <c r="AJ493" s="1">
        <v>42186</v>
      </c>
      <c r="AK493" t="s">
        <v>51</v>
      </c>
      <c r="AN493">
        <v>0</v>
      </c>
      <c r="AO493" t="s">
        <v>54</v>
      </c>
      <c r="AP493" t="s">
        <v>53</v>
      </c>
      <c r="AQ493">
        <v>0</v>
      </c>
      <c r="AR493" t="s">
        <v>53</v>
      </c>
      <c r="AS493">
        <v>0</v>
      </c>
      <c r="AT493">
        <v>0</v>
      </c>
      <c r="AW493" t="s">
        <v>58</v>
      </c>
      <c r="AX493">
        <v>20</v>
      </c>
      <c r="AY493" s="1">
        <v>34881</v>
      </c>
      <c r="AZ493" s="1">
        <v>34881</v>
      </c>
      <c r="BA493" s="1">
        <v>34881</v>
      </c>
      <c r="BB493" s="1">
        <v>42186</v>
      </c>
      <c r="BC493" t="s">
        <v>51</v>
      </c>
      <c r="BE493" t="s">
        <v>54</v>
      </c>
      <c r="BF493">
        <v>2</v>
      </c>
      <c r="BG493">
        <v>0</v>
      </c>
      <c r="BH493" t="s">
        <v>53</v>
      </c>
      <c r="BK493" t="s">
        <v>59</v>
      </c>
      <c r="BL493">
        <v>14000</v>
      </c>
      <c r="BM493" s="1">
        <v>41091</v>
      </c>
      <c r="BN493" s="1">
        <v>41091</v>
      </c>
      <c r="BO493" s="1">
        <v>41091</v>
      </c>
      <c r="BP493" s="1">
        <v>42291</v>
      </c>
      <c r="BQ493" t="s">
        <v>51</v>
      </c>
      <c r="BS493" t="s">
        <v>60</v>
      </c>
      <c r="BT493" t="s">
        <v>54</v>
      </c>
      <c r="BU493" t="s">
        <v>61</v>
      </c>
      <c r="BV493" t="s">
        <v>62</v>
      </c>
      <c r="BX493">
        <v>24</v>
      </c>
      <c r="BY493">
        <v>0</v>
      </c>
      <c r="BZ493">
        <v>0</v>
      </c>
    </row>
    <row r="494" spans="1:78" x14ac:dyDescent="0.2">
      <c r="A494" t="s">
        <v>180</v>
      </c>
      <c r="B494" t="s">
        <v>181</v>
      </c>
      <c r="C494" t="s">
        <v>184</v>
      </c>
      <c r="D494" t="s">
        <v>452</v>
      </c>
      <c r="F494" t="str">
        <f>"250032"</f>
        <v>250032</v>
      </c>
      <c r="G494" t="s">
        <v>49</v>
      </c>
      <c r="H494" t="s">
        <v>143</v>
      </c>
      <c r="K494" t="s">
        <v>51</v>
      </c>
      <c r="L494" t="s">
        <v>52</v>
      </c>
      <c r="M494">
        <v>136823.82</v>
      </c>
      <c r="N494">
        <v>472554.36</v>
      </c>
      <c r="O494" t="s">
        <v>53</v>
      </c>
      <c r="P494" t="s">
        <v>54</v>
      </c>
      <c r="Q494" t="s">
        <v>55</v>
      </c>
      <c r="T494" t="s">
        <v>183</v>
      </c>
      <c r="U494">
        <v>40</v>
      </c>
      <c r="V494" s="1">
        <v>34881</v>
      </c>
      <c r="W494" s="1">
        <v>34881</v>
      </c>
      <c r="X494" s="1">
        <v>34881</v>
      </c>
      <c r="Y494" s="1">
        <v>49491</v>
      </c>
      <c r="Z494" t="s">
        <v>51</v>
      </c>
      <c r="AB494" t="s">
        <v>54</v>
      </c>
      <c r="AC494">
        <v>1</v>
      </c>
      <c r="AE494" t="s">
        <v>84</v>
      </c>
      <c r="AF494">
        <v>20</v>
      </c>
      <c r="AG494" s="1">
        <v>34881</v>
      </c>
      <c r="AH494" s="1">
        <v>34881</v>
      </c>
      <c r="AI494" s="1">
        <v>34881</v>
      </c>
      <c r="AJ494" s="1">
        <v>42186</v>
      </c>
      <c r="AK494" t="s">
        <v>51</v>
      </c>
      <c r="AN494">
        <v>0</v>
      </c>
      <c r="AO494" t="s">
        <v>54</v>
      </c>
      <c r="AP494" t="s">
        <v>53</v>
      </c>
      <c r="AQ494">
        <v>0</v>
      </c>
      <c r="AR494" t="s">
        <v>53</v>
      </c>
      <c r="AS494">
        <v>0</v>
      </c>
      <c r="AT494">
        <v>0</v>
      </c>
      <c r="AW494" t="s">
        <v>58</v>
      </c>
      <c r="AX494">
        <v>20</v>
      </c>
      <c r="AY494" s="1">
        <v>34881</v>
      </c>
      <c r="AZ494" s="1">
        <v>34881</v>
      </c>
      <c r="BA494" s="1">
        <v>34881</v>
      </c>
      <c r="BB494" s="1">
        <v>42186</v>
      </c>
      <c r="BC494" t="s">
        <v>51</v>
      </c>
      <c r="BE494" t="s">
        <v>54</v>
      </c>
      <c r="BF494">
        <v>2</v>
      </c>
      <c r="BG494">
        <v>0</v>
      </c>
      <c r="BH494" t="s">
        <v>53</v>
      </c>
      <c r="BK494" t="s">
        <v>59</v>
      </c>
      <c r="BL494">
        <v>14000</v>
      </c>
      <c r="BM494" s="1">
        <v>41091</v>
      </c>
      <c r="BN494" s="1">
        <v>41091</v>
      </c>
      <c r="BO494" s="1">
        <v>41091</v>
      </c>
      <c r="BP494" s="1">
        <v>42291</v>
      </c>
      <c r="BQ494" t="s">
        <v>51</v>
      </c>
      <c r="BS494" t="s">
        <v>60</v>
      </c>
      <c r="BT494" t="s">
        <v>54</v>
      </c>
      <c r="BU494" t="s">
        <v>61</v>
      </c>
      <c r="BV494" t="s">
        <v>62</v>
      </c>
      <c r="BX494">
        <v>24</v>
      </c>
      <c r="BY494">
        <v>0</v>
      </c>
      <c r="BZ494">
        <v>0</v>
      </c>
    </row>
    <row r="495" spans="1:78" x14ac:dyDescent="0.2">
      <c r="A495" t="s">
        <v>180</v>
      </c>
      <c r="B495" t="s">
        <v>181</v>
      </c>
      <c r="C495" t="s">
        <v>184</v>
      </c>
      <c r="D495" t="s">
        <v>452</v>
      </c>
      <c r="F495" t="str">
        <f>"250033"</f>
        <v>250033</v>
      </c>
      <c r="G495" t="s">
        <v>49</v>
      </c>
      <c r="H495" t="s">
        <v>313</v>
      </c>
      <c r="K495" t="s">
        <v>51</v>
      </c>
      <c r="L495" t="s">
        <v>52</v>
      </c>
      <c r="M495">
        <v>136815.34</v>
      </c>
      <c r="N495">
        <v>472531.1</v>
      </c>
      <c r="O495" t="s">
        <v>53</v>
      </c>
      <c r="P495" t="s">
        <v>54</v>
      </c>
      <c r="Q495" t="s">
        <v>55</v>
      </c>
      <c r="T495" t="s">
        <v>183</v>
      </c>
      <c r="U495">
        <v>40</v>
      </c>
      <c r="V495" s="1">
        <v>34881</v>
      </c>
      <c r="W495" s="1">
        <v>34881</v>
      </c>
      <c r="X495" s="1">
        <v>34881</v>
      </c>
      <c r="Y495" s="1">
        <v>49491</v>
      </c>
      <c r="Z495" t="s">
        <v>51</v>
      </c>
      <c r="AB495" t="s">
        <v>54</v>
      </c>
      <c r="AC495">
        <v>1</v>
      </c>
      <c r="AE495" t="s">
        <v>84</v>
      </c>
      <c r="AF495">
        <v>20</v>
      </c>
      <c r="AG495" s="1">
        <v>34881</v>
      </c>
      <c r="AH495" s="1">
        <v>34881</v>
      </c>
      <c r="AI495" s="1">
        <v>34881</v>
      </c>
      <c r="AJ495" s="1">
        <v>42186</v>
      </c>
      <c r="AK495" t="s">
        <v>51</v>
      </c>
      <c r="AN495">
        <v>0</v>
      </c>
      <c r="AO495" t="s">
        <v>54</v>
      </c>
      <c r="AP495" t="s">
        <v>53</v>
      </c>
      <c r="AQ495">
        <v>0</v>
      </c>
      <c r="AR495" t="s">
        <v>53</v>
      </c>
      <c r="AS495">
        <v>0</v>
      </c>
      <c r="AT495">
        <v>0</v>
      </c>
      <c r="AW495" t="s">
        <v>58</v>
      </c>
      <c r="AX495">
        <v>20</v>
      </c>
      <c r="AY495" s="1">
        <v>34881</v>
      </c>
      <c r="AZ495" s="1">
        <v>34881</v>
      </c>
      <c r="BA495" s="1">
        <v>34881</v>
      </c>
      <c r="BB495" s="1">
        <v>42186</v>
      </c>
      <c r="BC495" t="s">
        <v>51</v>
      </c>
      <c r="BE495" t="s">
        <v>54</v>
      </c>
      <c r="BF495">
        <v>2</v>
      </c>
      <c r="BG495">
        <v>0</v>
      </c>
      <c r="BH495" t="s">
        <v>53</v>
      </c>
      <c r="BK495" t="s">
        <v>59</v>
      </c>
      <c r="BL495">
        <v>14000</v>
      </c>
      <c r="BM495" s="1">
        <v>41091</v>
      </c>
      <c r="BN495" s="1">
        <v>41091</v>
      </c>
      <c r="BO495" s="1">
        <v>41091</v>
      </c>
      <c r="BP495" s="1">
        <v>42291</v>
      </c>
      <c r="BQ495" t="s">
        <v>51</v>
      </c>
      <c r="BS495" t="s">
        <v>60</v>
      </c>
      <c r="BT495" t="s">
        <v>54</v>
      </c>
      <c r="BU495" t="s">
        <v>61</v>
      </c>
      <c r="BV495" t="s">
        <v>62</v>
      </c>
      <c r="BX495">
        <v>24</v>
      </c>
      <c r="BY495">
        <v>0</v>
      </c>
      <c r="BZ495">
        <v>0</v>
      </c>
    </row>
    <row r="496" spans="1:78" x14ac:dyDescent="0.2">
      <c r="A496" t="s">
        <v>180</v>
      </c>
      <c r="B496" t="s">
        <v>181</v>
      </c>
      <c r="C496" t="s">
        <v>184</v>
      </c>
      <c r="D496" t="s">
        <v>452</v>
      </c>
      <c r="F496" t="str">
        <f>"250034"</f>
        <v>250034</v>
      </c>
      <c r="G496" t="s">
        <v>49</v>
      </c>
      <c r="K496" t="s">
        <v>51</v>
      </c>
      <c r="L496" t="s">
        <v>52</v>
      </c>
      <c r="M496">
        <v>136824.802</v>
      </c>
      <c r="N496">
        <v>472500.64600000001</v>
      </c>
      <c r="O496" t="s">
        <v>53</v>
      </c>
      <c r="P496" t="s">
        <v>54</v>
      </c>
      <c r="Q496" t="s">
        <v>55</v>
      </c>
      <c r="T496" t="s">
        <v>431</v>
      </c>
      <c r="U496">
        <v>40</v>
      </c>
      <c r="V496" s="1">
        <v>37073</v>
      </c>
      <c r="W496" s="1">
        <v>37073</v>
      </c>
      <c r="X496" s="1">
        <v>37073</v>
      </c>
      <c r="Y496" s="1">
        <v>51683</v>
      </c>
      <c r="Z496" t="s">
        <v>51</v>
      </c>
      <c r="AB496" t="s">
        <v>54</v>
      </c>
      <c r="AC496">
        <v>1</v>
      </c>
      <c r="AE496" t="s">
        <v>79</v>
      </c>
      <c r="AF496">
        <v>20</v>
      </c>
      <c r="AG496" s="1">
        <v>37073</v>
      </c>
      <c r="AH496" s="1">
        <v>37073</v>
      </c>
      <c r="AI496" s="1">
        <v>37073</v>
      </c>
      <c r="AJ496" s="1">
        <v>44378</v>
      </c>
      <c r="AK496" t="s">
        <v>51</v>
      </c>
      <c r="AN496">
        <v>0</v>
      </c>
      <c r="AO496" t="s">
        <v>54</v>
      </c>
      <c r="AP496" t="s">
        <v>53</v>
      </c>
      <c r="AQ496">
        <v>0</v>
      </c>
      <c r="AR496" t="s">
        <v>145</v>
      </c>
      <c r="AS496">
        <v>0</v>
      </c>
      <c r="AT496">
        <v>0</v>
      </c>
      <c r="AW496" t="s">
        <v>79</v>
      </c>
      <c r="AX496">
        <v>20</v>
      </c>
      <c r="AY496" s="1">
        <v>37073</v>
      </c>
      <c r="AZ496" s="1">
        <v>37073</v>
      </c>
      <c r="BA496" s="1">
        <v>37073</v>
      </c>
      <c r="BB496" s="1">
        <v>44378</v>
      </c>
      <c r="BC496" t="s">
        <v>51</v>
      </c>
      <c r="BE496" t="s">
        <v>54</v>
      </c>
      <c r="BF496">
        <v>5</v>
      </c>
      <c r="BG496">
        <v>0</v>
      </c>
      <c r="BH496" t="s">
        <v>53</v>
      </c>
      <c r="BK496" t="s">
        <v>59</v>
      </c>
      <c r="BL496">
        <v>14000</v>
      </c>
      <c r="BM496" s="1">
        <v>42917</v>
      </c>
      <c r="BN496" s="1">
        <v>42917</v>
      </c>
      <c r="BO496" s="1">
        <v>42917</v>
      </c>
      <c r="BP496" s="1">
        <v>44117</v>
      </c>
      <c r="BQ496" t="s">
        <v>51</v>
      </c>
      <c r="BS496" t="s">
        <v>60</v>
      </c>
      <c r="BT496" t="s">
        <v>54</v>
      </c>
      <c r="BU496" t="s">
        <v>61</v>
      </c>
      <c r="BV496" t="s">
        <v>62</v>
      </c>
      <c r="BX496">
        <v>24</v>
      </c>
      <c r="BY496">
        <v>0</v>
      </c>
      <c r="BZ496">
        <v>0</v>
      </c>
    </row>
    <row r="497" spans="1:78" x14ac:dyDescent="0.2">
      <c r="A497" t="s">
        <v>180</v>
      </c>
      <c r="B497" t="s">
        <v>181</v>
      </c>
      <c r="C497" t="s">
        <v>184</v>
      </c>
      <c r="D497" t="s">
        <v>452</v>
      </c>
      <c r="F497" t="str">
        <f>"250035"</f>
        <v>250035</v>
      </c>
      <c r="G497" t="s">
        <v>49</v>
      </c>
      <c r="K497" t="s">
        <v>51</v>
      </c>
      <c r="L497" t="s">
        <v>52</v>
      </c>
      <c r="M497">
        <v>136816.84</v>
      </c>
      <c r="N497">
        <v>472471.98</v>
      </c>
      <c r="O497" t="s">
        <v>53</v>
      </c>
      <c r="P497" t="s">
        <v>54</v>
      </c>
      <c r="Q497" t="s">
        <v>55</v>
      </c>
      <c r="T497" t="s">
        <v>183</v>
      </c>
      <c r="U497">
        <v>40</v>
      </c>
      <c r="V497" s="1">
        <v>37073</v>
      </c>
      <c r="W497" s="1">
        <v>37073</v>
      </c>
      <c r="X497" s="1">
        <v>37073</v>
      </c>
      <c r="Y497" s="1">
        <v>51683</v>
      </c>
      <c r="Z497" t="s">
        <v>51</v>
      </c>
      <c r="AB497" t="s">
        <v>54</v>
      </c>
      <c r="AC497">
        <v>1</v>
      </c>
      <c r="AE497" t="s">
        <v>84</v>
      </c>
      <c r="AF497">
        <v>20</v>
      </c>
      <c r="AG497" s="1">
        <v>37073</v>
      </c>
      <c r="AH497" s="1">
        <v>37073</v>
      </c>
      <c r="AI497" s="1">
        <v>37073</v>
      </c>
      <c r="AJ497" s="1">
        <v>44378</v>
      </c>
      <c r="AK497" t="s">
        <v>51</v>
      </c>
      <c r="AN497">
        <v>0</v>
      </c>
      <c r="AO497" t="s">
        <v>54</v>
      </c>
      <c r="AP497" t="s">
        <v>53</v>
      </c>
      <c r="AQ497">
        <v>0</v>
      </c>
      <c r="AR497" t="s">
        <v>53</v>
      </c>
      <c r="AS497">
        <v>0</v>
      </c>
      <c r="AT497">
        <v>0</v>
      </c>
      <c r="AW497" t="s">
        <v>58</v>
      </c>
      <c r="AX497">
        <v>20</v>
      </c>
      <c r="AY497" s="1">
        <v>43997</v>
      </c>
      <c r="AZ497" s="1">
        <v>43997</v>
      </c>
      <c r="BA497" s="1">
        <v>43997</v>
      </c>
      <c r="BB497" s="1">
        <v>51302</v>
      </c>
      <c r="BC497" t="s">
        <v>51</v>
      </c>
      <c r="BE497" t="s">
        <v>54</v>
      </c>
      <c r="BF497">
        <v>2</v>
      </c>
      <c r="BG497">
        <v>0</v>
      </c>
      <c r="BH497" t="s">
        <v>53</v>
      </c>
      <c r="BK497" t="s">
        <v>59</v>
      </c>
      <c r="BL497">
        <v>14000</v>
      </c>
      <c r="BM497" s="1">
        <v>43997</v>
      </c>
      <c r="BN497" s="1">
        <v>43997</v>
      </c>
      <c r="BO497" s="1">
        <v>43997</v>
      </c>
      <c r="BP497" s="1">
        <v>45203</v>
      </c>
      <c r="BQ497" t="s">
        <v>51</v>
      </c>
      <c r="BS497" t="s">
        <v>60</v>
      </c>
      <c r="BT497" t="s">
        <v>54</v>
      </c>
      <c r="BU497" t="s">
        <v>61</v>
      </c>
      <c r="BV497" t="s">
        <v>62</v>
      </c>
      <c r="BX497">
        <v>24</v>
      </c>
      <c r="BY497">
        <v>0</v>
      </c>
      <c r="BZ497">
        <v>0</v>
      </c>
    </row>
    <row r="498" spans="1:78" x14ac:dyDescent="0.2">
      <c r="A498" t="s">
        <v>180</v>
      </c>
      <c r="B498" t="s">
        <v>181</v>
      </c>
      <c r="C498" t="s">
        <v>184</v>
      </c>
      <c r="D498" t="s">
        <v>452</v>
      </c>
      <c r="F498" t="str">
        <f>"250036"</f>
        <v>250036</v>
      </c>
      <c r="G498" t="s">
        <v>49</v>
      </c>
      <c r="H498" t="s">
        <v>163</v>
      </c>
      <c r="K498" t="s">
        <v>51</v>
      </c>
      <c r="L498" t="s">
        <v>52</v>
      </c>
      <c r="M498">
        <v>136818.79999999999</v>
      </c>
      <c r="N498">
        <v>472443.67</v>
      </c>
      <c r="O498" t="s">
        <v>53</v>
      </c>
      <c r="P498" t="s">
        <v>54</v>
      </c>
      <c r="Q498" t="s">
        <v>55</v>
      </c>
      <c r="T498" t="s">
        <v>469</v>
      </c>
      <c r="U498">
        <v>40</v>
      </c>
      <c r="V498" s="1">
        <v>32690</v>
      </c>
      <c r="W498" s="1">
        <v>32690</v>
      </c>
      <c r="X498" s="1">
        <v>32690</v>
      </c>
      <c r="Y498" s="1">
        <v>47300</v>
      </c>
      <c r="Z498" t="s">
        <v>51</v>
      </c>
      <c r="AB498" t="s">
        <v>54</v>
      </c>
      <c r="AC498">
        <v>1</v>
      </c>
      <c r="AE498" t="s">
        <v>84</v>
      </c>
      <c r="AF498">
        <v>20</v>
      </c>
      <c r="AG498" s="1">
        <v>34881</v>
      </c>
      <c r="AH498" s="1">
        <v>34881</v>
      </c>
      <c r="AI498" s="1">
        <v>34881</v>
      </c>
      <c r="AJ498" s="1">
        <v>42186</v>
      </c>
      <c r="AK498" t="s">
        <v>51</v>
      </c>
      <c r="AN498">
        <v>0</v>
      </c>
      <c r="AO498" t="s">
        <v>54</v>
      </c>
      <c r="AP498" t="s">
        <v>53</v>
      </c>
      <c r="AQ498">
        <v>0</v>
      </c>
      <c r="AR498" t="s">
        <v>53</v>
      </c>
      <c r="AS498">
        <v>0</v>
      </c>
      <c r="AT498">
        <v>0</v>
      </c>
      <c r="AW498" t="s">
        <v>58</v>
      </c>
      <c r="AX498">
        <v>20</v>
      </c>
      <c r="AY498" s="1">
        <v>34881</v>
      </c>
      <c r="AZ498" s="1">
        <v>34881</v>
      </c>
      <c r="BA498" s="1">
        <v>34881</v>
      </c>
      <c r="BB498" s="1">
        <v>42186</v>
      </c>
      <c r="BC498" t="s">
        <v>51</v>
      </c>
      <c r="BE498" t="s">
        <v>54</v>
      </c>
      <c r="BF498">
        <v>2</v>
      </c>
      <c r="BG498">
        <v>0</v>
      </c>
      <c r="BH498" t="s">
        <v>53</v>
      </c>
      <c r="BK498" t="s">
        <v>59</v>
      </c>
      <c r="BL498">
        <v>14000</v>
      </c>
      <c r="BM498" s="1">
        <v>41091</v>
      </c>
      <c r="BN498" s="1">
        <v>41091</v>
      </c>
      <c r="BO498" s="1">
        <v>41091</v>
      </c>
      <c r="BP498" s="1">
        <v>42291</v>
      </c>
      <c r="BQ498" t="s">
        <v>51</v>
      </c>
      <c r="BS498" t="s">
        <v>60</v>
      </c>
      <c r="BT498" t="s">
        <v>54</v>
      </c>
      <c r="BU498" t="s">
        <v>61</v>
      </c>
      <c r="BV498" t="s">
        <v>62</v>
      </c>
      <c r="BX498">
        <v>24</v>
      </c>
      <c r="BY498">
        <v>0</v>
      </c>
      <c r="BZ498">
        <v>0</v>
      </c>
    </row>
    <row r="499" spans="1:78" x14ac:dyDescent="0.2">
      <c r="A499" t="s">
        <v>180</v>
      </c>
      <c r="B499" t="s">
        <v>181</v>
      </c>
      <c r="C499" t="s">
        <v>184</v>
      </c>
      <c r="D499" t="s">
        <v>452</v>
      </c>
      <c r="F499" t="str">
        <f>"250037"</f>
        <v>250037</v>
      </c>
      <c r="G499" t="s">
        <v>49</v>
      </c>
      <c r="K499" t="s">
        <v>51</v>
      </c>
      <c r="L499" t="s">
        <v>52</v>
      </c>
      <c r="M499">
        <v>136827.43</v>
      </c>
      <c r="N499">
        <v>472409.54</v>
      </c>
      <c r="O499" t="s">
        <v>53</v>
      </c>
      <c r="P499" t="s">
        <v>54</v>
      </c>
      <c r="Q499" t="s">
        <v>55</v>
      </c>
      <c r="T499" t="s">
        <v>183</v>
      </c>
      <c r="U499">
        <v>40</v>
      </c>
      <c r="V499" s="1">
        <v>31959</v>
      </c>
      <c r="W499" s="1">
        <v>31959</v>
      </c>
      <c r="X499" s="1">
        <v>31959</v>
      </c>
      <c r="Y499" s="1">
        <v>46569</v>
      </c>
      <c r="Z499" t="s">
        <v>51</v>
      </c>
      <c r="AB499" t="s">
        <v>54</v>
      </c>
      <c r="AC499">
        <v>1</v>
      </c>
      <c r="AE499" t="s">
        <v>84</v>
      </c>
      <c r="AF499">
        <v>20</v>
      </c>
      <c r="AG499" s="1">
        <v>34881</v>
      </c>
      <c r="AH499" s="1">
        <v>34881</v>
      </c>
      <c r="AI499" s="1">
        <v>34881</v>
      </c>
      <c r="AJ499" s="1">
        <v>42186</v>
      </c>
      <c r="AK499" t="s">
        <v>51</v>
      </c>
      <c r="AN499">
        <v>0</v>
      </c>
      <c r="AO499" t="s">
        <v>54</v>
      </c>
      <c r="AP499" t="s">
        <v>53</v>
      </c>
      <c r="AQ499">
        <v>0</v>
      </c>
      <c r="AR499" t="s">
        <v>53</v>
      </c>
      <c r="AS499">
        <v>0</v>
      </c>
      <c r="AT499">
        <v>0</v>
      </c>
      <c r="AW499" t="s">
        <v>58</v>
      </c>
      <c r="AX499">
        <v>20</v>
      </c>
      <c r="AY499" s="1">
        <v>34881</v>
      </c>
      <c r="AZ499" s="1">
        <v>34881</v>
      </c>
      <c r="BA499" s="1">
        <v>34881</v>
      </c>
      <c r="BB499" s="1">
        <v>42186</v>
      </c>
      <c r="BC499" t="s">
        <v>51</v>
      </c>
      <c r="BE499" t="s">
        <v>54</v>
      </c>
      <c r="BF499">
        <v>2</v>
      </c>
      <c r="BG499">
        <v>0</v>
      </c>
      <c r="BH499" t="s">
        <v>53</v>
      </c>
      <c r="BK499" t="s">
        <v>59</v>
      </c>
      <c r="BL499">
        <v>14000</v>
      </c>
      <c r="BM499" s="1">
        <v>43676</v>
      </c>
      <c r="BN499" s="1">
        <v>43676</v>
      </c>
      <c r="BO499" s="1">
        <v>43676</v>
      </c>
      <c r="BP499" s="1">
        <v>44861</v>
      </c>
      <c r="BQ499" t="s">
        <v>51</v>
      </c>
      <c r="BS499" t="s">
        <v>60</v>
      </c>
      <c r="BT499" t="s">
        <v>54</v>
      </c>
      <c r="BU499" t="s">
        <v>61</v>
      </c>
      <c r="BV499" t="s">
        <v>62</v>
      </c>
      <c r="BX499">
        <v>24</v>
      </c>
      <c r="BY499">
        <v>0</v>
      </c>
      <c r="BZ499">
        <v>0</v>
      </c>
    </row>
    <row r="500" spans="1:78" x14ac:dyDescent="0.2">
      <c r="A500" t="s">
        <v>180</v>
      </c>
      <c r="B500" t="s">
        <v>181</v>
      </c>
      <c r="C500" t="s">
        <v>184</v>
      </c>
      <c r="D500" t="s">
        <v>452</v>
      </c>
      <c r="F500" t="str">
        <f>"250038"</f>
        <v>250038</v>
      </c>
      <c r="G500" t="s">
        <v>49</v>
      </c>
      <c r="K500" t="s">
        <v>51</v>
      </c>
      <c r="L500" t="s">
        <v>52</v>
      </c>
      <c r="M500">
        <v>136819.79999999999</v>
      </c>
      <c r="N500">
        <v>472374.25</v>
      </c>
      <c r="O500" t="s">
        <v>53</v>
      </c>
      <c r="P500" t="s">
        <v>54</v>
      </c>
      <c r="Q500" t="s">
        <v>55</v>
      </c>
      <c r="T500" t="s">
        <v>183</v>
      </c>
      <c r="U500">
        <v>40</v>
      </c>
      <c r="V500" s="1">
        <v>37073</v>
      </c>
      <c r="W500" s="1">
        <v>37073</v>
      </c>
      <c r="X500" s="1">
        <v>37073</v>
      </c>
      <c r="Y500" s="1">
        <v>51683</v>
      </c>
      <c r="Z500" t="s">
        <v>51</v>
      </c>
      <c r="AB500" t="s">
        <v>54</v>
      </c>
      <c r="AC500">
        <v>1</v>
      </c>
      <c r="AE500" t="s">
        <v>84</v>
      </c>
      <c r="AF500">
        <v>20</v>
      </c>
      <c r="AG500" s="1">
        <v>37073</v>
      </c>
      <c r="AH500" s="1">
        <v>37073</v>
      </c>
      <c r="AI500" s="1">
        <v>37073</v>
      </c>
      <c r="AJ500" s="1">
        <v>44378</v>
      </c>
      <c r="AK500" t="s">
        <v>51</v>
      </c>
      <c r="AN500">
        <v>0</v>
      </c>
      <c r="AO500" t="s">
        <v>54</v>
      </c>
      <c r="AP500" t="s">
        <v>53</v>
      </c>
      <c r="AQ500">
        <v>0</v>
      </c>
      <c r="AR500" t="s">
        <v>53</v>
      </c>
      <c r="AS500">
        <v>0</v>
      </c>
      <c r="AT500">
        <v>0</v>
      </c>
      <c r="AW500" t="s">
        <v>58</v>
      </c>
      <c r="AX500">
        <v>20</v>
      </c>
      <c r="AY500" s="1">
        <v>43864</v>
      </c>
      <c r="AZ500" s="1">
        <v>43864</v>
      </c>
      <c r="BA500" s="1">
        <v>43864</v>
      </c>
      <c r="BB500" s="1">
        <v>51169</v>
      </c>
      <c r="BC500" t="s">
        <v>51</v>
      </c>
      <c r="BE500" t="s">
        <v>54</v>
      </c>
      <c r="BF500">
        <v>2</v>
      </c>
      <c r="BG500">
        <v>0</v>
      </c>
      <c r="BH500" t="s">
        <v>53</v>
      </c>
      <c r="BK500" t="s">
        <v>59</v>
      </c>
      <c r="BL500">
        <v>14000</v>
      </c>
      <c r="BM500" s="1">
        <v>43676</v>
      </c>
      <c r="BN500" s="1">
        <v>43676</v>
      </c>
      <c r="BO500" s="1">
        <v>43864</v>
      </c>
      <c r="BP500" s="1">
        <v>44861</v>
      </c>
      <c r="BQ500" t="s">
        <v>51</v>
      </c>
      <c r="BS500" t="s">
        <v>60</v>
      </c>
      <c r="BT500" t="s">
        <v>54</v>
      </c>
      <c r="BU500" t="s">
        <v>61</v>
      </c>
      <c r="BV500" t="s">
        <v>62</v>
      </c>
      <c r="BX500">
        <v>24</v>
      </c>
      <c r="BY500">
        <v>0</v>
      </c>
      <c r="BZ500">
        <v>0</v>
      </c>
    </row>
    <row r="501" spans="1:78" x14ac:dyDescent="0.2">
      <c r="A501" t="s">
        <v>180</v>
      </c>
      <c r="B501" t="s">
        <v>181</v>
      </c>
      <c r="C501" t="s">
        <v>184</v>
      </c>
      <c r="D501" t="s">
        <v>452</v>
      </c>
      <c r="F501" t="str">
        <f>"250039"</f>
        <v>250039</v>
      </c>
      <c r="G501" t="s">
        <v>49</v>
      </c>
      <c r="H501">
        <v>7</v>
      </c>
      <c r="K501" t="s">
        <v>51</v>
      </c>
      <c r="L501" t="s">
        <v>52</v>
      </c>
      <c r="M501">
        <v>136821.18</v>
      </c>
      <c r="N501">
        <v>472351.05</v>
      </c>
      <c r="O501" t="s">
        <v>53</v>
      </c>
      <c r="P501" t="s">
        <v>54</v>
      </c>
      <c r="Q501" t="s">
        <v>55</v>
      </c>
      <c r="T501" t="s">
        <v>183</v>
      </c>
      <c r="U501">
        <v>40</v>
      </c>
      <c r="V501" s="1">
        <v>22098</v>
      </c>
      <c r="W501" s="1">
        <v>22098</v>
      </c>
      <c r="X501" s="1">
        <v>22098</v>
      </c>
      <c r="Y501" s="1">
        <v>36708</v>
      </c>
      <c r="Z501" t="s">
        <v>51</v>
      </c>
      <c r="AB501" t="s">
        <v>54</v>
      </c>
      <c r="AC501">
        <v>1</v>
      </c>
      <c r="AE501" t="s">
        <v>84</v>
      </c>
      <c r="AF501">
        <v>20</v>
      </c>
      <c r="AG501" s="1">
        <v>34881</v>
      </c>
      <c r="AH501" s="1">
        <v>34881</v>
      </c>
      <c r="AI501" s="1">
        <v>34881</v>
      </c>
      <c r="AJ501" s="1">
        <v>42186</v>
      </c>
      <c r="AK501" t="s">
        <v>51</v>
      </c>
      <c r="AN501">
        <v>0</v>
      </c>
      <c r="AO501" t="s">
        <v>54</v>
      </c>
      <c r="AP501" t="s">
        <v>53</v>
      </c>
      <c r="AQ501">
        <v>0</v>
      </c>
      <c r="AR501" t="s">
        <v>53</v>
      </c>
      <c r="AS501">
        <v>0</v>
      </c>
      <c r="AT501">
        <v>0</v>
      </c>
      <c r="AW501" t="s">
        <v>58</v>
      </c>
      <c r="AX501">
        <v>20</v>
      </c>
      <c r="AY501" s="1">
        <v>34881</v>
      </c>
      <c r="AZ501" s="1">
        <v>34881</v>
      </c>
      <c r="BA501" s="1">
        <v>34881</v>
      </c>
      <c r="BB501" s="1">
        <v>42186</v>
      </c>
      <c r="BC501" t="s">
        <v>51</v>
      </c>
      <c r="BE501" t="s">
        <v>54</v>
      </c>
      <c r="BF501">
        <v>2</v>
      </c>
      <c r="BG501">
        <v>0</v>
      </c>
      <c r="BH501" t="s">
        <v>53</v>
      </c>
      <c r="BK501" t="s">
        <v>59</v>
      </c>
      <c r="BL501">
        <v>14000</v>
      </c>
      <c r="BM501" s="1">
        <v>41091</v>
      </c>
      <c r="BN501" s="1">
        <v>41091</v>
      </c>
      <c r="BO501" s="1">
        <v>41091</v>
      </c>
      <c r="BP501" s="1">
        <v>42291</v>
      </c>
      <c r="BQ501" t="s">
        <v>51</v>
      </c>
      <c r="BS501" t="s">
        <v>60</v>
      </c>
      <c r="BT501" t="s">
        <v>54</v>
      </c>
      <c r="BU501" t="s">
        <v>61</v>
      </c>
      <c r="BV501" t="s">
        <v>62</v>
      </c>
      <c r="BX501">
        <v>24</v>
      </c>
      <c r="BY501">
        <v>0</v>
      </c>
      <c r="BZ501">
        <v>0</v>
      </c>
    </row>
    <row r="502" spans="1:78" x14ac:dyDescent="0.2">
      <c r="A502" t="s">
        <v>180</v>
      </c>
      <c r="B502" t="s">
        <v>181</v>
      </c>
      <c r="C502" t="s">
        <v>184</v>
      </c>
      <c r="D502" t="s">
        <v>452</v>
      </c>
      <c r="F502" t="str">
        <f>"250040"</f>
        <v>250040</v>
      </c>
      <c r="G502" t="s">
        <v>49</v>
      </c>
      <c r="K502" t="s">
        <v>51</v>
      </c>
      <c r="L502" t="s">
        <v>52</v>
      </c>
      <c r="M502">
        <v>136830.9</v>
      </c>
      <c r="N502">
        <v>472325.22</v>
      </c>
      <c r="O502" t="s">
        <v>53</v>
      </c>
      <c r="P502" t="s">
        <v>54</v>
      </c>
      <c r="Q502" t="s">
        <v>55</v>
      </c>
      <c r="T502" t="s">
        <v>183</v>
      </c>
      <c r="U502">
        <v>40</v>
      </c>
      <c r="V502" s="1">
        <v>37073</v>
      </c>
      <c r="W502" s="1">
        <v>37073</v>
      </c>
      <c r="X502" s="1">
        <v>37073</v>
      </c>
      <c r="Y502" s="1">
        <v>51683</v>
      </c>
      <c r="Z502" t="s">
        <v>51</v>
      </c>
      <c r="AB502" t="s">
        <v>54</v>
      </c>
      <c r="AC502">
        <v>1</v>
      </c>
      <c r="AE502" t="s">
        <v>84</v>
      </c>
      <c r="AF502">
        <v>20</v>
      </c>
      <c r="AG502" s="1">
        <v>37073</v>
      </c>
      <c r="AH502" s="1">
        <v>37073</v>
      </c>
      <c r="AI502" s="1">
        <v>37073</v>
      </c>
      <c r="AJ502" s="1">
        <v>44378</v>
      </c>
      <c r="AK502" t="s">
        <v>51</v>
      </c>
      <c r="AN502">
        <v>0</v>
      </c>
      <c r="AO502" t="s">
        <v>54</v>
      </c>
      <c r="AP502" t="s">
        <v>53</v>
      </c>
      <c r="AQ502">
        <v>0</v>
      </c>
      <c r="AR502" t="s">
        <v>53</v>
      </c>
      <c r="AS502">
        <v>0</v>
      </c>
      <c r="AT502">
        <v>0</v>
      </c>
      <c r="AW502" t="s">
        <v>58</v>
      </c>
      <c r="AX502">
        <v>20</v>
      </c>
      <c r="AY502" s="1">
        <v>37073</v>
      </c>
      <c r="AZ502" s="1">
        <v>37073</v>
      </c>
      <c r="BA502" s="1">
        <v>37073</v>
      </c>
      <c r="BB502" s="1">
        <v>44378</v>
      </c>
      <c r="BC502" t="s">
        <v>51</v>
      </c>
      <c r="BE502" t="s">
        <v>54</v>
      </c>
      <c r="BF502">
        <v>2</v>
      </c>
      <c r="BG502">
        <v>0</v>
      </c>
      <c r="BH502" t="s">
        <v>53</v>
      </c>
      <c r="BK502" t="s">
        <v>59</v>
      </c>
      <c r="BL502">
        <v>14000</v>
      </c>
      <c r="BM502" s="1">
        <v>41091</v>
      </c>
      <c r="BN502" s="1">
        <v>41091</v>
      </c>
      <c r="BO502" s="1">
        <v>41091</v>
      </c>
      <c r="BP502" s="1">
        <v>42291</v>
      </c>
      <c r="BQ502" t="s">
        <v>51</v>
      </c>
      <c r="BS502" t="s">
        <v>60</v>
      </c>
      <c r="BT502" t="s">
        <v>54</v>
      </c>
      <c r="BU502" t="s">
        <v>61</v>
      </c>
      <c r="BV502" t="s">
        <v>62</v>
      </c>
      <c r="BX502">
        <v>24</v>
      </c>
      <c r="BY502">
        <v>0</v>
      </c>
      <c r="BZ502">
        <v>0</v>
      </c>
    </row>
    <row r="503" spans="1:78" x14ac:dyDescent="0.2">
      <c r="A503" t="s">
        <v>180</v>
      </c>
      <c r="B503" t="s">
        <v>181</v>
      </c>
      <c r="C503" t="s">
        <v>184</v>
      </c>
      <c r="D503" t="s">
        <v>452</v>
      </c>
      <c r="F503" t="str">
        <f>"250041"</f>
        <v>250041</v>
      </c>
      <c r="G503" t="s">
        <v>49</v>
      </c>
      <c r="H503">
        <v>1</v>
      </c>
      <c r="K503" t="s">
        <v>51</v>
      </c>
      <c r="L503" t="s">
        <v>52</v>
      </c>
      <c r="M503">
        <v>136819.37</v>
      </c>
      <c r="N503">
        <v>472296.42</v>
      </c>
      <c r="O503" t="s">
        <v>53</v>
      </c>
      <c r="P503" t="s">
        <v>54</v>
      </c>
      <c r="Q503" t="s">
        <v>55</v>
      </c>
      <c r="T503" t="s">
        <v>183</v>
      </c>
      <c r="U503">
        <v>40</v>
      </c>
      <c r="V503" s="1">
        <v>29768</v>
      </c>
      <c r="W503" s="1">
        <v>29768</v>
      </c>
      <c r="X503" s="1">
        <v>29768</v>
      </c>
      <c r="Y503" s="1">
        <v>44378</v>
      </c>
      <c r="Z503" t="s">
        <v>51</v>
      </c>
      <c r="AB503" t="s">
        <v>54</v>
      </c>
      <c r="AC503">
        <v>1</v>
      </c>
      <c r="AE503" t="s">
        <v>116</v>
      </c>
      <c r="AF503">
        <v>20</v>
      </c>
      <c r="AG503" s="1">
        <v>34881</v>
      </c>
      <c r="AH503" s="1">
        <v>34881</v>
      </c>
      <c r="AI503" s="1">
        <v>34881</v>
      </c>
      <c r="AJ503" s="1">
        <v>42186</v>
      </c>
      <c r="AK503" t="s">
        <v>51</v>
      </c>
      <c r="AN503">
        <v>0</v>
      </c>
      <c r="AO503" t="s">
        <v>54</v>
      </c>
      <c r="AP503" t="s">
        <v>53</v>
      </c>
      <c r="AQ503">
        <v>0</v>
      </c>
      <c r="AR503" t="s">
        <v>53</v>
      </c>
      <c r="AS503">
        <v>0</v>
      </c>
      <c r="AT503">
        <v>0</v>
      </c>
      <c r="AW503" t="s">
        <v>58</v>
      </c>
      <c r="AX503">
        <v>20</v>
      </c>
      <c r="AY503" s="1">
        <v>34881</v>
      </c>
      <c r="AZ503" s="1">
        <v>34881</v>
      </c>
      <c r="BA503" s="1">
        <v>34881</v>
      </c>
      <c r="BB503" s="1">
        <v>42186</v>
      </c>
      <c r="BC503" t="s">
        <v>51</v>
      </c>
      <c r="BE503" t="s">
        <v>54</v>
      </c>
      <c r="BF503">
        <v>2</v>
      </c>
      <c r="BG503">
        <v>0</v>
      </c>
      <c r="BH503" t="s">
        <v>53</v>
      </c>
      <c r="BK503" t="s">
        <v>65</v>
      </c>
      <c r="BL503">
        <v>14000</v>
      </c>
      <c r="BM503" s="1">
        <v>41091</v>
      </c>
      <c r="BN503" s="1">
        <v>41091</v>
      </c>
      <c r="BO503" s="1">
        <v>41091</v>
      </c>
      <c r="BP503" s="1">
        <v>42291</v>
      </c>
      <c r="BQ503" t="s">
        <v>51</v>
      </c>
      <c r="BS503" t="s">
        <v>60</v>
      </c>
      <c r="BT503" t="s">
        <v>54</v>
      </c>
      <c r="BU503" t="s">
        <v>61</v>
      </c>
      <c r="BV503" t="s">
        <v>62</v>
      </c>
      <c r="BX503">
        <v>36</v>
      </c>
      <c r="BY503">
        <v>0</v>
      </c>
      <c r="BZ503">
        <v>0</v>
      </c>
    </row>
    <row r="504" spans="1:78" x14ac:dyDescent="0.2">
      <c r="A504" t="s">
        <v>180</v>
      </c>
      <c r="B504" t="s">
        <v>181</v>
      </c>
      <c r="C504" t="s">
        <v>184</v>
      </c>
      <c r="D504" t="s">
        <v>470</v>
      </c>
      <c r="F504" t="str">
        <f>"250042"</f>
        <v>250042</v>
      </c>
      <c r="G504" t="s">
        <v>49</v>
      </c>
      <c r="K504" t="s">
        <v>51</v>
      </c>
      <c r="L504" t="s">
        <v>52</v>
      </c>
      <c r="M504">
        <v>136822.53</v>
      </c>
      <c r="N504">
        <v>472262.81</v>
      </c>
      <c r="O504" t="s">
        <v>53</v>
      </c>
      <c r="P504" t="s">
        <v>54</v>
      </c>
      <c r="Q504" t="s">
        <v>55</v>
      </c>
      <c r="T504" t="s">
        <v>466</v>
      </c>
      <c r="U504">
        <v>40</v>
      </c>
      <c r="V504" s="1">
        <v>20637</v>
      </c>
      <c r="W504" s="1">
        <v>20637</v>
      </c>
      <c r="X504" s="1">
        <v>20637</v>
      </c>
      <c r="Y504" s="1">
        <v>35247</v>
      </c>
      <c r="Z504" t="s">
        <v>51</v>
      </c>
      <c r="AB504" t="s">
        <v>54</v>
      </c>
      <c r="AC504">
        <v>1</v>
      </c>
      <c r="AE504" t="s">
        <v>84</v>
      </c>
      <c r="AF504">
        <v>20</v>
      </c>
      <c r="AG504" s="1">
        <v>34881</v>
      </c>
      <c r="AH504" s="1">
        <v>34881</v>
      </c>
      <c r="AI504" s="1">
        <v>34881</v>
      </c>
      <c r="AJ504" s="1">
        <v>42186</v>
      </c>
      <c r="AK504" t="s">
        <v>51</v>
      </c>
      <c r="AN504">
        <v>0</v>
      </c>
      <c r="AO504" t="s">
        <v>54</v>
      </c>
      <c r="AP504" t="s">
        <v>53</v>
      </c>
      <c r="AQ504">
        <v>0</v>
      </c>
      <c r="AR504" t="s">
        <v>53</v>
      </c>
      <c r="AS504">
        <v>0</v>
      </c>
      <c r="AT504">
        <v>0</v>
      </c>
      <c r="AW504" t="s">
        <v>58</v>
      </c>
      <c r="AX504">
        <v>20</v>
      </c>
      <c r="AY504" s="1">
        <v>34881</v>
      </c>
      <c r="AZ504" s="1">
        <v>34881</v>
      </c>
      <c r="BA504" s="1">
        <v>34881</v>
      </c>
      <c r="BB504" s="1">
        <v>42186</v>
      </c>
      <c r="BC504" t="s">
        <v>51</v>
      </c>
      <c r="BE504" t="s">
        <v>54</v>
      </c>
      <c r="BF504">
        <v>2</v>
      </c>
      <c r="BG504">
        <v>0</v>
      </c>
      <c r="BH504" t="s">
        <v>53</v>
      </c>
      <c r="BK504" t="s">
        <v>59</v>
      </c>
      <c r="BL504">
        <v>14000</v>
      </c>
      <c r="BM504" s="1">
        <v>42917</v>
      </c>
      <c r="BN504" s="1">
        <v>42917</v>
      </c>
      <c r="BO504" s="1">
        <v>42917</v>
      </c>
      <c r="BP504" s="1">
        <v>44117</v>
      </c>
      <c r="BQ504" t="s">
        <v>51</v>
      </c>
      <c r="BS504" t="s">
        <v>60</v>
      </c>
      <c r="BT504" t="s">
        <v>54</v>
      </c>
      <c r="BU504" t="s">
        <v>61</v>
      </c>
      <c r="BV504" t="s">
        <v>62</v>
      </c>
      <c r="BX504">
        <v>24</v>
      </c>
      <c r="BY504">
        <v>0</v>
      </c>
      <c r="BZ504">
        <v>0</v>
      </c>
    </row>
    <row r="505" spans="1:78" x14ac:dyDescent="0.2">
      <c r="A505" t="s">
        <v>180</v>
      </c>
      <c r="B505" t="s">
        <v>181</v>
      </c>
      <c r="C505" t="s">
        <v>184</v>
      </c>
      <c r="D505" t="s">
        <v>470</v>
      </c>
      <c r="F505" t="str">
        <f>"250043"</f>
        <v>250043</v>
      </c>
      <c r="G505" t="s">
        <v>49</v>
      </c>
      <c r="H505" t="s">
        <v>471</v>
      </c>
      <c r="K505" t="s">
        <v>51</v>
      </c>
      <c r="L505" t="s">
        <v>52</v>
      </c>
      <c r="M505">
        <v>136824.22</v>
      </c>
      <c r="N505">
        <v>472237.12</v>
      </c>
      <c r="O505" t="s">
        <v>53</v>
      </c>
      <c r="P505" t="s">
        <v>54</v>
      </c>
      <c r="Q505" t="s">
        <v>55</v>
      </c>
      <c r="T505" t="s">
        <v>183</v>
      </c>
      <c r="U505">
        <v>40</v>
      </c>
      <c r="V505" s="1">
        <v>20637</v>
      </c>
      <c r="W505" s="1">
        <v>20637</v>
      </c>
      <c r="X505" s="1">
        <v>20637</v>
      </c>
      <c r="Y505" s="1">
        <v>35247</v>
      </c>
      <c r="Z505" t="s">
        <v>51</v>
      </c>
      <c r="AB505" t="s">
        <v>54</v>
      </c>
      <c r="AC505">
        <v>1</v>
      </c>
      <c r="AE505" t="s">
        <v>84</v>
      </c>
      <c r="AF505">
        <v>20</v>
      </c>
      <c r="AG505" s="1">
        <v>34516</v>
      </c>
      <c r="AH505" s="1">
        <v>34516</v>
      </c>
      <c r="AI505" s="1">
        <v>34516</v>
      </c>
      <c r="AJ505" s="1">
        <v>41821</v>
      </c>
      <c r="AK505" t="s">
        <v>51</v>
      </c>
      <c r="AN505">
        <v>0</v>
      </c>
      <c r="AO505" t="s">
        <v>54</v>
      </c>
      <c r="AP505" t="s">
        <v>53</v>
      </c>
      <c r="AQ505">
        <v>0</v>
      </c>
      <c r="AR505" t="s">
        <v>53</v>
      </c>
      <c r="AS505">
        <v>0</v>
      </c>
      <c r="AT505">
        <v>0</v>
      </c>
      <c r="AW505" t="s">
        <v>58</v>
      </c>
      <c r="AX505">
        <v>20</v>
      </c>
      <c r="AY505" s="1">
        <v>34516</v>
      </c>
      <c r="AZ505" s="1">
        <v>34516</v>
      </c>
      <c r="BA505" s="1">
        <v>34516</v>
      </c>
      <c r="BB505" s="1">
        <v>41821</v>
      </c>
      <c r="BC505" t="s">
        <v>51</v>
      </c>
      <c r="BE505" t="s">
        <v>54</v>
      </c>
      <c r="BF505">
        <v>2</v>
      </c>
      <c r="BG505">
        <v>0</v>
      </c>
      <c r="BH505" t="s">
        <v>53</v>
      </c>
      <c r="BK505" t="s">
        <v>59</v>
      </c>
      <c r="BL505">
        <v>14000</v>
      </c>
      <c r="BM505" s="1">
        <v>42917</v>
      </c>
      <c r="BN505" s="1">
        <v>42917</v>
      </c>
      <c r="BO505" s="1">
        <v>42917</v>
      </c>
      <c r="BP505" s="1">
        <v>44117</v>
      </c>
      <c r="BQ505" t="s">
        <v>51</v>
      </c>
      <c r="BS505" t="s">
        <v>60</v>
      </c>
      <c r="BT505" t="s">
        <v>54</v>
      </c>
      <c r="BU505" t="s">
        <v>61</v>
      </c>
      <c r="BV505" t="s">
        <v>62</v>
      </c>
      <c r="BX505">
        <v>24</v>
      </c>
      <c r="BY505">
        <v>0</v>
      </c>
      <c r="BZ505">
        <v>0</v>
      </c>
    </row>
    <row r="506" spans="1:78" x14ac:dyDescent="0.2">
      <c r="A506" t="s">
        <v>180</v>
      </c>
      <c r="B506" t="s">
        <v>181</v>
      </c>
      <c r="C506" t="s">
        <v>184</v>
      </c>
      <c r="D506" t="s">
        <v>470</v>
      </c>
      <c r="F506" t="str">
        <f>"250044"</f>
        <v>250044</v>
      </c>
      <c r="G506" t="s">
        <v>49</v>
      </c>
      <c r="K506" t="s">
        <v>51</v>
      </c>
      <c r="L506" t="s">
        <v>52</v>
      </c>
      <c r="M506">
        <v>136824.91</v>
      </c>
      <c r="N506">
        <v>472213.41</v>
      </c>
      <c r="O506" t="s">
        <v>53</v>
      </c>
      <c r="P506" t="s">
        <v>54</v>
      </c>
      <c r="Q506" t="s">
        <v>55</v>
      </c>
      <c r="T506" t="s">
        <v>183</v>
      </c>
      <c r="U506">
        <v>40</v>
      </c>
      <c r="V506" s="1">
        <v>37073</v>
      </c>
      <c r="W506" s="1">
        <v>37073</v>
      </c>
      <c r="X506" s="1">
        <v>37073</v>
      </c>
      <c r="Y506" s="1">
        <v>51683</v>
      </c>
      <c r="Z506" t="s">
        <v>51</v>
      </c>
      <c r="AB506" t="s">
        <v>54</v>
      </c>
      <c r="AC506">
        <v>1</v>
      </c>
      <c r="AE506" t="s">
        <v>84</v>
      </c>
      <c r="AF506">
        <v>20</v>
      </c>
      <c r="AG506" s="1">
        <v>37073</v>
      </c>
      <c r="AH506" s="1">
        <v>37073</v>
      </c>
      <c r="AI506" s="1">
        <v>37073</v>
      </c>
      <c r="AJ506" s="1">
        <v>44378</v>
      </c>
      <c r="AK506" t="s">
        <v>51</v>
      </c>
      <c r="AN506">
        <v>0</v>
      </c>
      <c r="AO506" t="s">
        <v>54</v>
      </c>
      <c r="AP506" t="s">
        <v>53</v>
      </c>
      <c r="AQ506">
        <v>0</v>
      </c>
      <c r="AR506" t="s">
        <v>53</v>
      </c>
      <c r="AS506">
        <v>0</v>
      </c>
      <c r="AT506">
        <v>0</v>
      </c>
      <c r="AW506" t="s">
        <v>58</v>
      </c>
      <c r="AX506">
        <v>20</v>
      </c>
      <c r="AY506" s="1">
        <v>37073</v>
      </c>
      <c r="AZ506" s="1">
        <v>37073</v>
      </c>
      <c r="BA506" s="1">
        <v>37073</v>
      </c>
      <c r="BB506" s="1">
        <v>44378</v>
      </c>
      <c r="BC506" t="s">
        <v>51</v>
      </c>
      <c r="BE506" t="s">
        <v>54</v>
      </c>
      <c r="BF506">
        <v>2</v>
      </c>
      <c r="BG506">
        <v>0</v>
      </c>
      <c r="BH506" t="s">
        <v>53</v>
      </c>
      <c r="BK506" t="s">
        <v>59</v>
      </c>
      <c r="BL506">
        <v>14000</v>
      </c>
      <c r="BM506" s="1">
        <v>42917</v>
      </c>
      <c r="BN506" s="1">
        <v>42917</v>
      </c>
      <c r="BO506" s="1">
        <v>42917</v>
      </c>
      <c r="BP506" s="1">
        <v>44117</v>
      </c>
      <c r="BQ506" t="s">
        <v>51</v>
      </c>
      <c r="BS506" t="s">
        <v>60</v>
      </c>
      <c r="BT506" t="s">
        <v>54</v>
      </c>
      <c r="BU506" t="s">
        <v>61</v>
      </c>
      <c r="BV506" t="s">
        <v>62</v>
      </c>
      <c r="BX506">
        <v>24</v>
      </c>
      <c r="BY506">
        <v>0</v>
      </c>
      <c r="BZ506">
        <v>0</v>
      </c>
    </row>
    <row r="507" spans="1:78" x14ac:dyDescent="0.2">
      <c r="A507" t="s">
        <v>180</v>
      </c>
      <c r="B507" t="s">
        <v>181</v>
      </c>
      <c r="C507" t="s">
        <v>184</v>
      </c>
      <c r="D507" t="s">
        <v>470</v>
      </c>
      <c r="F507" t="str">
        <f>"250045"</f>
        <v>250045</v>
      </c>
      <c r="G507" t="s">
        <v>49</v>
      </c>
      <c r="H507" t="s">
        <v>175</v>
      </c>
      <c r="K507" t="s">
        <v>51</v>
      </c>
      <c r="L507" t="s">
        <v>52</v>
      </c>
      <c r="M507">
        <v>136825.74</v>
      </c>
      <c r="N507">
        <v>472185.92</v>
      </c>
      <c r="O507" t="s">
        <v>53</v>
      </c>
      <c r="P507" t="s">
        <v>54</v>
      </c>
      <c r="Q507" t="s">
        <v>55</v>
      </c>
      <c r="T507" t="s">
        <v>183</v>
      </c>
      <c r="U507">
        <v>40</v>
      </c>
      <c r="V507" s="1">
        <v>20637</v>
      </c>
      <c r="W507" s="1">
        <v>20637</v>
      </c>
      <c r="X507" s="1">
        <v>20637</v>
      </c>
      <c r="Y507" s="1">
        <v>35247</v>
      </c>
      <c r="Z507" t="s">
        <v>51</v>
      </c>
      <c r="AB507" t="s">
        <v>54</v>
      </c>
      <c r="AC507">
        <v>1</v>
      </c>
      <c r="AE507" t="s">
        <v>84</v>
      </c>
      <c r="AF507">
        <v>20</v>
      </c>
      <c r="AG507" s="1">
        <v>34516</v>
      </c>
      <c r="AH507" s="1">
        <v>34516</v>
      </c>
      <c r="AI507" s="1">
        <v>34516</v>
      </c>
      <c r="AJ507" s="1">
        <v>41821</v>
      </c>
      <c r="AK507" t="s">
        <v>51</v>
      </c>
      <c r="AN507">
        <v>0</v>
      </c>
      <c r="AO507" t="s">
        <v>54</v>
      </c>
      <c r="AP507" t="s">
        <v>53</v>
      </c>
      <c r="AQ507">
        <v>0</v>
      </c>
      <c r="AR507" t="s">
        <v>53</v>
      </c>
      <c r="AS507">
        <v>0</v>
      </c>
      <c r="AT507">
        <v>0</v>
      </c>
      <c r="AW507" t="s">
        <v>58</v>
      </c>
      <c r="AX507">
        <v>20</v>
      </c>
      <c r="AY507" s="1">
        <v>34516</v>
      </c>
      <c r="AZ507" s="1">
        <v>34516</v>
      </c>
      <c r="BA507" s="1">
        <v>34516</v>
      </c>
      <c r="BB507" s="1">
        <v>41821</v>
      </c>
      <c r="BC507" t="s">
        <v>51</v>
      </c>
      <c r="BE507" t="s">
        <v>54</v>
      </c>
      <c r="BF507">
        <v>2</v>
      </c>
      <c r="BG507">
        <v>0</v>
      </c>
      <c r="BH507" t="s">
        <v>53</v>
      </c>
      <c r="BK507" t="s">
        <v>59</v>
      </c>
      <c r="BL507">
        <v>14000</v>
      </c>
      <c r="BM507" s="1">
        <v>42917</v>
      </c>
      <c r="BN507" s="1">
        <v>42917</v>
      </c>
      <c r="BO507" s="1">
        <v>42917</v>
      </c>
      <c r="BP507" s="1">
        <v>44117</v>
      </c>
      <c r="BQ507" t="s">
        <v>51</v>
      </c>
      <c r="BS507" t="s">
        <v>60</v>
      </c>
      <c r="BT507" t="s">
        <v>54</v>
      </c>
      <c r="BU507" t="s">
        <v>61</v>
      </c>
      <c r="BV507" t="s">
        <v>62</v>
      </c>
      <c r="BX507">
        <v>24</v>
      </c>
      <c r="BY507">
        <v>0</v>
      </c>
      <c r="BZ507">
        <v>0</v>
      </c>
    </row>
    <row r="508" spans="1:78" x14ac:dyDescent="0.2">
      <c r="A508" t="s">
        <v>180</v>
      </c>
      <c r="B508" t="s">
        <v>181</v>
      </c>
      <c r="C508" t="s">
        <v>184</v>
      </c>
      <c r="D508" t="s">
        <v>470</v>
      </c>
      <c r="F508" t="str">
        <f>"250046"</f>
        <v>250046</v>
      </c>
      <c r="G508" t="s">
        <v>49</v>
      </c>
      <c r="K508" t="s">
        <v>51</v>
      </c>
      <c r="L508" t="s">
        <v>52</v>
      </c>
      <c r="M508">
        <v>136834.84</v>
      </c>
      <c r="N508">
        <v>472157.92</v>
      </c>
      <c r="O508" t="s">
        <v>53</v>
      </c>
      <c r="P508" t="s">
        <v>54</v>
      </c>
      <c r="Q508" t="s">
        <v>55</v>
      </c>
      <c r="T508" t="s">
        <v>183</v>
      </c>
      <c r="U508">
        <v>40</v>
      </c>
      <c r="V508" s="1">
        <v>38899</v>
      </c>
      <c r="W508" s="1">
        <v>38899</v>
      </c>
      <c r="X508" s="1">
        <v>38899</v>
      </c>
      <c r="Y508" s="1">
        <v>53509</v>
      </c>
      <c r="Z508" t="s">
        <v>51</v>
      </c>
      <c r="AB508" t="s">
        <v>54</v>
      </c>
      <c r="AC508">
        <v>1</v>
      </c>
      <c r="AE508" t="s">
        <v>84</v>
      </c>
      <c r="AF508">
        <v>20</v>
      </c>
      <c r="AG508" s="1">
        <v>34516</v>
      </c>
      <c r="AH508" s="1">
        <v>34516</v>
      </c>
      <c r="AI508" s="1">
        <v>38899</v>
      </c>
      <c r="AJ508" s="1">
        <v>41821</v>
      </c>
      <c r="AK508" t="s">
        <v>51</v>
      </c>
      <c r="AN508">
        <v>0</v>
      </c>
      <c r="AO508" t="s">
        <v>54</v>
      </c>
      <c r="AP508" t="s">
        <v>53</v>
      </c>
      <c r="AQ508">
        <v>0</v>
      </c>
      <c r="AR508" t="s">
        <v>53</v>
      </c>
      <c r="AS508">
        <v>0</v>
      </c>
      <c r="AT508">
        <v>0</v>
      </c>
      <c r="AW508" t="s">
        <v>58</v>
      </c>
      <c r="AX508">
        <v>20</v>
      </c>
      <c r="AY508" s="1">
        <v>34516</v>
      </c>
      <c r="AZ508" s="1">
        <v>34516</v>
      </c>
      <c r="BA508" s="1">
        <v>38899</v>
      </c>
      <c r="BB508" s="1">
        <v>41821</v>
      </c>
      <c r="BC508" t="s">
        <v>51</v>
      </c>
      <c r="BE508" t="s">
        <v>54</v>
      </c>
      <c r="BF508">
        <v>2</v>
      </c>
      <c r="BG508">
        <v>0</v>
      </c>
      <c r="BH508" t="s">
        <v>53</v>
      </c>
      <c r="BK508" t="s">
        <v>59</v>
      </c>
      <c r="BL508">
        <v>14000</v>
      </c>
      <c r="BM508" s="1">
        <v>42917</v>
      </c>
      <c r="BN508" s="1">
        <v>42917</v>
      </c>
      <c r="BO508" s="1">
        <v>42917</v>
      </c>
      <c r="BP508" s="1">
        <v>44117</v>
      </c>
      <c r="BQ508" t="s">
        <v>51</v>
      </c>
      <c r="BS508" t="s">
        <v>60</v>
      </c>
      <c r="BT508" t="s">
        <v>54</v>
      </c>
      <c r="BU508" t="s">
        <v>61</v>
      </c>
      <c r="BV508" t="s">
        <v>62</v>
      </c>
      <c r="BX508">
        <v>24</v>
      </c>
      <c r="BY508">
        <v>0</v>
      </c>
      <c r="BZ508">
        <v>0</v>
      </c>
    </row>
    <row r="509" spans="1:78" x14ac:dyDescent="0.2">
      <c r="A509" t="s">
        <v>180</v>
      </c>
      <c r="B509" t="s">
        <v>181</v>
      </c>
      <c r="C509" t="s">
        <v>184</v>
      </c>
      <c r="D509" t="s">
        <v>470</v>
      </c>
      <c r="F509" t="str">
        <f>"250047"</f>
        <v>250047</v>
      </c>
      <c r="G509" t="s">
        <v>49</v>
      </c>
      <c r="H509" t="s">
        <v>472</v>
      </c>
      <c r="K509" t="s">
        <v>51</v>
      </c>
      <c r="L509" t="s">
        <v>52</v>
      </c>
      <c r="M509">
        <v>136827.75</v>
      </c>
      <c r="N509">
        <v>472121.09</v>
      </c>
      <c r="O509" t="s">
        <v>53</v>
      </c>
      <c r="P509" t="s">
        <v>54</v>
      </c>
      <c r="Q509" t="s">
        <v>55</v>
      </c>
      <c r="T509" t="s">
        <v>466</v>
      </c>
      <c r="U509">
        <v>40</v>
      </c>
      <c r="V509" s="1">
        <v>20637</v>
      </c>
      <c r="W509" s="1">
        <v>20637</v>
      </c>
      <c r="X509" s="1">
        <v>20637</v>
      </c>
      <c r="Y509" s="1">
        <v>35247</v>
      </c>
      <c r="Z509" t="s">
        <v>51</v>
      </c>
      <c r="AB509" t="s">
        <v>54</v>
      </c>
      <c r="AC509">
        <v>1</v>
      </c>
      <c r="AE509" t="s">
        <v>84</v>
      </c>
      <c r="AF509">
        <v>20</v>
      </c>
      <c r="AG509" s="1">
        <v>34516</v>
      </c>
      <c r="AH509" s="1">
        <v>34516</v>
      </c>
      <c r="AI509" s="1">
        <v>34516</v>
      </c>
      <c r="AJ509" s="1">
        <v>41821</v>
      </c>
      <c r="AK509" t="s">
        <v>51</v>
      </c>
      <c r="AN509">
        <v>0</v>
      </c>
      <c r="AO509" t="s">
        <v>54</v>
      </c>
      <c r="AP509" t="s">
        <v>53</v>
      </c>
      <c r="AQ509">
        <v>0</v>
      </c>
      <c r="AR509" t="s">
        <v>53</v>
      </c>
      <c r="AS509">
        <v>0</v>
      </c>
      <c r="AT509">
        <v>0</v>
      </c>
      <c r="AW509" t="s">
        <v>58</v>
      </c>
      <c r="AX509">
        <v>20</v>
      </c>
      <c r="AY509" s="1">
        <v>34516</v>
      </c>
      <c r="AZ509" s="1">
        <v>34516</v>
      </c>
      <c r="BA509" s="1">
        <v>34516</v>
      </c>
      <c r="BB509" s="1">
        <v>41821</v>
      </c>
      <c r="BC509" t="s">
        <v>51</v>
      </c>
      <c r="BE509" t="s">
        <v>54</v>
      </c>
      <c r="BF509">
        <v>2</v>
      </c>
      <c r="BG509">
        <v>0</v>
      </c>
      <c r="BH509" t="s">
        <v>53</v>
      </c>
      <c r="BK509" t="s">
        <v>59</v>
      </c>
      <c r="BL509">
        <v>14000</v>
      </c>
      <c r="BM509" s="1">
        <v>42917</v>
      </c>
      <c r="BN509" s="1">
        <v>42917</v>
      </c>
      <c r="BO509" s="1">
        <v>42917</v>
      </c>
      <c r="BP509" s="1">
        <v>44117</v>
      </c>
      <c r="BQ509" t="s">
        <v>51</v>
      </c>
      <c r="BS509" t="s">
        <v>60</v>
      </c>
      <c r="BT509" t="s">
        <v>54</v>
      </c>
      <c r="BU509" t="s">
        <v>61</v>
      </c>
      <c r="BV509" t="s">
        <v>62</v>
      </c>
      <c r="BX509">
        <v>24</v>
      </c>
      <c r="BY509">
        <v>0</v>
      </c>
      <c r="BZ509">
        <v>0</v>
      </c>
    </row>
    <row r="510" spans="1:78" x14ac:dyDescent="0.2">
      <c r="A510" t="s">
        <v>180</v>
      </c>
      <c r="B510" t="s">
        <v>181</v>
      </c>
      <c r="C510" t="s">
        <v>184</v>
      </c>
      <c r="D510" t="s">
        <v>470</v>
      </c>
      <c r="F510" t="str">
        <f>"250048"</f>
        <v>250048</v>
      </c>
      <c r="G510" t="s">
        <v>49</v>
      </c>
      <c r="H510" t="s">
        <v>473</v>
      </c>
      <c r="K510" t="s">
        <v>51</v>
      </c>
      <c r="L510" t="s">
        <v>52</v>
      </c>
      <c r="M510">
        <v>136830.31</v>
      </c>
      <c r="N510">
        <v>472095</v>
      </c>
      <c r="O510" t="s">
        <v>53</v>
      </c>
      <c r="P510" t="s">
        <v>54</v>
      </c>
      <c r="Q510" t="s">
        <v>55</v>
      </c>
      <c r="T510" t="s">
        <v>183</v>
      </c>
      <c r="U510">
        <v>40</v>
      </c>
      <c r="V510" s="1">
        <v>31959</v>
      </c>
      <c r="W510" s="1">
        <v>31959</v>
      </c>
      <c r="X510" s="1">
        <v>31959</v>
      </c>
      <c r="Y510" s="1">
        <v>46569</v>
      </c>
      <c r="Z510" t="s">
        <v>51</v>
      </c>
      <c r="AB510" t="s">
        <v>54</v>
      </c>
      <c r="AC510">
        <v>1</v>
      </c>
      <c r="AE510" t="s">
        <v>84</v>
      </c>
      <c r="AF510">
        <v>20</v>
      </c>
      <c r="AG510" s="1">
        <v>34881</v>
      </c>
      <c r="AH510" s="1">
        <v>34881</v>
      </c>
      <c r="AI510" s="1">
        <v>34881</v>
      </c>
      <c r="AJ510" s="1">
        <v>42186</v>
      </c>
      <c r="AK510" t="s">
        <v>51</v>
      </c>
      <c r="AN510">
        <v>0</v>
      </c>
      <c r="AO510" t="s">
        <v>54</v>
      </c>
      <c r="AP510" t="s">
        <v>53</v>
      </c>
      <c r="AQ510">
        <v>0</v>
      </c>
      <c r="AR510" t="s">
        <v>53</v>
      </c>
      <c r="AS510">
        <v>0</v>
      </c>
      <c r="AT510">
        <v>0</v>
      </c>
      <c r="AW510" t="s">
        <v>58</v>
      </c>
      <c r="AX510">
        <v>20</v>
      </c>
      <c r="AY510" s="1">
        <v>34881</v>
      </c>
      <c r="AZ510" s="1">
        <v>34881</v>
      </c>
      <c r="BA510" s="1">
        <v>34881</v>
      </c>
      <c r="BB510" s="1">
        <v>42186</v>
      </c>
      <c r="BC510" t="s">
        <v>51</v>
      </c>
      <c r="BE510" t="s">
        <v>54</v>
      </c>
      <c r="BF510">
        <v>2</v>
      </c>
      <c r="BG510">
        <v>0</v>
      </c>
      <c r="BH510" t="s">
        <v>53</v>
      </c>
      <c r="BK510" t="s">
        <v>59</v>
      </c>
      <c r="BL510">
        <v>14000</v>
      </c>
      <c r="BM510" s="1">
        <v>42917</v>
      </c>
      <c r="BN510" s="1">
        <v>42917</v>
      </c>
      <c r="BO510" s="1">
        <v>42917</v>
      </c>
      <c r="BP510" s="1">
        <v>44117</v>
      </c>
      <c r="BQ510" t="s">
        <v>51</v>
      </c>
      <c r="BS510" t="s">
        <v>60</v>
      </c>
      <c r="BT510" t="s">
        <v>54</v>
      </c>
      <c r="BU510" t="s">
        <v>61</v>
      </c>
      <c r="BV510" t="s">
        <v>62</v>
      </c>
      <c r="BX510">
        <v>24</v>
      </c>
      <c r="BY510">
        <v>0</v>
      </c>
      <c r="BZ510">
        <v>0</v>
      </c>
    </row>
    <row r="511" spans="1:78" x14ac:dyDescent="0.2">
      <c r="A511" t="s">
        <v>180</v>
      </c>
      <c r="B511" t="s">
        <v>181</v>
      </c>
      <c r="C511" t="s">
        <v>184</v>
      </c>
      <c r="D511" t="s">
        <v>470</v>
      </c>
      <c r="F511" t="str">
        <f>"250049"</f>
        <v>250049</v>
      </c>
      <c r="G511" t="s">
        <v>49</v>
      </c>
      <c r="K511" t="s">
        <v>51</v>
      </c>
      <c r="L511" t="s">
        <v>52</v>
      </c>
      <c r="M511">
        <v>136830.87</v>
      </c>
      <c r="N511">
        <v>472066.8</v>
      </c>
      <c r="O511" t="s">
        <v>53</v>
      </c>
      <c r="P511" t="s">
        <v>54</v>
      </c>
      <c r="Q511" t="s">
        <v>55</v>
      </c>
      <c r="T511" t="s">
        <v>183</v>
      </c>
      <c r="U511">
        <v>40</v>
      </c>
      <c r="V511" s="1">
        <v>34516</v>
      </c>
      <c r="W511" s="1">
        <v>34516</v>
      </c>
      <c r="X511" s="1">
        <v>34516</v>
      </c>
      <c r="Y511" s="1">
        <v>49126</v>
      </c>
      <c r="Z511" t="s">
        <v>51</v>
      </c>
      <c r="AB511" t="s">
        <v>54</v>
      </c>
      <c r="AC511">
        <v>1</v>
      </c>
      <c r="AE511" t="s">
        <v>84</v>
      </c>
      <c r="AF511">
        <v>20</v>
      </c>
      <c r="AG511" s="1">
        <v>37073</v>
      </c>
      <c r="AH511" s="1">
        <v>37073</v>
      </c>
      <c r="AI511" s="1">
        <v>37073</v>
      </c>
      <c r="AJ511" s="1">
        <v>44378</v>
      </c>
      <c r="AK511" t="s">
        <v>51</v>
      </c>
      <c r="AN511">
        <v>0</v>
      </c>
      <c r="AO511" t="s">
        <v>54</v>
      </c>
      <c r="AP511" t="s">
        <v>53</v>
      </c>
      <c r="AQ511">
        <v>0</v>
      </c>
      <c r="AR511" t="s">
        <v>53</v>
      </c>
      <c r="AS511">
        <v>0</v>
      </c>
      <c r="AT511">
        <v>0</v>
      </c>
      <c r="AW511" t="s">
        <v>58</v>
      </c>
      <c r="AX511">
        <v>20</v>
      </c>
      <c r="AY511" s="1">
        <v>37073</v>
      </c>
      <c r="AZ511" s="1">
        <v>37073</v>
      </c>
      <c r="BA511" s="1">
        <v>37073</v>
      </c>
      <c r="BB511" s="1">
        <v>44378</v>
      </c>
      <c r="BC511" t="s">
        <v>51</v>
      </c>
      <c r="BE511" t="s">
        <v>54</v>
      </c>
      <c r="BF511">
        <v>2</v>
      </c>
      <c r="BG511">
        <v>0</v>
      </c>
      <c r="BH511" t="s">
        <v>53</v>
      </c>
      <c r="BK511" t="s">
        <v>59</v>
      </c>
      <c r="BL511">
        <v>14000</v>
      </c>
      <c r="BM511" s="1">
        <v>42917</v>
      </c>
      <c r="BN511" s="1">
        <v>42917</v>
      </c>
      <c r="BO511" s="1">
        <v>42917</v>
      </c>
      <c r="BP511" s="1">
        <v>44117</v>
      </c>
      <c r="BQ511" t="s">
        <v>51</v>
      </c>
      <c r="BS511" t="s">
        <v>60</v>
      </c>
      <c r="BT511" t="s">
        <v>54</v>
      </c>
      <c r="BU511" t="s">
        <v>61</v>
      </c>
      <c r="BV511" t="s">
        <v>62</v>
      </c>
      <c r="BX511">
        <v>24</v>
      </c>
      <c r="BY511">
        <v>0</v>
      </c>
      <c r="BZ511">
        <v>0</v>
      </c>
    </row>
    <row r="512" spans="1:78" x14ac:dyDescent="0.2">
      <c r="A512" t="s">
        <v>180</v>
      </c>
      <c r="B512" t="s">
        <v>181</v>
      </c>
      <c r="C512" t="s">
        <v>184</v>
      </c>
      <c r="D512" t="s">
        <v>470</v>
      </c>
      <c r="F512" t="str">
        <f>"250050"</f>
        <v>250050</v>
      </c>
      <c r="G512" t="s">
        <v>49</v>
      </c>
      <c r="K512" t="s">
        <v>51</v>
      </c>
      <c r="L512" t="s">
        <v>52</v>
      </c>
      <c r="M512">
        <v>136839.09400000001</v>
      </c>
      <c r="N512">
        <v>472040.41200000001</v>
      </c>
      <c r="O512" t="s">
        <v>53</v>
      </c>
      <c r="P512" t="s">
        <v>54</v>
      </c>
      <c r="Q512" t="s">
        <v>55</v>
      </c>
      <c r="T512" t="s">
        <v>183</v>
      </c>
      <c r="U512">
        <v>40</v>
      </c>
      <c r="V512" s="1">
        <v>37073</v>
      </c>
      <c r="W512" s="1">
        <v>37073</v>
      </c>
      <c r="X512" s="1">
        <v>37073</v>
      </c>
      <c r="Y512" s="1">
        <v>51683</v>
      </c>
      <c r="Z512" t="s">
        <v>51</v>
      </c>
      <c r="AB512" t="s">
        <v>54</v>
      </c>
      <c r="AC512">
        <v>1</v>
      </c>
      <c r="AE512" t="s">
        <v>84</v>
      </c>
      <c r="AF512">
        <v>20</v>
      </c>
      <c r="AG512" s="1">
        <v>37073</v>
      </c>
      <c r="AH512" s="1">
        <v>37073</v>
      </c>
      <c r="AI512" s="1">
        <v>37073</v>
      </c>
      <c r="AJ512" s="1">
        <v>44378</v>
      </c>
      <c r="AK512" t="s">
        <v>51</v>
      </c>
      <c r="AN512">
        <v>0</v>
      </c>
      <c r="AO512" t="s">
        <v>54</v>
      </c>
      <c r="AP512" t="s">
        <v>53</v>
      </c>
      <c r="AQ512">
        <v>0</v>
      </c>
      <c r="AR512" t="s">
        <v>53</v>
      </c>
      <c r="AS512">
        <v>0</v>
      </c>
      <c r="AT512">
        <v>0</v>
      </c>
      <c r="AW512" t="s">
        <v>58</v>
      </c>
      <c r="AX512">
        <v>20</v>
      </c>
      <c r="AY512" s="1">
        <v>44942</v>
      </c>
      <c r="AZ512" s="1">
        <v>44942</v>
      </c>
      <c r="BA512" s="1">
        <v>44942</v>
      </c>
      <c r="BB512" s="1">
        <v>52247</v>
      </c>
      <c r="BC512" t="s">
        <v>51</v>
      </c>
      <c r="BE512" t="s">
        <v>54</v>
      </c>
      <c r="BF512">
        <v>2</v>
      </c>
      <c r="BG512">
        <v>0</v>
      </c>
      <c r="BH512" t="s">
        <v>53</v>
      </c>
      <c r="BK512" t="s">
        <v>59</v>
      </c>
      <c r="BL512">
        <v>14000</v>
      </c>
      <c r="BM512" s="1">
        <v>44942</v>
      </c>
      <c r="BN512" s="1">
        <v>44942</v>
      </c>
      <c r="BO512" s="1">
        <v>44942</v>
      </c>
      <c r="BP512" s="1">
        <v>46112</v>
      </c>
      <c r="BQ512" t="s">
        <v>51</v>
      </c>
      <c r="BS512" t="s">
        <v>60</v>
      </c>
      <c r="BT512" t="s">
        <v>54</v>
      </c>
      <c r="BU512" t="s">
        <v>61</v>
      </c>
      <c r="BV512" t="s">
        <v>62</v>
      </c>
      <c r="BX512">
        <v>24</v>
      </c>
      <c r="BY512">
        <v>0</v>
      </c>
      <c r="BZ512">
        <v>0</v>
      </c>
    </row>
    <row r="513" spans="1:78" x14ac:dyDescent="0.2">
      <c r="A513" t="s">
        <v>180</v>
      </c>
      <c r="B513" t="s">
        <v>181</v>
      </c>
      <c r="C513" t="s">
        <v>184</v>
      </c>
      <c r="D513" t="s">
        <v>470</v>
      </c>
      <c r="F513" t="str">
        <f>"250051"</f>
        <v>250051</v>
      </c>
      <c r="G513" t="s">
        <v>49</v>
      </c>
      <c r="H513" t="s">
        <v>474</v>
      </c>
      <c r="K513" t="s">
        <v>51</v>
      </c>
      <c r="L513" t="s">
        <v>52</v>
      </c>
      <c r="M513">
        <v>136832.416</v>
      </c>
      <c r="N513">
        <v>472008.35600000003</v>
      </c>
      <c r="O513" t="s">
        <v>53</v>
      </c>
      <c r="P513" t="s">
        <v>54</v>
      </c>
      <c r="Q513" t="s">
        <v>55</v>
      </c>
      <c r="T513" t="s">
        <v>183</v>
      </c>
      <c r="U513">
        <v>40</v>
      </c>
      <c r="V513" s="1">
        <v>20637</v>
      </c>
      <c r="W513" s="1">
        <v>20637</v>
      </c>
      <c r="X513" s="1">
        <v>20637</v>
      </c>
      <c r="Y513" s="1">
        <v>35247</v>
      </c>
      <c r="Z513" t="s">
        <v>51</v>
      </c>
      <c r="AB513" t="s">
        <v>54</v>
      </c>
      <c r="AC513">
        <v>1</v>
      </c>
      <c r="AE513" t="s">
        <v>84</v>
      </c>
      <c r="AF513">
        <v>20</v>
      </c>
      <c r="AG513" s="1">
        <v>34516</v>
      </c>
      <c r="AH513" s="1">
        <v>34516</v>
      </c>
      <c r="AI513" s="1">
        <v>34516</v>
      </c>
      <c r="AJ513" s="1">
        <v>41821</v>
      </c>
      <c r="AK513" t="s">
        <v>51</v>
      </c>
      <c r="AN513">
        <v>0</v>
      </c>
      <c r="AO513" t="s">
        <v>54</v>
      </c>
      <c r="AP513" t="s">
        <v>53</v>
      </c>
      <c r="AQ513">
        <v>0</v>
      </c>
      <c r="AR513" t="s">
        <v>53</v>
      </c>
      <c r="AS513">
        <v>0</v>
      </c>
      <c r="AT513">
        <v>0</v>
      </c>
      <c r="AW513" t="s">
        <v>58</v>
      </c>
      <c r="AX513">
        <v>20</v>
      </c>
      <c r="AY513" s="1">
        <v>34516</v>
      </c>
      <c r="AZ513" s="1">
        <v>34516</v>
      </c>
      <c r="BA513" s="1">
        <v>34516</v>
      </c>
      <c r="BB513" s="1">
        <v>41821</v>
      </c>
      <c r="BC513" t="s">
        <v>51</v>
      </c>
      <c r="BE513" t="s">
        <v>54</v>
      </c>
      <c r="BF513">
        <v>2</v>
      </c>
      <c r="BG513">
        <v>0</v>
      </c>
      <c r="BH513" t="s">
        <v>53</v>
      </c>
      <c r="BK513" t="s">
        <v>59</v>
      </c>
      <c r="BL513">
        <v>14000</v>
      </c>
      <c r="BM513" s="1">
        <v>42917</v>
      </c>
      <c r="BN513" s="1">
        <v>42917</v>
      </c>
      <c r="BO513" s="1">
        <v>42917</v>
      </c>
      <c r="BP513" s="1">
        <v>44117</v>
      </c>
      <c r="BQ513" t="s">
        <v>51</v>
      </c>
      <c r="BS513" t="s">
        <v>60</v>
      </c>
      <c r="BT513" t="s">
        <v>54</v>
      </c>
      <c r="BU513" t="s">
        <v>61</v>
      </c>
      <c r="BV513" t="s">
        <v>62</v>
      </c>
      <c r="BX513">
        <v>24</v>
      </c>
      <c r="BY513">
        <v>0</v>
      </c>
      <c r="BZ513">
        <v>0</v>
      </c>
    </row>
    <row r="514" spans="1:78" x14ac:dyDescent="0.2">
      <c r="A514" t="s">
        <v>180</v>
      </c>
      <c r="B514" t="s">
        <v>181</v>
      </c>
      <c r="C514" t="s">
        <v>184</v>
      </c>
      <c r="D514" t="s">
        <v>470</v>
      </c>
      <c r="F514" t="str">
        <f>"250052"</f>
        <v>250052</v>
      </c>
      <c r="G514" t="s">
        <v>49</v>
      </c>
      <c r="H514" t="s">
        <v>313</v>
      </c>
      <c r="K514" t="s">
        <v>51</v>
      </c>
      <c r="L514" t="s">
        <v>52</v>
      </c>
      <c r="M514">
        <v>136840.98000000001</v>
      </c>
      <c r="N514">
        <v>471974.11</v>
      </c>
      <c r="O514" t="s">
        <v>53</v>
      </c>
      <c r="P514" t="s">
        <v>54</v>
      </c>
      <c r="Q514" t="s">
        <v>55</v>
      </c>
      <c r="T514" t="s">
        <v>183</v>
      </c>
      <c r="U514">
        <v>40</v>
      </c>
      <c r="V514" s="1">
        <v>20637</v>
      </c>
      <c r="W514" s="1">
        <v>20637</v>
      </c>
      <c r="X514" s="1">
        <v>20637</v>
      </c>
      <c r="Y514" s="1">
        <v>35247</v>
      </c>
      <c r="Z514" t="s">
        <v>51</v>
      </c>
      <c r="AB514" t="s">
        <v>54</v>
      </c>
      <c r="AC514">
        <v>1</v>
      </c>
      <c r="AE514" t="s">
        <v>84</v>
      </c>
      <c r="AF514">
        <v>20</v>
      </c>
      <c r="AG514" s="1">
        <v>34516</v>
      </c>
      <c r="AH514" s="1">
        <v>34516</v>
      </c>
      <c r="AI514" s="1">
        <v>34516</v>
      </c>
      <c r="AJ514" s="1">
        <v>41821</v>
      </c>
      <c r="AK514" t="s">
        <v>51</v>
      </c>
      <c r="AN514">
        <v>0</v>
      </c>
      <c r="AO514" t="s">
        <v>54</v>
      </c>
      <c r="AP514" t="s">
        <v>53</v>
      </c>
      <c r="AQ514">
        <v>0</v>
      </c>
      <c r="AR514" t="s">
        <v>53</v>
      </c>
      <c r="AS514">
        <v>0</v>
      </c>
      <c r="AT514">
        <v>0</v>
      </c>
      <c r="AW514" t="s">
        <v>58</v>
      </c>
      <c r="AX514">
        <v>20</v>
      </c>
      <c r="AY514" s="1">
        <v>34516</v>
      </c>
      <c r="AZ514" s="1">
        <v>34516</v>
      </c>
      <c r="BA514" s="1">
        <v>34516</v>
      </c>
      <c r="BB514" s="1">
        <v>41821</v>
      </c>
      <c r="BC514" t="s">
        <v>51</v>
      </c>
      <c r="BE514" t="s">
        <v>54</v>
      </c>
      <c r="BF514">
        <v>2</v>
      </c>
      <c r="BG514">
        <v>0</v>
      </c>
      <c r="BH514" t="s">
        <v>53</v>
      </c>
      <c r="BK514" t="s">
        <v>59</v>
      </c>
      <c r="BL514">
        <v>14000</v>
      </c>
      <c r="BM514" s="1">
        <v>42917</v>
      </c>
      <c r="BN514" s="1">
        <v>42917</v>
      </c>
      <c r="BO514" s="1">
        <v>42917</v>
      </c>
      <c r="BP514" s="1">
        <v>44117</v>
      </c>
      <c r="BQ514" t="s">
        <v>51</v>
      </c>
      <c r="BS514" t="s">
        <v>60</v>
      </c>
      <c r="BT514" t="s">
        <v>54</v>
      </c>
      <c r="BU514" t="s">
        <v>61</v>
      </c>
      <c r="BV514" t="s">
        <v>62</v>
      </c>
      <c r="BX514">
        <v>24</v>
      </c>
      <c r="BY514">
        <v>0</v>
      </c>
      <c r="BZ514">
        <v>0</v>
      </c>
    </row>
    <row r="515" spans="1:78" x14ac:dyDescent="0.2">
      <c r="A515" t="s">
        <v>180</v>
      </c>
      <c r="B515" t="s">
        <v>181</v>
      </c>
      <c r="C515" t="s">
        <v>184</v>
      </c>
      <c r="D515" t="s">
        <v>470</v>
      </c>
      <c r="F515" t="str">
        <f>"250053"</f>
        <v>250053</v>
      </c>
      <c r="G515" t="s">
        <v>49</v>
      </c>
      <c r="H515" t="s">
        <v>475</v>
      </c>
      <c r="K515" t="s">
        <v>51</v>
      </c>
      <c r="L515" t="s">
        <v>52</v>
      </c>
      <c r="M515">
        <v>136841.88</v>
      </c>
      <c r="N515">
        <v>471941.79599999997</v>
      </c>
      <c r="O515" t="s">
        <v>53</v>
      </c>
      <c r="P515" t="s">
        <v>54</v>
      </c>
      <c r="Q515" t="s">
        <v>55</v>
      </c>
      <c r="T515" t="s">
        <v>183</v>
      </c>
      <c r="U515">
        <v>40</v>
      </c>
      <c r="V515" s="1">
        <v>37073</v>
      </c>
      <c r="W515" s="1">
        <v>37073</v>
      </c>
      <c r="X515" s="1">
        <v>37073</v>
      </c>
      <c r="Y515" s="1">
        <v>51683</v>
      </c>
      <c r="Z515" t="s">
        <v>51</v>
      </c>
      <c r="AB515" t="s">
        <v>54</v>
      </c>
      <c r="AC515">
        <v>1</v>
      </c>
      <c r="AE515" t="s">
        <v>84</v>
      </c>
      <c r="AF515">
        <v>20</v>
      </c>
      <c r="AG515" s="1">
        <v>37073</v>
      </c>
      <c r="AH515" s="1">
        <v>37073</v>
      </c>
      <c r="AI515" s="1">
        <v>37073</v>
      </c>
      <c r="AJ515" s="1">
        <v>44378</v>
      </c>
      <c r="AK515" t="s">
        <v>51</v>
      </c>
      <c r="AN515">
        <v>0</v>
      </c>
      <c r="AO515" t="s">
        <v>54</v>
      </c>
      <c r="AP515" t="s">
        <v>53</v>
      </c>
      <c r="AQ515">
        <v>0</v>
      </c>
      <c r="AR515" t="s">
        <v>53</v>
      </c>
      <c r="AS515">
        <v>0</v>
      </c>
      <c r="AT515">
        <v>0</v>
      </c>
      <c r="AW515" t="s">
        <v>58</v>
      </c>
      <c r="AX515">
        <v>20</v>
      </c>
      <c r="AY515" s="1">
        <v>44249</v>
      </c>
      <c r="AZ515" s="1">
        <v>44249</v>
      </c>
      <c r="BA515" s="1">
        <v>44249</v>
      </c>
      <c r="BB515" s="1">
        <v>51554</v>
      </c>
      <c r="BC515" t="s">
        <v>51</v>
      </c>
      <c r="BE515" t="s">
        <v>54</v>
      </c>
      <c r="BF515">
        <v>2</v>
      </c>
      <c r="BG515">
        <v>0</v>
      </c>
      <c r="BH515" t="s">
        <v>53</v>
      </c>
      <c r="BK515" t="s">
        <v>59</v>
      </c>
      <c r="BL515">
        <v>14000</v>
      </c>
      <c r="BM515" s="1">
        <v>44249</v>
      </c>
      <c r="BN515" s="1">
        <v>44249</v>
      </c>
      <c r="BO515" s="1">
        <v>44249</v>
      </c>
      <c r="BP515" s="1">
        <v>45446</v>
      </c>
      <c r="BQ515" t="s">
        <v>51</v>
      </c>
      <c r="BS515" t="s">
        <v>60</v>
      </c>
      <c r="BT515" t="s">
        <v>54</v>
      </c>
      <c r="BU515" t="s">
        <v>61</v>
      </c>
      <c r="BV515" t="s">
        <v>62</v>
      </c>
      <c r="BX515">
        <v>24</v>
      </c>
      <c r="BY515">
        <v>0</v>
      </c>
      <c r="BZ515">
        <v>0</v>
      </c>
    </row>
    <row r="516" spans="1:78" x14ac:dyDescent="0.2">
      <c r="A516" t="s">
        <v>180</v>
      </c>
      <c r="B516" t="s">
        <v>181</v>
      </c>
      <c r="C516" t="s">
        <v>184</v>
      </c>
      <c r="D516" t="s">
        <v>470</v>
      </c>
      <c r="F516" t="str">
        <f>"250054"</f>
        <v>250054</v>
      </c>
      <c r="G516" t="s">
        <v>49</v>
      </c>
      <c r="K516" t="s">
        <v>51</v>
      </c>
      <c r="L516" t="s">
        <v>52</v>
      </c>
      <c r="M516">
        <v>136804.72</v>
      </c>
      <c r="N516">
        <v>471976.31</v>
      </c>
      <c r="O516" t="s">
        <v>53</v>
      </c>
      <c r="P516" t="s">
        <v>54</v>
      </c>
      <c r="Q516" t="s">
        <v>55</v>
      </c>
      <c r="T516" t="s">
        <v>476</v>
      </c>
      <c r="U516">
        <v>40</v>
      </c>
      <c r="V516" s="1">
        <v>37073</v>
      </c>
      <c r="W516" s="1">
        <v>37073</v>
      </c>
      <c r="X516" s="1">
        <v>37073</v>
      </c>
      <c r="Y516" s="1">
        <v>51683</v>
      </c>
      <c r="Z516" t="s">
        <v>51</v>
      </c>
      <c r="AB516" t="s">
        <v>54</v>
      </c>
      <c r="AC516">
        <v>1</v>
      </c>
      <c r="AE516" t="s">
        <v>222</v>
      </c>
      <c r="AF516">
        <v>20</v>
      </c>
      <c r="AG516" s="1">
        <v>29037</v>
      </c>
      <c r="AH516" s="1">
        <v>29037</v>
      </c>
      <c r="AI516" s="1">
        <v>37073</v>
      </c>
      <c r="AJ516" s="1">
        <v>36342</v>
      </c>
      <c r="AK516" t="s">
        <v>51</v>
      </c>
      <c r="AN516">
        <v>0</v>
      </c>
      <c r="AO516" t="s">
        <v>54</v>
      </c>
      <c r="AP516" t="s">
        <v>53</v>
      </c>
      <c r="AQ516">
        <v>0</v>
      </c>
      <c r="AR516" t="s">
        <v>53</v>
      </c>
      <c r="AS516">
        <v>0</v>
      </c>
      <c r="AT516">
        <v>0</v>
      </c>
      <c r="AW516" t="s">
        <v>58</v>
      </c>
      <c r="AX516">
        <v>20</v>
      </c>
      <c r="AY516" s="1">
        <v>29037</v>
      </c>
      <c r="AZ516" s="1">
        <v>29037</v>
      </c>
      <c r="BA516" s="1">
        <v>37073</v>
      </c>
      <c r="BB516" s="1">
        <v>36342</v>
      </c>
      <c r="BC516" t="s">
        <v>51</v>
      </c>
      <c r="BE516" t="s">
        <v>54</v>
      </c>
      <c r="BF516">
        <v>2</v>
      </c>
      <c r="BG516">
        <v>0</v>
      </c>
      <c r="BH516" t="s">
        <v>53</v>
      </c>
      <c r="BK516" t="s">
        <v>59</v>
      </c>
      <c r="BL516">
        <v>14000</v>
      </c>
      <c r="BM516" s="1">
        <v>42917</v>
      </c>
      <c r="BN516" s="1">
        <v>42917</v>
      </c>
      <c r="BO516" s="1">
        <v>42917</v>
      </c>
      <c r="BP516" s="1">
        <v>44117</v>
      </c>
      <c r="BQ516" t="s">
        <v>51</v>
      </c>
      <c r="BS516" t="s">
        <v>60</v>
      </c>
      <c r="BT516" t="s">
        <v>54</v>
      </c>
      <c r="BU516" t="s">
        <v>61</v>
      </c>
      <c r="BV516" t="s">
        <v>62</v>
      </c>
      <c r="BX516">
        <v>24</v>
      </c>
      <c r="BY516">
        <v>0</v>
      </c>
      <c r="BZ516">
        <v>0</v>
      </c>
    </row>
    <row r="517" spans="1:78" x14ac:dyDescent="0.2">
      <c r="A517" t="s">
        <v>180</v>
      </c>
      <c r="B517" t="s">
        <v>181</v>
      </c>
      <c r="C517" t="s">
        <v>184</v>
      </c>
      <c r="D517" t="s">
        <v>470</v>
      </c>
      <c r="F517" t="str">
        <f>"250055"</f>
        <v>250055</v>
      </c>
      <c r="G517" t="s">
        <v>49</v>
      </c>
      <c r="K517" t="s">
        <v>51</v>
      </c>
      <c r="L517" t="s">
        <v>52</v>
      </c>
      <c r="M517">
        <v>136787.47200000001</v>
      </c>
      <c r="N517">
        <v>471988.56400000001</v>
      </c>
      <c r="O517" t="s">
        <v>53</v>
      </c>
      <c r="P517" t="s">
        <v>54</v>
      </c>
      <c r="Q517" t="s">
        <v>55</v>
      </c>
      <c r="T517" t="s">
        <v>476</v>
      </c>
      <c r="U517">
        <v>40</v>
      </c>
      <c r="V517" s="1">
        <v>29037</v>
      </c>
      <c r="W517" s="1">
        <v>29037</v>
      </c>
      <c r="X517" s="1">
        <v>29037</v>
      </c>
      <c r="Y517" s="1">
        <v>43647</v>
      </c>
      <c r="Z517" t="s">
        <v>51</v>
      </c>
      <c r="AB517" t="s">
        <v>54</v>
      </c>
      <c r="AC517">
        <v>1</v>
      </c>
      <c r="AE517" t="s">
        <v>222</v>
      </c>
      <c r="AF517">
        <v>20</v>
      </c>
      <c r="AG517" s="1">
        <v>37073</v>
      </c>
      <c r="AH517" s="1">
        <v>37073</v>
      </c>
      <c r="AI517" s="1">
        <v>37073</v>
      </c>
      <c r="AJ517" s="1">
        <v>44378</v>
      </c>
      <c r="AK517" t="s">
        <v>51</v>
      </c>
      <c r="AN517">
        <v>0</v>
      </c>
      <c r="AO517" t="s">
        <v>54</v>
      </c>
      <c r="AP517" t="s">
        <v>53</v>
      </c>
      <c r="AQ517">
        <v>0</v>
      </c>
      <c r="AR517" t="s">
        <v>53</v>
      </c>
      <c r="AS517">
        <v>0</v>
      </c>
      <c r="AT517">
        <v>0</v>
      </c>
      <c r="AW517" t="s">
        <v>58</v>
      </c>
      <c r="AX517">
        <v>20</v>
      </c>
      <c r="AY517" s="1">
        <v>37073</v>
      </c>
      <c r="AZ517" s="1">
        <v>37073</v>
      </c>
      <c r="BA517" s="1">
        <v>37073</v>
      </c>
      <c r="BB517" s="1">
        <v>44378</v>
      </c>
      <c r="BC517" t="s">
        <v>51</v>
      </c>
      <c r="BE517" t="s">
        <v>54</v>
      </c>
      <c r="BF517">
        <v>2</v>
      </c>
      <c r="BG517">
        <v>0</v>
      </c>
      <c r="BH517" t="s">
        <v>53</v>
      </c>
      <c r="BK517" t="s">
        <v>59</v>
      </c>
      <c r="BL517">
        <v>14000</v>
      </c>
      <c r="BM517" s="1">
        <v>42917</v>
      </c>
      <c r="BN517" s="1">
        <v>42917</v>
      </c>
      <c r="BO517" s="1">
        <v>42917</v>
      </c>
      <c r="BP517" s="1">
        <v>44117</v>
      </c>
      <c r="BQ517" t="s">
        <v>51</v>
      </c>
      <c r="BS517" t="s">
        <v>60</v>
      </c>
      <c r="BT517" t="s">
        <v>54</v>
      </c>
      <c r="BU517" t="s">
        <v>61</v>
      </c>
      <c r="BV517" t="s">
        <v>62</v>
      </c>
      <c r="BX517">
        <v>24</v>
      </c>
      <c r="BY517">
        <v>0</v>
      </c>
      <c r="BZ517">
        <v>0</v>
      </c>
    </row>
    <row r="518" spans="1:78" x14ac:dyDescent="0.2">
      <c r="A518" t="s">
        <v>180</v>
      </c>
      <c r="B518" t="s">
        <v>181</v>
      </c>
      <c r="C518" t="s">
        <v>184</v>
      </c>
      <c r="D518" t="s">
        <v>470</v>
      </c>
      <c r="F518" t="str">
        <f>"250056"</f>
        <v>250056</v>
      </c>
      <c r="G518" t="s">
        <v>49</v>
      </c>
      <c r="K518" t="s">
        <v>51</v>
      </c>
      <c r="L518" t="s">
        <v>52</v>
      </c>
      <c r="M518">
        <v>136837.08499999999</v>
      </c>
      <c r="N518">
        <v>471915.43099999998</v>
      </c>
      <c r="O518" t="s">
        <v>53</v>
      </c>
      <c r="P518" t="s">
        <v>54</v>
      </c>
      <c r="Q518" t="s">
        <v>55</v>
      </c>
      <c r="T518" t="s">
        <v>183</v>
      </c>
      <c r="U518">
        <v>40</v>
      </c>
      <c r="V518" s="1">
        <v>37073</v>
      </c>
      <c r="W518" s="1">
        <v>37073</v>
      </c>
      <c r="X518" s="1">
        <v>37073</v>
      </c>
      <c r="Y518" s="1">
        <v>51683</v>
      </c>
      <c r="Z518" t="s">
        <v>51</v>
      </c>
      <c r="AB518" t="s">
        <v>54</v>
      </c>
      <c r="AC518">
        <v>1</v>
      </c>
      <c r="AE518" t="s">
        <v>356</v>
      </c>
      <c r="AF518">
        <v>20</v>
      </c>
      <c r="AG518" s="1">
        <v>44172</v>
      </c>
      <c r="AH518" s="1">
        <v>44172</v>
      </c>
      <c r="AI518" s="1">
        <v>44172</v>
      </c>
      <c r="AJ518" s="1">
        <v>51477</v>
      </c>
      <c r="AK518" t="s">
        <v>51</v>
      </c>
      <c r="AN518">
        <v>0</v>
      </c>
      <c r="AO518" t="s">
        <v>54</v>
      </c>
      <c r="AP518" t="s">
        <v>53</v>
      </c>
      <c r="AQ518">
        <v>0</v>
      </c>
      <c r="AR518" t="s">
        <v>145</v>
      </c>
      <c r="AS518">
        <v>0</v>
      </c>
      <c r="AT518">
        <v>0</v>
      </c>
      <c r="AW518" t="s">
        <v>58</v>
      </c>
      <c r="AX518">
        <v>20</v>
      </c>
      <c r="AY518" s="1">
        <v>37073</v>
      </c>
      <c r="AZ518" s="1">
        <v>37073</v>
      </c>
      <c r="BA518" s="1">
        <v>44172</v>
      </c>
      <c r="BB518" s="1">
        <v>44378</v>
      </c>
      <c r="BC518" t="s">
        <v>51</v>
      </c>
      <c r="BE518" t="s">
        <v>54</v>
      </c>
      <c r="BF518">
        <v>2</v>
      </c>
      <c r="BG518">
        <v>0</v>
      </c>
      <c r="BH518" t="s">
        <v>53</v>
      </c>
      <c r="BK518" t="s">
        <v>59</v>
      </c>
      <c r="BL518">
        <v>14000</v>
      </c>
      <c r="BM518" s="1">
        <v>42917</v>
      </c>
      <c r="BN518" s="1">
        <v>42917</v>
      </c>
      <c r="BO518" s="1">
        <v>44172</v>
      </c>
      <c r="BP518" s="1">
        <v>44117</v>
      </c>
      <c r="BQ518" t="s">
        <v>51</v>
      </c>
      <c r="BS518" t="s">
        <v>60</v>
      </c>
      <c r="BT518" t="s">
        <v>54</v>
      </c>
      <c r="BU518" t="s">
        <v>61</v>
      </c>
      <c r="BV518" t="s">
        <v>62</v>
      </c>
      <c r="BX518">
        <v>24</v>
      </c>
      <c r="BY518">
        <v>0</v>
      </c>
      <c r="BZ518">
        <v>0</v>
      </c>
    </row>
    <row r="519" spans="1:78" x14ac:dyDescent="0.2">
      <c r="A519" t="s">
        <v>180</v>
      </c>
      <c r="B519" t="s">
        <v>181</v>
      </c>
      <c r="C519" t="s">
        <v>184</v>
      </c>
      <c r="D519" t="s">
        <v>470</v>
      </c>
      <c r="F519" t="str">
        <f>"250057"</f>
        <v>250057</v>
      </c>
      <c r="G519" t="s">
        <v>49</v>
      </c>
      <c r="K519" t="s">
        <v>51</v>
      </c>
      <c r="L519" t="s">
        <v>52</v>
      </c>
      <c r="M519">
        <v>136843.63</v>
      </c>
      <c r="N519">
        <v>471879.15100000001</v>
      </c>
      <c r="O519" t="s">
        <v>53</v>
      </c>
      <c r="P519" t="s">
        <v>54</v>
      </c>
      <c r="Q519" t="s">
        <v>55</v>
      </c>
      <c r="T519" t="s">
        <v>183</v>
      </c>
      <c r="U519">
        <v>40</v>
      </c>
      <c r="V519" s="1">
        <v>37073</v>
      </c>
      <c r="W519" s="1">
        <v>37073</v>
      </c>
      <c r="X519" s="1">
        <v>37073</v>
      </c>
      <c r="Y519" s="1">
        <v>51683</v>
      </c>
      <c r="Z519" t="s">
        <v>51</v>
      </c>
      <c r="AB519" t="s">
        <v>54</v>
      </c>
      <c r="AC519">
        <v>1</v>
      </c>
      <c r="AE519" t="s">
        <v>84</v>
      </c>
      <c r="AF519">
        <v>20</v>
      </c>
      <c r="AG519" s="1">
        <v>37073</v>
      </c>
      <c r="AH519" s="1">
        <v>37073</v>
      </c>
      <c r="AI519" s="1">
        <v>37073</v>
      </c>
      <c r="AJ519" s="1">
        <v>44378</v>
      </c>
      <c r="AK519" t="s">
        <v>51</v>
      </c>
      <c r="AN519">
        <v>0</v>
      </c>
      <c r="AO519" t="s">
        <v>54</v>
      </c>
      <c r="AP519" t="s">
        <v>53</v>
      </c>
      <c r="AQ519">
        <v>0</v>
      </c>
      <c r="AR519" t="s">
        <v>53</v>
      </c>
      <c r="AS519">
        <v>0</v>
      </c>
      <c r="AT519">
        <v>0</v>
      </c>
      <c r="AW519" t="s">
        <v>58</v>
      </c>
      <c r="AX519">
        <v>20</v>
      </c>
      <c r="AY519" s="1">
        <v>37073</v>
      </c>
      <c r="AZ519" s="1">
        <v>37073</v>
      </c>
      <c r="BA519" s="1">
        <v>37073</v>
      </c>
      <c r="BB519" s="1">
        <v>44378</v>
      </c>
      <c r="BC519" t="s">
        <v>51</v>
      </c>
      <c r="BE519" t="s">
        <v>54</v>
      </c>
      <c r="BF519">
        <v>2</v>
      </c>
      <c r="BG519">
        <v>0</v>
      </c>
      <c r="BH519" t="s">
        <v>53</v>
      </c>
      <c r="BK519" t="s">
        <v>59</v>
      </c>
      <c r="BL519">
        <v>14000</v>
      </c>
      <c r="BM519" s="1">
        <v>42917</v>
      </c>
      <c r="BN519" s="1">
        <v>42917</v>
      </c>
      <c r="BO519" s="1">
        <v>42917</v>
      </c>
      <c r="BP519" s="1">
        <v>44117</v>
      </c>
      <c r="BQ519" t="s">
        <v>51</v>
      </c>
      <c r="BS519" t="s">
        <v>60</v>
      </c>
      <c r="BT519" t="s">
        <v>54</v>
      </c>
      <c r="BU519" t="s">
        <v>61</v>
      </c>
      <c r="BV519" t="s">
        <v>62</v>
      </c>
      <c r="BX519">
        <v>24</v>
      </c>
      <c r="BY519">
        <v>0</v>
      </c>
      <c r="BZ519">
        <v>0</v>
      </c>
    </row>
    <row r="520" spans="1:78" x14ac:dyDescent="0.2">
      <c r="A520" t="s">
        <v>180</v>
      </c>
      <c r="B520" t="s">
        <v>181</v>
      </c>
      <c r="C520" t="s">
        <v>184</v>
      </c>
      <c r="D520" t="s">
        <v>470</v>
      </c>
      <c r="F520" t="str">
        <f>"250058"</f>
        <v>250058</v>
      </c>
      <c r="G520" t="s">
        <v>49</v>
      </c>
      <c r="H520" t="s">
        <v>477</v>
      </c>
      <c r="K520" t="s">
        <v>51</v>
      </c>
      <c r="L520" t="s">
        <v>52</v>
      </c>
      <c r="M520">
        <v>136839.14000000001</v>
      </c>
      <c r="N520">
        <v>471848.4</v>
      </c>
      <c r="O520" t="s">
        <v>53</v>
      </c>
      <c r="P520" t="s">
        <v>54</v>
      </c>
      <c r="Q520" t="s">
        <v>55</v>
      </c>
      <c r="T520" t="s">
        <v>183</v>
      </c>
      <c r="U520">
        <v>40</v>
      </c>
      <c r="V520" s="1">
        <v>37073</v>
      </c>
      <c r="W520" s="1">
        <v>37073</v>
      </c>
      <c r="X520" s="1">
        <v>37073</v>
      </c>
      <c r="Y520" s="1">
        <v>51683</v>
      </c>
      <c r="Z520" t="s">
        <v>51</v>
      </c>
      <c r="AB520" t="s">
        <v>54</v>
      </c>
      <c r="AC520">
        <v>1</v>
      </c>
      <c r="AE520" t="s">
        <v>84</v>
      </c>
      <c r="AF520">
        <v>20</v>
      </c>
      <c r="AG520" s="1">
        <v>37073</v>
      </c>
      <c r="AH520" s="1">
        <v>37073</v>
      </c>
      <c r="AI520" s="1">
        <v>37073</v>
      </c>
      <c r="AJ520" s="1">
        <v>44378</v>
      </c>
      <c r="AK520" t="s">
        <v>51</v>
      </c>
      <c r="AN520">
        <v>0</v>
      </c>
      <c r="AO520" t="s">
        <v>54</v>
      </c>
      <c r="AP520" t="s">
        <v>53</v>
      </c>
      <c r="AQ520">
        <v>0</v>
      </c>
      <c r="AR520" t="s">
        <v>53</v>
      </c>
      <c r="AS520">
        <v>0</v>
      </c>
      <c r="AT520">
        <v>0</v>
      </c>
      <c r="AW520" t="s">
        <v>58</v>
      </c>
      <c r="AX520">
        <v>20</v>
      </c>
      <c r="AY520" s="1">
        <v>37073</v>
      </c>
      <c r="AZ520" s="1">
        <v>37073</v>
      </c>
      <c r="BA520" s="1">
        <v>37073</v>
      </c>
      <c r="BB520" s="1">
        <v>44378</v>
      </c>
      <c r="BC520" t="s">
        <v>51</v>
      </c>
      <c r="BE520" t="s">
        <v>54</v>
      </c>
      <c r="BF520">
        <v>2</v>
      </c>
      <c r="BG520">
        <v>0</v>
      </c>
      <c r="BH520" t="s">
        <v>53</v>
      </c>
      <c r="BK520" t="s">
        <v>59</v>
      </c>
      <c r="BL520">
        <v>14000</v>
      </c>
      <c r="BM520" s="1">
        <v>42917</v>
      </c>
      <c r="BN520" s="1">
        <v>42917</v>
      </c>
      <c r="BO520" s="1">
        <v>42917</v>
      </c>
      <c r="BP520" s="1">
        <v>44117</v>
      </c>
      <c r="BQ520" t="s">
        <v>51</v>
      </c>
      <c r="BS520" t="s">
        <v>60</v>
      </c>
      <c r="BT520" t="s">
        <v>54</v>
      </c>
      <c r="BU520" t="s">
        <v>61</v>
      </c>
      <c r="BV520" t="s">
        <v>62</v>
      </c>
      <c r="BX520">
        <v>24</v>
      </c>
      <c r="BY520">
        <v>0</v>
      </c>
      <c r="BZ520">
        <v>0</v>
      </c>
    </row>
    <row r="521" spans="1:78" x14ac:dyDescent="0.2">
      <c r="A521" t="s">
        <v>180</v>
      </c>
      <c r="B521" t="s">
        <v>181</v>
      </c>
      <c r="C521" t="s">
        <v>184</v>
      </c>
      <c r="D521" t="s">
        <v>470</v>
      </c>
      <c r="F521" t="str">
        <f>"250059"</f>
        <v>250059</v>
      </c>
      <c r="G521" t="s">
        <v>49</v>
      </c>
      <c r="H521" t="s">
        <v>478</v>
      </c>
      <c r="K521" t="s">
        <v>51</v>
      </c>
      <c r="L521" t="s">
        <v>52</v>
      </c>
      <c r="M521">
        <v>136840.69</v>
      </c>
      <c r="N521">
        <v>471818.66</v>
      </c>
      <c r="O521" t="s">
        <v>53</v>
      </c>
      <c r="P521" t="s">
        <v>54</v>
      </c>
      <c r="Q521" t="s">
        <v>55</v>
      </c>
      <c r="T521" t="s">
        <v>183</v>
      </c>
      <c r="U521">
        <v>40</v>
      </c>
      <c r="V521" s="1">
        <v>37073</v>
      </c>
      <c r="W521" s="1">
        <v>37073</v>
      </c>
      <c r="X521" s="1">
        <v>37073</v>
      </c>
      <c r="Y521" s="1">
        <v>51683</v>
      </c>
      <c r="Z521" t="s">
        <v>51</v>
      </c>
      <c r="AB521" t="s">
        <v>54</v>
      </c>
      <c r="AC521">
        <v>1</v>
      </c>
      <c r="AE521" t="s">
        <v>84</v>
      </c>
      <c r="AF521">
        <v>20</v>
      </c>
      <c r="AG521" s="1">
        <v>37073</v>
      </c>
      <c r="AH521" s="1">
        <v>37073</v>
      </c>
      <c r="AI521" s="1">
        <v>37073</v>
      </c>
      <c r="AJ521" s="1">
        <v>44378</v>
      </c>
      <c r="AK521" t="s">
        <v>51</v>
      </c>
      <c r="AN521">
        <v>0</v>
      </c>
      <c r="AO521" t="s">
        <v>54</v>
      </c>
      <c r="AP521" t="s">
        <v>53</v>
      </c>
      <c r="AQ521">
        <v>0</v>
      </c>
      <c r="AR521" t="s">
        <v>53</v>
      </c>
      <c r="AS521">
        <v>0</v>
      </c>
      <c r="AT521">
        <v>0</v>
      </c>
      <c r="AW521" t="s">
        <v>58</v>
      </c>
      <c r="AX521">
        <v>20</v>
      </c>
      <c r="AY521" s="1">
        <v>43920</v>
      </c>
      <c r="AZ521" s="1">
        <v>43920</v>
      </c>
      <c r="BA521" s="1">
        <v>43920</v>
      </c>
      <c r="BB521" s="1">
        <v>51225</v>
      </c>
      <c r="BC521" t="s">
        <v>51</v>
      </c>
      <c r="BE521" t="s">
        <v>54</v>
      </c>
      <c r="BF521">
        <v>2</v>
      </c>
      <c r="BG521">
        <v>0</v>
      </c>
      <c r="BH521" t="s">
        <v>53</v>
      </c>
      <c r="BK521" t="s">
        <v>59</v>
      </c>
      <c r="BL521">
        <v>14000</v>
      </c>
      <c r="BM521" s="1">
        <v>42917</v>
      </c>
      <c r="BN521" s="1">
        <v>42917</v>
      </c>
      <c r="BO521" s="1">
        <v>43920</v>
      </c>
      <c r="BP521" s="1">
        <v>44117</v>
      </c>
      <c r="BQ521" t="s">
        <v>51</v>
      </c>
      <c r="BS521" t="s">
        <v>60</v>
      </c>
      <c r="BT521" t="s">
        <v>54</v>
      </c>
      <c r="BU521" t="s">
        <v>61</v>
      </c>
      <c r="BV521" t="s">
        <v>62</v>
      </c>
      <c r="BX521">
        <v>24</v>
      </c>
      <c r="BY521">
        <v>0</v>
      </c>
      <c r="BZ521">
        <v>0</v>
      </c>
    </row>
    <row r="522" spans="1:78" x14ac:dyDescent="0.2">
      <c r="A522" t="s">
        <v>180</v>
      </c>
      <c r="B522" t="s">
        <v>181</v>
      </c>
      <c r="C522" t="s">
        <v>184</v>
      </c>
      <c r="D522" t="s">
        <v>470</v>
      </c>
      <c r="F522" t="str">
        <f>"250060"</f>
        <v>250060</v>
      </c>
      <c r="G522" t="s">
        <v>49</v>
      </c>
      <c r="K522" t="s">
        <v>51</v>
      </c>
      <c r="L522" t="s">
        <v>52</v>
      </c>
      <c r="M522">
        <v>136846.51999999999</v>
      </c>
      <c r="N522">
        <v>471788.38</v>
      </c>
      <c r="O522" t="s">
        <v>53</v>
      </c>
      <c r="P522" t="s">
        <v>54</v>
      </c>
      <c r="Q522" t="s">
        <v>55</v>
      </c>
      <c r="T522" t="s">
        <v>183</v>
      </c>
      <c r="U522">
        <v>40</v>
      </c>
      <c r="V522" s="1">
        <v>34881</v>
      </c>
      <c r="W522" s="1">
        <v>34881</v>
      </c>
      <c r="X522" s="1">
        <v>34881</v>
      </c>
      <c r="Y522" s="1">
        <v>49491</v>
      </c>
      <c r="Z522" t="s">
        <v>51</v>
      </c>
      <c r="AB522" t="s">
        <v>54</v>
      </c>
      <c r="AC522">
        <v>1</v>
      </c>
      <c r="AE522" t="s">
        <v>84</v>
      </c>
      <c r="AF522">
        <v>20</v>
      </c>
      <c r="AG522" s="1">
        <v>34881</v>
      </c>
      <c r="AH522" s="1">
        <v>34881</v>
      </c>
      <c r="AI522" s="1">
        <v>34881</v>
      </c>
      <c r="AJ522" s="1">
        <v>42186</v>
      </c>
      <c r="AK522" t="s">
        <v>51</v>
      </c>
      <c r="AN522">
        <v>0</v>
      </c>
      <c r="AO522" t="s">
        <v>54</v>
      </c>
      <c r="AP522" t="s">
        <v>53</v>
      </c>
      <c r="AQ522">
        <v>0</v>
      </c>
      <c r="AR522" t="s">
        <v>53</v>
      </c>
      <c r="AS522">
        <v>0</v>
      </c>
      <c r="AT522">
        <v>0</v>
      </c>
      <c r="AW522" t="s">
        <v>58</v>
      </c>
      <c r="AX522">
        <v>20</v>
      </c>
      <c r="AY522" s="1">
        <v>34881</v>
      </c>
      <c r="AZ522" s="1">
        <v>34881</v>
      </c>
      <c r="BA522" s="1">
        <v>34881</v>
      </c>
      <c r="BB522" s="1">
        <v>42186</v>
      </c>
      <c r="BC522" t="s">
        <v>51</v>
      </c>
      <c r="BE522" t="s">
        <v>54</v>
      </c>
      <c r="BF522">
        <v>2</v>
      </c>
      <c r="BG522">
        <v>0</v>
      </c>
      <c r="BH522" t="s">
        <v>53</v>
      </c>
      <c r="BK522" t="s">
        <v>59</v>
      </c>
      <c r="BL522">
        <v>14000</v>
      </c>
      <c r="BM522" s="1">
        <v>42917</v>
      </c>
      <c r="BN522" s="1">
        <v>42917</v>
      </c>
      <c r="BO522" s="1">
        <v>42917</v>
      </c>
      <c r="BP522" s="1">
        <v>44117</v>
      </c>
      <c r="BQ522" t="s">
        <v>51</v>
      </c>
      <c r="BS522" t="s">
        <v>60</v>
      </c>
      <c r="BT522" t="s">
        <v>54</v>
      </c>
      <c r="BU522" t="s">
        <v>61</v>
      </c>
      <c r="BV522" t="s">
        <v>62</v>
      </c>
      <c r="BX522">
        <v>24</v>
      </c>
      <c r="BY522">
        <v>0</v>
      </c>
      <c r="BZ522">
        <v>0</v>
      </c>
    </row>
    <row r="523" spans="1:78" x14ac:dyDescent="0.2">
      <c r="A523" t="s">
        <v>180</v>
      </c>
      <c r="B523" t="s">
        <v>181</v>
      </c>
      <c r="C523" t="s">
        <v>184</v>
      </c>
      <c r="D523" t="s">
        <v>470</v>
      </c>
      <c r="F523" t="str">
        <f>"250061"</f>
        <v>250061</v>
      </c>
      <c r="G523" t="s">
        <v>49</v>
      </c>
      <c r="H523" t="s">
        <v>479</v>
      </c>
      <c r="K523" t="s">
        <v>51</v>
      </c>
      <c r="L523" t="s">
        <v>52</v>
      </c>
      <c r="M523">
        <v>136825.88</v>
      </c>
      <c r="N523">
        <v>471798</v>
      </c>
      <c r="O523" t="s">
        <v>53</v>
      </c>
      <c r="P523" t="s">
        <v>54</v>
      </c>
      <c r="Q523" t="s">
        <v>55</v>
      </c>
      <c r="T523" t="s">
        <v>480</v>
      </c>
      <c r="U523">
        <v>40</v>
      </c>
      <c r="V523" s="1">
        <v>33786</v>
      </c>
      <c r="W523" s="1">
        <v>33786</v>
      </c>
      <c r="X523" s="1">
        <v>33786</v>
      </c>
      <c r="Y523" s="1">
        <v>48396</v>
      </c>
      <c r="Z523" t="s">
        <v>51</v>
      </c>
      <c r="AB523" t="s">
        <v>54</v>
      </c>
      <c r="AC523">
        <v>1</v>
      </c>
      <c r="AE523" t="s">
        <v>222</v>
      </c>
      <c r="AF523">
        <v>20</v>
      </c>
      <c r="AG523" s="1">
        <v>33786</v>
      </c>
      <c r="AH523" s="1">
        <v>33786</v>
      </c>
      <c r="AI523" s="1">
        <v>33786</v>
      </c>
      <c r="AJ523" s="1">
        <v>41091</v>
      </c>
      <c r="AK523" t="s">
        <v>51</v>
      </c>
      <c r="AN523">
        <v>0</v>
      </c>
      <c r="AO523" t="s">
        <v>54</v>
      </c>
      <c r="AP523" t="s">
        <v>53</v>
      </c>
      <c r="AQ523">
        <v>0</v>
      </c>
      <c r="AR523" t="s">
        <v>53</v>
      </c>
      <c r="AS523">
        <v>0</v>
      </c>
      <c r="AT523">
        <v>0</v>
      </c>
      <c r="AW523" t="s">
        <v>58</v>
      </c>
      <c r="AX523">
        <v>20</v>
      </c>
      <c r="AY523" s="1">
        <v>33786</v>
      </c>
      <c r="AZ523" s="1">
        <v>33786</v>
      </c>
      <c r="BA523" s="1">
        <v>33786</v>
      </c>
      <c r="BB523" s="1">
        <v>41091</v>
      </c>
      <c r="BC523" t="s">
        <v>51</v>
      </c>
      <c r="BE523" t="s">
        <v>54</v>
      </c>
      <c r="BF523">
        <v>2</v>
      </c>
      <c r="BG523">
        <v>0</v>
      </c>
      <c r="BH523" t="s">
        <v>53</v>
      </c>
      <c r="BK523" t="s">
        <v>65</v>
      </c>
      <c r="BL523">
        <v>14000</v>
      </c>
      <c r="BM523" s="1">
        <v>42917</v>
      </c>
      <c r="BN523" s="1">
        <v>42917</v>
      </c>
      <c r="BO523" s="1">
        <v>42917</v>
      </c>
      <c r="BP523" s="1">
        <v>44117</v>
      </c>
      <c r="BQ523" t="s">
        <v>51</v>
      </c>
      <c r="BS523" t="s">
        <v>60</v>
      </c>
      <c r="BT523" t="s">
        <v>54</v>
      </c>
      <c r="BU523" t="s">
        <v>61</v>
      </c>
      <c r="BV523" t="s">
        <v>62</v>
      </c>
      <c r="BX523">
        <v>36</v>
      </c>
      <c r="BY523">
        <v>0</v>
      </c>
      <c r="BZ523">
        <v>0</v>
      </c>
    </row>
    <row r="524" spans="1:78" x14ac:dyDescent="0.2">
      <c r="A524" t="s">
        <v>180</v>
      </c>
      <c r="B524" t="s">
        <v>181</v>
      </c>
      <c r="C524" t="s">
        <v>184</v>
      </c>
      <c r="D524" t="s">
        <v>470</v>
      </c>
      <c r="F524" t="str">
        <f>"250062"</f>
        <v>250062</v>
      </c>
      <c r="G524" t="s">
        <v>49</v>
      </c>
      <c r="H524" t="s">
        <v>481</v>
      </c>
      <c r="K524" t="s">
        <v>51</v>
      </c>
      <c r="L524" t="s">
        <v>52</v>
      </c>
      <c r="M524">
        <v>136841.32999999999</v>
      </c>
      <c r="N524">
        <v>471762.95</v>
      </c>
      <c r="O524" t="s">
        <v>53</v>
      </c>
      <c r="P524" t="s">
        <v>54</v>
      </c>
      <c r="Q524" t="s">
        <v>55</v>
      </c>
      <c r="T524" t="s">
        <v>469</v>
      </c>
      <c r="U524">
        <v>40</v>
      </c>
      <c r="V524" s="1">
        <v>20637</v>
      </c>
      <c r="W524" s="1">
        <v>20637</v>
      </c>
      <c r="X524" s="1">
        <v>20637</v>
      </c>
      <c r="Y524" s="1">
        <v>35247</v>
      </c>
      <c r="Z524" t="s">
        <v>51</v>
      </c>
      <c r="AB524" t="s">
        <v>54</v>
      </c>
      <c r="AC524">
        <v>1</v>
      </c>
      <c r="AE524" t="s">
        <v>84</v>
      </c>
      <c r="AF524">
        <v>20</v>
      </c>
      <c r="AG524" s="1">
        <v>34516</v>
      </c>
      <c r="AH524" s="1">
        <v>34516</v>
      </c>
      <c r="AI524" s="1">
        <v>34516</v>
      </c>
      <c r="AJ524" s="1">
        <v>41821</v>
      </c>
      <c r="AK524" t="s">
        <v>51</v>
      </c>
      <c r="AN524">
        <v>0</v>
      </c>
      <c r="AO524" t="s">
        <v>54</v>
      </c>
      <c r="AP524" t="s">
        <v>53</v>
      </c>
      <c r="AQ524">
        <v>0</v>
      </c>
      <c r="AR524" t="s">
        <v>53</v>
      </c>
      <c r="AS524">
        <v>0</v>
      </c>
      <c r="AT524">
        <v>0</v>
      </c>
      <c r="AW524" t="s">
        <v>58</v>
      </c>
      <c r="AX524">
        <v>20</v>
      </c>
      <c r="AY524" s="1">
        <v>34516</v>
      </c>
      <c r="AZ524" s="1">
        <v>34516</v>
      </c>
      <c r="BA524" s="1">
        <v>34516</v>
      </c>
      <c r="BB524" s="1">
        <v>41821</v>
      </c>
      <c r="BC524" t="s">
        <v>51</v>
      </c>
      <c r="BE524" t="s">
        <v>54</v>
      </c>
      <c r="BF524">
        <v>2</v>
      </c>
      <c r="BG524">
        <v>0</v>
      </c>
      <c r="BH524" t="s">
        <v>53</v>
      </c>
      <c r="BK524" t="s">
        <v>59</v>
      </c>
      <c r="BL524">
        <v>14000</v>
      </c>
      <c r="BM524" s="1">
        <v>42917</v>
      </c>
      <c r="BN524" s="1">
        <v>42917</v>
      </c>
      <c r="BO524" s="1">
        <v>42917</v>
      </c>
      <c r="BP524" s="1">
        <v>44117</v>
      </c>
      <c r="BQ524" t="s">
        <v>51</v>
      </c>
      <c r="BS524" t="s">
        <v>60</v>
      </c>
      <c r="BT524" t="s">
        <v>54</v>
      </c>
      <c r="BU524" t="s">
        <v>61</v>
      </c>
      <c r="BV524" t="s">
        <v>62</v>
      </c>
      <c r="BX524">
        <v>24</v>
      </c>
      <c r="BY524">
        <v>0</v>
      </c>
      <c r="BZ524">
        <v>0</v>
      </c>
    </row>
    <row r="525" spans="1:78" x14ac:dyDescent="0.2">
      <c r="A525" t="s">
        <v>180</v>
      </c>
      <c r="B525" t="s">
        <v>181</v>
      </c>
      <c r="C525" t="s">
        <v>184</v>
      </c>
      <c r="D525" t="s">
        <v>470</v>
      </c>
      <c r="F525" t="str">
        <f>"250063"</f>
        <v>250063</v>
      </c>
      <c r="G525" t="s">
        <v>49</v>
      </c>
      <c r="H525">
        <v>34</v>
      </c>
      <c r="K525" t="s">
        <v>51</v>
      </c>
      <c r="L525" t="s">
        <v>52</v>
      </c>
      <c r="M525">
        <v>136841.65</v>
      </c>
      <c r="N525">
        <v>471732.68</v>
      </c>
      <c r="O525" t="s">
        <v>53</v>
      </c>
      <c r="P525" t="s">
        <v>54</v>
      </c>
      <c r="Q525" t="s">
        <v>55</v>
      </c>
      <c r="T525" t="s">
        <v>183</v>
      </c>
      <c r="U525">
        <v>40</v>
      </c>
      <c r="V525" s="1">
        <v>37073</v>
      </c>
      <c r="W525" s="1">
        <v>37073</v>
      </c>
      <c r="X525" s="1">
        <v>37073</v>
      </c>
      <c r="Y525" s="1">
        <v>51683</v>
      </c>
      <c r="Z525" t="s">
        <v>51</v>
      </c>
      <c r="AB525" t="s">
        <v>54</v>
      </c>
      <c r="AC525">
        <v>1</v>
      </c>
      <c r="AE525" t="s">
        <v>84</v>
      </c>
      <c r="AF525">
        <v>20</v>
      </c>
      <c r="AG525" s="1">
        <v>37073</v>
      </c>
      <c r="AH525" s="1">
        <v>37073</v>
      </c>
      <c r="AI525" s="1">
        <v>37073</v>
      </c>
      <c r="AJ525" s="1">
        <v>44378</v>
      </c>
      <c r="AK525" t="s">
        <v>51</v>
      </c>
      <c r="AN525">
        <v>0</v>
      </c>
      <c r="AO525" t="s">
        <v>54</v>
      </c>
      <c r="AP525" t="s">
        <v>53</v>
      </c>
      <c r="AQ525">
        <v>0</v>
      </c>
      <c r="AR525" t="s">
        <v>53</v>
      </c>
      <c r="AS525">
        <v>0</v>
      </c>
      <c r="AT525">
        <v>0</v>
      </c>
      <c r="AW525" t="s">
        <v>58</v>
      </c>
      <c r="AX525">
        <v>20</v>
      </c>
      <c r="AY525" s="1">
        <v>37073</v>
      </c>
      <c r="AZ525" s="1">
        <v>37073</v>
      </c>
      <c r="BA525" s="1">
        <v>37073</v>
      </c>
      <c r="BB525" s="1">
        <v>44378</v>
      </c>
      <c r="BC525" t="s">
        <v>51</v>
      </c>
      <c r="BE525" t="s">
        <v>54</v>
      </c>
      <c r="BF525">
        <v>2</v>
      </c>
      <c r="BG525">
        <v>0</v>
      </c>
      <c r="BH525" t="s">
        <v>53</v>
      </c>
      <c r="BK525" t="s">
        <v>59</v>
      </c>
      <c r="BL525">
        <v>14000</v>
      </c>
      <c r="BM525" s="1">
        <v>42917</v>
      </c>
      <c r="BN525" s="1">
        <v>42917</v>
      </c>
      <c r="BO525" s="1">
        <v>42917</v>
      </c>
      <c r="BP525" s="1">
        <v>44117</v>
      </c>
      <c r="BQ525" t="s">
        <v>51</v>
      </c>
      <c r="BS525" t="s">
        <v>60</v>
      </c>
      <c r="BT525" t="s">
        <v>54</v>
      </c>
      <c r="BU525" t="s">
        <v>61</v>
      </c>
      <c r="BV525" t="s">
        <v>62</v>
      </c>
      <c r="BX525">
        <v>24</v>
      </c>
      <c r="BY525">
        <v>0</v>
      </c>
      <c r="BZ525">
        <v>0</v>
      </c>
    </row>
    <row r="526" spans="1:78" x14ac:dyDescent="0.2">
      <c r="A526" t="s">
        <v>180</v>
      </c>
      <c r="B526" t="s">
        <v>181</v>
      </c>
      <c r="C526" t="s">
        <v>184</v>
      </c>
      <c r="D526" t="s">
        <v>470</v>
      </c>
      <c r="F526" t="str">
        <f>"250064"</f>
        <v>250064</v>
      </c>
      <c r="G526" t="s">
        <v>49</v>
      </c>
      <c r="H526" t="s">
        <v>482</v>
      </c>
      <c r="K526" t="s">
        <v>51</v>
      </c>
      <c r="L526" t="s">
        <v>52</v>
      </c>
      <c r="M526">
        <v>136842.28</v>
      </c>
      <c r="N526">
        <v>471702.42</v>
      </c>
      <c r="O526" t="s">
        <v>53</v>
      </c>
      <c r="P526" t="s">
        <v>54</v>
      </c>
      <c r="Q526" t="s">
        <v>55</v>
      </c>
      <c r="T526" t="s">
        <v>183</v>
      </c>
      <c r="U526">
        <v>40</v>
      </c>
      <c r="V526" s="1">
        <v>34516</v>
      </c>
      <c r="W526" s="1">
        <v>34516</v>
      </c>
      <c r="X526" s="1">
        <v>34516</v>
      </c>
      <c r="Y526" s="1">
        <v>49126</v>
      </c>
      <c r="Z526" t="s">
        <v>51</v>
      </c>
      <c r="AB526" t="s">
        <v>54</v>
      </c>
      <c r="AC526">
        <v>1</v>
      </c>
      <c r="AE526" t="s">
        <v>84</v>
      </c>
      <c r="AF526">
        <v>20</v>
      </c>
      <c r="AG526" s="1">
        <v>37073</v>
      </c>
      <c r="AH526" s="1">
        <v>37073</v>
      </c>
      <c r="AI526" s="1">
        <v>37073</v>
      </c>
      <c r="AJ526" s="1">
        <v>44378</v>
      </c>
      <c r="AK526" t="s">
        <v>51</v>
      </c>
      <c r="AN526">
        <v>0</v>
      </c>
      <c r="AO526" t="s">
        <v>54</v>
      </c>
      <c r="AP526" t="s">
        <v>53</v>
      </c>
      <c r="AQ526">
        <v>0</v>
      </c>
      <c r="AR526" t="s">
        <v>53</v>
      </c>
      <c r="AS526">
        <v>0</v>
      </c>
      <c r="AT526">
        <v>0</v>
      </c>
      <c r="AW526" t="s">
        <v>58</v>
      </c>
      <c r="AX526">
        <v>20</v>
      </c>
      <c r="AY526" s="1">
        <v>37073</v>
      </c>
      <c r="AZ526" s="1">
        <v>37073</v>
      </c>
      <c r="BA526" s="1">
        <v>37073</v>
      </c>
      <c r="BB526" s="1">
        <v>44378</v>
      </c>
      <c r="BC526" t="s">
        <v>51</v>
      </c>
      <c r="BE526" t="s">
        <v>54</v>
      </c>
      <c r="BF526">
        <v>2</v>
      </c>
      <c r="BG526">
        <v>0</v>
      </c>
      <c r="BH526" t="s">
        <v>53</v>
      </c>
      <c r="BK526" t="s">
        <v>59</v>
      </c>
      <c r="BL526">
        <v>14000</v>
      </c>
      <c r="BM526" s="1">
        <v>42917</v>
      </c>
      <c r="BN526" s="1">
        <v>42917</v>
      </c>
      <c r="BO526" s="1">
        <v>42917</v>
      </c>
      <c r="BP526" s="1">
        <v>44117</v>
      </c>
      <c r="BQ526" t="s">
        <v>51</v>
      </c>
      <c r="BS526" t="s">
        <v>60</v>
      </c>
      <c r="BT526" t="s">
        <v>54</v>
      </c>
      <c r="BU526" t="s">
        <v>61</v>
      </c>
      <c r="BV526" t="s">
        <v>62</v>
      </c>
      <c r="BX526">
        <v>24</v>
      </c>
      <c r="BY526">
        <v>0</v>
      </c>
      <c r="BZ526">
        <v>0</v>
      </c>
    </row>
    <row r="527" spans="1:78" x14ac:dyDescent="0.2">
      <c r="A527" t="s">
        <v>180</v>
      </c>
      <c r="B527" t="s">
        <v>181</v>
      </c>
      <c r="C527" t="s">
        <v>184</v>
      </c>
      <c r="D527" t="s">
        <v>470</v>
      </c>
      <c r="F527" t="str">
        <f>"250065"</f>
        <v>250065</v>
      </c>
      <c r="G527" t="s">
        <v>49</v>
      </c>
      <c r="H527">
        <v>37</v>
      </c>
      <c r="K527" t="s">
        <v>51</v>
      </c>
      <c r="L527" t="s">
        <v>52</v>
      </c>
      <c r="M527">
        <v>136842.95000000001</v>
      </c>
      <c r="N527">
        <v>471671.78</v>
      </c>
      <c r="O527" t="s">
        <v>53</v>
      </c>
      <c r="P527" t="s">
        <v>54</v>
      </c>
      <c r="Q527" t="s">
        <v>55</v>
      </c>
      <c r="T527" t="s">
        <v>183</v>
      </c>
      <c r="U527">
        <v>40</v>
      </c>
      <c r="V527" s="1">
        <v>37073</v>
      </c>
      <c r="W527" s="1">
        <v>37073</v>
      </c>
      <c r="X527" s="1">
        <v>37073</v>
      </c>
      <c r="Y527" s="1">
        <v>51683</v>
      </c>
      <c r="Z527" t="s">
        <v>51</v>
      </c>
      <c r="AB527" t="s">
        <v>54</v>
      </c>
      <c r="AC527">
        <v>1</v>
      </c>
      <c r="AE527" t="s">
        <v>84</v>
      </c>
      <c r="AF527">
        <v>20</v>
      </c>
      <c r="AG527" s="1">
        <v>37073</v>
      </c>
      <c r="AH527" s="1">
        <v>37073</v>
      </c>
      <c r="AI527" s="1">
        <v>37073</v>
      </c>
      <c r="AJ527" s="1">
        <v>44378</v>
      </c>
      <c r="AK527" t="s">
        <v>51</v>
      </c>
      <c r="AN527">
        <v>0</v>
      </c>
      <c r="AO527" t="s">
        <v>54</v>
      </c>
      <c r="AP527" t="s">
        <v>53</v>
      </c>
      <c r="AQ527">
        <v>0</v>
      </c>
      <c r="AR527" t="s">
        <v>53</v>
      </c>
      <c r="AS527">
        <v>0</v>
      </c>
      <c r="AT527">
        <v>0</v>
      </c>
      <c r="AW527" t="s">
        <v>58</v>
      </c>
      <c r="AX527">
        <v>20</v>
      </c>
      <c r="AY527" s="1">
        <v>37073</v>
      </c>
      <c r="AZ527" s="1">
        <v>37073</v>
      </c>
      <c r="BA527" s="1">
        <v>37073</v>
      </c>
      <c r="BB527" s="1">
        <v>44378</v>
      </c>
      <c r="BC527" t="s">
        <v>51</v>
      </c>
      <c r="BE527" t="s">
        <v>54</v>
      </c>
      <c r="BF527">
        <v>2</v>
      </c>
      <c r="BG527">
        <v>0</v>
      </c>
      <c r="BH527" t="s">
        <v>53</v>
      </c>
      <c r="BK527" t="s">
        <v>59</v>
      </c>
      <c r="BL527">
        <v>14000</v>
      </c>
      <c r="BM527" s="1">
        <v>42917</v>
      </c>
      <c r="BN527" s="1">
        <v>42917</v>
      </c>
      <c r="BO527" s="1">
        <v>42917</v>
      </c>
      <c r="BP527" s="1">
        <v>44117</v>
      </c>
      <c r="BQ527" t="s">
        <v>51</v>
      </c>
      <c r="BS527" t="s">
        <v>60</v>
      </c>
      <c r="BT527" t="s">
        <v>54</v>
      </c>
      <c r="BU527" t="s">
        <v>61</v>
      </c>
      <c r="BV527" t="s">
        <v>62</v>
      </c>
      <c r="BX527">
        <v>24</v>
      </c>
      <c r="BY527">
        <v>0</v>
      </c>
      <c r="BZ527">
        <v>0</v>
      </c>
    </row>
    <row r="528" spans="1:78" x14ac:dyDescent="0.2">
      <c r="A528" t="s">
        <v>180</v>
      </c>
      <c r="B528" t="s">
        <v>181</v>
      </c>
      <c r="C528" t="s">
        <v>184</v>
      </c>
      <c r="D528" t="s">
        <v>470</v>
      </c>
      <c r="F528" t="str">
        <f>"250066"</f>
        <v>250066</v>
      </c>
      <c r="G528" t="s">
        <v>49</v>
      </c>
      <c r="H528">
        <v>37</v>
      </c>
      <c r="K528" t="s">
        <v>51</v>
      </c>
      <c r="L528" t="s">
        <v>52</v>
      </c>
      <c r="M528">
        <v>136843.25</v>
      </c>
      <c r="N528">
        <v>471643.04</v>
      </c>
      <c r="O528" t="s">
        <v>53</v>
      </c>
      <c r="P528" t="s">
        <v>54</v>
      </c>
      <c r="Q528" t="s">
        <v>55</v>
      </c>
      <c r="T528" t="s">
        <v>183</v>
      </c>
      <c r="U528">
        <v>40</v>
      </c>
      <c r="V528" s="1">
        <v>37073</v>
      </c>
      <c r="W528" s="1">
        <v>37073</v>
      </c>
      <c r="X528" s="1">
        <v>37073</v>
      </c>
      <c r="Y528" s="1">
        <v>51683</v>
      </c>
      <c r="Z528" t="s">
        <v>51</v>
      </c>
      <c r="AB528" t="s">
        <v>54</v>
      </c>
      <c r="AC528">
        <v>1</v>
      </c>
      <c r="AE528" t="s">
        <v>84</v>
      </c>
      <c r="AF528">
        <v>20</v>
      </c>
      <c r="AG528" s="1">
        <v>37073</v>
      </c>
      <c r="AH528" s="1">
        <v>37073</v>
      </c>
      <c r="AI528" s="1">
        <v>37073</v>
      </c>
      <c r="AJ528" s="1">
        <v>44378</v>
      </c>
      <c r="AK528" t="s">
        <v>51</v>
      </c>
      <c r="AN528">
        <v>0</v>
      </c>
      <c r="AO528" t="s">
        <v>54</v>
      </c>
      <c r="AP528" t="s">
        <v>53</v>
      </c>
      <c r="AQ528">
        <v>0</v>
      </c>
      <c r="AR528" t="s">
        <v>53</v>
      </c>
      <c r="AS528">
        <v>0</v>
      </c>
      <c r="AT528">
        <v>0</v>
      </c>
      <c r="AW528" t="s">
        <v>58</v>
      </c>
      <c r="AX528">
        <v>20</v>
      </c>
      <c r="AY528" s="1">
        <v>37073</v>
      </c>
      <c r="AZ528" s="1">
        <v>37073</v>
      </c>
      <c r="BA528" s="1">
        <v>37073</v>
      </c>
      <c r="BB528" s="1">
        <v>44378</v>
      </c>
      <c r="BC528" t="s">
        <v>51</v>
      </c>
      <c r="BE528" t="s">
        <v>54</v>
      </c>
      <c r="BF528">
        <v>2</v>
      </c>
      <c r="BG528">
        <v>0</v>
      </c>
      <c r="BH528" t="s">
        <v>53</v>
      </c>
      <c r="BK528" t="s">
        <v>59</v>
      </c>
      <c r="BL528">
        <v>14000</v>
      </c>
      <c r="BM528" s="1">
        <v>42917</v>
      </c>
      <c r="BN528" s="1">
        <v>42917</v>
      </c>
      <c r="BO528" s="1">
        <v>42917</v>
      </c>
      <c r="BP528" s="1">
        <v>44117</v>
      </c>
      <c r="BQ528" t="s">
        <v>51</v>
      </c>
      <c r="BS528" t="s">
        <v>60</v>
      </c>
      <c r="BT528" t="s">
        <v>54</v>
      </c>
      <c r="BU528" t="s">
        <v>61</v>
      </c>
      <c r="BV528" t="s">
        <v>62</v>
      </c>
      <c r="BX528">
        <v>24</v>
      </c>
      <c r="BY528">
        <v>0</v>
      </c>
      <c r="BZ528">
        <v>0</v>
      </c>
    </row>
    <row r="529" spans="1:99" x14ac:dyDescent="0.2">
      <c r="A529" t="s">
        <v>180</v>
      </c>
      <c r="B529" t="s">
        <v>181</v>
      </c>
      <c r="C529" t="s">
        <v>184</v>
      </c>
      <c r="D529" t="s">
        <v>470</v>
      </c>
      <c r="F529" t="str">
        <f>"254271"</f>
        <v>254271</v>
      </c>
      <c r="G529" t="s">
        <v>49</v>
      </c>
      <c r="H529" t="s">
        <v>483</v>
      </c>
      <c r="K529" t="s">
        <v>51</v>
      </c>
      <c r="L529" t="s">
        <v>52</v>
      </c>
      <c r="M529">
        <v>136843.51999999999</v>
      </c>
      <c r="N529">
        <v>471606.88</v>
      </c>
      <c r="O529" t="s">
        <v>53</v>
      </c>
      <c r="P529" t="s">
        <v>54</v>
      </c>
      <c r="Q529" t="s">
        <v>55</v>
      </c>
      <c r="T529" t="s">
        <v>183</v>
      </c>
      <c r="U529">
        <v>40</v>
      </c>
      <c r="V529" s="1">
        <v>20637</v>
      </c>
      <c r="W529" s="1">
        <v>20637</v>
      </c>
      <c r="X529" s="1">
        <v>20637</v>
      </c>
      <c r="Y529" s="1">
        <v>35247</v>
      </c>
      <c r="Z529" t="s">
        <v>51</v>
      </c>
      <c r="AB529" t="s">
        <v>54</v>
      </c>
      <c r="AC529">
        <v>1</v>
      </c>
      <c r="AE529" t="s">
        <v>84</v>
      </c>
      <c r="AF529">
        <v>20</v>
      </c>
      <c r="AG529" s="1">
        <v>34516</v>
      </c>
      <c r="AH529" s="1">
        <v>34516</v>
      </c>
      <c r="AI529" s="1">
        <v>34516</v>
      </c>
      <c r="AJ529" s="1">
        <v>41821</v>
      </c>
      <c r="AK529" t="s">
        <v>51</v>
      </c>
      <c r="AN529">
        <v>0</v>
      </c>
      <c r="AO529" t="s">
        <v>54</v>
      </c>
      <c r="AP529" t="s">
        <v>53</v>
      </c>
      <c r="AQ529">
        <v>0</v>
      </c>
      <c r="AR529" t="s">
        <v>53</v>
      </c>
      <c r="AS529">
        <v>0</v>
      </c>
      <c r="AT529">
        <v>0</v>
      </c>
      <c r="AW529" t="s">
        <v>58</v>
      </c>
      <c r="AX529">
        <v>20</v>
      </c>
      <c r="AY529" s="1">
        <v>43837</v>
      </c>
      <c r="AZ529" s="1">
        <v>43837</v>
      </c>
      <c r="BA529" s="1">
        <v>43837</v>
      </c>
      <c r="BB529" s="1">
        <v>51142</v>
      </c>
      <c r="BC529" t="s">
        <v>51</v>
      </c>
      <c r="BE529" t="s">
        <v>54</v>
      </c>
      <c r="BF529">
        <v>2</v>
      </c>
      <c r="BG529">
        <v>0</v>
      </c>
      <c r="BH529" t="s">
        <v>53</v>
      </c>
      <c r="BK529" t="s">
        <v>59</v>
      </c>
      <c r="BL529">
        <v>14000</v>
      </c>
      <c r="BM529" s="1">
        <v>43837</v>
      </c>
      <c r="BN529" s="1">
        <v>43837</v>
      </c>
      <c r="BO529" s="1">
        <v>43837</v>
      </c>
      <c r="BP529" s="1">
        <v>45003</v>
      </c>
      <c r="BQ529" t="s">
        <v>51</v>
      </c>
      <c r="BS529" t="s">
        <v>60</v>
      </c>
      <c r="BT529" t="s">
        <v>54</v>
      </c>
      <c r="BU529" t="s">
        <v>61</v>
      </c>
      <c r="BV529" t="s">
        <v>62</v>
      </c>
      <c r="BX529">
        <v>24</v>
      </c>
      <c r="BY529">
        <v>0</v>
      </c>
      <c r="BZ529">
        <v>0</v>
      </c>
    </row>
    <row r="530" spans="1:99" x14ac:dyDescent="0.2">
      <c r="A530" t="s">
        <v>180</v>
      </c>
      <c r="B530" t="s">
        <v>181</v>
      </c>
      <c r="C530" t="s">
        <v>184</v>
      </c>
      <c r="D530" t="s">
        <v>470</v>
      </c>
      <c r="F530" t="str">
        <f>"250068"</f>
        <v>250068</v>
      </c>
      <c r="G530" t="s">
        <v>49</v>
      </c>
      <c r="H530">
        <v>43</v>
      </c>
      <c r="K530" t="s">
        <v>51</v>
      </c>
      <c r="L530" t="s">
        <v>52</v>
      </c>
      <c r="M530">
        <v>136844.43</v>
      </c>
      <c r="N530">
        <v>471577.68</v>
      </c>
      <c r="O530" t="s">
        <v>53</v>
      </c>
      <c r="P530" t="s">
        <v>54</v>
      </c>
      <c r="Q530" t="s">
        <v>55</v>
      </c>
      <c r="T530" t="s">
        <v>183</v>
      </c>
      <c r="U530">
        <v>40</v>
      </c>
      <c r="V530" s="1">
        <v>37073</v>
      </c>
      <c r="W530" s="1">
        <v>37073</v>
      </c>
      <c r="X530" s="1">
        <v>37073</v>
      </c>
      <c r="Y530" s="1">
        <v>51683</v>
      </c>
      <c r="Z530" t="s">
        <v>51</v>
      </c>
      <c r="AB530" t="s">
        <v>54</v>
      </c>
      <c r="AC530">
        <v>1</v>
      </c>
      <c r="AE530" t="s">
        <v>84</v>
      </c>
      <c r="AF530">
        <v>20</v>
      </c>
      <c r="AG530" s="1">
        <v>37073</v>
      </c>
      <c r="AH530" s="1">
        <v>37073</v>
      </c>
      <c r="AI530" s="1">
        <v>37073</v>
      </c>
      <c r="AJ530" s="1">
        <v>44378</v>
      </c>
      <c r="AK530" t="s">
        <v>51</v>
      </c>
      <c r="AN530">
        <v>0</v>
      </c>
      <c r="AO530" t="s">
        <v>54</v>
      </c>
      <c r="AP530" t="s">
        <v>53</v>
      </c>
      <c r="AQ530">
        <v>0</v>
      </c>
      <c r="AR530" t="s">
        <v>53</v>
      </c>
      <c r="AS530">
        <v>0</v>
      </c>
      <c r="AT530">
        <v>0</v>
      </c>
      <c r="AW530" t="s">
        <v>58</v>
      </c>
      <c r="AX530">
        <v>20</v>
      </c>
      <c r="AY530" s="1">
        <v>43528</v>
      </c>
      <c r="AZ530" s="1">
        <v>43528</v>
      </c>
      <c r="BA530" s="1">
        <v>43528</v>
      </c>
      <c r="BB530" s="1">
        <v>50833</v>
      </c>
      <c r="BC530" t="s">
        <v>51</v>
      </c>
      <c r="BE530" t="s">
        <v>54</v>
      </c>
      <c r="BF530">
        <v>2</v>
      </c>
      <c r="BG530">
        <v>0</v>
      </c>
      <c r="BH530" t="s">
        <v>53</v>
      </c>
      <c r="BK530" t="s">
        <v>59</v>
      </c>
      <c r="BL530">
        <v>14000</v>
      </c>
      <c r="BM530" s="1">
        <v>43528</v>
      </c>
      <c r="BN530" s="1">
        <v>43528</v>
      </c>
      <c r="BO530" s="1">
        <v>43528</v>
      </c>
      <c r="BP530" s="1">
        <v>44734</v>
      </c>
      <c r="BQ530" t="s">
        <v>51</v>
      </c>
      <c r="BS530" t="s">
        <v>60</v>
      </c>
      <c r="BT530" t="s">
        <v>54</v>
      </c>
      <c r="BU530" t="s">
        <v>61</v>
      </c>
      <c r="BV530" t="s">
        <v>62</v>
      </c>
      <c r="BX530">
        <v>24</v>
      </c>
      <c r="BY530">
        <v>0</v>
      </c>
      <c r="BZ530">
        <v>0</v>
      </c>
    </row>
    <row r="531" spans="1:99" x14ac:dyDescent="0.2">
      <c r="A531" t="s">
        <v>180</v>
      </c>
      <c r="B531" t="s">
        <v>181</v>
      </c>
      <c r="C531" t="s">
        <v>184</v>
      </c>
      <c r="D531" t="s">
        <v>470</v>
      </c>
      <c r="F531" t="str">
        <f>"250069"</f>
        <v>250069</v>
      </c>
      <c r="G531" t="s">
        <v>49</v>
      </c>
      <c r="H531" t="s">
        <v>484</v>
      </c>
      <c r="K531" t="s">
        <v>51</v>
      </c>
      <c r="L531" t="s">
        <v>52</v>
      </c>
      <c r="M531">
        <v>136845.09</v>
      </c>
      <c r="N531">
        <v>471549.09</v>
      </c>
      <c r="O531" t="s">
        <v>53</v>
      </c>
      <c r="P531" t="s">
        <v>54</v>
      </c>
      <c r="Q531" t="s">
        <v>55</v>
      </c>
      <c r="T531" t="s">
        <v>183</v>
      </c>
      <c r="U531">
        <v>40</v>
      </c>
      <c r="V531" s="1">
        <v>20637</v>
      </c>
      <c r="W531" s="1">
        <v>20637</v>
      </c>
      <c r="X531" s="1">
        <v>20637</v>
      </c>
      <c r="Y531" s="1">
        <v>35247</v>
      </c>
      <c r="Z531" t="s">
        <v>51</v>
      </c>
      <c r="AB531" t="s">
        <v>54</v>
      </c>
      <c r="AC531">
        <v>1</v>
      </c>
      <c r="AE531" t="s">
        <v>84</v>
      </c>
      <c r="AF531">
        <v>20</v>
      </c>
      <c r="AG531" s="1">
        <v>34516</v>
      </c>
      <c r="AH531" s="1">
        <v>34516</v>
      </c>
      <c r="AI531" s="1">
        <v>34516</v>
      </c>
      <c r="AJ531" s="1">
        <v>41821</v>
      </c>
      <c r="AK531" t="s">
        <v>51</v>
      </c>
      <c r="AN531">
        <v>0</v>
      </c>
      <c r="AO531" t="s">
        <v>54</v>
      </c>
      <c r="AP531" t="s">
        <v>53</v>
      </c>
      <c r="AQ531">
        <v>0</v>
      </c>
      <c r="AR531" t="s">
        <v>53</v>
      </c>
      <c r="AS531">
        <v>0</v>
      </c>
      <c r="AT531">
        <v>0</v>
      </c>
      <c r="AW531" t="s">
        <v>58</v>
      </c>
      <c r="AX531">
        <v>20</v>
      </c>
      <c r="AY531" s="1">
        <v>34516</v>
      </c>
      <c r="AZ531" s="1">
        <v>34516</v>
      </c>
      <c r="BA531" s="1">
        <v>34516</v>
      </c>
      <c r="BB531" s="1">
        <v>41821</v>
      </c>
      <c r="BC531" t="s">
        <v>51</v>
      </c>
      <c r="BE531" t="s">
        <v>54</v>
      </c>
      <c r="BF531">
        <v>2</v>
      </c>
      <c r="BG531">
        <v>0</v>
      </c>
      <c r="BH531" t="s">
        <v>53</v>
      </c>
      <c r="BK531" t="s">
        <v>59</v>
      </c>
      <c r="BL531">
        <v>14000</v>
      </c>
      <c r="BM531" s="1">
        <v>42917</v>
      </c>
      <c r="BN531" s="1">
        <v>42917</v>
      </c>
      <c r="BO531" s="1">
        <v>42917</v>
      </c>
      <c r="BP531" s="1">
        <v>44117</v>
      </c>
      <c r="BQ531" t="s">
        <v>51</v>
      </c>
      <c r="BS531" t="s">
        <v>60</v>
      </c>
      <c r="BT531" t="s">
        <v>54</v>
      </c>
      <c r="BU531" t="s">
        <v>61</v>
      </c>
      <c r="BV531" t="s">
        <v>62</v>
      </c>
      <c r="BX531">
        <v>24</v>
      </c>
      <c r="BY531">
        <v>0</v>
      </c>
      <c r="BZ531">
        <v>0</v>
      </c>
    </row>
    <row r="532" spans="1:99" x14ac:dyDescent="0.2">
      <c r="A532" t="s">
        <v>180</v>
      </c>
      <c r="B532" t="s">
        <v>181</v>
      </c>
      <c r="C532" t="s">
        <v>184</v>
      </c>
      <c r="D532" t="s">
        <v>470</v>
      </c>
      <c r="F532" t="str">
        <f>"250070"</f>
        <v>250070</v>
      </c>
      <c r="G532" t="s">
        <v>49</v>
      </c>
      <c r="H532">
        <v>48</v>
      </c>
      <c r="K532" t="s">
        <v>51</v>
      </c>
      <c r="L532" t="s">
        <v>52</v>
      </c>
      <c r="M532">
        <v>136845.28</v>
      </c>
      <c r="N532">
        <v>471515.95</v>
      </c>
      <c r="O532" t="s">
        <v>53</v>
      </c>
      <c r="P532" t="s">
        <v>54</v>
      </c>
      <c r="Q532" t="s">
        <v>55</v>
      </c>
      <c r="T532" t="s">
        <v>183</v>
      </c>
      <c r="U532">
        <v>40</v>
      </c>
      <c r="V532" s="1">
        <v>37073</v>
      </c>
      <c r="W532" s="1">
        <v>37073</v>
      </c>
      <c r="X532" s="1">
        <v>37073</v>
      </c>
      <c r="Y532" s="1">
        <v>51683</v>
      </c>
      <c r="Z532" t="s">
        <v>51</v>
      </c>
      <c r="AB532" t="s">
        <v>54</v>
      </c>
      <c r="AC532">
        <v>1</v>
      </c>
      <c r="AE532" t="s">
        <v>84</v>
      </c>
      <c r="AF532">
        <v>20</v>
      </c>
      <c r="AG532" s="1">
        <v>37073</v>
      </c>
      <c r="AH532" s="1">
        <v>37073</v>
      </c>
      <c r="AI532" s="1">
        <v>37073</v>
      </c>
      <c r="AJ532" s="1">
        <v>44378</v>
      </c>
      <c r="AK532" t="s">
        <v>51</v>
      </c>
      <c r="AN532">
        <v>0</v>
      </c>
      <c r="AO532" t="s">
        <v>54</v>
      </c>
      <c r="AP532" t="s">
        <v>53</v>
      </c>
      <c r="AQ532">
        <v>0</v>
      </c>
      <c r="AR532" t="s">
        <v>53</v>
      </c>
      <c r="AS532">
        <v>0</v>
      </c>
      <c r="AT532">
        <v>0</v>
      </c>
      <c r="AW532" t="s">
        <v>58</v>
      </c>
      <c r="AX532">
        <v>20</v>
      </c>
      <c r="AY532" s="1">
        <v>37073</v>
      </c>
      <c r="AZ532" s="1">
        <v>37073</v>
      </c>
      <c r="BA532" s="1">
        <v>37073</v>
      </c>
      <c r="BB532" s="1">
        <v>44378</v>
      </c>
      <c r="BC532" t="s">
        <v>51</v>
      </c>
      <c r="BE532" t="s">
        <v>54</v>
      </c>
      <c r="BF532">
        <v>2</v>
      </c>
      <c r="BG532">
        <v>0</v>
      </c>
      <c r="BH532" t="s">
        <v>53</v>
      </c>
      <c r="BK532" t="s">
        <v>59</v>
      </c>
      <c r="BL532">
        <v>14000</v>
      </c>
      <c r="BM532" s="1">
        <v>42917</v>
      </c>
      <c r="BN532" s="1">
        <v>42917</v>
      </c>
      <c r="BO532" s="1">
        <v>42917</v>
      </c>
      <c r="BP532" s="1">
        <v>44117</v>
      </c>
      <c r="BQ532" t="s">
        <v>51</v>
      </c>
      <c r="BS532" t="s">
        <v>60</v>
      </c>
      <c r="BT532" t="s">
        <v>54</v>
      </c>
      <c r="BU532" t="s">
        <v>61</v>
      </c>
      <c r="BV532" t="s">
        <v>62</v>
      </c>
      <c r="BX532">
        <v>24</v>
      </c>
      <c r="BY532">
        <v>0</v>
      </c>
      <c r="BZ532">
        <v>0</v>
      </c>
    </row>
    <row r="533" spans="1:99" x14ac:dyDescent="0.2">
      <c r="A533" t="s">
        <v>180</v>
      </c>
      <c r="B533" t="s">
        <v>181</v>
      </c>
      <c r="C533" t="s">
        <v>184</v>
      </c>
      <c r="D533" t="s">
        <v>470</v>
      </c>
      <c r="F533" t="str">
        <f>"250071"</f>
        <v>250071</v>
      </c>
      <c r="G533" t="s">
        <v>49</v>
      </c>
      <c r="H533" t="s">
        <v>485</v>
      </c>
      <c r="K533" t="s">
        <v>51</v>
      </c>
      <c r="L533" t="s">
        <v>52</v>
      </c>
      <c r="M533">
        <v>136846.07999999999</v>
      </c>
      <c r="N533">
        <v>471479.73</v>
      </c>
      <c r="O533" t="s">
        <v>53</v>
      </c>
      <c r="P533" t="s">
        <v>54</v>
      </c>
      <c r="Q533" t="s">
        <v>55</v>
      </c>
      <c r="T533" t="s">
        <v>183</v>
      </c>
      <c r="U533">
        <v>40</v>
      </c>
      <c r="V533" s="1">
        <v>34516</v>
      </c>
      <c r="W533" s="1">
        <v>34516</v>
      </c>
      <c r="X533" s="1">
        <v>34516</v>
      </c>
      <c r="Y533" s="1">
        <v>49126</v>
      </c>
      <c r="Z533" t="s">
        <v>51</v>
      </c>
      <c r="AB533" t="s">
        <v>54</v>
      </c>
      <c r="AC533">
        <v>1</v>
      </c>
      <c r="AE533" t="s">
        <v>84</v>
      </c>
      <c r="AF533">
        <v>20</v>
      </c>
      <c r="AG533" s="1">
        <v>37073</v>
      </c>
      <c r="AH533" s="1">
        <v>37073</v>
      </c>
      <c r="AI533" s="1">
        <v>37073</v>
      </c>
      <c r="AJ533" s="1">
        <v>44378</v>
      </c>
      <c r="AK533" t="s">
        <v>51</v>
      </c>
      <c r="AN533">
        <v>0</v>
      </c>
      <c r="AO533" t="s">
        <v>54</v>
      </c>
      <c r="AP533" t="s">
        <v>53</v>
      </c>
      <c r="AQ533">
        <v>0</v>
      </c>
      <c r="AR533" t="s">
        <v>53</v>
      </c>
      <c r="AS533">
        <v>0</v>
      </c>
      <c r="AT533">
        <v>0</v>
      </c>
      <c r="AW533" t="s">
        <v>58</v>
      </c>
      <c r="AX533">
        <v>20</v>
      </c>
      <c r="AY533" s="1">
        <v>43913</v>
      </c>
      <c r="AZ533" s="1">
        <v>43913</v>
      </c>
      <c r="BA533" s="1">
        <v>43913</v>
      </c>
      <c r="BB533" s="1">
        <v>51218</v>
      </c>
      <c r="BC533" t="s">
        <v>51</v>
      </c>
      <c r="BE533" t="s">
        <v>54</v>
      </c>
      <c r="BF533">
        <v>2</v>
      </c>
      <c r="BG533">
        <v>0</v>
      </c>
      <c r="BH533" t="s">
        <v>53</v>
      </c>
      <c r="BK533" t="s">
        <v>59</v>
      </c>
      <c r="BL533">
        <v>14000</v>
      </c>
      <c r="BM533" s="1">
        <v>43913</v>
      </c>
      <c r="BN533" s="1">
        <v>43913</v>
      </c>
      <c r="BO533" s="1">
        <v>43913</v>
      </c>
      <c r="BP533" s="1">
        <v>45131</v>
      </c>
      <c r="BQ533" t="s">
        <v>51</v>
      </c>
      <c r="BS533" t="s">
        <v>60</v>
      </c>
      <c r="BT533" t="s">
        <v>54</v>
      </c>
      <c r="BU533" t="s">
        <v>61</v>
      </c>
      <c r="BV533" t="s">
        <v>62</v>
      </c>
      <c r="BX533">
        <v>24</v>
      </c>
      <c r="BY533">
        <v>0</v>
      </c>
      <c r="BZ533">
        <v>0</v>
      </c>
    </row>
    <row r="534" spans="1:99" x14ac:dyDescent="0.2">
      <c r="A534" t="s">
        <v>180</v>
      </c>
      <c r="B534" t="s">
        <v>181</v>
      </c>
      <c r="C534" t="s">
        <v>184</v>
      </c>
      <c r="D534" t="s">
        <v>470</v>
      </c>
      <c r="F534" t="str">
        <f>"250072"</f>
        <v>250072</v>
      </c>
      <c r="G534" t="s">
        <v>49</v>
      </c>
      <c r="H534" t="s">
        <v>486</v>
      </c>
      <c r="K534" t="s">
        <v>51</v>
      </c>
      <c r="L534" t="s">
        <v>52</v>
      </c>
      <c r="M534">
        <v>136846.35999999999</v>
      </c>
      <c r="N534">
        <v>471450.76</v>
      </c>
      <c r="O534" t="s">
        <v>53</v>
      </c>
      <c r="P534" t="s">
        <v>54</v>
      </c>
      <c r="Q534" t="s">
        <v>55</v>
      </c>
      <c r="T534" t="s">
        <v>183</v>
      </c>
      <c r="U534">
        <v>40</v>
      </c>
      <c r="V534" s="1">
        <v>37073</v>
      </c>
      <c r="W534" s="1">
        <v>37073</v>
      </c>
      <c r="X534" s="1">
        <v>37073</v>
      </c>
      <c r="Y534" s="1">
        <v>51683</v>
      </c>
      <c r="Z534" t="s">
        <v>51</v>
      </c>
      <c r="AB534" t="s">
        <v>54</v>
      </c>
      <c r="AC534">
        <v>1</v>
      </c>
      <c r="AE534" t="s">
        <v>84</v>
      </c>
      <c r="AF534">
        <v>20</v>
      </c>
      <c r="AG534" s="1">
        <v>37073</v>
      </c>
      <c r="AH534" s="1">
        <v>37073</v>
      </c>
      <c r="AI534" s="1">
        <v>37073</v>
      </c>
      <c r="AJ534" s="1">
        <v>44378</v>
      </c>
      <c r="AK534" t="s">
        <v>51</v>
      </c>
      <c r="AN534">
        <v>0</v>
      </c>
      <c r="AO534" t="s">
        <v>54</v>
      </c>
      <c r="AP534" t="s">
        <v>53</v>
      </c>
      <c r="AQ534">
        <v>0</v>
      </c>
      <c r="AR534" t="s">
        <v>53</v>
      </c>
      <c r="AS534">
        <v>0</v>
      </c>
      <c r="AT534">
        <v>0</v>
      </c>
      <c r="AW534" t="s">
        <v>58</v>
      </c>
      <c r="AX534">
        <v>20</v>
      </c>
      <c r="AY534" s="1">
        <v>37073</v>
      </c>
      <c r="AZ534" s="1">
        <v>37073</v>
      </c>
      <c r="BA534" s="1">
        <v>37073</v>
      </c>
      <c r="BB534" s="1">
        <v>44378</v>
      </c>
      <c r="BC534" t="s">
        <v>51</v>
      </c>
      <c r="BE534" t="s">
        <v>54</v>
      </c>
      <c r="BF534">
        <v>2</v>
      </c>
      <c r="BG534">
        <v>0</v>
      </c>
      <c r="BH534" t="s">
        <v>53</v>
      </c>
      <c r="BK534" t="s">
        <v>59</v>
      </c>
      <c r="BL534">
        <v>14000</v>
      </c>
      <c r="BM534" s="1">
        <v>44172</v>
      </c>
      <c r="BN534" s="1">
        <v>44172</v>
      </c>
      <c r="BO534" s="1">
        <v>44172</v>
      </c>
      <c r="BP534" s="1">
        <v>45331</v>
      </c>
      <c r="BQ534" t="s">
        <v>51</v>
      </c>
      <c r="BS534" t="s">
        <v>60</v>
      </c>
      <c r="BT534" t="s">
        <v>54</v>
      </c>
      <c r="BU534" t="s">
        <v>61</v>
      </c>
      <c r="BV534" t="s">
        <v>62</v>
      </c>
      <c r="BX534">
        <v>24</v>
      </c>
      <c r="BY534">
        <v>0</v>
      </c>
      <c r="BZ534">
        <v>0</v>
      </c>
    </row>
    <row r="535" spans="1:99" x14ac:dyDescent="0.2">
      <c r="A535" t="s">
        <v>180</v>
      </c>
      <c r="B535" t="s">
        <v>181</v>
      </c>
      <c r="C535" t="s">
        <v>184</v>
      </c>
      <c r="D535" t="s">
        <v>470</v>
      </c>
      <c r="F535" t="str">
        <f>"250073"</f>
        <v>250073</v>
      </c>
      <c r="G535" t="s">
        <v>49</v>
      </c>
      <c r="H535" t="s">
        <v>487</v>
      </c>
      <c r="K535" t="s">
        <v>51</v>
      </c>
      <c r="L535" t="s">
        <v>52</v>
      </c>
      <c r="M535">
        <v>136847.92000000001</v>
      </c>
      <c r="N535">
        <v>471414.22</v>
      </c>
      <c r="O535" t="s">
        <v>53</v>
      </c>
      <c r="P535" t="s">
        <v>54</v>
      </c>
      <c r="Q535" t="s">
        <v>55</v>
      </c>
      <c r="T535" t="s">
        <v>466</v>
      </c>
      <c r="U535">
        <v>40</v>
      </c>
      <c r="V535" s="1">
        <v>20637</v>
      </c>
      <c r="W535" s="1">
        <v>20637</v>
      </c>
      <c r="X535" s="1">
        <v>20637</v>
      </c>
      <c r="Y535" s="1">
        <v>35247</v>
      </c>
      <c r="Z535" t="s">
        <v>51</v>
      </c>
      <c r="AB535" t="s">
        <v>54</v>
      </c>
      <c r="AC535">
        <v>1</v>
      </c>
      <c r="AE535" t="s">
        <v>356</v>
      </c>
      <c r="AF535">
        <v>20</v>
      </c>
      <c r="AG535" s="1">
        <v>44942</v>
      </c>
      <c r="AH535" s="1">
        <v>44942</v>
      </c>
      <c r="AI535" s="1">
        <v>44942</v>
      </c>
      <c r="AJ535" s="1">
        <v>52247</v>
      </c>
      <c r="AK535" t="s">
        <v>51</v>
      </c>
      <c r="AN535">
        <v>0</v>
      </c>
      <c r="AO535" t="s">
        <v>54</v>
      </c>
      <c r="AP535" t="s">
        <v>53</v>
      </c>
      <c r="AQ535">
        <v>0</v>
      </c>
      <c r="AR535" t="s">
        <v>145</v>
      </c>
      <c r="AS535">
        <v>0</v>
      </c>
      <c r="AT535">
        <v>0</v>
      </c>
      <c r="CC535" t="s">
        <v>432</v>
      </c>
      <c r="CD535">
        <v>85000</v>
      </c>
      <c r="CE535" s="1">
        <v>44942</v>
      </c>
      <c r="CF535" s="1">
        <v>44942</v>
      </c>
      <c r="CG535" s="1">
        <v>44942</v>
      </c>
      <c r="CH535" s="1">
        <v>52571</v>
      </c>
      <c r="CI535" t="s">
        <v>51</v>
      </c>
      <c r="CK535" t="s">
        <v>78</v>
      </c>
      <c r="CM535" t="s">
        <v>54</v>
      </c>
      <c r="CN535" t="s">
        <v>174</v>
      </c>
      <c r="CO535" t="s">
        <v>86</v>
      </c>
      <c r="CR535">
        <v>24</v>
      </c>
      <c r="CS535">
        <v>0</v>
      </c>
      <c r="CT535">
        <v>0</v>
      </c>
      <c r="CU535">
        <v>0</v>
      </c>
    </row>
    <row r="536" spans="1:99" x14ac:dyDescent="0.2">
      <c r="A536" t="s">
        <v>180</v>
      </c>
      <c r="B536" t="s">
        <v>181</v>
      </c>
      <c r="C536" t="s">
        <v>184</v>
      </c>
      <c r="D536" t="s">
        <v>470</v>
      </c>
      <c r="F536" t="str">
        <f>"250074"</f>
        <v>250074</v>
      </c>
      <c r="G536" t="s">
        <v>49</v>
      </c>
      <c r="H536">
        <v>57</v>
      </c>
      <c r="K536" t="s">
        <v>51</v>
      </c>
      <c r="L536" t="s">
        <v>52</v>
      </c>
      <c r="M536">
        <v>136847.82999999999</v>
      </c>
      <c r="N536">
        <v>471379.24</v>
      </c>
      <c r="O536" t="s">
        <v>53</v>
      </c>
      <c r="P536" t="s">
        <v>54</v>
      </c>
      <c r="Q536" t="s">
        <v>55</v>
      </c>
      <c r="T536" t="s">
        <v>183</v>
      </c>
      <c r="U536">
        <v>40</v>
      </c>
      <c r="V536" s="1">
        <v>37073</v>
      </c>
      <c r="W536" s="1">
        <v>37073</v>
      </c>
      <c r="X536" s="1">
        <v>37073</v>
      </c>
      <c r="Y536" s="1">
        <v>51683</v>
      </c>
      <c r="Z536" t="s">
        <v>51</v>
      </c>
      <c r="AB536" t="s">
        <v>54</v>
      </c>
      <c r="AC536">
        <v>1</v>
      </c>
      <c r="AE536" t="s">
        <v>84</v>
      </c>
      <c r="AF536">
        <v>20</v>
      </c>
      <c r="AG536" s="1">
        <v>37073</v>
      </c>
      <c r="AH536" s="1">
        <v>37073</v>
      </c>
      <c r="AI536" s="1">
        <v>37073</v>
      </c>
      <c r="AJ536" s="1">
        <v>44378</v>
      </c>
      <c r="AK536" t="s">
        <v>51</v>
      </c>
      <c r="AN536">
        <v>0</v>
      </c>
      <c r="AO536" t="s">
        <v>54</v>
      </c>
      <c r="AP536" t="s">
        <v>53</v>
      </c>
      <c r="AQ536">
        <v>0</v>
      </c>
      <c r="AR536" t="s">
        <v>53</v>
      </c>
      <c r="AS536">
        <v>0</v>
      </c>
      <c r="AT536">
        <v>0</v>
      </c>
      <c r="AW536" t="s">
        <v>58</v>
      </c>
      <c r="AX536">
        <v>20</v>
      </c>
      <c r="AY536" s="1">
        <v>44970</v>
      </c>
      <c r="AZ536" s="1">
        <v>44970</v>
      </c>
      <c r="BA536" s="1">
        <v>44970</v>
      </c>
      <c r="BB536" s="1">
        <v>52275</v>
      </c>
      <c r="BC536" t="s">
        <v>51</v>
      </c>
      <c r="BE536" t="s">
        <v>54</v>
      </c>
      <c r="BF536">
        <v>2</v>
      </c>
      <c r="BG536">
        <v>0</v>
      </c>
      <c r="BH536" t="s">
        <v>53</v>
      </c>
      <c r="BK536" t="s">
        <v>59</v>
      </c>
      <c r="BL536">
        <v>14000</v>
      </c>
      <c r="BM536" s="1">
        <v>44970</v>
      </c>
      <c r="BN536" s="1">
        <v>44970</v>
      </c>
      <c r="BO536" s="1">
        <v>44970</v>
      </c>
      <c r="BP536" s="1">
        <v>46159</v>
      </c>
      <c r="BQ536" t="s">
        <v>51</v>
      </c>
      <c r="BS536" t="s">
        <v>60</v>
      </c>
      <c r="BT536" t="s">
        <v>54</v>
      </c>
      <c r="BU536" t="s">
        <v>61</v>
      </c>
      <c r="BV536" t="s">
        <v>62</v>
      </c>
      <c r="BX536">
        <v>24</v>
      </c>
      <c r="BY536">
        <v>0</v>
      </c>
      <c r="BZ536">
        <v>0</v>
      </c>
    </row>
    <row r="537" spans="1:99" x14ac:dyDescent="0.2">
      <c r="A537" t="s">
        <v>180</v>
      </c>
      <c r="B537" t="s">
        <v>181</v>
      </c>
      <c r="C537" t="s">
        <v>184</v>
      </c>
      <c r="D537" t="s">
        <v>470</v>
      </c>
      <c r="F537" t="str">
        <f>"250076"</f>
        <v>250076</v>
      </c>
      <c r="G537" t="s">
        <v>49</v>
      </c>
      <c r="H537">
        <v>57</v>
      </c>
      <c r="K537" t="s">
        <v>51</v>
      </c>
      <c r="L537" t="s">
        <v>52</v>
      </c>
      <c r="M537">
        <v>136849.35</v>
      </c>
      <c r="N537">
        <v>471318.24</v>
      </c>
      <c r="O537" t="s">
        <v>53</v>
      </c>
      <c r="P537" t="s">
        <v>54</v>
      </c>
      <c r="Q537" t="s">
        <v>55</v>
      </c>
      <c r="T537" t="s">
        <v>183</v>
      </c>
      <c r="U537">
        <v>40</v>
      </c>
      <c r="V537" s="1">
        <v>37073</v>
      </c>
      <c r="W537" s="1">
        <v>37073</v>
      </c>
      <c r="X537" s="1">
        <v>37073</v>
      </c>
      <c r="Y537" s="1">
        <v>51683</v>
      </c>
      <c r="Z537" t="s">
        <v>51</v>
      </c>
      <c r="AB537" t="s">
        <v>54</v>
      </c>
      <c r="AC537">
        <v>1</v>
      </c>
      <c r="AE537" t="s">
        <v>84</v>
      </c>
      <c r="AF537">
        <v>20</v>
      </c>
      <c r="AG537" s="1">
        <v>37073</v>
      </c>
      <c r="AH537" s="1">
        <v>37073</v>
      </c>
      <c r="AI537" s="1">
        <v>37073</v>
      </c>
      <c r="AJ537" s="1">
        <v>44378</v>
      </c>
      <c r="AK537" t="s">
        <v>51</v>
      </c>
      <c r="AN537">
        <v>0</v>
      </c>
      <c r="AO537" t="s">
        <v>54</v>
      </c>
      <c r="AP537" t="s">
        <v>53</v>
      </c>
      <c r="AQ537">
        <v>0</v>
      </c>
      <c r="AR537" t="s">
        <v>53</v>
      </c>
      <c r="AS537">
        <v>0</v>
      </c>
      <c r="AT537">
        <v>0</v>
      </c>
      <c r="AW537" t="s">
        <v>58</v>
      </c>
      <c r="AX537">
        <v>20</v>
      </c>
      <c r="AY537" s="1">
        <v>44165</v>
      </c>
      <c r="AZ537" s="1">
        <v>44165</v>
      </c>
      <c r="BA537" s="1">
        <v>44165</v>
      </c>
      <c r="BB537" s="1">
        <v>51470</v>
      </c>
      <c r="BC537" t="s">
        <v>51</v>
      </c>
      <c r="BE537" t="s">
        <v>54</v>
      </c>
      <c r="BF537">
        <v>2</v>
      </c>
      <c r="BG537">
        <v>0</v>
      </c>
      <c r="BH537" t="s">
        <v>53</v>
      </c>
      <c r="BK537" t="s">
        <v>59</v>
      </c>
      <c r="BL537">
        <v>14000</v>
      </c>
      <c r="BM537" s="1">
        <v>44165</v>
      </c>
      <c r="BN537" s="1">
        <v>44165</v>
      </c>
      <c r="BO537" s="1">
        <v>44165</v>
      </c>
      <c r="BP537" s="1">
        <v>45323</v>
      </c>
      <c r="BQ537" t="s">
        <v>51</v>
      </c>
      <c r="BS537" t="s">
        <v>60</v>
      </c>
      <c r="BT537" t="s">
        <v>54</v>
      </c>
      <c r="BU537" t="s">
        <v>61</v>
      </c>
      <c r="BV537" t="s">
        <v>62</v>
      </c>
      <c r="BX537">
        <v>24</v>
      </c>
      <c r="BY537">
        <v>0</v>
      </c>
      <c r="BZ537">
        <v>0</v>
      </c>
    </row>
    <row r="538" spans="1:99" x14ac:dyDescent="0.2">
      <c r="A538" t="s">
        <v>180</v>
      </c>
      <c r="B538" t="s">
        <v>181</v>
      </c>
      <c r="C538" t="s">
        <v>184</v>
      </c>
      <c r="D538" t="s">
        <v>470</v>
      </c>
      <c r="F538" t="str">
        <f>"250077"</f>
        <v>250077</v>
      </c>
      <c r="G538" t="s">
        <v>49</v>
      </c>
      <c r="H538" t="s">
        <v>488</v>
      </c>
      <c r="K538" t="s">
        <v>51</v>
      </c>
      <c r="L538" t="s">
        <v>52</v>
      </c>
      <c r="M538">
        <v>136849.28</v>
      </c>
      <c r="N538">
        <v>471288.88</v>
      </c>
      <c r="O538" t="s">
        <v>53</v>
      </c>
      <c r="P538" t="s">
        <v>54</v>
      </c>
      <c r="Q538" t="s">
        <v>55</v>
      </c>
      <c r="T538" t="s">
        <v>183</v>
      </c>
      <c r="U538">
        <v>40</v>
      </c>
      <c r="V538" s="1">
        <v>20637</v>
      </c>
      <c r="W538" s="1">
        <v>20637</v>
      </c>
      <c r="X538" s="1">
        <v>20637</v>
      </c>
      <c r="Y538" s="1">
        <v>35247</v>
      </c>
      <c r="Z538" t="s">
        <v>51</v>
      </c>
      <c r="AB538" t="s">
        <v>54</v>
      </c>
      <c r="AC538">
        <v>1</v>
      </c>
      <c r="AE538" t="s">
        <v>84</v>
      </c>
      <c r="AF538">
        <v>20</v>
      </c>
      <c r="AG538" s="1">
        <v>34516</v>
      </c>
      <c r="AH538" s="1">
        <v>34516</v>
      </c>
      <c r="AI538" s="1">
        <v>34516</v>
      </c>
      <c r="AJ538" s="1">
        <v>41821</v>
      </c>
      <c r="AK538" t="s">
        <v>51</v>
      </c>
      <c r="AN538">
        <v>0</v>
      </c>
      <c r="AO538" t="s">
        <v>54</v>
      </c>
      <c r="AP538" t="s">
        <v>53</v>
      </c>
      <c r="AQ538">
        <v>0</v>
      </c>
      <c r="AR538" t="s">
        <v>53</v>
      </c>
      <c r="AS538">
        <v>0</v>
      </c>
      <c r="AT538">
        <v>0</v>
      </c>
      <c r="AW538" t="s">
        <v>58</v>
      </c>
      <c r="AX538">
        <v>20</v>
      </c>
      <c r="AY538" s="1">
        <v>34516</v>
      </c>
      <c r="AZ538" s="1">
        <v>34516</v>
      </c>
      <c r="BA538" s="1">
        <v>34516</v>
      </c>
      <c r="BB538" s="1">
        <v>41821</v>
      </c>
      <c r="BC538" t="s">
        <v>51</v>
      </c>
      <c r="BE538" t="s">
        <v>54</v>
      </c>
      <c r="BF538">
        <v>2</v>
      </c>
      <c r="BG538">
        <v>0</v>
      </c>
      <c r="BH538" t="s">
        <v>53</v>
      </c>
      <c r="BK538" t="s">
        <v>59</v>
      </c>
      <c r="BL538">
        <v>14000</v>
      </c>
      <c r="BM538" s="1">
        <v>42917</v>
      </c>
      <c r="BN538" s="1">
        <v>42917</v>
      </c>
      <c r="BO538" s="1">
        <v>42917</v>
      </c>
      <c r="BP538" s="1">
        <v>44117</v>
      </c>
      <c r="BQ538" t="s">
        <v>51</v>
      </c>
      <c r="BS538" t="s">
        <v>60</v>
      </c>
      <c r="BT538" t="s">
        <v>54</v>
      </c>
      <c r="BU538" t="s">
        <v>61</v>
      </c>
      <c r="BV538" t="s">
        <v>62</v>
      </c>
      <c r="BX538">
        <v>24</v>
      </c>
      <c r="BY538">
        <v>0</v>
      </c>
      <c r="BZ538">
        <v>0</v>
      </c>
    </row>
    <row r="539" spans="1:99" x14ac:dyDescent="0.2">
      <c r="A539" t="s">
        <v>180</v>
      </c>
      <c r="B539" t="s">
        <v>181</v>
      </c>
      <c r="C539" t="s">
        <v>184</v>
      </c>
      <c r="D539" t="s">
        <v>470</v>
      </c>
      <c r="F539" t="str">
        <f>"250078"</f>
        <v>250078</v>
      </c>
      <c r="G539" t="s">
        <v>49</v>
      </c>
      <c r="H539">
        <v>58</v>
      </c>
      <c r="K539" t="s">
        <v>51</v>
      </c>
      <c r="L539" t="s">
        <v>52</v>
      </c>
      <c r="M539">
        <v>136851.31</v>
      </c>
      <c r="N539">
        <v>471254.47</v>
      </c>
      <c r="O539" t="s">
        <v>53</v>
      </c>
      <c r="P539" t="s">
        <v>54</v>
      </c>
      <c r="Q539" t="s">
        <v>55</v>
      </c>
      <c r="T539" t="s">
        <v>183</v>
      </c>
      <c r="U539">
        <v>40</v>
      </c>
      <c r="V539" s="1">
        <v>37073</v>
      </c>
      <c r="W539" s="1">
        <v>37073</v>
      </c>
      <c r="X539" s="1">
        <v>37073</v>
      </c>
      <c r="Y539" s="1">
        <v>51683</v>
      </c>
      <c r="Z539" t="s">
        <v>51</v>
      </c>
      <c r="AB539" t="s">
        <v>54</v>
      </c>
      <c r="AC539">
        <v>1</v>
      </c>
      <c r="AE539" t="s">
        <v>84</v>
      </c>
      <c r="AF539">
        <v>20</v>
      </c>
      <c r="AG539" s="1">
        <v>37073</v>
      </c>
      <c r="AH539" s="1">
        <v>37073</v>
      </c>
      <c r="AI539" s="1">
        <v>37073</v>
      </c>
      <c r="AJ539" s="1">
        <v>44378</v>
      </c>
      <c r="AK539" t="s">
        <v>51</v>
      </c>
      <c r="AN539">
        <v>0</v>
      </c>
      <c r="AO539" t="s">
        <v>54</v>
      </c>
      <c r="AP539" t="s">
        <v>53</v>
      </c>
      <c r="AQ539">
        <v>0</v>
      </c>
      <c r="AR539" t="s">
        <v>53</v>
      </c>
      <c r="AS539">
        <v>0</v>
      </c>
      <c r="AT539">
        <v>0</v>
      </c>
      <c r="AW539" t="s">
        <v>58</v>
      </c>
      <c r="AX539">
        <v>20</v>
      </c>
      <c r="AY539" s="1">
        <v>37073</v>
      </c>
      <c r="AZ539" s="1">
        <v>37073</v>
      </c>
      <c r="BA539" s="1">
        <v>37073</v>
      </c>
      <c r="BB539" s="1">
        <v>44378</v>
      </c>
      <c r="BC539" t="s">
        <v>51</v>
      </c>
      <c r="BE539" t="s">
        <v>54</v>
      </c>
      <c r="BF539">
        <v>2</v>
      </c>
      <c r="BG539">
        <v>0</v>
      </c>
      <c r="BH539" t="s">
        <v>53</v>
      </c>
      <c r="BK539" t="s">
        <v>59</v>
      </c>
      <c r="BL539">
        <v>14000</v>
      </c>
      <c r="BM539" s="1">
        <v>42917</v>
      </c>
      <c r="BN539" s="1">
        <v>42917</v>
      </c>
      <c r="BO539" s="1">
        <v>42917</v>
      </c>
      <c r="BP539" s="1">
        <v>44117</v>
      </c>
      <c r="BQ539" t="s">
        <v>51</v>
      </c>
      <c r="BS539" t="s">
        <v>60</v>
      </c>
      <c r="BT539" t="s">
        <v>54</v>
      </c>
      <c r="BU539" t="s">
        <v>61</v>
      </c>
      <c r="BV539" t="s">
        <v>62</v>
      </c>
      <c r="BX539">
        <v>24</v>
      </c>
      <c r="BY539">
        <v>0</v>
      </c>
      <c r="BZ539">
        <v>0</v>
      </c>
    </row>
    <row r="540" spans="1:99" x14ac:dyDescent="0.2">
      <c r="A540" t="s">
        <v>180</v>
      </c>
      <c r="B540" t="s">
        <v>181</v>
      </c>
      <c r="C540" t="s">
        <v>184</v>
      </c>
      <c r="D540" t="s">
        <v>470</v>
      </c>
      <c r="F540" t="str">
        <f>"250079"</f>
        <v>250079</v>
      </c>
      <c r="G540" t="s">
        <v>49</v>
      </c>
      <c r="H540" t="s">
        <v>489</v>
      </c>
      <c r="K540" t="s">
        <v>51</v>
      </c>
      <c r="L540" t="s">
        <v>52</v>
      </c>
      <c r="M540">
        <v>136851.23000000001</v>
      </c>
      <c r="N540">
        <v>471222.78</v>
      </c>
      <c r="O540" t="s">
        <v>53</v>
      </c>
      <c r="P540" t="s">
        <v>54</v>
      </c>
      <c r="Q540" t="s">
        <v>55</v>
      </c>
      <c r="T540" t="s">
        <v>183</v>
      </c>
      <c r="U540">
        <v>40</v>
      </c>
      <c r="V540" s="1">
        <v>20637</v>
      </c>
      <c r="W540" s="1">
        <v>20637</v>
      </c>
      <c r="X540" s="1">
        <v>20637</v>
      </c>
      <c r="Y540" s="1">
        <v>35247</v>
      </c>
      <c r="Z540" t="s">
        <v>51</v>
      </c>
      <c r="AB540" t="s">
        <v>54</v>
      </c>
      <c r="AC540">
        <v>1</v>
      </c>
      <c r="AE540" t="s">
        <v>84</v>
      </c>
      <c r="AF540">
        <v>20</v>
      </c>
      <c r="AG540" s="1">
        <v>34516</v>
      </c>
      <c r="AH540" s="1">
        <v>34516</v>
      </c>
      <c r="AI540" s="1">
        <v>34516</v>
      </c>
      <c r="AJ540" s="1">
        <v>41821</v>
      </c>
      <c r="AK540" t="s">
        <v>51</v>
      </c>
      <c r="AN540">
        <v>0</v>
      </c>
      <c r="AO540" t="s">
        <v>54</v>
      </c>
      <c r="AP540" t="s">
        <v>53</v>
      </c>
      <c r="AQ540">
        <v>0</v>
      </c>
      <c r="AR540" t="s">
        <v>53</v>
      </c>
      <c r="AS540">
        <v>0</v>
      </c>
      <c r="AT540">
        <v>0</v>
      </c>
      <c r="AW540" t="s">
        <v>58</v>
      </c>
      <c r="AX540">
        <v>20</v>
      </c>
      <c r="AY540" s="1">
        <v>34516</v>
      </c>
      <c r="AZ540" s="1">
        <v>34516</v>
      </c>
      <c r="BA540" s="1">
        <v>34516</v>
      </c>
      <c r="BB540" s="1">
        <v>41821</v>
      </c>
      <c r="BC540" t="s">
        <v>51</v>
      </c>
      <c r="BE540" t="s">
        <v>54</v>
      </c>
      <c r="BF540">
        <v>2</v>
      </c>
      <c r="BG540">
        <v>0</v>
      </c>
      <c r="BH540" t="s">
        <v>53</v>
      </c>
      <c r="BK540" t="s">
        <v>59</v>
      </c>
      <c r="BL540">
        <v>14000</v>
      </c>
      <c r="BM540" s="1">
        <v>44970</v>
      </c>
      <c r="BN540" s="1">
        <v>44970</v>
      </c>
      <c r="BO540" s="1">
        <v>44970</v>
      </c>
      <c r="BP540" s="1">
        <v>46159</v>
      </c>
      <c r="BQ540" t="s">
        <v>51</v>
      </c>
      <c r="BS540" t="s">
        <v>60</v>
      </c>
      <c r="BT540" t="s">
        <v>54</v>
      </c>
      <c r="BU540" t="s">
        <v>61</v>
      </c>
      <c r="BV540" t="s">
        <v>62</v>
      </c>
      <c r="BX540">
        <v>24</v>
      </c>
      <c r="BY540">
        <v>0</v>
      </c>
      <c r="BZ540">
        <v>0</v>
      </c>
    </row>
    <row r="541" spans="1:99" x14ac:dyDescent="0.2">
      <c r="A541" t="s">
        <v>180</v>
      </c>
      <c r="B541" t="s">
        <v>181</v>
      </c>
      <c r="C541" t="s">
        <v>184</v>
      </c>
      <c r="D541" t="s">
        <v>470</v>
      </c>
      <c r="F541" t="str">
        <f>"250080"</f>
        <v>250080</v>
      </c>
      <c r="G541" t="s">
        <v>49</v>
      </c>
      <c r="H541">
        <v>59</v>
      </c>
      <c r="K541" t="s">
        <v>51</v>
      </c>
      <c r="L541" t="s">
        <v>52</v>
      </c>
      <c r="M541">
        <v>136858.35999999999</v>
      </c>
      <c r="N541">
        <v>471193.47</v>
      </c>
      <c r="O541" t="s">
        <v>53</v>
      </c>
      <c r="P541" t="s">
        <v>54</v>
      </c>
      <c r="Q541" t="s">
        <v>55</v>
      </c>
      <c r="T541" t="s">
        <v>183</v>
      </c>
      <c r="U541">
        <v>40</v>
      </c>
      <c r="V541" s="1">
        <v>37073</v>
      </c>
      <c r="W541" s="1">
        <v>37073</v>
      </c>
      <c r="X541" s="1">
        <v>37073</v>
      </c>
      <c r="Y541" s="1">
        <v>51683</v>
      </c>
      <c r="Z541" t="s">
        <v>51</v>
      </c>
      <c r="AB541" t="s">
        <v>54</v>
      </c>
      <c r="AC541">
        <v>1</v>
      </c>
      <c r="AE541" t="s">
        <v>84</v>
      </c>
      <c r="AF541">
        <v>20</v>
      </c>
      <c r="AG541" s="1">
        <v>37073</v>
      </c>
      <c r="AH541" s="1">
        <v>37073</v>
      </c>
      <c r="AI541" s="1">
        <v>37073</v>
      </c>
      <c r="AJ541" s="1">
        <v>44378</v>
      </c>
      <c r="AK541" t="s">
        <v>51</v>
      </c>
      <c r="AN541">
        <v>0</v>
      </c>
      <c r="AO541" t="s">
        <v>54</v>
      </c>
      <c r="AP541" t="s">
        <v>53</v>
      </c>
      <c r="AQ541">
        <v>0</v>
      </c>
      <c r="AR541" t="s">
        <v>53</v>
      </c>
      <c r="AS541">
        <v>0</v>
      </c>
      <c r="AT541">
        <v>0</v>
      </c>
      <c r="AW541" t="s">
        <v>58</v>
      </c>
      <c r="AX541">
        <v>20</v>
      </c>
      <c r="AY541" s="1">
        <v>44578</v>
      </c>
      <c r="AZ541" s="1">
        <v>44578</v>
      </c>
      <c r="BA541" s="1">
        <v>44578</v>
      </c>
      <c r="BB541" s="1">
        <v>51883</v>
      </c>
      <c r="BC541" t="s">
        <v>51</v>
      </c>
      <c r="BE541" t="s">
        <v>54</v>
      </c>
      <c r="BF541">
        <v>2</v>
      </c>
      <c r="BG541">
        <v>0</v>
      </c>
      <c r="BH541" t="s">
        <v>53</v>
      </c>
      <c r="BK541" t="s">
        <v>59</v>
      </c>
      <c r="BL541">
        <v>14000</v>
      </c>
      <c r="BM541" s="1">
        <v>44578</v>
      </c>
      <c r="BN541" s="1">
        <v>44578</v>
      </c>
      <c r="BO541" s="1">
        <v>44578</v>
      </c>
      <c r="BP541" s="1">
        <v>45749</v>
      </c>
      <c r="BQ541" t="s">
        <v>51</v>
      </c>
      <c r="BS541" t="s">
        <v>60</v>
      </c>
      <c r="BT541" t="s">
        <v>54</v>
      </c>
      <c r="BU541" t="s">
        <v>61</v>
      </c>
      <c r="BV541" t="s">
        <v>62</v>
      </c>
      <c r="BX541">
        <v>24</v>
      </c>
      <c r="BY541">
        <v>0</v>
      </c>
      <c r="BZ541">
        <v>0</v>
      </c>
    </row>
    <row r="542" spans="1:99" x14ac:dyDescent="0.2">
      <c r="A542" t="s">
        <v>180</v>
      </c>
      <c r="B542" t="s">
        <v>181</v>
      </c>
      <c r="C542" t="s">
        <v>184</v>
      </c>
      <c r="D542" t="s">
        <v>470</v>
      </c>
      <c r="F542" t="str">
        <f>"250081"</f>
        <v>250081</v>
      </c>
      <c r="G542" t="s">
        <v>49</v>
      </c>
      <c r="H542" t="s">
        <v>490</v>
      </c>
      <c r="K542" t="s">
        <v>51</v>
      </c>
      <c r="L542" t="s">
        <v>52</v>
      </c>
      <c r="M542">
        <v>136852.92000000001</v>
      </c>
      <c r="N542">
        <v>471161.77</v>
      </c>
      <c r="O542" t="s">
        <v>53</v>
      </c>
      <c r="P542" t="s">
        <v>54</v>
      </c>
      <c r="Q542" t="s">
        <v>55</v>
      </c>
      <c r="T542" t="s">
        <v>183</v>
      </c>
      <c r="U542">
        <v>40</v>
      </c>
      <c r="V542" s="1">
        <v>37073</v>
      </c>
      <c r="W542" s="1">
        <v>37073</v>
      </c>
      <c r="X542" s="1">
        <v>37073</v>
      </c>
      <c r="Y542" s="1">
        <v>51683</v>
      </c>
      <c r="Z542" t="s">
        <v>51</v>
      </c>
      <c r="AB542" t="s">
        <v>54</v>
      </c>
      <c r="AC542">
        <v>1</v>
      </c>
      <c r="AE542" t="s">
        <v>84</v>
      </c>
      <c r="AF542">
        <v>20</v>
      </c>
      <c r="AG542" s="1">
        <v>37073</v>
      </c>
      <c r="AH542" s="1">
        <v>37073</v>
      </c>
      <c r="AI542" s="1">
        <v>37073</v>
      </c>
      <c r="AJ542" s="1">
        <v>44378</v>
      </c>
      <c r="AK542" t="s">
        <v>51</v>
      </c>
      <c r="AN542">
        <v>0</v>
      </c>
      <c r="AO542" t="s">
        <v>54</v>
      </c>
      <c r="AP542" t="s">
        <v>53</v>
      </c>
      <c r="AQ542">
        <v>0</v>
      </c>
      <c r="AR542" t="s">
        <v>53</v>
      </c>
      <c r="AS542">
        <v>0</v>
      </c>
      <c r="AT542">
        <v>0</v>
      </c>
      <c r="AW542" t="s">
        <v>58</v>
      </c>
      <c r="AX542">
        <v>20</v>
      </c>
      <c r="AY542" s="1">
        <v>43767</v>
      </c>
      <c r="AZ542" s="1">
        <v>43767</v>
      </c>
      <c r="BA542" s="1">
        <v>43767</v>
      </c>
      <c r="BB542" s="1">
        <v>51072</v>
      </c>
      <c r="BC542" t="s">
        <v>51</v>
      </c>
      <c r="BE542" t="s">
        <v>54</v>
      </c>
      <c r="BF542">
        <v>2</v>
      </c>
      <c r="BG542">
        <v>0</v>
      </c>
      <c r="BH542" t="s">
        <v>53</v>
      </c>
      <c r="BK542" t="s">
        <v>59</v>
      </c>
      <c r="BL542">
        <v>14000</v>
      </c>
      <c r="BM542" s="1">
        <v>43767</v>
      </c>
      <c r="BN542" s="1">
        <v>43767</v>
      </c>
      <c r="BO542" s="1">
        <v>43767</v>
      </c>
      <c r="BP542" s="1">
        <v>44927</v>
      </c>
      <c r="BQ542" t="s">
        <v>51</v>
      </c>
      <c r="BS542" t="s">
        <v>60</v>
      </c>
      <c r="BT542" t="s">
        <v>54</v>
      </c>
      <c r="BU542" t="s">
        <v>61</v>
      </c>
      <c r="BV542" t="s">
        <v>62</v>
      </c>
      <c r="BX542">
        <v>24</v>
      </c>
      <c r="BY542">
        <v>0</v>
      </c>
      <c r="BZ542">
        <v>0</v>
      </c>
    </row>
    <row r="543" spans="1:99" x14ac:dyDescent="0.2">
      <c r="A543" t="s">
        <v>180</v>
      </c>
      <c r="B543" t="s">
        <v>181</v>
      </c>
      <c r="C543" t="s">
        <v>184</v>
      </c>
      <c r="D543" t="s">
        <v>470</v>
      </c>
      <c r="F543" t="str">
        <f>"250082"</f>
        <v>250082</v>
      </c>
      <c r="G543" t="s">
        <v>49</v>
      </c>
      <c r="H543" t="s">
        <v>463</v>
      </c>
      <c r="K543" t="s">
        <v>51</v>
      </c>
      <c r="L543" t="s">
        <v>52</v>
      </c>
      <c r="M543">
        <v>136854.01</v>
      </c>
      <c r="N543">
        <v>471129.53</v>
      </c>
      <c r="O543" t="s">
        <v>53</v>
      </c>
      <c r="P543" t="s">
        <v>54</v>
      </c>
      <c r="Q543" t="s">
        <v>55</v>
      </c>
      <c r="T543" t="s">
        <v>183</v>
      </c>
      <c r="U543">
        <v>40</v>
      </c>
      <c r="V543" s="1">
        <v>20637</v>
      </c>
      <c r="W543" s="1">
        <v>20637</v>
      </c>
      <c r="X543" s="1">
        <v>20637</v>
      </c>
      <c r="Y543" s="1">
        <v>35247</v>
      </c>
      <c r="Z543" t="s">
        <v>51</v>
      </c>
      <c r="AB543" t="s">
        <v>54</v>
      </c>
      <c r="AC543">
        <v>1</v>
      </c>
      <c r="AE543" t="s">
        <v>84</v>
      </c>
      <c r="AF543">
        <v>20</v>
      </c>
      <c r="AG543" s="1">
        <v>34516</v>
      </c>
      <c r="AH543" s="1">
        <v>34516</v>
      </c>
      <c r="AI543" s="1">
        <v>34516</v>
      </c>
      <c r="AJ543" s="1">
        <v>41821</v>
      </c>
      <c r="AK543" t="s">
        <v>51</v>
      </c>
      <c r="AN543">
        <v>0</v>
      </c>
      <c r="AO543" t="s">
        <v>54</v>
      </c>
      <c r="AP543" t="s">
        <v>53</v>
      </c>
      <c r="AQ543">
        <v>0</v>
      </c>
      <c r="AR543" t="s">
        <v>53</v>
      </c>
      <c r="AS543">
        <v>0</v>
      </c>
      <c r="AT543">
        <v>0</v>
      </c>
      <c r="AW543" t="s">
        <v>58</v>
      </c>
      <c r="AX543">
        <v>20</v>
      </c>
      <c r="AY543" s="1">
        <v>34516</v>
      </c>
      <c r="AZ543" s="1">
        <v>34516</v>
      </c>
      <c r="BA543" s="1">
        <v>34516</v>
      </c>
      <c r="BB543" s="1">
        <v>41821</v>
      </c>
      <c r="BC543" t="s">
        <v>51</v>
      </c>
      <c r="BE543" t="s">
        <v>54</v>
      </c>
      <c r="BF543">
        <v>2</v>
      </c>
      <c r="BG543">
        <v>0</v>
      </c>
      <c r="BH543" t="s">
        <v>53</v>
      </c>
      <c r="BK543" t="s">
        <v>59</v>
      </c>
      <c r="BL543">
        <v>14000</v>
      </c>
      <c r="BM543" s="1">
        <v>42917</v>
      </c>
      <c r="BN543" s="1">
        <v>42917</v>
      </c>
      <c r="BO543" s="1">
        <v>42917</v>
      </c>
      <c r="BP543" s="1">
        <v>44117</v>
      </c>
      <c r="BQ543" t="s">
        <v>51</v>
      </c>
      <c r="BS543" t="s">
        <v>60</v>
      </c>
      <c r="BT543" t="s">
        <v>54</v>
      </c>
      <c r="BU543" t="s">
        <v>61</v>
      </c>
      <c r="BV543" t="s">
        <v>62</v>
      </c>
      <c r="BX543">
        <v>24</v>
      </c>
      <c r="BY543">
        <v>0</v>
      </c>
      <c r="BZ543">
        <v>0</v>
      </c>
    </row>
    <row r="544" spans="1:99" x14ac:dyDescent="0.2">
      <c r="A544" t="s">
        <v>180</v>
      </c>
      <c r="B544" t="s">
        <v>181</v>
      </c>
      <c r="C544" t="s">
        <v>184</v>
      </c>
      <c r="D544" t="s">
        <v>470</v>
      </c>
      <c r="F544" t="str">
        <f>"250083"</f>
        <v>250083</v>
      </c>
      <c r="G544" t="s">
        <v>49</v>
      </c>
      <c r="H544">
        <v>61</v>
      </c>
      <c r="K544" t="s">
        <v>51</v>
      </c>
      <c r="L544" t="s">
        <v>52</v>
      </c>
      <c r="M544">
        <v>136855.67999999999</v>
      </c>
      <c r="N544">
        <v>471096.74</v>
      </c>
      <c r="O544" t="s">
        <v>53</v>
      </c>
      <c r="P544" t="s">
        <v>54</v>
      </c>
      <c r="Q544" t="s">
        <v>55</v>
      </c>
      <c r="T544" t="s">
        <v>183</v>
      </c>
      <c r="U544">
        <v>40</v>
      </c>
      <c r="V544" s="1">
        <v>37073</v>
      </c>
      <c r="W544" s="1">
        <v>37073</v>
      </c>
      <c r="X544" s="1">
        <v>37073</v>
      </c>
      <c r="Y544" s="1">
        <v>51683</v>
      </c>
      <c r="Z544" t="s">
        <v>51</v>
      </c>
      <c r="AB544" t="s">
        <v>54</v>
      </c>
      <c r="AC544">
        <v>1</v>
      </c>
      <c r="AE544" t="s">
        <v>84</v>
      </c>
      <c r="AF544">
        <v>20</v>
      </c>
      <c r="AG544" s="1">
        <v>37073</v>
      </c>
      <c r="AH544" s="1">
        <v>37073</v>
      </c>
      <c r="AI544" s="1">
        <v>37073</v>
      </c>
      <c r="AJ544" s="1">
        <v>44378</v>
      </c>
      <c r="AK544" t="s">
        <v>51</v>
      </c>
      <c r="AN544">
        <v>0</v>
      </c>
      <c r="AO544" t="s">
        <v>54</v>
      </c>
      <c r="AP544" t="s">
        <v>53</v>
      </c>
      <c r="AQ544">
        <v>0</v>
      </c>
      <c r="AR544" t="s">
        <v>53</v>
      </c>
      <c r="AS544">
        <v>0</v>
      </c>
      <c r="AT544">
        <v>0</v>
      </c>
      <c r="AW544" t="s">
        <v>58</v>
      </c>
      <c r="AX544">
        <v>20</v>
      </c>
      <c r="AY544" s="1">
        <v>37073</v>
      </c>
      <c r="AZ544" s="1">
        <v>37073</v>
      </c>
      <c r="BA544" s="1">
        <v>37073</v>
      </c>
      <c r="BB544" s="1">
        <v>44378</v>
      </c>
      <c r="BC544" t="s">
        <v>51</v>
      </c>
      <c r="BE544" t="s">
        <v>54</v>
      </c>
      <c r="BF544">
        <v>2</v>
      </c>
      <c r="BG544">
        <v>0</v>
      </c>
      <c r="BH544" t="s">
        <v>53</v>
      </c>
      <c r="BK544" t="s">
        <v>59</v>
      </c>
      <c r="BL544">
        <v>14000</v>
      </c>
      <c r="BM544" s="1">
        <v>42917</v>
      </c>
      <c r="BN544" s="1">
        <v>42917</v>
      </c>
      <c r="BO544" s="1">
        <v>42917</v>
      </c>
      <c r="BP544" s="1">
        <v>44117</v>
      </c>
      <c r="BQ544" t="s">
        <v>51</v>
      </c>
      <c r="BS544" t="s">
        <v>60</v>
      </c>
      <c r="BT544" t="s">
        <v>54</v>
      </c>
      <c r="BU544" t="s">
        <v>61</v>
      </c>
      <c r="BV544" t="s">
        <v>62</v>
      </c>
      <c r="BX544">
        <v>24</v>
      </c>
      <c r="BY544">
        <v>0</v>
      </c>
      <c r="BZ544">
        <v>0</v>
      </c>
    </row>
    <row r="545" spans="1:78" x14ac:dyDescent="0.2">
      <c r="A545" t="s">
        <v>180</v>
      </c>
      <c r="B545" t="s">
        <v>181</v>
      </c>
      <c r="C545" t="s">
        <v>184</v>
      </c>
      <c r="D545" t="s">
        <v>470</v>
      </c>
      <c r="F545" t="str">
        <f>"250084"</f>
        <v>250084</v>
      </c>
      <c r="G545" t="s">
        <v>49</v>
      </c>
      <c r="H545" t="s">
        <v>292</v>
      </c>
      <c r="K545" t="s">
        <v>51</v>
      </c>
      <c r="L545" t="s">
        <v>52</v>
      </c>
      <c r="M545">
        <v>136857.43</v>
      </c>
      <c r="N545">
        <v>471066.23</v>
      </c>
      <c r="O545" t="s">
        <v>53</v>
      </c>
      <c r="P545" t="s">
        <v>54</v>
      </c>
      <c r="Q545" t="s">
        <v>55</v>
      </c>
      <c r="T545" t="s">
        <v>183</v>
      </c>
      <c r="U545">
        <v>40</v>
      </c>
      <c r="V545" s="1">
        <v>20637</v>
      </c>
      <c r="W545" s="1">
        <v>20637</v>
      </c>
      <c r="X545" s="1">
        <v>20637</v>
      </c>
      <c r="Y545" s="1">
        <v>35247</v>
      </c>
      <c r="Z545" t="s">
        <v>51</v>
      </c>
      <c r="AB545" t="s">
        <v>54</v>
      </c>
      <c r="AC545">
        <v>1</v>
      </c>
      <c r="AE545" t="s">
        <v>84</v>
      </c>
      <c r="AF545">
        <v>20</v>
      </c>
      <c r="AG545" s="1">
        <v>34516</v>
      </c>
      <c r="AH545" s="1">
        <v>34516</v>
      </c>
      <c r="AI545" s="1">
        <v>34516</v>
      </c>
      <c r="AJ545" s="1">
        <v>41821</v>
      </c>
      <c r="AK545" t="s">
        <v>51</v>
      </c>
      <c r="AN545">
        <v>0</v>
      </c>
      <c r="AO545" t="s">
        <v>54</v>
      </c>
      <c r="AP545" t="s">
        <v>53</v>
      </c>
      <c r="AQ545">
        <v>0</v>
      </c>
      <c r="AR545" t="s">
        <v>53</v>
      </c>
      <c r="AS545">
        <v>0</v>
      </c>
      <c r="AT545">
        <v>0</v>
      </c>
      <c r="AW545" t="s">
        <v>58</v>
      </c>
      <c r="AX545">
        <v>20</v>
      </c>
      <c r="AY545" s="1">
        <v>34516</v>
      </c>
      <c r="AZ545" s="1">
        <v>34516</v>
      </c>
      <c r="BA545" s="1">
        <v>34516</v>
      </c>
      <c r="BB545" s="1">
        <v>41821</v>
      </c>
      <c r="BC545" t="s">
        <v>51</v>
      </c>
      <c r="BE545" t="s">
        <v>54</v>
      </c>
      <c r="BF545">
        <v>2</v>
      </c>
      <c r="BG545">
        <v>0</v>
      </c>
      <c r="BH545" t="s">
        <v>53</v>
      </c>
      <c r="BK545" t="s">
        <v>59</v>
      </c>
      <c r="BL545">
        <v>14000</v>
      </c>
      <c r="BM545" s="1">
        <v>42917</v>
      </c>
      <c r="BN545" s="1">
        <v>42917</v>
      </c>
      <c r="BO545" s="1">
        <v>42917</v>
      </c>
      <c r="BP545" s="1">
        <v>44117</v>
      </c>
      <c r="BQ545" t="s">
        <v>51</v>
      </c>
      <c r="BS545" t="s">
        <v>60</v>
      </c>
      <c r="BT545" t="s">
        <v>54</v>
      </c>
      <c r="BU545" t="s">
        <v>61</v>
      </c>
      <c r="BV545" t="s">
        <v>62</v>
      </c>
      <c r="BX545">
        <v>24</v>
      </c>
      <c r="BY545">
        <v>0</v>
      </c>
      <c r="BZ545">
        <v>0</v>
      </c>
    </row>
    <row r="546" spans="1:78" x14ac:dyDescent="0.2">
      <c r="A546" t="s">
        <v>180</v>
      </c>
      <c r="B546" t="s">
        <v>181</v>
      </c>
      <c r="C546" t="s">
        <v>184</v>
      </c>
      <c r="D546" t="s">
        <v>470</v>
      </c>
      <c r="F546" t="str">
        <f>"250085"</f>
        <v>250085</v>
      </c>
      <c r="G546" t="s">
        <v>49</v>
      </c>
      <c r="H546">
        <v>64</v>
      </c>
      <c r="K546" t="s">
        <v>51</v>
      </c>
      <c r="L546" t="s">
        <v>52</v>
      </c>
      <c r="M546">
        <v>136858.82999999999</v>
      </c>
      <c r="N546">
        <v>471036.11</v>
      </c>
      <c r="O546" t="s">
        <v>53</v>
      </c>
      <c r="P546" t="s">
        <v>54</v>
      </c>
      <c r="Q546" t="s">
        <v>55</v>
      </c>
      <c r="T546" t="s">
        <v>183</v>
      </c>
      <c r="U546">
        <v>40</v>
      </c>
      <c r="V546" s="1">
        <v>37073</v>
      </c>
      <c r="W546" s="1">
        <v>37073</v>
      </c>
      <c r="X546" s="1">
        <v>37073</v>
      </c>
      <c r="Y546" s="1">
        <v>51683</v>
      </c>
      <c r="Z546" t="s">
        <v>51</v>
      </c>
      <c r="AB546" t="s">
        <v>54</v>
      </c>
      <c r="AC546">
        <v>1</v>
      </c>
      <c r="AE546" t="s">
        <v>84</v>
      </c>
      <c r="AF546">
        <v>20</v>
      </c>
      <c r="AG546" s="1">
        <v>37073</v>
      </c>
      <c r="AH546" s="1">
        <v>37073</v>
      </c>
      <c r="AI546" s="1">
        <v>37073</v>
      </c>
      <c r="AJ546" s="1">
        <v>44378</v>
      </c>
      <c r="AK546" t="s">
        <v>51</v>
      </c>
      <c r="AN546">
        <v>0</v>
      </c>
      <c r="AO546" t="s">
        <v>54</v>
      </c>
      <c r="AP546" t="s">
        <v>53</v>
      </c>
      <c r="AQ546">
        <v>0</v>
      </c>
      <c r="AR546" t="s">
        <v>53</v>
      </c>
      <c r="AS546">
        <v>0</v>
      </c>
      <c r="AT546">
        <v>0</v>
      </c>
      <c r="AW546" t="s">
        <v>58</v>
      </c>
      <c r="AX546">
        <v>20</v>
      </c>
      <c r="AY546" s="1">
        <v>43416</v>
      </c>
      <c r="AZ546" s="1">
        <v>43416</v>
      </c>
      <c r="BA546" s="1">
        <v>43416</v>
      </c>
      <c r="BB546" s="1">
        <v>50721</v>
      </c>
      <c r="BC546" t="s">
        <v>51</v>
      </c>
      <c r="BE546" t="s">
        <v>54</v>
      </c>
      <c r="BF546">
        <v>2</v>
      </c>
      <c r="BG546">
        <v>0</v>
      </c>
      <c r="BH546" t="s">
        <v>53</v>
      </c>
      <c r="BK546" t="s">
        <v>59</v>
      </c>
      <c r="BL546">
        <v>14000</v>
      </c>
      <c r="BM546" s="1">
        <v>43416</v>
      </c>
      <c r="BN546" s="1">
        <v>43416</v>
      </c>
      <c r="BO546" s="1">
        <v>43416</v>
      </c>
      <c r="BP546" s="1">
        <v>44575</v>
      </c>
      <c r="BQ546" t="s">
        <v>51</v>
      </c>
      <c r="BS546" t="s">
        <v>60</v>
      </c>
      <c r="BT546" t="s">
        <v>54</v>
      </c>
      <c r="BU546" t="s">
        <v>61</v>
      </c>
      <c r="BV546" t="s">
        <v>62</v>
      </c>
      <c r="BX546">
        <v>24</v>
      </c>
      <c r="BY546">
        <v>0</v>
      </c>
      <c r="BZ546">
        <v>0</v>
      </c>
    </row>
    <row r="547" spans="1:78" x14ac:dyDescent="0.2">
      <c r="A547" t="s">
        <v>180</v>
      </c>
      <c r="B547" t="s">
        <v>181</v>
      </c>
      <c r="C547" t="s">
        <v>184</v>
      </c>
      <c r="D547" t="s">
        <v>470</v>
      </c>
      <c r="F547" t="str">
        <f>"250086"</f>
        <v>250086</v>
      </c>
      <c r="G547" t="s">
        <v>49</v>
      </c>
      <c r="H547" t="s">
        <v>491</v>
      </c>
      <c r="K547" t="s">
        <v>51</v>
      </c>
      <c r="L547" t="s">
        <v>52</v>
      </c>
      <c r="M547">
        <v>136859.84</v>
      </c>
      <c r="N547">
        <v>471006.24</v>
      </c>
      <c r="O547" t="s">
        <v>53</v>
      </c>
      <c r="P547" t="s">
        <v>54</v>
      </c>
      <c r="Q547" t="s">
        <v>55</v>
      </c>
      <c r="T547" t="s">
        <v>183</v>
      </c>
      <c r="U547">
        <v>40</v>
      </c>
      <c r="V547" s="1">
        <v>20637</v>
      </c>
      <c r="W547" s="1">
        <v>20637</v>
      </c>
      <c r="X547" s="1">
        <v>20637</v>
      </c>
      <c r="Y547" s="1">
        <v>35247</v>
      </c>
      <c r="Z547" t="s">
        <v>51</v>
      </c>
      <c r="AB547" t="s">
        <v>54</v>
      </c>
      <c r="AC547">
        <v>1</v>
      </c>
      <c r="AE547" t="s">
        <v>84</v>
      </c>
      <c r="AF547">
        <v>20</v>
      </c>
      <c r="AG547" s="1">
        <v>34881</v>
      </c>
      <c r="AH547" s="1">
        <v>34881</v>
      </c>
      <c r="AI547" s="1">
        <v>34881</v>
      </c>
      <c r="AJ547" s="1">
        <v>42186</v>
      </c>
      <c r="AK547" t="s">
        <v>51</v>
      </c>
      <c r="AN547">
        <v>0</v>
      </c>
      <c r="AO547" t="s">
        <v>54</v>
      </c>
      <c r="AP547" t="s">
        <v>53</v>
      </c>
      <c r="AQ547">
        <v>0</v>
      </c>
      <c r="AR547" t="s">
        <v>53</v>
      </c>
      <c r="AS547">
        <v>0</v>
      </c>
      <c r="AT547">
        <v>0</v>
      </c>
      <c r="AW547" t="s">
        <v>58</v>
      </c>
      <c r="AX547">
        <v>20</v>
      </c>
      <c r="AY547" s="1">
        <v>34881</v>
      </c>
      <c r="AZ547" s="1">
        <v>34881</v>
      </c>
      <c r="BA547" s="1">
        <v>34881</v>
      </c>
      <c r="BB547" s="1">
        <v>42186</v>
      </c>
      <c r="BC547" t="s">
        <v>51</v>
      </c>
      <c r="BE547" t="s">
        <v>54</v>
      </c>
      <c r="BF547">
        <v>2</v>
      </c>
      <c r="BG547">
        <v>0</v>
      </c>
      <c r="BH547" t="s">
        <v>53</v>
      </c>
      <c r="BK547" t="s">
        <v>59</v>
      </c>
      <c r="BL547">
        <v>14000</v>
      </c>
      <c r="BM547" s="1">
        <v>42917</v>
      </c>
      <c r="BN547" s="1">
        <v>42917</v>
      </c>
      <c r="BO547" s="1">
        <v>42917</v>
      </c>
      <c r="BP547" s="1">
        <v>44117</v>
      </c>
      <c r="BQ547" t="s">
        <v>51</v>
      </c>
      <c r="BS547" t="s">
        <v>60</v>
      </c>
      <c r="BT547" t="s">
        <v>54</v>
      </c>
      <c r="BU547" t="s">
        <v>61</v>
      </c>
      <c r="BV547" t="s">
        <v>62</v>
      </c>
      <c r="BX547">
        <v>24</v>
      </c>
      <c r="BY547">
        <v>0</v>
      </c>
      <c r="BZ547">
        <v>0</v>
      </c>
    </row>
    <row r="548" spans="1:78" x14ac:dyDescent="0.2">
      <c r="A548" t="s">
        <v>180</v>
      </c>
      <c r="B548" t="s">
        <v>181</v>
      </c>
      <c r="C548" t="s">
        <v>184</v>
      </c>
      <c r="D548" t="s">
        <v>470</v>
      </c>
      <c r="F548" t="str">
        <f>"250087"</f>
        <v>250087</v>
      </c>
      <c r="G548" t="s">
        <v>49</v>
      </c>
      <c r="H548">
        <v>66</v>
      </c>
      <c r="K548" t="s">
        <v>51</v>
      </c>
      <c r="L548" t="s">
        <v>52</v>
      </c>
      <c r="M548">
        <v>136860.79999999999</v>
      </c>
      <c r="N548">
        <v>470979.75</v>
      </c>
      <c r="O548" t="s">
        <v>53</v>
      </c>
      <c r="P548" t="s">
        <v>54</v>
      </c>
      <c r="Q548" t="s">
        <v>55</v>
      </c>
      <c r="T548" t="s">
        <v>183</v>
      </c>
      <c r="U548">
        <v>40</v>
      </c>
      <c r="V548" s="1">
        <v>37073</v>
      </c>
      <c r="W548" s="1">
        <v>37073</v>
      </c>
      <c r="X548" s="1">
        <v>37073</v>
      </c>
      <c r="Y548" s="1">
        <v>51683</v>
      </c>
      <c r="Z548" t="s">
        <v>51</v>
      </c>
      <c r="AB548" t="s">
        <v>54</v>
      </c>
      <c r="AC548">
        <v>1</v>
      </c>
      <c r="AE548" t="s">
        <v>84</v>
      </c>
      <c r="AF548">
        <v>20</v>
      </c>
      <c r="AG548" s="1">
        <v>37073</v>
      </c>
      <c r="AH548" s="1">
        <v>37073</v>
      </c>
      <c r="AI548" s="1">
        <v>37073</v>
      </c>
      <c r="AJ548" s="1">
        <v>44378</v>
      </c>
      <c r="AK548" t="s">
        <v>51</v>
      </c>
      <c r="AN548">
        <v>0</v>
      </c>
      <c r="AO548" t="s">
        <v>54</v>
      </c>
      <c r="AP548" t="s">
        <v>53</v>
      </c>
      <c r="AQ548">
        <v>0</v>
      </c>
      <c r="AR548" t="s">
        <v>53</v>
      </c>
      <c r="AS548">
        <v>0</v>
      </c>
      <c r="AT548">
        <v>0</v>
      </c>
      <c r="AW548" t="s">
        <v>58</v>
      </c>
      <c r="AX548">
        <v>20</v>
      </c>
      <c r="AY548" s="1">
        <v>44109</v>
      </c>
      <c r="AZ548" s="1">
        <v>44109</v>
      </c>
      <c r="BA548" s="1">
        <v>44109</v>
      </c>
      <c r="BB548" s="1">
        <v>51414</v>
      </c>
      <c r="BC548" t="s">
        <v>51</v>
      </c>
      <c r="BE548" t="s">
        <v>54</v>
      </c>
      <c r="BF548">
        <v>2</v>
      </c>
      <c r="BG548">
        <v>0</v>
      </c>
      <c r="BH548" t="s">
        <v>53</v>
      </c>
      <c r="BK548" t="s">
        <v>59</v>
      </c>
      <c r="BL548">
        <v>14000</v>
      </c>
      <c r="BM548" s="1">
        <v>44109</v>
      </c>
      <c r="BN548" s="1">
        <v>44109</v>
      </c>
      <c r="BO548" s="1">
        <v>44109</v>
      </c>
      <c r="BP548" s="1">
        <v>45273</v>
      </c>
      <c r="BQ548" t="s">
        <v>51</v>
      </c>
      <c r="BS548" t="s">
        <v>60</v>
      </c>
      <c r="BT548" t="s">
        <v>54</v>
      </c>
      <c r="BU548" t="s">
        <v>61</v>
      </c>
      <c r="BV548" t="s">
        <v>62</v>
      </c>
      <c r="BX548">
        <v>24</v>
      </c>
      <c r="BY548">
        <v>0</v>
      </c>
      <c r="BZ548">
        <v>0</v>
      </c>
    </row>
    <row r="549" spans="1:78" x14ac:dyDescent="0.2">
      <c r="A549" t="s">
        <v>180</v>
      </c>
      <c r="B549" t="s">
        <v>181</v>
      </c>
      <c r="C549" t="s">
        <v>184</v>
      </c>
      <c r="D549" t="s">
        <v>470</v>
      </c>
      <c r="F549" t="str">
        <f>"250088"</f>
        <v>250088</v>
      </c>
      <c r="G549" t="s">
        <v>49</v>
      </c>
      <c r="H549" t="s">
        <v>492</v>
      </c>
      <c r="K549" t="s">
        <v>51</v>
      </c>
      <c r="L549" t="s">
        <v>52</v>
      </c>
      <c r="M549">
        <v>136865.06</v>
      </c>
      <c r="N549">
        <v>470946.7</v>
      </c>
      <c r="O549" t="s">
        <v>53</v>
      </c>
      <c r="P549" t="s">
        <v>54</v>
      </c>
      <c r="Q549" t="s">
        <v>55</v>
      </c>
      <c r="T549" t="s">
        <v>183</v>
      </c>
      <c r="U549">
        <v>40</v>
      </c>
      <c r="V549" s="1">
        <v>20637</v>
      </c>
      <c r="W549" s="1">
        <v>20637</v>
      </c>
      <c r="X549" s="1">
        <v>20637</v>
      </c>
      <c r="Y549" s="1">
        <v>35247</v>
      </c>
      <c r="Z549" t="s">
        <v>51</v>
      </c>
      <c r="AB549" t="s">
        <v>54</v>
      </c>
      <c r="AC549">
        <v>1</v>
      </c>
      <c r="AE549" t="s">
        <v>84</v>
      </c>
      <c r="AF549">
        <v>20</v>
      </c>
      <c r="AG549" s="1">
        <v>34881</v>
      </c>
      <c r="AH549" s="1">
        <v>34881</v>
      </c>
      <c r="AI549" s="1">
        <v>34881</v>
      </c>
      <c r="AJ549" s="1">
        <v>42186</v>
      </c>
      <c r="AK549" t="s">
        <v>51</v>
      </c>
      <c r="AN549">
        <v>0</v>
      </c>
      <c r="AO549" t="s">
        <v>54</v>
      </c>
      <c r="AP549" t="s">
        <v>53</v>
      </c>
      <c r="AQ549">
        <v>0</v>
      </c>
      <c r="AR549" t="s">
        <v>53</v>
      </c>
      <c r="AS549">
        <v>0</v>
      </c>
      <c r="AT549">
        <v>0</v>
      </c>
      <c r="AW549" t="s">
        <v>58</v>
      </c>
      <c r="AX549">
        <v>20</v>
      </c>
      <c r="AY549" s="1">
        <v>44109</v>
      </c>
      <c r="AZ549" s="1">
        <v>44109</v>
      </c>
      <c r="BA549" s="1">
        <v>44109</v>
      </c>
      <c r="BB549" s="1">
        <v>51414</v>
      </c>
      <c r="BC549" t="s">
        <v>51</v>
      </c>
      <c r="BE549" t="s">
        <v>54</v>
      </c>
      <c r="BF549">
        <v>2</v>
      </c>
      <c r="BG549">
        <v>0</v>
      </c>
      <c r="BH549" t="s">
        <v>53</v>
      </c>
      <c r="BK549" t="s">
        <v>59</v>
      </c>
      <c r="BL549">
        <v>14000</v>
      </c>
      <c r="BM549" s="1">
        <v>44109</v>
      </c>
      <c r="BN549" s="1">
        <v>44109</v>
      </c>
      <c r="BO549" s="1">
        <v>44109</v>
      </c>
      <c r="BP549" s="1">
        <v>45273</v>
      </c>
      <c r="BQ549" t="s">
        <v>51</v>
      </c>
      <c r="BS549" t="s">
        <v>60</v>
      </c>
      <c r="BT549" t="s">
        <v>54</v>
      </c>
      <c r="BU549" t="s">
        <v>61</v>
      </c>
      <c r="BV549" t="s">
        <v>62</v>
      </c>
      <c r="BX549">
        <v>24</v>
      </c>
      <c r="BY549">
        <v>0</v>
      </c>
      <c r="BZ549">
        <v>0</v>
      </c>
    </row>
    <row r="550" spans="1:78" x14ac:dyDescent="0.2">
      <c r="A550" t="s">
        <v>180</v>
      </c>
      <c r="B550" t="s">
        <v>181</v>
      </c>
      <c r="C550" t="s">
        <v>184</v>
      </c>
      <c r="D550" t="s">
        <v>470</v>
      </c>
      <c r="F550" t="str">
        <f>"250089"</f>
        <v>250089</v>
      </c>
      <c r="G550" t="s">
        <v>49</v>
      </c>
      <c r="H550" t="s">
        <v>493</v>
      </c>
      <c r="K550" t="s">
        <v>51</v>
      </c>
      <c r="L550" t="s">
        <v>52</v>
      </c>
      <c r="M550">
        <v>136852.64000000001</v>
      </c>
      <c r="N550">
        <v>470918.23</v>
      </c>
      <c r="O550" t="s">
        <v>53</v>
      </c>
      <c r="P550" t="s">
        <v>54</v>
      </c>
      <c r="Q550" t="s">
        <v>55</v>
      </c>
      <c r="T550" t="s">
        <v>183</v>
      </c>
      <c r="U550">
        <v>40</v>
      </c>
      <c r="V550" s="1">
        <v>37073</v>
      </c>
      <c r="W550" s="1">
        <v>37073</v>
      </c>
      <c r="X550" s="1">
        <v>37073</v>
      </c>
      <c r="Y550" s="1">
        <v>51683</v>
      </c>
      <c r="Z550" t="s">
        <v>51</v>
      </c>
      <c r="AB550" t="s">
        <v>54</v>
      </c>
      <c r="AC550">
        <v>1</v>
      </c>
      <c r="AE550" t="s">
        <v>84</v>
      </c>
      <c r="AF550">
        <v>20</v>
      </c>
      <c r="AG550" s="1">
        <v>37073</v>
      </c>
      <c r="AH550" s="1">
        <v>37073</v>
      </c>
      <c r="AI550" s="1">
        <v>37073</v>
      </c>
      <c r="AJ550" s="1">
        <v>44378</v>
      </c>
      <c r="AK550" t="s">
        <v>51</v>
      </c>
      <c r="AN550">
        <v>0</v>
      </c>
      <c r="AO550" t="s">
        <v>54</v>
      </c>
      <c r="AP550" t="s">
        <v>53</v>
      </c>
      <c r="AQ550">
        <v>0</v>
      </c>
      <c r="AR550" t="s">
        <v>53</v>
      </c>
      <c r="AS550">
        <v>0</v>
      </c>
      <c r="AT550">
        <v>0</v>
      </c>
      <c r="AW550" t="s">
        <v>58</v>
      </c>
      <c r="AX550">
        <v>20</v>
      </c>
      <c r="AY550" s="1">
        <v>37073</v>
      </c>
      <c r="AZ550" s="1">
        <v>37073</v>
      </c>
      <c r="BA550" s="1">
        <v>37073</v>
      </c>
      <c r="BB550" s="1">
        <v>44378</v>
      </c>
      <c r="BC550" t="s">
        <v>51</v>
      </c>
      <c r="BE550" t="s">
        <v>54</v>
      </c>
      <c r="BF550">
        <v>2</v>
      </c>
      <c r="BG550">
        <v>0</v>
      </c>
      <c r="BH550" t="s">
        <v>53</v>
      </c>
      <c r="BK550" t="s">
        <v>59</v>
      </c>
      <c r="BL550">
        <v>14000</v>
      </c>
      <c r="BM550" s="1">
        <v>42917</v>
      </c>
      <c r="BN550" s="1">
        <v>42917</v>
      </c>
      <c r="BO550" s="1">
        <v>42917</v>
      </c>
      <c r="BP550" s="1">
        <v>44117</v>
      </c>
      <c r="BQ550" t="s">
        <v>51</v>
      </c>
      <c r="BS550" t="s">
        <v>60</v>
      </c>
      <c r="BT550" t="s">
        <v>54</v>
      </c>
      <c r="BU550" t="s">
        <v>61</v>
      </c>
      <c r="BV550" t="s">
        <v>62</v>
      </c>
      <c r="BX550">
        <v>24</v>
      </c>
      <c r="BY550">
        <v>0</v>
      </c>
      <c r="BZ550">
        <v>0</v>
      </c>
    </row>
    <row r="551" spans="1:78" x14ac:dyDescent="0.2">
      <c r="A551" t="s">
        <v>180</v>
      </c>
      <c r="B551" t="s">
        <v>181</v>
      </c>
      <c r="C551" t="s">
        <v>184</v>
      </c>
      <c r="D551" t="s">
        <v>470</v>
      </c>
      <c r="F551" t="str">
        <f>"250090"</f>
        <v>250090</v>
      </c>
      <c r="G551" t="s">
        <v>49</v>
      </c>
      <c r="H551" t="s">
        <v>494</v>
      </c>
      <c r="K551" t="s">
        <v>51</v>
      </c>
      <c r="L551" t="s">
        <v>52</v>
      </c>
      <c r="M551">
        <v>136848.79999999999</v>
      </c>
      <c r="N551">
        <v>470881.78</v>
      </c>
      <c r="O551" t="s">
        <v>53</v>
      </c>
      <c r="P551" t="s">
        <v>54</v>
      </c>
      <c r="Q551" t="s">
        <v>55</v>
      </c>
      <c r="T551" t="s">
        <v>183</v>
      </c>
      <c r="U551">
        <v>40</v>
      </c>
      <c r="V551" s="1">
        <v>20637</v>
      </c>
      <c r="W551" s="1">
        <v>20637</v>
      </c>
      <c r="X551" s="1">
        <v>20637</v>
      </c>
      <c r="Y551" s="1">
        <v>35247</v>
      </c>
      <c r="Z551" t="s">
        <v>51</v>
      </c>
      <c r="AB551" t="s">
        <v>54</v>
      </c>
      <c r="AC551">
        <v>1</v>
      </c>
      <c r="AE551" t="s">
        <v>84</v>
      </c>
      <c r="AF551">
        <v>20</v>
      </c>
      <c r="AG551" s="1">
        <v>34881</v>
      </c>
      <c r="AH551" s="1">
        <v>34881</v>
      </c>
      <c r="AI551" s="1">
        <v>34881</v>
      </c>
      <c r="AJ551" s="1">
        <v>42186</v>
      </c>
      <c r="AK551" t="s">
        <v>51</v>
      </c>
      <c r="AN551">
        <v>0</v>
      </c>
      <c r="AO551" t="s">
        <v>54</v>
      </c>
      <c r="AP551" t="s">
        <v>53</v>
      </c>
      <c r="AQ551">
        <v>0</v>
      </c>
      <c r="AR551" t="s">
        <v>53</v>
      </c>
      <c r="AS551">
        <v>0</v>
      </c>
      <c r="AT551">
        <v>0</v>
      </c>
      <c r="AW551" t="s">
        <v>58</v>
      </c>
      <c r="AX551">
        <v>20</v>
      </c>
      <c r="AY551" s="1">
        <v>34881</v>
      </c>
      <c r="AZ551" s="1">
        <v>34881</v>
      </c>
      <c r="BA551" s="1">
        <v>34881</v>
      </c>
      <c r="BB551" s="1">
        <v>42186</v>
      </c>
      <c r="BC551" t="s">
        <v>51</v>
      </c>
      <c r="BE551" t="s">
        <v>54</v>
      </c>
      <c r="BF551">
        <v>2</v>
      </c>
      <c r="BG551">
        <v>0</v>
      </c>
      <c r="BH551" t="s">
        <v>53</v>
      </c>
      <c r="BK551" t="s">
        <v>59</v>
      </c>
      <c r="BL551">
        <v>14000</v>
      </c>
      <c r="BM551" s="1">
        <v>42917</v>
      </c>
      <c r="BN551" s="1">
        <v>42917</v>
      </c>
      <c r="BO551" s="1">
        <v>42917</v>
      </c>
      <c r="BP551" s="1">
        <v>44117</v>
      </c>
      <c r="BQ551" t="s">
        <v>51</v>
      </c>
      <c r="BS551" t="s">
        <v>60</v>
      </c>
      <c r="BT551" t="s">
        <v>54</v>
      </c>
      <c r="BU551" t="s">
        <v>61</v>
      </c>
      <c r="BV551" t="s">
        <v>62</v>
      </c>
      <c r="BX551">
        <v>24</v>
      </c>
      <c r="BY551">
        <v>0</v>
      </c>
      <c r="BZ551">
        <v>0</v>
      </c>
    </row>
    <row r="552" spans="1:78" x14ac:dyDescent="0.2">
      <c r="A552" t="s">
        <v>180</v>
      </c>
      <c r="B552" t="s">
        <v>181</v>
      </c>
      <c r="C552" t="s">
        <v>184</v>
      </c>
      <c r="D552" t="s">
        <v>470</v>
      </c>
      <c r="F552" t="str">
        <f>"250091"</f>
        <v>250091</v>
      </c>
      <c r="G552" t="s">
        <v>49</v>
      </c>
      <c r="H552">
        <v>72</v>
      </c>
      <c r="K552" t="s">
        <v>51</v>
      </c>
      <c r="L552" t="s">
        <v>52</v>
      </c>
      <c r="M552">
        <v>136849.79999999999</v>
      </c>
      <c r="N552">
        <v>470846.65</v>
      </c>
      <c r="O552" t="s">
        <v>53</v>
      </c>
      <c r="P552" t="s">
        <v>54</v>
      </c>
      <c r="Q552" t="s">
        <v>55</v>
      </c>
      <c r="T552" t="s">
        <v>183</v>
      </c>
      <c r="U552">
        <v>40</v>
      </c>
      <c r="V552" s="1">
        <v>37073</v>
      </c>
      <c r="W552" s="1">
        <v>37073</v>
      </c>
      <c r="X552" s="1">
        <v>37073</v>
      </c>
      <c r="Y552" s="1">
        <v>51683</v>
      </c>
      <c r="Z552" t="s">
        <v>51</v>
      </c>
      <c r="AB552" t="s">
        <v>54</v>
      </c>
      <c r="AC552">
        <v>1</v>
      </c>
      <c r="AE552" t="s">
        <v>84</v>
      </c>
      <c r="AF552">
        <v>20</v>
      </c>
      <c r="AG552" s="1">
        <v>37073</v>
      </c>
      <c r="AH552" s="1">
        <v>37073</v>
      </c>
      <c r="AI552" s="1">
        <v>37073</v>
      </c>
      <c r="AJ552" s="1">
        <v>44378</v>
      </c>
      <c r="AK552" t="s">
        <v>51</v>
      </c>
      <c r="AN552">
        <v>0</v>
      </c>
      <c r="AO552" t="s">
        <v>54</v>
      </c>
      <c r="AP552" t="s">
        <v>53</v>
      </c>
      <c r="AQ552">
        <v>0</v>
      </c>
      <c r="AR552" t="s">
        <v>53</v>
      </c>
      <c r="AS552">
        <v>0</v>
      </c>
      <c r="AT552">
        <v>0</v>
      </c>
      <c r="AW552" t="s">
        <v>58</v>
      </c>
      <c r="AX552">
        <v>20</v>
      </c>
      <c r="AY552" s="1">
        <v>37073</v>
      </c>
      <c r="AZ552" s="1">
        <v>37073</v>
      </c>
      <c r="BA552" s="1">
        <v>37073</v>
      </c>
      <c r="BB552" s="1">
        <v>44378</v>
      </c>
      <c r="BC552" t="s">
        <v>51</v>
      </c>
      <c r="BE552" t="s">
        <v>54</v>
      </c>
      <c r="BF552">
        <v>2</v>
      </c>
      <c r="BG552">
        <v>0</v>
      </c>
      <c r="BH552" t="s">
        <v>53</v>
      </c>
      <c r="BK552" t="s">
        <v>59</v>
      </c>
      <c r="BL552">
        <v>14000</v>
      </c>
      <c r="BM552" s="1">
        <v>42917</v>
      </c>
      <c r="BN552" s="1">
        <v>42917</v>
      </c>
      <c r="BO552" s="1">
        <v>42917</v>
      </c>
      <c r="BP552" s="1">
        <v>44117</v>
      </c>
      <c r="BQ552" t="s">
        <v>51</v>
      </c>
      <c r="BS552" t="s">
        <v>60</v>
      </c>
      <c r="BT552" t="s">
        <v>54</v>
      </c>
      <c r="BU552" t="s">
        <v>61</v>
      </c>
      <c r="BV552" t="s">
        <v>62</v>
      </c>
      <c r="BX552">
        <v>24</v>
      </c>
      <c r="BY552">
        <v>0</v>
      </c>
      <c r="BZ552">
        <v>0</v>
      </c>
    </row>
    <row r="553" spans="1:78" x14ac:dyDescent="0.2">
      <c r="A553" t="s">
        <v>180</v>
      </c>
      <c r="B553" t="s">
        <v>181</v>
      </c>
      <c r="C553" t="s">
        <v>184</v>
      </c>
      <c r="D553" t="s">
        <v>470</v>
      </c>
      <c r="F553" t="str">
        <f>"250092"</f>
        <v>250092</v>
      </c>
      <c r="G553" t="s">
        <v>49</v>
      </c>
      <c r="H553" t="s">
        <v>495</v>
      </c>
      <c r="K553" t="s">
        <v>51</v>
      </c>
      <c r="L553" t="s">
        <v>52</v>
      </c>
      <c r="M553">
        <v>136852.81</v>
      </c>
      <c r="N553">
        <v>470813.04</v>
      </c>
      <c r="O553" t="s">
        <v>53</v>
      </c>
      <c r="P553" t="s">
        <v>54</v>
      </c>
      <c r="Q553" t="s">
        <v>55</v>
      </c>
      <c r="T553" t="s">
        <v>183</v>
      </c>
      <c r="U553">
        <v>40</v>
      </c>
      <c r="V553" s="1">
        <v>20637</v>
      </c>
      <c r="W553" s="1">
        <v>20637</v>
      </c>
      <c r="X553" s="1">
        <v>20637</v>
      </c>
      <c r="Y553" s="1">
        <v>35247</v>
      </c>
      <c r="Z553" t="s">
        <v>51</v>
      </c>
      <c r="AB553" t="s">
        <v>54</v>
      </c>
      <c r="AC553">
        <v>1</v>
      </c>
      <c r="AE553" t="s">
        <v>84</v>
      </c>
      <c r="AF553">
        <v>20</v>
      </c>
      <c r="AG553" s="1">
        <v>34881</v>
      </c>
      <c r="AH553" s="1">
        <v>34881</v>
      </c>
      <c r="AI553" s="1">
        <v>34881</v>
      </c>
      <c r="AJ553" s="1">
        <v>42186</v>
      </c>
      <c r="AK553" t="s">
        <v>51</v>
      </c>
      <c r="AN553">
        <v>0</v>
      </c>
      <c r="AO553" t="s">
        <v>54</v>
      </c>
      <c r="AP553" t="s">
        <v>53</v>
      </c>
      <c r="AQ553">
        <v>0</v>
      </c>
      <c r="AR553" t="s">
        <v>53</v>
      </c>
      <c r="AS553">
        <v>0</v>
      </c>
      <c r="AT553">
        <v>0</v>
      </c>
      <c r="AW553" t="s">
        <v>58</v>
      </c>
      <c r="AX553">
        <v>20</v>
      </c>
      <c r="AY553" s="1">
        <v>34881</v>
      </c>
      <c r="AZ553" s="1">
        <v>34881</v>
      </c>
      <c r="BA553" s="1">
        <v>34881</v>
      </c>
      <c r="BB553" s="1">
        <v>42186</v>
      </c>
      <c r="BC553" t="s">
        <v>51</v>
      </c>
      <c r="BE553" t="s">
        <v>54</v>
      </c>
      <c r="BF553">
        <v>2</v>
      </c>
      <c r="BG553">
        <v>0</v>
      </c>
      <c r="BH553" t="s">
        <v>53</v>
      </c>
      <c r="BK553" t="s">
        <v>59</v>
      </c>
      <c r="BL553">
        <v>14000</v>
      </c>
      <c r="BM553" s="1">
        <v>42917</v>
      </c>
      <c r="BN553" s="1">
        <v>42917</v>
      </c>
      <c r="BO553" s="1">
        <v>42917</v>
      </c>
      <c r="BP553" s="1">
        <v>44117</v>
      </c>
      <c r="BQ553" t="s">
        <v>51</v>
      </c>
      <c r="BS553" t="s">
        <v>60</v>
      </c>
      <c r="BT553" t="s">
        <v>54</v>
      </c>
      <c r="BU553" t="s">
        <v>61</v>
      </c>
      <c r="BV553" t="s">
        <v>62</v>
      </c>
      <c r="BX553">
        <v>24</v>
      </c>
      <c r="BY553">
        <v>0</v>
      </c>
      <c r="BZ553">
        <v>0</v>
      </c>
    </row>
    <row r="554" spans="1:78" x14ac:dyDescent="0.2">
      <c r="A554" t="s">
        <v>180</v>
      </c>
      <c r="B554" t="s">
        <v>181</v>
      </c>
      <c r="C554" t="s">
        <v>184</v>
      </c>
      <c r="D554" t="s">
        <v>470</v>
      </c>
      <c r="F554" t="str">
        <f>"250093"</f>
        <v>250093</v>
      </c>
      <c r="G554" t="s">
        <v>49</v>
      </c>
      <c r="H554">
        <v>73</v>
      </c>
      <c r="K554" t="s">
        <v>51</v>
      </c>
      <c r="L554" t="s">
        <v>52</v>
      </c>
      <c r="M554">
        <v>136855.64000000001</v>
      </c>
      <c r="N554">
        <v>470780.03</v>
      </c>
      <c r="O554" t="s">
        <v>53</v>
      </c>
      <c r="P554" t="s">
        <v>54</v>
      </c>
      <c r="Q554" t="s">
        <v>55</v>
      </c>
      <c r="T554" t="s">
        <v>183</v>
      </c>
      <c r="U554">
        <v>40</v>
      </c>
      <c r="V554" s="1">
        <v>37073</v>
      </c>
      <c r="W554" s="1">
        <v>37073</v>
      </c>
      <c r="X554" s="1">
        <v>37073</v>
      </c>
      <c r="Y554" s="1">
        <v>51683</v>
      </c>
      <c r="Z554" t="s">
        <v>51</v>
      </c>
      <c r="AB554" t="s">
        <v>54</v>
      </c>
      <c r="AC554">
        <v>1</v>
      </c>
      <c r="AE554" t="s">
        <v>84</v>
      </c>
      <c r="AF554">
        <v>20</v>
      </c>
      <c r="AG554" s="1">
        <v>37073</v>
      </c>
      <c r="AH554" s="1">
        <v>37073</v>
      </c>
      <c r="AI554" s="1">
        <v>37073</v>
      </c>
      <c r="AJ554" s="1">
        <v>44378</v>
      </c>
      <c r="AK554" t="s">
        <v>51</v>
      </c>
      <c r="AN554">
        <v>0</v>
      </c>
      <c r="AO554" t="s">
        <v>54</v>
      </c>
      <c r="AP554" t="s">
        <v>53</v>
      </c>
      <c r="AQ554">
        <v>0</v>
      </c>
      <c r="AR554" t="s">
        <v>53</v>
      </c>
      <c r="AS554">
        <v>0</v>
      </c>
      <c r="AT554">
        <v>0</v>
      </c>
      <c r="AW554" t="s">
        <v>58</v>
      </c>
      <c r="AX554">
        <v>20</v>
      </c>
      <c r="AY554" s="1">
        <v>37073</v>
      </c>
      <c r="AZ554" s="1">
        <v>37073</v>
      </c>
      <c r="BA554" s="1">
        <v>37073</v>
      </c>
      <c r="BB554" s="1">
        <v>44378</v>
      </c>
      <c r="BC554" t="s">
        <v>51</v>
      </c>
      <c r="BE554" t="s">
        <v>54</v>
      </c>
      <c r="BF554">
        <v>2</v>
      </c>
      <c r="BG554">
        <v>0</v>
      </c>
      <c r="BH554" t="s">
        <v>53</v>
      </c>
      <c r="BK554" t="s">
        <v>59</v>
      </c>
      <c r="BL554">
        <v>14000</v>
      </c>
      <c r="BM554" s="1">
        <v>42917</v>
      </c>
      <c r="BN554" s="1">
        <v>42917</v>
      </c>
      <c r="BO554" s="1">
        <v>42917</v>
      </c>
      <c r="BP554" s="1">
        <v>44117</v>
      </c>
      <c r="BQ554" t="s">
        <v>51</v>
      </c>
      <c r="BS554" t="s">
        <v>60</v>
      </c>
      <c r="BT554" t="s">
        <v>54</v>
      </c>
      <c r="BU554" t="s">
        <v>61</v>
      </c>
      <c r="BV554" t="s">
        <v>62</v>
      </c>
      <c r="BX554">
        <v>24</v>
      </c>
      <c r="BY554">
        <v>0</v>
      </c>
      <c r="BZ554">
        <v>0</v>
      </c>
    </row>
    <row r="555" spans="1:78" x14ac:dyDescent="0.2">
      <c r="A555" t="s">
        <v>180</v>
      </c>
      <c r="B555" t="s">
        <v>181</v>
      </c>
      <c r="C555" t="s">
        <v>184</v>
      </c>
      <c r="D555" t="s">
        <v>470</v>
      </c>
      <c r="F555" t="str">
        <f>"250094"</f>
        <v>250094</v>
      </c>
      <c r="G555" t="s">
        <v>49</v>
      </c>
      <c r="H555" t="s">
        <v>496</v>
      </c>
      <c r="K555" t="s">
        <v>51</v>
      </c>
      <c r="L555" t="s">
        <v>52</v>
      </c>
      <c r="M555">
        <v>136856.84</v>
      </c>
      <c r="N555">
        <v>470747.61</v>
      </c>
      <c r="O555" t="s">
        <v>53</v>
      </c>
      <c r="P555" t="s">
        <v>54</v>
      </c>
      <c r="Q555" t="s">
        <v>55</v>
      </c>
      <c r="T555" t="s">
        <v>183</v>
      </c>
      <c r="U555">
        <v>40</v>
      </c>
      <c r="V555" s="1">
        <v>20637</v>
      </c>
      <c r="W555" s="1">
        <v>20637</v>
      </c>
      <c r="X555" s="1">
        <v>20637</v>
      </c>
      <c r="Y555" s="1">
        <v>35247</v>
      </c>
      <c r="Z555" t="s">
        <v>51</v>
      </c>
      <c r="AB555" t="s">
        <v>54</v>
      </c>
      <c r="AC555">
        <v>1</v>
      </c>
      <c r="AE555" t="s">
        <v>84</v>
      </c>
      <c r="AF555">
        <v>20</v>
      </c>
      <c r="AG555" s="1">
        <v>34881</v>
      </c>
      <c r="AH555" s="1">
        <v>34881</v>
      </c>
      <c r="AI555" s="1">
        <v>34881</v>
      </c>
      <c r="AJ555" s="1">
        <v>42186</v>
      </c>
      <c r="AK555" t="s">
        <v>51</v>
      </c>
      <c r="AN555">
        <v>0</v>
      </c>
      <c r="AO555" t="s">
        <v>54</v>
      </c>
      <c r="AP555" t="s">
        <v>53</v>
      </c>
      <c r="AQ555">
        <v>0</v>
      </c>
      <c r="AR555" t="s">
        <v>53</v>
      </c>
      <c r="AS555">
        <v>0</v>
      </c>
      <c r="AT555">
        <v>0</v>
      </c>
      <c r="AW555" t="s">
        <v>58</v>
      </c>
      <c r="AX555">
        <v>20</v>
      </c>
      <c r="AY555" s="1">
        <v>34881</v>
      </c>
      <c r="AZ555" s="1">
        <v>34881</v>
      </c>
      <c r="BA555" s="1">
        <v>34881</v>
      </c>
      <c r="BB555" s="1">
        <v>42186</v>
      </c>
      <c r="BC555" t="s">
        <v>51</v>
      </c>
      <c r="BE555" t="s">
        <v>54</v>
      </c>
      <c r="BF555">
        <v>2</v>
      </c>
      <c r="BG555">
        <v>0</v>
      </c>
      <c r="BH555" t="s">
        <v>53</v>
      </c>
      <c r="BK555" t="s">
        <v>59</v>
      </c>
      <c r="BL555">
        <v>14000</v>
      </c>
      <c r="BM555" s="1">
        <v>42917</v>
      </c>
      <c r="BN555" s="1">
        <v>42917</v>
      </c>
      <c r="BO555" s="1">
        <v>42917</v>
      </c>
      <c r="BP555" s="1">
        <v>44117</v>
      </c>
      <c r="BQ555" t="s">
        <v>51</v>
      </c>
      <c r="BS555" t="s">
        <v>60</v>
      </c>
      <c r="BT555" t="s">
        <v>54</v>
      </c>
      <c r="BU555" t="s">
        <v>61</v>
      </c>
      <c r="BV555" t="s">
        <v>62</v>
      </c>
      <c r="BX555">
        <v>24</v>
      </c>
      <c r="BY555">
        <v>0</v>
      </c>
      <c r="BZ555">
        <v>0</v>
      </c>
    </row>
    <row r="556" spans="1:78" x14ac:dyDescent="0.2">
      <c r="A556" t="s">
        <v>180</v>
      </c>
      <c r="B556" t="s">
        <v>181</v>
      </c>
      <c r="C556" t="s">
        <v>184</v>
      </c>
      <c r="D556" t="s">
        <v>470</v>
      </c>
      <c r="F556" t="str">
        <f>"250095"</f>
        <v>250095</v>
      </c>
      <c r="G556" t="s">
        <v>49</v>
      </c>
      <c r="H556">
        <v>77</v>
      </c>
      <c r="K556" t="s">
        <v>51</v>
      </c>
      <c r="L556" t="s">
        <v>52</v>
      </c>
      <c r="M556">
        <v>136857.4</v>
      </c>
      <c r="N556">
        <v>470716.05</v>
      </c>
      <c r="O556" t="s">
        <v>53</v>
      </c>
      <c r="P556" t="s">
        <v>54</v>
      </c>
      <c r="Q556" t="s">
        <v>55</v>
      </c>
      <c r="T556" t="s">
        <v>183</v>
      </c>
      <c r="U556">
        <v>40</v>
      </c>
      <c r="V556" s="1">
        <v>37073</v>
      </c>
      <c r="W556" s="1">
        <v>37073</v>
      </c>
      <c r="X556" s="1">
        <v>37073</v>
      </c>
      <c r="Y556" s="1">
        <v>51683</v>
      </c>
      <c r="Z556" t="s">
        <v>51</v>
      </c>
      <c r="AB556" t="s">
        <v>54</v>
      </c>
      <c r="AC556">
        <v>1</v>
      </c>
      <c r="AE556" t="s">
        <v>84</v>
      </c>
      <c r="AF556">
        <v>20</v>
      </c>
      <c r="AG556" s="1">
        <v>37073</v>
      </c>
      <c r="AH556" s="1">
        <v>37073</v>
      </c>
      <c r="AI556" s="1">
        <v>37073</v>
      </c>
      <c r="AJ556" s="1">
        <v>44378</v>
      </c>
      <c r="AK556" t="s">
        <v>51</v>
      </c>
      <c r="AN556">
        <v>0</v>
      </c>
      <c r="AO556" t="s">
        <v>54</v>
      </c>
      <c r="AP556" t="s">
        <v>53</v>
      </c>
      <c r="AQ556">
        <v>0</v>
      </c>
      <c r="AR556" t="s">
        <v>53</v>
      </c>
      <c r="AS556">
        <v>0</v>
      </c>
      <c r="AT556">
        <v>0</v>
      </c>
      <c r="AW556" t="s">
        <v>58</v>
      </c>
      <c r="AX556">
        <v>20</v>
      </c>
      <c r="AY556" s="1">
        <v>37073</v>
      </c>
      <c r="AZ556" s="1">
        <v>37073</v>
      </c>
      <c r="BA556" s="1">
        <v>37073</v>
      </c>
      <c r="BB556" s="1">
        <v>44378</v>
      </c>
      <c r="BC556" t="s">
        <v>51</v>
      </c>
      <c r="BE556" t="s">
        <v>54</v>
      </c>
      <c r="BF556">
        <v>2</v>
      </c>
      <c r="BG556">
        <v>0</v>
      </c>
      <c r="BH556" t="s">
        <v>53</v>
      </c>
      <c r="BK556" t="s">
        <v>59</v>
      </c>
      <c r="BL556">
        <v>14000</v>
      </c>
      <c r="BM556" s="1">
        <v>42917</v>
      </c>
      <c r="BN556" s="1">
        <v>42917</v>
      </c>
      <c r="BO556" s="1">
        <v>42917</v>
      </c>
      <c r="BP556" s="1">
        <v>44117</v>
      </c>
      <c r="BQ556" t="s">
        <v>51</v>
      </c>
      <c r="BS556" t="s">
        <v>60</v>
      </c>
      <c r="BT556" t="s">
        <v>54</v>
      </c>
      <c r="BU556" t="s">
        <v>61</v>
      </c>
      <c r="BV556" t="s">
        <v>62</v>
      </c>
      <c r="BX556">
        <v>24</v>
      </c>
      <c r="BY556">
        <v>0</v>
      </c>
      <c r="BZ556">
        <v>0</v>
      </c>
    </row>
    <row r="557" spans="1:78" x14ac:dyDescent="0.2">
      <c r="A557" t="s">
        <v>180</v>
      </c>
      <c r="B557" t="s">
        <v>181</v>
      </c>
      <c r="C557" t="s">
        <v>184</v>
      </c>
      <c r="D557" t="s">
        <v>470</v>
      </c>
      <c r="F557" t="str">
        <f>"250096"</f>
        <v>250096</v>
      </c>
      <c r="G557" t="s">
        <v>49</v>
      </c>
      <c r="H557" t="s">
        <v>496</v>
      </c>
      <c r="K557" t="s">
        <v>51</v>
      </c>
      <c r="L557" t="s">
        <v>52</v>
      </c>
      <c r="M557">
        <v>136857.99</v>
      </c>
      <c r="N557">
        <v>470677.59</v>
      </c>
      <c r="O557" t="s">
        <v>53</v>
      </c>
      <c r="P557" t="s">
        <v>54</v>
      </c>
      <c r="Q557" t="s">
        <v>55</v>
      </c>
      <c r="T557" t="s">
        <v>183</v>
      </c>
      <c r="U557">
        <v>40</v>
      </c>
      <c r="V557" s="1">
        <v>20637</v>
      </c>
      <c r="W557" s="1">
        <v>20637</v>
      </c>
      <c r="X557" s="1">
        <v>20637</v>
      </c>
      <c r="Y557" s="1">
        <v>35247</v>
      </c>
      <c r="Z557" t="s">
        <v>51</v>
      </c>
      <c r="AB557" t="s">
        <v>54</v>
      </c>
      <c r="AC557">
        <v>1</v>
      </c>
      <c r="AE557" t="s">
        <v>84</v>
      </c>
      <c r="AF557">
        <v>20</v>
      </c>
      <c r="AG557" s="1">
        <v>34881</v>
      </c>
      <c r="AH557" s="1">
        <v>34881</v>
      </c>
      <c r="AI557" s="1">
        <v>34881</v>
      </c>
      <c r="AJ557" s="1">
        <v>42186</v>
      </c>
      <c r="AK557" t="s">
        <v>51</v>
      </c>
      <c r="AN557">
        <v>0</v>
      </c>
      <c r="AO557" t="s">
        <v>54</v>
      </c>
      <c r="AP557" t="s">
        <v>53</v>
      </c>
      <c r="AQ557">
        <v>0</v>
      </c>
      <c r="AR557" t="s">
        <v>53</v>
      </c>
      <c r="AS557">
        <v>0</v>
      </c>
      <c r="AT557">
        <v>0</v>
      </c>
      <c r="AW557" t="s">
        <v>58</v>
      </c>
      <c r="AX557">
        <v>20</v>
      </c>
      <c r="AY557" s="1">
        <v>34881</v>
      </c>
      <c r="AZ557" s="1">
        <v>34881</v>
      </c>
      <c r="BA557" s="1">
        <v>34881</v>
      </c>
      <c r="BB557" s="1">
        <v>42186</v>
      </c>
      <c r="BC557" t="s">
        <v>51</v>
      </c>
      <c r="BE557" t="s">
        <v>54</v>
      </c>
      <c r="BF557">
        <v>2</v>
      </c>
      <c r="BG557">
        <v>0</v>
      </c>
      <c r="BH557" t="s">
        <v>53</v>
      </c>
      <c r="BK557" t="s">
        <v>59</v>
      </c>
      <c r="BL557">
        <v>14000</v>
      </c>
      <c r="BM557" s="1">
        <v>42917</v>
      </c>
      <c r="BN557" s="1">
        <v>42917</v>
      </c>
      <c r="BO557" s="1">
        <v>42917</v>
      </c>
      <c r="BP557" s="1">
        <v>44117</v>
      </c>
      <c r="BQ557" t="s">
        <v>51</v>
      </c>
      <c r="BS557" t="s">
        <v>60</v>
      </c>
      <c r="BT557" t="s">
        <v>54</v>
      </c>
      <c r="BU557" t="s">
        <v>61</v>
      </c>
      <c r="BV557" t="s">
        <v>62</v>
      </c>
      <c r="BX557">
        <v>24</v>
      </c>
      <c r="BY557">
        <v>0</v>
      </c>
      <c r="BZ557">
        <v>0</v>
      </c>
    </row>
    <row r="558" spans="1:78" x14ac:dyDescent="0.2">
      <c r="A558" t="s">
        <v>180</v>
      </c>
      <c r="B558" t="s">
        <v>181</v>
      </c>
      <c r="C558" t="s">
        <v>184</v>
      </c>
      <c r="D558" t="s">
        <v>470</v>
      </c>
      <c r="F558" t="str">
        <f>"250098"</f>
        <v>250098</v>
      </c>
      <c r="G558" t="s">
        <v>49</v>
      </c>
      <c r="H558" t="s">
        <v>495</v>
      </c>
      <c r="K558" t="s">
        <v>51</v>
      </c>
      <c r="L558" t="s">
        <v>52</v>
      </c>
      <c r="M558">
        <v>136860.92000000001</v>
      </c>
      <c r="N558">
        <v>470612.92</v>
      </c>
      <c r="O558" t="s">
        <v>53</v>
      </c>
      <c r="P558" t="s">
        <v>54</v>
      </c>
      <c r="Q558" t="s">
        <v>55</v>
      </c>
      <c r="T558" t="s">
        <v>183</v>
      </c>
      <c r="U558">
        <v>40</v>
      </c>
      <c r="V558" s="1">
        <v>20637</v>
      </c>
      <c r="W558" s="1">
        <v>20637</v>
      </c>
      <c r="X558" s="1">
        <v>20637</v>
      </c>
      <c r="Y558" s="1">
        <v>35247</v>
      </c>
      <c r="Z558" t="s">
        <v>51</v>
      </c>
      <c r="AB558" t="s">
        <v>54</v>
      </c>
      <c r="AC558">
        <v>1</v>
      </c>
      <c r="AE558" t="s">
        <v>84</v>
      </c>
      <c r="AF558">
        <v>20</v>
      </c>
      <c r="AG558" s="1">
        <v>34881</v>
      </c>
      <c r="AH558" s="1">
        <v>34881</v>
      </c>
      <c r="AI558" s="1">
        <v>34881</v>
      </c>
      <c r="AJ558" s="1">
        <v>42186</v>
      </c>
      <c r="AK558" t="s">
        <v>51</v>
      </c>
      <c r="AN558">
        <v>0</v>
      </c>
      <c r="AO558" t="s">
        <v>54</v>
      </c>
      <c r="AP558" t="s">
        <v>53</v>
      </c>
      <c r="AQ558">
        <v>0</v>
      </c>
      <c r="AR558" t="s">
        <v>53</v>
      </c>
      <c r="AS558">
        <v>0</v>
      </c>
      <c r="AT558">
        <v>0</v>
      </c>
      <c r="AW558" t="s">
        <v>58</v>
      </c>
      <c r="AX558">
        <v>20</v>
      </c>
      <c r="AY558" s="1">
        <v>34881</v>
      </c>
      <c r="AZ558" s="1">
        <v>34881</v>
      </c>
      <c r="BA558" s="1">
        <v>34881</v>
      </c>
      <c r="BB558" s="1">
        <v>42186</v>
      </c>
      <c r="BC558" t="s">
        <v>51</v>
      </c>
      <c r="BE558" t="s">
        <v>54</v>
      </c>
      <c r="BF558">
        <v>2</v>
      </c>
      <c r="BG558">
        <v>0</v>
      </c>
      <c r="BH558" t="s">
        <v>53</v>
      </c>
      <c r="BK558" t="s">
        <v>59</v>
      </c>
      <c r="BL558">
        <v>14000</v>
      </c>
      <c r="BM558" s="1">
        <v>42917</v>
      </c>
      <c r="BN558" s="1">
        <v>42917</v>
      </c>
      <c r="BO558" s="1">
        <v>42917</v>
      </c>
      <c r="BP558" s="1">
        <v>44117</v>
      </c>
      <c r="BQ558" t="s">
        <v>51</v>
      </c>
      <c r="BS558" t="s">
        <v>60</v>
      </c>
      <c r="BT558" t="s">
        <v>54</v>
      </c>
      <c r="BU558" t="s">
        <v>61</v>
      </c>
      <c r="BV558" t="s">
        <v>62</v>
      </c>
      <c r="BX558">
        <v>24</v>
      </c>
      <c r="BY558">
        <v>0</v>
      </c>
      <c r="BZ558">
        <v>0</v>
      </c>
    </row>
    <row r="559" spans="1:78" x14ac:dyDescent="0.2">
      <c r="A559" t="s">
        <v>180</v>
      </c>
      <c r="B559" t="s">
        <v>181</v>
      </c>
      <c r="C559" t="s">
        <v>184</v>
      </c>
      <c r="D559" t="s">
        <v>470</v>
      </c>
      <c r="F559" t="str">
        <f>"250099"</f>
        <v>250099</v>
      </c>
      <c r="G559" t="s">
        <v>49</v>
      </c>
      <c r="H559">
        <v>78</v>
      </c>
      <c r="K559" t="s">
        <v>51</v>
      </c>
      <c r="L559" t="s">
        <v>52</v>
      </c>
      <c r="M559">
        <v>136860.10999999999</v>
      </c>
      <c r="N559">
        <v>470580.8</v>
      </c>
      <c r="O559" t="s">
        <v>53</v>
      </c>
      <c r="P559" t="s">
        <v>54</v>
      </c>
      <c r="Q559" t="s">
        <v>55</v>
      </c>
      <c r="T559" t="s">
        <v>183</v>
      </c>
      <c r="U559">
        <v>40</v>
      </c>
      <c r="V559" s="1">
        <v>37073</v>
      </c>
      <c r="W559" s="1">
        <v>37073</v>
      </c>
      <c r="X559" s="1">
        <v>37073</v>
      </c>
      <c r="Y559" s="1">
        <v>51683</v>
      </c>
      <c r="Z559" t="s">
        <v>51</v>
      </c>
      <c r="AB559" t="s">
        <v>54</v>
      </c>
      <c r="AC559">
        <v>1</v>
      </c>
      <c r="AE559" t="s">
        <v>84</v>
      </c>
      <c r="AF559">
        <v>20</v>
      </c>
      <c r="AG559" s="1">
        <v>37073</v>
      </c>
      <c r="AH559" s="1">
        <v>37073</v>
      </c>
      <c r="AI559" s="1">
        <v>37073</v>
      </c>
      <c r="AJ559" s="1">
        <v>44378</v>
      </c>
      <c r="AK559" t="s">
        <v>51</v>
      </c>
      <c r="AN559">
        <v>0</v>
      </c>
      <c r="AO559" t="s">
        <v>54</v>
      </c>
      <c r="AP559" t="s">
        <v>53</v>
      </c>
      <c r="AQ559">
        <v>0</v>
      </c>
      <c r="AR559" t="s">
        <v>53</v>
      </c>
      <c r="AS559">
        <v>0</v>
      </c>
      <c r="AT559">
        <v>0</v>
      </c>
      <c r="AW559" t="s">
        <v>58</v>
      </c>
      <c r="AX559">
        <v>20</v>
      </c>
      <c r="AY559" s="1">
        <v>44984</v>
      </c>
      <c r="AZ559" s="1">
        <v>44984</v>
      </c>
      <c r="BA559" s="1">
        <v>44984</v>
      </c>
      <c r="BB559" s="1">
        <v>52289</v>
      </c>
      <c r="BC559" t="s">
        <v>51</v>
      </c>
      <c r="BE559" t="s">
        <v>54</v>
      </c>
      <c r="BF559">
        <v>2</v>
      </c>
      <c r="BG559">
        <v>0</v>
      </c>
      <c r="BH559" t="s">
        <v>53</v>
      </c>
      <c r="BK559" t="s">
        <v>59</v>
      </c>
      <c r="BL559">
        <v>14000</v>
      </c>
      <c r="BM559" s="1">
        <v>44984</v>
      </c>
      <c r="BN559" s="1">
        <v>44984</v>
      </c>
      <c r="BO559" s="1">
        <v>44984</v>
      </c>
      <c r="BP559" s="1">
        <v>46186</v>
      </c>
      <c r="BQ559" t="s">
        <v>51</v>
      </c>
      <c r="BS559" t="s">
        <v>60</v>
      </c>
      <c r="BT559" t="s">
        <v>54</v>
      </c>
      <c r="BU559" t="s">
        <v>61</v>
      </c>
      <c r="BV559" t="s">
        <v>62</v>
      </c>
      <c r="BX559">
        <v>24</v>
      </c>
      <c r="BY559">
        <v>0</v>
      </c>
      <c r="BZ559">
        <v>0</v>
      </c>
    </row>
    <row r="560" spans="1:78" x14ac:dyDescent="0.2">
      <c r="A560" t="s">
        <v>180</v>
      </c>
      <c r="B560" t="s">
        <v>181</v>
      </c>
      <c r="C560" t="s">
        <v>184</v>
      </c>
      <c r="D560" t="s">
        <v>470</v>
      </c>
      <c r="F560" t="str">
        <f>"250100"</f>
        <v>250100</v>
      </c>
      <c r="G560" t="s">
        <v>49</v>
      </c>
      <c r="H560" t="s">
        <v>458</v>
      </c>
      <c r="K560" t="s">
        <v>51</v>
      </c>
      <c r="L560" t="s">
        <v>52</v>
      </c>
      <c r="M560">
        <v>136855.15</v>
      </c>
      <c r="N560">
        <v>470543.8</v>
      </c>
      <c r="O560" t="s">
        <v>53</v>
      </c>
      <c r="P560" t="s">
        <v>54</v>
      </c>
      <c r="Q560" t="s">
        <v>55</v>
      </c>
      <c r="T560" t="s">
        <v>497</v>
      </c>
      <c r="U560">
        <v>40</v>
      </c>
      <c r="V560" s="1">
        <v>20637</v>
      </c>
      <c r="W560" s="1">
        <v>20637</v>
      </c>
      <c r="X560" s="1">
        <v>20637</v>
      </c>
      <c r="Y560" s="1">
        <v>35247</v>
      </c>
      <c r="Z560" t="s">
        <v>51</v>
      </c>
      <c r="AB560" t="s">
        <v>54</v>
      </c>
      <c r="AC560">
        <v>1</v>
      </c>
      <c r="AE560" t="s">
        <v>57</v>
      </c>
      <c r="AF560">
        <v>20</v>
      </c>
      <c r="AG560" s="1">
        <v>37803</v>
      </c>
      <c r="AH560" s="1">
        <v>37803</v>
      </c>
      <c r="AI560" s="1">
        <v>37803</v>
      </c>
      <c r="AJ560" s="1">
        <v>45108</v>
      </c>
      <c r="AK560" t="s">
        <v>51</v>
      </c>
      <c r="AN560">
        <v>0</v>
      </c>
      <c r="AO560" t="s">
        <v>54</v>
      </c>
      <c r="AP560" t="s">
        <v>53</v>
      </c>
      <c r="AQ560">
        <v>0</v>
      </c>
      <c r="AR560" t="s">
        <v>53</v>
      </c>
      <c r="AS560">
        <v>0</v>
      </c>
      <c r="AT560">
        <v>0</v>
      </c>
      <c r="AW560" t="s">
        <v>58</v>
      </c>
      <c r="AX560">
        <v>20</v>
      </c>
      <c r="AY560" s="1">
        <v>37803</v>
      </c>
      <c r="AZ560" s="1">
        <v>37803</v>
      </c>
      <c r="BA560" s="1">
        <v>37803</v>
      </c>
      <c r="BB560" s="1">
        <v>45108</v>
      </c>
      <c r="BC560" t="s">
        <v>51</v>
      </c>
      <c r="BE560" t="s">
        <v>54</v>
      </c>
      <c r="BF560">
        <v>2</v>
      </c>
      <c r="BG560">
        <v>0</v>
      </c>
      <c r="BH560" t="s">
        <v>53</v>
      </c>
      <c r="BK560" t="s">
        <v>59</v>
      </c>
      <c r="BL560">
        <v>14000</v>
      </c>
      <c r="BM560" s="1">
        <v>42917</v>
      </c>
      <c r="BN560" s="1">
        <v>42917</v>
      </c>
      <c r="BO560" s="1">
        <v>42917</v>
      </c>
      <c r="BP560" s="1">
        <v>44117</v>
      </c>
      <c r="BQ560" t="s">
        <v>51</v>
      </c>
      <c r="BS560" t="s">
        <v>60</v>
      </c>
      <c r="BT560" t="s">
        <v>54</v>
      </c>
      <c r="BU560" t="s">
        <v>61</v>
      </c>
      <c r="BV560" t="s">
        <v>62</v>
      </c>
      <c r="BX560">
        <v>24</v>
      </c>
      <c r="BY560">
        <v>0</v>
      </c>
      <c r="BZ560">
        <v>0</v>
      </c>
    </row>
    <row r="561" spans="1:78" x14ac:dyDescent="0.2">
      <c r="A561" t="s">
        <v>180</v>
      </c>
      <c r="B561" t="s">
        <v>181</v>
      </c>
      <c r="C561" t="s">
        <v>184</v>
      </c>
      <c r="D561" t="s">
        <v>470</v>
      </c>
      <c r="F561" t="str">
        <f>"250101"</f>
        <v>250101</v>
      </c>
      <c r="G561" t="s">
        <v>49</v>
      </c>
      <c r="H561">
        <v>80</v>
      </c>
      <c r="K561" t="s">
        <v>51</v>
      </c>
      <c r="L561" t="s">
        <v>52</v>
      </c>
      <c r="M561">
        <v>136852.4</v>
      </c>
      <c r="N561">
        <v>470508.1</v>
      </c>
      <c r="O561" t="s">
        <v>53</v>
      </c>
      <c r="P561" t="s">
        <v>54</v>
      </c>
      <c r="Q561" t="s">
        <v>55</v>
      </c>
      <c r="T561" t="s">
        <v>183</v>
      </c>
      <c r="U561">
        <v>40</v>
      </c>
      <c r="V561" s="1">
        <v>37073</v>
      </c>
      <c r="W561" s="1">
        <v>37073</v>
      </c>
      <c r="X561" s="1">
        <v>37073</v>
      </c>
      <c r="Y561" s="1">
        <v>51683</v>
      </c>
      <c r="Z561" t="s">
        <v>51</v>
      </c>
      <c r="AB561" t="s">
        <v>54</v>
      </c>
      <c r="AC561">
        <v>1</v>
      </c>
      <c r="AE561" t="s">
        <v>84</v>
      </c>
      <c r="AF561">
        <v>20</v>
      </c>
      <c r="AG561" s="1">
        <v>37073</v>
      </c>
      <c r="AH561" s="1">
        <v>37073</v>
      </c>
      <c r="AI561" s="1">
        <v>37073</v>
      </c>
      <c r="AJ561" s="1">
        <v>44378</v>
      </c>
      <c r="AK561" t="s">
        <v>51</v>
      </c>
      <c r="AN561">
        <v>0</v>
      </c>
      <c r="AO561" t="s">
        <v>54</v>
      </c>
      <c r="AP561" t="s">
        <v>53</v>
      </c>
      <c r="AQ561">
        <v>0</v>
      </c>
      <c r="AR561" t="s">
        <v>53</v>
      </c>
      <c r="AS561">
        <v>0</v>
      </c>
      <c r="AT561">
        <v>0</v>
      </c>
      <c r="AW561" t="s">
        <v>58</v>
      </c>
      <c r="AX561">
        <v>20</v>
      </c>
      <c r="AY561" s="1">
        <v>44312</v>
      </c>
      <c r="AZ561" s="1">
        <v>44312</v>
      </c>
      <c r="BA561" s="1">
        <v>44312</v>
      </c>
      <c r="BB561" s="1">
        <v>51617</v>
      </c>
      <c r="BC561" t="s">
        <v>51</v>
      </c>
      <c r="BE561" t="s">
        <v>54</v>
      </c>
      <c r="BF561">
        <v>2</v>
      </c>
      <c r="BG561">
        <v>0</v>
      </c>
      <c r="BH561" t="s">
        <v>53</v>
      </c>
      <c r="BK561" t="s">
        <v>59</v>
      </c>
      <c r="BL561">
        <v>14000</v>
      </c>
      <c r="BM561" s="1">
        <v>44312</v>
      </c>
      <c r="BN561" s="1">
        <v>44312</v>
      </c>
      <c r="BO561" s="1">
        <v>44312</v>
      </c>
      <c r="BP561" s="1">
        <v>45535</v>
      </c>
      <c r="BQ561" t="s">
        <v>51</v>
      </c>
      <c r="BS561" t="s">
        <v>60</v>
      </c>
      <c r="BT561" t="s">
        <v>54</v>
      </c>
      <c r="BU561" t="s">
        <v>61</v>
      </c>
      <c r="BV561" t="s">
        <v>62</v>
      </c>
      <c r="BX561">
        <v>24</v>
      </c>
      <c r="BY561">
        <v>0</v>
      </c>
      <c r="BZ561">
        <v>0</v>
      </c>
    </row>
    <row r="562" spans="1:78" x14ac:dyDescent="0.2">
      <c r="A562" t="s">
        <v>180</v>
      </c>
      <c r="B562" t="s">
        <v>181</v>
      </c>
      <c r="C562" t="s">
        <v>184</v>
      </c>
      <c r="D562" t="s">
        <v>470</v>
      </c>
      <c r="F562" t="str">
        <f>"250102"</f>
        <v>250102</v>
      </c>
      <c r="G562" t="s">
        <v>49</v>
      </c>
      <c r="H562" t="s">
        <v>498</v>
      </c>
      <c r="K562" t="s">
        <v>51</v>
      </c>
      <c r="L562" t="s">
        <v>52</v>
      </c>
      <c r="M562">
        <v>136851.57999999999</v>
      </c>
      <c r="N562">
        <v>470475.98</v>
      </c>
      <c r="O562" t="s">
        <v>53</v>
      </c>
      <c r="P562" t="s">
        <v>54</v>
      </c>
      <c r="Q562" t="s">
        <v>55</v>
      </c>
      <c r="T562" t="s">
        <v>183</v>
      </c>
      <c r="U562">
        <v>40</v>
      </c>
      <c r="V562" s="1">
        <v>20637</v>
      </c>
      <c r="W562" s="1">
        <v>20637</v>
      </c>
      <c r="X562" s="1">
        <v>20637</v>
      </c>
      <c r="Y562" s="1">
        <v>35247</v>
      </c>
      <c r="Z562" t="s">
        <v>51</v>
      </c>
      <c r="AB562" t="s">
        <v>54</v>
      </c>
      <c r="AC562">
        <v>1</v>
      </c>
      <c r="AE562" t="s">
        <v>84</v>
      </c>
      <c r="AF562">
        <v>20</v>
      </c>
      <c r="AG562" s="1">
        <v>34881</v>
      </c>
      <c r="AH562" s="1">
        <v>34881</v>
      </c>
      <c r="AI562" s="1">
        <v>34881</v>
      </c>
      <c r="AJ562" s="1">
        <v>42186</v>
      </c>
      <c r="AK562" t="s">
        <v>51</v>
      </c>
      <c r="AN562">
        <v>0</v>
      </c>
      <c r="AO562" t="s">
        <v>54</v>
      </c>
      <c r="AP562" t="s">
        <v>53</v>
      </c>
      <c r="AQ562">
        <v>0</v>
      </c>
      <c r="AR562" t="s">
        <v>53</v>
      </c>
      <c r="AS562">
        <v>0</v>
      </c>
      <c r="AT562">
        <v>0</v>
      </c>
      <c r="AW562" t="s">
        <v>58</v>
      </c>
      <c r="AX562">
        <v>20</v>
      </c>
      <c r="AY562" s="1">
        <v>34881</v>
      </c>
      <c r="AZ562" s="1">
        <v>34881</v>
      </c>
      <c r="BA562" s="1">
        <v>34881</v>
      </c>
      <c r="BB562" s="1">
        <v>42186</v>
      </c>
      <c r="BC562" t="s">
        <v>51</v>
      </c>
      <c r="BE562" t="s">
        <v>54</v>
      </c>
      <c r="BF562">
        <v>2</v>
      </c>
      <c r="BG562">
        <v>0</v>
      </c>
      <c r="BH562" t="s">
        <v>53</v>
      </c>
      <c r="BK562" t="s">
        <v>59</v>
      </c>
      <c r="BL562">
        <v>14000</v>
      </c>
      <c r="BM562" s="1">
        <v>42917</v>
      </c>
      <c r="BN562" s="1">
        <v>42917</v>
      </c>
      <c r="BO562" s="1">
        <v>42917</v>
      </c>
      <c r="BP562" s="1">
        <v>44117</v>
      </c>
      <c r="BQ562" t="s">
        <v>51</v>
      </c>
      <c r="BS562" t="s">
        <v>60</v>
      </c>
      <c r="BT562" t="s">
        <v>54</v>
      </c>
      <c r="BU562" t="s">
        <v>61</v>
      </c>
      <c r="BV562" t="s">
        <v>62</v>
      </c>
      <c r="BX562">
        <v>24</v>
      </c>
      <c r="BY562">
        <v>0</v>
      </c>
      <c r="BZ562">
        <v>0</v>
      </c>
    </row>
    <row r="563" spans="1:78" x14ac:dyDescent="0.2">
      <c r="A563" t="s">
        <v>180</v>
      </c>
      <c r="B563" t="s">
        <v>181</v>
      </c>
      <c r="C563" t="s">
        <v>184</v>
      </c>
      <c r="D563" t="s">
        <v>470</v>
      </c>
      <c r="F563" t="str">
        <f>"250103"</f>
        <v>250103</v>
      </c>
      <c r="G563" t="s">
        <v>49</v>
      </c>
      <c r="H563">
        <v>81</v>
      </c>
      <c r="K563" t="s">
        <v>51</v>
      </c>
      <c r="L563" t="s">
        <v>52</v>
      </c>
      <c r="M563">
        <v>136852.41</v>
      </c>
      <c r="N563">
        <v>470446.61</v>
      </c>
      <c r="O563" t="s">
        <v>53</v>
      </c>
      <c r="P563" t="s">
        <v>54</v>
      </c>
      <c r="Q563" t="s">
        <v>55</v>
      </c>
      <c r="T563" t="s">
        <v>183</v>
      </c>
      <c r="U563">
        <v>40</v>
      </c>
      <c r="V563" s="1">
        <v>37073</v>
      </c>
      <c r="W563" s="1">
        <v>37073</v>
      </c>
      <c r="X563" s="1">
        <v>37073</v>
      </c>
      <c r="Y563" s="1">
        <v>51683</v>
      </c>
      <c r="Z563" t="s">
        <v>51</v>
      </c>
      <c r="AB563" t="s">
        <v>54</v>
      </c>
      <c r="AC563">
        <v>1</v>
      </c>
      <c r="AE563" t="s">
        <v>84</v>
      </c>
      <c r="AF563">
        <v>20</v>
      </c>
      <c r="AG563" s="1">
        <v>37073</v>
      </c>
      <c r="AH563" s="1">
        <v>37073</v>
      </c>
      <c r="AI563" s="1">
        <v>37073</v>
      </c>
      <c r="AJ563" s="1">
        <v>44378</v>
      </c>
      <c r="AK563" t="s">
        <v>51</v>
      </c>
      <c r="AN563">
        <v>0</v>
      </c>
      <c r="AO563" t="s">
        <v>54</v>
      </c>
      <c r="AP563" t="s">
        <v>53</v>
      </c>
      <c r="AQ563">
        <v>0</v>
      </c>
      <c r="AR563" t="s">
        <v>53</v>
      </c>
      <c r="AS563">
        <v>0</v>
      </c>
      <c r="AT563">
        <v>0</v>
      </c>
      <c r="AW563" t="s">
        <v>58</v>
      </c>
      <c r="AX563">
        <v>20</v>
      </c>
      <c r="AY563" s="1">
        <v>37073</v>
      </c>
      <c r="AZ563" s="1">
        <v>37073</v>
      </c>
      <c r="BA563" s="1">
        <v>37073</v>
      </c>
      <c r="BB563" s="1">
        <v>44378</v>
      </c>
      <c r="BC563" t="s">
        <v>51</v>
      </c>
      <c r="BE563" t="s">
        <v>54</v>
      </c>
      <c r="BF563">
        <v>2</v>
      </c>
      <c r="BG563">
        <v>0</v>
      </c>
      <c r="BH563" t="s">
        <v>53</v>
      </c>
      <c r="BK563" t="s">
        <v>59</v>
      </c>
      <c r="BL563">
        <v>14000</v>
      </c>
      <c r="BM563" s="1">
        <v>42917</v>
      </c>
      <c r="BN563" s="1">
        <v>42917</v>
      </c>
      <c r="BO563" s="1">
        <v>42917</v>
      </c>
      <c r="BP563" s="1">
        <v>44117</v>
      </c>
      <c r="BQ563" t="s">
        <v>51</v>
      </c>
      <c r="BS563" t="s">
        <v>60</v>
      </c>
      <c r="BT563" t="s">
        <v>54</v>
      </c>
      <c r="BU563" t="s">
        <v>61</v>
      </c>
      <c r="BV563" t="s">
        <v>62</v>
      </c>
      <c r="BX563">
        <v>24</v>
      </c>
      <c r="BY563">
        <v>0</v>
      </c>
      <c r="BZ563">
        <v>0</v>
      </c>
    </row>
    <row r="564" spans="1:78" x14ac:dyDescent="0.2">
      <c r="A564" t="s">
        <v>180</v>
      </c>
      <c r="B564" t="s">
        <v>181</v>
      </c>
      <c r="C564" t="s">
        <v>184</v>
      </c>
      <c r="D564" t="s">
        <v>470</v>
      </c>
      <c r="F564" t="str">
        <f>"250106"</f>
        <v>250106</v>
      </c>
      <c r="G564" t="s">
        <v>49</v>
      </c>
      <c r="K564" t="s">
        <v>51</v>
      </c>
      <c r="L564" t="s">
        <v>52</v>
      </c>
      <c r="M564">
        <v>136883.21</v>
      </c>
      <c r="N564">
        <v>470397.21</v>
      </c>
      <c r="O564" t="s">
        <v>53</v>
      </c>
      <c r="P564" t="s">
        <v>54</v>
      </c>
      <c r="Q564" t="s">
        <v>55</v>
      </c>
      <c r="T564" t="s">
        <v>183</v>
      </c>
      <c r="U564">
        <v>40</v>
      </c>
      <c r="V564" s="1">
        <v>33786</v>
      </c>
      <c r="W564" s="1">
        <v>33786</v>
      </c>
      <c r="X564" s="1">
        <v>33786</v>
      </c>
      <c r="Y564" s="1">
        <v>48396</v>
      </c>
      <c r="Z564" t="s">
        <v>51</v>
      </c>
      <c r="AB564" t="s">
        <v>54</v>
      </c>
      <c r="AC564">
        <v>1</v>
      </c>
      <c r="AE564" t="s">
        <v>84</v>
      </c>
      <c r="AF564">
        <v>20</v>
      </c>
      <c r="AG564" s="1">
        <v>37073</v>
      </c>
      <c r="AH564" s="1">
        <v>37073</v>
      </c>
      <c r="AI564" s="1">
        <v>37073</v>
      </c>
      <c r="AJ564" s="1">
        <v>44378</v>
      </c>
      <c r="AK564" t="s">
        <v>51</v>
      </c>
      <c r="AN564">
        <v>0</v>
      </c>
      <c r="AO564" t="s">
        <v>54</v>
      </c>
      <c r="AP564" t="s">
        <v>53</v>
      </c>
      <c r="AQ564">
        <v>0</v>
      </c>
      <c r="AR564" t="s">
        <v>53</v>
      </c>
      <c r="AS564">
        <v>0</v>
      </c>
      <c r="AT564">
        <v>0</v>
      </c>
      <c r="AW564" t="s">
        <v>58</v>
      </c>
      <c r="AX564">
        <v>20</v>
      </c>
      <c r="AY564" s="1">
        <v>37073</v>
      </c>
      <c r="AZ564" s="1">
        <v>37073</v>
      </c>
      <c r="BA564" s="1">
        <v>37073</v>
      </c>
      <c r="BB564" s="1">
        <v>44378</v>
      </c>
      <c r="BC564" t="s">
        <v>51</v>
      </c>
      <c r="BE564" t="s">
        <v>54</v>
      </c>
      <c r="BF564">
        <v>2</v>
      </c>
      <c r="BG564">
        <v>0</v>
      </c>
      <c r="BH564" t="s">
        <v>53</v>
      </c>
      <c r="BK564" t="s">
        <v>59</v>
      </c>
      <c r="BL564">
        <v>14000</v>
      </c>
      <c r="BM564" s="1">
        <v>44858</v>
      </c>
      <c r="BN564" s="1">
        <v>44858</v>
      </c>
      <c r="BO564" s="1">
        <v>44858</v>
      </c>
      <c r="BP564" s="1">
        <v>46019</v>
      </c>
      <c r="BQ564" t="s">
        <v>51</v>
      </c>
      <c r="BS564" t="s">
        <v>60</v>
      </c>
      <c r="BT564" t="s">
        <v>54</v>
      </c>
      <c r="BU564" t="s">
        <v>61</v>
      </c>
      <c r="BV564" t="s">
        <v>62</v>
      </c>
      <c r="BX564">
        <v>24</v>
      </c>
      <c r="BY564">
        <v>0</v>
      </c>
      <c r="BZ564">
        <v>0</v>
      </c>
    </row>
    <row r="565" spans="1:78" x14ac:dyDescent="0.2">
      <c r="A565" t="s">
        <v>180</v>
      </c>
      <c r="B565" t="s">
        <v>181</v>
      </c>
      <c r="C565" t="s">
        <v>184</v>
      </c>
      <c r="D565" t="s">
        <v>470</v>
      </c>
      <c r="F565" t="str">
        <f>"250107"</f>
        <v>250107</v>
      </c>
      <c r="G565" t="s">
        <v>49</v>
      </c>
      <c r="H565">
        <v>83</v>
      </c>
      <c r="K565" t="s">
        <v>51</v>
      </c>
      <c r="L565" t="s">
        <v>52</v>
      </c>
      <c r="M565">
        <v>136882.47</v>
      </c>
      <c r="N565">
        <v>470382.7</v>
      </c>
      <c r="O565" t="s">
        <v>53</v>
      </c>
      <c r="P565" t="s">
        <v>54</v>
      </c>
      <c r="Q565" t="s">
        <v>55</v>
      </c>
      <c r="T565" t="s">
        <v>183</v>
      </c>
      <c r="U565">
        <v>40</v>
      </c>
      <c r="V565" s="1">
        <v>37073</v>
      </c>
      <c r="W565" s="1">
        <v>37073</v>
      </c>
      <c r="X565" s="1">
        <v>37073</v>
      </c>
      <c r="Y565" s="1">
        <v>51683</v>
      </c>
      <c r="Z565" t="s">
        <v>51</v>
      </c>
      <c r="AB565" t="s">
        <v>54</v>
      </c>
      <c r="AC565">
        <v>1</v>
      </c>
      <c r="AE565" t="s">
        <v>84</v>
      </c>
      <c r="AF565">
        <v>20</v>
      </c>
      <c r="AG565" s="1">
        <v>37073</v>
      </c>
      <c r="AH565" s="1">
        <v>37073</v>
      </c>
      <c r="AI565" s="1">
        <v>37073</v>
      </c>
      <c r="AJ565" s="1">
        <v>44378</v>
      </c>
      <c r="AK565" t="s">
        <v>51</v>
      </c>
      <c r="AN565">
        <v>0</v>
      </c>
      <c r="AO565" t="s">
        <v>54</v>
      </c>
      <c r="AP565" t="s">
        <v>53</v>
      </c>
      <c r="AQ565">
        <v>0</v>
      </c>
      <c r="AR565" t="s">
        <v>53</v>
      </c>
      <c r="AS565">
        <v>0</v>
      </c>
      <c r="AT565">
        <v>0</v>
      </c>
      <c r="AW565" t="s">
        <v>58</v>
      </c>
      <c r="AX565">
        <v>20</v>
      </c>
      <c r="AY565" s="1">
        <v>37073</v>
      </c>
      <c r="AZ565" s="1">
        <v>37073</v>
      </c>
      <c r="BA565" s="1">
        <v>37073</v>
      </c>
      <c r="BB565" s="1">
        <v>44378</v>
      </c>
      <c r="BC565" t="s">
        <v>51</v>
      </c>
      <c r="BE565" t="s">
        <v>54</v>
      </c>
      <c r="BF565">
        <v>2</v>
      </c>
      <c r="BG565">
        <v>0</v>
      </c>
      <c r="BH565" t="s">
        <v>53</v>
      </c>
      <c r="BK565" t="s">
        <v>59</v>
      </c>
      <c r="BL565">
        <v>14000</v>
      </c>
      <c r="BM565" s="1">
        <v>42917</v>
      </c>
      <c r="BN565" s="1">
        <v>42917</v>
      </c>
      <c r="BO565" s="1">
        <v>42917</v>
      </c>
      <c r="BP565" s="1">
        <v>44117</v>
      </c>
      <c r="BQ565" t="s">
        <v>51</v>
      </c>
      <c r="BS565" t="s">
        <v>60</v>
      </c>
      <c r="BT565" t="s">
        <v>54</v>
      </c>
      <c r="BU565" t="s">
        <v>61</v>
      </c>
      <c r="BV565" t="s">
        <v>62</v>
      </c>
      <c r="BX565">
        <v>24</v>
      </c>
      <c r="BY565">
        <v>0</v>
      </c>
      <c r="BZ565">
        <v>0</v>
      </c>
    </row>
    <row r="566" spans="1:78" x14ac:dyDescent="0.2">
      <c r="A566" t="s">
        <v>180</v>
      </c>
      <c r="B566" t="s">
        <v>181</v>
      </c>
      <c r="C566" t="s">
        <v>184</v>
      </c>
      <c r="D566" t="s">
        <v>470</v>
      </c>
      <c r="F566" t="str">
        <f>"250108"</f>
        <v>250108</v>
      </c>
      <c r="G566" t="s">
        <v>49</v>
      </c>
      <c r="H566">
        <v>83</v>
      </c>
      <c r="K566" t="s">
        <v>51</v>
      </c>
      <c r="L566" t="s">
        <v>52</v>
      </c>
      <c r="M566">
        <v>136885.72</v>
      </c>
      <c r="N566">
        <v>470352.64000000001</v>
      </c>
      <c r="O566" t="s">
        <v>53</v>
      </c>
      <c r="P566" t="s">
        <v>54</v>
      </c>
      <c r="Q566" t="s">
        <v>55</v>
      </c>
      <c r="T566" t="s">
        <v>183</v>
      </c>
      <c r="U566">
        <v>40</v>
      </c>
      <c r="V566" s="1">
        <v>37073</v>
      </c>
      <c r="W566" s="1">
        <v>37073</v>
      </c>
      <c r="X566" s="1">
        <v>37073</v>
      </c>
      <c r="Y566" s="1">
        <v>51683</v>
      </c>
      <c r="Z566" t="s">
        <v>51</v>
      </c>
      <c r="AB566" t="s">
        <v>54</v>
      </c>
      <c r="AC566">
        <v>1</v>
      </c>
      <c r="AE566" t="s">
        <v>84</v>
      </c>
      <c r="AF566">
        <v>20</v>
      </c>
      <c r="AG566" s="1">
        <v>37073</v>
      </c>
      <c r="AH566" s="1">
        <v>37073</v>
      </c>
      <c r="AI566" s="1">
        <v>37073</v>
      </c>
      <c r="AJ566" s="1">
        <v>44378</v>
      </c>
      <c r="AK566" t="s">
        <v>51</v>
      </c>
      <c r="AN566">
        <v>0</v>
      </c>
      <c r="AO566" t="s">
        <v>54</v>
      </c>
      <c r="AP566" t="s">
        <v>53</v>
      </c>
      <c r="AQ566">
        <v>0</v>
      </c>
      <c r="AR566" t="s">
        <v>53</v>
      </c>
      <c r="AS566">
        <v>0</v>
      </c>
      <c r="AT566">
        <v>0</v>
      </c>
      <c r="AW566" t="s">
        <v>58</v>
      </c>
      <c r="AX566">
        <v>20</v>
      </c>
      <c r="AY566" s="1">
        <v>37073</v>
      </c>
      <c r="AZ566" s="1">
        <v>37073</v>
      </c>
      <c r="BA566" s="1">
        <v>37073</v>
      </c>
      <c r="BB566" s="1">
        <v>44378</v>
      </c>
      <c r="BC566" t="s">
        <v>51</v>
      </c>
      <c r="BE566" t="s">
        <v>54</v>
      </c>
      <c r="BF566">
        <v>2</v>
      </c>
      <c r="BG566">
        <v>0</v>
      </c>
      <c r="BH566" t="s">
        <v>53</v>
      </c>
      <c r="BK566" t="s">
        <v>59</v>
      </c>
      <c r="BL566">
        <v>14000</v>
      </c>
      <c r="BM566" s="1">
        <v>42917</v>
      </c>
      <c r="BN566" s="1">
        <v>42917</v>
      </c>
      <c r="BO566" s="1">
        <v>42917</v>
      </c>
      <c r="BP566" s="1">
        <v>44117</v>
      </c>
      <c r="BQ566" t="s">
        <v>51</v>
      </c>
      <c r="BS566" t="s">
        <v>60</v>
      </c>
      <c r="BT566" t="s">
        <v>54</v>
      </c>
      <c r="BU566" t="s">
        <v>61</v>
      </c>
      <c r="BV566" t="s">
        <v>62</v>
      </c>
      <c r="BX566">
        <v>24</v>
      </c>
      <c r="BY566">
        <v>0</v>
      </c>
      <c r="BZ566">
        <v>0</v>
      </c>
    </row>
    <row r="567" spans="1:78" x14ac:dyDescent="0.2">
      <c r="A567" t="s">
        <v>180</v>
      </c>
      <c r="B567" t="s">
        <v>181</v>
      </c>
      <c r="C567" t="s">
        <v>184</v>
      </c>
      <c r="D567" t="s">
        <v>470</v>
      </c>
      <c r="F567" t="str">
        <f>"250109"</f>
        <v>250109</v>
      </c>
      <c r="G567" t="s">
        <v>49</v>
      </c>
      <c r="H567">
        <v>86</v>
      </c>
      <c r="K567" t="s">
        <v>51</v>
      </c>
      <c r="L567" t="s">
        <v>52</v>
      </c>
      <c r="M567">
        <v>136889.45000000001</v>
      </c>
      <c r="N567">
        <v>470321.71</v>
      </c>
      <c r="O567" t="s">
        <v>53</v>
      </c>
      <c r="P567" t="s">
        <v>54</v>
      </c>
      <c r="Q567" t="s">
        <v>55</v>
      </c>
      <c r="T567" t="s">
        <v>183</v>
      </c>
      <c r="U567">
        <v>40</v>
      </c>
      <c r="V567" s="1">
        <v>37073</v>
      </c>
      <c r="W567" s="1">
        <v>37073</v>
      </c>
      <c r="X567" s="1">
        <v>37073</v>
      </c>
      <c r="Y567" s="1">
        <v>51683</v>
      </c>
      <c r="Z567" t="s">
        <v>51</v>
      </c>
      <c r="AB567" t="s">
        <v>54</v>
      </c>
      <c r="AC567">
        <v>1</v>
      </c>
      <c r="AE567" t="s">
        <v>84</v>
      </c>
      <c r="AF567">
        <v>20</v>
      </c>
      <c r="AG567" s="1">
        <v>37073</v>
      </c>
      <c r="AH567" s="1">
        <v>37073</v>
      </c>
      <c r="AI567" s="1">
        <v>37073</v>
      </c>
      <c r="AJ567" s="1">
        <v>44378</v>
      </c>
      <c r="AK567" t="s">
        <v>51</v>
      </c>
      <c r="AN567">
        <v>0</v>
      </c>
      <c r="AO567" t="s">
        <v>54</v>
      </c>
      <c r="AP567" t="s">
        <v>53</v>
      </c>
      <c r="AQ567">
        <v>0</v>
      </c>
      <c r="AR567" t="s">
        <v>53</v>
      </c>
      <c r="AS567">
        <v>0</v>
      </c>
      <c r="AT567">
        <v>0</v>
      </c>
      <c r="AW567" t="s">
        <v>58</v>
      </c>
      <c r="AX567">
        <v>20</v>
      </c>
      <c r="AY567" s="1">
        <v>37073</v>
      </c>
      <c r="AZ567" s="1">
        <v>37073</v>
      </c>
      <c r="BA567" s="1">
        <v>37073</v>
      </c>
      <c r="BB567" s="1">
        <v>44378</v>
      </c>
      <c r="BC567" t="s">
        <v>51</v>
      </c>
      <c r="BE567" t="s">
        <v>54</v>
      </c>
      <c r="BF567">
        <v>2</v>
      </c>
      <c r="BG567">
        <v>0</v>
      </c>
      <c r="BH567" t="s">
        <v>53</v>
      </c>
      <c r="BK567" t="s">
        <v>59</v>
      </c>
      <c r="BL567">
        <v>14000</v>
      </c>
      <c r="BM567" s="1">
        <v>42917</v>
      </c>
      <c r="BN567" s="1">
        <v>42917</v>
      </c>
      <c r="BO567" s="1">
        <v>42917</v>
      </c>
      <c r="BP567" s="1">
        <v>44117</v>
      </c>
      <c r="BQ567" t="s">
        <v>51</v>
      </c>
      <c r="BS567" t="s">
        <v>60</v>
      </c>
      <c r="BT567" t="s">
        <v>54</v>
      </c>
      <c r="BU567" t="s">
        <v>61</v>
      </c>
      <c r="BV567" t="s">
        <v>62</v>
      </c>
      <c r="BX567">
        <v>24</v>
      </c>
      <c r="BY567">
        <v>0</v>
      </c>
      <c r="BZ567">
        <v>0</v>
      </c>
    </row>
    <row r="568" spans="1:78" x14ac:dyDescent="0.2">
      <c r="A568" t="s">
        <v>180</v>
      </c>
      <c r="B568" t="s">
        <v>181</v>
      </c>
      <c r="C568" t="s">
        <v>499</v>
      </c>
      <c r="D568" t="s">
        <v>500</v>
      </c>
      <c r="F568" t="str">
        <f>"250191"</f>
        <v>250191</v>
      </c>
      <c r="G568" t="s">
        <v>49</v>
      </c>
      <c r="K568" t="s">
        <v>51</v>
      </c>
      <c r="L568" t="s">
        <v>52</v>
      </c>
      <c r="M568">
        <v>134193.91</v>
      </c>
      <c r="N568">
        <v>470955.4</v>
      </c>
      <c r="O568" t="s">
        <v>53</v>
      </c>
      <c r="P568" t="s">
        <v>54</v>
      </c>
      <c r="Q568" t="s">
        <v>55</v>
      </c>
      <c r="T568" t="s">
        <v>183</v>
      </c>
      <c r="U568">
        <v>40</v>
      </c>
      <c r="V568" s="1">
        <v>37073</v>
      </c>
      <c r="W568" s="1">
        <v>37073</v>
      </c>
      <c r="X568" s="1">
        <v>37073</v>
      </c>
      <c r="Y568" s="1">
        <v>51683</v>
      </c>
      <c r="Z568" t="s">
        <v>51</v>
      </c>
      <c r="AB568" t="s">
        <v>54</v>
      </c>
      <c r="AC568">
        <v>1</v>
      </c>
      <c r="AE568" t="s">
        <v>84</v>
      </c>
      <c r="AF568">
        <v>20</v>
      </c>
      <c r="AG568" s="1">
        <v>37073</v>
      </c>
      <c r="AH568" s="1">
        <v>37073</v>
      </c>
      <c r="AI568" s="1">
        <v>37073</v>
      </c>
      <c r="AJ568" s="1">
        <v>44378</v>
      </c>
      <c r="AK568" t="s">
        <v>51</v>
      </c>
      <c r="AN568">
        <v>0</v>
      </c>
      <c r="AO568" t="s">
        <v>54</v>
      </c>
      <c r="AP568" t="s">
        <v>53</v>
      </c>
      <c r="AQ568">
        <v>0</v>
      </c>
      <c r="AR568" t="s">
        <v>53</v>
      </c>
      <c r="AS568">
        <v>0</v>
      </c>
      <c r="AT568">
        <v>0</v>
      </c>
      <c r="AW568" t="s">
        <v>58</v>
      </c>
      <c r="AX568">
        <v>20</v>
      </c>
      <c r="AY568" s="1">
        <v>37073</v>
      </c>
      <c r="AZ568" s="1">
        <v>37073</v>
      </c>
      <c r="BA568" s="1">
        <v>37073</v>
      </c>
      <c r="BB568" s="1">
        <v>44378</v>
      </c>
      <c r="BC568" t="s">
        <v>51</v>
      </c>
      <c r="BE568" t="s">
        <v>54</v>
      </c>
      <c r="BF568">
        <v>2</v>
      </c>
      <c r="BG568">
        <v>0</v>
      </c>
      <c r="BH568" t="s">
        <v>53</v>
      </c>
      <c r="BK568" t="s">
        <v>59</v>
      </c>
      <c r="BL568">
        <v>14000</v>
      </c>
      <c r="BM568" s="1">
        <v>41456</v>
      </c>
      <c r="BN568" s="1">
        <v>41456</v>
      </c>
      <c r="BO568" s="1">
        <v>41456</v>
      </c>
      <c r="BP568" s="1">
        <v>42656</v>
      </c>
      <c r="BQ568" t="s">
        <v>51</v>
      </c>
      <c r="BS568" t="s">
        <v>60</v>
      </c>
      <c r="BT568" t="s">
        <v>54</v>
      </c>
      <c r="BU568" t="s">
        <v>61</v>
      </c>
      <c r="BV568" t="s">
        <v>62</v>
      </c>
      <c r="BX568">
        <v>24</v>
      </c>
      <c r="BY568">
        <v>0</v>
      </c>
      <c r="BZ568">
        <v>0</v>
      </c>
    </row>
    <row r="569" spans="1:78" x14ac:dyDescent="0.2">
      <c r="A569" t="s">
        <v>180</v>
      </c>
      <c r="B569" t="s">
        <v>181</v>
      </c>
      <c r="C569" t="s">
        <v>499</v>
      </c>
      <c r="D569" t="s">
        <v>500</v>
      </c>
      <c r="F569" t="str">
        <f>"250193"</f>
        <v>250193</v>
      </c>
      <c r="G569" t="s">
        <v>49</v>
      </c>
      <c r="K569" t="s">
        <v>51</v>
      </c>
      <c r="L569" t="s">
        <v>52</v>
      </c>
      <c r="M569">
        <v>133959.16</v>
      </c>
      <c r="N569">
        <v>471108.14</v>
      </c>
      <c r="O569" t="s">
        <v>53</v>
      </c>
      <c r="P569" t="s">
        <v>54</v>
      </c>
      <c r="Q569" t="s">
        <v>55</v>
      </c>
      <c r="T569" t="s">
        <v>466</v>
      </c>
      <c r="U569">
        <v>40</v>
      </c>
      <c r="V569" s="1">
        <v>37073</v>
      </c>
      <c r="W569" s="1">
        <v>37073</v>
      </c>
      <c r="X569" s="1">
        <v>37073</v>
      </c>
      <c r="Y569" s="1">
        <v>51683</v>
      </c>
      <c r="Z569" t="s">
        <v>51</v>
      </c>
      <c r="AB569" t="s">
        <v>54</v>
      </c>
      <c r="AC569">
        <v>1</v>
      </c>
      <c r="AE569" t="s">
        <v>84</v>
      </c>
      <c r="AF569">
        <v>20</v>
      </c>
      <c r="AG569" s="1">
        <v>37073</v>
      </c>
      <c r="AH569" s="1">
        <v>37073</v>
      </c>
      <c r="AI569" s="1">
        <v>37073</v>
      </c>
      <c r="AJ569" s="1">
        <v>44378</v>
      </c>
      <c r="AK569" t="s">
        <v>51</v>
      </c>
      <c r="AN569">
        <v>0</v>
      </c>
      <c r="AO569" t="s">
        <v>54</v>
      </c>
      <c r="AP569" t="s">
        <v>53</v>
      </c>
      <c r="AQ569">
        <v>0</v>
      </c>
      <c r="AR569" t="s">
        <v>53</v>
      </c>
      <c r="AS569">
        <v>0</v>
      </c>
      <c r="AT569">
        <v>0</v>
      </c>
      <c r="AW569" t="s">
        <v>58</v>
      </c>
      <c r="AX569">
        <v>20</v>
      </c>
      <c r="AY569" s="1">
        <v>37073</v>
      </c>
      <c r="AZ569" s="1">
        <v>37073</v>
      </c>
      <c r="BA569" s="1">
        <v>37073</v>
      </c>
      <c r="BB569" s="1">
        <v>44378</v>
      </c>
      <c r="BC569" t="s">
        <v>51</v>
      </c>
      <c r="BE569" t="s">
        <v>54</v>
      </c>
      <c r="BF569">
        <v>2</v>
      </c>
      <c r="BG569">
        <v>0</v>
      </c>
      <c r="BH569" t="s">
        <v>53</v>
      </c>
      <c r="BK569" t="s">
        <v>59</v>
      </c>
      <c r="BL569">
        <v>14000</v>
      </c>
      <c r="BM569" s="1">
        <v>41456</v>
      </c>
      <c r="BN569" s="1">
        <v>41456</v>
      </c>
      <c r="BO569" s="1">
        <v>41456</v>
      </c>
      <c r="BP569" s="1">
        <v>42656</v>
      </c>
      <c r="BQ569" t="s">
        <v>51</v>
      </c>
      <c r="BS569" t="s">
        <v>60</v>
      </c>
      <c r="BT569" t="s">
        <v>54</v>
      </c>
      <c r="BU569" t="s">
        <v>61</v>
      </c>
      <c r="BV569" t="s">
        <v>62</v>
      </c>
      <c r="BX569">
        <v>24</v>
      </c>
      <c r="BY569">
        <v>0</v>
      </c>
      <c r="BZ569">
        <v>0</v>
      </c>
    </row>
    <row r="570" spans="1:78" x14ac:dyDescent="0.2">
      <c r="A570" t="s">
        <v>180</v>
      </c>
      <c r="B570" t="s">
        <v>181</v>
      </c>
      <c r="C570" t="s">
        <v>499</v>
      </c>
      <c r="D570" t="s">
        <v>500</v>
      </c>
      <c r="F570" t="str">
        <f>"250194"</f>
        <v>250194</v>
      </c>
      <c r="G570" t="s">
        <v>49</v>
      </c>
      <c r="K570" t="s">
        <v>51</v>
      </c>
      <c r="L570" t="s">
        <v>52</v>
      </c>
      <c r="M570">
        <v>134021.85999999999</v>
      </c>
      <c r="N570">
        <v>471067.34</v>
      </c>
      <c r="O570" t="s">
        <v>53</v>
      </c>
      <c r="P570" t="s">
        <v>54</v>
      </c>
      <c r="Q570" t="s">
        <v>55</v>
      </c>
      <c r="T570" t="s">
        <v>183</v>
      </c>
      <c r="U570">
        <v>40</v>
      </c>
      <c r="V570" s="1">
        <v>37073</v>
      </c>
      <c r="W570" s="1">
        <v>37073</v>
      </c>
      <c r="X570" s="1">
        <v>37073</v>
      </c>
      <c r="Y570" s="1">
        <v>51683</v>
      </c>
      <c r="Z570" t="s">
        <v>51</v>
      </c>
      <c r="AB570" t="s">
        <v>54</v>
      </c>
      <c r="AC570">
        <v>1</v>
      </c>
      <c r="AE570" t="s">
        <v>84</v>
      </c>
      <c r="AF570">
        <v>20</v>
      </c>
      <c r="AG570" s="1">
        <v>37073</v>
      </c>
      <c r="AH570" s="1">
        <v>37073</v>
      </c>
      <c r="AI570" s="1">
        <v>37073</v>
      </c>
      <c r="AJ570" s="1">
        <v>44378</v>
      </c>
      <c r="AK570" t="s">
        <v>51</v>
      </c>
      <c r="AN570">
        <v>0</v>
      </c>
      <c r="AO570" t="s">
        <v>54</v>
      </c>
      <c r="AP570" t="s">
        <v>53</v>
      </c>
      <c r="AQ570">
        <v>0</v>
      </c>
      <c r="AR570" t="s">
        <v>53</v>
      </c>
      <c r="AS570">
        <v>0</v>
      </c>
      <c r="AT570">
        <v>0</v>
      </c>
      <c r="AW570" t="s">
        <v>58</v>
      </c>
      <c r="AX570">
        <v>20</v>
      </c>
      <c r="AY570" s="1">
        <v>37073</v>
      </c>
      <c r="AZ570" s="1">
        <v>37073</v>
      </c>
      <c r="BA570" s="1">
        <v>37073</v>
      </c>
      <c r="BB570" s="1">
        <v>44378</v>
      </c>
      <c r="BC570" t="s">
        <v>51</v>
      </c>
      <c r="BE570" t="s">
        <v>54</v>
      </c>
      <c r="BF570">
        <v>2</v>
      </c>
      <c r="BG570">
        <v>0</v>
      </c>
      <c r="BH570" t="s">
        <v>53</v>
      </c>
      <c r="BK570" t="s">
        <v>59</v>
      </c>
      <c r="BL570">
        <v>14000</v>
      </c>
      <c r="BM570" s="1">
        <v>41456</v>
      </c>
      <c r="BN570" s="1">
        <v>41456</v>
      </c>
      <c r="BO570" s="1">
        <v>41456</v>
      </c>
      <c r="BP570" s="1">
        <v>42656</v>
      </c>
      <c r="BQ570" t="s">
        <v>51</v>
      </c>
      <c r="BS570" t="s">
        <v>60</v>
      </c>
      <c r="BT570" t="s">
        <v>54</v>
      </c>
      <c r="BU570" t="s">
        <v>61</v>
      </c>
      <c r="BV570" t="s">
        <v>62</v>
      </c>
      <c r="BX570">
        <v>24</v>
      </c>
      <c r="BY570">
        <v>0</v>
      </c>
      <c r="BZ570">
        <v>0</v>
      </c>
    </row>
    <row r="571" spans="1:78" x14ac:dyDescent="0.2">
      <c r="A571" t="s">
        <v>180</v>
      </c>
      <c r="B571" t="s">
        <v>181</v>
      </c>
      <c r="C571" t="s">
        <v>499</v>
      </c>
      <c r="D571" t="s">
        <v>500</v>
      </c>
      <c r="F571" t="str">
        <f>"250195"</f>
        <v>250195</v>
      </c>
      <c r="G571" t="s">
        <v>49</v>
      </c>
      <c r="K571" t="s">
        <v>51</v>
      </c>
      <c r="L571" t="s">
        <v>52</v>
      </c>
      <c r="M571">
        <v>134076.31700000001</v>
      </c>
      <c r="N571">
        <v>471031.92700000003</v>
      </c>
      <c r="O571" t="s">
        <v>53</v>
      </c>
      <c r="P571" t="s">
        <v>54</v>
      </c>
      <c r="Q571" t="s">
        <v>55</v>
      </c>
      <c r="T571" t="s">
        <v>183</v>
      </c>
      <c r="U571">
        <v>40</v>
      </c>
      <c r="V571" s="1">
        <v>37073</v>
      </c>
      <c r="W571" s="1">
        <v>37073</v>
      </c>
      <c r="X571" s="1">
        <v>37073</v>
      </c>
      <c r="Y571" s="1">
        <v>51683</v>
      </c>
      <c r="Z571" t="s">
        <v>51</v>
      </c>
      <c r="AB571" t="s">
        <v>54</v>
      </c>
      <c r="AC571">
        <v>1</v>
      </c>
      <c r="AE571" t="s">
        <v>84</v>
      </c>
      <c r="AF571">
        <v>20</v>
      </c>
      <c r="AG571" s="1">
        <v>37073</v>
      </c>
      <c r="AH571" s="1">
        <v>37073</v>
      </c>
      <c r="AI571" s="1">
        <v>37073</v>
      </c>
      <c r="AJ571" s="1">
        <v>44378</v>
      </c>
      <c r="AK571" t="s">
        <v>51</v>
      </c>
      <c r="AN571">
        <v>0</v>
      </c>
      <c r="AO571" t="s">
        <v>54</v>
      </c>
      <c r="AP571" t="s">
        <v>53</v>
      </c>
      <c r="AQ571">
        <v>0</v>
      </c>
      <c r="AR571" t="s">
        <v>53</v>
      </c>
      <c r="AS571">
        <v>0</v>
      </c>
      <c r="AT571">
        <v>0</v>
      </c>
      <c r="AW571" t="s">
        <v>58</v>
      </c>
      <c r="AX571">
        <v>20</v>
      </c>
      <c r="AY571" s="1">
        <v>37073</v>
      </c>
      <c r="AZ571" s="1">
        <v>37073</v>
      </c>
      <c r="BA571" s="1">
        <v>37073</v>
      </c>
      <c r="BB571" s="1">
        <v>44378</v>
      </c>
      <c r="BC571" t="s">
        <v>51</v>
      </c>
      <c r="BE571" t="s">
        <v>54</v>
      </c>
      <c r="BF571">
        <v>2</v>
      </c>
      <c r="BG571">
        <v>0</v>
      </c>
      <c r="BH571" t="s">
        <v>53</v>
      </c>
      <c r="BK571" t="s">
        <v>59</v>
      </c>
      <c r="BL571">
        <v>14000</v>
      </c>
      <c r="BM571" s="1">
        <v>44935</v>
      </c>
      <c r="BN571" s="1">
        <v>44935</v>
      </c>
      <c r="BO571" s="1">
        <v>44935</v>
      </c>
      <c r="BP571" s="1">
        <v>46102</v>
      </c>
      <c r="BQ571" t="s">
        <v>51</v>
      </c>
      <c r="BS571" t="s">
        <v>60</v>
      </c>
      <c r="BT571" t="s">
        <v>54</v>
      </c>
      <c r="BU571" t="s">
        <v>61</v>
      </c>
      <c r="BV571" t="s">
        <v>62</v>
      </c>
      <c r="BX571">
        <v>24</v>
      </c>
      <c r="BY571">
        <v>0</v>
      </c>
      <c r="BZ571">
        <v>0</v>
      </c>
    </row>
    <row r="572" spans="1:78" x14ac:dyDescent="0.2">
      <c r="A572" t="s">
        <v>180</v>
      </c>
      <c r="B572" t="s">
        <v>181</v>
      </c>
      <c r="C572" t="s">
        <v>499</v>
      </c>
      <c r="D572" t="s">
        <v>500</v>
      </c>
      <c r="F572" t="str">
        <f>"250196"</f>
        <v>250196</v>
      </c>
      <c r="G572" t="s">
        <v>49</v>
      </c>
      <c r="K572" t="s">
        <v>51</v>
      </c>
      <c r="L572" t="s">
        <v>52</v>
      </c>
      <c r="M572">
        <v>134142.9</v>
      </c>
      <c r="N572">
        <v>470987.93</v>
      </c>
      <c r="O572" t="s">
        <v>53</v>
      </c>
      <c r="P572" t="s">
        <v>54</v>
      </c>
      <c r="Q572" t="s">
        <v>55</v>
      </c>
      <c r="T572" t="s">
        <v>183</v>
      </c>
      <c r="U572">
        <v>40</v>
      </c>
      <c r="V572" s="1">
        <v>37073</v>
      </c>
      <c r="W572" s="1">
        <v>37073</v>
      </c>
      <c r="X572" s="1">
        <v>37073</v>
      </c>
      <c r="Y572" s="1">
        <v>51683</v>
      </c>
      <c r="Z572" t="s">
        <v>51</v>
      </c>
      <c r="AB572" t="s">
        <v>54</v>
      </c>
      <c r="AC572">
        <v>1</v>
      </c>
      <c r="AE572" t="s">
        <v>84</v>
      </c>
      <c r="AF572">
        <v>20</v>
      </c>
      <c r="AG572" s="1">
        <v>37073</v>
      </c>
      <c r="AH572" s="1">
        <v>37073</v>
      </c>
      <c r="AI572" s="1">
        <v>37073</v>
      </c>
      <c r="AJ572" s="1">
        <v>44378</v>
      </c>
      <c r="AK572" t="s">
        <v>51</v>
      </c>
      <c r="AN572">
        <v>0</v>
      </c>
      <c r="AO572" t="s">
        <v>54</v>
      </c>
      <c r="AP572" t="s">
        <v>53</v>
      </c>
      <c r="AQ572">
        <v>0</v>
      </c>
      <c r="AR572" t="s">
        <v>53</v>
      </c>
      <c r="AS572">
        <v>0</v>
      </c>
      <c r="AT572">
        <v>0</v>
      </c>
      <c r="AW572" t="s">
        <v>58</v>
      </c>
      <c r="AX572">
        <v>20</v>
      </c>
      <c r="AY572" s="1">
        <v>37073</v>
      </c>
      <c r="AZ572" s="1">
        <v>37073</v>
      </c>
      <c r="BA572" s="1">
        <v>37073</v>
      </c>
      <c r="BB572" s="1">
        <v>44378</v>
      </c>
      <c r="BC572" t="s">
        <v>51</v>
      </c>
      <c r="BE572" t="s">
        <v>54</v>
      </c>
      <c r="BF572">
        <v>2</v>
      </c>
      <c r="BG572">
        <v>0</v>
      </c>
      <c r="BH572" t="s">
        <v>53</v>
      </c>
      <c r="BK572" t="s">
        <v>59</v>
      </c>
      <c r="BL572">
        <v>14000</v>
      </c>
      <c r="BM572" s="1">
        <v>43500</v>
      </c>
      <c r="BN572" s="1">
        <v>43500</v>
      </c>
      <c r="BO572" s="1">
        <v>43500</v>
      </c>
      <c r="BP572" s="1">
        <v>44682</v>
      </c>
      <c r="BQ572" t="s">
        <v>51</v>
      </c>
      <c r="BS572" t="s">
        <v>60</v>
      </c>
      <c r="BT572" t="s">
        <v>54</v>
      </c>
      <c r="BU572" t="s">
        <v>61</v>
      </c>
      <c r="BV572" t="s">
        <v>62</v>
      </c>
      <c r="BX572">
        <v>24</v>
      </c>
      <c r="BY572">
        <v>0</v>
      </c>
      <c r="BZ572">
        <v>0</v>
      </c>
    </row>
    <row r="573" spans="1:78" x14ac:dyDescent="0.2">
      <c r="A573" t="s">
        <v>180</v>
      </c>
      <c r="B573" t="s">
        <v>181</v>
      </c>
      <c r="C573" t="s">
        <v>499</v>
      </c>
      <c r="D573" t="s">
        <v>500</v>
      </c>
      <c r="F573" t="str">
        <f>"250197"</f>
        <v>250197</v>
      </c>
      <c r="G573" t="s">
        <v>49</v>
      </c>
      <c r="K573" t="s">
        <v>51</v>
      </c>
      <c r="L573" t="s">
        <v>52</v>
      </c>
      <c r="M573">
        <v>133851.47</v>
      </c>
      <c r="N573">
        <v>471178.43</v>
      </c>
      <c r="O573" t="s">
        <v>53</v>
      </c>
      <c r="P573" t="s">
        <v>54</v>
      </c>
      <c r="Q573" t="s">
        <v>55</v>
      </c>
      <c r="T573" t="s">
        <v>183</v>
      </c>
      <c r="U573">
        <v>40</v>
      </c>
      <c r="V573" s="1">
        <v>37073</v>
      </c>
      <c r="W573" s="1">
        <v>37073</v>
      </c>
      <c r="X573" s="1">
        <v>37073</v>
      </c>
      <c r="Y573" s="1">
        <v>51683</v>
      </c>
      <c r="Z573" t="s">
        <v>51</v>
      </c>
      <c r="AB573" t="s">
        <v>54</v>
      </c>
      <c r="AC573">
        <v>1</v>
      </c>
      <c r="AE573" t="s">
        <v>84</v>
      </c>
      <c r="AF573">
        <v>20</v>
      </c>
      <c r="AG573" s="1">
        <v>37073</v>
      </c>
      <c r="AH573" s="1">
        <v>37073</v>
      </c>
      <c r="AI573" s="1">
        <v>37073</v>
      </c>
      <c r="AJ573" s="1">
        <v>44378</v>
      </c>
      <c r="AK573" t="s">
        <v>51</v>
      </c>
      <c r="AN573">
        <v>0</v>
      </c>
      <c r="AO573" t="s">
        <v>54</v>
      </c>
      <c r="AP573" t="s">
        <v>53</v>
      </c>
      <c r="AQ573">
        <v>0</v>
      </c>
      <c r="AR573" t="s">
        <v>53</v>
      </c>
      <c r="AS573">
        <v>0</v>
      </c>
      <c r="AT573">
        <v>0</v>
      </c>
      <c r="AW573" t="s">
        <v>58</v>
      </c>
      <c r="AX573">
        <v>20</v>
      </c>
      <c r="AY573" s="1">
        <v>37073</v>
      </c>
      <c r="AZ573" s="1">
        <v>37073</v>
      </c>
      <c r="BA573" s="1">
        <v>37073</v>
      </c>
      <c r="BB573" s="1">
        <v>44378</v>
      </c>
      <c r="BC573" t="s">
        <v>51</v>
      </c>
      <c r="BE573" t="s">
        <v>54</v>
      </c>
      <c r="BF573">
        <v>2</v>
      </c>
      <c r="BG573">
        <v>0</v>
      </c>
      <c r="BH573" t="s">
        <v>53</v>
      </c>
      <c r="BK573" t="s">
        <v>59</v>
      </c>
      <c r="BL573">
        <v>14000</v>
      </c>
      <c r="BM573" s="1">
        <v>41456</v>
      </c>
      <c r="BN573" s="1">
        <v>41456</v>
      </c>
      <c r="BO573" s="1">
        <v>41456</v>
      </c>
      <c r="BP573" s="1">
        <v>42656</v>
      </c>
      <c r="BQ573" t="s">
        <v>51</v>
      </c>
      <c r="BS573" t="s">
        <v>60</v>
      </c>
      <c r="BT573" t="s">
        <v>54</v>
      </c>
      <c r="BU573" t="s">
        <v>61</v>
      </c>
      <c r="BV573" t="s">
        <v>62</v>
      </c>
      <c r="BX573">
        <v>24</v>
      </c>
      <c r="BY573">
        <v>0</v>
      </c>
      <c r="BZ573">
        <v>0</v>
      </c>
    </row>
    <row r="574" spans="1:78" x14ac:dyDescent="0.2">
      <c r="A574" t="s">
        <v>180</v>
      </c>
      <c r="B574" t="s">
        <v>181</v>
      </c>
      <c r="C574" t="s">
        <v>499</v>
      </c>
      <c r="D574" t="s">
        <v>499</v>
      </c>
      <c r="F574" t="str">
        <f>"254421"</f>
        <v>254421</v>
      </c>
      <c r="G574" t="s">
        <v>49</v>
      </c>
      <c r="H574" t="s">
        <v>359</v>
      </c>
      <c r="K574" t="s">
        <v>51</v>
      </c>
      <c r="L574" t="s">
        <v>52</v>
      </c>
      <c r="M574">
        <v>133158.9</v>
      </c>
      <c r="N574">
        <v>469911.62</v>
      </c>
      <c r="O574" t="s">
        <v>53</v>
      </c>
      <c r="P574" t="s">
        <v>54</v>
      </c>
      <c r="Q574" t="s">
        <v>55</v>
      </c>
      <c r="T574" t="s">
        <v>183</v>
      </c>
      <c r="U574">
        <v>40</v>
      </c>
      <c r="V574" s="1">
        <v>36892</v>
      </c>
      <c r="W574" s="1">
        <v>36892</v>
      </c>
      <c r="X574" s="1">
        <v>36892</v>
      </c>
      <c r="Y574" s="1">
        <v>51502</v>
      </c>
      <c r="Z574" t="s">
        <v>51</v>
      </c>
      <c r="AB574" t="s">
        <v>54</v>
      </c>
      <c r="AC574">
        <v>1</v>
      </c>
      <c r="AE574" t="s">
        <v>84</v>
      </c>
      <c r="AF574">
        <v>20</v>
      </c>
      <c r="AG574" s="1">
        <v>37073</v>
      </c>
      <c r="AH574" s="1">
        <v>37073</v>
      </c>
      <c r="AI574" s="1">
        <v>37073</v>
      </c>
      <c r="AJ574" s="1">
        <v>44378</v>
      </c>
      <c r="AK574" t="s">
        <v>51</v>
      </c>
      <c r="AN574">
        <v>0</v>
      </c>
      <c r="AO574" t="s">
        <v>54</v>
      </c>
      <c r="AP574" t="s">
        <v>53</v>
      </c>
      <c r="AQ574">
        <v>0</v>
      </c>
      <c r="AR574" t="s">
        <v>53</v>
      </c>
      <c r="AS574">
        <v>0</v>
      </c>
      <c r="AT574">
        <v>0</v>
      </c>
      <c r="AW574" t="s">
        <v>58</v>
      </c>
      <c r="AX574">
        <v>20</v>
      </c>
      <c r="AY574" s="1">
        <v>37073</v>
      </c>
      <c r="AZ574" s="1">
        <v>37073</v>
      </c>
      <c r="BA574" s="1">
        <v>37073</v>
      </c>
      <c r="BB574" s="1">
        <v>44378</v>
      </c>
      <c r="BC574" t="s">
        <v>51</v>
      </c>
      <c r="BE574" t="s">
        <v>54</v>
      </c>
      <c r="BF574">
        <v>2</v>
      </c>
      <c r="BG574">
        <v>0</v>
      </c>
      <c r="BH574" t="s">
        <v>53</v>
      </c>
      <c r="BK574" t="s">
        <v>59</v>
      </c>
      <c r="BL574">
        <v>14000</v>
      </c>
      <c r="BM574" s="1">
        <v>42917</v>
      </c>
      <c r="BN574" s="1">
        <v>42917</v>
      </c>
      <c r="BO574" s="1">
        <v>42917</v>
      </c>
      <c r="BP574" s="1">
        <v>44117</v>
      </c>
      <c r="BQ574" t="s">
        <v>51</v>
      </c>
      <c r="BS574" t="s">
        <v>60</v>
      </c>
      <c r="BT574" t="s">
        <v>54</v>
      </c>
      <c r="BU574" t="s">
        <v>61</v>
      </c>
      <c r="BV574" t="s">
        <v>62</v>
      </c>
      <c r="BX574">
        <v>24</v>
      </c>
      <c r="BY574">
        <v>0</v>
      </c>
      <c r="BZ574">
        <v>0</v>
      </c>
    </row>
    <row r="575" spans="1:78" x14ac:dyDescent="0.2">
      <c r="A575" t="s">
        <v>180</v>
      </c>
      <c r="B575" t="s">
        <v>181</v>
      </c>
      <c r="C575" t="s">
        <v>499</v>
      </c>
      <c r="D575" t="s">
        <v>499</v>
      </c>
      <c r="F575" t="str">
        <f>"250199"</f>
        <v>250199</v>
      </c>
      <c r="G575" t="s">
        <v>49</v>
      </c>
      <c r="K575" t="s">
        <v>51</v>
      </c>
      <c r="L575" t="s">
        <v>52</v>
      </c>
      <c r="M575">
        <v>133181.87700000001</v>
      </c>
      <c r="N575">
        <v>469931.93800000002</v>
      </c>
      <c r="O575" t="s">
        <v>53</v>
      </c>
      <c r="P575" t="s">
        <v>54</v>
      </c>
      <c r="Q575" t="s">
        <v>55</v>
      </c>
      <c r="T575" t="s">
        <v>466</v>
      </c>
      <c r="U575">
        <v>40</v>
      </c>
      <c r="V575" s="1">
        <v>36892</v>
      </c>
      <c r="W575" s="1">
        <v>36892</v>
      </c>
      <c r="X575" s="1">
        <v>36892</v>
      </c>
      <c r="Y575" s="1">
        <v>51502</v>
      </c>
      <c r="Z575" t="s">
        <v>51</v>
      </c>
      <c r="AB575" t="s">
        <v>54</v>
      </c>
      <c r="AC575">
        <v>1</v>
      </c>
      <c r="AE575" t="s">
        <v>84</v>
      </c>
      <c r="AF575">
        <v>20</v>
      </c>
      <c r="AG575" s="1">
        <v>37073</v>
      </c>
      <c r="AH575" s="1">
        <v>37073</v>
      </c>
      <c r="AI575" s="1">
        <v>37073</v>
      </c>
      <c r="AJ575" s="1">
        <v>44378</v>
      </c>
      <c r="AK575" t="s">
        <v>51</v>
      </c>
      <c r="AN575">
        <v>0</v>
      </c>
      <c r="AO575" t="s">
        <v>54</v>
      </c>
      <c r="AP575" t="s">
        <v>53</v>
      </c>
      <c r="AQ575">
        <v>0</v>
      </c>
      <c r="AR575" t="s">
        <v>53</v>
      </c>
      <c r="AS575">
        <v>0</v>
      </c>
      <c r="AT575">
        <v>0</v>
      </c>
      <c r="AW575" t="s">
        <v>58</v>
      </c>
      <c r="AX575">
        <v>20</v>
      </c>
      <c r="AY575" s="1">
        <v>37073</v>
      </c>
      <c r="AZ575" s="1">
        <v>37073</v>
      </c>
      <c r="BA575" s="1">
        <v>37073</v>
      </c>
      <c r="BB575" s="1">
        <v>44378</v>
      </c>
      <c r="BC575" t="s">
        <v>51</v>
      </c>
      <c r="BE575" t="s">
        <v>54</v>
      </c>
      <c r="BF575">
        <v>2</v>
      </c>
      <c r="BG575">
        <v>0</v>
      </c>
      <c r="BH575" t="s">
        <v>53</v>
      </c>
      <c r="BK575" t="s">
        <v>59</v>
      </c>
      <c r="BL575">
        <v>14000</v>
      </c>
      <c r="BM575" s="1">
        <v>42917</v>
      </c>
      <c r="BN575" s="1">
        <v>42917</v>
      </c>
      <c r="BO575" s="1">
        <v>42917</v>
      </c>
      <c r="BP575" s="1">
        <v>44117</v>
      </c>
      <c r="BQ575" t="s">
        <v>51</v>
      </c>
      <c r="BS575" t="s">
        <v>60</v>
      </c>
      <c r="BT575" t="s">
        <v>54</v>
      </c>
      <c r="BU575" t="s">
        <v>61</v>
      </c>
      <c r="BV575" t="s">
        <v>62</v>
      </c>
      <c r="BX575">
        <v>24</v>
      </c>
      <c r="BY575">
        <v>0</v>
      </c>
      <c r="BZ575">
        <v>0</v>
      </c>
    </row>
    <row r="576" spans="1:78" x14ac:dyDescent="0.2">
      <c r="A576" t="s">
        <v>180</v>
      </c>
      <c r="B576" t="s">
        <v>181</v>
      </c>
      <c r="C576" t="s">
        <v>433</v>
      </c>
      <c r="D576" t="s">
        <v>499</v>
      </c>
      <c r="F576" t="str">
        <f>"250200"</f>
        <v>250200</v>
      </c>
      <c r="G576" t="s">
        <v>49</v>
      </c>
      <c r="H576" t="s">
        <v>310</v>
      </c>
      <c r="K576" t="s">
        <v>51</v>
      </c>
      <c r="L576" t="s">
        <v>52</v>
      </c>
      <c r="M576">
        <v>133210.87400000001</v>
      </c>
      <c r="N576">
        <v>469955.484</v>
      </c>
      <c r="O576" t="s">
        <v>53</v>
      </c>
      <c r="P576" t="s">
        <v>54</v>
      </c>
      <c r="Q576" t="s">
        <v>55</v>
      </c>
      <c r="T576" t="s">
        <v>183</v>
      </c>
      <c r="U576">
        <v>40</v>
      </c>
      <c r="V576" s="1">
        <v>36892</v>
      </c>
      <c r="W576" s="1">
        <v>36892</v>
      </c>
      <c r="X576" s="1">
        <v>36892</v>
      </c>
      <c r="Y576" s="1">
        <v>51502</v>
      </c>
      <c r="Z576" t="s">
        <v>51</v>
      </c>
      <c r="AB576" t="s">
        <v>54</v>
      </c>
      <c r="AC576">
        <v>1</v>
      </c>
      <c r="AE576" t="s">
        <v>84</v>
      </c>
      <c r="AF576">
        <v>20</v>
      </c>
      <c r="AG576" s="1">
        <v>37073</v>
      </c>
      <c r="AH576" s="1">
        <v>37073</v>
      </c>
      <c r="AI576" s="1">
        <v>37073</v>
      </c>
      <c r="AJ576" s="1">
        <v>44378</v>
      </c>
      <c r="AK576" t="s">
        <v>51</v>
      </c>
      <c r="AN576">
        <v>0</v>
      </c>
      <c r="AO576" t="s">
        <v>54</v>
      </c>
      <c r="AP576" t="s">
        <v>53</v>
      </c>
      <c r="AQ576">
        <v>0</v>
      </c>
      <c r="AR576" t="s">
        <v>53</v>
      </c>
      <c r="AS576">
        <v>0</v>
      </c>
      <c r="AT576">
        <v>0</v>
      </c>
      <c r="AW576" t="s">
        <v>58</v>
      </c>
      <c r="AX576">
        <v>20</v>
      </c>
      <c r="AY576" s="1">
        <v>43444</v>
      </c>
      <c r="AZ576" s="1">
        <v>43444</v>
      </c>
      <c r="BA576" s="1">
        <v>43444</v>
      </c>
      <c r="BB576" s="1">
        <v>50749</v>
      </c>
      <c r="BC576" t="s">
        <v>51</v>
      </c>
      <c r="BE576" t="s">
        <v>54</v>
      </c>
      <c r="BF576">
        <v>2</v>
      </c>
      <c r="BG576">
        <v>0</v>
      </c>
      <c r="BH576" t="s">
        <v>53</v>
      </c>
      <c r="BK576" t="s">
        <v>59</v>
      </c>
      <c r="BL576">
        <v>14000</v>
      </c>
      <c r="BM576" s="1">
        <v>42917</v>
      </c>
      <c r="BN576" s="1">
        <v>42917</v>
      </c>
      <c r="BO576" s="1">
        <v>43444</v>
      </c>
      <c r="BP576" s="1">
        <v>44117</v>
      </c>
      <c r="BQ576" t="s">
        <v>51</v>
      </c>
      <c r="BS576" t="s">
        <v>60</v>
      </c>
      <c r="BT576" t="s">
        <v>54</v>
      </c>
      <c r="BU576" t="s">
        <v>61</v>
      </c>
      <c r="BV576" t="s">
        <v>62</v>
      </c>
      <c r="BX576">
        <v>24</v>
      </c>
      <c r="BY576">
        <v>0</v>
      </c>
      <c r="BZ576">
        <v>0</v>
      </c>
    </row>
    <row r="577" spans="1:78" x14ac:dyDescent="0.2">
      <c r="A577" t="s">
        <v>180</v>
      </c>
      <c r="B577" t="s">
        <v>181</v>
      </c>
      <c r="C577" t="s">
        <v>499</v>
      </c>
      <c r="D577" t="s">
        <v>499</v>
      </c>
      <c r="F577" t="str">
        <f>"250201"</f>
        <v>250201</v>
      </c>
      <c r="G577" t="s">
        <v>49</v>
      </c>
      <c r="K577" t="s">
        <v>51</v>
      </c>
      <c r="L577" t="s">
        <v>52</v>
      </c>
      <c r="M577">
        <v>133235.96</v>
      </c>
      <c r="N577">
        <v>469982.7</v>
      </c>
      <c r="O577" t="s">
        <v>53</v>
      </c>
      <c r="P577" t="s">
        <v>54</v>
      </c>
      <c r="Q577" t="s">
        <v>55</v>
      </c>
      <c r="T577" t="s">
        <v>183</v>
      </c>
      <c r="U577">
        <v>40</v>
      </c>
      <c r="V577" s="1">
        <v>36892</v>
      </c>
      <c r="W577" s="1">
        <v>36892</v>
      </c>
      <c r="X577" s="1">
        <v>36892</v>
      </c>
      <c r="Y577" s="1">
        <v>51502</v>
      </c>
      <c r="Z577" t="s">
        <v>51</v>
      </c>
      <c r="AB577" t="s">
        <v>54</v>
      </c>
      <c r="AC577">
        <v>1</v>
      </c>
      <c r="AE577" t="s">
        <v>84</v>
      </c>
      <c r="AF577">
        <v>20</v>
      </c>
      <c r="AG577" s="1">
        <v>36892</v>
      </c>
      <c r="AH577" s="1">
        <v>36892</v>
      </c>
      <c r="AI577" s="1">
        <v>36892</v>
      </c>
      <c r="AJ577" s="1">
        <v>44197</v>
      </c>
      <c r="AK577" t="s">
        <v>51</v>
      </c>
      <c r="AN577">
        <v>0</v>
      </c>
      <c r="AO577" t="s">
        <v>54</v>
      </c>
      <c r="AP577" t="s">
        <v>53</v>
      </c>
      <c r="AQ577">
        <v>0</v>
      </c>
      <c r="AR577" t="s">
        <v>53</v>
      </c>
      <c r="AS577">
        <v>0</v>
      </c>
      <c r="AT577">
        <v>0</v>
      </c>
      <c r="AW577" t="s">
        <v>58</v>
      </c>
      <c r="AX577">
        <v>20</v>
      </c>
      <c r="AY577" s="1">
        <v>43444</v>
      </c>
      <c r="AZ577" s="1">
        <v>43444</v>
      </c>
      <c r="BA577" s="1">
        <v>43444</v>
      </c>
      <c r="BB577" s="1">
        <v>50749</v>
      </c>
      <c r="BC577" t="s">
        <v>51</v>
      </c>
      <c r="BE577" t="s">
        <v>54</v>
      </c>
      <c r="BF577">
        <v>2</v>
      </c>
      <c r="BG577">
        <v>0</v>
      </c>
      <c r="BH577" t="s">
        <v>53</v>
      </c>
      <c r="BK577" t="s">
        <v>59</v>
      </c>
      <c r="BL577">
        <v>14000</v>
      </c>
      <c r="BM577" s="1">
        <v>42917</v>
      </c>
      <c r="BN577" s="1">
        <v>42917</v>
      </c>
      <c r="BO577" s="1">
        <v>43444</v>
      </c>
      <c r="BP577" s="1">
        <v>44117</v>
      </c>
      <c r="BQ577" t="s">
        <v>51</v>
      </c>
      <c r="BS577" t="s">
        <v>60</v>
      </c>
      <c r="BT577" t="s">
        <v>54</v>
      </c>
      <c r="BU577" t="s">
        <v>61</v>
      </c>
      <c r="BV577" t="s">
        <v>62</v>
      </c>
      <c r="BX577">
        <v>24</v>
      </c>
      <c r="BY577">
        <v>0</v>
      </c>
      <c r="BZ577">
        <v>0</v>
      </c>
    </row>
    <row r="578" spans="1:78" x14ac:dyDescent="0.2">
      <c r="A578" t="s">
        <v>180</v>
      </c>
      <c r="B578" t="s">
        <v>181</v>
      </c>
      <c r="C578" t="s">
        <v>499</v>
      </c>
      <c r="D578" t="s">
        <v>499</v>
      </c>
      <c r="F578" t="str">
        <f>"250202"</f>
        <v>250202</v>
      </c>
      <c r="G578" t="s">
        <v>49</v>
      </c>
      <c r="K578" t="s">
        <v>51</v>
      </c>
      <c r="L578" t="s">
        <v>52</v>
      </c>
      <c r="M578">
        <v>133257.21</v>
      </c>
      <c r="N578">
        <v>470005.84</v>
      </c>
      <c r="O578" t="s">
        <v>53</v>
      </c>
      <c r="P578" t="s">
        <v>54</v>
      </c>
      <c r="Q578" t="s">
        <v>55</v>
      </c>
      <c r="T578" t="s">
        <v>183</v>
      </c>
      <c r="U578">
        <v>40</v>
      </c>
      <c r="V578" s="1">
        <v>37073</v>
      </c>
      <c r="W578" s="1">
        <v>37073</v>
      </c>
      <c r="X578" s="1">
        <v>37073</v>
      </c>
      <c r="Y578" s="1">
        <v>51683</v>
      </c>
      <c r="Z578" t="s">
        <v>51</v>
      </c>
      <c r="AB578" t="s">
        <v>54</v>
      </c>
      <c r="AC578">
        <v>1</v>
      </c>
      <c r="AE578" t="s">
        <v>84</v>
      </c>
      <c r="AF578">
        <v>20</v>
      </c>
      <c r="AG578" s="1">
        <v>37073</v>
      </c>
      <c r="AH578" s="1">
        <v>37073</v>
      </c>
      <c r="AI578" s="1">
        <v>37073</v>
      </c>
      <c r="AJ578" s="1">
        <v>44378</v>
      </c>
      <c r="AK578" t="s">
        <v>51</v>
      </c>
      <c r="AN578">
        <v>0</v>
      </c>
      <c r="AO578" t="s">
        <v>54</v>
      </c>
      <c r="AP578" t="s">
        <v>53</v>
      </c>
      <c r="AQ578">
        <v>0</v>
      </c>
      <c r="AR578" t="s">
        <v>53</v>
      </c>
      <c r="AS578">
        <v>0</v>
      </c>
      <c r="AT578">
        <v>0</v>
      </c>
      <c r="AW578" t="s">
        <v>58</v>
      </c>
      <c r="AX578">
        <v>20</v>
      </c>
      <c r="AY578" s="1">
        <v>37073</v>
      </c>
      <c r="AZ578" s="1">
        <v>37073</v>
      </c>
      <c r="BA578" s="1">
        <v>37073</v>
      </c>
      <c r="BB578" s="1">
        <v>44378</v>
      </c>
      <c r="BC578" t="s">
        <v>51</v>
      </c>
      <c r="BE578" t="s">
        <v>54</v>
      </c>
      <c r="BF578">
        <v>2</v>
      </c>
      <c r="BG578">
        <v>0</v>
      </c>
      <c r="BH578" t="s">
        <v>53</v>
      </c>
      <c r="BK578" t="s">
        <v>59</v>
      </c>
      <c r="BL578">
        <v>14000</v>
      </c>
      <c r="BM578" s="1">
        <v>42917</v>
      </c>
      <c r="BN578" s="1">
        <v>42917</v>
      </c>
      <c r="BO578" s="1">
        <v>42917</v>
      </c>
      <c r="BP578" s="1">
        <v>44117</v>
      </c>
      <c r="BQ578" t="s">
        <v>51</v>
      </c>
      <c r="BS578" t="s">
        <v>60</v>
      </c>
      <c r="BT578" t="s">
        <v>54</v>
      </c>
      <c r="BU578" t="s">
        <v>61</v>
      </c>
      <c r="BV578" t="s">
        <v>62</v>
      </c>
      <c r="BX578">
        <v>24</v>
      </c>
      <c r="BY578">
        <v>0</v>
      </c>
      <c r="BZ578">
        <v>0</v>
      </c>
    </row>
    <row r="579" spans="1:78" x14ac:dyDescent="0.2">
      <c r="A579" t="s">
        <v>180</v>
      </c>
      <c r="B579" t="s">
        <v>181</v>
      </c>
      <c r="C579" t="s">
        <v>499</v>
      </c>
      <c r="D579" t="s">
        <v>499</v>
      </c>
      <c r="F579" t="str">
        <f>"250203"</f>
        <v>250203</v>
      </c>
      <c r="G579" t="s">
        <v>49</v>
      </c>
      <c r="H579" t="s">
        <v>459</v>
      </c>
      <c r="K579" t="s">
        <v>51</v>
      </c>
      <c r="L579" t="s">
        <v>52</v>
      </c>
      <c r="M579">
        <v>133290.4</v>
      </c>
      <c r="N579">
        <v>470033.76</v>
      </c>
      <c r="O579" t="s">
        <v>53</v>
      </c>
      <c r="P579" t="s">
        <v>54</v>
      </c>
      <c r="Q579" t="s">
        <v>55</v>
      </c>
      <c r="T579" t="s">
        <v>466</v>
      </c>
      <c r="U579">
        <v>40</v>
      </c>
      <c r="V579" s="1">
        <v>36892</v>
      </c>
      <c r="W579" s="1">
        <v>36892</v>
      </c>
      <c r="X579" s="1">
        <v>36892</v>
      </c>
      <c r="Y579" s="1">
        <v>51502</v>
      </c>
      <c r="Z579" t="s">
        <v>51</v>
      </c>
      <c r="AB579" t="s">
        <v>54</v>
      </c>
      <c r="AC579">
        <v>1</v>
      </c>
      <c r="AE579" t="s">
        <v>84</v>
      </c>
      <c r="AF579">
        <v>20</v>
      </c>
      <c r="AG579" s="1">
        <v>37073</v>
      </c>
      <c r="AH579" s="1">
        <v>37073</v>
      </c>
      <c r="AI579" s="1">
        <v>37073</v>
      </c>
      <c r="AJ579" s="1">
        <v>44378</v>
      </c>
      <c r="AK579" t="s">
        <v>51</v>
      </c>
      <c r="AN579">
        <v>0</v>
      </c>
      <c r="AO579" t="s">
        <v>54</v>
      </c>
      <c r="AP579" t="s">
        <v>53</v>
      </c>
      <c r="AQ579">
        <v>0</v>
      </c>
      <c r="AR579" t="s">
        <v>53</v>
      </c>
      <c r="AS579">
        <v>0</v>
      </c>
      <c r="AT579">
        <v>0</v>
      </c>
      <c r="AW579" t="s">
        <v>58</v>
      </c>
      <c r="AX579">
        <v>20</v>
      </c>
      <c r="AY579" s="1">
        <v>44908</v>
      </c>
      <c r="AZ579" s="1">
        <v>44908</v>
      </c>
      <c r="BA579" s="1">
        <v>44908</v>
      </c>
      <c r="BB579" s="1">
        <v>52213</v>
      </c>
      <c r="BC579" t="s">
        <v>51</v>
      </c>
      <c r="BE579" t="s">
        <v>54</v>
      </c>
      <c r="BF579">
        <v>2</v>
      </c>
      <c r="BG579">
        <v>0</v>
      </c>
      <c r="BH579" t="s">
        <v>53</v>
      </c>
      <c r="BK579" t="s">
        <v>59</v>
      </c>
      <c r="BL579">
        <v>14000</v>
      </c>
      <c r="BM579" s="1">
        <v>44908</v>
      </c>
      <c r="BN579" s="1">
        <v>44908</v>
      </c>
      <c r="BO579" s="1">
        <v>44908</v>
      </c>
      <c r="BP579" s="1">
        <v>46068</v>
      </c>
      <c r="BQ579" t="s">
        <v>51</v>
      </c>
      <c r="BS579" t="s">
        <v>60</v>
      </c>
      <c r="BT579" t="s">
        <v>54</v>
      </c>
      <c r="BU579" t="s">
        <v>61</v>
      </c>
      <c r="BV579" t="s">
        <v>62</v>
      </c>
      <c r="BX579">
        <v>24</v>
      </c>
      <c r="BY579">
        <v>0</v>
      </c>
      <c r="BZ579">
        <v>0</v>
      </c>
    </row>
    <row r="580" spans="1:78" x14ac:dyDescent="0.2">
      <c r="A580" t="s">
        <v>180</v>
      </c>
      <c r="B580" t="s">
        <v>181</v>
      </c>
      <c r="C580" t="s">
        <v>499</v>
      </c>
      <c r="D580" t="s">
        <v>499</v>
      </c>
      <c r="F580" t="str">
        <f>"250204"</f>
        <v>250204</v>
      </c>
      <c r="G580" t="s">
        <v>49</v>
      </c>
      <c r="H580" t="s">
        <v>459</v>
      </c>
      <c r="K580" t="s">
        <v>51</v>
      </c>
      <c r="L580" t="s">
        <v>52</v>
      </c>
      <c r="M580">
        <v>133310.47</v>
      </c>
      <c r="N580">
        <v>470048.84</v>
      </c>
      <c r="O580" t="s">
        <v>53</v>
      </c>
      <c r="P580" t="s">
        <v>54</v>
      </c>
      <c r="Q580" t="s">
        <v>55</v>
      </c>
      <c r="T580" t="s">
        <v>466</v>
      </c>
      <c r="U580">
        <v>40</v>
      </c>
      <c r="V580" s="1">
        <v>36892</v>
      </c>
      <c r="W580" s="1">
        <v>36892</v>
      </c>
      <c r="X580" s="1">
        <v>36892</v>
      </c>
      <c r="Y580" s="1">
        <v>51502</v>
      </c>
      <c r="Z580" t="s">
        <v>51</v>
      </c>
      <c r="AB580" t="s">
        <v>54</v>
      </c>
      <c r="AC580">
        <v>1</v>
      </c>
      <c r="AE580" t="s">
        <v>84</v>
      </c>
      <c r="AF580">
        <v>20</v>
      </c>
      <c r="AG580" s="1">
        <v>37073</v>
      </c>
      <c r="AH580" s="1">
        <v>37073</v>
      </c>
      <c r="AI580" s="1">
        <v>37073</v>
      </c>
      <c r="AJ580" s="1">
        <v>44378</v>
      </c>
      <c r="AK580" t="s">
        <v>51</v>
      </c>
      <c r="AN580">
        <v>0</v>
      </c>
      <c r="AO580" t="s">
        <v>54</v>
      </c>
      <c r="AP580" t="s">
        <v>53</v>
      </c>
      <c r="AQ580">
        <v>0</v>
      </c>
      <c r="AR580" t="s">
        <v>53</v>
      </c>
      <c r="AS580">
        <v>0</v>
      </c>
      <c r="AT580">
        <v>0</v>
      </c>
      <c r="AW580" t="s">
        <v>58</v>
      </c>
      <c r="AX580">
        <v>20</v>
      </c>
      <c r="AY580" s="1">
        <v>37073</v>
      </c>
      <c r="AZ580" s="1">
        <v>37073</v>
      </c>
      <c r="BA580" s="1">
        <v>37073</v>
      </c>
      <c r="BB580" s="1">
        <v>44378</v>
      </c>
      <c r="BC580" t="s">
        <v>51</v>
      </c>
      <c r="BE580" t="s">
        <v>54</v>
      </c>
      <c r="BF580">
        <v>2</v>
      </c>
      <c r="BG580">
        <v>0</v>
      </c>
      <c r="BH580" t="s">
        <v>53</v>
      </c>
      <c r="BK580" t="s">
        <v>59</v>
      </c>
      <c r="BL580">
        <v>14000</v>
      </c>
      <c r="BM580" s="1">
        <v>42917</v>
      </c>
      <c r="BN580" s="1">
        <v>42917</v>
      </c>
      <c r="BO580" s="1">
        <v>42917</v>
      </c>
      <c r="BP580" s="1">
        <v>44117</v>
      </c>
      <c r="BQ580" t="s">
        <v>51</v>
      </c>
      <c r="BS580" t="s">
        <v>60</v>
      </c>
      <c r="BT580" t="s">
        <v>54</v>
      </c>
      <c r="BU580" t="s">
        <v>61</v>
      </c>
      <c r="BV580" t="s">
        <v>62</v>
      </c>
      <c r="BX580">
        <v>24</v>
      </c>
      <c r="BY580">
        <v>0</v>
      </c>
      <c r="BZ580">
        <v>0</v>
      </c>
    </row>
    <row r="581" spans="1:78" x14ac:dyDescent="0.2">
      <c r="A581" t="s">
        <v>180</v>
      </c>
      <c r="B581" t="s">
        <v>181</v>
      </c>
      <c r="C581" t="s">
        <v>499</v>
      </c>
      <c r="D581" t="s">
        <v>499</v>
      </c>
      <c r="F581" t="str">
        <f>"250205"</f>
        <v>250205</v>
      </c>
      <c r="G581" t="s">
        <v>49</v>
      </c>
      <c r="H581" t="s">
        <v>460</v>
      </c>
      <c r="K581" t="s">
        <v>51</v>
      </c>
      <c r="L581" t="s">
        <v>52</v>
      </c>
      <c r="M581">
        <v>133334.60999999999</v>
      </c>
      <c r="N581">
        <v>470071.25</v>
      </c>
      <c r="O581" t="s">
        <v>53</v>
      </c>
      <c r="P581" t="s">
        <v>54</v>
      </c>
      <c r="Q581" t="s">
        <v>55</v>
      </c>
      <c r="T581" t="s">
        <v>183</v>
      </c>
      <c r="U581">
        <v>40</v>
      </c>
      <c r="V581" s="1">
        <v>37073</v>
      </c>
      <c r="W581" s="1">
        <v>37073</v>
      </c>
      <c r="X581" s="1">
        <v>37073</v>
      </c>
      <c r="Y581" s="1">
        <v>51683</v>
      </c>
      <c r="Z581" t="s">
        <v>51</v>
      </c>
      <c r="AB581" t="s">
        <v>54</v>
      </c>
      <c r="AC581">
        <v>1</v>
      </c>
      <c r="AE581" t="s">
        <v>84</v>
      </c>
      <c r="AF581">
        <v>20</v>
      </c>
      <c r="AG581" s="1">
        <v>37073</v>
      </c>
      <c r="AH581" s="1">
        <v>37073</v>
      </c>
      <c r="AI581" s="1">
        <v>37073</v>
      </c>
      <c r="AJ581" s="1">
        <v>44378</v>
      </c>
      <c r="AK581" t="s">
        <v>51</v>
      </c>
      <c r="AN581">
        <v>0</v>
      </c>
      <c r="AO581" t="s">
        <v>54</v>
      </c>
      <c r="AP581" t="s">
        <v>53</v>
      </c>
      <c r="AQ581">
        <v>0</v>
      </c>
      <c r="AR581" t="s">
        <v>53</v>
      </c>
      <c r="AS581">
        <v>0</v>
      </c>
      <c r="AT581">
        <v>0</v>
      </c>
      <c r="AW581" t="s">
        <v>58</v>
      </c>
      <c r="AX581">
        <v>20</v>
      </c>
      <c r="AY581" s="1">
        <v>43913</v>
      </c>
      <c r="AZ581" s="1">
        <v>43913</v>
      </c>
      <c r="BA581" s="1">
        <v>43913</v>
      </c>
      <c r="BB581" s="1">
        <v>51218</v>
      </c>
      <c r="BC581" t="s">
        <v>51</v>
      </c>
      <c r="BE581" t="s">
        <v>54</v>
      </c>
      <c r="BF581">
        <v>2</v>
      </c>
      <c r="BG581">
        <v>0</v>
      </c>
      <c r="BH581" t="s">
        <v>53</v>
      </c>
      <c r="BK581" t="s">
        <v>59</v>
      </c>
      <c r="BL581">
        <v>14000</v>
      </c>
      <c r="BM581" s="1">
        <v>43913</v>
      </c>
      <c r="BN581" s="1">
        <v>43913</v>
      </c>
      <c r="BO581" s="1">
        <v>43913</v>
      </c>
      <c r="BP581" s="1">
        <v>45131</v>
      </c>
      <c r="BQ581" t="s">
        <v>51</v>
      </c>
      <c r="BS581" t="s">
        <v>60</v>
      </c>
      <c r="BT581" t="s">
        <v>54</v>
      </c>
      <c r="BU581" t="s">
        <v>61</v>
      </c>
      <c r="BV581" t="s">
        <v>62</v>
      </c>
      <c r="BX581">
        <v>24</v>
      </c>
      <c r="BY581">
        <v>0</v>
      </c>
      <c r="BZ581">
        <v>0</v>
      </c>
    </row>
    <row r="582" spans="1:78" x14ac:dyDescent="0.2">
      <c r="A582" t="s">
        <v>180</v>
      </c>
      <c r="B582" t="s">
        <v>181</v>
      </c>
      <c r="C582" t="s">
        <v>499</v>
      </c>
      <c r="D582" t="s">
        <v>499</v>
      </c>
      <c r="F582" t="str">
        <f>"250206"</f>
        <v>250206</v>
      </c>
      <c r="G582" t="s">
        <v>49</v>
      </c>
      <c r="H582" t="s">
        <v>495</v>
      </c>
      <c r="K582" t="s">
        <v>51</v>
      </c>
      <c r="L582" t="s">
        <v>52</v>
      </c>
      <c r="M582">
        <v>133355.98000000001</v>
      </c>
      <c r="N582">
        <v>470093.56</v>
      </c>
      <c r="O582" t="s">
        <v>53</v>
      </c>
      <c r="P582" t="s">
        <v>54</v>
      </c>
      <c r="Q582" t="s">
        <v>55</v>
      </c>
      <c r="T582" t="s">
        <v>183</v>
      </c>
      <c r="U582">
        <v>40</v>
      </c>
      <c r="V582" s="1">
        <v>36892</v>
      </c>
      <c r="W582" s="1">
        <v>36892</v>
      </c>
      <c r="X582" s="1">
        <v>36892</v>
      </c>
      <c r="Y582" s="1">
        <v>51502</v>
      </c>
      <c r="Z582" t="s">
        <v>51</v>
      </c>
      <c r="AB582" t="s">
        <v>54</v>
      </c>
      <c r="AC582">
        <v>1</v>
      </c>
      <c r="AE582" t="s">
        <v>84</v>
      </c>
      <c r="AF582">
        <v>20</v>
      </c>
      <c r="AG582" s="1">
        <v>37073</v>
      </c>
      <c r="AH582" s="1">
        <v>37073</v>
      </c>
      <c r="AI582" s="1">
        <v>37073</v>
      </c>
      <c r="AJ582" s="1">
        <v>44378</v>
      </c>
      <c r="AK582" t="s">
        <v>51</v>
      </c>
      <c r="AN582">
        <v>0</v>
      </c>
      <c r="AO582" t="s">
        <v>54</v>
      </c>
      <c r="AP582" t="s">
        <v>53</v>
      </c>
      <c r="AQ582">
        <v>0</v>
      </c>
      <c r="AR582" t="s">
        <v>53</v>
      </c>
      <c r="AS582">
        <v>0</v>
      </c>
      <c r="AT582">
        <v>0</v>
      </c>
      <c r="AW582" t="s">
        <v>58</v>
      </c>
      <c r="AX582">
        <v>20</v>
      </c>
      <c r="AY582" s="1">
        <v>43913</v>
      </c>
      <c r="AZ582" s="1">
        <v>43913</v>
      </c>
      <c r="BA582" s="1">
        <v>43913</v>
      </c>
      <c r="BB582" s="1">
        <v>51218</v>
      </c>
      <c r="BC582" t="s">
        <v>51</v>
      </c>
      <c r="BE582" t="s">
        <v>54</v>
      </c>
      <c r="BF582">
        <v>2</v>
      </c>
      <c r="BG582">
        <v>0</v>
      </c>
      <c r="BH582" t="s">
        <v>53</v>
      </c>
      <c r="BK582" t="s">
        <v>59</v>
      </c>
      <c r="BL582">
        <v>14000</v>
      </c>
      <c r="BM582" s="1">
        <v>43913</v>
      </c>
      <c r="BN582" s="1">
        <v>43913</v>
      </c>
      <c r="BO582" s="1">
        <v>43913</v>
      </c>
      <c r="BP582" s="1">
        <v>45131</v>
      </c>
      <c r="BQ582" t="s">
        <v>51</v>
      </c>
      <c r="BS582" t="s">
        <v>60</v>
      </c>
      <c r="BT582" t="s">
        <v>54</v>
      </c>
      <c r="BU582" t="s">
        <v>61</v>
      </c>
      <c r="BV582" t="s">
        <v>62</v>
      </c>
      <c r="BX582">
        <v>24</v>
      </c>
      <c r="BY582">
        <v>0</v>
      </c>
      <c r="BZ582">
        <v>0</v>
      </c>
    </row>
    <row r="583" spans="1:78" x14ac:dyDescent="0.2">
      <c r="A583" t="s">
        <v>180</v>
      </c>
      <c r="B583" t="s">
        <v>181</v>
      </c>
      <c r="C583" t="s">
        <v>499</v>
      </c>
      <c r="D583" t="s">
        <v>499</v>
      </c>
      <c r="F583" t="str">
        <f>"250207"</f>
        <v>250207</v>
      </c>
      <c r="G583" t="s">
        <v>49</v>
      </c>
      <c r="H583" t="s">
        <v>495</v>
      </c>
      <c r="K583" t="s">
        <v>51</v>
      </c>
      <c r="L583" t="s">
        <v>52</v>
      </c>
      <c r="M583">
        <v>133379.69</v>
      </c>
      <c r="N583">
        <v>470115.65</v>
      </c>
      <c r="O583" t="s">
        <v>53</v>
      </c>
      <c r="P583" t="s">
        <v>54</v>
      </c>
      <c r="Q583" t="s">
        <v>55</v>
      </c>
      <c r="T583" t="s">
        <v>183</v>
      </c>
      <c r="U583">
        <v>40</v>
      </c>
      <c r="V583" s="1">
        <v>37073</v>
      </c>
      <c r="W583" s="1">
        <v>37073</v>
      </c>
      <c r="X583" s="1">
        <v>37073</v>
      </c>
      <c r="Y583" s="1">
        <v>51683</v>
      </c>
      <c r="Z583" t="s">
        <v>51</v>
      </c>
      <c r="AB583" t="s">
        <v>54</v>
      </c>
      <c r="AC583">
        <v>1</v>
      </c>
      <c r="AE583" t="s">
        <v>84</v>
      </c>
      <c r="AF583">
        <v>20</v>
      </c>
      <c r="AG583" s="1">
        <v>37073</v>
      </c>
      <c r="AH583" s="1">
        <v>37073</v>
      </c>
      <c r="AI583" s="1">
        <v>37073</v>
      </c>
      <c r="AJ583" s="1">
        <v>44378</v>
      </c>
      <c r="AK583" t="s">
        <v>51</v>
      </c>
      <c r="AN583">
        <v>0</v>
      </c>
      <c r="AO583" t="s">
        <v>54</v>
      </c>
      <c r="AP583" t="s">
        <v>53</v>
      </c>
      <c r="AQ583">
        <v>0</v>
      </c>
      <c r="AR583" t="s">
        <v>53</v>
      </c>
      <c r="AS583">
        <v>0</v>
      </c>
      <c r="AT583">
        <v>0</v>
      </c>
      <c r="AW583" t="s">
        <v>58</v>
      </c>
      <c r="AX583">
        <v>20</v>
      </c>
      <c r="AY583" s="1">
        <v>37073</v>
      </c>
      <c r="AZ583" s="1">
        <v>37073</v>
      </c>
      <c r="BA583" s="1">
        <v>37073</v>
      </c>
      <c r="BB583" s="1">
        <v>44378</v>
      </c>
      <c r="BC583" t="s">
        <v>51</v>
      </c>
      <c r="BE583" t="s">
        <v>54</v>
      </c>
      <c r="BF583">
        <v>2</v>
      </c>
      <c r="BG583">
        <v>0</v>
      </c>
      <c r="BH583" t="s">
        <v>53</v>
      </c>
      <c r="BK583" t="s">
        <v>59</v>
      </c>
      <c r="BL583">
        <v>14000</v>
      </c>
      <c r="BM583" s="1">
        <v>42917</v>
      </c>
      <c r="BN583" s="1">
        <v>42917</v>
      </c>
      <c r="BO583" s="1">
        <v>42917</v>
      </c>
      <c r="BP583" s="1">
        <v>44117</v>
      </c>
      <c r="BQ583" t="s">
        <v>51</v>
      </c>
      <c r="BS583" t="s">
        <v>60</v>
      </c>
      <c r="BT583" t="s">
        <v>54</v>
      </c>
      <c r="BU583" t="s">
        <v>61</v>
      </c>
      <c r="BV583" t="s">
        <v>62</v>
      </c>
      <c r="BX583">
        <v>24</v>
      </c>
      <c r="BY583">
        <v>0</v>
      </c>
      <c r="BZ583">
        <v>0</v>
      </c>
    </row>
    <row r="584" spans="1:78" x14ac:dyDescent="0.2">
      <c r="A584" t="s">
        <v>180</v>
      </c>
      <c r="B584" t="s">
        <v>181</v>
      </c>
      <c r="C584" t="s">
        <v>499</v>
      </c>
      <c r="D584" t="s">
        <v>499</v>
      </c>
      <c r="F584" t="str">
        <f>"250208"</f>
        <v>250208</v>
      </c>
      <c r="G584" t="s">
        <v>49</v>
      </c>
      <c r="H584" t="s">
        <v>307</v>
      </c>
      <c r="K584" t="s">
        <v>51</v>
      </c>
      <c r="L584" t="s">
        <v>52</v>
      </c>
      <c r="M584">
        <v>133403.89000000001</v>
      </c>
      <c r="N584">
        <v>470138.64</v>
      </c>
      <c r="O584" t="s">
        <v>53</v>
      </c>
      <c r="P584" t="s">
        <v>54</v>
      </c>
      <c r="Q584" t="s">
        <v>55</v>
      </c>
      <c r="T584" t="s">
        <v>466</v>
      </c>
      <c r="U584">
        <v>40</v>
      </c>
      <c r="V584" s="1">
        <v>36892</v>
      </c>
      <c r="W584" s="1">
        <v>36892</v>
      </c>
      <c r="X584" s="1">
        <v>36892</v>
      </c>
      <c r="Y584" s="1">
        <v>51502</v>
      </c>
      <c r="Z584" t="s">
        <v>51</v>
      </c>
      <c r="AB584" t="s">
        <v>54</v>
      </c>
      <c r="AC584">
        <v>1</v>
      </c>
      <c r="AE584" t="s">
        <v>84</v>
      </c>
      <c r="AF584">
        <v>20</v>
      </c>
      <c r="AG584" s="1">
        <v>36892</v>
      </c>
      <c r="AH584" s="1">
        <v>36892</v>
      </c>
      <c r="AI584" s="1">
        <v>36892</v>
      </c>
      <c r="AJ584" s="1">
        <v>44197</v>
      </c>
      <c r="AK584" t="s">
        <v>51</v>
      </c>
      <c r="AN584">
        <v>0</v>
      </c>
      <c r="AO584" t="s">
        <v>54</v>
      </c>
      <c r="AP584" t="s">
        <v>53</v>
      </c>
      <c r="AQ584">
        <v>0</v>
      </c>
      <c r="AR584" t="s">
        <v>53</v>
      </c>
      <c r="AS584">
        <v>0</v>
      </c>
      <c r="AT584">
        <v>0</v>
      </c>
      <c r="AW584" t="s">
        <v>58</v>
      </c>
      <c r="AX584">
        <v>20</v>
      </c>
      <c r="AY584" s="1">
        <v>36892</v>
      </c>
      <c r="AZ584" s="1">
        <v>36892</v>
      </c>
      <c r="BA584" s="1">
        <v>36892</v>
      </c>
      <c r="BB584" s="1">
        <v>44197</v>
      </c>
      <c r="BC584" t="s">
        <v>51</v>
      </c>
      <c r="BE584" t="s">
        <v>54</v>
      </c>
      <c r="BF584">
        <v>2</v>
      </c>
      <c r="BG584">
        <v>0</v>
      </c>
      <c r="BH584" t="s">
        <v>53</v>
      </c>
      <c r="BK584" t="s">
        <v>59</v>
      </c>
      <c r="BL584">
        <v>14000</v>
      </c>
      <c r="BM584" s="1">
        <v>42917</v>
      </c>
      <c r="BN584" s="1">
        <v>42917</v>
      </c>
      <c r="BO584" s="1">
        <v>42917</v>
      </c>
      <c r="BP584" s="1">
        <v>44117</v>
      </c>
      <c r="BQ584" t="s">
        <v>51</v>
      </c>
      <c r="BS584" t="s">
        <v>60</v>
      </c>
      <c r="BT584" t="s">
        <v>54</v>
      </c>
      <c r="BU584" t="s">
        <v>61</v>
      </c>
      <c r="BV584" t="s">
        <v>62</v>
      </c>
      <c r="BX584">
        <v>24</v>
      </c>
      <c r="BY584">
        <v>0</v>
      </c>
      <c r="BZ584">
        <v>0</v>
      </c>
    </row>
    <row r="585" spans="1:78" x14ac:dyDescent="0.2">
      <c r="A585" t="s">
        <v>180</v>
      </c>
      <c r="B585" t="s">
        <v>181</v>
      </c>
      <c r="C585" t="s">
        <v>499</v>
      </c>
      <c r="D585" t="s">
        <v>499</v>
      </c>
      <c r="F585" t="str">
        <f>"250209"</f>
        <v>250209</v>
      </c>
      <c r="G585" t="s">
        <v>49</v>
      </c>
      <c r="H585" t="s">
        <v>501</v>
      </c>
      <c r="K585" t="s">
        <v>51</v>
      </c>
      <c r="L585" t="s">
        <v>52</v>
      </c>
      <c r="M585">
        <v>133435</v>
      </c>
      <c r="N585">
        <v>470169.76</v>
      </c>
      <c r="O585" t="s">
        <v>53</v>
      </c>
      <c r="P585" t="s">
        <v>54</v>
      </c>
      <c r="Q585" t="s">
        <v>55</v>
      </c>
      <c r="T585" t="s">
        <v>183</v>
      </c>
      <c r="U585">
        <v>40</v>
      </c>
      <c r="V585" s="1">
        <v>37073</v>
      </c>
      <c r="W585" s="1">
        <v>37073</v>
      </c>
      <c r="X585" s="1">
        <v>37073</v>
      </c>
      <c r="Y585" s="1">
        <v>51683</v>
      </c>
      <c r="Z585" t="s">
        <v>51</v>
      </c>
      <c r="AB585" t="s">
        <v>54</v>
      </c>
      <c r="AC585">
        <v>1</v>
      </c>
      <c r="AE585" t="s">
        <v>84</v>
      </c>
      <c r="AF585">
        <v>20</v>
      </c>
      <c r="AG585" s="1">
        <v>37073</v>
      </c>
      <c r="AH585" s="1">
        <v>37073</v>
      </c>
      <c r="AI585" s="1">
        <v>37073</v>
      </c>
      <c r="AJ585" s="1">
        <v>44378</v>
      </c>
      <c r="AK585" t="s">
        <v>51</v>
      </c>
      <c r="AN585">
        <v>0</v>
      </c>
      <c r="AO585" t="s">
        <v>54</v>
      </c>
      <c r="AP585" t="s">
        <v>53</v>
      </c>
      <c r="AQ585">
        <v>0</v>
      </c>
      <c r="AR585" t="s">
        <v>53</v>
      </c>
      <c r="AS585">
        <v>0</v>
      </c>
      <c r="AT585">
        <v>0</v>
      </c>
      <c r="AW585" t="s">
        <v>58</v>
      </c>
      <c r="AX585">
        <v>20</v>
      </c>
      <c r="AY585" s="1">
        <v>37073</v>
      </c>
      <c r="AZ585" s="1">
        <v>37073</v>
      </c>
      <c r="BA585" s="1">
        <v>37073</v>
      </c>
      <c r="BB585" s="1">
        <v>44378</v>
      </c>
      <c r="BC585" t="s">
        <v>51</v>
      </c>
      <c r="BE585" t="s">
        <v>54</v>
      </c>
      <c r="BF585">
        <v>2</v>
      </c>
      <c r="BG585">
        <v>0</v>
      </c>
      <c r="BH585" t="s">
        <v>53</v>
      </c>
      <c r="BK585" t="s">
        <v>59</v>
      </c>
      <c r="BL585">
        <v>14000</v>
      </c>
      <c r="BM585" s="1">
        <v>42917</v>
      </c>
      <c r="BN585" s="1">
        <v>42917</v>
      </c>
      <c r="BO585" s="1">
        <v>42917</v>
      </c>
      <c r="BP585" s="1">
        <v>44117</v>
      </c>
      <c r="BQ585" t="s">
        <v>51</v>
      </c>
      <c r="BS585" t="s">
        <v>60</v>
      </c>
      <c r="BT585" t="s">
        <v>54</v>
      </c>
      <c r="BU585" t="s">
        <v>61</v>
      </c>
      <c r="BV585" t="s">
        <v>62</v>
      </c>
      <c r="BX585">
        <v>24</v>
      </c>
      <c r="BY585">
        <v>0</v>
      </c>
      <c r="BZ585">
        <v>0</v>
      </c>
    </row>
    <row r="586" spans="1:78" x14ac:dyDescent="0.2">
      <c r="A586" t="s">
        <v>180</v>
      </c>
      <c r="B586" t="s">
        <v>181</v>
      </c>
      <c r="C586" t="s">
        <v>499</v>
      </c>
      <c r="D586" t="s">
        <v>499</v>
      </c>
      <c r="F586" t="str">
        <f>"250210"</f>
        <v>250210</v>
      </c>
      <c r="G586" t="s">
        <v>49</v>
      </c>
      <c r="H586" t="s">
        <v>461</v>
      </c>
      <c r="K586" t="s">
        <v>51</v>
      </c>
      <c r="L586" t="s">
        <v>52</v>
      </c>
      <c r="M586">
        <v>133462.04999999999</v>
      </c>
      <c r="N586">
        <v>470195.78</v>
      </c>
      <c r="O586" t="s">
        <v>53</v>
      </c>
      <c r="P586" t="s">
        <v>54</v>
      </c>
      <c r="Q586" t="s">
        <v>55</v>
      </c>
      <c r="T586" t="s">
        <v>183</v>
      </c>
      <c r="U586">
        <v>40</v>
      </c>
      <c r="V586" s="1">
        <v>36892</v>
      </c>
      <c r="W586" s="1">
        <v>36892</v>
      </c>
      <c r="X586" s="1">
        <v>36892</v>
      </c>
      <c r="Y586" s="1">
        <v>51502</v>
      </c>
      <c r="Z586" t="s">
        <v>51</v>
      </c>
      <c r="AB586" t="s">
        <v>54</v>
      </c>
      <c r="AC586">
        <v>1</v>
      </c>
      <c r="AE586" t="s">
        <v>84</v>
      </c>
      <c r="AF586">
        <v>20</v>
      </c>
      <c r="AG586" s="1">
        <v>37073</v>
      </c>
      <c r="AH586" s="1">
        <v>37073</v>
      </c>
      <c r="AI586" s="1">
        <v>37073</v>
      </c>
      <c r="AJ586" s="1">
        <v>44378</v>
      </c>
      <c r="AK586" t="s">
        <v>51</v>
      </c>
      <c r="AN586">
        <v>0</v>
      </c>
      <c r="AO586" t="s">
        <v>54</v>
      </c>
      <c r="AP586" t="s">
        <v>53</v>
      </c>
      <c r="AQ586">
        <v>0</v>
      </c>
      <c r="AR586" t="s">
        <v>53</v>
      </c>
      <c r="AS586">
        <v>0</v>
      </c>
      <c r="AT586">
        <v>0</v>
      </c>
      <c r="AW586" t="s">
        <v>58</v>
      </c>
      <c r="AX586">
        <v>20</v>
      </c>
      <c r="AY586" s="1">
        <v>37073</v>
      </c>
      <c r="AZ586" s="1">
        <v>37073</v>
      </c>
      <c r="BA586" s="1">
        <v>37073</v>
      </c>
      <c r="BB586" s="1">
        <v>44378</v>
      </c>
      <c r="BC586" t="s">
        <v>51</v>
      </c>
      <c r="BE586" t="s">
        <v>54</v>
      </c>
      <c r="BF586">
        <v>2</v>
      </c>
      <c r="BG586">
        <v>0</v>
      </c>
      <c r="BH586" t="s">
        <v>53</v>
      </c>
      <c r="BK586" t="s">
        <v>59</v>
      </c>
      <c r="BL586">
        <v>14000</v>
      </c>
      <c r="BM586" s="1">
        <v>42917</v>
      </c>
      <c r="BN586" s="1">
        <v>42917</v>
      </c>
      <c r="BO586" s="1">
        <v>42917</v>
      </c>
      <c r="BP586" s="1">
        <v>44117</v>
      </c>
      <c r="BQ586" t="s">
        <v>51</v>
      </c>
      <c r="BS586" t="s">
        <v>60</v>
      </c>
      <c r="BT586" t="s">
        <v>54</v>
      </c>
      <c r="BU586" t="s">
        <v>61</v>
      </c>
      <c r="BV586" t="s">
        <v>62</v>
      </c>
      <c r="BX586">
        <v>24</v>
      </c>
      <c r="BY586">
        <v>0</v>
      </c>
      <c r="BZ586">
        <v>0</v>
      </c>
    </row>
    <row r="587" spans="1:78" x14ac:dyDescent="0.2">
      <c r="A587" t="s">
        <v>180</v>
      </c>
      <c r="B587" t="s">
        <v>181</v>
      </c>
      <c r="C587" t="s">
        <v>499</v>
      </c>
      <c r="D587" t="s">
        <v>499</v>
      </c>
      <c r="F587" t="str">
        <f>"250211"</f>
        <v>250211</v>
      </c>
      <c r="G587" t="s">
        <v>49</v>
      </c>
      <c r="H587" t="s">
        <v>299</v>
      </c>
      <c r="K587" t="s">
        <v>51</v>
      </c>
      <c r="L587" t="s">
        <v>52</v>
      </c>
      <c r="M587">
        <v>133486.01999999999</v>
      </c>
      <c r="N587">
        <v>470216.27</v>
      </c>
      <c r="O587" t="s">
        <v>53</v>
      </c>
      <c r="P587" t="s">
        <v>54</v>
      </c>
      <c r="Q587" t="s">
        <v>55</v>
      </c>
      <c r="T587" t="s">
        <v>183</v>
      </c>
      <c r="U587">
        <v>40</v>
      </c>
      <c r="V587" s="1">
        <v>37073</v>
      </c>
      <c r="W587" s="1">
        <v>37073</v>
      </c>
      <c r="X587" s="1">
        <v>37073</v>
      </c>
      <c r="Y587" s="1">
        <v>51683</v>
      </c>
      <c r="Z587" t="s">
        <v>51</v>
      </c>
      <c r="AB587" t="s">
        <v>54</v>
      </c>
      <c r="AC587">
        <v>1</v>
      </c>
      <c r="AE587" t="s">
        <v>84</v>
      </c>
      <c r="AF587">
        <v>20</v>
      </c>
      <c r="AG587" s="1">
        <v>37073</v>
      </c>
      <c r="AH587" s="1">
        <v>37073</v>
      </c>
      <c r="AI587" s="1">
        <v>37073</v>
      </c>
      <c r="AJ587" s="1">
        <v>44378</v>
      </c>
      <c r="AK587" t="s">
        <v>51</v>
      </c>
      <c r="AN587">
        <v>0</v>
      </c>
      <c r="AO587" t="s">
        <v>54</v>
      </c>
      <c r="AP587" t="s">
        <v>53</v>
      </c>
      <c r="AQ587">
        <v>0</v>
      </c>
      <c r="AR587" t="s">
        <v>53</v>
      </c>
      <c r="AS587">
        <v>0</v>
      </c>
      <c r="AT587">
        <v>0</v>
      </c>
      <c r="AW587" t="s">
        <v>58</v>
      </c>
      <c r="AX587">
        <v>20</v>
      </c>
      <c r="AY587" s="1">
        <v>44536</v>
      </c>
      <c r="AZ587" s="1">
        <v>44536</v>
      </c>
      <c r="BA587" s="1">
        <v>44536</v>
      </c>
      <c r="BB587" s="1">
        <v>51841</v>
      </c>
      <c r="BC587" t="s">
        <v>51</v>
      </c>
      <c r="BE587" t="s">
        <v>54</v>
      </c>
      <c r="BF587">
        <v>2</v>
      </c>
      <c r="BG587">
        <v>0</v>
      </c>
      <c r="BH587" t="s">
        <v>53</v>
      </c>
      <c r="BK587" t="s">
        <v>59</v>
      </c>
      <c r="BL587">
        <v>14000</v>
      </c>
      <c r="BM587" s="1">
        <v>44536</v>
      </c>
      <c r="BN587" s="1">
        <v>44536</v>
      </c>
      <c r="BO587" s="1">
        <v>44536</v>
      </c>
      <c r="BP587" s="1">
        <v>45695</v>
      </c>
      <c r="BQ587" t="s">
        <v>51</v>
      </c>
      <c r="BS587" t="s">
        <v>60</v>
      </c>
      <c r="BT587" t="s">
        <v>54</v>
      </c>
      <c r="BU587" t="s">
        <v>61</v>
      </c>
      <c r="BV587" t="s">
        <v>62</v>
      </c>
      <c r="BX587">
        <v>24</v>
      </c>
      <c r="BY587">
        <v>0</v>
      </c>
      <c r="BZ587">
        <v>0</v>
      </c>
    </row>
    <row r="588" spans="1:78" x14ac:dyDescent="0.2">
      <c r="A588" t="s">
        <v>180</v>
      </c>
      <c r="B588" t="s">
        <v>181</v>
      </c>
      <c r="C588" t="s">
        <v>499</v>
      </c>
      <c r="D588" t="s">
        <v>499</v>
      </c>
      <c r="F588" t="str">
        <f>"250212"</f>
        <v>250212</v>
      </c>
      <c r="G588" t="s">
        <v>49</v>
      </c>
      <c r="H588" t="s">
        <v>292</v>
      </c>
      <c r="K588" t="s">
        <v>51</v>
      </c>
      <c r="L588" t="s">
        <v>52</v>
      </c>
      <c r="M588">
        <v>133510.89000000001</v>
      </c>
      <c r="N588">
        <v>470239.03</v>
      </c>
      <c r="O588" t="s">
        <v>53</v>
      </c>
      <c r="P588" t="s">
        <v>54</v>
      </c>
      <c r="Q588" t="s">
        <v>55</v>
      </c>
      <c r="T588" t="s">
        <v>183</v>
      </c>
      <c r="U588">
        <v>40</v>
      </c>
      <c r="V588" s="1">
        <v>36892</v>
      </c>
      <c r="W588" s="1">
        <v>36892</v>
      </c>
      <c r="X588" s="1">
        <v>36892</v>
      </c>
      <c r="Y588" s="1">
        <v>51502</v>
      </c>
      <c r="Z588" t="s">
        <v>51</v>
      </c>
      <c r="AB588" t="s">
        <v>54</v>
      </c>
      <c r="AC588">
        <v>1</v>
      </c>
      <c r="AE588" t="s">
        <v>84</v>
      </c>
      <c r="AF588">
        <v>20</v>
      </c>
      <c r="AG588" s="1">
        <v>37073</v>
      </c>
      <c r="AH588" s="1">
        <v>37073</v>
      </c>
      <c r="AI588" s="1">
        <v>37073</v>
      </c>
      <c r="AJ588" s="1">
        <v>44378</v>
      </c>
      <c r="AK588" t="s">
        <v>51</v>
      </c>
      <c r="AN588">
        <v>0</v>
      </c>
      <c r="AO588" t="s">
        <v>54</v>
      </c>
      <c r="AP588" t="s">
        <v>53</v>
      </c>
      <c r="AQ588">
        <v>0</v>
      </c>
      <c r="AR588" t="s">
        <v>53</v>
      </c>
      <c r="AS588">
        <v>0</v>
      </c>
      <c r="AT588">
        <v>0</v>
      </c>
      <c r="AW588" t="s">
        <v>58</v>
      </c>
      <c r="AX588">
        <v>20</v>
      </c>
      <c r="AY588" s="1">
        <v>37073</v>
      </c>
      <c r="AZ588" s="1">
        <v>37073</v>
      </c>
      <c r="BA588" s="1">
        <v>37073</v>
      </c>
      <c r="BB588" s="1">
        <v>44378</v>
      </c>
      <c r="BC588" t="s">
        <v>51</v>
      </c>
      <c r="BE588" t="s">
        <v>54</v>
      </c>
      <c r="BF588">
        <v>2</v>
      </c>
      <c r="BG588">
        <v>0</v>
      </c>
      <c r="BH588" t="s">
        <v>53</v>
      </c>
      <c r="BK588" t="s">
        <v>59</v>
      </c>
      <c r="BL588">
        <v>14000</v>
      </c>
      <c r="BM588" s="1">
        <v>42917</v>
      </c>
      <c r="BN588" s="1">
        <v>42917</v>
      </c>
      <c r="BO588" s="1">
        <v>42917</v>
      </c>
      <c r="BP588" s="1">
        <v>44117</v>
      </c>
      <c r="BQ588" t="s">
        <v>51</v>
      </c>
      <c r="BS588" t="s">
        <v>60</v>
      </c>
      <c r="BT588" t="s">
        <v>54</v>
      </c>
      <c r="BU588" t="s">
        <v>61</v>
      </c>
      <c r="BV588" t="s">
        <v>62</v>
      </c>
      <c r="BX588">
        <v>24</v>
      </c>
      <c r="BY588">
        <v>0</v>
      </c>
      <c r="BZ588">
        <v>0</v>
      </c>
    </row>
    <row r="589" spans="1:78" x14ac:dyDescent="0.2">
      <c r="A589" t="s">
        <v>180</v>
      </c>
      <c r="B589" t="s">
        <v>181</v>
      </c>
      <c r="C589" t="s">
        <v>499</v>
      </c>
      <c r="D589" t="s">
        <v>499</v>
      </c>
      <c r="F589" t="str">
        <f>"250213"</f>
        <v>250213</v>
      </c>
      <c r="G589" t="s">
        <v>49</v>
      </c>
      <c r="H589" t="s">
        <v>461</v>
      </c>
      <c r="K589" t="s">
        <v>51</v>
      </c>
      <c r="L589" t="s">
        <v>52</v>
      </c>
      <c r="M589">
        <v>133540.29999999999</v>
      </c>
      <c r="N589">
        <v>470265.57</v>
      </c>
      <c r="O589" t="s">
        <v>53</v>
      </c>
      <c r="P589" t="s">
        <v>54</v>
      </c>
      <c r="Q589" t="s">
        <v>55</v>
      </c>
      <c r="T589" t="s">
        <v>183</v>
      </c>
      <c r="U589">
        <v>40</v>
      </c>
      <c r="V589" s="1">
        <v>37073</v>
      </c>
      <c r="W589" s="1">
        <v>37073</v>
      </c>
      <c r="X589" s="1">
        <v>37073</v>
      </c>
      <c r="Y589" s="1">
        <v>51683</v>
      </c>
      <c r="Z589" t="s">
        <v>51</v>
      </c>
      <c r="AB589" t="s">
        <v>54</v>
      </c>
      <c r="AC589">
        <v>1</v>
      </c>
      <c r="AE589" t="s">
        <v>84</v>
      </c>
      <c r="AF589">
        <v>20</v>
      </c>
      <c r="AG589" s="1">
        <v>37073</v>
      </c>
      <c r="AH589" s="1">
        <v>37073</v>
      </c>
      <c r="AI589" s="1">
        <v>37073</v>
      </c>
      <c r="AJ589" s="1">
        <v>44378</v>
      </c>
      <c r="AK589" t="s">
        <v>51</v>
      </c>
      <c r="AN589">
        <v>0</v>
      </c>
      <c r="AO589" t="s">
        <v>54</v>
      </c>
      <c r="AP589" t="s">
        <v>53</v>
      </c>
      <c r="AQ589">
        <v>0</v>
      </c>
      <c r="AR589" t="s">
        <v>53</v>
      </c>
      <c r="AS589">
        <v>0</v>
      </c>
      <c r="AT589">
        <v>0</v>
      </c>
      <c r="AW589" t="s">
        <v>58</v>
      </c>
      <c r="AX589">
        <v>20</v>
      </c>
      <c r="AY589" s="1">
        <v>43542</v>
      </c>
      <c r="AZ589" s="1">
        <v>43542</v>
      </c>
      <c r="BA589" s="1">
        <v>43542</v>
      </c>
      <c r="BB589" s="1">
        <v>50847</v>
      </c>
      <c r="BC589" t="s">
        <v>51</v>
      </c>
      <c r="BE589" t="s">
        <v>54</v>
      </c>
      <c r="BF589">
        <v>2</v>
      </c>
      <c r="BG589">
        <v>0</v>
      </c>
      <c r="BH589" t="s">
        <v>53</v>
      </c>
      <c r="BK589" t="s">
        <v>59</v>
      </c>
      <c r="BL589">
        <v>14000</v>
      </c>
      <c r="BM589" s="1">
        <v>43542</v>
      </c>
      <c r="BN589" s="1">
        <v>43542</v>
      </c>
      <c r="BO589" s="1">
        <v>43542</v>
      </c>
      <c r="BP589" s="1">
        <v>44757</v>
      </c>
      <c r="BQ589" t="s">
        <v>51</v>
      </c>
      <c r="BS589" t="s">
        <v>60</v>
      </c>
      <c r="BT589" t="s">
        <v>54</v>
      </c>
      <c r="BU589" t="s">
        <v>61</v>
      </c>
      <c r="BV589" t="s">
        <v>62</v>
      </c>
      <c r="BX589">
        <v>24</v>
      </c>
      <c r="BY589">
        <v>0</v>
      </c>
      <c r="BZ589">
        <v>0</v>
      </c>
    </row>
    <row r="590" spans="1:78" x14ac:dyDescent="0.2">
      <c r="A590" t="s">
        <v>180</v>
      </c>
      <c r="B590" t="s">
        <v>181</v>
      </c>
      <c r="C590" t="s">
        <v>499</v>
      </c>
      <c r="D590" t="s">
        <v>499</v>
      </c>
      <c r="F590" t="str">
        <f>"250214"</f>
        <v>250214</v>
      </c>
      <c r="G590" t="s">
        <v>49</v>
      </c>
      <c r="H590" t="s">
        <v>463</v>
      </c>
      <c r="K590" t="s">
        <v>51</v>
      </c>
      <c r="L590" t="s">
        <v>52</v>
      </c>
      <c r="M590">
        <v>133564.13</v>
      </c>
      <c r="N590">
        <v>470286.16</v>
      </c>
      <c r="O590" t="s">
        <v>53</v>
      </c>
      <c r="P590" t="s">
        <v>54</v>
      </c>
      <c r="Q590" t="s">
        <v>55</v>
      </c>
      <c r="T590" t="s">
        <v>466</v>
      </c>
      <c r="U590">
        <v>40</v>
      </c>
      <c r="V590" s="1">
        <v>37803</v>
      </c>
      <c r="W590" s="1">
        <v>37803</v>
      </c>
      <c r="X590" s="1">
        <v>37803</v>
      </c>
      <c r="Y590" s="1">
        <v>52413</v>
      </c>
      <c r="Z590" t="s">
        <v>51</v>
      </c>
      <c r="AB590" t="s">
        <v>54</v>
      </c>
      <c r="AC590">
        <v>1</v>
      </c>
      <c r="AE590" t="s">
        <v>57</v>
      </c>
      <c r="AF590">
        <v>20</v>
      </c>
      <c r="AG590" s="1">
        <v>37803</v>
      </c>
      <c r="AH590" s="1">
        <v>37803</v>
      </c>
      <c r="AI590" s="1">
        <v>37803</v>
      </c>
      <c r="AJ590" s="1">
        <v>45108</v>
      </c>
      <c r="AK590" t="s">
        <v>51</v>
      </c>
      <c r="AN590">
        <v>0</v>
      </c>
      <c r="AO590" t="s">
        <v>54</v>
      </c>
      <c r="AP590" t="s">
        <v>53</v>
      </c>
      <c r="AQ590">
        <v>0</v>
      </c>
      <c r="AR590" t="s">
        <v>53</v>
      </c>
      <c r="AS590">
        <v>0</v>
      </c>
      <c r="AT590">
        <v>0</v>
      </c>
      <c r="AW590" t="s">
        <v>58</v>
      </c>
      <c r="AX590">
        <v>20</v>
      </c>
      <c r="AY590" s="1">
        <v>43542</v>
      </c>
      <c r="AZ590" s="1">
        <v>43542</v>
      </c>
      <c r="BA590" s="1">
        <v>43542</v>
      </c>
      <c r="BB590" s="1">
        <v>50847</v>
      </c>
      <c r="BC590" t="s">
        <v>51</v>
      </c>
      <c r="BE590" t="s">
        <v>54</v>
      </c>
      <c r="BF590">
        <v>2</v>
      </c>
      <c r="BG590">
        <v>0</v>
      </c>
      <c r="BH590" t="s">
        <v>53</v>
      </c>
      <c r="BK590" t="s">
        <v>59</v>
      </c>
      <c r="BL590">
        <v>14000</v>
      </c>
      <c r="BM590" s="1">
        <v>42917</v>
      </c>
      <c r="BN590" s="1">
        <v>42917</v>
      </c>
      <c r="BO590" s="1">
        <v>43542</v>
      </c>
      <c r="BP590" s="1">
        <v>44117</v>
      </c>
      <c r="BQ590" t="s">
        <v>51</v>
      </c>
      <c r="BS590" t="s">
        <v>60</v>
      </c>
      <c r="BT590" t="s">
        <v>54</v>
      </c>
      <c r="BU590" t="s">
        <v>61</v>
      </c>
      <c r="BV590" t="s">
        <v>62</v>
      </c>
      <c r="BX590">
        <v>24</v>
      </c>
      <c r="BY590">
        <v>0</v>
      </c>
      <c r="BZ590">
        <v>0</v>
      </c>
    </row>
    <row r="591" spans="1:78" x14ac:dyDescent="0.2">
      <c r="A591" t="s">
        <v>180</v>
      </c>
      <c r="B591" t="s">
        <v>181</v>
      </c>
      <c r="C591" t="s">
        <v>499</v>
      </c>
      <c r="D591" t="s">
        <v>499</v>
      </c>
      <c r="F591" t="str">
        <f>"250215"</f>
        <v>250215</v>
      </c>
      <c r="G591" t="s">
        <v>49</v>
      </c>
      <c r="H591" t="s">
        <v>292</v>
      </c>
      <c r="K591" t="s">
        <v>51</v>
      </c>
      <c r="L591" t="s">
        <v>52</v>
      </c>
      <c r="M591">
        <v>133587.65</v>
      </c>
      <c r="N591">
        <v>470307.3</v>
      </c>
      <c r="O591" t="s">
        <v>53</v>
      </c>
      <c r="P591" t="s">
        <v>54</v>
      </c>
      <c r="Q591" t="s">
        <v>55</v>
      </c>
      <c r="T591" t="s">
        <v>183</v>
      </c>
      <c r="U591">
        <v>40</v>
      </c>
      <c r="V591" s="1">
        <v>37073</v>
      </c>
      <c r="W591" s="1">
        <v>37073</v>
      </c>
      <c r="X591" s="1">
        <v>37073</v>
      </c>
      <c r="Y591" s="1">
        <v>51683</v>
      </c>
      <c r="Z591" t="s">
        <v>51</v>
      </c>
      <c r="AB591" t="s">
        <v>54</v>
      </c>
      <c r="AC591">
        <v>1</v>
      </c>
      <c r="AE591" t="s">
        <v>84</v>
      </c>
      <c r="AF591">
        <v>20</v>
      </c>
      <c r="AG591" s="1">
        <v>37073</v>
      </c>
      <c r="AH591" s="1">
        <v>37073</v>
      </c>
      <c r="AI591" s="1">
        <v>37073</v>
      </c>
      <c r="AJ591" s="1">
        <v>44378</v>
      </c>
      <c r="AK591" t="s">
        <v>51</v>
      </c>
      <c r="AN591">
        <v>0</v>
      </c>
      <c r="AO591" t="s">
        <v>54</v>
      </c>
      <c r="AP591" t="s">
        <v>53</v>
      </c>
      <c r="AQ591">
        <v>0</v>
      </c>
      <c r="AR591" t="s">
        <v>53</v>
      </c>
      <c r="AS591">
        <v>0</v>
      </c>
      <c r="AT591">
        <v>0</v>
      </c>
      <c r="AW591" t="s">
        <v>58</v>
      </c>
      <c r="AX591">
        <v>20</v>
      </c>
      <c r="AY591" s="1">
        <v>37073</v>
      </c>
      <c r="AZ591" s="1">
        <v>37073</v>
      </c>
      <c r="BA591" s="1">
        <v>37073</v>
      </c>
      <c r="BB591" s="1">
        <v>44378</v>
      </c>
      <c r="BC591" t="s">
        <v>51</v>
      </c>
      <c r="BE591" t="s">
        <v>54</v>
      </c>
      <c r="BF591">
        <v>2</v>
      </c>
      <c r="BG591">
        <v>0</v>
      </c>
      <c r="BH591" t="s">
        <v>53</v>
      </c>
      <c r="BK591" t="s">
        <v>59</v>
      </c>
      <c r="BL591">
        <v>14000</v>
      </c>
      <c r="BM591" s="1">
        <v>42917</v>
      </c>
      <c r="BN591" s="1">
        <v>42917</v>
      </c>
      <c r="BO591" s="1">
        <v>42917</v>
      </c>
      <c r="BP591" s="1">
        <v>44117</v>
      </c>
      <c r="BQ591" t="s">
        <v>51</v>
      </c>
      <c r="BS591" t="s">
        <v>60</v>
      </c>
      <c r="BT591" t="s">
        <v>54</v>
      </c>
      <c r="BU591" t="s">
        <v>61</v>
      </c>
      <c r="BV591" t="s">
        <v>62</v>
      </c>
      <c r="BX591">
        <v>24</v>
      </c>
      <c r="BY591">
        <v>0</v>
      </c>
      <c r="BZ591">
        <v>0</v>
      </c>
    </row>
    <row r="592" spans="1:78" x14ac:dyDescent="0.2">
      <c r="A592" t="s">
        <v>180</v>
      </c>
      <c r="B592" t="s">
        <v>181</v>
      </c>
      <c r="C592" t="s">
        <v>499</v>
      </c>
      <c r="D592" t="s">
        <v>499</v>
      </c>
      <c r="F592" t="str">
        <f>"250216"</f>
        <v>250216</v>
      </c>
      <c r="G592" t="s">
        <v>49</v>
      </c>
      <c r="H592" t="s">
        <v>502</v>
      </c>
      <c r="K592" t="s">
        <v>51</v>
      </c>
      <c r="L592" t="s">
        <v>52</v>
      </c>
      <c r="M592">
        <v>133614.78</v>
      </c>
      <c r="N592">
        <v>470332.04</v>
      </c>
      <c r="O592" t="s">
        <v>53</v>
      </c>
      <c r="P592" t="s">
        <v>54</v>
      </c>
      <c r="Q592" t="s">
        <v>55</v>
      </c>
      <c r="T592" t="s">
        <v>183</v>
      </c>
      <c r="U592">
        <v>40</v>
      </c>
      <c r="V592" s="1">
        <v>38899</v>
      </c>
      <c r="W592" s="1">
        <v>38899</v>
      </c>
      <c r="X592" s="1">
        <v>38899</v>
      </c>
      <c r="Y592" s="1">
        <v>53509</v>
      </c>
      <c r="Z592" t="s">
        <v>51</v>
      </c>
      <c r="AB592" t="s">
        <v>54</v>
      </c>
      <c r="AC592">
        <v>1</v>
      </c>
      <c r="AE592" t="s">
        <v>84</v>
      </c>
      <c r="AF592">
        <v>20</v>
      </c>
      <c r="AG592" s="1">
        <v>37073</v>
      </c>
      <c r="AH592" s="1">
        <v>37073</v>
      </c>
      <c r="AI592" s="1">
        <v>38899</v>
      </c>
      <c r="AJ592" s="1">
        <v>44378</v>
      </c>
      <c r="AK592" t="s">
        <v>51</v>
      </c>
      <c r="AN592">
        <v>0</v>
      </c>
      <c r="AO592" t="s">
        <v>54</v>
      </c>
      <c r="AP592" t="s">
        <v>53</v>
      </c>
      <c r="AQ592">
        <v>0</v>
      </c>
      <c r="AR592" t="s">
        <v>53</v>
      </c>
      <c r="AS592">
        <v>0</v>
      </c>
      <c r="AT592">
        <v>0</v>
      </c>
      <c r="AW592" t="s">
        <v>58</v>
      </c>
      <c r="AX592">
        <v>20</v>
      </c>
      <c r="AY592" s="1">
        <v>37073</v>
      </c>
      <c r="AZ592" s="1">
        <v>37073</v>
      </c>
      <c r="BA592" s="1">
        <v>38899</v>
      </c>
      <c r="BB592" s="1">
        <v>44378</v>
      </c>
      <c r="BC592" t="s">
        <v>51</v>
      </c>
      <c r="BE592" t="s">
        <v>54</v>
      </c>
      <c r="BF592">
        <v>2</v>
      </c>
      <c r="BG592">
        <v>0</v>
      </c>
      <c r="BH592" t="s">
        <v>53</v>
      </c>
      <c r="BK592" t="s">
        <v>59</v>
      </c>
      <c r="BL592">
        <v>14000</v>
      </c>
      <c r="BM592" s="1">
        <v>42917</v>
      </c>
      <c r="BN592" s="1">
        <v>42917</v>
      </c>
      <c r="BO592" s="1">
        <v>42917</v>
      </c>
      <c r="BP592" s="1">
        <v>44117</v>
      </c>
      <c r="BQ592" t="s">
        <v>51</v>
      </c>
      <c r="BS592" t="s">
        <v>60</v>
      </c>
      <c r="BT592" t="s">
        <v>54</v>
      </c>
      <c r="BU592" t="s">
        <v>61</v>
      </c>
      <c r="BV592" t="s">
        <v>62</v>
      </c>
      <c r="BX592">
        <v>24</v>
      </c>
      <c r="BY592">
        <v>0</v>
      </c>
      <c r="BZ592">
        <v>0</v>
      </c>
    </row>
    <row r="593" spans="1:78" x14ac:dyDescent="0.2">
      <c r="A593" t="s">
        <v>180</v>
      </c>
      <c r="B593" t="s">
        <v>181</v>
      </c>
      <c r="C593" t="s">
        <v>499</v>
      </c>
      <c r="D593" t="s">
        <v>499</v>
      </c>
      <c r="F593" t="str">
        <f>"250217"</f>
        <v>250217</v>
      </c>
      <c r="G593" t="s">
        <v>49</v>
      </c>
      <c r="H593" t="s">
        <v>503</v>
      </c>
      <c r="K593" t="s">
        <v>51</v>
      </c>
      <c r="L593" t="s">
        <v>52</v>
      </c>
      <c r="M593">
        <v>133638.04999999999</v>
      </c>
      <c r="N593">
        <v>470351.44</v>
      </c>
      <c r="O593" t="s">
        <v>53</v>
      </c>
      <c r="P593" t="s">
        <v>54</v>
      </c>
      <c r="Q593" t="s">
        <v>55</v>
      </c>
      <c r="T593" t="s">
        <v>183</v>
      </c>
      <c r="U593">
        <v>40</v>
      </c>
      <c r="V593" s="1">
        <v>36892</v>
      </c>
      <c r="W593" s="1">
        <v>36892</v>
      </c>
      <c r="X593" s="1">
        <v>36892</v>
      </c>
      <c r="Y593" s="1">
        <v>51502</v>
      </c>
      <c r="Z593" t="s">
        <v>51</v>
      </c>
      <c r="AB593" t="s">
        <v>54</v>
      </c>
      <c r="AC593">
        <v>1</v>
      </c>
      <c r="AE593" t="s">
        <v>84</v>
      </c>
      <c r="AF593">
        <v>20</v>
      </c>
      <c r="AG593" s="1">
        <v>37073</v>
      </c>
      <c r="AH593" s="1">
        <v>37073</v>
      </c>
      <c r="AI593" s="1">
        <v>37073</v>
      </c>
      <c r="AJ593" s="1">
        <v>44378</v>
      </c>
      <c r="AK593" t="s">
        <v>51</v>
      </c>
      <c r="AN593">
        <v>0</v>
      </c>
      <c r="AO593" t="s">
        <v>54</v>
      </c>
      <c r="AP593" t="s">
        <v>53</v>
      </c>
      <c r="AQ593">
        <v>0</v>
      </c>
      <c r="AR593" t="s">
        <v>53</v>
      </c>
      <c r="AS593">
        <v>0</v>
      </c>
      <c r="AT593">
        <v>0</v>
      </c>
      <c r="AW593" t="s">
        <v>58</v>
      </c>
      <c r="AX593">
        <v>20</v>
      </c>
      <c r="AY593" s="1">
        <v>37073</v>
      </c>
      <c r="AZ593" s="1">
        <v>37073</v>
      </c>
      <c r="BA593" s="1">
        <v>37073</v>
      </c>
      <c r="BB593" s="1">
        <v>44378</v>
      </c>
      <c r="BC593" t="s">
        <v>51</v>
      </c>
      <c r="BE593" t="s">
        <v>54</v>
      </c>
      <c r="BF593">
        <v>2</v>
      </c>
      <c r="BG593">
        <v>0</v>
      </c>
      <c r="BH593" t="s">
        <v>53</v>
      </c>
      <c r="BK593" t="s">
        <v>59</v>
      </c>
      <c r="BL593">
        <v>14000</v>
      </c>
      <c r="BM593" s="1">
        <v>42917</v>
      </c>
      <c r="BN593" s="1">
        <v>42917</v>
      </c>
      <c r="BO593" s="1">
        <v>42917</v>
      </c>
      <c r="BP593" s="1">
        <v>44117</v>
      </c>
      <c r="BQ593" t="s">
        <v>51</v>
      </c>
      <c r="BS593" t="s">
        <v>60</v>
      </c>
      <c r="BT593" t="s">
        <v>54</v>
      </c>
      <c r="BU593" t="s">
        <v>61</v>
      </c>
      <c r="BV593" t="s">
        <v>62</v>
      </c>
      <c r="BX593">
        <v>24</v>
      </c>
      <c r="BY593">
        <v>0</v>
      </c>
      <c r="BZ593">
        <v>0</v>
      </c>
    </row>
    <row r="594" spans="1:78" x14ac:dyDescent="0.2">
      <c r="A594" t="s">
        <v>180</v>
      </c>
      <c r="B594" t="s">
        <v>181</v>
      </c>
      <c r="C594" t="s">
        <v>499</v>
      </c>
      <c r="D594" t="s">
        <v>499</v>
      </c>
      <c r="F594" t="str">
        <f>"250218"</f>
        <v>250218</v>
      </c>
      <c r="G594" t="s">
        <v>49</v>
      </c>
      <c r="K594" t="s">
        <v>51</v>
      </c>
      <c r="L594" t="s">
        <v>52</v>
      </c>
      <c r="M594">
        <v>133664.07999999999</v>
      </c>
      <c r="N594">
        <v>470373.94</v>
      </c>
      <c r="O594" t="s">
        <v>53</v>
      </c>
      <c r="P594" t="s">
        <v>54</v>
      </c>
      <c r="Q594" t="s">
        <v>55</v>
      </c>
      <c r="T594" t="s">
        <v>183</v>
      </c>
      <c r="U594">
        <v>40</v>
      </c>
      <c r="V594" s="1">
        <v>36892</v>
      </c>
      <c r="W594" s="1">
        <v>36892</v>
      </c>
      <c r="X594" s="1">
        <v>36892</v>
      </c>
      <c r="Y594" s="1">
        <v>51502</v>
      </c>
      <c r="Z594" t="s">
        <v>51</v>
      </c>
      <c r="AB594" t="s">
        <v>54</v>
      </c>
      <c r="AC594">
        <v>1</v>
      </c>
      <c r="AE594" t="s">
        <v>84</v>
      </c>
      <c r="AF594">
        <v>20</v>
      </c>
      <c r="AG594" s="1">
        <v>37073</v>
      </c>
      <c r="AH594" s="1">
        <v>37073</v>
      </c>
      <c r="AI594" s="1">
        <v>37073</v>
      </c>
      <c r="AJ594" s="1">
        <v>44378</v>
      </c>
      <c r="AK594" t="s">
        <v>51</v>
      </c>
      <c r="AN594">
        <v>0</v>
      </c>
      <c r="AO594" t="s">
        <v>54</v>
      </c>
      <c r="AP594" t="s">
        <v>53</v>
      </c>
      <c r="AQ594">
        <v>0</v>
      </c>
      <c r="AR594" t="s">
        <v>53</v>
      </c>
      <c r="AS594">
        <v>0</v>
      </c>
      <c r="AT594">
        <v>0</v>
      </c>
      <c r="AW594" t="s">
        <v>58</v>
      </c>
      <c r="AX594">
        <v>20</v>
      </c>
      <c r="AY594" s="1">
        <v>37073</v>
      </c>
      <c r="AZ594" s="1">
        <v>37073</v>
      </c>
      <c r="BA594" s="1">
        <v>37073</v>
      </c>
      <c r="BB594" s="1">
        <v>44378</v>
      </c>
      <c r="BC594" t="s">
        <v>51</v>
      </c>
      <c r="BE594" t="s">
        <v>54</v>
      </c>
      <c r="BF594">
        <v>2</v>
      </c>
      <c r="BG594">
        <v>0</v>
      </c>
      <c r="BH594" t="s">
        <v>53</v>
      </c>
      <c r="BK594" t="s">
        <v>59</v>
      </c>
      <c r="BL594">
        <v>14000</v>
      </c>
      <c r="BM594" s="1">
        <v>43144</v>
      </c>
      <c r="BN594" s="1">
        <v>43144</v>
      </c>
      <c r="BO594" s="1">
        <v>43144</v>
      </c>
      <c r="BP594" s="1">
        <v>44333</v>
      </c>
      <c r="BQ594" t="s">
        <v>51</v>
      </c>
      <c r="BS594" t="s">
        <v>60</v>
      </c>
      <c r="BT594" t="s">
        <v>54</v>
      </c>
      <c r="BU594" t="s">
        <v>61</v>
      </c>
      <c r="BV594" t="s">
        <v>62</v>
      </c>
      <c r="BX594">
        <v>24</v>
      </c>
      <c r="BY594">
        <v>0</v>
      </c>
      <c r="BZ594">
        <v>0</v>
      </c>
    </row>
    <row r="595" spans="1:78" x14ac:dyDescent="0.2">
      <c r="A595" t="s">
        <v>180</v>
      </c>
      <c r="B595" t="s">
        <v>181</v>
      </c>
      <c r="C595" t="s">
        <v>499</v>
      </c>
      <c r="D595" t="s">
        <v>499</v>
      </c>
      <c r="F595" t="str">
        <f>"250219"</f>
        <v>250219</v>
      </c>
      <c r="G595" t="s">
        <v>49</v>
      </c>
      <c r="H595" t="s">
        <v>502</v>
      </c>
      <c r="K595" t="s">
        <v>51</v>
      </c>
      <c r="L595" t="s">
        <v>52</v>
      </c>
      <c r="M595">
        <v>133687.84</v>
      </c>
      <c r="N595">
        <v>470395.1</v>
      </c>
      <c r="O595" t="s">
        <v>53</v>
      </c>
      <c r="P595" t="s">
        <v>54</v>
      </c>
      <c r="Q595" t="s">
        <v>55</v>
      </c>
      <c r="T595" t="s">
        <v>183</v>
      </c>
      <c r="U595">
        <v>40</v>
      </c>
      <c r="V595" s="1">
        <v>37073</v>
      </c>
      <c r="W595" s="1">
        <v>37073</v>
      </c>
      <c r="X595" s="1">
        <v>37073</v>
      </c>
      <c r="Y595" s="1">
        <v>51683</v>
      </c>
      <c r="Z595" t="s">
        <v>51</v>
      </c>
      <c r="AB595" t="s">
        <v>54</v>
      </c>
      <c r="AC595">
        <v>1</v>
      </c>
      <c r="AE595" t="s">
        <v>84</v>
      </c>
      <c r="AF595">
        <v>20</v>
      </c>
      <c r="AG595" s="1">
        <v>37073</v>
      </c>
      <c r="AH595" s="1">
        <v>37073</v>
      </c>
      <c r="AI595" s="1">
        <v>37073</v>
      </c>
      <c r="AJ595" s="1">
        <v>44378</v>
      </c>
      <c r="AK595" t="s">
        <v>51</v>
      </c>
      <c r="AN595">
        <v>0</v>
      </c>
      <c r="AO595" t="s">
        <v>54</v>
      </c>
      <c r="AP595" t="s">
        <v>53</v>
      </c>
      <c r="AQ595">
        <v>0</v>
      </c>
      <c r="AR595" t="s">
        <v>53</v>
      </c>
      <c r="AS595">
        <v>0</v>
      </c>
      <c r="AT595">
        <v>0</v>
      </c>
      <c r="AW595" t="s">
        <v>58</v>
      </c>
      <c r="AX595">
        <v>20</v>
      </c>
      <c r="AY595" s="1">
        <v>37073</v>
      </c>
      <c r="AZ595" s="1">
        <v>37073</v>
      </c>
      <c r="BA595" s="1">
        <v>37073</v>
      </c>
      <c r="BB595" s="1">
        <v>44378</v>
      </c>
      <c r="BC595" t="s">
        <v>51</v>
      </c>
      <c r="BE595" t="s">
        <v>54</v>
      </c>
      <c r="BF595">
        <v>2</v>
      </c>
      <c r="BG595">
        <v>0</v>
      </c>
      <c r="BH595" t="s">
        <v>53</v>
      </c>
      <c r="BK595" t="s">
        <v>59</v>
      </c>
      <c r="BL595">
        <v>14000</v>
      </c>
      <c r="BM595" s="1">
        <v>42917</v>
      </c>
      <c r="BN595" s="1">
        <v>42917</v>
      </c>
      <c r="BO595" s="1">
        <v>42917</v>
      </c>
      <c r="BP595" s="1">
        <v>44117</v>
      </c>
      <c r="BQ595" t="s">
        <v>51</v>
      </c>
      <c r="BS595" t="s">
        <v>60</v>
      </c>
      <c r="BT595" t="s">
        <v>54</v>
      </c>
      <c r="BU595" t="s">
        <v>61</v>
      </c>
      <c r="BV595" t="s">
        <v>62</v>
      </c>
      <c r="BX595">
        <v>24</v>
      </c>
      <c r="BY595">
        <v>0</v>
      </c>
      <c r="BZ595">
        <v>0</v>
      </c>
    </row>
    <row r="596" spans="1:78" x14ac:dyDescent="0.2">
      <c r="A596" t="s">
        <v>180</v>
      </c>
      <c r="B596" t="s">
        <v>181</v>
      </c>
      <c r="C596" t="s">
        <v>499</v>
      </c>
      <c r="D596" t="s">
        <v>499</v>
      </c>
      <c r="F596" t="str">
        <f>"250220"</f>
        <v>250220</v>
      </c>
      <c r="G596" t="s">
        <v>49</v>
      </c>
      <c r="H596" t="s">
        <v>468</v>
      </c>
      <c r="K596" t="s">
        <v>51</v>
      </c>
      <c r="L596" t="s">
        <v>52</v>
      </c>
      <c r="M596">
        <v>133718.04999999999</v>
      </c>
      <c r="N596">
        <v>470422.83</v>
      </c>
      <c r="O596" t="s">
        <v>53</v>
      </c>
      <c r="P596" t="s">
        <v>54</v>
      </c>
      <c r="Q596" t="s">
        <v>55</v>
      </c>
      <c r="T596" t="s">
        <v>183</v>
      </c>
      <c r="U596">
        <v>40</v>
      </c>
      <c r="V596" s="1">
        <v>36892</v>
      </c>
      <c r="W596" s="1">
        <v>36892</v>
      </c>
      <c r="X596" s="1">
        <v>36892</v>
      </c>
      <c r="Y596" s="1">
        <v>51502</v>
      </c>
      <c r="Z596" t="s">
        <v>51</v>
      </c>
      <c r="AB596" t="s">
        <v>54</v>
      </c>
      <c r="AC596">
        <v>1</v>
      </c>
      <c r="AE596" t="s">
        <v>84</v>
      </c>
      <c r="AF596">
        <v>20</v>
      </c>
      <c r="AG596" s="1">
        <v>37073</v>
      </c>
      <c r="AH596" s="1">
        <v>37073</v>
      </c>
      <c r="AI596" s="1">
        <v>37073</v>
      </c>
      <c r="AJ596" s="1">
        <v>44378</v>
      </c>
      <c r="AK596" t="s">
        <v>51</v>
      </c>
      <c r="AN596">
        <v>0</v>
      </c>
      <c r="AO596" t="s">
        <v>54</v>
      </c>
      <c r="AP596" t="s">
        <v>53</v>
      </c>
      <c r="AQ596">
        <v>0</v>
      </c>
      <c r="AR596" t="s">
        <v>53</v>
      </c>
      <c r="AS596">
        <v>0</v>
      </c>
      <c r="AT596">
        <v>0</v>
      </c>
      <c r="AW596" t="s">
        <v>58</v>
      </c>
      <c r="AX596">
        <v>20</v>
      </c>
      <c r="AY596" s="1">
        <v>37073</v>
      </c>
      <c r="AZ596" s="1">
        <v>37073</v>
      </c>
      <c r="BA596" s="1">
        <v>37073</v>
      </c>
      <c r="BB596" s="1">
        <v>44378</v>
      </c>
      <c r="BC596" t="s">
        <v>51</v>
      </c>
      <c r="BE596" t="s">
        <v>54</v>
      </c>
      <c r="BF596">
        <v>2</v>
      </c>
      <c r="BG596">
        <v>0</v>
      </c>
      <c r="BH596" t="s">
        <v>53</v>
      </c>
      <c r="BK596" t="s">
        <v>59</v>
      </c>
      <c r="BL596">
        <v>14000</v>
      </c>
      <c r="BM596" s="1">
        <v>42917</v>
      </c>
      <c r="BN596" s="1">
        <v>42917</v>
      </c>
      <c r="BO596" s="1">
        <v>42917</v>
      </c>
      <c r="BP596" s="1">
        <v>44117</v>
      </c>
      <c r="BQ596" t="s">
        <v>51</v>
      </c>
      <c r="BS596" t="s">
        <v>60</v>
      </c>
      <c r="BT596" t="s">
        <v>54</v>
      </c>
      <c r="BU596" t="s">
        <v>61</v>
      </c>
      <c r="BV596" t="s">
        <v>62</v>
      </c>
      <c r="BX596">
        <v>24</v>
      </c>
      <c r="BY596">
        <v>0</v>
      </c>
      <c r="BZ596">
        <v>0</v>
      </c>
    </row>
    <row r="597" spans="1:78" x14ac:dyDescent="0.2">
      <c r="A597" t="s">
        <v>180</v>
      </c>
      <c r="B597" t="s">
        <v>181</v>
      </c>
      <c r="C597" t="s">
        <v>499</v>
      </c>
      <c r="D597" t="s">
        <v>499</v>
      </c>
      <c r="F597" t="str">
        <f>"250221"</f>
        <v>250221</v>
      </c>
      <c r="G597" t="s">
        <v>49</v>
      </c>
      <c r="H597" t="s">
        <v>123</v>
      </c>
      <c r="K597" t="s">
        <v>51</v>
      </c>
      <c r="L597" t="s">
        <v>52</v>
      </c>
      <c r="M597">
        <v>133746.01</v>
      </c>
      <c r="N597">
        <v>470446.13</v>
      </c>
      <c r="O597" t="s">
        <v>53</v>
      </c>
      <c r="P597" t="s">
        <v>54</v>
      </c>
      <c r="Q597" t="s">
        <v>55</v>
      </c>
      <c r="T597" t="s">
        <v>183</v>
      </c>
      <c r="U597">
        <v>40</v>
      </c>
      <c r="V597" s="1">
        <v>37073</v>
      </c>
      <c r="W597" s="1">
        <v>37073</v>
      </c>
      <c r="X597" s="1">
        <v>37073</v>
      </c>
      <c r="Y597" s="1">
        <v>51683</v>
      </c>
      <c r="Z597" t="s">
        <v>51</v>
      </c>
      <c r="AB597" t="s">
        <v>54</v>
      </c>
      <c r="AC597">
        <v>1</v>
      </c>
      <c r="AE597" t="s">
        <v>84</v>
      </c>
      <c r="AF597">
        <v>20</v>
      </c>
      <c r="AG597" s="1">
        <v>37073</v>
      </c>
      <c r="AH597" s="1">
        <v>37073</v>
      </c>
      <c r="AI597" s="1">
        <v>37073</v>
      </c>
      <c r="AJ597" s="1">
        <v>44378</v>
      </c>
      <c r="AK597" t="s">
        <v>51</v>
      </c>
      <c r="AN597">
        <v>0</v>
      </c>
      <c r="AO597" t="s">
        <v>54</v>
      </c>
      <c r="AP597" t="s">
        <v>53</v>
      </c>
      <c r="AQ597">
        <v>0</v>
      </c>
      <c r="AR597" t="s">
        <v>53</v>
      </c>
      <c r="AS597">
        <v>0</v>
      </c>
      <c r="AT597">
        <v>0</v>
      </c>
      <c r="AW597" t="s">
        <v>58</v>
      </c>
      <c r="AX597">
        <v>20</v>
      </c>
      <c r="AY597" s="1">
        <v>37073</v>
      </c>
      <c r="AZ597" s="1">
        <v>37073</v>
      </c>
      <c r="BA597" s="1">
        <v>37073</v>
      </c>
      <c r="BB597" s="1">
        <v>44378</v>
      </c>
      <c r="BC597" t="s">
        <v>51</v>
      </c>
      <c r="BE597" t="s">
        <v>54</v>
      </c>
      <c r="BF597">
        <v>2</v>
      </c>
      <c r="BG597">
        <v>0</v>
      </c>
      <c r="BH597" t="s">
        <v>53</v>
      </c>
      <c r="BK597" t="s">
        <v>59</v>
      </c>
      <c r="BL597">
        <v>14000</v>
      </c>
      <c r="BM597" s="1">
        <v>42917</v>
      </c>
      <c r="BN597" s="1">
        <v>42917</v>
      </c>
      <c r="BO597" s="1">
        <v>42917</v>
      </c>
      <c r="BP597" s="1">
        <v>44117</v>
      </c>
      <c r="BQ597" t="s">
        <v>51</v>
      </c>
      <c r="BS597" t="s">
        <v>60</v>
      </c>
      <c r="BT597" t="s">
        <v>54</v>
      </c>
      <c r="BU597" t="s">
        <v>61</v>
      </c>
      <c r="BV597" t="s">
        <v>62</v>
      </c>
      <c r="BX597">
        <v>24</v>
      </c>
      <c r="BY597">
        <v>0</v>
      </c>
      <c r="BZ597">
        <v>0</v>
      </c>
    </row>
    <row r="598" spans="1:78" x14ac:dyDescent="0.2">
      <c r="A598" t="s">
        <v>180</v>
      </c>
      <c r="B598" t="s">
        <v>181</v>
      </c>
      <c r="C598" t="s">
        <v>499</v>
      </c>
      <c r="D598" t="s">
        <v>499</v>
      </c>
      <c r="F598" t="str">
        <f>"250222"</f>
        <v>250222</v>
      </c>
      <c r="G598" t="s">
        <v>49</v>
      </c>
      <c r="H598" t="s">
        <v>504</v>
      </c>
      <c r="K598" t="s">
        <v>51</v>
      </c>
      <c r="L598" t="s">
        <v>52</v>
      </c>
      <c r="M598">
        <v>133774.48000000001</v>
      </c>
      <c r="N598">
        <v>470469.91</v>
      </c>
      <c r="O598" t="s">
        <v>53</v>
      </c>
      <c r="P598" t="s">
        <v>54</v>
      </c>
      <c r="Q598" t="s">
        <v>55</v>
      </c>
      <c r="T598" t="s">
        <v>183</v>
      </c>
      <c r="U598">
        <v>40</v>
      </c>
      <c r="V598" s="1">
        <v>36892</v>
      </c>
      <c r="W598" s="1">
        <v>36892</v>
      </c>
      <c r="X598" s="1">
        <v>36892</v>
      </c>
      <c r="Y598" s="1">
        <v>51502</v>
      </c>
      <c r="Z598" t="s">
        <v>51</v>
      </c>
      <c r="AB598" t="s">
        <v>54</v>
      </c>
      <c r="AC598">
        <v>1</v>
      </c>
      <c r="AE598" t="s">
        <v>84</v>
      </c>
      <c r="AF598">
        <v>20</v>
      </c>
      <c r="AG598" s="1">
        <v>37073</v>
      </c>
      <c r="AH598" s="1">
        <v>37073</v>
      </c>
      <c r="AI598" s="1">
        <v>37073</v>
      </c>
      <c r="AJ598" s="1">
        <v>44378</v>
      </c>
      <c r="AK598" t="s">
        <v>51</v>
      </c>
      <c r="AN598">
        <v>0</v>
      </c>
      <c r="AO598" t="s">
        <v>54</v>
      </c>
      <c r="AP598" t="s">
        <v>53</v>
      </c>
      <c r="AQ598">
        <v>0</v>
      </c>
      <c r="AR598" t="s">
        <v>53</v>
      </c>
      <c r="AS598">
        <v>0</v>
      </c>
      <c r="AT598">
        <v>0</v>
      </c>
      <c r="AW598" t="s">
        <v>58</v>
      </c>
      <c r="AX598">
        <v>20</v>
      </c>
      <c r="AY598" s="1">
        <v>43360</v>
      </c>
      <c r="AZ598" s="1">
        <v>43360</v>
      </c>
      <c r="BA598" s="1">
        <v>43360</v>
      </c>
      <c r="BB598" s="1">
        <v>50665</v>
      </c>
      <c r="BC598" t="s">
        <v>51</v>
      </c>
      <c r="BE598" t="s">
        <v>54</v>
      </c>
      <c r="BF598">
        <v>2</v>
      </c>
      <c r="BG598">
        <v>0</v>
      </c>
      <c r="BH598" t="s">
        <v>53</v>
      </c>
      <c r="BK598" t="s">
        <v>59</v>
      </c>
      <c r="BL598">
        <v>14000</v>
      </c>
      <c r="BM598" s="1">
        <v>42917</v>
      </c>
      <c r="BN598" s="1">
        <v>42917</v>
      </c>
      <c r="BO598" s="1">
        <v>43360</v>
      </c>
      <c r="BP598" s="1">
        <v>44117</v>
      </c>
      <c r="BQ598" t="s">
        <v>51</v>
      </c>
      <c r="BS598" t="s">
        <v>60</v>
      </c>
      <c r="BT598" t="s">
        <v>54</v>
      </c>
      <c r="BU598" t="s">
        <v>61</v>
      </c>
      <c r="BV598" t="s">
        <v>62</v>
      </c>
      <c r="BX598">
        <v>24</v>
      </c>
      <c r="BY598">
        <v>0</v>
      </c>
      <c r="BZ598">
        <v>0</v>
      </c>
    </row>
    <row r="599" spans="1:78" x14ac:dyDescent="0.2">
      <c r="A599" t="s">
        <v>180</v>
      </c>
      <c r="B599" t="s">
        <v>181</v>
      </c>
      <c r="C599" t="s">
        <v>499</v>
      </c>
      <c r="D599" t="s">
        <v>499</v>
      </c>
      <c r="F599" t="str">
        <f>"250223"</f>
        <v>250223</v>
      </c>
      <c r="G599" t="s">
        <v>49</v>
      </c>
      <c r="H599" t="s">
        <v>505</v>
      </c>
      <c r="K599" t="s">
        <v>51</v>
      </c>
      <c r="L599" t="s">
        <v>52</v>
      </c>
      <c r="M599">
        <v>133801.09</v>
      </c>
      <c r="N599">
        <v>470492.91</v>
      </c>
      <c r="O599" t="s">
        <v>53</v>
      </c>
      <c r="P599" t="s">
        <v>54</v>
      </c>
      <c r="Q599" t="s">
        <v>55</v>
      </c>
      <c r="T599" t="s">
        <v>183</v>
      </c>
      <c r="U599">
        <v>40</v>
      </c>
      <c r="V599" s="1">
        <v>37073</v>
      </c>
      <c r="W599" s="1">
        <v>37073</v>
      </c>
      <c r="X599" s="1">
        <v>37073</v>
      </c>
      <c r="Y599" s="1">
        <v>51683</v>
      </c>
      <c r="Z599" t="s">
        <v>51</v>
      </c>
      <c r="AB599" t="s">
        <v>54</v>
      </c>
      <c r="AC599">
        <v>1</v>
      </c>
      <c r="AE599" t="s">
        <v>84</v>
      </c>
      <c r="AF599">
        <v>20</v>
      </c>
      <c r="AG599" s="1">
        <v>37073</v>
      </c>
      <c r="AH599" s="1">
        <v>37073</v>
      </c>
      <c r="AI599" s="1">
        <v>37073</v>
      </c>
      <c r="AJ599" s="1">
        <v>44378</v>
      </c>
      <c r="AK599" t="s">
        <v>51</v>
      </c>
      <c r="AN599">
        <v>0</v>
      </c>
      <c r="AO599" t="s">
        <v>54</v>
      </c>
      <c r="AP599" t="s">
        <v>53</v>
      </c>
      <c r="AQ599">
        <v>0</v>
      </c>
      <c r="AR599" t="s">
        <v>53</v>
      </c>
      <c r="AS599">
        <v>0</v>
      </c>
      <c r="AT599">
        <v>0</v>
      </c>
      <c r="AW599" t="s">
        <v>58</v>
      </c>
      <c r="AX599">
        <v>20</v>
      </c>
      <c r="AY599" s="1">
        <v>43809</v>
      </c>
      <c r="AZ599" s="1">
        <v>43809</v>
      </c>
      <c r="BA599" s="1">
        <v>43809</v>
      </c>
      <c r="BB599" s="1">
        <v>51114</v>
      </c>
      <c r="BC599" t="s">
        <v>51</v>
      </c>
      <c r="BE599" t="s">
        <v>54</v>
      </c>
      <c r="BF599">
        <v>2</v>
      </c>
      <c r="BG599">
        <v>0</v>
      </c>
      <c r="BH599" t="s">
        <v>53</v>
      </c>
      <c r="BK599" t="s">
        <v>59</v>
      </c>
      <c r="BL599">
        <v>14000</v>
      </c>
      <c r="BM599" s="1">
        <v>43809</v>
      </c>
      <c r="BN599" s="1">
        <v>43809</v>
      </c>
      <c r="BO599" s="1">
        <v>43809</v>
      </c>
      <c r="BP599" s="1">
        <v>44970</v>
      </c>
      <c r="BQ599" t="s">
        <v>51</v>
      </c>
      <c r="BS599" t="s">
        <v>60</v>
      </c>
      <c r="BT599" t="s">
        <v>54</v>
      </c>
      <c r="BU599" t="s">
        <v>61</v>
      </c>
      <c r="BV599" t="s">
        <v>62</v>
      </c>
      <c r="BX599">
        <v>24</v>
      </c>
      <c r="BY599">
        <v>0</v>
      </c>
      <c r="BZ599">
        <v>0</v>
      </c>
    </row>
    <row r="600" spans="1:78" x14ac:dyDescent="0.2">
      <c r="A600" t="s">
        <v>180</v>
      </c>
      <c r="B600" t="s">
        <v>181</v>
      </c>
      <c r="C600" t="s">
        <v>499</v>
      </c>
      <c r="D600" t="s">
        <v>499</v>
      </c>
      <c r="F600" t="str">
        <f>"250224"</f>
        <v>250224</v>
      </c>
      <c r="G600" t="s">
        <v>49</v>
      </c>
      <c r="H600" t="s">
        <v>505</v>
      </c>
      <c r="K600" t="s">
        <v>51</v>
      </c>
      <c r="L600" t="s">
        <v>52</v>
      </c>
      <c r="M600">
        <v>133826.73000000001</v>
      </c>
      <c r="N600">
        <v>470514.87</v>
      </c>
      <c r="O600" t="s">
        <v>53</v>
      </c>
      <c r="P600" t="s">
        <v>54</v>
      </c>
      <c r="Q600" t="s">
        <v>55</v>
      </c>
      <c r="T600" t="s">
        <v>183</v>
      </c>
      <c r="U600">
        <v>40</v>
      </c>
      <c r="V600" s="1">
        <v>36892</v>
      </c>
      <c r="W600" s="1">
        <v>36892</v>
      </c>
      <c r="X600" s="1">
        <v>36892</v>
      </c>
      <c r="Y600" s="1">
        <v>51502</v>
      </c>
      <c r="Z600" t="s">
        <v>51</v>
      </c>
      <c r="AB600" t="s">
        <v>54</v>
      </c>
      <c r="AC600">
        <v>1</v>
      </c>
      <c r="AE600" t="s">
        <v>84</v>
      </c>
      <c r="AF600">
        <v>20</v>
      </c>
      <c r="AG600" s="1">
        <v>37073</v>
      </c>
      <c r="AH600" s="1">
        <v>37073</v>
      </c>
      <c r="AI600" s="1">
        <v>37073</v>
      </c>
      <c r="AJ600" s="1">
        <v>44378</v>
      </c>
      <c r="AK600" t="s">
        <v>51</v>
      </c>
      <c r="AN600">
        <v>0</v>
      </c>
      <c r="AO600" t="s">
        <v>54</v>
      </c>
      <c r="AP600" t="s">
        <v>53</v>
      </c>
      <c r="AQ600">
        <v>0</v>
      </c>
      <c r="AR600" t="s">
        <v>53</v>
      </c>
      <c r="AS600">
        <v>0</v>
      </c>
      <c r="AT600">
        <v>0</v>
      </c>
      <c r="AW600" t="s">
        <v>58</v>
      </c>
      <c r="AX600">
        <v>20</v>
      </c>
      <c r="AY600" s="1">
        <v>43444</v>
      </c>
      <c r="AZ600" s="1">
        <v>43444</v>
      </c>
      <c r="BA600" s="1">
        <v>43444</v>
      </c>
      <c r="BB600" s="1">
        <v>50749</v>
      </c>
      <c r="BC600" t="s">
        <v>51</v>
      </c>
      <c r="BE600" t="s">
        <v>54</v>
      </c>
      <c r="BF600">
        <v>2</v>
      </c>
      <c r="BG600">
        <v>0</v>
      </c>
      <c r="BH600" t="s">
        <v>53</v>
      </c>
      <c r="BK600" t="s">
        <v>59</v>
      </c>
      <c r="BL600">
        <v>14000</v>
      </c>
      <c r="BM600" s="1">
        <v>42917</v>
      </c>
      <c r="BN600" s="1">
        <v>42917</v>
      </c>
      <c r="BO600" s="1">
        <v>43444</v>
      </c>
      <c r="BP600" s="1">
        <v>44117</v>
      </c>
      <c r="BQ600" t="s">
        <v>51</v>
      </c>
      <c r="BS600" t="s">
        <v>60</v>
      </c>
      <c r="BT600" t="s">
        <v>54</v>
      </c>
      <c r="BU600" t="s">
        <v>61</v>
      </c>
      <c r="BV600" t="s">
        <v>62</v>
      </c>
      <c r="BX600">
        <v>24</v>
      </c>
      <c r="BY600">
        <v>0</v>
      </c>
      <c r="BZ600">
        <v>0</v>
      </c>
    </row>
    <row r="601" spans="1:78" x14ac:dyDescent="0.2">
      <c r="A601" t="s">
        <v>180</v>
      </c>
      <c r="B601" t="s">
        <v>181</v>
      </c>
      <c r="C601" t="s">
        <v>499</v>
      </c>
      <c r="D601" t="s">
        <v>499</v>
      </c>
      <c r="F601" t="str">
        <f>"250225"</f>
        <v>250225</v>
      </c>
      <c r="G601" t="s">
        <v>49</v>
      </c>
      <c r="H601" t="s">
        <v>504</v>
      </c>
      <c r="K601" t="s">
        <v>51</v>
      </c>
      <c r="L601" t="s">
        <v>52</v>
      </c>
      <c r="M601">
        <v>133854.14000000001</v>
      </c>
      <c r="N601">
        <v>470538.01</v>
      </c>
      <c r="O601" t="s">
        <v>53</v>
      </c>
      <c r="P601" t="s">
        <v>54</v>
      </c>
      <c r="Q601" t="s">
        <v>55</v>
      </c>
      <c r="T601" t="s">
        <v>183</v>
      </c>
      <c r="U601">
        <v>40</v>
      </c>
      <c r="V601" s="1">
        <v>37073</v>
      </c>
      <c r="W601" s="1">
        <v>37073</v>
      </c>
      <c r="X601" s="1">
        <v>37073</v>
      </c>
      <c r="Y601" s="1">
        <v>51683</v>
      </c>
      <c r="Z601" t="s">
        <v>51</v>
      </c>
      <c r="AB601" t="s">
        <v>54</v>
      </c>
      <c r="AC601">
        <v>1</v>
      </c>
      <c r="AE601" t="s">
        <v>84</v>
      </c>
      <c r="AF601">
        <v>20</v>
      </c>
      <c r="AG601" s="1">
        <v>37073</v>
      </c>
      <c r="AH601" s="1">
        <v>37073</v>
      </c>
      <c r="AI601" s="1">
        <v>37073</v>
      </c>
      <c r="AJ601" s="1">
        <v>44378</v>
      </c>
      <c r="AK601" t="s">
        <v>51</v>
      </c>
      <c r="AN601">
        <v>0</v>
      </c>
      <c r="AO601" t="s">
        <v>54</v>
      </c>
      <c r="AP601" t="s">
        <v>53</v>
      </c>
      <c r="AQ601">
        <v>0</v>
      </c>
      <c r="AR601" t="s">
        <v>53</v>
      </c>
      <c r="AS601">
        <v>0</v>
      </c>
      <c r="AT601">
        <v>0</v>
      </c>
      <c r="AW601" t="s">
        <v>58</v>
      </c>
      <c r="AX601">
        <v>20</v>
      </c>
      <c r="AY601" s="1">
        <v>44536</v>
      </c>
      <c r="AZ601" s="1">
        <v>44536</v>
      </c>
      <c r="BA601" s="1">
        <v>44536</v>
      </c>
      <c r="BB601" s="1">
        <v>51841</v>
      </c>
      <c r="BC601" t="s">
        <v>51</v>
      </c>
      <c r="BE601" t="s">
        <v>54</v>
      </c>
      <c r="BF601">
        <v>2</v>
      </c>
      <c r="BG601">
        <v>0</v>
      </c>
      <c r="BH601" t="s">
        <v>53</v>
      </c>
      <c r="BK601" t="s">
        <v>59</v>
      </c>
      <c r="BL601">
        <v>14000</v>
      </c>
      <c r="BM601" s="1">
        <v>44536</v>
      </c>
      <c r="BN601" s="1">
        <v>44536</v>
      </c>
      <c r="BO601" s="1">
        <v>44536</v>
      </c>
      <c r="BP601" s="1">
        <v>45695</v>
      </c>
      <c r="BQ601" t="s">
        <v>51</v>
      </c>
      <c r="BS601" t="s">
        <v>60</v>
      </c>
      <c r="BT601" t="s">
        <v>54</v>
      </c>
      <c r="BU601" t="s">
        <v>61</v>
      </c>
      <c r="BV601" t="s">
        <v>62</v>
      </c>
      <c r="BX601">
        <v>24</v>
      </c>
      <c r="BY601">
        <v>0</v>
      </c>
      <c r="BZ601">
        <v>0</v>
      </c>
    </row>
    <row r="602" spans="1:78" x14ac:dyDescent="0.2">
      <c r="A602" t="s">
        <v>180</v>
      </c>
      <c r="B602" t="s">
        <v>181</v>
      </c>
      <c r="C602" t="s">
        <v>499</v>
      </c>
      <c r="D602" t="s">
        <v>499</v>
      </c>
      <c r="F602" t="str">
        <f>"250226"</f>
        <v>250226</v>
      </c>
      <c r="G602" t="s">
        <v>49</v>
      </c>
      <c r="H602" t="s">
        <v>506</v>
      </c>
      <c r="K602" t="s">
        <v>51</v>
      </c>
      <c r="L602" t="s">
        <v>52</v>
      </c>
      <c r="M602">
        <v>133878.72</v>
      </c>
      <c r="N602">
        <v>470562.44</v>
      </c>
      <c r="O602" t="s">
        <v>53</v>
      </c>
      <c r="P602" t="s">
        <v>54</v>
      </c>
      <c r="Q602" t="s">
        <v>55</v>
      </c>
      <c r="T602" t="s">
        <v>183</v>
      </c>
      <c r="U602">
        <v>40</v>
      </c>
      <c r="V602" s="1">
        <v>36892</v>
      </c>
      <c r="W602" s="1">
        <v>36892</v>
      </c>
      <c r="X602" s="1">
        <v>36892</v>
      </c>
      <c r="Y602" s="1">
        <v>51502</v>
      </c>
      <c r="Z602" t="s">
        <v>51</v>
      </c>
      <c r="AB602" t="s">
        <v>54</v>
      </c>
      <c r="AC602">
        <v>1</v>
      </c>
      <c r="AE602" t="s">
        <v>84</v>
      </c>
      <c r="AF602">
        <v>20</v>
      </c>
      <c r="AG602" s="1">
        <v>37073</v>
      </c>
      <c r="AH602" s="1">
        <v>37073</v>
      </c>
      <c r="AI602" s="1">
        <v>37073</v>
      </c>
      <c r="AJ602" s="1">
        <v>44378</v>
      </c>
      <c r="AK602" t="s">
        <v>51</v>
      </c>
      <c r="AN602">
        <v>0</v>
      </c>
      <c r="AO602" t="s">
        <v>54</v>
      </c>
      <c r="AP602" t="s">
        <v>53</v>
      </c>
      <c r="AQ602">
        <v>0</v>
      </c>
      <c r="AR602" t="s">
        <v>53</v>
      </c>
      <c r="AS602">
        <v>0</v>
      </c>
      <c r="AT602">
        <v>0</v>
      </c>
      <c r="AW602" t="s">
        <v>58</v>
      </c>
      <c r="AX602">
        <v>20</v>
      </c>
      <c r="AY602" s="1">
        <v>43500</v>
      </c>
      <c r="AZ602" s="1">
        <v>43500</v>
      </c>
      <c r="BA602" s="1">
        <v>43500</v>
      </c>
      <c r="BB602" s="1">
        <v>50805</v>
      </c>
      <c r="BC602" t="s">
        <v>51</v>
      </c>
      <c r="BE602" t="s">
        <v>54</v>
      </c>
      <c r="BF602">
        <v>2</v>
      </c>
      <c r="BG602">
        <v>0</v>
      </c>
      <c r="BH602" t="s">
        <v>53</v>
      </c>
      <c r="BK602" t="s">
        <v>59</v>
      </c>
      <c r="BL602">
        <v>14000</v>
      </c>
      <c r="BM602" s="1">
        <v>43500</v>
      </c>
      <c r="BN602" s="1">
        <v>43500</v>
      </c>
      <c r="BO602" s="1">
        <v>43500</v>
      </c>
      <c r="BP602" s="1">
        <v>44682</v>
      </c>
      <c r="BQ602" t="s">
        <v>51</v>
      </c>
      <c r="BS602" t="s">
        <v>60</v>
      </c>
      <c r="BT602" t="s">
        <v>54</v>
      </c>
      <c r="BU602" t="s">
        <v>61</v>
      </c>
      <c r="BV602" t="s">
        <v>62</v>
      </c>
      <c r="BX602">
        <v>24</v>
      </c>
      <c r="BY602">
        <v>0</v>
      </c>
      <c r="BZ602">
        <v>0</v>
      </c>
    </row>
    <row r="603" spans="1:78" x14ac:dyDescent="0.2">
      <c r="A603" t="s">
        <v>180</v>
      </c>
      <c r="B603" t="s">
        <v>181</v>
      </c>
      <c r="C603" t="s">
        <v>499</v>
      </c>
      <c r="D603" t="s">
        <v>499</v>
      </c>
      <c r="F603" t="str">
        <f>"250227"</f>
        <v>250227</v>
      </c>
      <c r="G603" t="s">
        <v>49</v>
      </c>
      <c r="H603" t="s">
        <v>276</v>
      </c>
      <c r="K603" t="s">
        <v>51</v>
      </c>
      <c r="L603" t="s">
        <v>52</v>
      </c>
      <c r="M603">
        <v>133903.41</v>
      </c>
      <c r="N603">
        <v>470583.51</v>
      </c>
      <c r="O603" t="s">
        <v>53</v>
      </c>
      <c r="P603" t="s">
        <v>54</v>
      </c>
      <c r="Q603" t="s">
        <v>55</v>
      </c>
      <c r="T603" t="s">
        <v>183</v>
      </c>
      <c r="U603">
        <v>40</v>
      </c>
      <c r="V603" s="1">
        <v>37073</v>
      </c>
      <c r="W603" s="1">
        <v>37073</v>
      </c>
      <c r="X603" s="1">
        <v>37073</v>
      </c>
      <c r="Y603" s="1">
        <v>51683</v>
      </c>
      <c r="Z603" t="s">
        <v>51</v>
      </c>
      <c r="AB603" t="s">
        <v>54</v>
      </c>
      <c r="AC603">
        <v>1</v>
      </c>
      <c r="AE603" t="s">
        <v>84</v>
      </c>
      <c r="AF603">
        <v>20</v>
      </c>
      <c r="AG603" s="1">
        <v>37073</v>
      </c>
      <c r="AH603" s="1">
        <v>37073</v>
      </c>
      <c r="AI603" s="1">
        <v>37073</v>
      </c>
      <c r="AJ603" s="1">
        <v>44378</v>
      </c>
      <c r="AK603" t="s">
        <v>51</v>
      </c>
      <c r="AN603">
        <v>0</v>
      </c>
      <c r="AO603" t="s">
        <v>54</v>
      </c>
      <c r="AP603" t="s">
        <v>53</v>
      </c>
      <c r="AQ603">
        <v>0</v>
      </c>
      <c r="AR603" t="s">
        <v>53</v>
      </c>
      <c r="AS603">
        <v>0</v>
      </c>
      <c r="AT603">
        <v>0</v>
      </c>
      <c r="AW603" t="s">
        <v>58</v>
      </c>
      <c r="AX603">
        <v>20</v>
      </c>
      <c r="AY603" s="1">
        <v>44487</v>
      </c>
      <c r="AZ603" s="1">
        <v>44487</v>
      </c>
      <c r="BA603" s="1">
        <v>44487</v>
      </c>
      <c r="BB603" s="1">
        <v>51792</v>
      </c>
      <c r="BC603" t="s">
        <v>51</v>
      </c>
      <c r="BE603" t="s">
        <v>54</v>
      </c>
      <c r="BF603">
        <v>2</v>
      </c>
      <c r="BG603">
        <v>0</v>
      </c>
      <c r="BH603" t="s">
        <v>53</v>
      </c>
      <c r="BK603" t="s">
        <v>59</v>
      </c>
      <c r="BL603">
        <v>14000</v>
      </c>
      <c r="BM603" s="1">
        <v>44487</v>
      </c>
      <c r="BN603" s="1">
        <v>44487</v>
      </c>
      <c r="BO603" s="1">
        <v>44487</v>
      </c>
      <c r="BP603" s="1">
        <v>45648</v>
      </c>
      <c r="BQ603" t="s">
        <v>51</v>
      </c>
      <c r="BS603" t="s">
        <v>60</v>
      </c>
      <c r="BT603" t="s">
        <v>54</v>
      </c>
      <c r="BU603" t="s">
        <v>61</v>
      </c>
      <c r="BV603" t="s">
        <v>62</v>
      </c>
      <c r="BX603">
        <v>24</v>
      </c>
      <c r="BY603">
        <v>0</v>
      </c>
      <c r="BZ603">
        <v>0</v>
      </c>
    </row>
    <row r="604" spans="1:78" x14ac:dyDescent="0.2">
      <c r="A604" t="s">
        <v>180</v>
      </c>
      <c r="B604" t="s">
        <v>181</v>
      </c>
      <c r="C604" t="s">
        <v>499</v>
      </c>
      <c r="D604" t="s">
        <v>499</v>
      </c>
      <c r="F604" t="str">
        <f>"250228"</f>
        <v>250228</v>
      </c>
      <c r="G604" t="s">
        <v>49</v>
      </c>
      <c r="H604" t="s">
        <v>507</v>
      </c>
      <c r="K604" t="s">
        <v>51</v>
      </c>
      <c r="L604" t="s">
        <v>52</v>
      </c>
      <c r="M604">
        <v>133957.38</v>
      </c>
      <c r="N604">
        <v>470629.49</v>
      </c>
      <c r="O604" t="s">
        <v>53</v>
      </c>
      <c r="P604" t="s">
        <v>54</v>
      </c>
      <c r="Q604" t="s">
        <v>55</v>
      </c>
      <c r="T604" t="s">
        <v>183</v>
      </c>
      <c r="U604">
        <v>40</v>
      </c>
      <c r="V604" s="1">
        <v>38899</v>
      </c>
      <c r="W604" s="1">
        <v>38899</v>
      </c>
      <c r="X604" s="1">
        <v>38899</v>
      </c>
      <c r="Y604" s="1">
        <v>53509</v>
      </c>
      <c r="Z604" t="s">
        <v>51</v>
      </c>
      <c r="AB604" t="s">
        <v>54</v>
      </c>
      <c r="AC604">
        <v>1</v>
      </c>
      <c r="AE604" t="s">
        <v>84</v>
      </c>
      <c r="AF604">
        <v>20</v>
      </c>
      <c r="AG604" s="1">
        <v>37073</v>
      </c>
      <c r="AH604" s="1">
        <v>37073</v>
      </c>
      <c r="AI604" s="1">
        <v>38899</v>
      </c>
      <c r="AJ604" s="1">
        <v>44378</v>
      </c>
      <c r="AK604" t="s">
        <v>51</v>
      </c>
      <c r="AN604">
        <v>0</v>
      </c>
      <c r="AO604" t="s">
        <v>54</v>
      </c>
      <c r="AP604" t="s">
        <v>53</v>
      </c>
      <c r="AQ604">
        <v>0</v>
      </c>
      <c r="AR604" t="s">
        <v>53</v>
      </c>
      <c r="AS604">
        <v>0</v>
      </c>
      <c r="AT604">
        <v>0</v>
      </c>
      <c r="AW604" t="s">
        <v>58</v>
      </c>
      <c r="AX604">
        <v>20</v>
      </c>
      <c r="AY604" s="1">
        <v>37073</v>
      </c>
      <c r="AZ604" s="1">
        <v>37073</v>
      </c>
      <c r="BA604" s="1">
        <v>38899</v>
      </c>
      <c r="BB604" s="1">
        <v>44378</v>
      </c>
      <c r="BC604" t="s">
        <v>51</v>
      </c>
      <c r="BE604" t="s">
        <v>54</v>
      </c>
      <c r="BF604">
        <v>2</v>
      </c>
      <c r="BG604">
        <v>0</v>
      </c>
      <c r="BH604" t="s">
        <v>53</v>
      </c>
      <c r="BK604" t="s">
        <v>59</v>
      </c>
      <c r="BL604">
        <v>14000</v>
      </c>
      <c r="BM604" s="1">
        <v>42917</v>
      </c>
      <c r="BN604" s="1">
        <v>42917</v>
      </c>
      <c r="BO604" s="1">
        <v>42917</v>
      </c>
      <c r="BP604" s="1">
        <v>44117</v>
      </c>
      <c r="BQ604" t="s">
        <v>51</v>
      </c>
      <c r="BS604" t="s">
        <v>60</v>
      </c>
      <c r="BT604" t="s">
        <v>54</v>
      </c>
      <c r="BU604" t="s">
        <v>61</v>
      </c>
      <c r="BV604" t="s">
        <v>62</v>
      </c>
      <c r="BX604">
        <v>24</v>
      </c>
      <c r="BY604">
        <v>0</v>
      </c>
      <c r="BZ604">
        <v>0</v>
      </c>
    </row>
    <row r="605" spans="1:78" x14ac:dyDescent="0.2">
      <c r="A605" t="s">
        <v>180</v>
      </c>
      <c r="B605" t="s">
        <v>181</v>
      </c>
      <c r="C605" t="s">
        <v>499</v>
      </c>
      <c r="D605" t="s">
        <v>499</v>
      </c>
      <c r="F605" t="str">
        <f>"250229"</f>
        <v>250229</v>
      </c>
      <c r="G605" t="s">
        <v>49</v>
      </c>
      <c r="H605" t="s">
        <v>308</v>
      </c>
      <c r="K605" t="s">
        <v>51</v>
      </c>
      <c r="L605" t="s">
        <v>52</v>
      </c>
      <c r="M605">
        <v>133931.37</v>
      </c>
      <c r="N605">
        <v>470605.97</v>
      </c>
      <c r="O605" t="s">
        <v>53</v>
      </c>
      <c r="P605" t="s">
        <v>54</v>
      </c>
      <c r="Q605" t="s">
        <v>55</v>
      </c>
      <c r="T605" t="s">
        <v>183</v>
      </c>
      <c r="U605">
        <v>40</v>
      </c>
      <c r="V605" s="1">
        <v>37073</v>
      </c>
      <c r="W605" s="1">
        <v>37073</v>
      </c>
      <c r="X605" s="1">
        <v>37073</v>
      </c>
      <c r="Y605" s="1">
        <v>51683</v>
      </c>
      <c r="Z605" t="s">
        <v>51</v>
      </c>
      <c r="AB605" t="s">
        <v>54</v>
      </c>
      <c r="AC605">
        <v>1</v>
      </c>
      <c r="AE605" t="s">
        <v>84</v>
      </c>
      <c r="AF605">
        <v>20</v>
      </c>
      <c r="AG605" s="1">
        <v>37073</v>
      </c>
      <c r="AH605" s="1">
        <v>37073</v>
      </c>
      <c r="AI605" s="1">
        <v>37073</v>
      </c>
      <c r="AJ605" s="1">
        <v>44378</v>
      </c>
      <c r="AK605" t="s">
        <v>51</v>
      </c>
      <c r="AN605">
        <v>0</v>
      </c>
      <c r="AO605" t="s">
        <v>54</v>
      </c>
      <c r="AP605" t="s">
        <v>53</v>
      </c>
      <c r="AQ605">
        <v>0</v>
      </c>
      <c r="AR605" t="s">
        <v>53</v>
      </c>
      <c r="AS605">
        <v>0</v>
      </c>
      <c r="AT605">
        <v>0</v>
      </c>
      <c r="AW605" t="s">
        <v>58</v>
      </c>
      <c r="AX605">
        <v>20</v>
      </c>
      <c r="AY605" s="1">
        <v>44886</v>
      </c>
      <c r="AZ605" s="1">
        <v>44886</v>
      </c>
      <c r="BA605" s="1">
        <v>44886</v>
      </c>
      <c r="BB605" s="1">
        <v>52191</v>
      </c>
      <c r="BC605" t="s">
        <v>51</v>
      </c>
      <c r="BE605" t="s">
        <v>54</v>
      </c>
      <c r="BF605">
        <v>2</v>
      </c>
      <c r="BG605">
        <v>0</v>
      </c>
      <c r="BH605" t="s">
        <v>53</v>
      </c>
      <c r="BK605" t="s">
        <v>59</v>
      </c>
      <c r="BL605">
        <v>14000</v>
      </c>
      <c r="BM605" s="1">
        <v>44872</v>
      </c>
      <c r="BN605" s="1">
        <v>44872</v>
      </c>
      <c r="BO605" s="1">
        <v>44886</v>
      </c>
      <c r="BP605" s="1">
        <v>46031</v>
      </c>
      <c r="BQ605" t="s">
        <v>51</v>
      </c>
      <c r="BS605" t="s">
        <v>60</v>
      </c>
      <c r="BT605" t="s">
        <v>54</v>
      </c>
      <c r="BU605" t="s">
        <v>61</v>
      </c>
      <c r="BV605" t="s">
        <v>62</v>
      </c>
      <c r="BX605">
        <v>24</v>
      </c>
      <c r="BY605">
        <v>0</v>
      </c>
      <c r="BZ605">
        <v>0</v>
      </c>
    </row>
    <row r="606" spans="1:78" x14ac:dyDescent="0.2">
      <c r="A606" t="s">
        <v>180</v>
      </c>
      <c r="B606" t="s">
        <v>181</v>
      </c>
      <c r="C606" t="s">
        <v>499</v>
      </c>
      <c r="D606" t="s">
        <v>499</v>
      </c>
      <c r="F606" t="str">
        <f>"250230"</f>
        <v>250230</v>
      </c>
      <c r="G606" t="s">
        <v>49</v>
      </c>
      <c r="H606" t="s">
        <v>288</v>
      </c>
      <c r="K606" t="s">
        <v>51</v>
      </c>
      <c r="L606" t="s">
        <v>52</v>
      </c>
      <c r="M606">
        <v>133985.49</v>
      </c>
      <c r="N606">
        <v>470651.64</v>
      </c>
      <c r="O606" t="s">
        <v>53</v>
      </c>
      <c r="P606" t="s">
        <v>54</v>
      </c>
      <c r="Q606" t="s">
        <v>55</v>
      </c>
      <c r="T606" t="s">
        <v>183</v>
      </c>
      <c r="U606">
        <v>40</v>
      </c>
      <c r="V606" s="1">
        <v>38899</v>
      </c>
      <c r="W606" s="1">
        <v>38899</v>
      </c>
      <c r="X606" s="1">
        <v>38899</v>
      </c>
      <c r="Y606" s="1">
        <v>53509</v>
      </c>
      <c r="Z606" t="s">
        <v>51</v>
      </c>
      <c r="AB606" t="s">
        <v>54</v>
      </c>
      <c r="AC606">
        <v>1</v>
      </c>
      <c r="AE606" t="s">
        <v>84</v>
      </c>
      <c r="AF606">
        <v>20</v>
      </c>
      <c r="AG606" s="1">
        <v>37073</v>
      </c>
      <c r="AH606" s="1">
        <v>37073</v>
      </c>
      <c r="AI606" s="1">
        <v>38899</v>
      </c>
      <c r="AJ606" s="1">
        <v>44378</v>
      </c>
      <c r="AK606" t="s">
        <v>51</v>
      </c>
      <c r="AN606">
        <v>0</v>
      </c>
      <c r="AO606" t="s">
        <v>54</v>
      </c>
      <c r="AP606" t="s">
        <v>53</v>
      </c>
      <c r="AQ606">
        <v>0</v>
      </c>
      <c r="AR606" t="s">
        <v>53</v>
      </c>
      <c r="AS606">
        <v>0</v>
      </c>
      <c r="AT606">
        <v>0</v>
      </c>
      <c r="AW606" t="s">
        <v>58</v>
      </c>
      <c r="AX606">
        <v>20</v>
      </c>
      <c r="AY606" s="1">
        <v>37073</v>
      </c>
      <c r="AZ606" s="1">
        <v>37073</v>
      </c>
      <c r="BA606" s="1">
        <v>38899</v>
      </c>
      <c r="BB606" s="1">
        <v>44378</v>
      </c>
      <c r="BC606" t="s">
        <v>51</v>
      </c>
      <c r="BE606" t="s">
        <v>54</v>
      </c>
      <c r="BF606">
        <v>2</v>
      </c>
      <c r="BG606">
        <v>0</v>
      </c>
      <c r="BH606" t="s">
        <v>53</v>
      </c>
      <c r="BK606" t="s">
        <v>59</v>
      </c>
      <c r="BL606">
        <v>14000</v>
      </c>
      <c r="BM606" s="1">
        <v>42917</v>
      </c>
      <c r="BN606" s="1">
        <v>42917</v>
      </c>
      <c r="BO606" s="1">
        <v>42917</v>
      </c>
      <c r="BP606" s="1">
        <v>44117</v>
      </c>
      <c r="BQ606" t="s">
        <v>51</v>
      </c>
      <c r="BS606" t="s">
        <v>60</v>
      </c>
      <c r="BT606" t="s">
        <v>54</v>
      </c>
      <c r="BU606" t="s">
        <v>61</v>
      </c>
      <c r="BV606" t="s">
        <v>62</v>
      </c>
      <c r="BX606">
        <v>24</v>
      </c>
      <c r="BY606">
        <v>0</v>
      </c>
      <c r="BZ606">
        <v>0</v>
      </c>
    </row>
    <row r="607" spans="1:78" x14ac:dyDescent="0.2">
      <c r="A607" t="s">
        <v>180</v>
      </c>
      <c r="B607" t="s">
        <v>181</v>
      </c>
      <c r="C607" t="s">
        <v>499</v>
      </c>
      <c r="D607" t="s">
        <v>499</v>
      </c>
      <c r="F607" t="str">
        <f>"250231"</f>
        <v>250231</v>
      </c>
      <c r="G607" t="s">
        <v>49</v>
      </c>
      <c r="K607" t="s">
        <v>51</v>
      </c>
      <c r="L607" t="s">
        <v>52</v>
      </c>
      <c r="M607">
        <v>134008.35</v>
      </c>
      <c r="N607">
        <v>470676.6</v>
      </c>
      <c r="O607" t="s">
        <v>53</v>
      </c>
      <c r="P607" t="s">
        <v>54</v>
      </c>
      <c r="Q607" t="s">
        <v>55</v>
      </c>
      <c r="T607" t="s">
        <v>183</v>
      </c>
      <c r="U607">
        <v>40</v>
      </c>
      <c r="V607" s="1">
        <v>37073</v>
      </c>
      <c r="W607" s="1">
        <v>37073</v>
      </c>
      <c r="X607" s="1">
        <v>37073</v>
      </c>
      <c r="Y607" s="1">
        <v>51683</v>
      </c>
      <c r="Z607" t="s">
        <v>51</v>
      </c>
      <c r="AB607" t="s">
        <v>54</v>
      </c>
      <c r="AC607">
        <v>1</v>
      </c>
      <c r="AE607" t="s">
        <v>84</v>
      </c>
      <c r="AF607">
        <v>20</v>
      </c>
      <c r="AG607" s="1">
        <v>37073</v>
      </c>
      <c r="AH607" s="1">
        <v>37073</v>
      </c>
      <c r="AI607" s="1">
        <v>37073</v>
      </c>
      <c r="AJ607" s="1">
        <v>44378</v>
      </c>
      <c r="AK607" t="s">
        <v>51</v>
      </c>
      <c r="AN607">
        <v>0</v>
      </c>
      <c r="AO607" t="s">
        <v>54</v>
      </c>
      <c r="AP607" t="s">
        <v>53</v>
      </c>
      <c r="AQ607">
        <v>0</v>
      </c>
      <c r="AR607" t="s">
        <v>53</v>
      </c>
      <c r="AS607">
        <v>0</v>
      </c>
      <c r="AT607">
        <v>0</v>
      </c>
      <c r="AW607" t="s">
        <v>58</v>
      </c>
      <c r="AX607">
        <v>20</v>
      </c>
      <c r="AY607" s="1">
        <v>44886</v>
      </c>
      <c r="AZ607" s="1">
        <v>44886</v>
      </c>
      <c r="BA607" s="1">
        <v>44886</v>
      </c>
      <c r="BB607" s="1">
        <v>52191</v>
      </c>
      <c r="BC607" t="s">
        <v>51</v>
      </c>
      <c r="BE607" t="s">
        <v>54</v>
      </c>
      <c r="BF607">
        <v>2</v>
      </c>
      <c r="BG607">
        <v>0</v>
      </c>
      <c r="BH607" t="s">
        <v>53</v>
      </c>
      <c r="BK607" t="s">
        <v>59</v>
      </c>
      <c r="BL607">
        <v>14000</v>
      </c>
      <c r="BM607" s="1">
        <v>44886</v>
      </c>
      <c r="BN607" s="1">
        <v>44886</v>
      </c>
      <c r="BO607" s="1">
        <v>44886</v>
      </c>
      <c r="BP607" s="1">
        <v>46045</v>
      </c>
      <c r="BQ607" t="s">
        <v>51</v>
      </c>
      <c r="BS607" t="s">
        <v>60</v>
      </c>
      <c r="BT607" t="s">
        <v>54</v>
      </c>
      <c r="BU607" t="s">
        <v>61</v>
      </c>
      <c r="BV607" t="s">
        <v>62</v>
      </c>
      <c r="BX607">
        <v>24</v>
      </c>
      <c r="BY607">
        <v>0</v>
      </c>
      <c r="BZ607">
        <v>0</v>
      </c>
    </row>
    <row r="608" spans="1:78" x14ac:dyDescent="0.2">
      <c r="A608" t="s">
        <v>180</v>
      </c>
      <c r="B608" t="s">
        <v>181</v>
      </c>
      <c r="C608" t="s">
        <v>499</v>
      </c>
      <c r="D608" t="s">
        <v>499</v>
      </c>
      <c r="F608" t="str">
        <f>"250232"</f>
        <v>250232</v>
      </c>
      <c r="G608" t="s">
        <v>49</v>
      </c>
      <c r="H608" t="s">
        <v>163</v>
      </c>
      <c r="K608" t="s">
        <v>51</v>
      </c>
      <c r="L608" t="s">
        <v>52</v>
      </c>
      <c r="M608">
        <v>134033.88</v>
      </c>
      <c r="N608">
        <v>470699.52000000002</v>
      </c>
      <c r="O608" t="s">
        <v>53</v>
      </c>
      <c r="P608" t="s">
        <v>54</v>
      </c>
      <c r="Q608" t="s">
        <v>55</v>
      </c>
      <c r="T608" t="s">
        <v>183</v>
      </c>
      <c r="U608">
        <v>40</v>
      </c>
      <c r="V608" s="1">
        <v>36892</v>
      </c>
      <c r="W608" s="1">
        <v>36892</v>
      </c>
      <c r="X608" s="1">
        <v>36892</v>
      </c>
      <c r="Y608" s="1">
        <v>51502</v>
      </c>
      <c r="Z608" t="s">
        <v>51</v>
      </c>
      <c r="AB608" t="s">
        <v>54</v>
      </c>
      <c r="AC608">
        <v>1</v>
      </c>
      <c r="AE608" t="s">
        <v>84</v>
      </c>
      <c r="AF608">
        <v>20</v>
      </c>
      <c r="AG608" s="1">
        <v>37073</v>
      </c>
      <c r="AH608" s="1">
        <v>37073</v>
      </c>
      <c r="AI608" s="1">
        <v>37073</v>
      </c>
      <c r="AJ608" s="1">
        <v>44378</v>
      </c>
      <c r="AK608" t="s">
        <v>51</v>
      </c>
      <c r="AN608">
        <v>0</v>
      </c>
      <c r="AO608" t="s">
        <v>54</v>
      </c>
      <c r="AP608" t="s">
        <v>53</v>
      </c>
      <c r="AQ608">
        <v>0</v>
      </c>
      <c r="AR608" t="s">
        <v>53</v>
      </c>
      <c r="AS608">
        <v>0</v>
      </c>
      <c r="AT608">
        <v>0</v>
      </c>
      <c r="AW608" t="s">
        <v>58</v>
      </c>
      <c r="AX608">
        <v>20</v>
      </c>
      <c r="AY608" s="1">
        <v>44872</v>
      </c>
      <c r="AZ608" s="1">
        <v>44872</v>
      </c>
      <c r="BA608" s="1">
        <v>44872</v>
      </c>
      <c r="BB608" s="1">
        <v>52177</v>
      </c>
      <c r="BC608" t="s">
        <v>51</v>
      </c>
      <c r="BE608" t="s">
        <v>54</v>
      </c>
      <c r="BF608">
        <v>2</v>
      </c>
      <c r="BG608">
        <v>0</v>
      </c>
      <c r="BH608" t="s">
        <v>53</v>
      </c>
      <c r="BK608" t="s">
        <v>59</v>
      </c>
      <c r="BL608">
        <v>14000</v>
      </c>
      <c r="BM608" s="1">
        <v>42917</v>
      </c>
      <c r="BN608" s="1">
        <v>42917</v>
      </c>
      <c r="BO608" s="1">
        <v>44872</v>
      </c>
      <c r="BP608" s="1">
        <v>44117</v>
      </c>
      <c r="BQ608" t="s">
        <v>51</v>
      </c>
      <c r="BS608" t="s">
        <v>60</v>
      </c>
      <c r="BT608" t="s">
        <v>54</v>
      </c>
      <c r="BU608" t="s">
        <v>61</v>
      </c>
      <c r="BV608" t="s">
        <v>62</v>
      </c>
      <c r="BX608">
        <v>24</v>
      </c>
      <c r="BY608">
        <v>0</v>
      </c>
      <c r="BZ608">
        <v>0</v>
      </c>
    </row>
    <row r="609" spans="1:78" x14ac:dyDescent="0.2">
      <c r="A609" t="s">
        <v>180</v>
      </c>
      <c r="B609" t="s">
        <v>181</v>
      </c>
      <c r="C609" t="s">
        <v>499</v>
      </c>
      <c r="D609" t="s">
        <v>499</v>
      </c>
      <c r="F609" t="str">
        <f>"250233"</f>
        <v>250233</v>
      </c>
      <c r="G609" t="s">
        <v>49</v>
      </c>
      <c r="H609" t="s">
        <v>163</v>
      </c>
      <c r="K609" t="s">
        <v>51</v>
      </c>
      <c r="L609" t="s">
        <v>52</v>
      </c>
      <c r="M609">
        <v>134059.78</v>
      </c>
      <c r="N609">
        <v>470722.16</v>
      </c>
      <c r="O609" t="s">
        <v>53</v>
      </c>
      <c r="P609" t="s">
        <v>54</v>
      </c>
      <c r="Q609" t="s">
        <v>55</v>
      </c>
      <c r="T609" t="s">
        <v>183</v>
      </c>
      <c r="U609">
        <v>40</v>
      </c>
      <c r="V609" s="1">
        <v>36892</v>
      </c>
      <c r="W609" s="1">
        <v>36892</v>
      </c>
      <c r="X609" s="1">
        <v>36892</v>
      </c>
      <c r="Y609" s="1">
        <v>51502</v>
      </c>
      <c r="Z609" t="s">
        <v>51</v>
      </c>
      <c r="AB609" t="s">
        <v>54</v>
      </c>
      <c r="AC609">
        <v>1</v>
      </c>
      <c r="AE609" t="s">
        <v>84</v>
      </c>
      <c r="AF609">
        <v>20</v>
      </c>
      <c r="AG609" s="1">
        <v>37073</v>
      </c>
      <c r="AH609" s="1">
        <v>37073</v>
      </c>
      <c r="AI609" s="1">
        <v>37073</v>
      </c>
      <c r="AJ609" s="1">
        <v>44378</v>
      </c>
      <c r="AK609" t="s">
        <v>51</v>
      </c>
      <c r="AN609">
        <v>0</v>
      </c>
      <c r="AO609" t="s">
        <v>54</v>
      </c>
      <c r="AP609" t="s">
        <v>53</v>
      </c>
      <c r="AQ609">
        <v>0</v>
      </c>
      <c r="AR609" t="s">
        <v>53</v>
      </c>
      <c r="AS609">
        <v>0</v>
      </c>
      <c r="AT609">
        <v>0</v>
      </c>
      <c r="AW609" t="s">
        <v>58</v>
      </c>
      <c r="AX609">
        <v>20</v>
      </c>
      <c r="AY609" s="1">
        <v>37073</v>
      </c>
      <c r="AZ609" s="1">
        <v>37073</v>
      </c>
      <c r="BA609" s="1">
        <v>37073</v>
      </c>
      <c r="BB609" s="1">
        <v>44378</v>
      </c>
      <c r="BC609" t="s">
        <v>51</v>
      </c>
      <c r="BE609" t="s">
        <v>54</v>
      </c>
      <c r="BF609">
        <v>2</v>
      </c>
      <c r="BG609">
        <v>0</v>
      </c>
      <c r="BH609" t="s">
        <v>53</v>
      </c>
      <c r="BK609" t="s">
        <v>59</v>
      </c>
      <c r="BL609">
        <v>14000</v>
      </c>
      <c r="BM609" s="1">
        <v>42917</v>
      </c>
      <c r="BN609" s="1">
        <v>42917</v>
      </c>
      <c r="BO609" s="1">
        <v>42917</v>
      </c>
      <c r="BP609" s="1">
        <v>44117</v>
      </c>
      <c r="BQ609" t="s">
        <v>51</v>
      </c>
      <c r="BS609" t="s">
        <v>60</v>
      </c>
      <c r="BT609" t="s">
        <v>54</v>
      </c>
      <c r="BU609" t="s">
        <v>61</v>
      </c>
      <c r="BV609" t="s">
        <v>62</v>
      </c>
      <c r="BX609">
        <v>24</v>
      </c>
      <c r="BY609">
        <v>0</v>
      </c>
      <c r="BZ609">
        <v>0</v>
      </c>
    </row>
    <row r="610" spans="1:78" x14ac:dyDescent="0.2">
      <c r="A610" t="s">
        <v>180</v>
      </c>
      <c r="B610" t="s">
        <v>181</v>
      </c>
      <c r="C610" t="s">
        <v>499</v>
      </c>
      <c r="D610" t="s">
        <v>499</v>
      </c>
      <c r="F610" t="str">
        <f>"250234"</f>
        <v>250234</v>
      </c>
      <c r="G610" t="s">
        <v>49</v>
      </c>
      <c r="H610" t="s">
        <v>260</v>
      </c>
      <c r="K610" t="s">
        <v>51</v>
      </c>
      <c r="L610" t="s">
        <v>52</v>
      </c>
      <c r="M610">
        <v>134083.32999999999</v>
      </c>
      <c r="N610">
        <v>470739.41</v>
      </c>
      <c r="O610" t="s">
        <v>53</v>
      </c>
      <c r="P610" t="s">
        <v>54</v>
      </c>
      <c r="Q610" t="s">
        <v>55</v>
      </c>
      <c r="T610" t="s">
        <v>183</v>
      </c>
      <c r="U610">
        <v>40</v>
      </c>
      <c r="V610" s="1">
        <v>36892</v>
      </c>
      <c r="W610" s="1">
        <v>36892</v>
      </c>
      <c r="X610" s="1">
        <v>36892</v>
      </c>
      <c r="Y610" s="1">
        <v>51502</v>
      </c>
      <c r="Z610" t="s">
        <v>51</v>
      </c>
      <c r="AB610" t="s">
        <v>54</v>
      </c>
      <c r="AC610">
        <v>1</v>
      </c>
      <c r="AE610" t="s">
        <v>84</v>
      </c>
      <c r="AF610">
        <v>20</v>
      </c>
      <c r="AG610" s="1">
        <v>37073</v>
      </c>
      <c r="AH610" s="1">
        <v>37073</v>
      </c>
      <c r="AI610" s="1">
        <v>37073</v>
      </c>
      <c r="AJ610" s="1">
        <v>44378</v>
      </c>
      <c r="AK610" t="s">
        <v>51</v>
      </c>
      <c r="AN610">
        <v>0</v>
      </c>
      <c r="AO610" t="s">
        <v>54</v>
      </c>
      <c r="AP610" t="s">
        <v>53</v>
      </c>
      <c r="AQ610">
        <v>0</v>
      </c>
      <c r="AR610" t="s">
        <v>53</v>
      </c>
      <c r="AS610">
        <v>0</v>
      </c>
      <c r="AT610">
        <v>0</v>
      </c>
      <c r="AW610" t="s">
        <v>58</v>
      </c>
      <c r="AX610">
        <v>20</v>
      </c>
      <c r="AY610" s="1">
        <v>37073</v>
      </c>
      <c r="AZ610" s="1">
        <v>37073</v>
      </c>
      <c r="BA610" s="1">
        <v>37073</v>
      </c>
      <c r="BB610" s="1">
        <v>44378</v>
      </c>
      <c r="BC610" t="s">
        <v>51</v>
      </c>
      <c r="BE610" t="s">
        <v>54</v>
      </c>
      <c r="BF610">
        <v>2</v>
      </c>
      <c r="BG610">
        <v>0</v>
      </c>
      <c r="BH610" t="s">
        <v>53</v>
      </c>
      <c r="BK610" t="s">
        <v>59</v>
      </c>
      <c r="BL610">
        <v>14000</v>
      </c>
      <c r="BM610" s="1">
        <v>42917</v>
      </c>
      <c r="BN610" s="1">
        <v>42917</v>
      </c>
      <c r="BO610" s="1">
        <v>42917</v>
      </c>
      <c r="BP610" s="1">
        <v>44117</v>
      </c>
      <c r="BQ610" t="s">
        <v>51</v>
      </c>
      <c r="BS610" t="s">
        <v>60</v>
      </c>
      <c r="BT610" t="s">
        <v>54</v>
      </c>
      <c r="BU610" t="s">
        <v>61</v>
      </c>
      <c r="BV610" t="s">
        <v>62</v>
      </c>
      <c r="BX610">
        <v>24</v>
      </c>
      <c r="BY610">
        <v>0</v>
      </c>
      <c r="BZ610">
        <v>0</v>
      </c>
    </row>
    <row r="611" spans="1:78" x14ac:dyDescent="0.2">
      <c r="A611" t="s">
        <v>180</v>
      </c>
      <c r="B611" t="s">
        <v>181</v>
      </c>
      <c r="C611" t="s">
        <v>499</v>
      </c>
      <c r="D611" t="s">
        <v>499</v>
      </c>
      <c r="F611" t="str">
        <f>"250235"</f>
        <v>250235</v>
      </c>
      <c r="G611" t="s">
        <v>49</v>
      </c>
      <c r="H611" t="s">
        <v>508</v>
      </c>
      <c r="K611" t="s">
        <v>51</v>
      </c>
      <c r="L611" t="s">
        <v>52</v>
      </c>
      <c r="M611">
        <v>134107.65</v>
      </c>
      <c r="N611">
        <v>470761.21</v>
      </c>
      <c r="O611" t="s">
        <v>53</v>
      </c>
      <c r="P611" t="s">
        <v>54</v>
      </c>
      <c r="Q611" t="s">
        <v>55</v>
      </c>
      <c r="T611" t="s">
        <v>183</v>
      </c>
      <c r="U611">
        <v>40</v>
      </c>
      <c r="V611" s="1">
        <v>37073</v>
      </c>
      <c r="W611" s="1">
        <v>37073</v>
      </c>
      <c r="X611" s="1">
        <v>37073</v>
      </c>
      <c r="Y611" s="1">
        <v>51683</v>
      </c>
      <c r="Z611" t="s">
        <v>51</v>
      </c>
      <c r="AB611" t="s">
        <v>54</v>
      </c>
      <c r="AC611">
        <v>1</v>
      </c>
      <c r="AE611" t="s">
        <v>84</v>
      </c>
      <c r="AF611">
        <v>20</v>
      </c>
      <c r="AG611" s="1">
        <v>37073</v>
      </c>
      <c r="AH611" s="1">
        <v>37073</v>
      </c>
      <c r="AI611" s="1">
        <v>37073</v>
      </c>
      <c r="AJ611" s="1">
        <v>44378</v>
      </c>
      <c r="AK611" t="s">
        <v>51</v>
      </c>
      <c r="AN611">
        <v>0</v>
      </c>
      <c r="AO611" t="s">
        <v>54</v>
      </c>
      <c r="AP611" t="s">
        <v>53</v>
      </c>
      <c r="AQ611">
        <v>0</v>
      </c>
      <c r="AR611" t="s">
        <v>53</v>
      </c>
      <c r="AS611">
        <v>0</v>
      </c>
      <c r="AT611">
        <v>0</v>
      </c>
      <c r="AW611" t="s">
        <v>58</v>
      </c>
      <c r="AX611">
        <v>20</v>
      </c>
      <c r="AY611" s="1">
        <v>37073</v>
      </c>
      <c r="AZ611" s="1">
        <v>37073</v>
      </c>
      <c r="BA611" s="1">
        <v>37073</v>
      </c>
      <c r="BB611" s="1">
        <v>44378</v>
      </c>
      <c r="BC611" t="s">
        <v>51</v>
      </c>
      <c r="BE611" t="s">
        <v>54</v>
      </c>
      <c r="BF611">
        <v>2</v>
      </c>
      <c r="BG611">
        <v>0</v>
      </c>
      <c r="BH611" t="s">
        <v>53</v>
      </c>
      <c r="BK611" t="s">
        <v>59</v>
      </c>
      <c r="BL611">
        <v>14000</v>
      </c>
      <c r="BM611" s="1">
        <v>42917</v>
      </c>
      <c r="BN611" s="1">
        <v>42917</v>
      </c>
      <c r="BO611" s="1">
        <v>42917</v>
      </c>
      <c r="BP611" s="1">
        <v>44117</v>
      </c>
      <c r="BQ611" t="s">
        <v>51</v>
      </c>
      <c r="BS611" t="s">
        <v>60</v>
      </c>
      <c r="BT611" t="s">
        <v>54</v>
      </c>
      <c r="BU611" t="s">
        <v>61</v>
      </c>
      <c r="BV611" t="s">
        <v>62</v>
      </c>
      <c r="BX611">
        <v>24</v>
      </c>
      <c r="BY611">
        <v>0</v>
      </c>
      <c r="BZ611">
        <v>0</v>
      </c>
    </row>
    <row r="612" spans="1:78" x14ac:dyDescent="0.2">
      <c r="A612" t="s">
        <v>180</v>
      </c>
      <c r="B612" t="s">
        <v>181</v>
      </c>
      <c r="C612" t="s">
        <v>499</v>
      </c>
      <c r="D612" t="s">
        <v>499</v>
      </c>
      <c r="F612" t="str">
        <f>"250236"</f>
        <v>250236</v>
      </c>
      <c r="G612" t="s">
        <v>49</v>
      </c>
      <c r="H612" t="s">
        <v>260</v>
      </c>
      <c r="K612" t="s">
        <v>51</v>
      </c>
      <c r="L612" t="s">
        <v>52</v>
      </c>
      <c r="M612">
        <v>134130.26</v>
      </c>
      <c r="N612">
        <v>470780.45</v>
      </c>
      <c r="O612" t="s">
        <v>53</v>
      </c>
      <c r="P612" t="s">
        <v>54</v>
      </c>
      <c r="Q612" t="s">
        <v>55</v>
      </c>
      <c r="T612" t="s">
        <v>183</v>
      </c>
      <c r="U612">
        <v>40</v>
      </c>
      <c r="V612" s="1">
        <v>36892</v>
      </c>
      <c r="W612" s="1">
        <v>36892</v>
      </c>
      <c r="X612" s="1">
        <v>36892</v>
      </c>
      <c r="Y612" s="1">
        <v>51502</v>
      </c>
      <c r="Z612" t="s">
        <v>51</v>
      </c>
      <c r="AB612" t="s">
        <v>54</v>
      </c>
      <c r="AC612">
        <v>1</v>
      </c>
      <c r="AE612" t="s">
        <v>84</v>
      </c>
      <c r="AF612">
        <v>20</v>
      </c>
      <c r="AG612" s="1">
        <v>37073</v>
      </c>
      <c r="AH612" s="1">
        <v>37073</v>
      </c>
      <c r="AI612" s="1">
        <v>37073</v>
      </c>
      <c r="AJ612" s="1">
        <v>44378</v>
      </c>
      <c r="AK612" t="s">
        <v>51</v>
      </c>
      <c r="AN612">
        <v>0</v>
      </c>
      <c r="AO612" t="s">
        <v>54</v>
      </c>
      <c r="AP612" t="s">
        <v>53</v>
      </c>
      <c r="AQ612">
        <v>0</v>
      </c>
      <c r="AR612" t="s">
        <v>53</v>
      </c>
      <c r="AS612">
        <v>0</v>
      </c>
      <c r="AT612">
        <v>0</v>
      </c>
      <c r="AW612" t="s">
        <v>58</v>
      </c>
      <c r="AX612">
        <v>20</v>
      </c>
      <c r="AY612" s="1">
        <v>43500</v>
      </c>
      <c r="AZ612" s="1">
        <v>43500</v>
      </c>
      <c r="BA612" s="1">
        <v>43500</v>
      </c>
      <c r="BB612" s="1">
        <v>50805</v>
      </c>
      <c r="BC612" t="s">
        <v>51</v>
      </c>
      <c r="BE612" t="s">
        <v>54</v>
      </c>
      <c r="BF612">
        <v>2</v>
      </c>
      <c r="BG612">
        <v>0</v>
      </c>
      <c r="BH612" t="s">
        <v>53</v>
      </c>
      <c r="BK612" t="s">
        <v>59</v>
      </c>
      <c r="BL612">
        <v>14000</v>
      </c>
      <c r="BM612" s="1">
        <v>43500</v>
      </c>
      <c r="BN612" s="1">
        <v>43500</v>
      </c>
      <c r="BO612" s="1">
        <v>43500</v>
      </c>
      <c r="BP612" s="1">
        <v>44682</v>
      </c>
      <c r="BQ612" t="s">
        <v>51</v>
      </c>
      <c r="BS612" t="s">
        <v>60</v>
      </c>
      <c r="BT612" t="s">
        <v>54</v>
      </c>
      <c r="BU612" t="s">
        <v>61</v>
      </c>
      <c r="BV612" t="s">
        <v>62</v>
      </c>
      <c r="BX612">
        <v>24</v>
      </c>
      <c r="BY612">
        <v>0</v>
      </c>
      <c r="BZ612">
        <v>0</v>
      </c>
    </row>
    <row r="613" spans="1:78" x14ac:dyDescent="0.2">
      <c r="A613" t="s">
        <v>180</v>
      </c>
      <c r="B613" t="s">
        <v>181</v>
      </c>
      <c r="C613" t="s">
        <v>433</v>
      </c>
      <c r="D613" t="s">
        <v>499</v>
      </c>
      <c r="F613" t="str">
        <f>"250237"</f>
        <v>250237</v>
      </c>
      <c r="G613" t="s">
        <v>49</v>
      </c>
      <c r="H613" t="s">
        <v>509</v>
      </c>
      <c r="K613" t="s">
        <v>51</v>
      </c>
      <c r="L613" t="s">
        <v>52</v>
      </c>
      <c r="M613">
        <v>134153.26999999999</v>
      </c>
      <c r="N613">
        <v>470800.88</v>
      </c>
      <c r="O613" t="s">
        <v>53</v>
      </c>
      <c r="P613" t="s">
        <v>54</v>
      </c>
      <c r="Q613" t="s">
        <v>55</v>
      </c>
      <c r="T613" t="s">
        <v>183</v>
      </c>
      <c r="U613">
        <v>40</v>
      </c>
      <c r="V613" s="1">
        <v>37073</v>
      </c>
      <c r="W613" s="1">
        <v>37073</v>
      </c>
      <c r="X613" s="1">
        <v>37073</v>
      </c>
      <c r="Y613" s="1">
        <v>51683</v>
      </c>
      <c r="Z613" t="s">
        <v>51</v>
      </c>
      <c r="AB613" t="s">
        <v>54</v>
      </c>
      <c r="AC613">
        <v>1</v>
      </c>
      <c r="AE613" t="s">
        <v>84</v>
      </c>
      <c r="AF613">
        <v>20</v>
      </c>
      <c r="AG613" s="1">
        <v>37073</v>
      </c>
      <c r="AH613" s="1">
        <v>37073</v>
      </c>
      <c r="AI613" s="1">
        <v>37073</v>
      </c>
      <c r="AJ613" s="1">
        <v>44378</v>
      </c>
      <c r="AK613" t="s">
        <v>51</v>
      </c>
      <c r="AN613">
        <v>0</v>
      </c>
      <c r="AO613" t="s">
        <v>54</v>
      </c>
      <c r="AP613" t="s">
        <v>53</v>
      </c>
      <c r="AQ613">
        <v>0</v>
      </c>
      <c r="AR613" t="s">
        <v>53</v>
      </c>
      <c r="AS613">
        <v>0</v>
      </c>
      <c r="AT613">
        <v>0</v>
      </c>
      <c r="AW613" t="s">
        <v>58</v>
      </c>
      <c r="AX613">
        <v>20</v>
      </c>
      <c r="AY613" s="1">
        <v>37073</v>
      </c>
      <c r="AZ613" s="1">
        <v>37073</v>
      </c>
      <c r="BA613" s="1">
        <v>37073</v>
      </c>
      <c r="BB613" s="1">
        <v>44378</v>
      </c>
      <c r="BC613" t="s">
        <v>51</v>
      </c>
      <c r="BE613" t="s">
        <v>54</v>
      </c>
      <c r="BF613">
        <v>2</v>
      </c>
      <c r="BG613">
        <v>0</v>
      </c>
      <c r="BH613" t="s">
        <v>53</v>
      </c>
      <c r="BK613" t="s">
        <v>59</v>
      </c>
      <c r="BL613">
        <v>14000</v>
      </c>
      <c r="BM613" s="1">
        <v>42917</v>
      </c>
      <c r="BN613" s="1">
        <v>42917</v>
      </c>
      <c r="BO613" s="1">
        <v>42917</v>
      </c>
      <c r="BP613" s="1">
        <v>44117</v>
      </c>
      <c r="BQ613" t="s">
        <v>51</v>
      </c>
      <c r="BS613" t="s">
        <v>60</v>
      </c>
      <c r="BT613" t="s">
        <v>54</v>
      </c>
      <c r="BU613" t="s">
        <v>61</v>
      </c>
      <c r="BV613" t="s">
        <v>62</v>
      </c>
      <c r="BX613">
        <v>24</v>
      </c>
      <c r="BY613">
        <v>0</v>
      </c>
      <c r="BZ613">
        <v>0</v>
      </c>
    </row>
    <row r="614" spans="1:78" x14ac:dyDescent="0.2">
      <c r="A614" t="s">
        <v>180</v>
      </c>
      <c r="B614" t="s">
        <v>181</v>
      </c>
      <c r="C614" t="s">
        <v>433</v>
      </c>
      <c r="D614" t="s">
        <v>499</v>
      </c>
      <c r="F614" t="str">
        <f>"250238"</f>
        <v>250238</v>
      </c>
      <c r="G614" t="s">
        <v>49</v>
      </c>
      <c r="H614" t="s">
        <v>510</v>
      </c>
      <c r="K614" t="s">
        <v>51</v>
      </c>
      <c r="L614" t="s">
        <v>52</v>
      </c>
      <c r="M614">
        <v>134182.79</v>
      </c>
      <c r="N614">
        <v>470825.27</v>
      </c>
      <c r="O614" t="s">
        <v>53</v>
      </c>
      <c r="P614" t="s">
        <v>54</v>
      </c>
      <c r="Q614" t="s">
        <v>55</v>
      </c>
      <c r="T614" t="s">
        <v>183</v>
      </c>
      <c r="U614">
        <v>40</v>
      </c>
      <c r="V614" s="1">
        <v>37073</v>
      </c>
      <c r="W614" s="1">
        <v>37073</v>
      </c>
      <c r="X614" s="1">
        <v>37073</v>
      </c>
      <c r="Y614" s="1">
        <v>51683</v>
      </c>
      <c r="Z614" t="s">
        <v>51</v>
      </c>
      <c r="AB614" t="s">
        <v>54</v>
      </c>
      <c r="AC614">
        <v>1</v>
      </c>
      <c r="AE614" t="s">
        <v>84</v>
      </c>
      <c r="AF614">
        <v>20</v>
      </c>
      <c r="AG614" s="1">
        <v>37073</v>
      </c>
      <c r="AH614" s="1">
        <v>37073</v>
      </c>
      <c r="AI614" s="1">
        <v>37073</v>
      </c>
      <c r="AJ614" s="1">
        <v>44378</v>
      </c>
      <c r="AK614" t="s">
        <v>51</v>
      </c>
      <c r="AN614">
        <v>0</v>
      </c>
      <c r="AO614" t="s">
        <v>54</v>
      </c>
      <c r="AP614" t="s">
        <v>53</v>
      </c>
      <c r="AQ614">
        <v>0</v>
      </c>
      <c r="AR614" t="s">
        <v>53</v>
      </c>
      <c r="AS614">
        <v>0</v>
      </c>
      <c r="AT614">
        <v>0</v>
      </c>
      <c r="AW614" t="s">
        <v>58</v>
      </c>
      <c r="AX614">
        <v>20</v>
      </c>
      <c r="AY614" s="1">
        <v>37073</v>
      </c>
      <c r="AZ614" s="1">
        <v>37073</v>
      </c>
      <c r="BA614" s="1">
        <v>37073</v>
      </c>
      <c r="BB614" s="1">
        <v>44378</v>
      </c>
      <c r="BC614" t="s">
        <v>51</v>
      </c>
      <c r="BE614" t="s">
        <v>54</v>
      </c>
      <c r="BF614">
        <v>2</v>
      </c>
      <c r="BG614">
        <v>0</v>
      </c>
      <c r="BH614" t="s">
        <v>53</v>
      </c>
      <c r="BK614" t="s">
        <v>59</v>
      </c>
      <c r="BL614">
        <v>14000</v>
      </c>
      <c r="BM614" s="1">
        <v>42917</v>
      </c>
      <c r="BN614" s="1">
        <v>42917</v>
      </c>
      <c r="BO614" s="1">
        <v>42917</v>
      </c>
      <c r="BP614" s="1">
        <v>44117</v>
      </c>
      <c r="BQ614" t="s">
        <v>51</v>
      </c>
      <c r="BS614" t="s">
        <v>60</v>
      </c>
      <c r="BT614" t="s">
        <v>54</v>
      </c>
      <c r="BU614" t="s">
        <v>61</v>
      </c>
      <c r="BV614" t="s">
        <v>62</v>
      </c>
      <c r="BX614">
        <v>24</v>
      </c>
      <c r="BY614">
        <v>0</v>
      </c>
      <c r="BZ614">
        <v>0</v>
      </c>
    </row>
    <row r="615" spans="1:78" x14ac:dyDescent="0.2">
      <c r="A615" t="s">
        <v>180</v>
      </c>
      <c r="B615" t="s">
        <v>181</v>
      </c>
      <c r="C615" t="s">
        <v>433</v>
      </c>
      <c r="D615" t="s">
        <v>499</v>
      </c>
      <c r="F615" t="str">
        <f>"250239"</f>
        <v>250239</v>
      </c>
      <c r="G615" t="s">
        <v>49</v>
      </c>
      <c r="H615" t="s">
        <v>511</v>
      </c>
      <c r="K615" t="s">
        <v>51</v>
      </c>
      <c r="L615" t="s">
        <v>52</v>
      </c>
      <c r="M615">
        <v>134212.56</v>
      </c>
      <c r="N615">
        <v>470851.42</v>
      </c>
      <c r="O615" t="s">
        <v>53</v>
      </c>
      <c r="P615" t="s">
        <v>54</v>
      </c>
      <c r="Q615" t="s">
        <v>55</v>
      </c>
      <c r="T615" t="s">
        <v>183</v>
      </c>
      <c r="U615">
        <v>40</v>
      </c>
      <c r="V615" s="1">
        <v>37073</v>
      </c>
      <c r="W615" s="1">
        <v>37073</v>
      </c>
      <c r="X615" s="1">
        <v>37073</v>
      </c>
      <c r="Y615" s="1">
        <v>51683</v>
      </c>
      <c r="Z615" t="s">
        <v>51</v>
      </c>
      <c r="AB615" t="s">
        <v>54</v>
      </c>
      <c r="AC615">
        <v>1</v>
      </c>
      <c r="AE615" t="s">
        <v>84</v>
      </c>
      <c r="AF615">
        <v>20</v>
      </c>
      <c r="AG615" s="1">
        <v>37073</v>
      </c>
      <c r="AH615" s="1">
        <v>37073</v>
      </c>
      <c r="AI615" s="1">
        <v>37073</v>
      </c>
      <c r="AJ615" s="1">
        <v>44378</v>
      </c>
      <c r="AK615" t="s">
        <v>51</v>
      </c>
      <c r="AN615">
        <v>0</v>
      </c>
      <c r="AO615" t="s">
        <v>54</v>
      </c>
      <c r="AP615" t="s">
        <v>53</v>
      </c>
      <c r="AQ615">
        <v>0</v>
      </c>
      <c r="AR615" t="s">
        <v>53</v>
      </c>
      <c r="AS615">
        <v>0</v>
      </c>
      <c r="AT615">
        <v>0</v>
      </c>
      <c r="AW615" t="s">
        <v>58</v>
      </c>
      <c r="AX615">
        <v>20</v>
      </c>
      <c r="AY615" s="1">
        <v>37073</v>
      </c>
      <c r="AZ615" s="1">
        <v>37073</v>
      </c>
      <c r="BA615" s="1">
        <v>37073</v>
      </c>
      <c r="BB615" s="1">
        <v>44378</v>
      </c>
      <c r="BC615" t="s">
        <v>51</v>
      </c>
      <c r="BE615" t="s">
        <v>54</v>
      </c>
      <c r="BF615">
        <v>2</v>
      </c>
      <c r="BG615">
        <v>0</v>
      </c>
      <c r="BH615" t="s">
        <v>53</v>
      </c>
      <c r="BK615" t="s">
        <v>59</v>
      </c>
      <c r="BL615">
        <v>14000</v>
      </c>
      <c r="BM615" s="1">
        <v>42917</v>
      </c>
      <c r="BN615" s="1">
        <v>42917</v>
      </c>
      <c r="BO615" s="1">
        <v>42917</v>
      </c>
      <c r="BP615" s="1">
        <v>44117</v>
      </c>
      <c r="BQ615" t="s">
        <v>51</v>
      </c>
      <c r="BS615" t="s">
        <v>60</v>
      </c>
      <c r="BT615" t="s">
        <v>54</v>
      </c>
      <c r="BU615" t="s">
        <v>61</v>
      </c>
      <c r="BV615" t="s">
        <v>62</v>
      </c>
      <c r="BX615">
        <v>24</v>
      </c>
      <c r="BY615">
        <v>0</v>
      </c>
      <c r="BZ615">
        <v>0</v>
      </c>
    </row>
    <row r="616" spans="1:78" x14ac:dyDescent="0.2">
      <c r="A616" t="s">
        <v>180</v>
      </c>
      <c r="B616" t="s">
        <v>181</v>
      </c>
      <c r="C616" t="s">
        <v>433</v>
      </c>
      <c r="D616" t="s">
        <v>499</v>
      </c>
      <c r="F616" t="str">
        <f>"250240"</f>
        <v>250240</v>
      </c>
      <c r="G616" t="s">
        <v>49</v>
      </c>
      <c r="H616" t="s">
        <v>233</v>
      </c>
      <c r="K616" t="s">
        <v>51</v>
      </c>
      <c r="L616" t="s">
        <v>52</v>
      </c>
      <c r="M616">
        <v>134240.06</v>
      </c>
      <c r="N616">
        <v>470875.43</v>
      </c>
      <c r="O616" t="s">
        <v>53</v>
      </c>
      <c r="P616" t="s">
        <v>54</v>
      </c>
      <c r="Q616" t="s">
        <v>55</v>
      </c>
      <c r="T616" t="s">
        <v>466</v>
      </c>
      <c r="U616">
        <v>40</v>
      </c>
      <c r="V616" s="1">
        <v>36892</v>
      </c>
      <c r="W616" s="1">
        <v>36892</v>
      </c>
      <c r="X616" s="1">
        <v>36892</v>
      </c>
      <c r="Y616" s="1">
        <v>51502</v>
      </c>
      <c r="Z616" t="s">
        <v>51</v>
      </c>
      <c r="AB616" t="s">
        <v>54</v>
      </c>
      <c r="AC616">
        <v>1</v>
      </c>
      <c r="AE616" t="s">
        <v>84</v>
      </c>
      <c r="AF616">
        <v>20</v>
      </c>
      <c r="AG616" s="1">
        <v>37073</v>
      </c>
      <c r="AH616" s="1">
        <v>37073</v>
      </c>
      <c r="AI616" s="1">
        <v>37073</v>
      </c>
      <c r="AJ616" s="1">
        <v>44378</v>
      </c>
      <c r="AK616" t="s">
        <v>51</v>
      </c>
      <c r="AN616">
        <v>0</v>
      </c>
      <c r="AO616" t="s">
        <v>54</v>
      </c>
      <c r="AP616" t="s">
        <v>53</v>
      </c>
      <c r="AQ616">
        <v>0</v>
      </c>
      <c r="AR616" t="s">
        <v>53</v>
      </c>
      <c r="AS616">
        <v>0</v>
      </c>
      <c r="AT616">
        <v>0</v>
      </c>
      <c r="AW616" t="s">
        <v>58</v>
      </c>
      <c r="AX616">
        <v>20</v>
      </c>
      <c r="AY616" s="1">
        <v>37073</v>
      </c>
      <c r="AZ616" s="1">
        <v>37073</v>
      </c>
      <c r="BA616" s="1">
        <v>37073</v>
      </c>
      <c r="BB616" s="1">
        <v>44378</v>
      </c>
      <c r="BC616" t="s">
        <v>51</v>
      </c>
      <c r="BE616" t="s">
        <v>54</v>
      </c>
      <c r="BF616">
        <v>2</v>
      </c>
      <c r="BG616">
        <v>0</v>
      </c>
      <c r="BH616" t="s">
        <v>53</v>
      </c>
      <c r="BK616" t="s">
        <v>59</v>
      </c>
      <c r="BL616">
        <v>14000</v>
      </c>
      <c r="BM616" s="1">
        <v>42917</v>
      </c>
      <c r="BN616" s="1">
        <v>42917</v>
      </c>
      <c r="BO616" s="1">
        <v>42917</v>
      </c>
      <c r="BP616" s="1">
        <v>44117</v>
      </c>
      <c r="BQ616" t="s">
        <v>51</v>
      </c>
      <c r="BS616" t="s">
        <v>60</v>
      </c>
      <c r="BT616" t="s">
        <v>54</v>
      </c>
      <c r="BU616" t="s">
        <v>61</v>
      </c>
      <c r="BV616" t="s">
        <v>62</v>
      </c>
      <c r="BX616">
        <v>24</v>
      </c>
      <c r="BY616">
        <v>0</v>
      </c>
      <c r="BZ616">
        <v>0</v>
      </c>
    </row>
    <row r="617" spans="1:78" x14ac:dyDescent="0.2">
      <c r="A617" t="s">
        <v>180</v>
      </c>
      <c r="B617" t="s">
        <v>181</v>
      </c>
      <c r="C617" t="s">
        <v>433</v>
      </c>
      <c r="D617" t="s">
        <v>512</v>
      </c>
      <c r="F617" t="str">
        <f>"250 298"</f>
        <v>250 298</v>
      </c>
      <c r="G617" t="s">
        <v>49</v>
      </c>
      <c r="K617" t="s">
        <v>51</v>
      </c>
      <c r="L617" t="s">
        <v>52</v>
      </c>
      <c r="M617">
        <v>136583.72</v>
      </c>
      <c r="N617">
        <v>469789.41</v>
      </c>
      <c r="O617" t="s">
        <v>53</v>
      </c>
      <c r="P617" t="s">
        <v>54</v>
      </c>
      <c r="Q617" t="s">
        <v>55</v>
      </c>
      <c r="T617" t="s">
        <v>431</v>
      </c>
      <c r="U617">
        <v>40</v>
      </c>
      <c r="V617" s="1">
        <v>32874</v>
      </c>
      <c r="W617" s="1">
        <v>32874</v>
      </c>
      <c r="X617" s="1">
        <v>32874</v>
      </c>
      <c r="Y617" s="1">
        <v>47484</v>
      </c>
      <c r="Z617" t="s">
        <v>51</v>
      </c>
      <c r="AB617" t="s">
        <v>54</v>
      </c>
      <c r="AC617">
        <v>1</v>
      </c>
      <c r="AE617" t="s">
        <v>79</v>
      </c>
      <c r="AF617">
        <v>20</v>
      </c>
      <c r="AG617" s="1">
        <v>32874</v>
      </c>
      <c r="AH617" s="1">
        <v>32874</v>
      </c>
      <c r="AI617" s="1">
        <v>32874</v>
      </c>
      <c r="AJ617" s="1">
        <v>40179</v>
      </c>
      <c r="AK617" t="s">
        <v>51</v>
      </c>
      <c r="AN617">
        <v>0</v>
      </c>
      <c r="AO617" t="s">
        <v>54</v>
      </c>
      <c r="AP617" t="s">
        <v>53</v>
      </c>
      <c r="AQ617">
        <v>0</v>
      </c>
      <c r="AR617" t="s">
        <v>145</v>
      </c>
      <c r="AS617">
        <v>0</v>
      </c>
      <c r="AT617">
        <v>0</v>
      </c>
      <c r="AW617" t="s">
        <v>79</v>
      </c>
      <c r="AX617">
        <v>20</v>
      </c>
      <c r="AY617" s="1">
        <v>44158</v>
      </c>
      <c r="AZ617" s="1">
        <v>44158</v>
      </c>
      <c r="BA617" s="1">
        <v>44158</v>
      </c>
      <c r="BB617" s="1">
        <v>51463</v>
      </c>
      <c r="BC617" t="s">
        <v>51</v>
      </c>
      <c r="BE617" t="s">
        <v>54</v>
      </c>
      <c r="BF617">
        <v>5</v>
      </c>
      <c r="BG617">
        <v>0</v>
      </c>
      <c r="BH617" t="s">
        <v>53</v>
      </c>
      <c r="BK617" t="s">
        <v>59</v>
      </c>
      <c r="BL617">
        <v>14000</v>
      </c>
      <c r="BM617" s="1">
        <v>44158</v>
      </c>
      <c r="BN617" s="1">
        <v>44158</v>
      </c>
      <c r="BO617" s="1">
        <v>44158</v>
      </c>
      <c r="BP617" s="1">
        <v>45317</v>
      </c>
      <c r="BQ617" t="s">
        <v>51</v>
      </c>
      <c r="BS617" t="s">
        <v>60</v>
      </c>
      <c r="BT617" t="s">
        <v>54</v>
      </c>
      <c r="BU617" t="s">
        <v>61</v>
      </c>
      <c r="BV617" t="s">
        <v>62</v>
      </c>
      <c r="BX617">
        <v>24</v>
      </c>
      <c r="BY617">
        <v>0</v>
      </c>
      <c r="BZ617">
        <v>0</v>
      </c>
    </row>
    <row r="618" spans="1:78" x14ac:dyDescent="0.2">
      <c r="A618" t="s">
        <v>180</v>
      </c>
      <c r="B618" t="s">
        <v>181</v>
      </c>
      <c r="C618" t="s">
        <v>433</v>
      </c>
      <c r="D618" t="s">
        <v>512</v>
      </c>
      <c r="F618" t="str">
        <f>"250243"</f>
        <v>250243</v>
      </c>
      <c r="G618" t="s">
        <v>49</v>
      </c>
      <c r="K618" t="s">
        <v>51</v>
      </c>
      <c r="L618" t="s">
        <v>52</v>
      </c>
      <c r="M618">
        <v>136482.34</v>
      </c>
      <c r="N618">
        <v>469787.06</v>
      </c>
      <c r="O618" t="s">
        <v>53</v>
      </c>
      <c r="P618" t="s">
        <v>54</v>
      </c>
      <c r="Q618" t="s">
        <v>55</v>
      </c>
      <c r="T618" t="s">
        <v>431</v>
      </c>
      <c r="U618">
        <v>40</v>
      </c>
      <c r="V618" s="1">
        <v>32874</v>
      </c>
      <c r="W618" s="1">
        <v>32874</v>
      </c>
      <c r="X618" s="1">
        <v>32874</v>
      </c>
      <c r="Y618" s="1">
        <v>47484</v>
      </c>
      <c r="Z618" t="s">
        <v>51</v>
      </c>
      <c r="AB618" t="s">
        <v>54</v>
      </c>
      <c r="AC618">
        <v>1</v>
      </c>
      <c r="AE618" t="s">
        <v>79</v>
      </c>
      <c r="AF618">
        <v>20</v>
      </c>
      <c r="AG618" s="1">
        <v>32874</v>
      </c>
      <c r="AH618" s="1">
        <v>32874</v>
      </c>
      <c r="AI618" s="1">
        <v>32874</v>
      </c>
      <c r="AJ618" s="1">
        <v>40179</v>
      </c>
      <c r="AK618" t="s">
        <v>51</v>
      </c>
      <c r="AN618">
        <v>0</v>
      </c>
      <c r="AO618" t="s">
        <v>54</v>
      </c>
      <c r="AP618" t="s">
        <v>53</v>
      </c>
      <c r="AQ618">
        <v>0</v>
      </c>
      <c r="AR618" t="s">
        <v>145</v>
      </c>
      <c r="AS618">
        <v>0</v>
      </c>
      <c r="AT618">
        <v>0</v>
      </c>
      <c r="AW618" t="s">
        <v>79</v>
      </c>
      <c r="AX618">
        <v>20</v>
      </c>
      <c r="AY618" s="1">
        <v>43535</v>
      </c>
      <c r="AZ618" s="1">
        <v>43535</v>
      </c>
      <c r="BA618" s="1">
        <v>43535</v>
      </c>
      <c r="BB618" s="1">
        <v>50840</v>
      </c>
      <c r="BC618" t="s">
        <v>51</v>
      </c>
      <c r="BE618" t="s">
        <v>54</v>
      </c>
      <c r="BF618">
        <v>5</v>
      </c>
      <c r="BG618">
        <v>0</v>
      </c>
      <c r="BH618" t="s">
        <v>53</v>
      </c>
      <c r="BK618" t="s">
        <v>146</v>
      </c>
      <c r="BL618">
        <v>14000</v>
      </c>
      <c r="BM618" s="1">
        <v>43535</v>
      </c>
      <c r="BN618" s="1">
        <v>43535</v>
      </c>
      <c r="BO618" s="1">
        <v>43535</v>
      </c>
      <c r="BP618" s="1">
        <v>44746</v>
      </c>
      <c r="BQ618" t="s">
        <v>51</v>
      </c>
      <c r="BS618" t="s">
        <v>60</v>
      </c>
      <c r="BT618" t="s">
        <v>54</v>
      </c>
      <c r="BU618" t="s">
        <v>61</v>
      </c>
      <c r="BV618" t="s">
        <v>62</v>
      </c>
      <c r="BX618">
        <v>24</v>
      </c>
      <c r="BY618">
        <v>0</v>
      </c>
      <c r="BZ618">
        <v>0</v>
      </c>
    </row>
    <row r="619" spans="1:78" x14ac:dyDescent="0.2">
      <c r="A619" t="s">
        <v>180</v>
      </c>
      <c r="B619" t="s">
        <v>181</v>
      </c>
      <c r="C619" t="s">
        <v>433</v>
      </c>
      <c r="D619" t="s">
        <v>512</v>
      </c>
      <c r="F619" t="str">
        <f>"250244"</f>
        <v>250244</v>
      </c>
      <c r="G619" t="s">
        <v>49</v>
      </c>
      <c r="K619" t="s">
        <v>51</v>
      </c>
      <c r="L619" t="s">
        <v>52</v>
      </c>
      <c r="M619">
        <v>136373.81</v>
      </c>
      <c r="N619">
        <v>469787.19</v>
      </c>
      <c r="O619" t="s">
        <v>53</v>
      </c>
      <c r="P619" t="s">
        <v>54</v>
      </c>
      <c r="Q619" t="s">
        <v>55</v>
      </c>
      <c r="T619" t="s">
        <v>431</v>
      </c>
      <c r="U619">
        <v>40</v>
      </c>
      <c r="V619" s="1">
        <v>32874</v>
      </c>
      <c r="W619" s="1">
        <v>32874</v>
      </c>
      <c r="X619" s="1">
        <v>32874</v>
      </c>
      <c r="Y619" s="1">
        <v>47484</v>
      </c>
      <c r="Z619" t="s">
        <v>51</v>
      </c>
      <c r="AB619" t="s">
        <v>54</v>
      </c>
      <c r="AC619">
        <v>1</v>
      </c>
      <c r="AE619" t="s">
        <v>79</v>
      </c>
      <c r="AF619">
        <v>20</v>
      </c>
      <c r="AG619" s="1">
        <v>32874</v>
      </c>
      <c r="AH619" s="1">
        <v>32874</v>
      </c>
      <c r="AI619" s="1">
        <v>32874</v>
      </c>
      <c r="AJ619" s="1">
        <v>40179</v>
      </c>
      <c r="AK619" t="s">
        <v>51</v>
      </c>
      <c r="AN619">
        <v>0</v>
      </c>
      <c r="AO619" t="s">
        <v>54</v>
      </c>
      <c r="AP619" t="s">
        <v>53</v>
      </c>
      <c r="AQ619">
        <v>0</v>
      </c>
      <c r="AR619" t="s">
        <v>145</v>
      </c>
      <c r="AS619">
        <v>0</v>
      </c>
      <c r="AT619">
        <v>0</v>
      </c>
      <c r="AW619" t="s">
        <v>79</v>
      </c>
      <c r="AX619">
        <v>20</v>
      </c>
      <c r="AY619" s="1">
        <v>32874</v>
      </c>
      <c r="AZ619" s="1">
        <v>32874</v>
      </c>
      <c r="BA619" s="1">
        <v>32874</v>
      </c>
      <c r="BB619" s="1">
        <v>40179</v>
      </c>
      <c r="BC619" t="s">
        <v>51</v>
      </c>
      <c r="BE619" t="s">
        <v>54</v>
      </c>
      <c r="BF619">
        <v>5</v>
      </c>
      <c r="BG619">
        <v>0</v>
      </c>
      <c r="BH619" t="s">
        <v>53</v>
      </c>
      <c r="BK619" t="s">
        <v>59</v>
      </c>
      <c r="BL619">
        <v>14000</v>
      </c>
      <c r="BM619" s="1">
        <v>42917</v>
      </c>
      <c r="BN619" s="1">
        <v>42917</v>
      </c>
      <c r="BO619" s="1">
        <v>42917</v>
      </c>
      <c r="BP619" s="1">
        <v>44117</v>
      </c>
      <c r="BQ619" t="s">
        <v>51</v>
      </c>
      <c r="BS619" t="s">
        <v>60</v>
      </c>
      <c r="BT619" t="s">
        <v>54</v>
      </c>
      <c r="BU619" t="s">
        <v>61</v>
      </c>
      <c r="BV619" t="s">
        <v>62</v>
      </c>
      <c r="BX619">
        <v>24</v>
      </c>
      <c r="BY619">
        <v>0</v>
      </c>
      <c r="BZ619">
        <v>0</v>
      </c>
    </row>
    <row r="620" spans="1:78" x14ac:dyDescent="0.2">
      <c r="A620" t="s">
        <v>180</v>
      </c>
      <c r="B620" t="s">
        <v>181</v>
      </c>
      <c r="C620" t="s">
        <v>433</v>
      </c>
      <c r="D620" t="s">
        <v>512</v>
      </c>
      <c r="F620" t="str">
        <f>"250245"</f>
        <v>250245</v>
      </c>
      <c r="G620" t="s">
        <v>49</v>
      </c>
      <c r="K620" t="s">
        <v>51</v>
      </c>
      <c r="L620" t="s">
        <v>52</v>
      </c>
      <c r="M620">
        <v>136255.95000000001</v>
      </c>
      <c r="N620">
        <v>469784.69</v>
      </c>
      <c r="O620" t="s">
        <v>53</v>
      </c>
      <c r="P620" t="s">
        <v>54</v>
      </c>
      <c r="Q620" t="s">
        <v>55</v>
      </c>
      <c r="T620" t="s">
        <v>431</v>
      </c>
      <c r="U620">
        <v>40</v>
      </c>
      <c r="V620" s="1">
        <v>32874</v>
      </c>
      <c r="W620" s="1">
        <v>32874</v>
      </c>
      <c r="X620" s="1">
        <v>32874</v>
      </c>
      <c r="Y620" s="1">
        <v>47484</v>
      </c>
      <c r="Z620" t="s">
        <v>51</v>
      </c>
      <c r="AB620" t="s">
        <v>54</v>
      </c>
      <c r="AC620">
        <v>1</v>
      </c>
      <c r="AE620" t="s">
        <v>79</v>
      </c>
      <c r="AF620">
        <v>20</v>
      </c>
      <c r="AG620" s="1">
        <v>32874</v>
      </c>
      <c r="AH620" s="1">
        <v>32874</v>
      </c>
      <c r="AI620" s="1">
        <v>32874</v>
      </c>
      <c r="AJ620" s="1">
        <v>40179</v>
      </c>
      <c r="AK620" t="s">
        <v>51</v>
      </c>
      <c r="AN620">
        <v>0</v>
      </c>
      <c r="AO620" t="s">
        <v>54</v>
      </c>
      <c r="AP620" t="s">
        <v>53</v>
      </c>
      <c r="AQ620">
        <v>0</v>
      </c>
      <c r="AR620" t="s">
        <v>145</v>
      </c>
      <c r="AS620">
        <v>0</v>
      </c>
      <c r="AT620">
        <v>0</v>
      </c>
      <c r="AW620" t="s">
        <v>79</v>
      </c>
      <c r="AX620">
        <v>20</v>
      </c>
      <c r="AY620" s="1">
        <v>32874</v>
      </c>
      <c r="AZ620" s="1">
        <v>32874</v>
      </c>
      <c r="BA620" s="1">
        <v>32874</v>
      </c>
      <c r="BB620" s="1">
        <v>40179</v>
      </c>
      <c r="BC620" t="s">
        <v>51</v>
      </c>
      <c r="BE620" t="s">
        <v>54</v>
      </c>
      <c r="BF620">
        <v>5</v>
      </c>
      <c r="BG620">
        <v>0</v>
      </c>
      <c r="BH620" t="s">
        <v>53</v>
      </c>
      <c r="BK620" t="s">
        <v>59</v>
      </c>
      <c r="BL620">
        <v>14000</v>
      </c>
      <c r="BM620" s="1">
        <v>42917</v>
      </c>
      <c r="BN620" s="1">
        <v>42917</v>
      </c>
      <c r="BO620" s="1">
        <v>42917</v>
      </c>
      <c r="BP620" s="1">
        <v>44117</v>
      </c>
      <c r="BQ620" t="s">
        <v>51</v>
      </c>
      <c r="BS620" t="s">
        <v>60</v>
      </c>
      <c r="BT620" t="s">
        <v>54</v>
      </c>
      <c r="BU620" t="s">
        <v>61</v>
      </c>
      <c r="BV620" t="s">
        <v>62</v>
      </c>
      <c r="BX620">
        <v>24</v>
      </c>
      <c r="BY620">
        <v>0</v>
      </c>
      <c r="BZ620">
        <v>0</v>
      </c>
    </row>
    <row r="621" spans="1:78" x14ac:dyDescent="0.2">
      <c r="A621" t="s">
        <v>180</v>
      </c>
      <c r="B621" t="s">
        <v>181</v>
      </c>
      <c r="C621" t="s">
        <v>433</v>
      </c>
      <c r="D621" t="s">
        <v>512</v>
      </c>
      <c r="F621" t="str">
        <f>"250247"</f>
        <v>250247</v>
      </c>
      <c r="G621" t="s">
        <v>49</v>
      </c>
      <c r="K621" t="s">
        <v>51</v>
      </c>
      <c r="L621" t="s">
        <v>52</v>
      </c>
      <c r="M621">
        <v>136024.13</v>
      </c>
      <c r="N621">
        <v>469780.94</v>
      </c>
      <c r="O621" t="s">
        <v>53</v>
      </c>
      <c r="P621" t="s">
        <v>54</v>
      </c>
      <c r="Q621" t="s">
        <v>55</v>
      </c>
      <c r="T621" t="s">
        <v>431</v>
      </c>
      <c r="U621">
        <v>40</v>
      </c>
      <c r="V621" s="1">
        <v>32874</v>
      </c>
      <c r="W621" s="1">
        <v>32874</v>
      </c>
      <c r="X621" s="1">
        <v>32874</v>
      </c>
      <c r="Y621" s="1">
        <v>47484</v>
      </c>
      <c r="Z621" t="s">
        <v>51</v>
      </c>
      <c r="AB621" t="s">
        <v>54</v>
      </c>
      <c r="AC621">
        <v>1</v>
      </c>
      <c r="AE621" t="s">
        <v>79</v>
      </c>
      <c r="AF621">
        <v>20</v>
      </c>
      <c r="AG621" s="1">
        <v>32874</v>
      </c>
      <c r="AH621" s="1">
        <v>32874</v>
      </c>
      <c r="AI621" s="1">
        <v>32874</v>
      </c>
      <c r="AJ621" s="1">
        <v>40179</v>
      </c>
      <c r="AK621" t="s">
        <v>51</v>
      </c>
      <c r="AN621">
        <v>0</v>
      </c>
      <c r="AO621" t="s">
        <v>54</v>
      </c>
      <c r="AP621" t="s">
        <v>53</v>
      </c>
      <c r="AQ621">
        <v>0</v>
      </c>
      <c r="AR621" t="s">
        <v>145</v>
      </c>
      <c r="AS621">
        <v>0</v>
      </c>
      <c r="AT621">
        <v>0</v>
      </c>
      <c r="AW621" t="s">
        <v>79</v>
      </c>
      <c r="AX621">
        <v>20</v>
      </c>
      <c r="AY621" s="1">
        <v>32874</v>
      </c>
      <c r="AZ621" s="1">
        <v>32874</v>
      </c>
      <c r="BA621" s="1">
        <v>32874</v>
      </c>
      <c r="BB621" s="1">
        <v>40179</v>
      </c>
      <c r="BC621" t="s">
        <v>51</v>
      </c>
      <c r="BE621" t="s">
        <v>54</v>
      </c>
      <c r="BF621">
        <v>5</v>
      </c>
      <c r="BG621">
        <v>0</v>
      </c>
      <c r="BH621" t="s">
        <v>53</v>
      </c>
      <c r="BK621" t="s">
        <v>59</v>
      </c>
      <c r="BL621">
        <v>14000</v>
      </c>
      <c r="BM621" s="1">
        <v>42917</v>
      </c>
      <c r="BN621" s="1">
        <v>42917</v>
      </c>
      <c r="BO621" s="1">
        <v>42917</v>
      </c>
      <c r="BP621" s="1">
        <v>44117</v>
      </c>
      <c r="BQ621" t="s">
        <v>51</v>
      </c>
      <c r="BS621" t="s">
        <v>60</v>
      </c>
      <c r="BT621" t="s">
        <v>54</v>
      </c>
      <c r="BU621" t="s">
        <v>61</v>
      </c>
      <c r="BV621" t="s">
        <v>62</v>
      </c>
      <c r="BX621">
        <v>24</v>
      </c>
      <c r="BY621">
        <v>0</v>
      </c>
      <c r="BZ621">
        <v>0</v>
      </c>
    </row>
    <row r="622" spans="1:78" x14ac:dyDescent="0.2">
      <c r="A622" t="s">
        <v>180</v>
      </c>
      <c r="B622" t="s">
        <v>181</v>
      </c>
      <c r="C622" t="s">
        <v>433</v>
      </c>
      <c r="D622" t="s">
        <v>512</v>
      </c>
      <c r="F622" t="str">
        <f>"250248"</f>
        <v>250248</v>
      </c>
      <c r="G622" t="s">
        <v>49</v>
      </c>
      <c r="K622" t="s">
        <v>51</v>
      </c>
      <c r="L622" t="s">
        <v>52</v>
      </c>
      <c r="M622">
        <v>135917.13</v>
      </c>
      <c r="N622">
        <v>469778.56</v>
      </c>
      <c r="O622" t="s">
        <v>53</v>
      </c>
      <c r="P622" t="s">
        <v>54</v>
      </c>
      <c r="Q622" t="s">
        <v>55</v>
      </c>
      <c r="T622" t="s">
        <v>431</v>
      </c>
      <c r="U622">
        <v>40</v>
      </c>
      <c r="V622" s="1">
        <v>32874</v>
      </c>
      <c r="W622" s="1">
        <v>32874</v>
      </c>
      <c r="X622" s="1">
        <v>32874</v>
      </c>
      <c r="Y622" s="1">
        <v>47484</v>
      </c>
      <c r="Z622" t="s">
        <v>51</v>
      </c>
      <c r="AB622" t="s">
        <v>54</v>
      </c>
      <c r="AC622">
        <v>1</v>
      </c>
      <c r="AE622" t="s">
        <v>79</v>
      </c>
      <c r="AF622">
        <v>20</v>
      </c>
      <c r="AG622" s="1">
        <v>32874</v>
      </c>
      <c r="AH622" s="1">
        <v>32874</v>
      </c>
      <c r="AI622" s="1">
        <v>32874</v>
      </c>
      <c r="AJ622" s="1">
        <v>40179</v>
      </c>
      <c r="AK622" t="s">
        <v>51</v>
      </c>
      <c r="AN622">
        <v>0</v>
      </c>
      <c r="AO622" t="s">
        <v>54</v>
      </c>
      <c r="AP622" t="s">
        <v>53</v>
      </c>
      <c r="AQ622">
        <v>0</v>
      </c>
      <c r="AR622" t="s">
        <v>145</v>
      </c>
      <c r="AS622">
        <v>0</v>
      </c>
      <c r="AT622">
        <v>0</v>
      </c>
      <c r="AW622" t="s">
        <v>58</v>
      </c>
      <c r="AX622">
        <v>20</v>
      </c>
      <c r="AY622" s="1">
        <v>44431</v>
      </c>
      <c r="AZ622" s="1">
        <v>44431</v>
      </c>
      <c r="BA622" s="1">
        <v>44431</v>
      </c>
      <c r="BB622" s="1">
        <v>51736</v>
      </c>
      <c r="BC622" t="s">
        <v>51</v>
      </c>
      <c r="BE622" t="s">
        <v>54</v>
      </c>
      <c r="BF622">
        <v>2</v>
      </c>
      <c r="BG622">
        <v>0</v>
      </c>
      <c r="BH622" t="s">
        <v>53</v>
      </c>
      <c r="BK622" t="s">
        <v>59</v>
      </c>
      <c r="BL622">
        <v>14000</v>
      </c>
      <c r="BM622" s="1">
        <v>42917</v>
      </c>
      <c r="BN622" s="1">
        <v>42917</v>
      </c>
      <c r="BO622" s="1">
        <v>44431</v>
      </c>
      <c r="BP622" s="1">
        <v>44117</v>
      </c>
      <c r="BQ622" t="s">
        <v>51</v>
      </c>
      <c r="BS622" t="s">
        <v>60</v>
      </c>
      <c r="BT622" t="s">
        <v>54</v>
      </c>
      <c r="BU622" t="s">
        <v>61</v>
      </c>
      <c r="BV622" t="s">
        <v>62</v>
      </c>
      <c r="BX622">
        <v>24</v>
      </c>
      <c r="BY622">
        <v>0</v>
      </c>
      <c r="BZ622">
        <v>0</v>
      </c>
    </row>
    <row r="623" spans="1:78" x14ac:dyDescent="0.2">
      <c r="A623" t="s">
        <v>180</v>
      </c>
      <c r="B623" t="s">
        <v>181</v>
      </c>
      <c r="C623" t="s">
        <v>433</v>
      </c>
      <c r="D623" t="s">
        <v>512</v>
      </c>
      <c r="F623" t="str">
        <f>"250249"</f>
        <v>250249</v>
      </c>
      <c r="G623" t="s">
        <v>49</v>
      </c>
      <c r="K623" t="s">
        <v>51</v>
      </c>
      <c r="L623" t="s">
        <v>52</v>
      </c>
      <c r="M623">
        <v>135814.32999999999</v>
      </c>
      <c r="N623">
        <v>469775.75</v>
      </c>
      <c r="O623" t="s">
        <v>53</v>
      </c>
      <c r="P623" t="s">
        <v>54</v>
      </c>
      <c r="Q623" t="s">
        <v>55</v>
      </c>
      <c r="T623" t="s">
        <v>431</v>
      </c>
      <c r="U623">
        <v>40</v>
      </c>
      <c r="V623" s="1">
        <v>32874</v>
      </c>
      <c r="W623" s="1">
        <v>32874</v>
      </c>
      <c r="X623" s="1">
        <v>32874</v>
      </c>
      <c r="Y623" s="1">
        <v>47484</v>
      </c>
      <c r="Z623" t="s">
        <v>51</v>
      </c>
      <c r="AB623" t="s">
        <v>54</v>
      </c>
      <c r="AC623">
        <v>1</v>
      </c>
      <c r="AE623" t="s">
        <v>79</v>
      </c>
      <c r="AF623">
        <v>20</v>
      </c>
      <c r="AG623" s="1">
        <v>32874</v>
      </c>
      <c r="AH623" s="1">
        <v>32874</v>
      </c>
      <c r="AI623" s="1">
        <v>32874</v>
      </c>
      <c r="AJ623" s="1">
        <v>40179</v>
      </c>
      <c r="AK623" t="s">
        <v>51</v>
      </c>
      <c r="AN623">
        <v>0</v>
      </c>
      <c r="AO623" t="s">
        <v>54</v>
      </c>
      <c r="AP623" t="s">
        <v>53</v>
      </c>
      <c r="AQ623">
        <v>0</v>
      </c>
      <c r="AR623" t="s">
        <v>145</v>
      </c>
      <c r="AS623">
        <v>0</v>
      </c>
      <c r="AT623">
        <v>0</v>
      </c>
      <c r="AW623" t="s">
        <v>79</v>
      </c>
      <c r="AX623">
        <v>20</v>
      </c>
      <c r="AY623" s="1">
        <v>32874</v>
      </c>
      <c r="AZ623" s="1">
        <v>32874</v>
      </c>
      <c r="BA623" s="1">
        <v>32874</v>
      </c>
      <c r="BB623" s="1">
        <v>40179</v>
      </c>
      <c r="BC623" t="s">
        <v>51</v>
      </c>
      <c r="BE623" t="s">
        <v>54</v>
      </c>
      <c r="BF623">
        <v>5</v>
      </c>
      <c r="BG623">
        <v>0</v>
      </c>
      <c r="BH623" t="s">
        <v>53</v>
      </c>
      <c r="BK623" t="s">
        <v>59</v>
      </c>
      <c r="BL623">
        <v>14000</v>
      </c>
      <c r="BM623" s="1">
        <v>42917</v>
      </c>
      <c r="BN623" s="1">
        <v>42917</v>
      </c>
      <c r="BO623" s="1">
        <v>42917</v>
      </c>
      <c r="BP623" s="1">
        <v>44117</v>
      </c>
      <c r="BQ623" t="s">
        <v>51</v>
      </c>
      <c r="BS623" t="s">
        <v>60</v>
      </c>
      <c r="BT623" t="s">
        <v>54</v>
      </c>
      <c r="BU623" t="s">
        <v>61</v>
      </c>
      <c r="BV623" t="s">
        <v>62</v>
      </c>
      <c r="BX623">
        <v>24</v>
      </c>
      <c r="BY623">
        <v>0</v>
      </c>
      <c r="BZ623">
        <v>0</v>
      </c>
    </row>
    <row r="624" spans="1:78" x14ac:dyDescent="0.2">
      <c r="A624" t="s">
        <v>180</v>
      </c>
      <c r="B624" t="s">
        <v>181</v>
      </c>
      <c r="C624" t="s">
        <v>433</v>
      </c>
      <c r="D624" t="s">
        <v>512</v>
      </c>
      <c r="F624" t="str">
        <f>"250250"</f>
        <v>250250</v>
      </c>
      <c r="G624" t="s">
        <v>49</v>
      </c>
      <c r="K624" t="s">
        <v>51</v>
      </c>
      <c r="L624" t="s">
        <v>52</v>
      </c>
      <c r="M624">
        <v>135706.75</v>
      </c>
      <c r="N624">
        <v>469770.81</v>
      </c>
      <c r="O624" t="s">
        <v>53</v>
      </c>
      <c r="P624" t="s">
        <v>54</v>
      </c>
      <c r="Q624" t="s">
        <v>55</v>
      </c>
      <c r="T624" t="s">
        <v>431</v>
      </c>
      <c r="U624">
        <v>40</v>
      </c>
      <c r="V624" s="1">
        <v>32874</v>
      </c>
      <c r="W624" s="1">
        <v>32874</v>
      </c>
      <c r="X624" s="1">
        <v>32874</v>
      </c>
      <c r="Y624" s="1">
        <v>47484</v>
      </c>
      <c r="Z624" t="s">
        <v>51</v>
      </c>
      <c r="AB624" t="s">
        <v>54</v>
      </c>
      <c r="AC624">
        <v>1</v>
      </c>
      <c r="AE624" t="s">
        <v>79</v>
      </c>
      <c r="AF624">
        <v>20</v>
      </c>
      <c r="AG624" s="1">
        <v>32874</v>
      </c>
      <c r="AH624" s="1">
        <v>32874</v>
      </c>
      <c r="AI624" s="1">
        <v>32874</v>
      </c>
      <c r="AJ624" s="1">
        <v>40179</v>
      </c>
      <c r="AK624" t="s">
        <v>51</v>
      </c>
      <c r="AN624">
        <v>0</v>
      </c>
      <c r="AO624" t="s">
        <v>54</v>
      </c>
      <c r="AP624" t="s">
        <v>53</v>
      </c>
      <c r="AQ624">
        <v>0</v>
      </c>
      <c r="AR624" t="s">
        <v>145</v>
      </c>
      <c r="AS624">
        <v>0</v>
      </c>
      <c r="AT624">
        <v>0</v>
      </c>
      <c r="AW624" t="s">
        <v>79</v>
      </c>
      <c r="AX624">
        <v>20</v>
      </c>
      <c r="AY624" s="1">
        <v>32874</v>
      </c>
      <c r="AZ624" s="1">
        <v>32874</v>
      </c>
      <c r="BA624" s="1">
        <v>32874</v>
      </c>
      <c r="BB624" s="1">
        <v>40179</v>
      </c>
      <c r="BC624" t="s">
        <v>51</v>
      </c>
      <c r="BE624" t="s">
        <v>54</v>
      </c>
      <c r="BF624">
        <v>5</v>
      </c>
      <c r="BG624">
        <v>0</v>
      </c>
      <c r="BH624" t="s">
        <v>53</v>
      </c>
      <c r="BK624" t="s">
        <v>59</v>
      </c>
      <c r="BL624">
        <v>14000</v>
      </c>
      <c r="BM624" s="1">
        <v>42917</v>
      </c>
      <c r="BN624" s="1">
        <v>42917</v>
      </c>
      <c r="BO624" s="1">
        <v>42917</v>
      </c>
      <c r="BP624" s="1">
        <v>44117</v>
      </c>
      <c r="BQ624" t="s">
        <v>51</v>
      </c>
      <c r="BS624" t="s">
        <v>60</v>
      </c>
      <c r="BT624" t="s">
        <v>54</v>
      </c>
      <c r="BU624" t="s">
        <v>61</v>
      </c>
      <c r="BV624" t="s">
        <v>62</v>
      </c>
      <c r="BX624">
        <v>24</v>
      </c>
      <c r="BY624">
        <v>0</v>
      </c>
      <c r="BZ624">
        <v>0</v>
      </c>
    </row>
    <row r="625" spans="1:99" x14ac:dyDescent="0.2">
      <c r="A625" t="s">
        <v>180</v>
      </c>
      <c r="B625" t="s">
        <v>181</v>
      </c>
      <c r="C625" t="s">
        <v>433</v>
      </c>
      <c r="D625" t="s">
        <v>512</v>
      </c>
      <c r="F625" t="str">
        <f>"250251"</f>
        <v>250251</v>
      </c>
      <c r="G625" t="s">
        <v>49</v>
      </c>
      <c r="K625" t="s">
        <v>51</v>
      </c>
      <c r="L625" t="s">
        <v>52</v>
      </c>
      <c r="M625">
        <v>135620.73000000001</v>
      </c>
      <c r="N625">
        <v>469771.34</v>
      </c>
      <c r="O625" t="s">
        <v>53</v>
      </c>
      <c r="P625" t="s">
        <v>54</v>
      </c>
      <c r="Q625" t="s">
        <v>55</v>
      </c>
      <c r="T625" t="s">
        <v>431</v>
      </c>
      <c r="U625">
        <v>40</v>
      </c>
      <c r="V625" s="1">
        <v>32874</v>
      </c>
      <c r="W625" s="1">
        <v>32874</v>
      </c>
      <c r="X625" s="1">
        <v>32874</v>
      </c>
      <c r="Y625" s="1">
        <v>47484</v>
      </c>
      <c r="Z625" t="s">
        <v>51</v>
      </c>
      <c r="AB625" t="s">
        <v>54</v>
      </c>
      <c r="AC625">
        <v>1</v>
      </c>
      <c r="AE625" t="s">
        <v>79</v>
      </c>
      <c r="AF625">
        <v>20</v>
      </c>
      <c r="AG625" s="1">
        <v>32874</v>
      </c>
      <c r="AH625" s="1">
        <v>32874</v>
      </c>
      <c r="AI625" s="1">
        <v>32874</v>
      </c>
      <c r="AJ625" s="1">
        <v>40179</v>
      </c>
      <c r="AK625" t="s">
        <v>51</v>
      </c>
      <c r="AN625">
        <v>0</v>
      </c>
      <c r="AO625" t="s">
        <v>54</v>
      </c>
      <c r="AP625" t="s">
        <v>53</v>
      </c>
      <c r="AQ625">
        <v>0</v>
      </c>
      <c r="AR625" t="s">
        <v>145</v>
      </c>
      <c r="AS625">
        <v>0</v>
      </c>
      <c r="AT625">
        <v>0</v>
      </c>
      <c r="AW625" t="s">
        <v>79</v>
      </c>
      <c r="AX625">
        <v>20</v>
      </c>
      <c r="AY625" s="1">
        <v>32874</v>
      </c>
      <c r="AZ625" s="1">
        <v>32874</v>
      </c>
      <c r="BA625" s="1">
        <v>32874</v>
      </c>
      <c r="BB625" s="1">
        <v>40179</v>
      </c>
      <c r="BC625" t="s">
        <v>51</v>
      </c>
      <c r="BE625" t="s">
        <v>54</v>
      </c>
      <c r="BF625">
        <v>5</v>
      </c>
      <c r="BG625">
        <v>0</v>
      </c>
      <c r="BH625" t="s">
        <v>53</v>
      </c>
      <c r="BK625" t="s">
        <v>59</v>
      </c>
      <c r="BL625">
        <v>14000</v>
      </c>
      <c r="BM625" s="1">
        <v>42917</v>
      </c>
      <c r="BN625" s="1">
        <v>42917</v>
      </c>
      <c r="BO625" s="1">
        <v>42917</v>
      </c>
      <c r="BP625" s="1">
        <v>44117</v>
      </c>
      <c r="BQ625" t="s">
        <v>51</v>
      </c>
      <c r="BS625" t="s">
        <v>60</v>
      </c>
      <c r="BT625" t="s">
        <v>54</v>
      </c>
      <c r="BU625" t="s">
        <v>61</v>
      </c>
      <c r="BV625" t="s">
        <v>62</v>
      </c>
      <c r="BX625">
        <v>24</v>
      </c>
      <c r="BY625">
        <v>0</v>
      </c>
      <c r="BZ625">
        <v>0</v>
      </c>
    </row>
    <row r="626" spans="1:99" x14ac:dyDescent="0.2">
      <c r="A626" t="s">
        <v>180</v>
      </c>
      <c r="B626" t="s">
        <v>181</v>
      </c>
      <c r="C626" t="s">
        <v>182</v>
      </c>
      <c r="D626" t="s">
        <v>513</v>
      </c>
      <c r="F626" t="str">
        <f>"250256"</f>
        <v>250256</v>
      </c>
      <c r="G626" t="s">
        <v>49</v>
      </c>
      <c r="K626" t="s">
        <v>51</v>
      </c>
      <c r="L626" t="s">
        <v>52</v>
      </c>
      <c r="M626">
        <v>134452.94</v>
      </c>
      <c r="N626">
        <v>471039.16</v>
      </c>
      <c r="O626" t="s">
        <v>53</v>
      </c>
      <c r="P626" t="s">
        <v>54</v>
      </c>
      <c r="Q626" t="s">
        <v>55</v>
      </c>
      <c r="S626" t="s">
        <v>514</v>
      </c>
      <c r="T626" t="s">
        <v>514</v>
      </c>
      <c r="U626">
        <v>30</v>
      </c>
      <c r="V626" s="1">
        <v>44197</v>
      </c>
      <c r="W626" s="1">
        <v>44197</v>
      </c>
      <c r="X626" s="1">
        <v>44197</v>
      </c>
      <c r="Y626" s="1">
        <v>55154</v>
      </c>
      <c r="Z626" t="s">
        <v>51</v>
      </c>
      <c r="AB626" t="s">
        <v>54</v>
      </c>
      <c r="AC626">
        <v>1</v>
      </c>
      <c r="AE626" t="s">
        <v>515</v>
      </c>
      <c r="AF626">
        <v>20</v>
      </c>
      <c r="AG626" s="1">
        <v>44197</v>
      </c>
      <c r="AH626" s="1">
        <v>44197</v>
      </c>
      <c r="AI626" s="1">
        <v>44197</v>
      </c>
      <c r="AJ626" s="1">
        <v>51502</v>
      </c>
      <c r="AK626" t="s">
        <v>51</v>
      </c>
      <c r="AN626">
        <v>0</v>
      </c>
      <c r="AO626" t="s">
        <v>54</v>
      </c>
      <c r="AP626" t="s">
        <v>53</v>
      </c>
      <c r="AQ626">
        <v>0</v>
      </c>
      <c r="AR626" t="s">
        <v>53</v>
      </c>
      <c r="AS626">
        <v>0</v>
      </c>
      <c r="AT626">
        <v>0</v>
      </c>
      <c r="CC626" t="s">
        <v>432</v>
      </c>
      <c r="CD626">
        <v>85000</v>
      </c>
      <c r="CE626" s="1">
        <v>44197</v>
      </c>
      <c r="CF626" s="1">
        <v>44197</v>
      </c>
      <c r="CG626" s="1">
        <v>44197</v>
      </c>
      <c r="CH626" s="1">
        <v>51826</v>
      </c>
      <c r="CI626" t="s">
        <v>51</v>
      </c>
      <c r="CK626" t="s">
        <v>78</v>
      </c>
      <c r="CM626" t="s">
        <v>54</v>
      </c>
      <c r="CN626" t="s">
        <v>174</v>
      </c>
      <c r="CO626" t="s">
        <v>86</v>
      </c>
      <c r="CR626">
        <v>24</v>
      </c>
      <c r="CS626">
        <v>0</v>
      </c>
      <c r="CT626">
        <v>0</v>
      </c>
      <c r="CU626">
        <v>0</v>
      </c>
    </row>
    <row r="627" spans="1:99" x14ac:dyDescent="0.2">
      <c r="A627" t="s">
        <v>180</v>
      </c>
      <c r="B627" t="s">
        <v>181</v>
      </c>
      <c r="C627" t="s">
        <v>182</v>
      </c>
      <c r="D627" t="s">
        <v>513</v>
      </c>
      <c r="F627" t="str">
        <f>"250258"</f>
        <v>250258</v>
      </c>
      <c r="G627" t="s">
        <v>49</v>
      </c>
      <c r="H627" t="s">
        <v>516</v>
      </c>
      <c r="K627" t="s">
        <v>51</v>
      </c>
      <c r="L627" t="s">
        <v>52</v>
      </c>
      <c r="M627">
        <v>134531.17000000001</v>
      </c>
      <c r="N627">
        <v>471101.28</v>
      </c>
      <c r="O627" t="s">
        <v>53</v>
      </c>
      <c r="P627" t="s">
        <v>54</v>
      </c>
      <c r="Q627" t="s">
        <v>55</v>
      </c>
      <c r="S627" t="s">
        <v>514</v>
      </c>
      <c r="T627" t="s">
        <v>514</v>
      </c>
      <c r="U627">
        <v>30</v>
      </c>
      <c r="V627" s="1">
        <v>44197</v>
      </c>
      <c r="W627" s="1">
        <v>44197</v>
      </c>
      <c r="X627" s="1">
        <v>44197</v>
      </c>
      <c r="Y627" s="1">
        <v>55154</v>
      </c>
      <c r="Z627" t="s">
        <v>51</v>
      </c>
      <c r="AB627" t="s">
        <v>54</v>
      </c>
      <c r="AC627">
        <v>1</v>
      </c>
      <c r="AE627" t="s">
        <v>515</v>
      </c>
      <c r="AF627">
        <v>20</v>
      </c>
      <c r="AG627" s="1">
        <v>44197</v>
      </c>
      <c r="AH627" s="1">
        <v>44197</v>
      </c>
      <c r="AI627" s="1">
        <v>44197</v>
      </c>
      <c r="AJ627" s="1">
        <v>51502</v>
      </c>
      <c r="AK627" t="s">
        <v>51</v>
      </c>
      <c r="AN627">
        <v>0</v>
      </c>
      <c r="AO627" t="s">
        <v>54</v>
      </c>
      <c r="AP627" t="s">
        <v>53</v>
      </c>
      <c r="AQ627">
        <v>0</v>
      </c>
      <c r="AR627" t="s">
        <v>53</v>
      </c>
      <c r="AS627">
        <v>0</v>
      </c>
      <c r="AT627">
        <v>0</v>
      </c>
      <c r="CC627" t="s">
        <v>432</v>
      </c>
      <c r="CD627">
        <v>85000</v>
      </c>
      <c r="CE627" s="1">
        <v>44197</v>
      </c>
      <c r="CF627" s="1">
        <v>44197</v>
      </c>
      <c r="CG627" s="1">
        <v>44197</v>
      </c>
      <c r="CH627" s="1">
        <v>51826</v>
      </c>
      <c r="CI627" t="s">
        <v>51</v>
      </c>
      <c r="CK627" t="s">
        <v>78</v>
      </c>
      <c r="CM627" t="s">
        <v>54</v>
      </c>
      <c r="CN627" t="s">
        <v>174</v>
      </c>
      <c r="CO627" t="s">
        <v>86</v>
      </c>
      <c r="CR627">
        <v>24</v>
      </c>
      <c r="CS627">
        <v>0</v>
      </c>
      <c r="CT627">
        <v>0</v>
      </c>
      <c r="CU627">
        <v>0</v>
      </c>
    </row>
    <row r="628" spans="1:99" x14ac:dyDescent="0.2">
      <c r="A628" t="s">
        <v>180</v>
      </c>
      <c r="B628" t="s">
        <v>181</v>
      </c>
      <c r="C628" t="s">
        <v>182</v>
      </c>
      <c r="D628" t="s">
        <v>513</v>
      </c>
      <c r="F628" t="str">
        <f>"250260"</f>
        <v>250260</v>
      </c>
      <c r="G628" t="s">
        <v>49</v>
      </c>
      <c r="H628" t="s">
        <v>517</v>
      </c>
      <c r="K628" t="s">
        <v>51</v>
      </c>
      <c r="L628" t="s">
        <v>52</v>
      </c>
      <c r="M628">
        <v>134483.13</v>
      </c>
      <c r="N628">
        <v>471055.5</v>
      </c>
      <c r="O628" t="s">
        <v>53</v>
      </c>
      <c r="P628" t="s">
        <v>54</v>
      </c>
      <c r="Q628" t="s">
        <v>55</v>
      </c>
      <c r="S628" t="s">
        <v>514</v>
      </c>
      <c r="T628" t="s">
        <v>514</v>
      </c>
      <c r="U628">
        <v>30</v>
      </c>
      <c r="V628" s="1">
        <v>44197</v>
      </c>
      <c r="W628" s="1">
        <v>44197</v>
      </c>
      <c r="X628" s="1">
        <v>44197</v>
      </c>
      <c r="Y628" s="1">
        <v>55154</v>
      </c>
      <c r="Z628" t="s">
        <v>51</v>
      </c>
      <c r="AB628" t="s">
        <v>54</v>
      </c>
      <c r="AC628">
        <v>1</v>
      </c>
      <c r="AE628" t="s">
        <v>515</v>
      </c>
      <c r="AF628">
        <v>20</v>
      </c>
      <c r="AG628" s="1">
        <v>44197</v>
      </c>
      <c r="AH628" s="1">
        <v>44197</v>
      </c>
      <c r="AI628" s="1">
        <v>44197</v>
      </c>
      <c r="AJ628" s="1">
        <v>51502</v>
      </c>
      <c r="AK628" t="s">
        <v>51</v>
      </c>
      <c r="AN628">
        <v>0</v>
      </c>
      <c r="AO628" t="s">
        <v>54</v>
      </c>
      <c r="AP628" t="s">
        <v>53</v>
      </c>
      <c r="AQ628">
        <v>0</v>
      </c>
      <c r="AR628" t="s">
        <v>53</v>
      </c>
      <c r="AS628">
        <v>0</v>
      </c>
      <c r="AT628">
        <v>0</v>
      </c>
      <c r="CC628" t="s">
        <v>432</v>
      </c>
      <c r="CD628">
        <v>85000</v>
      </c>
      <c r="CE628" s="1">
        <v>44197</v>
      </c>
      <c r="CF628" s="1">
        <v>44197</v>
      </c>
      <c r="CG628" s="1">
        <v>44197</v>
      </c>
      <c r="CH628" s="1">
        <v>51826</v>
      </c>
      <c r="CI628" t="s">
        <v>51</v>
      </c>
      <c r="CK628" t="s">
        <v>78</v>
      </c>
      <c r="CM628" t="s">
        <v>54</v>
      </c>
      <c r="CN628" t="s">
        <v>174</v>
      </c>
      <c r="CO628" t="s">
        <v>86</v>
      </c>
      <c r="CR628">
        <v>24</v>
      </c>
      <c r="CS628">
        <v>0</v>
      </c>
      <c r="CT628">
        <v>0</v>
      </c>
      <c r="CU628">
        <v>0</v>
      </c>
    </row>
    <row r="629" spans="1:99" x14ac:dyDescent="0.2">
      <c r="A629" t="s">
        <v>180</v>
      </c>
      <c r="B629" t="s">
        <v>181</v>
      </c>
      <c r="C629" t="s">
        <v>182</v>
      </c>
      <c r="D629" t="s">
        <v>513</v>
      </c>
      <c r="F629" t="str">
        <f>"250264"</f>
        <v>250264</v>
      </c>
      <c r="G629" t="s">
        <v>49</v>
      </c>
      <c r="H629" t="s">
        <v>518</v>
      </c>
      <c r="K629" t="s">
        <v>51</v>
      </c>
      <c r="L629" t="s">
        <v>52</v>
      </c>
      <c r="M629">
        <v>134401.38</v>
      </c>
      <c r="N629">
        <v>471002.56</v>
      </c>
      <c r="O629" t="s">
        <v>53</v>
      </c>
      <c r="P629" t="s">
        <v>54</v>
      </c>
      <c r="Q629" t="s">
        <v>55</v>
      </c>
      <c r="S629" t="s">
        <v>514</v>
      </c>
      <c r="T629" t="s">
        <v>514</v>
      </c>
      <c r="U629">
        <v>30</v>
      </c>
      <c r="V629" s="1">
        <v>44197</v>
      </c>
      <c r="W629" s="1">
        <v>44197</v>
      </c>
      <c r="X629" s="1">
        <v>44197</v>
      </c>
      <c r="Y629" s="1">
        <v>55154</v>
      </c>
      <c r="Z629" t="s">
        <v>51</v>
      </c>
      <c r="AB629" t="s">
        <v>54</v>
      </c>
      <c r="AC629">
        <v>1</v>
      </c>
      <c r="AE629" t="s">
        <v>515</v>
      </c>
      <c r="AF629">
        <v>20</v>
      </c>
      <c r="AG629" s="1">
        <v>44197</v>
      </c>
      <c r="AH629" s="1">
        <v>44197</v>
      </c>
      <c r="AI629" s="1">
        <v>44197</v>
      </c>
      <c r="AJ629" s="1">
        <v>51502</v>
      </c>
      <c r="AK629" t="s">
        <v>51</v>
      </c>
      <c r="AN629">
        <v>0</v>
      </c>
      <c r="AO629" t="s">
        <v>54</v>
      </c>
      <c r="AP629" t="s">
        <v>53</v>
      </c>
      <c r="AQ629">
        <v>0</v>
      </c>
      <c r="AR629" t="s">
        <v>53</v>
      </c>
      <c r="AS629">
        <v>0</v>
      </c>
      <c r="AT629">
        <v>0</v>
      </c>
      <c r="CC629" t="s">
        <v>432</v>
      </c>
      <c r="CD629">
        <v>85000</v>
      </c>
      <c r="CE629" s="1">
        <v>44197</v>
      </c>
      <c r="CF629" s="1">
        <v>44197</v>
      </c>
      <c r="CG629" s="1">
        <v>44197</v>
      </c>
      <c r="CH629" s="1">
        <v>51826</v>
      </c>
      <c r="CI629" t="s">
        <v>51</v>
      </c>
      <c r="CK629" t="s">
        <v>78</v>
      </c>
      <c r="CM629" t="s">
        <v>54</v>
      </c>
      <c r="CN629" t="s">
        <v>174</v>
      </c>
      <c r="CO629" t="s">
        <v>86</v>
      </c>
      <c r="CR629">
        <v>24</v>
      </c>
      <c r="CS629">
        <v>0</v>
      </c>
      <c r="CT629">
        <v>0</v>
      </c>
      <c r="CU629">
        <v>0</v>
      </c>
    </row>
    <row r="630" spans="1:99" x14ac:dyDescent="0.2">
      <c r="A630" t="s">
        <v>180</v>
      </c>
      <c r="B630" t="s">
        <v>181</v>
      </c>
      <c r="C630" t="s">
        <v>182</v>
      </c>
      <c r="D630" t="s">
        <v>513</v>
      </c>
      <c r="F630" t="str">
        <f>"250265"</f>
        <v>250265</v>
      </c>
      <c r="G630" t="s">
        <v>49</v>
      </c>
      <c r="H630" t="s">
        <v>519</v>
      </c>
      <c r="K630" t="s">
        <v>51</v>
      </c>
      <c r="L630" t="s">
        <v>52</v>
      </c>
      <c r="M630">
        <v>134549.45000000001</v>
      </c>
      <c r="N630">
        <v>471119.9</v>
      </c>
      <c r="O630" t="s">
        <v>53</v>
      </c>
      <c r="P630" t="s">
        <v>54</v>
      </c>
      <c r="Q630" t="s">
        <v>55</v>
      </c>
      <c r="S630" t="s">
        <v>514</v>
      </c>
      <c r="T630" t="s">
        <v>514</v>
      </c>
      <c r="U630">
        <v>30</v>
      </c>
      <c r="V630" s="1">
        <v>44197</v>
      </c>
      <c r="W630" s="1">
        <v>44197</v>
      </c>
      <c r="X630" s="1">
        <v>44197</v>
      </c>
      <c r="Y630" s="1">
        <v>55154</v>
      </c>
      <c r="Z630" t="s">
        <v>51</v>
      </c>
      <c r="AB630" t="s">
        <v>54</v>
      </c>
      <c r="AC630">
        <v>1</v>
      </c>
      <c r="AE630" t="s">
        <v>515</v>
      </c>
      <c r="AF630">
        <v>20</v>
      </c>
      <c r="AG630" s="1">
        <v>44197</v>
      </c>
      <c r="AH630" s="1">
        <v>44197</v>
      </c>
      <c r="AI630" s="1">
        <v>44197</v>
      </c>
      <c r="AJ630" s="1">
        <v>51502</v>
      </c>
      <c r="AK630" t="s">
        <v>51</v>
      </c>
      <c r="AN630">
        <v>0</v>
      </c>
      <c r="AO630" t="s">
        <v>54</v>
      </c>
      <c r="AP630" t="s">
        <v>53</v>
      </c>
      <c r="AQ630">
        <v>0</v>
      </c>
      <c r="AR630" t="s">
        <v>53</v>
      </c>
      <c r="AS630">
        <v>0</v>
      </c>
      <c r="AT630">
        <v>0</v>
      </c>
      <c r="CC630" t="s">
        <v>432</v>
      </c>
      <c r="CD630">
        <v>85000</v>
      </c>
      <c r="CE630" s="1">
        <v>44197</v>
      </c>
      <c r="CF630" s="1">
        <v>44197</v>
      </c>
      <c r="CG630" s="1">
        <v>44197</v>
      </c>
      <c r="CH630" s="1">
        <v>51826</v>
      </c>
      <c r="CI630" t="s">
        <v>51</v>
      </c>
      <c r="CK630" t="s">
        <v>78</v>
      </c>
      <c r="CM630" t="s">
        <v>54</v>
      </c>
      <c r="CN630" t="s">
        <v>174</v>
      </c>
      <c r="CO630" t="s">
        <v>86</v>
      </c>
      <c r="CR630">
        <v>24</v>
      </c>
      <c r="CS630">
        <v>0</v>
      </c>
      <c r="CT630">
        <v>0</v>
      </c>
      <c r="CU630">
        <v>0</v>
      </c>
    </row>
    <row r="631" spans="1:99" x14ac:dyDescent="0.2">
      <c r="A631" t="s">
        <v>180</v>
      </c>
      <c r="B631" t="s">
        <v>181</v>
      </c>
      <c r="C631" t="s">
        <v>184</v>
      </c>
      <c r="D631" t="s">
        <v>513</v>
      </c>
      <c r="F631" t="str">
        <f>"250266"</f>
        <v>250266</v>
      </c>
      <c r="G631" t="s">
        <v>49</v>
      </c>
      <c r="H631" t="s">
        <v>520</v>
      </c>
      <c r="K631" t="s">
        <v>51</v>
      </c>
      <c r="L631" t="s">
        <v>52</v>
      </c>
      <c r="M631">
        <v>134579.43</v>
      </c>
      <c r="N631">
        <v>471135.12</v>
      </c>
      <c r="O631" t="s">
        <v>53</v>
      </c>
      <c r="P631" t="s">
        <v>54</v>
      </c>
      <c r="Q631" t="s">
        <v>55</v>
      </c>
      <c r="S631" t="s">
        <v>514</v>
      </c>
      <c r="T631" t="s">
        <v>514</v>
      </c>
      <c r="U631">
        <v>30</v>
      </c>
      <c r="V631" s="1">
        <v>44197</v>
      </c>
      <c r="W631" s="1">
        <v>44197</v>
      </c>
      <c r="X631" s="1">
        <v>44197</v>
      </c>
      <c r="Y631" s="1">
        <v>55154</v>
      </c>
      <c r="Z631" t="s">
        <v>51</v>
      </c>
      <c r="AB631" t="s">
        <v>54</v>
      </c>
      <c r="AC631">
        <v>1</v>
      </c>
      <c r="AE631" t="s">
        <v>515</v>
      </c>
      <c r="AF631">
        <v>20</v>
      </c>
      <c r="AG631" s="1">
        <v>44197</v>
      </c>
      <c r="AH631" s="1">
        <v>44197</v>
      </c>
      <c r="AI631" s="1">
        <v>44197</v>
      </c>
      <c r="AJ631" s="1">
        <v>51502</v>
      </c>
      <c r="AK631" t="s">
        <v>51</v>
      </c>
      <c r="AN631">
        <v>0</v>
      </c>
      <c r="AO631" t="s">
        <v>54</v>
      </c>
      <c r="AP631" t="s">
        <v>53</v>
      </c>
      <c r="AQ631">
        <v>0</v>
      </c>
      <c r="AR631" t="s">
        <v>53</v>
      </c>
      <c r="AS631">
        <v>0</v>
      </c>
      <c r="AT631">
        <v>0</v>
      </c>
      <c r="CC631" t="s">
        <v>432</v>
      </c>
      <c r="CD631">
        <v>85000</v>
      </c>
      <c r="CE631" s="1">
        <v>44197</v>
      </c>
      <c r="CF631" s="1">
        <v>44197</v>
      </c>
      <c r="CG631" s="1">
        <v>44197</v>
      </c>
      <c r="CH631" s="1">
        <v>51826</v>
      </c>
      <c r="CI631" t="s">
        <v>51</v>
      </c>
      <c r="CK631" t="s">
        <v>78</v>
      </c>
      <c r="CM631" t="s">
        <v>54</v>
      </c>
      <c r="CN631" t="s">
        <v>174</v>
      </c>
      <c r="CO631" t="s">
        <v>86</v>
      </c>
      <c r="CR631">
        <v>24</v>
      </c>
      <c r="CS631">
        <v>0</v>
      </c>
      <c r="CT631">
        <v>0</v>
      </c>
      <c r="CU631">
        <v>0</v>
      </c>
    </row>
    <row r="632" spans="1:99" x14ac:dyDescent="0.2">
      <c r="A632" t="s">
        <v>180</v>
      </c>
      <c r="B632" t="s">
        <v>181</v>
      </c>
      <c r="C632" t="s">
        <v>184</v>
      </c>
      <c r="D632" t="s">
        <v>513</v>
      </c>
      <c r="F632" t="str">
        <f>"250267"</f>
        <v>250267</v>
      </c>
      <c r="G632" t="s">
        <v>49</v>
      </c>
      <c r="H632" t="s">
        <v>521</v>
      </c>
      <c r="K632" t="s">
        <v>51</v>
      </c>
      <c r="L632" t="s">
        <v>52</v>
      </c>
      <c r="M632">
        <v>134602.07999999999</v>
      </c>
      <c r="N632">
        <v>471159.23</v>
      </c>
      <c r="O632" t="s">
        <v>53</v>
      </c>
      <c r="P632" t="s">
        <v>54</v>
      </c>
      <c r="Q632" t="s">
        <v>55</v>
      </c>
      <c r="S632" t="s">
        <v>514</v>
      </c>
      <c r="T632" t="s">
        <v>514</v>
      </c>
      <c r="U632">
        <v>30</v>
      </c>
      <c r="V632" s="1">
        <v>44197</v>
      </c>
      <c r="W632" s="1">
        <v>44197</v>
      </c>
      <c r="X632" s="1">
        <v>44197</v>
      </c>
      <c r="Y632" s="1">
        <v>55154</v>
      </c>
      <c r="Z632" t="s">
        <v>51</v>
      </c>
      <c r="AB632" t="s">
        <v>54</v>
      </c>
      <c r="AC632">
        <v>1</v>
      </c>
      <c r="AE632" t="s">
        <v>515</v>
      </c>
      <c r="AF632">
        <v>20</v>
      </c>
      <c r="AG632" s="1">
        <v>44197</v>
      </c>
      <c r="AH632" s="1">
        <v>44197</v>
      </c>
      <c r="AI632" s="1">
        <v>44197</v>
      </c>
      <c r="AJ632" s="1">
        <v>51502</v>
      </c>
      <c r="AK632" t="s">
        <v>51</v>
      </c>
      <c r="AN632">
        <v>0</v>
      </c>
      <c r="AO632" t="s">
        <v>54</v>
      </c>
      <c r="AP632" t="s">
        <v>53</v>
      </c>
      <c r="AQ632">
        <v>0</v>
      </c>
      <c r="AR632" t="s">
        <v>53</v>
      </c>
      <c r="AS632">
        <v>0</v>
      </c>
      <c r="AT632">
        <v>0</v>
      </c>
      <c r="CC632" t="s">
        <v>432</v>
      </c>
      <c r="CD632">
        <v>85000</v>
      </c>
      <c r="CE632" s="1">
        <v>44197</v>
      </c>
      <c r="CF632" s="1">
        <v>44197</v>
      </c>
      <c r="CG632" s="1">
        <v>44197</v>
      </c>
      <c r="CH632" s="1">
        <v>51826</v>
      </c>
      <c r="CI632" t="s">
        <v>51</v>
      </c>
      <c r="CK632" t="s">
        <v>78</v>
      </c>
      <c r="CM632" t="s">
        <v>54</v>
      </c>
      <c r="CN632" t="s">
        <v>174</v>
      </c>
      <c r="CO632" t="s">
        <v>86</v>
      </c>
      <c r="CR632">
        <v>24</v>
      </c>
      <c r="CS632">
        <v>0</v>
      </c>
      <c r="CT632">
        <v>0</v>
      </c>
      <c r="CU632">
        <v>0</v>
      </c>
    </row>
    <row r="633" spans="1:99" x14ac:dyDescent="0.2">
      <c r="A633" t="s">
        <v>180</v>
      </c>
      <c r="B633" t="s">
        <v>181</v>
      </c>
      <c r="C633" t="s">
        <v>184</v>
      </c>
      <c r="D633" t="s">
        <v>513</v>
      </c>
      <c r="F633" t="str">
        <f>"250268"</f>
        <v>250268</v>
      </c>
      <c r="G633" t="s">
        <v>49</v>
      </c>
      <c r="K633" t="s">
        <v>51</v>
      </c>
      <c r="L633" t="s">
        <v>52</v>
      </c>
      <c r="M633">
        <v>134616.41</v>
      </c>
      <c r="N633">
        <v>471168.97</v>
      </c>
      <c r="O633" t="s">
        <v>53</v>
      </c>
      <c r="P633" t="s">
        <v>54</v>
      </c>
      <c r="Q633" t="s">
        <v>55</v>
      </c>
      <c r="S633" t="s">
        <v>514</v>
      </c>
      <c r="T633" t="s">
        <v>514</v>
      </c>
      <c r="U633">
        <v>30</v>
      </c>
      <c r="V633" s="1">
        <v>44197</v>
      </c>
      <c r="W633" s="1">
        <v>44197</v>
      </c>
      <c r="X633" s="1">
        <v>44197</v>
      </c>
      <c r="Y633" s="1">
        <v>55154</v>
      </c>
      <c r="Z633" t="s">
        <v>51</v>
      </c>
      <c r="AB633" t="s">
        <v>54</v>
      </c>
      <c r="AC633">
        <v>1</v>
      </c>
      <c r="AE633" t="s">
        <v>515</v>
      </c>
      <c r="AF633">
        <v>20</v>
      </c>
      <c r="AG633" s="1">
        <v>44197</v>
      </c>
      <c r="AH633" s="1">
        <v>44197</v>
      </c>
      <c r="AI633" s="1">
        <v>44197</v>
      </c>
      <c r="AJ633" s="1">
        <v>51502</v>
      </c>
      <c r="AK633" t="s">
        <v>51</v>
      </c>
      <c r="AN633">
        <v>0</v>
      </c>
      <c r="AO633" t="s">
        <v>54</v>
      </c>
      <c r="AP633" t="s">
        <v>53</v>
      </c>
      <c r="AQ633">
        <v>0</v>
      </c>
      <c r="AR633" t="s">
        <v>53</v>
      </c>
      <c r="AS633">
        <v>0</v>
      </c>
      <c r="AT633">
        <v>0</v>
      </c>
      <c r="CC633" t="s">
        <v>432</v>
      </c>
      <c r="CD633">
        <v>85000</v>
      </c>
      <c r="CE633" s="1">
        <v>44197</v>
      </c>
      <c r="CF633" s="1">
        <v>44197</v>
      </c>
      <c r="CG633" s="1">
        <v>44197</v>
      </c>
      <c r="CH633" s="1">
        <v>51826</v>
      </c>
      <c r="CI633" t="s">
        <v>51</v>
      </c>
      <c r="CK633" t="s">
        <v>78</v>
      </c>
      <c r="CM633" t="s">
        <v>54</v>
      </c>
      <c r="CN633" t="s">
        <v>174</v>
      </c>
      <c r="CO633" t="s">
        <v>86</v>
      </c>
      <c r="CR633">
        <v>24</v>
      </c>
      <c r="CS633">
        <v>0</v>
      </c>
      <c r="CT633">
        <v>0</v>
      </c>
      <c r="CU633">
        <v>0</v>
      </c>
    </row>
    <row r="634" spans="1:99" x14ac:dyDescent="0.2">
      <c r="A634" t="s">
        <v>180</v>
      </c>
      <c r="B634" t="s">
        <v>181</v>
      </c>
      <c r="C634" t="s">
        <v>184</v>
      </c>
      <c r="D634" t="s">
        <v>513</v>
      </c>
      <c r="F634" t="str">
        <f>"250269"</f>
        <v>250269</v>
      </c>
      <c r="G634" t="s">
        <v>49</v>
      </c>
      <c r="H634" t="s">
        <v>522</v>
      </c>
      <c r="K634" t="s">
        <v>51</v>
      </c>
      <c r="L634" t="s">
        <v>52</v>
      </c>
      <c r="M634">
        <v>134632.60999999999</v>
      </c>
      <c r="N634">
        <v>471181.16</v>
      </c>
      <c r="O634" t="s">
        <v>53</v>
      </c>
      <c r="P634" t="s">
        <v>54</v>
      </c>
      <c r="Q634" t="s">
        <v>55</v>
      </c>
      <c r="S634" t="s">
        <v>514</v>
      </c>
      <c r="T634" t="s">
        <v>514</v>
      </c>
      <c r="U634">
        <v>30</v>
      </c>
      <c r="V634" s="1">
        <v>44197</v>
      </c>
      <c r="W634" s="1">
        <v>44197</v>
      </c>
      <c r="X634" s="1">
        <v>44197</v>
      </c>
      <c r="Y634" s="1">
        <v>55154</v>
      </c>
      <c r="Z634" t="s">
        <v>51</v>
      </c>
      <c r="AB634" t="s">
        <v>54</v>
      </c>
      <c r="AC634">
        <v>1</v>
      </c>
      <c r="AE634" t="s">
        <v>515</v>
      </c>
      <c r="AF634">
        <v>20</v>
      </c>
      <c r="AG634" s="1">
        <v>44197</v>
      </c>
      <c r="AH634" s="1">
        <v>44197</v>
      </c>
      <c r="AI634" s="1">
        <v>44197</v>
      </c>
      <c r="AJ634" s="1">
        <v>51502</v>
      </c>
      <c r="AK634" t="s">
        <v>51</v>
      </c>
      <c r="AN634">
        <v>0</v>
      </c>
      <c r="AO634" t="s">
        <v>54</v>
      </c>
      <c r="AP634" t="s">
        <v>53</v>
      </c>
      <c r="AQ634">
        <v>0</v>
      </c>
      <c r="AR634" t="s">
        <v>53</v>
      </c>
      <c r="AS634">
        <v>0</v>
      </c>
      <c r="AT634">
        <v>0</v>
      </c>
      <c r="CC634" t="s">
        <v>432</v>
      </c>
      <c r="CD634">
        <v>85000</v>
      </c>
      <c r="CE634" s="1">
        <v>44197</v>
      </c>
      <c r="CF634" s="1">
        <v>44197</v>
      </c>
      <c r="CG634" s="1">
        <v>44197</v>
      </c>
      <c r="CH634" s="1">
        <v>51826</v>
      </c>
      <c r="CI634" t="s">
        <v>51</v>
      </c>
      <c r="CK634" t="s">
        <v>78</v>
      </c>
      <c r="CM634" t="s">
        <v>54</v>
      </c>
      <c r="CN634" t="s">
        <v>174</v>
      </c>
      <c r="CO634" t="s">
        <v>86</v>
      </c>
      <c r="CR634">
        <v>24</v>
      </c>
      <c r="CS634">
        <v>0</v>
      </c>
      <c r="CT634">
        <v>0</v>
      </c>
      <c r="CU634">
        <v>0</v>
      </c>
    </row>
    <row r="635" spans="1:99" x14ac:dyDescent="0.2">
      <c r="A635" t="s">
        <v>180</v>
      </c>
      <c r="B635" t="s">
        <v>181</v>
      </c>
      <c r="C635" t="s">
        <v>184</v>
      </c>
      <c r="D635" t="s">
        <v>513</v>
      </c>
      <c r="F635" t="str">
        <f>"250270"</f>
        <v>250270</v>
      </c>
      <c r="G635" t="s">
        <v>49</v>
      </c>
      <c r="H635" t="s">
        <v>523</v>
      </c>
      <c r="K635" t="s">
        <v>51</v>
      </c>
      <c r="L635" t="s">
        <v>52</v>
      </c>
      <c r="M635">
        <v>134646.20000000001</v>
      </c>
      <c r="N635">
        <v>471190.5</v>
      </c>
      <c r="O635" t="s">
        <v>53</v>
      </c>
      <c r="P635" t="s">
        <v>54</v>
      </c>
      <c r="Q635" t="s">
        <v>55</v>
      </c>
      <c r="S635" t="s">
        <v>514</v>
      </c>
      <c r="T635" t="s">
        <v>514</v>
      </c>
      <c r="U635">
        <v>30</v>
      </c>
      <c r="V635" s="1">
        <v>44197</v>
      </c>
      <c r="W635" s="1">
        <v>44197</v>
      </c>
      <c r="X635" s="1">
        <v>44197</v>
      </c>
      <c r="Y635" s="1">
        <v>55154</v>
      </c>
      <c r="Z635" t="s">
        <v>51</v>
      </c>
      <c r="AB635" t="s">
        <v>54</v>
      </c>
      <c r="AC635">
        <v>1</v>
      </c>
      <c r="AE635" t="s">
        <v>515</v>
      </c>
      <c r="AF635">
        <v>20</v>
      </c>
      <c r="AG635" s="1">
        <v>44197</v>
      </c>
      <c r="AH635" s="1">
        <v>44197</v>
      </c>
      <c r="AI635" s="1">
        <v>44197</v>
      </c>
      <c r="AJ635" s="1">
        <v>51502</v>
      </c>
      <c r="AK635" t="s">
        <v>51</v>
      </c>
      <c r="AN635">
        <v>0</v>
      </c>
      <c r="AO635" t="s">
        <v>54</v>
      </c>
      <c r="AP635" t="s">
        <v>53</v>
      </c>
      <c r="AQ635">
        <v>0</v>
      </c>
      <c r="AR635" t="s">
        <v>53</v>
      </c>
      <c r="AS635">
        <v>0</v>
      </c>
      <c r="AT635">
        <v>0</v>
      </c>
      <c r="CC635" t="s">
        <v>432</v>
      </c>
      <c r="CD635">
        <v>85000</v>
      </c>
      <c r="CE635" s="1">
        <v>44197</v>
      </c>
      <c r="CF635" s="1">
        <v>44197</v>
      </c>
      <c r="CG635" s="1">
        <v>44197</v>
      </c>
      <c r="CH635" s="1">
        <v>51826</v>
      </c>
      <c r="CI635" t="s">
        <v>51</v>
      </c>
      <c r="CK635" t="s">
        <v>78</v>
      </c>
      <c r="CM635" t="s">
        <v>54</v>
      </c>
      <c r="CN635" t="s">
        <v>174</v>
      </c>
      <c r="CO635" t="s">
        <v>86</v>
      </c>
      <c r="CR635">
        <v>24</v>
      </c>
      <c r="CS635">
        <v>0</v>
      </c>
      <c r="CT635">
        <v>0</v>
      </c>
      <c r="CU635">
        <v>0</v>
      </c>
    </row>
    <row r="636" spans="1:99" x14ac:dyDescent="0.2">
      <c r="A636" t="s">
        <v>180</v>
      </c>
      <c r="B636" t="s">
        <v>181</v>
      </c>
      <c r="C636" t="s">
        <v>184</v>
      </c>
      <c r="D636" t="s">
        <v>513</v>
      </c>
      <c r="F636" t="str">
        <f>"250271"</f>
        <v>250271</v>
      </c>
      <c r="G636" t="s">
        <v>49</v>
      </c>
      <c r="K636" t="s">
        <v>51</v>
      </c>
      <c r="L636" t="s">
        <v>52</v>
      </c>
      <c r="M636">
        <v>134662.37</v>
      </c>
      <c r="N636">
        <v>471204.07</v>
      </c>
      <c r="O636" t="s">
        <v>53</v>
      </c>
      <c r="P636" t="s">
        <v>54</v>
      </c>
      <c r="Q636" t="s">
        <v>55</v>
      </c>
      <c r="S636" t="s">
        <v>514</v>
      </c>
      <c r="T636" t="s">
        <v>514</v>
      </c>
      <c r="U636">
        <v>30</v>
      </c>
      <c r="V636" s="1">
        <v>44197</v>
      </c>
      <c r="W636" s="1">
        <v>44197</v>
      </c>
      <c r="X636" s="1">
        <v>44197</v>
      </c>
      <c r="Y636" s="1">
        <v>55154</v>
      </c>
      <c r="Z636" t="s">
        <v>51</v>
      </c>
      <c r="AB636" t="s">
        <v>54</v>
      </c>
      <c r="AC636">
        <v>1</v>
      </c>
      <c r="AE636" t="s">
        <v>515</v>
      </c>
      <c r="AF636">
        <v>20</v>
      </c>
      <c r="AG636" s="1">
        <v>44197</v>
      </c>
      <c r="AH636" s="1">
        <v>44197</v>
      </c>
      <c r="AI636" s="1">
        <v>44197</v>
      </c>
      <c r="AJ636" s="1">
        <v>51502</v>
      </c>
      <c r="AK636" t="s">
        <v>51</v>
      </c>
      <c r="AN636">
        <v>0</v>
      </c>
      <c r="AO636" t="s">
        <v>54</v>
      </c>
      <c r="AP636" t="s">
        <v>53</v>
      </c>
      <c r="AQ636">
        <v>0</v>
      </c>
      <c r="AR636" t="s">
        <v>53</v>
      </c>
      <c r="AS636">
        <v>0</v>
      </c>
      <c r="AT636">
        <v>0</v>
      </c>
      <c r="CC636" t="s">
        <v>432</v>
      </c>
      <c r="CD636">
        <v>85000</v>
      </c>
      <c r="CE636" s="1">
        <v>44197</v>
      </c>
      <c r="CF636" s="1">
        <v>44197</v>
      </c>
      <c r="CG636" s="1">
        <v>44197</v>
      </c>
      <c r="CH636" s="1">
        <v>51826</v>
      </c>
      <c r="CI636" t="s">
        <v>51</v>
      </c>
      <c r="CK636" t="s">
        <v>78</v>
      </c>
      <c r="CM636" t="s">
        <v>54</v>
      </c>
      <c r="CN636" t="s">
        <v>174</v>
      </c>
      <c r="CO636" t="s">
        <v>86</v>
      </c>
      <c r="CR636">
        <v>24</v>
      </c>
      <c r="CS636">
        <v>0</v>
      </c>
      <c r="CT636">
        <v>0</v>
      </c>
      <c r="CU636">
        <v>0</v>
      </c>
    </row>
    <row r="637" spans="1:99" x14ac:dyDescent="0.2">
      <c r="A637" t="s">
        <v>180</v>
      </c>
      <c r="B637" t="s">
        <v>181</v>
      </c>
      <c r="C637" t="s">
        <v>184</v>
      </c>
      <c r="D637" t="s">
        <v>513</v>
      </c>
      <c r="F637" t="str">
        <f>"250275"</f>
        <v>250275</v>
      </c>
      <c r="G637" t="s">
        <v>49</v>
      </c>
      <c r="H637" t="s">
        <v>524</v>
      </c>
      <c r="K637" t="s">
        <v>51</v>
      </c>
      <c r="L637" t="s">
        <v>52</v>
      </c>
      <c r="M637">
        <v>134718.48000000001</v>
      </c>
      <c r="N637">
        <v>471255.37</v>
      </c>
      <c r="O637" t="s">
        <v>53</v>
      </c>
      <c r="P637" t="s">
        <v>54</v>
      </c>
      <c r="Q637" t="s">
        <v>55</v>
      </c>
      <c r="S637" t="s">
        <v>514</v>
      </c>
      <c r="T637" t="s">
        <v>514</v>
      </c>
      <c r="U637">
        <v>30</v>
      </c>
      <c r="V637" s="1">
        <v>44197</v>
      </c>
      <c r="W637" s="1">
        <v>44197</v>
      </c>
      <c r="X637" s="1">
        <v>44197</v>
      </c>
      <c r="Y637" s="1">
        <v>55154</v>
      </c>
      <c r="Z637" t="s">
        <v>51</v>
      </c>
      <c r="AB637" t="s">
        <v>54</v>
      </c>
      <c r="AC637">
        <v>1</v>
      </c>
      <c r="AE637" t="s">
        <v>515</v>
      </c>
      <c r="AF637">
        <v>20</v>
      </c>
      <c r="AG637" s="1">
        <v>44197</v>
      </c>
      <c r="AH637" s="1">
        <v>44197</v>
      </c>
      <c r="AI637" s="1">
        <v>44197</v>
      </c>
      <c r="AJ637" s="1">
        <v>51502</v>
      </c>
      <c r="AK637" t="s">
        <v>51</v>
      </c>
      <c r="AN637">
        <v>0</v>
      </c>
      <c r="AO637" t="s">
        <v>54</v>
      </c>
      <c r="AP637" t="s">
        <v>53</v>
      </c>
      <c r="AQ637">
        <v>0</v>
      </c>
      <c r="AR637" t="s">
        <v>53</v>
      </c>
      <c r="AS637">
        <v>0</v>
      </c>
      <c r="AT637">
        <v>0</v>
      </c>
      <c r="CC637" t="s">
        <v>432</v>
      </c>
      <c r="CD637">
        <v>85000</v>
      </c>
      <c r="CE637" s="1">
        <v>44197</v>
      </c>
      <c r="CF637" s="1">
        <v>44197</v>
      </c>
      <c r="CG637" s="1">
        <v>44197</v>
      </c>
      <c r="CH637" s="1">
        <v>51826</v>
      </c>
      <c r="CI637" t="s">
        <v>51</v>
      </c>
      <c r="CK637" t="s">
        <v>78</v>
      </c>
      <c r="CM637" t="s">
        <v>54</v>
      </c>
      <c r="CN637" t="s">
        <v>174</v>
      </c>
      <c r="CO637" t="s">
        <v>86</v>
      </c>
      <c r="CR637">
        <v>24</v>
      </c>
      <c r="CS637">
        <v>0</v>
      </c>
      <c r="CT637">
        <v>0</v>
      </c>
      <c r="CU637">
        <v>0</v>
      </c>
    </row>
    <row r="638" spans="1:99" x14ac:dyDescent="0.2">
      <c r="A638" t="s">
        <v>180</v>
      </c>
      <c r="B638" t="s">
        <v>181</v>
      </c>
      <c r="C638" t="s">
        <v>184</v>
      </c>
      <c r="D638" t="s">
        <v>513</v>
      </c>
      <c r="F638" t="str">
        <f>"250277"</f>
        <v>250277</v>
      </c>
      <c r="G638" t="s">
        <v>49</v>
      </c>
      <c r="H638" t="s">
        <v>525</v>
      </c>
      <c r="K638" t="s">
        <v>51</v>
      </c>
      <c r="L638" t="s">
        <v>52</v>
      </c>
      <c r="M638">
        <v>134734.6</v>
      </c>
      <c r="N638">
        <v>471267.95</v>
      </c>
      <c r="O638" t="s">
        <v>53</v>
      </c>
      <c r="P638" t="s">
        <v>54</v>
      </c>
      <c r="Q638" t="s">
        <v>55</v>
      </c>
      <c r="S638" t="s">
        <v>514</v>
      </c>
      <c r="T638" t="s">
        <v>514</v>
      </c>
      <c r="U638">
        <v>30</v>
      </c>
      <c r="V638" s="1">
        <v>44197</v>
      </c>
      <c r="W638" s="1">
        <v>44197</v>
      </c>
      <c r="X638" s="1">
        <v>44197</v>
      </c>
      <c r="Y638" s="1">
        <v>55154</v>
      </c>
      <c r="Z638" t="s">
        <v>51</v>
      </c>
      <c r="AB638" t="s">
        <v>54</v>
      </c>
      <c r="AC638">
        <v>1</v>
      </c>
      <c r="AE638" t="s">
        <v>515</v>
      </c>
      <c r="AF638">
        <v>20</v>
      </c>
      <c r="AG638" s="1">
        <v>44197</v>
      </c>
      <c r="AH638" s="1">
        <v>44197</v>
      </c>
      <c r="AI638" s="1">
        <v>44197</v>
      </c>
      <c r="AJ638" s="1">
        <v>51502</v>
      </c>
      <c r="AK638" t="s">
        <v>51</v>
      </c>
      <c r="AN638">
        <v>0</v>
      </c>
      <c r="AO638" t="s">
        <v>54</v>
      </c>
      <c r="AP638" t="s">
        <v>53</v>
      </c>
      <c r="AQ638">
        <v>0</v>
      </c>
      <c r="AR638" t="s">
        <v>53</v>
      </c>
      <c r="AS638">
        <v>0</v>
      </c>
      <c r="AT638">
        <v>0</v>
      </c>
      <c r="CC638" t="s">
        <v>432</v>
      </c>
      <c r="CD638">
        <v>85000</v>
      </c>
      <c r="CE638" s="1">
        <v>44197</v>
      </c>
      <c r="CF638" s="1">
        <v>44197</v>
      </c>
      <c r="CG638" s="1">
        <v>44197</v>
      </c>
      <c r="CH638" s="1">
        <v>51826</v>
      </c>
      <c r="CI638" t="s">
        <v>51</v>
      </c>
      <c r="CK638" t="s">
        <v>78</v>
      </c>
      <c r="CM638" t="s">
        <v>54</v>
      </c>
      <c r="CN638" t="s">
        <v>174</v>
      </c>
      <c r="CO638" t="s">
        <v>86</v>
      </c>
      <c r="CR638">
        <v>24</v>
      </c>
      <c r="CS638">
        <v>0</v>
      </c>
      <c r="CT638">
        <v>0</v>
      </c>
      <c r="CU638">
        <v>0</v>
      </c>
    </row>
    <row r="639" spans="1:99" x14ac:dyDescent="0.2">
      <c r="A639" t="s">
        <v>180</v>
      </c>
      <c r="B639" t="s">
        <v>181</v>
      </c>
      <c r="C639" t="s">
        <v>184</v>
      </c>
      <c r="D639" t="s">
        <v>513</v>
      </c>
      <c r="F639" t="str">
        <f>"250278"</f>
        <v>250278</v>
      </c>
      <c r="G639" t="s">
        <v>49</v>
      </c>
      <c r="K639" t="s">
        <v>51</v>
      </c>
      <c r="L639" t="s">
        <v>52</v>
      </c>
      <c r="M639">
        <v>134747.6</v>
      </c>
      <c r="N639">
        <v>471276.93</v>
      </c>
      <c r="O639" t="s">
        <v>53</v>
      </c>
      <c r="P639" t="s">
        <v>54</v>
      </c>
      <c r="Q639" t="s">
        <v>55</v>
      </c>
      <c r="S639" t="s">
        <v>514</v>
      </c>
      <c r="T639" t="s">
        <v>514</v>
      </c>
      <c r="U639">
        <v>30</v>
      </c>
      <c r="V639" s="1">
        <v>44197</v>
      </c>
      <c r="W639" s="1">
        <v>44197</v>
      </c>
      <c r="X639" s="1">
        <v>44197</v>
      </c>
      <c r="Y639" s="1">
        <v>55154</v>
      </c>
      <c r="Z639" t="s">
        <v>51</v>
      </c>
      <c r="AB639" t="s">
        <v>54</v>
      </c>
      <c r="AC639">
        <v>1</v>
      </c>
      <c r="AE639" t="s">
        <v>515</v>
      </c>
      <c r="AF639">
        <v>20</v>
      </c>
      <c r="AG639" s="1">
        <v>44197</v>
      </c>
      <c r="AH639" s="1">
        <v>44197</v>
      </c>
      <c r="AI639" s="1">
        <v>44197</v>
      </c>
      <c r="AJ639" s="1">
        <v>51502</v>
      </c>
      <c r="AK639" t="s">
        <v>51</v>
      </c>
      <c r="AN639">
        <v>0</v>
      </c>
      <c r="AO639" t="s">
        <v>54</v>
      </c>
      <c r="AP639" t="s">
        <v>53</v>
      </c>
      <c r="AQ639">
        <v>0</v>
      </c>
      <c r="AR639" t="s">
        <v>53</v>
      </c>
      <c r="AS639">
        <v>0</v>
      </c>
      <c r="AT639">
        <v>0</v>
      </c>
      <c r="CC639" t="s">
        <v>432</v>
      </c>
      <c r="CD639">
        <v>85000</v>
      </c>
      <c r="CE639" s="1">
        <v>44197</v>
      </c>
      <c r="CF639" s="1">
        <v>44197</v>
      </c>
      <c r="CG639" s="1">
        <v>44197</v>
      </c>
      <c r="CH639" s="1">
        <v>51826</v>
      </c>
      <c r="CI639" t="s">
        <v>51</v>
      </c>
      <c r="CK639" t="s">
        <v>78</v>
      </c>
      <c r="CM639" t="s">
        <v>54</v>
      </c>
      <c r="CN639" t="s">
        <v>174</v>
      </c>
      <c r="CO639" t="s">
        <v>86</v>
      </c>
      <c r="CR639">
        <v>24</v>
      </c>
      <c r="CS639">
        <v>0</v>
      </c>
      <c r="CT639">
        <v>0</v>
      </c>
      <c r="CU639">
        <v>0</v>
      </c>
    </row>
    <row r="640" spans="1:99" x14ac:dyDescent="0.2">
      <c r="A640" t="s">
        <v>180</v>
      </c>
      <c r="B640" t="s">
        <v>181</v>
      </c>
      <c r="C640" t="s">
        <v>184</v>
      </c>
      <c r="D640" t="s">
        <v>513</v>
      </c>
      <c r="F640" t="str">
        <f>"250279"</f>
        <v>250279</v>
      </c>
      <c r="G640" t="s">
        <v>49</v>
      </c>
      <c r="H640" t="s">
        <v>526</v>
      </c>
      <c r="K640" t="s">
        <v>51</v>
      </c>
      <c r="L640" t="s">
        <v>52</v>
      </c>
      <c r="M640">
        <v>134763.39000000001</v>
      </c>
      <c r="N640">
        <v>471289.8</v>
      </c>
      <c r="O640" t="s">
        <v>53</v>
      </c>
      <c r="P640" t="s">
        <v>54</v>
      </c>
      <c r="Q640" t="s">
        <v>55</v>
      </c>
      <c r="S640" t="s">
        <v>514</v>
      </c>
      <c r="T640" t="s">
        <v>514</v>
      </c>
      <c r="U640">
        <v>30</v>
      </c>
      <c r="V640" s="1">
        <v>44197</v>
      </c>
      <c r="W640" s="1">
        <v>44197</v>
      </c>
      <c r="X640" s="1">
        <v>44197</v>
      </c>
      <c r="Y640" s="1">
        <v>55154</v>
      </c>
      <c r="Z640" t="s">
        <v>51</v>
      </c>
      <c r="AB640" t="s">
        <v>54</v>
      </c>
      <c r="AC640">
        <v>1</v>
      </c>
      <c r="AE640" t="s">
        <v>515</v>
      </c>
      <c r="AF640">
        <v>20</v>
      </c>
      <c r="AG640" s="1">
        <v>44197</v>
      </c>
      <c r="AH640" s="1">
        <v>44197</v>
      </c>
      <c r="AI640" s="1">
        <v>44197</v>
      </c>
      <c r="AJ640" s="1">
        <v>51502</v>
      </c>
      <c r="AK640" t="s">
        <v>51</v>
      </c>
      <c r="AN640">
        <v>0</v>
      </c>
      <c r="AO640" t="s">
        <v>54</v>
      </c>
      <c r="AP640" t="s">
        <v>53</v>
      </c>
      <c r="AQ640">
        <v>0</v>
      </c>
      <c r="AR640" t="s">
        <v>53</v>
      </c>
      <c r="AS640">
        <v>0</v>
      </c>
      <c r="AT640">
        <v>0</v>
      </c>
      <c r="CC640" t="s">
        <v>432</v>
      </c>
      <c r="CD640">
        <v>85000</v>
      </c>
      <c r="CE640" s="1">
        <v>44197</v>
      </c>
      <c r="CF640" s="1">
        <v>44197</v>
      </c>
      <c r="CG640" s="1">
        <v>44197</v>
      </c>
      <c r="CH640" s="1">
        <v>51826</v>
      </c>
      <c r="CI640" t="s">
        <v>51</v>
      </c>
      <c r="CK640" t="s">
        <v>78</v>
      </c>
      <c r="CM640" t="s">
        <v>54</v>
      </c>
      <c r="CN640" t="s">
        <v>174</v>
      </c>
      <c r="CO640" t="s">
        <v>86</v>
      </c>
      <c r="CR640">
        <v>24</v>
      </c>
      <c r="CS640">
        <v>0</v>
      </c>
      <c r="CT640">
        <v>0</v>
      </c>
      <c r="CU640">
        <v>0</v>
      </c>
    </row>
    <row r="641" spans="1:99" x14ac:dyDescent="0.2">
      <c r="A641" t="s">
        <v>180</v>
      </c>
      <c r="B641" t="s">
        <v>181</v>
      </c>
      <c r="C641" t="s">
        <v>184</v>
      </c>
      <c r="D641" t="s">
        <v>513</v>
      </c>
      <c r="F641" t="str">
        <f>"250280"</f>
        <v>250280</v>
      </c>
      <c r="G641" t="s">
        <v>49</v>
      </c>
      <c r="K641" t="s">
        <v>51</v>
      </c>
      <c r="L641" t="s">
        <v>52</v>
      </c>
      <c r="M641">
        <v>134792.22</v>
      </c>
      <c r="N641">
        <v>471315.38</v>
      </c>
      <c r="O641" t="s">
        <v>53</v>
      </c>
      <c r="P641" t="s">
        <v>54</v>
      </c>
      <c r="Q641" t="s">
        <v>55</v>
      </c>
      <c r="S641" t="s">
        <v>514</v>
      </c>
      <c r="T641" t="s">
        <v>514</v>
      </c>
      <c r="U641">
        <v>30</v>
      </c>
      <c r="V641" s="1">
        <v>44197</v>
      </c>
      <c r="W641" s="1">
        <v>44197</v>
      </c>
      <c r="X641" s="1">
        <v>44197</v>
      </c>
      <c r="Y641" s="1">
        <v>55154</v>
      </c>
      <c r="Z641" t="s">
        <v>51</v>
      </c>
      <c r="AB641" t="s">
        <v>54</v>
      </c>
      <c r="AC641">
        <v>1</v>
      </c>
      <c r="AE641" t="s">
        <v>515</v>
      </c>
      <c r="AF641">
        <v>20</v>
      </c>
      <c r="AG641" s="1">
        <v>44197</v>
      </c>
      <c r="AH641" s="1">
        <v>44197</v>
      </c>
      <c r="AI641" s="1">
        <v>44197</v>
      </c>
      <c r="AJ641" s="1">
        <v>51502</v>
      </c>
      <c r="AK641" t="s">
        <v>51</v>
      </c>
      <c r="AN641">
        <v>0</v>
      </c>
      <c r="AO641" t="s">
        <v>54</v>
      </c>
      <c r="AP641" t="s">
        <v>53</v>
      </c>
      <c r="AQ641">
        <v>0</v>
      </c>
      <c r="AR641" t="s">
        <v>53</v>
      </c>
      <c r="AS641">
        <v>0</v>
      </c>
      <c r="AT641">
        <v>0</v>
      </c>
      <c r="CC641" t="s">
        <v>432</v>
      </c>
      <c r="CD641">
        <v>85000</v>
      </c>
      <c r="CE641" s="1">
        <v>44197</v>
      </c>
      <c r="CF641" s="1">
        <v>44197</v>
      </c>
      <c r="CG641" s="1">
        <v>44197</v>
      </c>
      <c r="CH641" s="1">
        <v>51826</v>
      </c>
      <c r="CI641" t="s">
        <v>51</v>
      </c>
      <c r="CK641" t="s">
        <v>78</v>
      </c>
      <c r="CM641" t="s">
        <v>54</v>
      </c>
      <c r="CN641" t="s">
        <v>174</v>
      </c>
      <c r="CO641" t="s">
        <v>86</v>
      </c>
      <c r="CR641">
        <v>24</v>
      </c>
      <c r="CS641">
        <v>0</v>
      </c>
      <c r="CT641">
        <v>0</v>
      </c>
      <c r="CU641">
        <v>0</v>
      </c>
    </row>
    <row r="642" spans="1:99" x14ac:dyDescent="0.2">
      <c r="A642" t="s">
        <v>180</v>
      </c>
      <c r="B642" t="s">
        <v>181</v>
      </c>
      <c r="C642" t="s">
        <v>184</v>
      </c>
      <c r="D642" t="s">
        <v>513</v>
      </c>
      <c r="F642" t="str">
        <f>"250281"</f>
        <v>250281</v>
      </c>
      <c r="G642" t="s">
        <v>49</v>
      </c>
      <c r="H642" t="s">
        <v>527</v>
      </c>
      <c r="K642" t="s">
        <v>51</v>
      </c>
      <c r="L642" t="s">
        <v>52</v>
      </c>
      <c r="M642">
        <v>134805.71</v>
      </c>
      <c r="N642">
        <v>471328.56</v>
      </c>
      <c r="O642" t="s">
        <v>53</v>
      </c>
      <c r="P642" t="s">
        <v>54</v>
      </c>
      <c r="Q642" t="s">
        <v>55</v>
      </c>
      <c r="S642" t="s">
        <v>514</v>
      </c>
      <c r="T642" t="s">
        <v>514</v>
      </c>
      <c r="U642">
        <v>30</v>
      </c>
      <c r="V642" s="1">
        <v>44197</v>
      </c>
      <c r="W642" s="1">
        <v>44197</v>
      </c>
      <c r="X642" s="1">
        <v>44197</v>
      </c>
      <c r="Y642" s="1">
        <v>55154</v>
      </c>
      <c r="Z642" t="s">
        <v>51</v>
      </c>
      <c r="AB642" t="s">
        <v>54</v>
      </c>
      <c r="AC642">
        <v>1</v>
      </c>
      <c r="AE642" t="s">
        <v>515</v>
      </c>
      <c r="AF642">
        <v>20</v>
      </c>
      <c r="AG642" s="1">
        <v>44197</v>
      </c>
      <c r="AH642" s="1">
        <v>44197</v>
      </c>
      <c r="AI642" s="1">
        <v>44197</v>
      </c>
      <c r="AJ642" s="1">
        <v>51502</v>
      </c>
      <c r="AK642" t="s">
        <v>51</v>
      </c>
      <c r="AN642">
        <v>0</v>
      </c>
      <c r="AO642" t="s">
        <v>54</v>
      </c>
      <c r="AP642" t="s">
        <v>53</v>
      </c>
      <c r="AQ642">
        <v>0</v>
      </c>
      <c r="AR642" t="s">
        <v>53</v>
      </c>
      <c r="AS642">
        <v>0</v>
      </c>
      <c r="AT642">
        <v>0</v>
      </c>
      <c r="CC642" t="s">
        <v>432</v>
      </c>
      <c r="CD642">
        <v>85000</v>
      </c>
      <c r="CE642" s="1">
        <v>44197</v>
      </c>
      <c r="CF642" s="1">
        <v>44197</v>
      </c>
      <c r="CG642" s="1">
        <v>44197</v>
      </c>
      <c r="CH642" s="1">
        <v>51826</v>
      </c>
      <c r="CI642" t="s">
        <v>51</v>
      </c>
      <c r="CK642" t="s">
        <v>78</v>
      </c>
      <c r="CM642" t="s">
        <v>54</v>
      </c>
      <c r="CN642" t="s">
        <v>174</v>
      </c>
      <c r="CO642" t="s">
        <v>86</v>
      </c>
      <c r="CR642">
        <v>24</v>
      </c>
      <c r="CS642">
        <v>0</v>
      </c>
      <c r="CT642">
        <v>0</v>
      </c>
      <c r="CU642">
        <v>0</v>
      </c>
    </row>
    <row r="643" spans="1:99" x14ac:dyDescent="0.2">
      <c r="A643" t="s">
        <v>180</v>
      </c>
      <c r="B643" t="s">
        <v>181</v>
      </c>
      <c r="C643" t="s">
        <v>184</v>
      </c>
      <c r="D643" t="s">
        <v>513</v>
      </c>
      <c r="F643" t="str">
        <f>"250282"</f>
        <v>250282</v>
      </c>
      <c r="G643" t="s">
        <v>49</v>
      </c>
      <c r="H643">
        <v>144</v>
      </c>
      <c r="K643" t="s">
        <v>51</v>
      </c>
      <c r="L643" t="s">
        <v>52</v>
      </c>
      <c r="M643">
        <v>134809.67000000001</v>
      </c>
      <c r="N643">
        <v>471331.94</v>
      </c>
      <c r="O643" t="s">
        <v>53</v>
      </c>
      <c r="P643" t="s">
        <v>54</v>
      </c>
      <c r="Q643" t="s">
        <v>55</v>
      </c>
      <c r="S643" t="s">
        <v>514</v>
      </c>
      <c r="T643" t="s">
        <v>514</v>
      </c>
      <c r="U643">
        <v>30</v>
      </c>
      <c r="V643" s="1">
        <v>44197</v>
      </c>
      <c r="W643" s="1">
        <v>44197</v>
      </c>
      <c r="X643" s="1">
        <v>44197</v>
      </c>
      <c r="Y643" s="1">
        <v>55154</v>
      </c>
      <c r="Z643" t="s">
        <v>51</v>
      </c>
      <c r="AB643" t="s">
        <v>54</v>
      </c>
      <c r="AC643">
        <v>1</v>
      </c>
      <c r="AE643" t="s">
        <v>515</v>
      </c>
      <c r="AF643">
        <v>20</v>
      </c>
      <c r="AG643" s="1">
        <v>44197</v>
      </c>
      <c r="AH643" s="1">
        <v>44197</v>
      </c>
      <c r="AI643" s="1">
        <v>44197</v>
      </c>
      <c r="AJ643" s="1">
        <v>51502</v>
      </c>
      <c r="AK643" t="s">
        <v>51</v>
      </c>
      <c r="AN643">
        <v>0</v>
      </c>
      <c r="AO643" t="s">
        <v>54</v>
      </c>
      <c r="AP643" t="s">
        <v>53</v>
      </c>
      <c r="AQ643">
        <v>0</v>
      </c>
      <c r="AR643" t="s">
        <v>53</v>
      </c>
      <c r="AS643">
        <v>0</v>
      </c>
      <c r="AT643">
        <v>0</v>
      </c>
      <c r="CC643" t="s">
        <v>432</v>
      </c>
      <c r="CD643">
        <v>85000</v>
      </c>
      <c r="CE643" s="1">
        <v>44197</v>
      </c>
      <c r="CF643" s="1">
        <v>44197</v>
      </c>
      <c r="CG643" s="1">
        <v>44197</v>
      </c>
      <c r="CH643" s="1">
        <v>51826</v>
      </c>
      <c r="CI643" t="s">
        <v>51</v>
      </c>
      <c r="CK643" t="s">
        <v>78</v>
      </c>
      <c r="CM643" t="s">
        <v>54</v>
      </c>
      <c r="CN643" t="s">
        <v>174</v>
      </c>
      <c r="CO643" t="s">
        <v>86</v>
      </c>
      <c r="CR643">
        <v>24</v>
      </c>
      <c r="CS643">
        <v>0</v>
      </c>
      <c r="CT643">
        <v>0</v>
      </c>
      <c r="CU643">
        <v>0</v>
      </c>
    </row>
    <row r="644" spans="1:99" x14ac:dyDescent="0.2">
      <c r="A644" t="s">
        <v>180</v>
      </c>
      <c r="B644" t="s">
        <v>181</v>
      </c>
      <c r="C644" t="s">
        <v>184</v>
      </c>
      <c r="D644" t="s">
        <v>513</v>
      </c>
      <c r="F644" t="str">
        <f>"250283"</f>
        <v>250283</v>
      </c>
      <c r="G644" t="s">
        <v>49</v>
      </c>
      <c r="K644" t="s">
        <v>51</v>
      </c>
      <c r="L644" t="s">
        <v>52</v>
      </c>
      <c r="M644">
        <v>134823.201</v>
      </c>
      <c r="N644">
        <v>471341.29599999997</v>
      </c>
      <c r="O644" t="s">
        <v>53</v>
      </c>
      <c r="P644" t="s">
        <v>54</v>
      </c>
      <c r="Q644" t="s">
        <v>55</v>
      </c>
      <c r="S644" t="s">
        <v>514</v>
      </c>
      <c r="T644" t="s">
        <v>514</v>
      </c>
      <c r="U644">
        <v>30</v>
      </c>
      <c r="V644" s="1">
        <v>44197</v>
      </c>
      <c r="W644" s="1">
        <v>44197</v>
      </c>
      <c r="X644" s="1">
        <v>44197</v>
      </c>
      <c r="Y644" s="1">
        <v>55154</v>
      </c>
      <c r="Z644" t="s">
        <v>51</v>
      </c>
      <c r="AB644" t="s">
        <v>54</v>
      </c>
      <c r="AC644">
        <v>1</v>
      </c>
      <c r="AE644" t="s">
        <v>515</v>
      </c>
      <c r="AF644">
        <v>20</v>
      </c>
      <c r="AG644" s="1">
        <v>44197</v>
      </c>
      <c r="AH644" s="1">
        <v>44197</v>
      </c>
      <c r="AI644" s="1">
        <v>44197</v>
      </c>
      <c r="AJ644" s="1">
        <v>51502</v>
      </c>
      <c r="AK644" t="s">
        <v>51</v>
      </c>
      <c r="AN644">
        <v>0</v>
      </c>
      <c r="AO644" t="s">
        <v>54</v>
      </c>
      <c r="AP644" t="s">
        <v>53</v>
      </c>
      <c r="AQ644">
        <v>0</v>
      </c>
      <c r="AR644" t="s">
        <v>53</v>
      </c>
      <c r="AS644">
        <v>0</v>
      </c>
      <c r="AT644">
        <v>0</v>
      </c>
      <c r="CC644" t="s">
        <v>432</v>
      </c>
      <c r="CD644">
        <v>85000</v>
      </c>
      <c r="CE644" s="1">
        <v>44197</v>
      </c>
      <c r="CF644" s="1">
        <v>44197</v>
      </c>
      <c r="CG644" s="1">
        <v>44197</v>
      </c>
      <c r="CH644" s="1">
        <v>51826</v>
      </c>
      <c r="CI644" t="s">
        <v>51</v>
      </c>
      <c r="CK644" t="s">
        <v>78</v>
      </c>
      <c r="CM644" t="s">
        <v>54</v>
      </c>
      <c r="CN644" t="s">
        <v>174</v>
      </c>
      <c r="CO644" t="s">
        <v>86</v>
      </c>
      <c r="CR644">
        <v>24</v>
      </c>
      <c r="CS644">
        <v>0</v>
      </c>
      <c r="CT644">
        <v>0</v>
      </c>
      <c r="CU644">
        <v>0</v>
      </c>
    </row>
    <row r="645" spans="1:99" x14ac:dyDescent="0.2">
      <c r="A645" t="s">
        <v>180</v>
      </c>
      <c r="B645" t="s">
        <v>181</v>
      </c>
      <c r="C645" t="s">
        <v>184</v>
      </c>
      <c r="D645" t="s">
        <v>513</v>
      </c>
      <c r="F645" t="str">
        <f>"250284"</f>
        <v>250284</v>
      </c>
      <c r="G645" t="s">
        <v>49</v>
      </c>
      <c r="H645" t="s">
        <v>528</v>
      </c>
      <c r="K645" t="s">
        <v>51</v>
      </c>
      <c r="L645" t="s">
        <v>52</v>
      </c>
      <c r="M645">
        <v>134839.54999999999</v>
      </c>
      <c r="N645">
        <v>471356.08</v>
      </c>
      <c r="O645" t="s">
        <v>53</v>
      </c>
      <c r="P645" t="s">
        <v>54</v>
      </c>
      <c r="Q645" t="s">
        <v>55</v>
      </c>
      <c r="S645" t="s">
        <v>514</v>
      </c>
      <c r="T645" t="s">
        <v>514</v>
      </c>
      <c r="U645">
        <v>30</v>
      </c>
      <c r="V645" s="1">
        <v>44197</v>
      </c>
      <c r="W645" s="1">
        <v>44197</v>
      </c>
      <c r="X645" s="1">
        <v>44197</v>
      </c>
      <c r="Y645" s="1">
        <v>55154</v>
      </c>
      <c r="Z645" t="s">
        <v>51</v>
      </c>
      <c r="AB645" t="s">
        <v>54</v>
      </c>
      <c r="AC645">
        <v>1</v>
      </c>
      <c r="AE645" t="s">
        <v>515</v>
      </c>
      <c r="AF645">
        <v>20</v>
      </c>
      <c r="AG645" s="1">
        <v>44197</v>
      </c>
      <c r="AH645" s="1">
        <v>44197</v>
      </c>
      <c r="AI645" s="1">
        <v>44197</v>
      </c>
      <c r="AJ645" s="1">
        <v>51502</v>
      </c>
      <c r="AK645" t="s">
        <v>51</v>
      </c>
      <c r="AN645">
        <v>0</v>
      </c>
      <c r="AO645" t="s">
        <v>54</v>
      </c>
      <c r="AP645" t="s">
        <v>53</v>
      </c>
      <c r="AQ645">
        <v>0</v>
      </c>
      <c r="AR645" t="s">
        <v>53</v>
      </c>
      <c r="AS645">
        <v>0</v>
      </c>
      <c r="AT645">
        <v>0</v>
      </c>
      <c r="CC645" t="s">
        <v>432</v>
      </c>
      <c r="CD645">
        <v>85000</v>
      </c>
      <c r="CE645" s="1">
        <v>44197</v>
      </c>
      <c r="CF645" s="1">
        <v>44197</v>
      </c>
      <c r="CG645" s="1">
        <v>44197</v>
      </c>
      <c r="CH645" s="1">
        <v>51826</v>
      </c>
      <c r="CI645" t="s">
        <v>51</v>
      </c>
      <c r="CK645" t="s">
        <v>78</v>
      </c>
      <c r="CM645" t="s">
        <v>54</v>
      </c>
      <c r="CN645" t="s">
        <v>174</v>
      </c>
      <c r="CO645" t="s">
        <v>86</v>
      </c>
      <c r="CR645">
        <v>24</v>
      </c>
      <c r="CS645">
        <v>0</v>
      </c>
      <c r="CT645">
        <v>0</v>
      </c>
      <c r="CU645">
        <v>0</v>
      </c>
    </row>
    <row r="646" spans="1:99" x14ac:dyDescent="0.2">
      <c r="A646" t="s">
        <v>180</v>
      </c>
      <c r="B646" t="s">
        <v>181</v>
      </c>
      <c r="C646" t="s">
        <v>184</v>
      </c>
      <c r="D646" t="s">
        <v>513</v>
      </c>
      <c r="F646" t="str">
        <f>"250285"</f>
        <v>250285</v>
      </c>
      <c r="G646" t="s">
        <v>49</v>
      </c>
      <c r="K646" t="s">
        <v>51</v>
      </c>
      <c r="L646" t="s">
        <v>52</v>
      </c>
      <c r="M646">
        <v>134875.01999999999</v>
      </c>
      <c r="N646">
        <v>471383.74</v>
      </c>
      <c r="O646" t="s">
        <v>53</v>
      </c>
      <c r="P646" t="s">
        <v>54</v>
      </c>
      <c r="Q646" t="s">
        <v>55</v>
      </c>
      <c r="S646" t="s">
        <v>514</v>
      </c>
      <c r="T646" t="s">
        <v>514</v>
      </c>
      <c r="U646">
        <v>30</v>
      </c>
      <c r="V646" s="1">
        <v>44197</v>
      </c>
      <c r="W646" s="1">
        <v>44197</v>
      </c>
      <c r="X646" s="1">
        <v>44197</v>
      </c>
      <c r="Y646" s="1">
        <v>55154</v>
      </c>
      <c r="Z646" t="s">
        <v>51</v>
      </c>
      <c r="AB646" t="s">
        <v>54</v>
      </c>
      <c r="AC646">
        <v>1</v>
      </c>
      <c r="AE646" t="s">
        <v>515</v>
      </c>
      <c r="AF646">
        <v>20</v>
      </c>
      <c r="AG646" s="1">
        <v>44197</v>
      </c>
      <c r="AH646" s="1">
        <v>44197</v>
      </c>
      <c r="AI646" s="1">
        <v>44197</v>
      </c>
      <c r="AJ646" s="1">
        <v>51502</v>
      </c>
      <c r="AK646" t="s">
        <v>51</v>
      </c>
      <c r="AN646">
        <v>0</v>
      </c>
      <c r="AO646" t="s">
        <v>54</v>
      </c>
      <c r="AP646" t="s">
        <v>53</v>
      </c>
      <c r="AQ646">
        <v>0</v>
      </c>
      <c r="AR646" t="s">
        <v>53</v>
      </c>
      <c r="AS646">
        <v>0</v>
      </c>
      <c r="AT646">
        <v>0</v>
      </c>
      <c r="CC646" t="s">
        <v>432</v>
      </c>
      <c r="CD646">
        <v>85000</v>
      </c>
      <c r="CE646" s="1">
        <v>44197</v>
      </c>
      <c r="CF646" s="1">
        <v>44197</v>
      </c>
      <c r="CG646" s="1">
        <v>44197</v>
      </c>
      <c r="CH646" s="1">
        <v>51826</v>
      </c>
      <c r="CI646" t="s">
        <v>51</v>
      </c>
      <c r="CK646" t="s">
        <v>78</v>
      </c>
      <c r="CM646" t="s">
        <v>54</v>
      </c>
      <c r="CN646" t="s">
        <v>174</v>
      </c>
      <c r="CO646" t="s">
        <v>86</v>
      </c>
      <c r="CR646">
        <v>24</v>
      </c>
      <c r="CS646">
        <v>0</v>
      </c>
      <c r="CT646">
        <v>0</v>
      </c>
      <c r="CU646">
        <v>0</v>
      </c>
    </row>
    <row r="647" spans="1:99" x14ac:dyDescent="0.2">
      <c r="A647" t="s">
        <v>180</v>
      </c>
      <c r="B647" t="s">
        <v>181</v>
      </c>
      <c r="C647" t="s">
        <v>184</v>
      </c>
      <c r="D647" t="s">
        <v>513</v>
      </c>
      <c r="F647" t="str">
        <f>"250286"</f>
        <v>250286</v>
      </c>
      <c r="G647" t="s">
        <v>49</v>
      </c>
      <c r="K647" t="s">
        <v>51</v>
      </c>
      <c r="L647" t="s">
        <v>52</v>
      </c>
      <c r="M647">
        <v>134902.91</v>
      </c>
      <c r="N647">
        <v>471405.48</v>
      </c>
      <c r="O647" t="s">
        <v>53</v>
      </c>
      <c r="P647" t="s">
        <v>54</v>
      </c>
      <c r="Q647" t="s">
        <v>55</v>
      </c>
      <c r="T647" t="s">
        <v>466</v>
      </c>
      <c r="U647">
        <v>40</v>
      </c>
      <c r="V647" s="1">
        <v>44197</v>
      </c>
      <c r="W647" s="1">
        <v>44197</v>
      </c>
      <c r="X647" s="1">
        <v>44197</v>
      </c>
      <c r="Y647" s="1">
        <v>58807</v>
      </c>
      <c r="Z647" t="s">
        <v>51</v>
      </c>
      <c r="AB647" t="s">
        <v>54</v>
      </c>
      <c r="AE647" t="s">
        <v>356</v>
      </c>
      <c r="AF647">
        <v>20</v>
      </c>
      <c r="AG647" s="1">
        <v>44197</v>
      </c>
      <c r="AH647" s="1">
        <v>44197</v>
      </c>
      <c r="AI647" s="1">
        <v>44197</v>
      </c>
      <c r="AJ647" s="1">
        <v>51502</v>
      </c>
      <c r="AK647" t="s">
        <v>51</v>
      </c>
      <c r="AN647">
        <v>0</v>
      </c>
      <c r="AO647" t="s">
        <v>54</v>
      </c>
      <c r="AP647" t="s">
        <v>53</v>
      </c>
      <c r="AQ647">
        <v>0</v>
      </c>
      <c r="AR647" t="s">
        <v>145</v>
      </c>
      <c r="AS647">
        <v>0</v>
      </c>
      <c r="AT647">
        <v>0</v>
      </c>
      <c r="CC647" t="s">
        <v>529</v>
      </c>
      <c r="CD647">
        <v>85000</v>
      </c>
      <c r="CE647" s="1">
        <v>44197</v>
      </c>
      <c r="CF647" s="1">
        <v>44197</v>
      </c>
      <c r="CG647" s="1">
        <v>44197</v>
      </c>
      <c r="CH647" s="1">
        <v>51826</v>
      </c>
      <c r="CI647" t="s">
        <v>51</v>
      </c>
      <c r="CK647" t="s">
        <v>78</v>
      </c>
      <c r="CM647" t="s">
        <v>54</v>
      </c>
      <c r="CN647" t="s">
        <v>174</v>
      </c>
      <c r="CO647" t="s">
        <v>86</v>
      </c>
      <c r="CR647">
        <v>35</v>
      </c>
      <c r="CS647">
        <v>0</v>
      </c>
      <c r="CT647">
        <v>0</v>
      </c>
      <c r="CU647">
        <v>0</v>
      </c>
    </row>
    <row r="648" spans="1:99" x14ac:dyDescent="0.2">
      <c r="A648" t="s">
        <v>180</v>
      </c>
      <c r="B648" t="s">
        <v>181</v>
      </c>
      <c r="C648" t="s">
        <v>184</v>
      </c>
      <c r="D648" t="s">
        <v>513</v>
      </c>
      <c r="F648" t="str">
        <f>"250287"</f>
        <v>250287</v>
      </c>
      <c r="G648" t="s">
        <v>49</v>
      </c>
      <c r="K648" t="s">
        <v>51</v>
      </c>
      <c r="L648" t="s">
        <v>52</v>
      </c>
      <c r="M648">
        <v>134929.96</v>
      </c>
      <c r="N648">
        <v>471427.3</v>
      </c>
      <c r="O648" t="s">
        <v>53</v>
      </c>
      <c r="P648" t="s">
        <v>54</v>
      </c>
      <c r="Q648" t="s">
        <v>55</v>
      </c>
      <c r="T648" t="s">
        <v>466</v>
      </c>
      <c r="U648">
        <v>40</v>
      </c>
      <c r="V648" s="1">
        <v>44197</v>
      </c>
      <c r="W648" s="1">
        <v>44197</v>
      </c>
      <c r="X648" s="1">
        <v>44197</v>
      </c>
      <c r="Y648" s="1">
        <v>58807</v>
      </c>
      <c r="Z648" t="s">
        <v>51</v>
      </c>
      <c r="AB648" t="s">
        <v>54</v>
      </c>
      <c r="AE648" t="s">
        <v>356</v>
      </c>
      <c r="AF648">
        <v>20</v>
      </c>
      <c r="AG648" s="1">
        <v>44197</v>
      </c>
      <c r="AH648" s="1">
        <v>44197</v>
      </c>
      <c r="AI648" s="1">
        <v>44197</v>
      </c>
      <c r="AJ648" s="1">
        <v>51502</v>
      </c>
      <c r="AK648" t="s">
        <v>51</v>
      </c>
      <c r="AN648">
        <v>0</v>
      </c>
      <c r="AO648" t="s">
        <v>54</v>
      </c>
      <c r="AP648" t="s">
        <v>53</v>
      </c>
      <c r="AQ648">
        <v>0</v>
      </c>
      <c r="AR648" t="s">
        <v>145</v>
      </c>
      <c r="AS648">
        <v>0</v>
      </c>
      <c r="AT648">
        <v>0</v>
      </c>
      <c r="CC648" t="s">
        <v>529</v>
      </c>
      <c r="CD648">
        <v>85000</v>
      </c>
      <c r="CE648" s="1">
        <v>44197</v>
      </c>
      <c r="CF648" s="1">
        <v>44197</v>
      </c>
      <c r="CG648" s="1">
        <v>44197</v>
      </c>
      <c r="CH648" s="1">
        <v>51826</v>
      </c>
      <c r="CI648" t="s">
        <v>51</v>
      </c>
      <c r="CK648" t="s">
        <v>78</v>
      </c>
      <c r="CM648" t="s">
        <v>54</v>
      </c>
      <c r="CN648" t="s">
        <v>174</v>
      </c>
      <c r="CO648" t="s">
        <v>86</v>
      </c>
      <c r="CR648">
        <v>35</v>
      </c>
      <c r="CS648">
        <v>0</v>
      </c>
      <c r="CT648">
        <v>0</v>
      </c>
      <c r="CU648">
        <v>0</v>
      </c>
    </row>
    <row r="649" spans="1:99" x14ac:dyDescent="0.2">
      <c r="A649" t="s">
        <v>180</v>
      </c>
      <c r="B649" t="s">
        <v>181</v>
      </c>
      <c r="C649" t="s">
        <v>184</v>
      </c>
      <c r="D649" t="s">
        <v>513</v>
      </c>
      <c r="F649" t="str">
        <f>"250288"</f>
        <v>250288</v>
      </c>
      <c r="G649" t="s">
        <v>49</v>
      </c>
      <c r="H649" t="s">
        <v>530</v>
      </c>
      <c r="K649" t="s">
        <v>51</v>
      </c>
      <c r="L649" t="s">
        <v>52</v>
      </c>
      <c r="M649">
        <v>134954.22</v>
      </c>
      <c r="N649">
        <v>471444.27</v>
      </c>
      <c r="O649" t="s">
        <v>53</v>
      </c>
      <c r="P649" t="s">
        <v>54</v>
      </c>
      <c r="Q649" t="s">
        <v>55</v>
      </c>
      <c r="T649" t="s">
        <v>466</v>
      </c>
      <c r="U649">
        <v>40</v>
      </c>
      <c r="V649" s="1">
        <v>44197</v>
      </c>
      <c r="W649" s="1">
        <v>44197</v>
      </c>
      <c r="X649" s="1">
        <v>44197</v>
      </c>
      <c r="Y649" s="1">
        <v>58807</v>
      </c>
      <c r="Z649" t="s">
        <v>51</v>
      </c>
      <c r="AB649" t="s">
        <v>54</v>
      </c>
      <c r="AE649" t="s">
        <v>356</v>
      </c>
      <c r="AF649">
        <v>20</v>
      </c>
      <c r="AG649" s="1">
        <v>44197</v>
      </c>
      <c r="AH649" s="1">
        <v>44197</v>
      </c>
      <c r="AI649" s="1">
        <v>44197</v>
      </c>
      <c r="AJ649" s="1">
        <v>51502</v>
      </c>
      <c r="AK649" t="s">
        <v>51</v>
      </c>
      <c r="AN649">
        <v>0</v>
      </c>
      <c r="AO649" t="s">
        <v>54</v>
      </c>
      <c r="AP649" t="s">
        <v>53</v>
      </c>
      <c r="AQ649">
        <v>0</v>
      </c>
      <c r="AR649" t="s">
        <v>145</v>
      </c>
      <c r="AS649">
        <v>0</v>
      </c>
      <c r="AT649">
        <v>0</v>
      </c>
      <c r="CC649" t="s">
        <v>529</v>
      </c>
      <c r="CD649">
        <v>85000</v>
      </c>
      <c r="CE649" s="1">
        <v>44197</v>
      </c>
      <c r="CF649" s="1">
        <v>44197</v>
      </c>
      <c r="CG649" s="1">
        <v>44197</v>
      </c>
      <c r="CH649" s="1">
        <v>51826</v>
      </c>
      <c r="CI649" t="s">
        <v>51</v>
      </c>
      <c r="CK649" t="s">
        <v>78</v>
      </c>
      <c r="CM649" t="s">
        <v>54</v>
      </c>
      <c r="CN649" t="s">
        <v>174</v>
      </c>
      <c r="CO649" t="s">
        <v>86</v>
      </c>
      <c r="CR649">
        <v>35</v>
      </c>
      <c r="CS649">
        <v>0</v>
      </c>
      <c r="CT649">
        <v>0</v>
      </c>
      <c r="CU649">
        <v>0</v>
      </c>
    </row>
    <row r="650" spans="1:99" x14ac:dyDescent="0.2">
      <c r="A650" t="s">
        <v>180</v>
      </c>
      <c r="B650" t="s">
        <v>181</v>
      </c>
      <c r="C650" t="s">
        <v>184</v>
      </c>
      <c r="D650" t="s">
        <v>513</v>
      </c>
      <c r="F650" t="str">
        <f>"250290"</f>
        <v>250290</v>
      </c>
      <c r="G650" t="s">
        <v>49</v>
      </c>
      <c r="H650" t="s">
        <v>531</v>
      </c>
      <c r="K650" t="s">
        <v>51</v>
      </c>
      <c r="L650" t="s">
        <v>52</v>
      </c>
      <c r="M650">
        <v>135036.45000000001</v>
      </c>
      <c r="N650">
        <v>471509.58</v>
      </c>
      <c r="O650" t="s">
        <v>53</v>
      </c>
      <c r="P650" t="s">
        <v>54</v>
      </c>
      <c r="Q650" t="s">
        <v>55</v>
      </c>
      <c r="T650" t="s">
        <v>466</v>
      </c>
      <c r="U650">
        <v>40</v>
      </c>
      <c r="V650" s="1">
        <v>44197</v>
      </c>
      <c r="W650" s="1">
        <v>44197</v>
      </c>
      <c r="X650" s="1">
        <v>44197</v>
      </c>
      <c r="Y650" s="1">
        <v>58807</v>
      </c>
      <c r="Z650" t="s">
        <v>51</v>
      </c>
      <c r="AB650" t="s">
        <v>54</v>
      </c>
      <c r="AE650" t="s">
        <v>356</v>
      </c>
      <c r="AF650">
        <v>20</v>
      </c>
      <c r="AG650" s="1">
        <v>44197</v>
      </c>
      <c r="AH650" s="1">
        <v>44197</v>
      </c>
      <c r="AI650" s="1">
        <v>44197</v>
      </c>
      <c r="AJ650" s="1">
        <v>51502</v>
      </c>
      <c r="AK650" t="s">
        <v>51</v>
      </c>
      <c r="AN650">
        <v>0</v>
      </c>
      <c r="AO650" t="s">
        <v>54</v>
      </c>
      <c r="AP650" t="s">
        <v>53</v>
      </c>
      <c r="AQ650">
        <v>0</v>
      </c>
      <c r="AR650" t="s">
        <v>145</v>
      </c>
      <c r="AS650">
        <v>0</v>
      </c>
      <c r="AT650">
        <v>0</v>
      </c>
      <c r="CC650" t="s">
        <v>529</v>
      </c>
      <c r="CD650">
        <v>85000</v>
      </c>
      <c r="CE650" s="1">
        <v>44197</v>
      </c>
      <c r="CF650" s="1">
        <v>44197</v>
      </c>
      <c r="CG650" s="1">
        <v>44197</v>
      </c>
      <c r="CH650" s="1">
        <v>51826</v>
      </c>
      <c r="CI650" t="s">
        <v>51</v>
      </c>
      <c r="CK650" t="s">
        <v>78</v>
      </c>
      <c r="CM650" t="s">
        <v>54</v>
      </c>
      <c r="CN650" t="s">
        <v>174</v>
      </c>
      <c r="CO650" t="s">
        <v>86</v>
      </c>
      <c r="CR650">
        <v>35</v>
      </c>
      <c r="CS650">
        <v>0</v>
      </c>
      <c r="CT650">
        <v>0</v>
      </c>
      <c r="CU650">
        <v>0</v>
      </c>
    </row>
    <row r="651" spans="1:99" x14ac:dyDescent="0.2">
      <c r="A651" t="s">
        <v>180</v>
      </c>
      <c r="B651" t="s">
        <v>181</v>
      </c>
      <c r="C651" t="s">
        <v>184</v>
      </c>
      <c r="D651" t="s">
        <v>513</v>
      </c>
      <c r="F651" t="str">
        <f>"250294"</f>
        <v>250294</v>
      </c>
      <c r="G651" t="s">
        <v>49</v>
      </c>
      <c r="H651" t="s">
        <v>532</v>
      </c>
      <c r="K651" t="s">
        <v>51</v>
      </c>
      <c r="L651" t="s">
        <v>52</v>
      </c>
      <c r="M651">
        <v>135122.79</v>
      </c>
      <c r="N651">
        <v>471572.61</v>
      </c>
      <c r="O651" t="s">
        <v>53</v>
      </c>
      <c r="P651" t="s">
        <v>54</v>
      </c>
      <c r="Q651" t="s">
        <v>55</v>
      </c>
      <c r="T651" t="s">
        <v>466</v>
      </c>
      <c r="U651">
        <v>40</v>
      </c>
      <c r="V651" s="1">
        <v>44197</v>
      </c>
      <c r="W651" s="1">
        <v>44197</v>
      </c>
      <c r="X651" s="1">
        <v>44197</v>
      </c>
      <c r="Y651" s="1">
        <v>58807</v>
      </c>
      <c r="Z651" t="s">
        <v>51</v>
      </c>
      <c r="AB651" t="s">
        <v>54</v>
      </c>
      <c r="AE651" t="s">
        <v>356</v>
      </c>
      <c r="AF651">
        <v>20</v>
      </c>
      <c r="AG651" s="1">
        <v>44197</v>
      </c>
      <c r="AH651" s="1">
        <v>44197</v>
      </c>
      <c r="AI651" s="1">
        <v>44197</v>
      </c>
      <c r="AJ651" s="1">
        <v>51502</v>
      </c>
      <c r="AK651" t="s">
        <v>51</v>
      </c>
      <c r="AN651">
        <v>0</v>
      </c>
      <c r="AO651" t="s">
        <v>54</v>
      </c>
      <c r="AP651" t="s">
        <v>53</v>
      </c>
      <c r="AQ651">
        <v>0</v>
      </c>
      <c r="AR651" t="s">
        <v>145</v>
      </c>
      <c r="AS651">
        <v>0</v>
      </c>
      <c r="AT651">
        <v>0</v>
      </c>
      <c r="CC651" t="s">
        <v>529</v>
      </c>
      <c r="CD651">
        <v>85000</v>
      </c>
      <c r="CE651" s="1">
        <v>44197</v>
      </c>
      <c r="CF651" s="1">
        <v>44197</v>
      </c>
      <c r="CG651" s="1">
        <v>44197</v>
      </c>
      <c r="CH651" s="1">
        <v>51826</v>
      </c>
      <c r="CI651" t="s">
        <v>51</v>
      </c>
      <c r="CK651" t="s">
        <v>78</v>
      </c>
      <c r="CM651" t="s">
        <v>54</v>
      </c>
      <c r="CN651" t="s">
        <v>174</v>
      </c>
      <c r="CO651" t="s">
        <v>86</v>
      </c>
      <c r="CR651">
        <v>35</v>
      </c>
      <c r="CS651">
        <v>0</v>
      </c>
      <c r="CT651">
        <v>0</v>
      </c>
      <c r="CU651">
        <v>0</v>
      </c>
    </row>
    <row r="652" spans="1:99" x14ac:dyDescent="0.2">
      <c r="A652" t="s">
        <v>180</v>
      </c>
      <c r="B652" t="s">
        <v>181</v>
      </c>
      <c r="C652" t="s">
        <v>184</v>
      </c>
      <c r="D652" t="s">
        <v>513</v>
      </c>
      <c r="F652" t="str">
        <f>"250295"</f>
        <v>250295</v>
      </c>
      <c r="G652" t="s">
        <v>49</v>
      </c>
      <c r="H652" t="s">
        <v>533</v>
      </c>
      <c r="K652" t="s">
        <v>51</v>
      </c>
      <c r="L652" t="s">
        <v>52</v>
      </c>
      <c r="M652">
        <v>135148.48000000001</v>
      </c>
      <c r="N652">
        <v>471592.94</v>
      </c>
      <c r="O652" t="s">
        <v>53</v>
      </c>
      <c r="P652" t="s">
        <v>54</v>
      </c>
      <c r="Q652" t="s">
        <v>55</v>
      </c>
      <c r="T652" t="s">
        <v>466</v>
      </c>
      <c r="U652">
        <v>40</v>
      </c>
      <c r="V652" s="1">
        <v>44197</v>
      </c>
      <c r="W652" s="1">
        <v>44197</v>
      </c>
      <c r="X652" s="1">
        <v>44197</v>
      </c>
      <c r="Y652" s="1">
        <v>58807</v>
      </c>
      <c r="Z652" t="s">
        <v>51</v>
      </c>
      <c r="AB652" t="s">
        <v>54</v>
      </c>
      <c r="AE652" t="s">
        <v>356</v>
      </c>
      <c r="AF652">
        <v>20</v>
      </c>
      <c r="AG652" s="1">
        <v>44197</v>
      </c>
      <c r="AH652" s="1">
        <v>44197</v>
      </c>
      <c r="AI652" s="1">
        <v>44197</v>
      </c>
      <c r="AJ652" s="1">
        <v>51502</v>
      </c>
      <c r="AK652" t="s">
        <v>51</v>
      </c>
      <c r="AN652">
        <v>0</v>
      </c>
      <c r="AO652" t="s">
        <v>54</v>
      </c>
      <c r="AP652" t="s">
        <v>53</v>
      </c>
      <c r="AQ652">
        <v>0</v>
      </c>
      <c r="AR652" t="s">
        <v>145</v>
      </c>
      <c r="AS652">
        <v>0</v>
      </c>
      <c r="AT652">
        <v>0</v>
      </c>
      <c r="CC652" t="s">
        <v>529</v>
      </c>
      <c r="CD652">
        <v>85000</v>
      </c>
      <c r="CE652" s="1">
        <v>44197</v>
      </c>
      <c r="CF652" s="1">
        <v>44197</v>
      </c>
      <c r="CG652" s="1">
        <v>44197</v>
      </c>
      <c r="CH652" s="1">
        <v>51826</v>
      </c>
      <c r="CI652" t="s">
        <v>51</v>
      </c>
      <c r="CK652" t="s">
        <v>78</v>
      </c>
      <c r="CM652" t="s">
        <v>54</v>
      </c>
      <c r="CN652" t="s">
        <v>174</v>
      </c>
      <c r="CO652" t="s">
        <v>86</v>
      </c>
      <c r="CR652">
        <v>35</v>
      </c>
      <c r="CS652">
        <v>0</v>
      </c>
      <c r="CT652">
        <v>0</v>
      </c>
      <c r="CU652">
        <v>0</v>
      </c>
    </row>
    <row r="653" spans="1:99" x14ac:dyDescent="0.2">
      <c r="A653" t="s">
        <v>180</v>
      </c>
      <c r="B653" t="s">
        <v>181</v>
      </c>
      <c r="C653" t="s">
        <v>184</v>
      </c>
      <c r="D653" t="s">
        <v>513</v>
      </c>
      <c r="F653" t="str">
        <f>"250296"</f>
        <v>250296</v>
      </c>
      <c r="G653" t="s">
        <v>49</v>
      </c>
      <c r="H653" t="s">
        <v>534</v>
      </c>
      <c r="K653" t="s">
        <v>51</v>
      </c>
      <c r="L653" t="s">
        <v>52</v>
      </c>
      <c r="M653">
        <v>135183.60999999999</v>
      </c>
      <c r="N653">
        <v>471623.4</v>
      </c>
      <c r="O653" t="s">
        <v>53</v>
      </c>
      <c r="P653" t="s">
        <v>54</v>
      </c>
      <c r="Q653" t="s">
        <v>55</v>
      </c>
      <c r="T653" t="s">
        <v>466</v>
      </c>
      <c r="U653">
        <v>40</v>
      </c>
      <c r="V653" s="1">
        <v>44197</v>
      </c>
      <c r="W653" s="1">
        <v>44197</v>
      </c>
      <c r="X653" s="1">
        <v>44197</v>
      </c>
      <c r="Y653" s="1">
        <v>58807</v>
      </c>
      <c r="Z653" t="s">
        <v>51</v>
      </c>
      <c r="AB653" t="s">
        <v>54</v>
      </c>
      <c r="AE653" t="s">
        <v>356</v>
      </c>
      <c r="AF653">
        <v>20</v>
      </c>
      <c r="AG653" s="1">
        <v>44197</v>
      </c>
      <c r="AH653" s="1">
        <v>44197</v>
      </c>
      <c r="AI653" s="1">
        <v>44197</v>
      </c>
      <c r="AJ653" s="1">
        <v>51502</v>
      </c>
      <c r="AK653" t="s">
        <v>51</v>
      </c>
      <c r="AN653">
        <v>0</v>
      </c>
      <c r="AO653" t="s">
        <v>54</v>
      </c>
      <c r="AP653" t="s">
        <v>53</v>
      </c>
      <c r="AQ653">
        <v>0</v>
      </c>
      <c r="AR653" t="s">
        <v>145</v>
      </c>
      <c r="AS653">
        <v>0</v>
      </c>
      <c r="AT653">
        <v>0</v>
      </c>
      <c r="CC653" t="s">
        <v>529</v>
      </c>
      <c r="CD653">
        <v>85000</v>
      </c>
      <c r="CE653" s="1">
        <v>44197</v>
      </c>
      <c r="CF653" s="1">
        <v>44197</v>
      </c>
      <c r="CG653" s="1">
        <v>44197</v>
      </c>
      <c r="CH653" s="1">
        <v>51826</v>
      </c>
      <c r="CI653" t="s">
        <v>51</v>
      </c>
      <c r="CK653" t="s">
        <v>78</v>
      </c>
      <c r="CM653" t="s">
        <v>54</v>
      </c>
      <c r="CN653" t="s">
        <v>174</v>
      </c>
      <c r="CO653" t="s">
        <v>86</v>
      </c>
      <c r="CR653">
        <v>35</v>
      </c>
      <c r="CS653">
        <v>0</v>
      </c>
      <c r="CT653">
        <v>0</v>
      </c>
      <c r="CU653">
        <v>0</v>
      </c>
    </row>
    <row r="654" spans="1:99" x14ac:dyDescent="0.2">
      <c r="A654" t="s">
        <v>180</v>
      </c>
      <c r="B654" t="s">
        <v>181</v>
      </c>
      <c r="C654" t="s">
        <v>184</v>
      </c>
      <c r="D654" t="s">
        <v>513</v>
      </c>
      <c r="F654" t="str">
        <f>"250297"</f>
        <v>250297</v>
      </c>
      <c r="G654" t="s">
        <v>49</v>
      </c>
      <c r="H654" t="s">
        <v>322</v>
      </c>
      <c r="K654" t="s">
        <v>51</v>
      </c>
      <c r="L654" t="s">
        <v>52</v>
      </c>
      <c r="M654">
        <v>135206.25</v>
      </c>
      <c r="N654">
        <v>471642.25</v>
      </c>
      <c r="O654" t="s">
        <v>53</v>
      </c>
      <c r="P654" t="s">
        <v>54</v>
      </c>
      <c r="Q654" t="s">
        <v>55</v>
      </c>
      <c r="T654" t="s">
        <v>466</v>
      </c>
      <c r="U654">
        <v>40</v>
      </c>
      <c r="V654" s="1">
        <v>44197</v>
      </c>
      <c r="W654" s="1">
        <v>44197</v>
      </c>
      <c r="X654" s="1">
        <v>44197</v>
      </c>
      <c r="Y654" s="1">
        <v>58807</v>
      </c>
      <c r="Z654" t="s">
        <v>51</v>
      </c>
      <c r="AB654" t="s">
        <v>54</v>
      </c>
      <c r="AE654" t="s">
        <v>356</v>
      </c>
      <c r="AF654">
        <v>20</v>
      </c>
      <c r="AG654" s="1">
        <v>44197</v>
      </c>
      <c r="AH654" s="1">
        <v>44197</v>
      </c>
      <c r="AI654" s="1">
        <v>44197</v>
      </c>
      <c r="AJ654" s="1">
        <v>51502</v>
      </c>
      <c r="AK654" t="s">
        <v>51</v>
      </c>
      <c r="AN654">
        <v>0</v>
      </c>
      <c r="AO654" t="s">
        <v>54</v>
      </c>
      <c r="AP654" t="s">
        <v>53</v>
      </c>
      <c r="AQ654">
        <v>0</v>
      </c>
      <c r="AR654" t="s">
        <v>145</v>
      </c>
      <c r="AS654">
        <v>0</v>
      </c>
      <c r="AT654">
        <v>0</v>
      </c>
      <c r="CC654" t="s">
        <v>529</v>
      </c>
      <c r="CD654">
        <v>85000</v>
      </c>
      <c r="CE654" s="1">
        <v>44197</v>
      </c>
      <c r="CF654" s="1">
        <v>44197</v>
      </c>
      <c r="CG654" s="1">
        <v>44197</v>
      </c>
      <c r="CH654" s="1">
        <v>51826</v>
      </c>
      <c r="CI654" t="s">
        <v>51</v>
      </c>
      <c r="CK654" t="s">
        <v>78</v>
      </c>
      <c r="CM654" t="s">
        <v>54</v>
      </c>
      <c r="CN654" t="s">
        <v>174</v>
      </c>
      <c r="CO654" t="s">
        <v>86</v>
      </c>
      <c r="CR654">
        <v>35</v>
      </c>
      <c r="CS654">
        <v>0</v>
      </c>
      <c r="CT654">
        <v>0</v>
      </c>
      <c r="CU654">
        <v>0</v>
      </c>
    </row>
    <row r="655" spans="1:99" x14ac:dyDescent="0.2">
      <c r="A655" t="s">
        <v>180</v>
      </c>
      <c r="B655" t="s">
        <v>181</v>
      </c>
      <c r="C655" t="s">
        <v>184</v>
      </c>
      <c r="D655" t="s">
        <v>513</v>
      </c>
      <c r="F655" t="str">
        <f>"250298"</f>
        <v>250298</v>
      </c>
      <c r="G655" t="s">
        <v>49</v>
      </c>
      <c r="H655" t="s">
        <v>535</v>
      </c>
      <c r="K655" t="s">
        <v>51</v>
      </c>
      <c r="L655" t="s">
        <v>52</v>
      </c>
      <c r="M655">
        <v>135229.47</v>
      </c>
      <c r="N655">
        <v>471661.46</v>
      </c>
      <c r="O655" t="s">
        <v>53</v>
      </c>
      <c r="P655" t="s">
        <v>54</v>
      </c>
      <c r="Q655" t="s">
        <v>55</v>
      </c>
      <c r="T655" t="s">
        <v>466</v>
      </c>
      <c r="U655">
        <v>40</v>
      </c>
      <c r="V655" s="1">
        <v>44197</v>
      </c>
      <c r="W655" s="1">
        <v>44197</v>
      </c>
      <c r="X655" s="1">
        <v>44197</v>
      </c>
      <c r="Y655" s="1">
        <v>58807</v>
      </c>
      <c r="Z655" t="s">
        <v>51</v>
      </c>
      <c r="AB655" t="s">
        <v>54</v>
      </c>
      <c r="AE655" t="s">
        <v>356</v>
      </c>
      <c r="AF655">
        <v>20</v>
      </c>
      <c r="AG655" s="1">
        <v>44197</v>
      </c>
      <c r="AH655" s="1">
        <v>44197</v>
      </c>
      <c r="AI655" s="1">
        <v>44197</v>
      </c>
      <c r="AJ655" s="1">
        <v>51502</v>
      </c>
      <c r="AK655" t="s">
        <v>51</v>
      </c>
      <c r="AN655">
        <v>0</v>
      </c>
      <c r="AO655" t="s">
        <v>54</v>
      </c>
      <c r="AP655" t="s">
        <v>53</v>
      </c>
      <c r="AQ655">
        <v>0</v>
      </c>
      <c r="AR655" t="s">
        <v>145</v>
      </c>
      <c r="AS655">
        <v>0</v>
      </c>
      <c r="AT655">
        <v>0</v>
      </c>
      <c r="CC655" t="s">
        <v>529</v>
      </c>
      <c r="CD655">
        <v>85000</v>
      </c>
      <c r="CE655" s="1">
        <v>44197</v>
      </c>
      <c r="CF655" s="1">
        <v>44197</v>
      </c>
      <c r="CG655" s="1">
        <v>44197</v>
      </c>
      <c r="CH655" s="1">
        <v>51826</v>
      </c>
      <c r="CI655" t="s">
        <v>51</v>
      </c>
      <c r="CK655" t="s">
        <v>78</v>
      </c>
      <c r="CM655" t="s">
        <v>54</v>
      </c>
      <c r="CN655" t="s">
        <v>174</v>
      </c>
      <c r="CO655" t="s">
        <v>86</v>
      </c>
      <c r="CR655">
        <v>35</v>
      </c>
      <c r="CS655">
        <v>0</v>
      </c>
      <c r="CT655">
        <v>0</v>
      </c>
      <c r="CU655">
        <v>0</v>
      </c>
    </row>
    <row r="656" spans="1:99" x14ac:dyDescent="0.2">
      <c r="A656" t="s">
        <v>180</v>
      </c>
      <c r="B656" t="s">
        <v>181</v>
      </c>
      <c r="C656" t="s">
        <v>184</v>
      </c>
      <c r="D656" t="s">
        <v>513</v>
      </c>
      <c r="F656" t="str">
        <f>"250299"</f>
        <v>250299</v>
      </c>
      <c r="G656" t="s">
        <v>49</v>
      </c>
      <c r="H656" t="s">
        <v>74</v>
      </c>
      <c r="K656" t="s">
        <v>51</v>
      </c>
      <c r="L656" t="s">
        <v>52</v>
      </c>
      <c r="M656">
        <v>135247.63</v>
      </c>
      <c r="N656">
        <v>471678.36</v>
      </c>
      <c r="O656" t="s">
        <v>53</v>
      </c>
      <c r="P656" t="s">
        <v>54</v>
      </c>
      <c r="Q656" t="s">
        <v>55</v>
      </c>
      <c r="T656" t="s">
        <v>466</v>
      </c>
      <c r="U656">
        <v>40</v>
      </c>
      <c r="V656" s="1">
        <v>44197</v>
      </c>
      <c r="W656" s="1">
        <v>44197</v>
      </c>
      <c r="X656" s="1">
        <v>44197</v>
      </c>
      <c r="Y656" s="1">
        <v>58807</v>
      </c>
      <c r="Z656" t="s">
        <v>51</v>
      </c>
      <c r="AB656" t="s">
        <v>54</v>
      </c>
      <c r="AE656" t="s">
        <v>356</v>
      </c>
      <c r="AF656">
        <v>20</v>
      </c>
      <c r="AG656" s="1">
        <v>44197</v>
      </c>
      <c r="AH656" s="1">
        <v>44197</v>
      </c>
      <c r="AI656" s="1">
        <v>44197</v>
      </c>
      <c r="AJ656" s="1">
        <v>51502</v>
      </c>
      <c r="AK656" t="s">
        <v>51</v>
      </c>
      <c r="AN656">
        <v>0</v>
      </c>
      <c r="AO656" t="s">
        <v>54</v>
      </c>
      <c r="AP656" t="s">
        <v>53</v>
      </c>
      <c r="AQ656">
        <v>0</v>
      </c>
      <c r="AR656" t="s">
        <v>145</v>
      </c>
      <c r="AS656">
        <v>0</v>
      </c>
      <c r="AT656">
        <v>0</v>
      </c>
      <c r="CC656" t="s">
        <v>529</v>
      </c>
      <c r="CD656">
        <v>85000</v>
      </c>
      <c r="CE656" s="1">
        <v>44197</v>
      </c>
      <c r="CF656" s="1">
        <v>44197</v>
      </c>
      <c r="CG656" s="1">
        <v>44197</v>
      </c>
      <c r="CH656" s="1">
        <v>51826</v>
      </c>
      <c r="CI656" t="s">
        <v>51</v>
      </c>
      <c r="CK656" t="s">
        <v>78</v>
      </c>
      <c r="CM656" t="s">
        <v>54</v>
      </c>
      <c r="CN656" t="s">
        <v>174</v>
      </c>
      <c r="CO656" t="s">
        <v>86</v>
      </c>
      <c r="CR656">
        <v>35</v>
      </c>
      <c r="CS656">
        <v>0</v>
      </c>
      <c r="CT656">
        <v>0</v>
      </c>
      <c r="CU656">
        <v>0</v>
      </c>
    </row>
    <row r="657" spans="1:99" x14ac:dyDescent="0.2">
      <c r="A657" t="s">
        <v>180</v>
      </c>
      <c r="B657" t="s">
        <v>181</v>
      </c>
      <c r="C657" t="s">
        <v>184</v>
      </c>
      <c r="D657" t="s">
        <v>513</v>
      </c>
      <c r="F657" t="str">
        <f>"250300"</f>
        <v>250300</v>
      </c>
      <c r="G657" t="s">
        <v>49</v>
      </c>
      <c r="H657" t="s">
        <v>186</v>
      </c>
      <c r="K657" t="s">
        <v>51</v>
      </c>
      <c r="L657" t="s">
        <v>52</v>
      </c>
      <c r="M657">
        <v>135275.29</v>
      </c>
      <c r="N657">
        <v>471700.88</v>
      </c>
      <c r="O657" t="s">
        <v>53</v>
      </c>
      <c r="P657" t="s">
        <v>54</v>
      </c>
      <c r="Q657" t="s">
        <v>55</v>
      </c>
      <c r="T657" t="s">
        <v>466</v>
      </c>
      <c r="U657">
        <v>40</v>
      </c>
      <c r="V657" s="1">
        <v>44197</v>
      </c>
      <c r="W657" s="1">
        <v>44197</v>
      </c>
      <c r="X657" s="1">
        <v>44197</v>
      </c>
      <c r="Y657" s="1">
        <v>58807</v>
      </c>
      <c r="Z657" t="s">
        <v>51</v>
      </c>
      <c r="AB657" t="s">
        <v>54</v>
      </c>
      <c r="AE657" t="s">
        <v>356</v>
      </c>
      <c r="AF657">
        <v>20</v>
      </c>
      <c r="AG657" s="1">
        <v>44197</v>
      </c>
      <c r="AH657" s="1">
        <v>44197</v>
      </c>
      <c r="AI657" s="1">
        <v>44197</v>
      </c>
      <c r="AJ657" s="1">
        <v>51502</v>
      </c>
      <c r="AK657" t="s">
        <v>51</v>
      </c>
      <c r="AN657">
        <v>0</v>
      </c>
      <c r="AO657" t="s">
        <v>54</v>
      </c>
      <c r="AP657" t="s">
        <v>53</v>
      </c>
      <c r="AQ657">
        <v>0</v>
      </c>
      <c r="AR657" t="s">
        <v>145</v>
      </c>
      <c r="AS657">
        <v>0</v>
      </c>
      <c r="AT657">
        <v>0</v>
      </c>
      <c r="CC657" t="s">
        <v>529</v>
      </c>
      <c r="CD657">
        <v>85000</v>
      </c>
      <c r="CE657" s="1">
        <v>44197</v>
      </c>
      <c r="CF657" s="1">
        <v>44197</v>
      </c>
      <c r="CG657" s="1">
        <v>44197</v>
      </c>
      <c r="CH657" s="1">
        <v>51826</v>
      </c>
      <c r="CI657" t="s">
        <v>51</v>
      </c>
      <c r="CK657" t="s">
        <v>78</v>
      </c>
      <c r="CM657" t="s">
        <v>54</v>
      </c>
      <c r="CN657" t="s">
        <v>174</v>
      </c>
      <c r="CO657" t="s">
        <v>86</v>
      </c>
      <c r="CR657">
        <v>35</v>
      </c>
      <c r="CS657">
        <v>0</v>
      </c>
      <c r="CT657">
        <v>0</v>
      </c>
      <c r="CU657">
        <v>0</v>
      </c>
    </row>
    <row r="658" spans="1:99" x14ac:dyDescent="0.2">
      <c r="A658" t="s">
        <v>180</v>
      </c>
      <c r="B658" t="s">
        <v>181</v>
      </c>
      <c r="C658" t="s">
        <v>184</v>
      </c>
      <c r="D658" t="s">
        <v>513</v>
      </c>
      <c r="F658" t="str">
        <f>"250301"</f>
        <v>250301</v>
      </c>
      <c r="G658" t="s">
        <v>49</v>
      </c>
      <c r="H658" t="s">
        <v>536</v>
      </c>
      <c r="K658" t="s">
        <v>51</v>
      </c>
      <c r="L658" t="s">
        <v>52</v>
      </c>
      <c r="M658">
        <v>135306.12</v>
      </c>
      <c r="N658">
        <v>471727.05</v>
      </c>
      <c r="O658" t="s">
        <v>53</v>
      </c>
      <c r="P658" t="s">
        <v>54</v>
      </c>
      <c r="Q658" t="s">
        <v>55</v>
      </c>
      <c r="T658" t="s">
        <v>466</v>
      </c>
      <c r="U658">
        <v>40</v>
      </c>
      <c r="V658" s="1">
        <v>35431</v>
      </c>
      <c r="W658" s="1">
        <v>35431</v>
      </c>
      <c r="X658" s="1">
        <v>35431</v>
      </c>
      <c r="Y658" s="1">
        <v>50041</v>
      </c>
      <c r="Z658" t="s">
        <v>51</v>
      </c>
      <c r="AB658" t="s">
        <v>54</v>
      </c>
      <c r="AC658">
        <v>1</v>
      </c>
      <c r="AE658" t="s">
        <v>116</v>
      </c>
      <c r="AF658">
        <v>20</v>
      </c>
      <c r="AG658" s="1">
        <v>35431</v>
      </c>
      <c r="AH658" s="1">
        <v>35431</v>
      </c>
      <c r="AI658" s="1">
        <v>35431</v>
      </c>
      <c r="AJ658" s="1">
        <v>42736</v>
      </c>
      <c r="AK658" t="s">
        <v>51</v>
      </c>
      <c r="AN658">
        <v>0</v>
      </c>
      <c r="AO658" t="s">
        <v>54</v>
      </c>
      <c r="AP658" t="s">
        <v>53</v>
      </c>
      <c r="AQ658">
        <v>0</v>
      </c>
      <c r="AR658" t="s">
        <v>53</v>
      </c>
      <c r="AS658">
        <v>0</v>
      </c>
      <c r="AT658">
        <v>0</v>
      </c>
      <c r="AW658" t="s">
        <v>58</v>
      </c>
      <c r="AX658">
        <v>20</v>
      </c>
      <c r="AY658" s="1">
        <v>35431</v>
      </c>
      <c r="AZ658" s="1">
        <v>35431</v>
      </c>
      <c r="BA658" s="1">
        <v>35431</v>
      </c>
      <c r="BB658" s="1">
        <v>42736</v>
      </c>
      <c r="BC658" t="s">
        <v>51</v>
      </c>
      <c r="BE658" t="s">
        <v>54</v>
      </c>
      <c r="BF658">
        <v>2</v>
      </c>
      <c r="BG658">
        <v>0</v>
      </c>
      <c r="BH658" t="s">
        <v>53</v>
      </c>
      <c r="BK658" t="s">
        <v>65</v>
      </c>
      <c r="BL658">
        <v>14000</v>
      </c>
      <c r="BM658" s="1">
        <v>42917</v>
      </c>
      <c r="BN658" s="1">
        <v>42917</v>
      </c>
      <c r="BO658" s="1">
        <v>42917</v>
      </c>
      <c r="BP658" s="1">
        <v>44117</v>
      </c>
      <c r="BQ658" t="s">
        <v>51</v>
      </c>
      <c r="BS658" t="s">
        <v>60</v>
      </c>
      <c r="BT658" t="s">
        <v>54</v>
      </c>
      <c r="BU658" t="s">
        <v>61</v>
      </c>
      <c r="BV658" t="s">
        <v>62</v>
      </c>
      <c r="BX658">
        <v>36</v>
      </c>
      <c r="BY658">
        <v>0</v>
      </c>
      <c r="BZ658">
        <v>0</v>
      </c>
    </row>
    <row r="659" spans="1:99" x14ac:dyDescent="0.2">
      <c r="A659" t="s">
        <v>180</v>
      </c>
      <c r="B659" t="s">
        <v>181</v>
      </c>
      <c r="C659" t="s">
        <v>184</v>
      </c>
      <c r="D659" t="s">
        <v>513</v>
      </c>
      <c r="F659" t="str">
        <f>"250302"</f>
        <v>250302</v>
      </c>
      <c r="G659" t="s">
        <v>49</v>
      </c>
      <c r="H659" t="s">
        <v>142</v>
      </c>
      <c r="K659" t="s">
        <v>51</v>
      </c>
      <c r="L659" t="s">
        <v>52</v>
      </c>
      <c r="M659">
        <v>135335.63</v>
      </c>
      <c r="N659">
        <v>471749.2</v>
      </c>
      <c r="O659" t="s">
        <v>53</v>
      </c>
      <c r="P659" t="s">
        <v>54</v>
      </c>
      <c r="Q659" t="s">
        <v>55</v>
      </c>
      <c r="T659" t="s">
        <v>183</v>
      </c>
      <c r="U659">
        <v>40</v>
      </c>
      <c r="V659" s="1">
        <v>35431</v>
      </c>
      <c r="W659" s="1">
        <v>35431</v>
      </c>
      <c r="X659" s="1">
        <v>35431</v>
      </c>
      <c r="Y659" s="1">
        <v>50041</v>
      </c>
      <c r="Z659" t="s">
        <v>51</v>
      </c>
      <c r="AB659" t="s">
        <v>54</v>
      </c>
      <c r="AC659">
        <v>1</v>
      </c>
      <c r="AE659" t="s">
        <v>116</v>
      </c>
      <c r="AF659">
        <v>20</v>
      </c>
      <c r="AG659" s="1">
        <v>35431</v>
      </c>
      <c r="AH659" s="1">
        <v>35431</v>
      </c>
      <c r="AI659" s="1">
        <v>35431</v>
      </c>
      <c r="AJ659" s="1">
        <v>42736</v>
      </c>
      <c r="AK659" t="s">
        <v>51</v>
      </c>
      <c r="AN659">
        <v>0</v>
      </c>
      <c r="AO659" t="s">
        <v>54</v>
      </c>
      <c r="AP659" t="s">
        <v>53</v>
      </c>
      <c r="AQ659">
        <v>0</v>
      </c>
      <c r="AR659" t="s">
        <v>53</v>
      </c>
      <c r="AS659">
        <v>0</v>
      </c>
      <c r="AT659">
        <v>0</v>
      </c>
      <c r="AW659" t="s">
        <v>58</v>
      </c>
      <c r="AX659">
        <v>20</v>
      </c>
      <c r="AY659" s="1">
        <v>35431</v>
      </c>
      <c r="AZ659" s="1">
        <v>35431</v>
      </c>
      <c r="BA659" s="1">
        <v>35431</v>
      </c>
      <c r="BB659" s="1">
        <v>42736</v>
      </c>
      <c r="BC659" t="s">
        <v>51</v>
      </c>
      <c r="BE659" t="s">
        <v>54</v>
      </c>
      <c r="BF659">
        <v>2</v>
      </c>
      <c r="BG659">
        <v>0</v>
      </c>
      <c r="BH659" t="s">
        <v>53</v>
      </c>
      <c r="BK659" t="s">
        <v>65</v>
      </c>
      <c r="BL659">
        <v>14000</v>
      </c>
      <c r="BM659" s="1">
        <v>43257</v>
      </c>
      <c r="BN659" s="1">
        <v>43257</v>
      </c>
      <c r="BO659" s="1">
        <v>43257</v>
      </c>
      <c r="BP659" s="1">
        <v>44468</v>
      </c>
      <c r="BQ659" t="s">
        <v>51</v>
      </c>
      <c r="BS659" t="s">
        <v>60</v>
      </c>
      <c r="BT659" t="s">
        <v>54</v>
      </c>
      <c r="BU659" t="s">
        <v>61</v>
      </c>
      <c r="BV659" t="s">
        <v>62</v>
      </c>
      <c r="BX659">
        <v>36</v>
      </c>
      <c r="BY659">
        <v>0</v>
      </c>
      <c r="BZ659">
        <v>0</v>
      </c>
    </row>
    <row r="660" spans="1:99" x14ac:dyDescent="0.2">
      <c r="A660" t="s">
        <v>180</v>
      </c>
      <c r="B660" t="s">
        <v>181</v>
      </c>
      <c r="C660" t="s">
        <v>184</v>
      </c>
      <c r="D660" t="s">
        <v>513</v>
      </c>
      <c r="F660" t="str">
        <f>"250303"</f>
        <v>250303</v>
      </c>
      <c r="G660" t="s">
        <v>49</v>
      </c>
      <c r="H660" t="s">
        <v>139</v>
      </c>
      <c r="K660" t="s">
        <v>51</v>
      </c>
      <c r="L660" t="s">
        <v>52</v>
      </c>
      <c r="M660">
        <v>135361.66</v>
      </c>
      <c r="N660">
        <v>471770.65</v>
      </c>
      <c r="O660" t="s">
        <v>53</v>
      </c>
      <c r="P660" t="s">
        <v>54</v>
      </c>
      <c r="Q660" t="s">
        <v>55</v>
      </c>
      <c r="T660" t="s">
        <v>183</v>
      </c>
      <c r="U660">
        <v>40</v>
      </c>
      <c r="V660" s="1">
        <v>35431</v>
      </c>
      <c r="W660" s="1">
        <v>35431</v>
      </c>
      <c r="X660" s="1">
        <v>35431</v>
      </c>
      <c r="Y660" s="1">
        <v>50041</v>
      </c>
      <c r="Z660" t="s">
        <v>51</v>
      </c>
      <c r="AB660" t="s">
        <v>54</v>
      </c>
      <c r="AC660">
        <v>1</v>
      </c>
      <c r="AE660" t="s">
        <v>116</v>
      </c>
      <c r="AF660">
        <v>20</v>
      </c>
      <c r="AG660" s="1">
        <v>35431</v>
      </c>
      <c r="AH660" s="1">
        <v>35431</v>
      </c>
      <c r="AI660" s="1">
        <v>35431</v>
      </c>
      <c r="AJ660" s="1">
        <v>42736</v>
      </c>
      <c r="AK660" t="s">
        <v>51</v>
      </c>
      <c r="AN660">
        <v>0</v>
      </c>
      <c r="AO660" t="s">
        <v>54</v>
      </c>
      <c r="AP660" t="s">
        <v>53</v>
      </c>
      <c r="AQ660">
        <v>0</v>
      </c>
      <c r="AR660" t="s">
        <v>53</v>
      </c>
      <c r="AS660">
        <v>0</v>
      </c>
      <c r="AT660">
        <v>0</v>
      </c>
      <c r="AW660" t="s">
        <v>58</v>
      </c>
      <c r="AX660">
        <v>20</v>
      </c>
      <c r="AY660" s="1">
        <v>35431</v>
      </c>
      <c r="AZ660" s="1">
        <v>35431</v>
      </c>
      <c r="BA660" s="1">
        <v>35431</v>
      </c>
      <c r="BB660" s="1">
        <v>42736</v>
      </c>
      <c r="BC660" t="s">
        <v>51</v>
      </c>
      <c r="BE660" t="s">
        <v>54</v>
      </c>
      <c r="BF660">
        <v>2</v>
      </c>
      <c r="BG660">
        <v>0</v>
      </c>
      <c r="BH660" t="s">
        <v>53</v>
      </c>
      <c r="BK660" t="s">
        <v>65</v>
      </c>
      <c r="BL660">
        <v>14000</v>
      </c>
      <c r="BM660" s="1">
        <v>43570</v>
      </c>
      <c r="BN660" s="1">
        <v>43570</v>
      </c>
      <c r="BO660" s="1">
        <v>43570</v>
      </c>
      <c r="BP660" s="1">
        <v>44794</v>
      </c>
      <c r="BQ660" t="s">
        <v>51</v>
      </c>
      <c r="BS660" t="s">
        <v>60</v>
      </c>
      <c r="BT660" t="s">
        <v>54</v>
      </c>
      <c r="BU660" t="s">
        <v>61</v>
      </c>
      <c r="BV660" t="s">
        <v>62</v>
      </c>
      <c r="BX660">
        <v>36</v>
      </c>
      <c r="BY660">
        <v>0</v>
      </c>
      <c r="BZ660">
        <v>0</v>
      </c>
    </row>
    <row r="661" spans="1:99" x14ac:dyDescent="0.2">
      <c r="A661" t="s">
        <v>180</v>
      </c>
      <c r="B661" t="s">
        <v>181</v>
      </c>
      <c r="C661" t="s">
        <v>184</v>
      </c>
      <c r="D661" t="s">
        <v>513</v>
      </c>
      <c r="F661" t="str">
        <f>"250304"</f>
        <v>250304</v>
      </c>
      <c r="G661" t="s">
        <v>49</v>
      </c>
      <c r="H661" t="s">
        <v>359</v>
      </c>
      <c r="K661" t="s">
        <v>51</v>
      </c>
      <c r="L661" t="s">
        <v>52</v>
      </c>
      <c r="M661">
        <v>135388.92000000001</v>
      </c>
      <c r="N661">
        <v>471795.42</v>
      </c>
      <c r="O661" t="s">
        <v>53</v>
      </c>
      <c r="P661" t="s">
        <v>54</v>
      </c>
      <c r="Q661" t="s">
        <v>55</v>
      </c>
      <c r="T661" t="s">
        <v>183</v>
      </c>
      <c r="U661">
        <v>40</v>
      </c>
      <c r="V661" s="1">
        <v>35431</v>
      </c>
      <c r="W661" s="1">
        <v>35431</v>
      </c>
      <c r="X661" s="1">
        <v>35431</v>
      </c>
      <c r="Y661" s="1">
        <v>50041</v>
      </c>
      <c r="Z661" t="s">
        <v>51</v>
      </c>
      <c r="AB661" t="s">
        <v>54</v>
      </c>
      <c r="AC661">
        <v>1</v>
      </c>
      <c r="AE661" t="s">
        <v>116</v>
      </c>
      <c r="AF661">
        <v>20</v>
      </c>
      <c r="AG661" s="1">
        <v>35431</v>
      </c>
      <c r="AH661" s="1">
        <v>35431</v>
      </c>
      <c r="AI661" s="1">
        <v>35431</v>
      </c>
      <c r="AJ661" s="1">
        <v>42736</v>
      </c>
      <c r="AK661" t="s">
        <v>51</v>
      </c>
      <c r="AN661">
        <v>0</v>
      </c>
      <c r="AO661" t="s">
        <v>54</v>
      </c>
      <c r="AP661" t="s">
        <v>53</v>
      </c>
      <c r="AQ661">
        <v>0</v>
      </c>
      <c r="AR661" t="s">
        <v>53</v>
      </c>
      <c r="AS661">
        <v>0</v>
      </c>
      <c r="AT661">
        <v>0</v>
      </c>
      <c r="AW661" t="s">
        <v>58</v>
      </c>
      <c r="AX661">
        <v>20</v>
      </c>
      <c r="AY661" s="1">
        <v>44333</v>
      </c>
      <c r="AZ661" s="1">
        <v>44333</v>
      </c>
      <c r="BA661" s="1">
        <v>44333</v>
      </c>
      <c r="BB661" s="1">
        <v>51638</v>
      </c>
      <c r="BC661" t="s">
        <v>51</v>
      </c>
      <c r="BE661" t="s">
        <v>54</v>
      </c>
      <c r="BF661">
        <v>2</v>
      </c>
      <c r="BG661">
        <v>0</v>
      </c>
      <c r="BH661" t="s">
        <v>53</v>
      </c>
      <c r="BK661" t="s">
        <v>65</v>
      </c>
      <c r="BL661">
        <v>14000</v>
      </c>
      <c r="BM661" s="1">
        <v>44333</v>
      </c>
      <c r="BN661" s="1">
        <v>44333</v>
      </c>
      <c r="BO661" s="1">
        <v>44333</v>
      </c>
      <c r="BP661" s="1">
        <v>45552</v>
      </c>
      <c r="BQ661" t="s">
        <v>51</v>
      </c>
      <c r="BS661" t="s">
        <v>60</v>
      </c>
      <c r="BT661" t="s">
        <v>54</v>
      </c>
      <c r="BU661" t="s">
        <v>61</v>
      </c>
      <c r="BV661" t="s">
        <v>62</v>
      </c>
      <c r="BX661">
        <v>36</v>
      </c>
      <c r="BY661">
        <v>0</v>
      </c>
      <c r="BZ661">
        <v>0</v>
      </c>
    </row>
    <row r="662" spans="1:99" x14ac:dyDescent="0.2">
      <c r="A662" t="s">
        <v>180</v>
      </c>
      <c r="B662" t="s">
        <v>181</v>
      </c>
      <c r="C662" t="s">
        <v>184</v>
      </c>
      <c r="D662" t="s">
        <v>513</v>
      </c>
      <c r="F662" t="str">
        <f>"250305"</f>
        <v>250305</v>
      </c>
      <c r="G662" t="s">
        <v>49</v>
      </c>
      <c r="H662" t="s">
        <v>309</v>
      </c>
      <c r="K662" t="s">
        <v>51</v>
      </c>
      <c r="L662" t="s">
        <v>52</v>
      </c>
      <c r="M662">
        <v>135419.37</v>
      </c>
      <c r="N662">
        <v>471821.25</v>
      </c>
      <c r="O662" t="s">
        <v>53</v>
      </c>
      <c r="P662" t="s">
        <v>54</v>
      </c>
      <c r="Q662" t="s">
        <v>55</v>
      </c>
      <c r="T662" t="s">
        <v>183</v>
      </c>
      <c r="U662">
        <v>40</v>
      </c>
      <c r="V662" s="1">
        <v>35431</v>
      </c>
      <c r="W662" s="1">
        <v>35431</v>
      </c>
      <c r="X662" s="1">
        <v>35431</v>
      </c>
      <c r="Y662" s="1">
        <v>50041</v>
      </c>
      <c r="Z662" t="s">
        <v>51</v>
      </c>
      <c r="AB662" t="s">
        <v>54</v>
      </c>
      <c r="AC662">
        <v>1</v>
      </c>
      <c r="AE662" t="s">
        <v>116</v>
      </c>
      <c r="AF662">
        <v>20</v>
      </c>
      <c r="AG662" s="1">
        <v>35431</v>
      </c>
      <c r="AH662" s="1">
        <v>35431</v>
      </c>
      <c r="AI662" s="1">
        <v>35431</v>
      </c>
      <c r="AJ662" s="1">
        <v>42736</v>
      </c>
      <c r="AK662" t="s">
        <v>51</v>
      </c>
      <c r="AN662">
        <v>0</v>
      </c>
      <c r="AO662" t="s">
        <v>54</v>
      </c>
      <c r="AP662" t="s">
        <v>53</v>
      </c>
      <c r="AQ662">
        <v>0</v>
      </c>
      <c r="AR662" t="s">
        <v>53</v>
      </c>
      <c r="AS662">
        <v>0</v>
      </c>
      <c r="AT662">
        <v>0</v>
      </c>
      <c r="AW662" t="s">
        <v>58</v>
      </c>
      <c r="AX662">
        <v>20</v>
      </c>
      <c r="AY662" s="1">
        <v>35431</v>
      </c>
      <c r="AZ662" s="1">
        <v>35431</v>
      </c>
      <c r="BA662" s="1">
        <v>35431</v>
      </c>
      <c r="BB662" s="1">
        <v>42736</v>
      </c>
      <c r="BC662" t="s">
        <v>51</v>
      </c>
      <c r="BE662" t="s">
        <v>54</v>
      </c>
      <c r="BF662">
        <v>2</v>
      </c>
      <c r="BG662">
        <v>0</v>
      </c>
      <c r="BH662" t="s">
        <v>53</v>
      </c>
      <c r="BK662" t="s">
        <v>65</v>
      </c>
      <c r="BL662">
        <v>14000</v>
      </c>
      <c r="BM662" s="1">
        <v>42917</v>
      </c>
      <c r="BN662" s="1">
        <v>42917</v>
      </c>
      <c r="BO662" s="1">
        <v>42917</v>
      </c>
      <c r="BP662" s="1">
        <v>44117</v>
      </c>
      <c r="BQ662" t="s">
        <v>51</v>
      </c>
      <c r="BS662" t="s">
        <v>60</v>
      </c>
      <c r="BT662" t="s">
        <v>54</v>
      </c>
      <c r="BU662" t="s">
        <v>61</v>
      </c>
      <c r="BV662" t="s">
        <v>62</v>
      </c>
      <c r="BX662">
        <v>36</v>
      </c>
      <c r="BY662">
        <v>0</v>
      </c>
      <c r="BZ662">
        <v>0</v>
      </c>
    </row>
    <row r="663" spans="1:99" x14ac:dyDescent="0.2">
      <c r="A663" t="s">
        <v>180</v>
      </c>
      <c r="B663" t="s">
        <v>181</v>
      </c>
      <c r="C663" t="s">
        <v>184</v>
      </c>
      <c r="D663" t="s">
        <v>513</v>
      </c>
      <c r="F663" t="str">
        <f>"250306"</f>
        <v>250306</v>
      </c>
      <c r="G663" t="s">
        <v>49</v>
      </c>
      <c r="H663" t="s">
        <v>460</v>
      </c>
      <c r="K663" t="s">
        <v>51</v>
      </c>
      <c r="L663" t="s">
        <v>52</v>
      </c>
      <c r="M663">
        <v>135447.91</v>
      </c>
      <c r="N663">
        <v>471842.66</v>
      </c>
      <c r="O663" t="s">
        <v>53</v>
      </c>
      <c r="P663" t="s">
        <v>54</v>
      </c>
      <c r="Q663" t="s">
        <v>55</v>
      </c>
      <c r="T663" t="s">
        <v>183</v>
      </c>
      <c r="U663">
        <v>40</v>
      </c>
      <c r="V663" s="1">
        <v>35431</v>
      </c>
      <c r="W663" s="1">
        <v>35431</v>
      </c>
      <c r="X663" s="1">
        <v>35431</v>
      </c>
      <c r="Y663" s="1">
        <v>50041</v>
      </c>
      <c r="Z663" t="s">
        <v>51</v>
      </c>
      <c r="AB663" t="s">
        <v>54</v>
      </c>
      <c r="AC663">
        <v>1</v>
      </c>
      <c r="AE663" t="s">
        <v>116</v>
      </c>
      <c r="AF663">
        <v>20</v>
      </c>
      <c r="AG663" s="1">
        <v>35431</v>
      </c>
      <c r="AH663" s="1">
        <v>35431</v>
      </c>
      <c r="AI663" s="1">
        <v>35431</v>
      </c>
      <c r="AJ663" s="1">
        <v>42736</v>
      </c>
      <c r="AK663" t="s">
        <v>51</v>
      </c>
      <c r="AN663">
        <v>0</v>
      </c>
      <c r="AO663" t="s">
        <v>54</v>
      </c>
      <c r="AP663" t="s">
        <v>53</v>
      </c>
      <c r="AQ663">
        <v>0</v>
      </c>
      <c r="AR663" t="s">
        <v>53</v>
      </c>
      <c r="AS663">
        <v>0</v>
      </c>
      <c r="AT663">
        <v>0</v>
      </c>
      <c r="AW663" t="s">
        <v>58</v>
      </c>
      <c r="AX663">
        <v>20</v>
      </c>
      <c r="AY663" s="1">
        <v>35431</v>
      </c>
      <c r="AZ663" s="1">
        <v>35431</v>
      </c>
      <c r="BA663" s="1">
        <v>35431</v>
      </c>
      <c r="BB663" s="1">
        <v>42736</v>
      </c>
      <c r="BC663" t="s">
        <v>51</v>
      </c>
      <c r="BE663" t="s">
        <v>54</v>
      </c>
      <c r="BF663">
        <v>2</v>
      </c>
      <c r="BG663">
        <v>0</v>
      </c>
      <c r="BH663" t="s">
        <v>53</v>
      </c>
      <c r="BK663" t="s">
        <v>65</v>
      </c>
      <c r="BL663">
        <v>14000</v>
      </c>
      <c r="BM663" s="1">
        <v>42917</v>
      </c>
      <c r="BN663" s="1">
        <v>42917</v>
      </c>
      <c r="BO663" s="1">
        <v>42917</v>
      </c>
      <c r="BP663" s="1">
        <v>44117</v>
      </c>
      <c r="BQ663" t="s">
        <v>51</v>
      </c>
      <c r="BS663" t="s">
        <v>60</v>
      </c>
      <c r="BT663" t="s">
        <v>54</v>
      </c>
      <c r="BU663" t="s">
        <v>61</v>
      </c>
      <c r="BV663" t="s">
        <v>62</v>
      </c>
      <c r="BX663">
        <v>36</v>
      </c>
      <c r="BY663">
        <v>0</v>
      </c>
      <c r="BZ663">
        <v>0</v>
      </c>
    </row>
    <row r="664" spans="1:99" x14ac:dyDescent="0.2">
      <c r="A664" t="s">
        <v>180</v>
      </c>
      <c r="B664" t="s">
        <v>181</v>
      </c>
      <c r="C664" t="s">
        <v>184</v>
      </c>
      <c r="D664" t="s">
        <v>513</v>
      </c>
      <c r="F664" t="str">
        <f>"250307"</f>
        <v>250307</v>
      </c>
      <c r="G664" t="s">
        <v>49</v>
      </c>
      <c r="H664" t="s">
        <v>495</v>
      </c>
      <c r="K664" t="s">
        <v>51</v>
      </c>
      <c r="L664" t="s">
        <v>52</v>
      </c>
      <c r="M664">
        <v>135473.48000000001</v>
      </c>
      <c r="N664">
        <v>471864.53</v>
      </c>
      <c r="O664" t="s">
        <v>53</v>
      </c>
      <c r="P664" t="s">
        <v>54</v>
      </c>
      <c r="Q664" t="s">
        <v>55</v>
      </c>
      <c r="T664" t="s">
        <v>183</v>
      </c>
      <c r="U664">
        <v>40</v>
      </c>
      <c r="V664" s="1">
        <v>35431</v>
      </c>
      <c r="W664" s="1">
        <v>35431</v>
      </c>
      <c r="X664" s="1">
        <v>35431</v>
      </c>
      <c r="Y664" s="1">
        <v>50041</v>
      </c>
      <c r="Z664" t="s">
        <v>51</v>
      </c>
      <c r="AB664" t="s">
        <v>54</v>
      </c>
      <c r="AC664">
        <v>1</v>
      </c>
      <c r="AE664" t="s">
        <v>116</v>
      </c>
      <c r="AF664">
        <v>20</v>
      </c>
      <c r="AG664" s="1">
        <v>35431</v>
      </c>
      <c r="AH664" s="1">
        <v>35431</v>
      </c>
      <c r="AI664" s="1">
        <v>35431</v>
      </c>
      <c r="AJ664" s="1">
        <v>42736</v>
      </c>
      <c r="AK664" t="s">
        <v>51</v>
      </c>
      <c r="AN664">
        <v>0</v>
      </c>
      <c r="AO664" t="s">
        <v>54</v>
      </c>
      <c r="AP664" t="s">
        <v>53</v>
      </c>
      <c r="AQ664">
        <v>0</v>
      </c>
      <c r="AR664" t="s">
        <v>53</v>
      </c>
      <c r="AS664">
        <v>0</v>
      </c>
      <c r="AT664">
        <v>0</v>
      </c>
      <c r="AW664" t="s">
        <v>58</v>
      </c>
      <c r="AX664">
        <v>20</v>
      </c>
      <c r="AY664" s="1">
        <v>35431</v>
      </c>
      <c r="AZ664" s="1">
        <v>35431</v>
      </c>
      <c r="BA664" s="1">
        <v>35431</v>
      </c>
      <c r="BB664" s="1">
        <v>42736</v>
      </c>
      <c r="BC664" t="s">
        <v>51</v>
      </c>
      <c r="BE664" t="s">
        <v>54</v>
      </c>
      <c r="BF664">
        <v>2</v>
      </c>
      <c r="BG664">
        <v>0</v>
      </c>
      <c r="BH664" t="s">
        <v>53</v>
      </c>
      <c r="BK664" t="s">
        <v>65</v>
      </c>
      <c r="BL664">
        <v>14000</v>
      </c>
      <c r="BM664" s="1">
        <v>42917</v>
      </c>
      <c r="BN664" s="1">
        <v>42917</v>
      </c>
      <c r="BO664" s="1">
        <v>42917</v>
      </c>
      <c r="BP664" s="1">
        <v>44117</v>
      </c>
      <c r="BQ664" t="s">
        <v>51</v>
      </c>
      <c r="BS664" t="s">
        <v>60</v>
      </c>
      <c r="BT664" t="s">
        <v>54</v>
      </c>
      <c r="BU664" t="s">
        <v>61</v>
      </c>
      <c r="BV664" t="s">
        <v>62</v>
      </c>
      <c r="BX664">
        <v>36</v>
      </c>
      <c r="BY664">
        <v>0</v>
      </c>
      <c r="BZ664">
        <v>0</v>
      </c>
    </row>
    <row r="665" spans="1:99" x14ac:dyDescent="0.2">
      <c r="A665" t="s">
        <v>180</v>
      </c>
      <c r="B665" t="s">
        <v>181</v>
      </c>
      <c r="C665" t="s">
        <v>184</v>
      </c>
      <c r="D665" t="s">
        <v>513</v>
      </c>
      <c r="F665" t="str">
        <f>"250308"</f>
        <v>250308</v>
      </c>
      <c r="G665" t="s">
        <v>49</v>
      </c>
      <c r="H665" t="s">
        <v>136</v>
      </c>
      <c r="K665" t="s">
        <v>51</v>
      </c>
      <c r="L665" t="s">
        <v>52</v>
      </c>
      <c r="M665">
        <v>135499.54999999999</v>
      </c>
      <c r="N665">
        <v>471886.39</v>
      </c>
      <c r="O665" t="s">
        <v>53</v>
      </c>
      <c r="P665" t="s">
        <v>54</v>
      </c>
      <c r="Q665" t="s">
        <v>55</v>
      </c>
      <c r="T665" t="s">
        <v>183</v>
      </c>
      <c r="U665">
        <v>40</v>
      </c>
      <c r="V665" s="1">
        <v>35431</v>
      </c>
      <c r="W665" s="1">
        <v>35431</v>
      </c>
      <c r="X665" s="1">
        <v>35431</v>
      </c>
      <c r="Y665" s="1">
        <v>50041</v>
      </c>
      <c r="Z665" t="s">
        <v>51</v>
      </c>
      <c r="AB665" t="s">
        <v>54</v>
      </c>
      <c r="AC665">
        <v>1</v>
      </c>
      <c r="AE665" t="s">
        <v>116</v>
      </c>
      <c r="AF665">
        <v>20</v>
      </c>
      <c r="AG665" s="1">
        <v>35431</v>
      </c>
      <c r="AH665" s="1">
        <v>35431</v>
      </c>
      <c r="AI665" s="1">
        <v>35431</v>
      </c>
      <c r="AJ665" s="1">
        <v>42736</v>
      </c>
      <c r="AK665" t="s">
        <v>51</v>
      </c>
      <c r="AN665">
        <v>0</v>
      </c>
      <c r="AO665" t="s">
        <v>54</v>
      </c>
      <c r="AP665" t="s">
        <v>53</v>
      </c>
      <c r="AQ665">
        <v>0</v>
      </c>
      <c r="AR665" t="s">
        <v>53</v>
      </c>
      <c r="AS665">
        <v>0</v>
      </c>
      <c r="AT665">
        <v>0</v>
      </c>
      <c r="AW665" t="s">
        <v>58</v>
      </c>
      <c r="AX665">
        <v>20</v>
      </c>
      <c r="AY665" s="1">
        <v>35431</v>
      </c>
      <c r="AZ665" s="1">
        <v>35431</v>
      </c>
      <c r="BA665" s="1">
        <v>35431</v>
      </c>
      <c r="BB665" s="1">
        <v>42736</v>
      </c>
      <c r="BC665" t="s">
        <v>51</v>
      </c>
      <c r="BE665" t="s">
        <v>54</v>
      </c>
      <c r="BF665">
        <v>2</v>
      </c>
      <c r="BG665">
        <v>0</v>
      </c>
      <c r="BH665" t="s">
        <v>53</v>
      </c>
      <c r="BK665" t="s">
        <v>65</v>
      </c>
      <c r="BL665">
        <v>14000</v>
      </c>
      <c r="BM665" s="1">
        <v>42917</v>
      </c>
      <c r="BN665" s="1">
        <v>42917</v>
      </c>
      <c r="BO665" s="1">
        <v>42917</v>
      </c>
      <c r="BP665" s="1">
        <v>44117</v>
      </c>
      <c r="BQ665" t="s">
        <v>51</v>
      </c>
      <c r="BS665" t="s">
        <v>60</v>
      </c>
      <c r="BT665" t="s">
        <v>54</v>
      </c>
      <c r="BU665" t="s">
        <v>61</v>
      </c>
      <c r="BV665" t="s">
        <v>62</v>
      </c>
      <c r="BX665">
        <v>36</v>
      </c>
      <c r="BY665">
        <v>0</v>
      </c>
      <c r="BZ665">
        <v>0</v>
      </c>
    </row>
    <row r="666" spans="1:99" x14ac:dyDescent="0.2">
      <c r="A666" t="s">
        <v>180</v>
      </c>
      <c r="B666" t="s">
        <v>181</v>
      </c>
      <c r="C666" t="s">
        <v>184</v>
      </c>
      <c r="D666" t="s">
        <v>513</v>
      </c>
      <c r="F666" t="str">
        <f>"250309"</f>
        <v>250309</v>
      </c>
      <c r="G666" t="s">
        <v>49</v>
      </c>
      <c r="H666" t="s">
        <v>292</v>
      </c>
      <c r="K666" t="s">
        <v>51</v>
      </c>
      <c r="L666" t="s">
        <v>52</v>
      </c>
      <c r="M666">
        <v>135522.32999999999</v>
      </c>
      <c r="N666">
        <v>471906.52</v>
      </c>
      <c r="O666" t="s">
        <v>53</v>
      </c>
      <c r="P666" t="s">
        <v>54</v>
      </c>
      <c r="Q666" t="s">
        <v>55</v>
      </c>
      <c r="T666" t="s">
        <v>183</v>
      </c>
      <c r="U666">
        <v>40</v>
      </c>
      <c r="V666" s="1">
        <v>35431</v>
      </c>
      <c r="W666" s="1">
        <v>35431</v>
      </c>
      <c r="X666" s="1">
        <v>35431</v>
      </c>
      <c r="Y666" s="1">
        <v>50041</v>
      </c>
      <c r="Z666" t="s">
        <v>51</v>
      </c>
      <c r="AB666" t="s">
        <v>54</v>
      </c>
      <c r="AC666">
        <v>1</v>
      </c>
      <c r="AE666" t="s">
        <v>116</v>
      </c>
      <c r="AF666">
        <v>20</v>
      </c>
      <c r="AG666" s="1">
        <v>35431</v>
      </c>
      <c r="AH666" s="1">
        <v>35431</v>
      </c>
      <c r="AI666" s="1">
        <v>35431</v>
      </c>
      <c r="AJ666" s="1">
        <v>42736</v>
      </c>
      <c r="AK666" t="s">
        <v>51</v>
      </c>
      <c r="AN666">
        <v>0</v>
      </c>
      <c r="AO666" t="s">
        <v>54</v>
      </c>
      <c r="AP666" t="s">
        <v>53</v>
      </c>
      <c r="AQ666">
        <v>0</v>
      </c>
      <c r="AR666" t="s">
        <v>53</v>
      </c>
      <c r="AS666">
        <v>0</v>
      </c>
      <c r="AT666">
        <v>0</v>
      </c>
      <c r="AW666" t="s">
        <v>58</v>
      </c>
      <c r="AX666">
        <v>20</v>
      </c>
      <c r="AY666" s="1">
        <v>35431</v>
      </c>
      <c r="AZ666" s="1">
        <v>35431</v>
      </c>
      <c r="BA666" s="1">
        <v>35431</v>
      </c>
      <c r="BB666" s="1">
        <v>42736</v>
      </c>
      <c r="BC666" t="s">
        <v>51</v>
      </c>
      <c r="BE666" t="s">
        <v>54</v>
      </c>
      <c r="BF666">
        <v>2</v>
      </c>
      <c r="BG666">
        <v>0</v>
      </c>
      <c r="BH666" t="s">
        <v>53</v>
      </c>
      <c r="BK666" t="s">
        <v>65</v>
      </c>
      <c r="BL666">
        <v>14000</v>
      </c>
      <c r="BM666" s="1">
        <v>42917</v>
      </c>
      <c r="BN666" s="1">
        <v>42917</v>
      </c>
      <c r="BO666" s="1">
        <v>42917</v>
      </c>
      <c r="BP666" s="1">
        <v>44117</v>
      </c>
      <c r="BQ666" t="s">
        <v>51</v>
      </c>
      <c r="BS666" t="s">
        <v>60</v>
      </c>
      <c r="BT666" t="s">
        <v>54</v>
      </c>
      <c r="BU666" t="s">
        <v>61</v>
      </c>
      <c r="BV666" t="s">
        <v>62</v>
      </c>
      <c r="BX666">
        <v>36</v>
      </c>
      <c r="BY666">
        <v>0</v>
      </c>
      <c r="BZ666">
        <v>0</v>
      </c>
    </row>
    <row r="667" spans="1:99" x14ac:dyDescent="0.2">
      <c r="A667" t="s">
        <v>180</v>
      </c>
      <c r="B667" t="s">
        <v>181</v>
      </c>
      <c r="C667" t="s">
        <v>184</v>
      </c>
      <c r="D667" t="s">
        <v>513</v>
      </c>
      <c r="F667" t="str">
        <f>"250310"</f>
        <v>250310</v>
      </c>
      <c r="G667" t="s">
        <v>49</v>
      </c>
      <c r="H667" t="s">
        <v>463</v>
      </c>
      <c r="K667" t="s">
        <v>51</v>
      </c>
      <c r="L667" t="s">
        <v>52</v>
      </c>
      <c r="M667">
        <v>135544.98000000001</v>
      </c>
      <c r="N667">
        <v>471925.52</v>
      </c>
      <c r="O667" t="s">
        <v>53</v>
      </c>
      <c r="P667" t="s">
        <v>54</v>
      </c>
      <c r="Q667" t="s">
        <v>55</v>
      </c>
      <c r="T667" t="s">
        <v>183</v>
      </c>
      <c r="U667">
        <v>40</v>
      </c>
      <c r="V667" s="1">
        <v>35431</v>
      </c>
      <c r="W667" s="1">
        <v>35431</v>
      </c>
      <c r="X667" s="1">
        <v>35431</v>
      </c>
      <c r="Y667" s="1">
        <v>50041</v>
      </c>
      <c r="Z667" t="s">
        <v>51</v>
      </c>
      <c r="AB667" t="s">
        <v>54</v>
      </c>
      <c r="AC667">
        <v>1</v>
      </c>
      <c r="AE667" t="s">
        <v>116</v>
      </c>
      <c r="AF667">
        <v>20</v>
      </c>
      <c r="AG667" s="1">
        <v>35431</v>
      </c>
      <c r="AH667" s="1">
        <v>35431</v>
      </c>
      <c r="AI667" s="1">
        <v>35431</v>
      </c>
      <c r="AJ667" s="1">
        <v>42736</v>
      </c>
      <c r="AK667" t="s">
        <v>51</v>
      </c>
      <c r="AN667">
        <v>0</v>
      </c>
      <c r="AO667" t="s">
        <v>54</v>
      </c>
      <c r="AP667" t="s">
        <v>53</v>
      </c>
      <c r="AQ667">
        <v>0</v>
      </c>
      <c r="AR667" t="s">
        <v>53</v>
      </c>
      <c r="AS667">
        <v>0</v>
      </c>
      <c r="AT667">
        <v>0</v>
      </c>
      <c r="AW667" t="s">
        <v>58</v>
      </c>
      <c r="AX667">
        <v>20</v>
      </c>
      <c r="AY667" s="1">
        <v>35431</v>
      </c>
      <c r="AZ667" s="1">
        <v>35431</v>
      </c>
      <c r="BA667" s="1">
        <v>35431</v>
      </c>
      <c r="BB667" s="1">
        <v>42736</v>
      </c>
      <c r="BC667" t="s">
        <v>51</v>
      </c>
      <c r="BE667" t="s">
        <v>54</v>
      </c>
      <c r="BF667">
        <v>2</v>
      </c>
      <c r="BG667">
        <v>0</v>
      </c>
      <c r="BH667" t="s">
        <v>53</v>
      </c>
      <c r="BK667" t="s">
        <v>65</v>
      </c>
      <c r="BL667">
        <v>14000</v>
      </c>
      <c r="BM667" s="1">
        <v>42917</v>
      </c>
      <c r="BN667" s="1">
        <v>42917</v>
      </c>
      <c r="BO667" s="1">
        <v>42917</v>
      </c>
      <c r="BP667" s="1">
        <v>44117</v>
      </c>
      <c r="BQ667" t="s">
        <v>51</v>
      </c>
      <c r="BS667" t="s">
        <v>60</v>
      </c>
      <c r="BT667" t="s">
        <v>54</v>
      </c>
      <c r="BU667" t="s">
        <v>61</v>
      </c>
      <c r="BV667" t="s">
        <v>62</v>
      </c>
      <c r="BX667">
        <v>36</v>
      </c>
      <c r="BY667">
        <v>0</v>
      </c>
      <c r="BZ667">
        <v>0</v>
      </c>
    </row>
    <row r="668" spans="1:99" x14ac:dyDescent="0.2">
      <c r="A668" t="s">
        <v>180</v>
      </c>
      <c r="B668" t="s">
        <v>181</v>
      </c>
      <c r="C668" t="s">
        <v>184</v>
      </c>
      <c r="D668" t="s">
        <v>513</v>
      </c>
      <c r="F668" t="str">
        <f>"250311"</f>
        <v>250311</v>
      </c>
      <c r="G668" t="s">
        <v>49</v>
      </c>
      <c r="H668" t="s">
        <v>537</v>
      </c>
      <c r="K668" t="s">
        <v>51</v>
      </c>
      <c r="L668" t="s">
        <v>52</v>
      </c>
      <c r="M668">
        <v>135561.22</v>
      </c>
      <c r="N668">
        <v>471940.66</v>
      </c>
      <c r="O668" t="s">
        <v>53</v>
      </c>
      <c r="P668" t="s">
        <v>54</v>
      </c>
      <c r="Q668" t="s">
        <v>55</v>
      </c>
      <c r="T668" t="s">
        <v>183</v>
      </c>
      <c r="U668">
        <v>40</v>
      </c>
      <c r="V668" s="1">
        <v>35431</v>
      </c>
      <c r="W668" s="1">
        <v>35431</v>
      </c>
      <c r="X668" s="1">
        <v>35431</v>
      </c>
      <c r="Y668" s="1">
        <v>50041</v>
      </c>
      <c r="Z668" t="s">
        <v>51</v>
      </c>
      <c r="AB668" t="s">
        <v>54</v>
      </c>
      <c r="AC668">
        <v>1</v>
      </c>
      <c r="AE668" t="s">
        <v>116</v>
      </c>
      <c r="AF668">
        <v>20</v>
      </c>
      <c r="AG668" s="1">
        <v>35431</v>
      </c>
      <c r="AH668" s="1">
        <v>35431</v>
      </c>
      <c r="AI668" s="1">
        <v>35431</v>
      </c>
      <c r="AJ668" s="1">
        <v>42736</v>
      </c>
      <c r="AK668" t="s">
        <v>51</v>
      </c>
      <c r="AN668">
        <v>0</v>
      </c>
      <c r="AO668" t="s">
        <v>54</v>
      </c>
      <c r="AP668" t="s">
        <v>53</v>
      </c>
      <c r="AQ668">
        <v>0</v>
      </c>
      <c r="AR668" t="s">
        <v>53</v>
      </c>
      <c r="AS668">
        <v>0</v>
      </c>
      <c r="AT668">
        <v>0</v>
      </c>
      <c r="AW668" t="s">
        <v>58</v>
      </c>
      <c r="AX668">
        <v>20</v>
      </c>
      <c r="AY668" s="1">
        <v>44228</v>
      </c>
      <c r="AZ668" s="1">
        <v>44228</v>
      </c>
      <c r="BA668" s="1">
        <v>44228</v>
      </c>
      <c r="BB668" s="1">
        <v>51533</v>
      </c>
      <c r="BC668" t="s">
        <v>51</v>
      </c>
      <c r="BE668" t="s">
        <v>54</v>
      </c>
      <c r="BF668">
        <v>2</v>
      </c>
      <c r="BG668">
        <v>0</v>
      </c>
      <c r="BH668" t="s">
        <v>53</v>
      </c>
      <c r="BK668" t="s">
        <v>65</v>
      </c>
      <c r="BL668">
        <v>14000</v>
      </c>
      <c r="BM668" s="1">
        <v>44228</v>
      </c>
      <c r="BN668" s="1">
        <v>44228</v>
      </c>
      <c r="BO668" s="1">
        <v>44228</v>
      </c>
      <c r="BP668" s="1">
        <v>45408</v>
      </c>
      <c r="BQ668" t="s">
        <v>51</v>
      </c>
      <c r="BS668" t="s">
        <v>60</v>
      </c>
      <c r="BT668" t="s">
        <v>54</v>
      </c>
      <c r="BU668" t="s">
        <v>61</v>
      </c>
      <c r="BV668" t="s">
        <v>62</v>
      </c>
      <c r="BX668">
        <v>36</v>
      </c>
      <c r="BY668">
        <v>0</v>
      </c>
      <c r="BZ668">
        <v>0</v>
      </c>
    </row>
    <row r="669" spans="1:99" x14ac:dyDescent="0.2">
      <c r="A669" t="s">
        <v>180</v>
      </c>
      <c r="B669" t="s">
        <v>181</v>
      </c>
      <c r="C669" t="s">
        <v>184</v>
      </c>
      <c r="D669" t="s">
        <v>513</v>
      </c>
      <c r="F669" t="str">
        <f>"250312"</f>
        <v>250312</v>
      </c>
      <c r="G669" t="s">
        <v>49</v>
      </c>
      <c r="H669" t="s">
        <v>538</v>
      </c>
      <c r="K669" t="s">
        <v>51</v>
      </c>
      <c r="L669" t="s">
        <v>52</v>
      </c>
      <c r="M669">
        <v>135590.20000000001</v>
      </c>
      <c r="N669">
        <v>471964.53</v>
      </c>
      <c r="O669" t="s">
        <v>53</v>
      </c>
      <c r="P669" t="s">
        <v>54</v>
      </c>
      <c r="Q669" t="s">
        <v>55</v>
      </c>
      <c r="T669" t="s">
        <v>183</v>
      </c>
      <c r="U669">
        <v>40</v>
      </c>
      <c r="V669" s="1">
        <v>35431</v>
      </c>
      <c r="W669" s="1">
        <v>35431</v>
      </c>
      <c r="X669" s="1">
        <v>35431</v>
      </c>
      <c r="Y669" s="1">
        <v>50041</v>
      </c>
      <c r="Z669" t="s">
        <v>51</v>
      </c>
      <c r="AB669" t="s">
        <v>54</v>
      </c>
      <c r="AC669">
        <v>1</v>
      </c>
      <c r="AE669" t="s">
        <v>116</v>
      </c>
      <c r="AF669">
        <v>20</v>
      </c>
      <c r="AG669" s="1">
        <v>35431</v>
      </c>
      <c r="AH669" s="1">
        <v>35431</v>
      </c>
      <c r="AI669" s="1">
        <v>35431</v>
      </c>
      <c r="AJ669" s="1">
        <v>42736</v>
      </c>
      <c r="AK669" t="s">
        <v>51</v>
      </c>
      <c r="AN669">
        <v>0</v>
      </c>
      <c r="AO669" t="s">
        <v>54</v>
      </c>
      <c r="AP669" t="s">
        <v>53</v>
      </c>
      <c r="AQ669">
        <v>0</v>
      </c>
      <c r="AR669" t="s">
        <v>53</v>
      </c>
      <c r="AS669">
        <v>0</v>
      </c>
      <c r="AT669">
        <v>0</v>
      </c>
      <c r="AW669" t="s">
        <v>58</v>
      </c>
      <c r="AX669">
        <v>20</v>
      </c>
      <c r="AY669" s="1">
        <v>35431</v>
      </c>
      <c r="AZ669" s="1">
        <v>35431</v>
      </c>
      <c r="BA669" s="1">
        <v>35431</v>
      </c>
      <c r="BB669" s="1">
        <v>42736</v>
      </c>
      <c r="BC669" t="s">
        <v>51</v>
      </c>
      <c r="BE669" t="s">
        <v>54</v>
      </c>
      <c r="BF669">
        <v>2</v>
      </c>
      <c r="BG669">
        <v>0</v>
      </c>
      <c r="BH669" t="s">
        <v>53</v>
      </c>
      <c r="BK669" t="s">
        <v>65</v>
      </c>
      <c r="BL669">
        <v>14000</v>
      </c>
      <c r="BM669" s="1">
        <v>42917</v>
      </c>
      <c r="BN669" s="1">
        <v>42917</v>
      </c>
      <c r="BO669" s="1">
        <v>42917</v>
      </c>
      <c r="BP669" s="1">
        <v>44117</v>
      </c>
      <c r="BQ669" t="s">
        <v>51</v>
      </c>
      <c r="BS669" t="s">
        <v>60</v>
      </c>
      <c r="BT669" t="s">
        <v>54</v>
      </c>
      <c r="BU669" t="s">
        <v>61</v>
      </c>
      <c r="BV669" t="s">
        <v>62</v>
      </c>
      <c r="BX669">
        <v>36</v>
      </c>
      <c r="BY669">
        <v>0</v>
      </c>
      <c r="BZ669">
        <v>0</v>
      </c>
    </row>
    <row r="670" spans="1:99" x14ac:dyDescent="0.2">
      <c r="A670" t="s">
        <v>180</v>
      </c>
      <c r="B670" t="s">
        <v>181</v>
      </c>
      <c r="C670" t="s">
        <v>184</v>
      </c>
      <c r="D670" t="s">
        <v>513</v>
      </c>
      <c r="F670" t="str">
        <f>"250313"</f>
        <v>250313</v>
      </c>
      <c r="G670" t="s">
        <v>49</v>
      </c>
      <c r="H670" t="s">
        <v>279</v>
      </c>
      <c r="K670" t="s">
        <v>51</v>
      </c>
      <c r="L670" t="s">
        <v>52</v>
      </c>
      <c r="M670">
        <v>135612.45000000001</v>
      </c>
      <c r="N670">
        <v>471986.79</v>
      </c>
      <c r="O670" t="s">
        <v>53</v>
      </c>
      <c r="P670" t="s">
        <v>54</v>
      </c>
      <c r="Q670" t="s">
        <v>55</v>
      </c>
      <c r="T670" t="s">
        <v>183</v>
      </c>
      <c r="U670">
        <v>40</v>
      </c>
      <c r="V670" s="1">
        <v>35431</v>
      </c>
      <c r="W670" s="1">
        <v>35431</v>
      </c>
      <c r="X670" s="1">
        <v>35431</v>
      </c>
      <c r="Y670" s="1">
        <v>50041</v>
      </c>
      <c r="Z670" t="s">
        <v>51</v>
      </c>
      <c r="AB670" t="s">
        <v>54</v>
      </c>
      <c r="AC670">
        <v>1</v>
      </c>
      <c r="AE670" t="s">
        <v>116</v>
      </c>
      <c r="AF670">
        <v>20</v>
      </c>
      <c r="AG670" s="1">
        <v>35431</v>
      </c>
      <c r="AH670" s="1">
        <v>35431</v>
      </c>
      <c r="AI670" s="1">
        <v>35431</v>
      </c>
      <c r="AJ670" s="1">
        <v>42736</v>
      </c>
      <c r="AK670" t="s">
        <v>51</v>
      </c>
      <c r="AN670">
        <v>0</v>
      </c>
      <c r="AO670" t="s">
        <v>54</v>
      </c>
      <c r="AP670" t="s">
        <v>53</v>
      </c>
      <c r="AQ670">
        <v>0</v>
      </c>
      <c r="AR670" t="s">
        <v>53</v>
      </c>
      <c r="AS670">
        <v>0</v>
      </c>
      <c r="AT670">
        <v>0</v>
      </c>
      <c r="AW670" t="s">
        <v>58</v>
      </c>
      <c r="AX670">
        <v>20</v>
      </c>
      <c r="AY670" s="1">
        <v>35431</v>
      </c>
      <c r="AZ670" s="1">
        <v>35431</v>
      </c>
      <c r="BA670" s="1">
        <v>35431</v>
      </c>
      <c r="BB670" s="1">
        <v>42736</v>
      </c>
      <c r="BC670" t="s">
        <v>51</v>
      </c>
      <c r="BE670" t="s">
        <v>54</v>
      </c>
      <c r="BF670">
        <v>2</v>
      </c>
      <c r="BG670">
        <v>0</v>
      </c>
      <c r="BH670" t="s">
        <v>53</v>
      </c>
      <c r="BK670" t="s">
        <v>65</v>
      </c>
      <c r="BL670">
        <v>14000</v>
      </c>
      <c r="BM670" s="1">
        <v>42917</v>
      </c>
      <c r="BN670" s="1">
        <v>42917</v>
      </c>
      <c r="BO670" s="1">
        <v>42917</v>
      </c>
      <c r="BP670" s="1">
        <v>44117</v>
      </c>
      <c r="BQ670" t="s">
        <v>51</v>
      </c>
      <c r="BS670" t="s">
        <v>60</v>
      </c>
      <c r="BT670" t="s">
        <v>54</v>
      </c>
      <c r="BU670" t="s">
        <v>61</v>
      </c>
      <c r="BV670" t="s">
        <v>62</v>
      </c>
      <c r="BX670">
        <v>36</v>
      </c>
      <c r="BY670">
        <v>0</v>
      </c>
      <c r="BZ670">
        <v>0</v>
      </c>
    </row>
    <row r="671" spans="1:99" x14ac:dyDescent="0.2">
      <c r="A671" t="s">
        <v>180</v>
      </c>
      <c r="B671" t="s">
        <v>181</v>
      </c>
      <c r="C671" t="s">
        <v>184</v>
      </c>
      <c r="D671" t="s">
        <v>513</v>
      </c>
      <c r="F671" t="str">
        <f>"250314"</f>
        <v>250314</v>
      </c>
      <c r="G671" t="s">
        <v>49</v>
      </c>
      <c r="H671" t="s">
        <v>467</v>
      </c>
      <c r="K671" t="s">
        <v>51</v>
      </c>
      <c r="L671" t="s">
        <v>52</v>
      </c>
      <c r="M671">
        <v>135633.87</v>
      </c>
      <c r="N671">
        <v>472008.11</v>
      </c>
      <c r="O671" t="s">
        <v>53</v>
      </c>
      <c r="P671" t="s">
        <v>54</v>
      </c>
      <c r="Q671" t="s">
        <v>55</v>
      </c>
      <c r="T671" t="s">
        <v>183</v>
      </c>
      <c r="U671">
        <v>40</v>
      </c>
      <c r="V671" s="1">
        <v>35431</v>
      </c>
      <c r="W671" s="1">
        <v>35431</v>
      </c>
      <c r="X671" s="1">
        <v>35431</v>
      </c>
      <c r="Y671" s="1">
        <v>50041</v>
      </c>
      <c r="Z671" t="s">
        <v>51</v>
      </c>
      <c r="AB671" t="s">
        <v>54</v>
      </c>
      <c r="AC671">
        <v>1</v>
      </c>
      <c r="AE671" t="s">
        <v>116</v>
      </c>
      <c r="AF671">
        <v>20</v>
      </c>
      <c r="AG671" s="1">
        <v>35431</v>
      </c>
      <c r="AH671" s="1">
        <v>35431</v>
      </c>
      <c r="AI671" s="1">
        <v>35431</v>
      </c>
      <c r="AJ671" s="1">
        <v>42736</v>
      </c>
      <c r="AK671" t="s">
        <v>51</v>
      </c>
      <c r="AN671">
        <v>0</v>
      </c>
      <c r="AO671" t="s">
        <v>54</v>
      </c>
      <c r="AP671" t="s">
        <v>53</v>
      </c>
      <c r="AQ671">
        <v>0</v>
      </c>
      <c r="AR671" t="s">
        <v>53</v>
      </c>
      <c r="AS671">
        <v>0</v>
      </c>
      <c r="AT671">
        <v>0</v>
      </c>
      <c r="AW671" t="s">
        <v>58</v>
      </c>
      <c r="AX671">
        <v>20</v>
      </c>
      <c r="AY671" s="1">
        <v>35431</v>
      </c>
      <c r="AZ671" s="1">
        <v>35431</v>
      </c>
      <c r="BA671" s="1">
        <v>35431</v>
      </c>
      <c r="BB671" s="1">
        <v>42736</v>
      </c>
      <c r="BC671" t="s">
        <v>51</v>
      </c>
      <c r="BE671" t="s">
        <v>54</v>
      </c>
      <c r="BF671">
        <v>2</v>
      </c>
      <c r="BG671">
        <v>0</v>
      </c>
      <c r="BH671" t="s">
        <v>53</v>
      </c>
      <c r="BK671" t="s">
        <v>65</v>
      </c>
      <c r="BL671">
        <v>14000</v>
      </c>
      <c r="BM671" s="1">
        <v>42917</v>
      </c>
      <c r="BN671" s="1">
        <v>42917</v>
      </c>
      <c r="BO671" s="1">
        <v>42917</v>
      </c>
      <c r="BP671" s="1">
        <v>44117</v>
      </c>
      <c r="BQ671" t="s">
        <v>51</v>
      </c>
      <c r="BS671" t="s">
        <v>60</v>
      </c>
      <c r="BT671" t="s">
        <v>54</v>
      </c>
      <c r="BU671" t="s">
        <v>61</v>
      </c>
      <c r="BV671" t="s">
        <v>62</v>
      </c>
      <c r="BX671">
        <v>36</v>
      </c>
      <c r="BY671">
        <v>0</v>
      </c>
      <c r="BZ671">
        <v>0</v>
      </c>
    </row>
    <row r="672" spans="1:99" x14ac:dyDescent="0.2">
      <c r="A672" t="s">
        <v>180</v>
      </c>
      <c r="B672" t="s">
        <v>181</v>
      </c>
      <c r="C672" t="s">
        <v>184</v>
      </c>
      <c r="D672" t="s">
        <v>513</v>
      </c>
      <c r="F672" t="str">
        <f>"250315"</f>
        <v>250315</v>
      </c>
      <c r="G672" t="s">
        <v>49</v>
      </c>
      <c r="H672" t="s">
        <v>343</v>
      </c>
      <c r="K672" t="s">
        <v>51</v>
      </c>
      <c r="L672" t="s">
        <v>52</v>
      </c>
      <c r="M672">
        <v>135654.65</v>
      </c>
      <c r="N672">
        <v>472030.03</v>
      </c>
      <c r="O672" t="s">
        <v>53</v>
      </c>
      <c r="P672" t="s">
        <v>54</v>
      </c>
      <c r="Q672" t="s">
        <v>55</v>
      </c>
      <c r="T672" t="s">
        <v>183</v>
      </c>
      <c r="U672">
        <v>40</v>
      </c>
      <c r="V672" s="1">
        <v>35431</v>
      </c>
      <c r="W672" s="1">
        <v>35431</v>
      </c>
      <c r="X672" s="1">
        <v>35431</v>
      </c>
      <c r="Y672" s="1">
        <v>50041</v>
      </c>
      <c r="Z672" t="s">
        <v>51</v>
      </c>
      <c r="AB672" t="s">
        <v>54</v>
      </c>
      <c r="AC672">
        <v>1</v>
      </c>
      <c r="AE672" t="s">
        <v>116</v>
      </c>
      <c r="AF672">
        <v>20</v>
      </c>
      <c r="AG672" s="1">
        <v>35431</v>
      </c>
      <c r="AH672" s="1">
        <v>35431</v>
      </c>
      <c r="AI672" s="1">
        <v>35431</v>
      </c>
      <c r="AJ672" s="1">
        <v>42736</v>
      </c>
      <c r="AK672" t="s">
        <v>51</v>
      </c>
      <c r="AN672">
        <v>0</v>
      </c>
      <c r="AO672" t="s">
        <v>54</v>
      </c>
      <c r="AP672" t="s">
        <v>53</v>
      </c>
      <c r="AQ672">
        <v>0</v>
      </c>
      <c r="AR672" t="s">
        <v>53</v>
      </c>
      <c r="AS672">
        <v>0</v>
      </c>
      <c r="AT672">
        <v>0</v>
      </c>
      <c r="AW672" t="s">
        <v>58</v>
      </c>
      <c r="AX672">
        <v>20</v>
      </c>
      <c r="AY672" s="1">
        <v>35431</v>
      </c>
      <c r="AZ672" s="1">
        <v>35431</v>
      </c>
      <c r="BA672" s="1">
        <v>35431</v>
      </c>
      <c r="BB672" s="1">
        <v>42736</v>
      </c>
      <c r="BC672" t="s">
        <v>51</v>
      </c>
      <c r="BE672" t="s">
        <v>54</v>
      </c>
      <c r="BF672">
        <v>2</v>
      </c>
      <c r="BG672">
        <v>0</v>
      </c>
      <c r="BH672" t="s">
        <v>53</v>
      </c>
      <c r="BK672" t="s">
        <v>65</v>
      </c>
      <c r="BL672">
        <v>14000</v>
      </c>
      <c r="BM672" s="1">
        <v>42917</v>
      </c>
      <c r="BN672" s="1">
        <v>42917</v>
      </c>
      <c r="BO672" s="1">
        <v>42917</v>
      </c>
      <c r="BP672" s="1">
        <v>44117</v>
      </c>
      <c r="BQ672" t="s">
        <v>51</v>
      </c>
      <c r="BS672" t="s">
        <v>60</v>
      </c>
      <c r="BT672" t="s">
        <v>54</v>
      </c>
      <c r="BU672" t="s">
        <v>61</v>
      </c>
      <c r="BV672" t="s">
        <v>62</v>
      </c>
      <c r="BX672">
        <v>36</v>
      </c>
      <c r="BY672">
        <v>0</v>
      </c>
      <c r="BZ672">
        <v>0</v>
      </c>
    </row>
    <row r="673" spans="1:78" x14ac:dyDescent="0.2">
      <c r="A673" t="s">
        <v>180</v>
      </c>
      <c r="B673" t="s">
        <v>181</v>
      </c>
      <c r="C673" t="s">
        <v>184</v>
      </c>
      <c r="D673" t="s">
        <v>513</v>
      </c>
      <c r="F673" t="str">
        <f>"250316"</f>
        <v>250316</v>
      </c>
      <c r="G673" t="s">
        <v>49</v>
      </c>
      <c r="H673" t="s">
        <v>539</v>
      </c>
      <c r="K673" t="s">
        <v>51</v>
      </c>
      <c r="L673" t="s">
        <v>52</v>
      </c>
      <c r="M673">
        <v>135680.48000000001</v>
      </c>
      <c r="N673">
        <v>472053.28</v>
      </c>
      <c r="O673" t="s">
        <v>53</v>
      </c>
      <c r="P673" t="s">
        <v>54</v>
      </c>
      <c r="Q673" t="s">
        <v>55</v>
      </c>
      <c r="T673" t="s">
        <v>183</v>
      </c>
      <c r="U673">
        <v>40</v>
      </c>
      <c r="V673" s="1">
        <v>35431</v>
      </c>
      <c r="W673" s="1">
        <v>35431</v>
      </c>
      <c r="X673" s="1">
        <v>35431</v>
      </c>
      <c r="Y673" s="1">
        <v>50041</v>
      </c>
      <c r="Z673" t="s">
        <v>51</v>
      </c>
      <c r="AB673" t="s">
        <v>54</v>
      </c>
      <c r="AC673">
        <v>1</v>
      </c>
      <c r="AE673" t="s">
        <v>116</v>
      </c>
      <c r="AF673">
        <v>20</v>
      </c>
      <c r="AG673" s="1">
        <v>35431</v>
      </c>
      <c r="AH673" s="1">
        <v>35431</v>
      </c>
      <c r="AI673" s="1">
        <v>35431</v>
      </c>
      <c r="AJ673" s="1">
        <v>42736</v>
      </c>
      <c r="AK673" t="s">
        <v>51</v>
      </c>
      <c r="AN673">
        <v>0</v>
      </c>
      <c r="AO673" t="s">
        <v>54</v>
      </c>
      <c r="AP673" t="s">
        <v>53</v>
      </c>
      <c r="AQ673">
        <v>0</v>
      </c>
      <c r="AR673" t="s">
        <v>53</v>
      </c>
      <c r="AS673">
        <v>0</v>
      </c>
      <c r="AT673">
        <v>0</v>
      </c>
      <c r="AW673" t="s">
        <v>58</v>
      </c>
      <c r="AX673">
        <v>20</v>
      </c>
      <c r="AY673" s="1">
        <v>35431</v>
      </c>
      <c r="AZ673" s="1">
        <v>35431</v>
      </c>
      <c r="BA673" s="1">
        <v>35431</v>
      </c>
      <c r="BB673" s="1">
        <v>42736</v>
      </c>
      <c r="BC673" t="s">
        <v>51</v>
      </c>
      <c r="BE673" t="s">
        <v>54</v>
      </c>
      <c r="BF673">
        <v>2</v>
      </c>
      <c r="BG673">
        <v>0</v>
      </c>
      <c r="BH673" t="s">
        <v>53</v>
      </c>
      <c r="BK673" t="s">
        <v>65</v>
      </c>
      <c r="BL673">
        <v>14000</v>
      </c>
      <c r="BM673" s="1">
        <v>42917</v>
      </c>
      <c r="BN673" s="1">
        <v>42917</v>
      </c>
      <c r="BO673" s="1">
        <v>42917</v>
      </c>
      <c r="BP673" s="1">
        <v>44117</v>
      </c>
      <c r="BQ673" t="s">
        <v>51</v>
      </c>
      <c r="BS673" t="s">
        <v>60</v>
      </c>
      <c r="BT673" t="s">
        <v>54</v>
      </c>
      <c r="BU673" t="s">
        <v>61</v>
      </c>
      <c r="BV673" t="s">
        <v>62</v>
      </c>
      <c r="BX673">
        <v>36</v>
      </c>
      <c r="BY673">
        <v>0</v>
      </c>
      <c r="BZ673">
        <v>0</v>
      </c>
    </row>
    <row r="674" spans="1:78" x14ac:dyDescent="0.2">
      <c r="A674" t="s">
        <v>180</v>
      </c>
      <c r="B674" t="s">
        <v>181</v>
      </c>
      <c r="C674" t="s">
        <v>184</v>
      </c>
      <c r="D674" t="s">
        <v>513</v>
      </c>
      <c r="F674" t="str">
        <f>"250317"</f>
        <v>250317</v>
      </c>
      <c r="G674" t="s">
        <v>49</v>
      </c>
      <c r="H674" t="s">
        <v>123</v>
      </c>
      <c r="K674" t="s">
        <v>51</v>
      </c>
      <c r="L674" t="s">
        <v>52</v>
      </c>
      <c r="M674">
        <v>135701.41</v>
      </c>
      <c r="N674">
        <v>472078.79</v>
      </c>
      <c r="O674" t="s">
        <v>53</v>
      </c>
      <c r="P674" t="s">
        <v>54</v>
      </c>
      <c r="Q674" t="s">
        <v>55</v>
      </c>
      <c r="T674" t="s">
        <v>183</v>
      </c>
      <c r="U674">
        <v>40</v>
      </c>
      <c r="V674" s="1">
        <v>35431</v>
      </c>
      <c r="W674" s="1">
        <v>35431</v>
      </c>
      <c r="X674" s="1">
        <v>35431</v>
      </c>
      <c r="Y674" s="1">
        <v>50041</v>
      </c>
      <c r="Z674" t="s">
        <v>51</v>
      </c>
      <c r="AB674" t="s">
        <v>54</v>
      </c>
      <c r="AC674">
        <v>1</v>
      </c>
      <c r="AE674" t="s">
        <v>116</v>
      </c>
      <c r="AF674">
        <v>20</v>
      </c>
      <c r="AG674" s="1">
        <v>35431</v>
      </c>
      <c r="AH674" s="1">
        <v>35431</v>
      </c>
      <c r="AI674" s="1">
        <v>35431</v>
      </c>
      <c r="AJ674" s="1">
        <v>42736</v>
      </c>
      <c r="AK674" t="s">
        <v>51</v>
      </c>
      <c r="AN674">
        <v>0</v>
      </c>
      <c r="AO674" t="s">
        <v>54</v>
      </c>
      <c r="AP674" t="s">
        <v>53</v>
      </c>
      <c r="AQ674">
        <v>0</v>
      </c>
      <c r="AR674" t="s">
        <v>53</v>
      </c>
      <c r="AS674">
        <v>0</v>
      </c>
      <c r="AT674">
        <v>0</v>
      </c>
      <c r="AW674" t="s">
        <v>58</v>
      </c>
      <c r="AX674">
        <v>20</v>
      </c>
      <c r="AY674" s="1">
        <v>35431</v>
      </c>
      <c r="AZ674" s="1">
        <v>35431</v>
      </c>
      <c r="BA674" s="1">
        <v>35431</v>
      </c>
      <c r="BB674" s="1">
        <v>42736</v>
      </c>
      <c r="BC674" t="s">
        <v>51</v>
      </c>
      <c r="BE674" t="s">
        <v>54</v>
      </c>
      <c r="BF674">
        <v>2</v>
      </c>
      <c r="BG674">
        <v>0</v>
      </c>
      <c r="BH674" t="s">
        <v>53</v>
      </c>
      <c r="BK674" t="s">
        <v>65</v>
      </c>
      <c r="BL674">
        <v>14000</v>
      </c>
      <c r="BM674" s="1">
        <v>42917</v>
      </c>
      <c r="BN674" s="1">
        <v>42917</v>
      </c>
      <c r="BO674" s="1">
        <v>42917</v>
      </c>
      <c r="BP674" s="1">
        <v>44117</v>
      </c>
      <c r="BQ674" t="s">
        <v>51</v>
      </c>
      <c r="BS674" t="s">
        <v>60</v>
      </c>
      <c r="BT674" t="s">
        <v>54</v>
      </c>
      <c r="BU674" t="s">
        <v>61</v>
      </c>
      <c r="BV674" t="s">
        <v>62</v>
      </c>
      <c r="BX674">
        <v>36</v>
      </c>
      <c r="BY674">
        <v>0</v>
      </c>
      <c r="BZ674">
        <v>0</v>
      </c>
    </row>
    <row r="675" spans="1:78" x14ac:dyDescent="0.2">
      <c r="A675" t="s">
        <v>180</v>
      </c>
      <c r="B675" t="s">
        <v>181</v>
      </c>
      <c r="C675" t="s">
        <v>184</v>
      </c>
      <c r="D675" t="s">
        <v>513</v>
      </c>
      <c r="F675" t="str">
        <f>"250318"</f>
        <v>250318</v>
      </c>
      <c r="G675" t="s">
        <v>49</v>
      </c>
      <c r="H675" t="s">
        <v>123</v>
      </c>
      <c r="K675" t="s">
        <v>51</v>
      </c>
      <c r="L675" t="s">
        <v>52</v>
      </c>
      <c r="M675">
        <v>135721.88</v>
      </c>
      <c r="N675">
        <v>472106.51</v>
      </c>
      <c r="O675" t="s">
        <v>53</v>
      </c>
      <c r="P675" t="s">
        <v>54</v>
      </c>
      <c r="Q675" t="s">
        <v>55</v>
      </c>
      <c r="T675" t="s">
        <v>183</v>
      </c>
      <c r="U675">
        <v>40</v>
      </c>
      <c r="V675" s="1">
        <v>35431</v>
      </c>
      <c r="W675" s="1">
        <v>35431</v>
      </c>
      <c r="X675" s="1">
        <v>35431</v>
      </c>
      <c r="Y675" s="1">
        <v>50041</v>
      </c>
      <c r="Z675" t="s">
        <v>51</v>
      </c>
      <c r="AB675" t="s">
        <v>54</v>
      </c>
      <c r="AC675">
        <v>1</v>
      </c>
      <c r="AE675" t="s">
        <v>116</v>
      </c>
      <c r="AF675">
        <v>20</v>
      </c>
      <c r="AG675" s="1">
        <v>35431</v>
      </c>
      <c r="AH675" s="1">
        <v>35431</v>
      </c>
      <c r="AI675" s="1">
        <v>35431</v>
      </c>
      <c r="AJ675" s="1">
        <v>42736</v>
      </c>
      <c r="AK675" t="s">
        <v>51</v>
      </c>
      <c r="AN675">
        <v>0</v>
      </c>
      <c r="AO675" t="s">
        <v>54</v>
      </c>
      <c r="AP675" t="s">
        <v>53</v>
      </c>
      <c r="AQ675">
        <v>0</v>
      </c>
      <c r="AR675" t="s">
        <v>53</v>
      </c>
      <c r="AS675">
        <v>0</v>
      </c>
      <c r="AT675">
        <v>0</v>
      </c>
      <c r="AW675" t="s">
        <v>58</v>
      </c>
      <c r="AX675">
        <v>20</v>
      </c>
      <c r="AY675" s="1">
        <v>44578</v>
      </c>
      <c r="AZ675" s="1">
        <v>44578</v>
      </c>
      <c r="BA675" s="1">
        <v>44578</v>
      </c>
      <c r="BB675" s="1">
        <v>51883</v>
      </c>
      <c r="BC675" t="s">
        <v>51</v>
      </c>
      <c r="BE675" t="s">
        <v>54</v>
      </c>
      <c r="BF675">
        <v>2</v>
      </c>
      <c r="BG675">
        <v>0</v>
      </c>
      <c r="BH675" t="s">
        <v>53</v>
      </c>
      <c r="BK675" t="s">
        <v>65</v>
      </c>
      <c r="BL675">
        <v>14000</v>
      </c>
      <c r="BM675" s="1">
        <v>44578</v>
      </c>
      <c r="BN675" s="1">
        <v>44578</v>
      </c>
      <c r="BO675" s="1">
        <v>44578</v>
      </c>
      <c r="BP675" s="1">
        <v>45749</v>
      </c>
      <c r="BQ675" t="s">
        <v>51</v>
      </c>
      <c r="BS675" t="s">
        <v>60</v>
      </c>
      <c r="BT675" t="s">
        <v>54</v>
      </c>
      <c r="BU675" t="s">
        <v>61</v>
      </c>
      <c r="BV675" t="s">
        <v>62</v>
      </c>
      <c r="BX675">
        <v>36</v>
      </c>
      <c r="BY675">
        <v>0</v>
      </c>
      <c r="BZ675">
        <v>0</v>
      </c>
    </row>
    <row r="676" spans="1:78" x14ac:dyDescent="0.2">
      <c r="A676" t="s">
        <v>180</v>
      </c>
      <c r="B676" t="s">
        <v>181</v>
      </c>
      <c r="C676" t="s">
        <v>184</v>
      </c>
      <c r="D676" t="s">
        <v>513</v>
      </c>
      <c r="F676" t="str">
        <f>"250319"</f>
        <v>250319</v>
      </c>
      <c r="G676" t="s">
        <v>49</v>
      </c>
      <c r="H676" t="s">
        <v>468</v>
      </c>
      <c r="K676" t="s">
        <v>51</v>
      </c>
      <c r="L676" t="s">
        <v>52</v>
      </c>
      <c r="M676">
        <v>135740.35999999999</v>
      </c>
      <c r="N676">
        <v>472132.31</v>
      </c>
      <c r="O676" t="s">
        <v>53</v>
      </c>
      <c r="P676" t="s">
        <v>54</v>
      </c>
      <c r="Q676" t="s">
        <v>55</v>
      </c>
      <c r="T676" t="s">
        <v>183</v>
      </c>
      <c r="U676">
        <v>40</v>
      </c>
      <c r="V676" s="1">
        <v>35431</v>
      </c>
      <c r="W676" s="1">
        <v>35431</v>
      </c>
      <c r="X676" s="1">
        <v>35431</v>
      </c>
      <c r="Y676" s="1">
        <v>50041</v>
      </c>
      <c r="Z676" t="s">
        <v>51</v>
      </c>
      <c r="AB676" t="s">
        <v>54</v>
      </c>
      <c r="AC676">
        <v>1</v>
      </c>
      <c r="AE676" t="s">
        <v>116</v>
      </c>
      <c r="AF676">
        <v>20</v>
      </c>
      <c r="AG676" s="1">
        <v>35431</v>
      </c>
      <c r="AH676" s="1">
        <v>35431</v>
      </c>
      <c r="AI676" s="1">
        <v>35431</v>
      </c>
      <c r="AJ676" s="1">
        <v>42736</v>
      </c>
      <c r="AK676" t="s">
        <v>51</v>
      </c>
      <c r="AN676">
        <v>0</v>
      </c>
      <c r="AO676" t="s">
        <v>54</v>
      </c>
      <c r="AP676" t="s">
        <v>53</v>
      </c>
      <c r="AQ676">
        <v>0</v>
      </c>
      <c r="AR676" t="s">
        <v>53</v>
      </c>
      <c r="AS676">
        <v>0</v>
      </c>
      <c r="AT676">
        <v>0</v>
      </c>
      <c r="AW676" t="s">
        <v>58</v>
      </c>
      <c r="AX676">
        <v>20</v>
      </c>
      <c r="AY676" s="1">
        <v>44760</v>
      </c>
      <c r="AZ676" s="1">
        <v>44760</v>
      </c>
      <c r="BA676" s="1">
        <v>44760</v>
      </c>
      <c r="BB676" s="1">
        <v>52065</v>
      </c>
      <c r="BC676" t="s">
        <v>51</v>
      </c>
      <c r="BE676" t="s">
        <v>54</v>
      </c>
      <c r="BF676">
        <v>2</v>
      </c>
      <c r="BG676">
        <v>0</v>
      </c>
      <c r="BH676" t="s">
        <v>53</v>
      </c>
      <c r="BK676" t="s">
        <v>65</v>
      </c>
      <c r="BL676">
        <v>14000</v>
      </c>
      <c r="BM676" s="1">
        <v>44760</v>
      </c>
      <c r="BN676" s="1">
        <v>44760</v>
      </c>
      <c r="BO676" s="1">
        <v>44760</v>
      </c>
      <c r="BP676" s="1">
        <v>45952</v>
      </c>
      <c r="BQ676" t="s">
        <v>51</v>
      </c>
      <c r="BS676" t="s">
        <v>60</v>
      </c>
      <c r="BT676" t="s">
        <v>54</v>
      </c>
      <c r="BU676" t="s">
        <v>61</v>
      </c>
      <c r="BV676" t="s">
        <v>62</v>
      </c>
      <c r="BX676">
        <v>36</v>
      </c>
      <c r="BY676">
        <v>0</v>
      </c>
      <c r="BZ676">
        <v>0</v>
      </c>
    </row>
    <row r="677" spans="1:78" x14ac:dyDescent="0.2">
      <c r="A677" t="s">
        <v>180</v>
      </c>
      <c r="B677" t="s">
        <v>181</v>
      </c>
      <c r="C677" t="s">
        <v>184</v>
      </c>
      <c r="D677" t="s">
        <v>513</v>
      </c>
      <c r="F677" t="str">
        <f>"250320"</f>
        <v>250320</v>
      </c>
      <c r="G677" t="s">
        <v>49</v>
      </c>
      <c r="H677" t="s">
        <v>540</v>
      </c>
      <c r="K677" t="s">
        <v>51</v>
      </c>
      <c r="L677" t="s">
        <v>52</v>
      </c>
      <c r="M677">
        <v>135761.79</v>
      </c>
      <c r="N677">
        <v>472161.28000000003</v>
      </c>
      <c r="O677" t="s">
        <v>53</v>
      </c>
      <c r="P677" t="s">
        <v>54</v>
      </c>
      <c r="Q677" t="s">
        <v>55</v>
      </c>
      <c r="T677" t="s">
        <v>183</v>
      </c>
      <c r="U677">
        <v>40</v>
      </c>
      <c r="V677" s="1">
        <v>35431</v>
      </c>
      <c r="W677" s="1">
        <v>35431</v>
      </c>
      <c r="X677" s="1">
        <v>35431</v>
      </c>
      <c r="Y677" s="1">
        <v>50041</v>
      </c>
      <c r="Z677" t="s">
        <v>51</v>
      </c>
      <c r="AB677" t="s">
        <v>54</v>
      </c>
      <c r="AC677">
        <v>1</v>
      </c>
      <c r="AE677" t="s">
        <v>116</v>
      </c>
      <c r="AF677">
        <v>20</v>
      </c>
      <c r="AG677" s="1">
        <v>35431</v>
      </c>
      <c r="AH677" s="1">
        <v>35431</v>
      </c>
      <c r="AI677" s="1">
        <v>35431</v>
      </c>
      <c r="AJ677" s="1">
        <v>42736</v>
      </c>
      <c r="AK677" t="s">
        <v>51</v>
      </c>
      <c r="AN677">
        <v>0</v>
      </c>
      <c r="AO677" t="s">
        <v>54</v>
      </c>
      <c r="AP677" t="s">
        <v>53</v>
      </c>
      <c r="AQ677">
        <v>0</v>
      </c>
      <c r="AR677" t="s">
        <v>53</v>
      </c>
      <c r="AS677">
        <v>0</v>
      </c>
      <c r="AT677">
        <v>0</v>
      </c>
      <c r="AW677" t="s">
        <v>58</v>
      </c>
      <c r="AX677">
        <v>20</v>
      </c>
      <c r="AY677" s="1">
        <v>35431</v>
      </c>
      <c r="AZ677" s="1">
        <v>35431</v>
      </c>
      <c r="BA677" s="1">
        <v>35431</v>
      </c>
      <c r="BB677" s="1">
        <v>42736</v>
      </c>
      <c r="BC677" t="s">
        <v>51</v>
      </c>
      <c r="BE677" t="s">
        <v>54</v>
      </c>
      <c r="BF677">
        <v>2</v>
      </c>
      <c r="BG677">
        <v>0</v>
      </c>
      <c r="BH677" t="s">
        <v>53</v>
      </c>
      <c r="BK677" t="s">
        <v>65</v>
      </c>
      <c r="BL677">
        <v>14000</v>
      </c>
      <c r="BM677" s="1">
        <v>42917</v>
      </c>
      <c r="BN677" s="1">
        <v>42917</v>
      </c>
      <c r="BO677" s="1">
        <v>42917</v>
      </c>
      <c r="BP677" s="1">
        <v>44117</v>
      </c>
      <c r="BQ677" t="s">
        <v>51</v>
      </c>
      <c r="BS677" t="s">
        <v>60</v>
      </c>
      <c r="BT677" t="s">
        <v>54</v>
      </c>
      <c r="BU677" t="s">
        <v>61</v>
      </c>
      <c r="BV677" t="s">
        <v>62</v>
      </c>
      <c r="BX677">
        <v>36</v>
      </c>
      <c r="BY677">
        <v>0</v>
      </c>
      <c r="BZ677">
        <v>0</v>
      </c>
    </row>
    <row r="678" spans="1:78" x14ac:dyDescent="0.2">
      <c r="A678" t="s">
        <v>180</v>
      </c>
      <c r="B678" t="s">
        <v>181</v>
      </c>
      <c r="C678" t="s">
        <v>184</v>
      </c>
      <c r="D678" t="s">
        <v>513</v>
      </c>
      <c r="F678" t="str">
        <f>"250321"</f>
        <v>250321</v>
      </c>
      <c r="G678" t="s">
        <v>49</v>
      </c>
      <c r="K678" t="s">
        <v>51</v>
      </c>
      <c r="L678" t="s">
        <v>52</v>
      </c>
      <c r="M678">
        <v>135783.57999999999</v>
      </c>
      <c r="N678">
        <v>472192.93</v>
      </c>
      <c r="O678" t="s">
        <v>53</v>
      </c>
      <c r="P678" t="s">
        <v>54</v>
      </c>
      <c r="Q678" t="s">
        <v>55</v>
      </c>
      <c r="T678" t="s">
        <v>183</v>
      </c>
      <c r="U678">
        <v>40</v>
      </c>
      <c r="V678" s="1">
        <v>35431</v>
      </c>
      <c r="W678" s="1">
        <v>35431</v>
      </c>
      <c r="X678" s="1">
        <v>35431</v>
      </c>
      <c r="Y678" s="1">
        <v>50041</v>
      </c>
      <c r="Z678" t="s">
        <v>51</v>
      </c>
      <c r="AB678" t="s">
        <v>54</v>
      </c>
      <c r="AC678">
        <v>1</v>
      </c>
      <c r="AE678" t="s">
        <v>116</v>
      </c>
      <c r="AF678">
        <v>20</v>
      </c>
      <c r="AG678" s="1">
        <v>35431</v>
      </c>
      <c r="AH678" s="1">
        <v>35431</v>
      </c>
      <c r="AI678" s="1">
        <v>35431</v>
      </c>
      <c r="AJ678" s="1">
        <v>42736</v>
      </c>
      <c r="AK678" t="s">
        <v>51</v>
      </c>
      <c r="AN678">
        <v>0</v>
      </c>
      <c r="AO678" t="s">
        <v>54</v>
      </c>
      <c r="AP678" t="s">
        <v>53</v>
      </c>
      <c r="AQ678">
        <v>0</v>
      </c>
      <c r="AR678" t="s">
        <v>53</v>
      </c>
      <c r="AS678">
        <v>0</v>
      </c>
      <c r="AT678">
        <v>0</v>
      </c>
      <c r="AW678" t="s">
        <v>58</v>
      </c>
      <c r="AX678">
        <v>20</v>
      </c>
      <c r="AY678" s="1">
        <v>35431</v>
      </c>
      <c r="AZ678" s="1">
        <v>35431</v>
      </c>
      <c r="BA678" s="1">
        <v>35431</v>
      </c>
      <c r="BB678" s="1">
        <v>42736</v>
      </c>
      <c r="BC678" t="s">
        <v>51</v>
      </c>
      <c r="BE678" t="s">
        <v>54</v>
      </c>
      <c r="BF678">
        <v>2</v>
      </c>
      <c r="BG678">
        <v>0</v>
      </c>
      <c r="BH678" t="s">
        <v>53</v>
      </c>
      <c r="BK678" t="s">
        <v>65</v>
      </c>
      <c r="BL678">
        <v>14000</v>
      </c>
      <c r="BM678" s="1">
        <v>42917</v>
      </c>
      <c r="BN678" s="1">
        <v>42917</v>
      </c>
      <c r="BO678" s="1">
        <v>42917</v>
      </c>
      <c r="BP678" s="1">
        <v>44117</v>
      </c>
      <c r="BQ678" t="s">
        <v>51</v>
      </c>
      <c r="BS678" t="s">
        <v>60</v>
      </c>
      <c r="BT678" t="s">
        <v>54</v>
      </c>
      <c r="BU678" t="s">
        <v>61</v>
      </c>
      <c r="BV678" t="s">
        <v>62</v>
      </c>
      <c r="BX678">
        <v>36</v>
      </c>
      <c r="BY678">
        <v>0</v>
      </c>
      <c r="BZ678">
        <v>0</v>
      </c>
    </row>
    <row r="679" spans="1:78" x14ac:dyDescent="0.2">
      <c r="A679" t="s">
        <v>180</v>
      </c>
      <c r="B679" t="s">
        <v>181</v>
      </c>
      <c r="C679" t="s">
        <v>184</v>
      </c>
      <c r="D679" t="s">
        <v>513</v>
      </c>
      <c r="F679" t="str">
        <f>"250322"</f>
        <v>250322</v>
      </c>
      <c r="G679" t="s">
        <v>49</v>
      </c>
      <c r="H679" t="s">
        <v>505</v>
      </c>
      <c r="K679" t="s">
        <v>51</v>
      </c>
      <c r="L679" t="s">
        <v>52</v>
      </c>
      <c r="M679">
        <v>135803.06</v>
      </c>
      <c r="N679">
        <v>472225.02</v>
      </c>
      <c r="O679" t="s">
        <v>53</v>
      </c>
      <c r="P679" t="s">
        <v>54</v>
      </c>
      <c r="Q679" t="s">
        <v>55</v>
      </c>
      <c r="T679" t="s">
        <v>183</v>
      </c>
      <c r="U679">
        <v>40</v>
      </c>
      <c r="V679" s="1">
        <v>35431</v>
      </c>
      <c r="W679" s="1">
        <v>35431</v>
      </c>
      <c r="X679" s="1">
        <v>35431</v>
      </c>
      <c r="Y679" s="1">
        <v>50041</v>
      </c>
      <c r="Z679" t="s">
        <v>51</v>
      </c>
      <c r="AB679" t="s">
        <v>54</v>
      </c>
      <c r="AC679">
        <v>1</v>
      </c>
      <c r="AE679" t="s">
        <v>116</v>
      </c>
      <c r="AF679">
        <v>20</v>
      </c>
      <c r="AG679" s="1">
        <v>35431</v>
      </c>
      <c r="AH679" s="1">
        <v>35431</v>
      </c>
      <c r="AI679" s="1">
        <v>35431</v>
      </c>
      <c r="AJ679" s="1">
        <v>42736</v>
      </c>
      <c r="AK679" t="s">
        <v>51</v>
      </c>
      <c r="AN679">
        <v>0</v>
      </c>
      <c r="AO679" t="s">
        <v>54</v>
      </c>
      <c r="AP679" t="s">
        <v>53</v>
      </c>
      <c r="AQ679">
        <v>0</v>
      </c>
      <c r="AR679" t="s">
        <v>53</v>
      </c>
      <c r="AS679">
        <v>0</v>
      </c>
      <c r="AT679">
        <v>0</v>
      </c>
      <c r="AW679" t="s">
        <v>58</v>
      </c>
      <c r="AX679">
        <v>20</v>
      </c>
      <c r="AY679" s="1">
        <v>44228</v>
      </c>
      <c r="AZ679" s="1">
        <v>44228</v>
      </c>
      <c r="BA679" s="1">
        <v>44228</v>
      </c>
      <c r="BB679" s="1">
        <v>51533</v>
      </c>
      <c r="BC679" t="s">
        <v>51</v>
      </c>
      <c r="BE679" t="s">
        <v>54</v>
      </c>
      <c r="BF679">
        <v>2</v>
      </c>
      <c r="BG679">
        <v>0</v>
      </c>
      <c r="BH679" t="s">
        <v>53</v>
      </c>
      <c r="BK679" t="s">
        <v>65</v>
      </c>
      <c r="BL679">
        <v>14000</v>
      </c>
      <c r="BM679" s="1">
        <v>44228</v>
      </c>
      <c r="BN679" s="1">
        <v>44228</v>
      </c>
      <c r="BO679" s="1">
        <v>44228</v>
      </c>
      <c r="BP679" s="1">
        <v>45408</v>
      </c>
      <c r="BQ679" t="s">
        <v>51</v>
      </c>
      <c r="BS679" t="s">
        <v>60</v>
      </c>
      <c r="BT679" t="s">
        <v>54</v>
      </c>
      <c r="BU679" t="s">
        <v>61</v>
      </c>
      <c r="BV679" t="s">
        <v>62</v>
      </c>
      <c r="BX679">
        <v>36</v>
      </c>
      <c r="BY679">
        <v>0</v>
      </c>
      <c r="BZ679">
        <v>0</v>
      </c>
    </row>
    <row r="680" spans="1:78" x14ac:dyDescent="0.2">
      <c r="A680" t="s">
        <v>180</v>
      </c>
      <c r="B680" t="s">
        <v>181</v>
      </c>
      <c r="C680" t="s">
        <v>184</v>
      </c>
      <c r="D680" t="s">
        <v>513</v>
      </c>
      <c r="F680" t="str">
        <f>"250323"</f>
        <v>250323</v>
      </c>
      <c r="G680" t="s">
        <v>49</v>
      </c>
      <c r="H680" t="s">
        <v>505</v>
      </c>
      <c r="K680" t="s">
        <v>51</v>
      </c>
      <c r="L680" t="s">
        <v>52</v>
      </c>
      <c r="M680">
        <v>135819.03</v>
      </c>
      <c r="N680">
        <v>472255.43</v>
      </c>
      <c r="O680" t="s">
        <v>53</v>
      </c>
      <c r="P680" t="s">
        <v>54</v>
      </c>
      <c r="Q680" t="s">
        <v>55</v>
      </c>
      <c r="T680" t="s">
        <v>183</v>
      </c>
      <c r="U680">
        <v>40</v>
      </c>
      <c r="V680" s="1">
        <v>35431</v>
      </c>
      <c r="W680" s="1">
        <v>35431</v>
      </c>
      <c r="X680" s="1">
        <v>35431</v>
      </c>
      <c r="Y680" s="1">
        <v>50041</v>
      </c>
      <c r="Z680" t="s">
        <v>51</v>
      </c>
      <c r="AB680" t="s">
        <v>54</v>
      </c>
      <c r="AC680">
        <v>1</v>
      </c>
      <c r="AE680" t="s">
        <v>116</v>
      </c>
      <c r="AF680">
        <v>20</v>
      </c>
      <c r="AG680" s="1">
        <v>35431</v>
      </c>
      <c r="AH680" s="1">
        <v>35431</v>
      </c>
      <c r="AI680" s="1">
        <v>35431</v>
      </c>
      <c r="AJ680" s="1">
        <v>42736</v>
      </c>
      <c r="AK680" t="s">
        <v>51</v>
      </c>
      <c r="AN680">
        <v>0</v>
      </c>
      <c r="AO680" t="s">
        <v>54</v>
      </c>
      <c r="AP680" t="s">
        <v>53</v>
      </c>
      <c r="AQ680">
        <v>0</v>
      </c>
      <c r="AR680" t="s">
        <v>53</v>
      </c>
      <c r="AS680">
        <v>0</v>
      </c>
      <c r="AT680">
        <v>0</v>
      </c>
      <c r="AW680" t="s">
        <v>58</v>
      </c>
      <c r="AX680">
        <v>20</v>
      </c>
      <c r="AY680" s="1">
        <v>35431</v>
      </c>
      <c r="AZ680" s="1">
        <v>35431</v>
      </c>
      <c r="BA680" s="1">
        <v>35431</v>
      </c>
      <c r="BB680" s="1">
        <v>42736</v>
      </c>
      <c r="BC680" t="s">
        <v>51</v>
      </c>
      <c r="BE680" t="s">
        <v>54</v>
      </c>
      <c r="BF680">
        <v>2</v>
      </c>
      <c r="BG680">
        <v>0</v>
      </c>
      <c r="BH680" t="s">
        <v>53</v>
      </c>
      <c r="BK680" t="s">
        <v>65</v>
      </c>
      <c r="BL680">
        <v>14000</v>
      </c>
      <c r="BM680" s="1">
        <v>42917</v>
      </c>
      <c r="BN680" s="1">
        <v>42917</v>
      </c>
      <c r="BO680" s="1">
        <v>42917</v>
      </c>
      <c r="BP680" s="1">
        <v>44117</v>
      </c>
      <c r="BQ680" t="s">
        <v>51</v>
      </c>
      <c r="BS680" t="s">
        <v>60</v>
      </c>
      <c r="BT680" t="s">
        <v>54</v>
      </c>
      <c r="BU680" t="s">
        <v>61</v>
      </c>
      <c r="BV680" t="s">
        <v>62</v>
      </c>
      <c r="BX680">
        <v>36</v>
      </c>
      <c r="BY680">
        <v>0</v>
      </c>
      <c r="BZ680">
        <v>0</v>
      </c>
    </row>
    <row r="681" spans="1:78" x14ac:dyDescent="0.2">
      <c r="A681" t="s">
        <v>180</v>
      </c>
      <c r="B681" t="s">
        <v>181</v>
      </c>
      <c r="C681" t="s">
        <v>184</v>
      </c>
      <c r="D681" t="s">
        <v>513</v>
      </c>
      <c r="F681" t="str">
        <f>"250324"</f>
        <v>250324</v>
      </c>
      <c r="G681" t="s">
        <v>49</v>
      </c>
      <c r="H681" t="s">
        <v>541</v>
      </c>
      <c r="K681" t="s">
        <v>51</v>
      </c>
      <c r="L681" t="s">
        <v>52</v>
      </c>
      <c r="M681">
        <v>135833.5</v>
      </c>
      <c r="N681">
        <v>472283.39</v>
      </c>
      <c r="O681" t="s">
        <v>53</v>
      </c>
      <c r="P681" t="s">
        <v>54</v>
      </c>
      <c r="Q681" t="s">
        <v>55</v>
      </c>
      <c r="T681" t="s">
        <v>183</v>
      </c>
      <c r="U681">
        <v>40</v>
      </c>
      <c r="V681" s="1">
        <v>35431</v>
      </c>
      <c r="W681" s="1">
        <v>35431</v>
      </c>
      <c r="X681" s="1">
        <v>35431</v>
      </c>
      <c r="Y681" s="1">
        <v>50041</v>
      </c>
      <c r="Z681" t="s">
        <v>51</v>
      </c>
      <c r="AB681" t="s">
        <v>54</v>
      </c>
      <c r="AC681">
        <v>1</v>
      </c>
      <c r="AE681" t="s">
        <v>116</v>
      </c>
      <c r="AF681">
        <v>20</v>
      </c>
      <c r="AG681" s="1">
        <v>35431</v>
      </c>
      <c r="AH681" s="1">
        <v>35431</v>
      </c>
      <c r="AI681" s="1">
        <v>35431</v>
      </c>
      <c r="AJ681" s="1">
        <v>42736</v>
      </c>
      <c r="AK681" t="s">
        <v>51</v>
      </c>
      <c r="AN681">
        <v>0</v>
      </c>
      <c r="AO681" t="s">
        <v>54</v>
      </c>
      <c r="AP681" t="s">
        <v>53</v>
      </c>
      <c r="AQ681">
        <v>0</v>
      </c>
      <c r="AR681" t="s">
        <v>53</v>
      </c>
      <c r="AS681">
        <v>0</v>
      </c>
      <c r="AT681">
        <v>0</v>
      </c>
      <c r="AW681" t="s">
        <v>58</v>
      </c>
      <c r="AX681">
        <v>20</v>
      </c>
      <c r="AY681" s="1">
        <v>35431</v>
      </c>
      <c r="AZ681" s="1">
        <v>35431</v>
      </c>
      <c r="BA681" s="1">
        <v>35431</v>
      </c>
      <c r="BB681" s="1">
        <v>42736</v>
      </c>
      <c r="BC681" t="s">
        <v>51</v>
      </c>
      <c r="BE681" t="s">
        <v>54</v>
      </c>
      <c r="BF681">
        <v>2</v>
      </c>
      <c r="BG681">
        <v>0</v>
      </c>
      <c r="BH681" t="s">
        <v>53</v>
      </c>
      <c r="BK681" t="s">
        <v>65</v>
      </c>
      <c r="BL681">
        <v>14000</v>
      </c>
      <c r="BM681" s="1">
        <v>42917</v>
      </c>
      <c r="BN681" s="1">
        <v>42917</v>
      </c>
      <c r="BO681" s="1">
        <v>42917</v>
      </c>
      <c r="BP681" s="1">
        <v>44117</v>
      </c>
      <c r="BQ681" t="s">
        <v>51</v>
      </c>
      <c r="BS681" t="s">
        <v>60</v>
      </c>
      <c r="BT681" t="s">
        <v>54</v>
      </c>
      <c r="BU681" t="s">
        <v>61</v>
      </c>
      <c r="BV681" t="s">
        <v>62</v>
      </c>
      <c r="BX681">
        <v>36</v>
      </c>
      <c r="BY681">
        <v>0</v>
      </c>
      <c r="BZ681">
        <v>0</v>
      </c>
    </row>
    <row r="682" spans="1:78" x14ac:dyDescent="0.2">
      <c r="A682" t="s">
        <v>180</v>
      </c>
      <c r="B682" t="s">
        <v>181</v>
      </c>
      <c r="C682" t="s">
        <v>184</v>
      </c>
      <c r="D682" t="s">
        <v>513</v>
      </c>
      <c r="F682" t="str">
        <f>"250325"</f>
        <v>250325</v>
      </c>
      <c r="G682" t="s">
        <v>49</v>
      </c>
      <c r="H682" t="s">
        <v>542</v>
      </c>
      <c r="K682" t="s">
        <v>51</v>
      </c>
      <c r="L682" t="s">
        <v>52</v>
      </c>
      <c r="M682">
        <v>135847.56</v>
      </c>
      <c r="N682">
        <v>472315.15</v>
      </c>
      <c r="O682" t="s">
        <v>53</v>
      </c>
      <c r="P682" t="s">
        <v>54</v>
      </c>
      <c r="Q682" t="s">
        <v>55</v>
      </c>
      <c r="T682" t="s">
        <v>183</v>
      </c>
      <c r="U682">
        <v>40</v>
      </c>
      <c r="V682" s="1">
        <v>35431</v>
      </c>
      <c r="W682" s="1">
        <v>35431</v>
      </c>
      <c r="X682" s="1">
        <v>35431</v>
      </c>
      <c r="Y682" s="1">
        <v>50041</v>
      </c>
      <c r="Z682" t="s">
        <v>51</v>
      </c>
      <c r="AB682" t="s">
        <v>54</v>
      </c>
      <c r="AC682">
        <v>1</v>
      </c>
      <c r="AE682" t="s">
        <v>116</v>
      </c>
      <c r="AF682">
        <v>20</v>
      </c>
      <c r="AG682" s="1">
        <v>35431</v>
      </c>
      <c r="AH682" s="1">
        <v>35431</v>
      </c>
      <c r="AI682" s="1">
        <v>35431</v>
      </c>
      <c r="AJ682" s="1">
        <v>42736</v>
      </c>
      <c r="AK682" t="s">
        <v>51</v>
      </c>
      <c r="AN682">
        <v>0</v>
      </c>
      <c r="AO682" t="s">
        <v>54</v>
      </c>
      <c r="AP682" t="s">
        <v>53</v>
      </c>
      <c r="AQ682">
        <v>0</v>
      </c>
      <c r="AR682" t="s">
        <v>53</v>
      </c>
      <c r="AS682">
        <v>0</v>
      </c>
      <c r="AT682">
        <v>0</v>
      </c>
      <c r="AW682" t="s">
        <v>58</v>
      </c>
      <c r="AX682">
        <v>20</v>
      </c>
      <c r="AY682" s="1">
        <v>35431</v>
      </c>
      <c r="AZ682" s="1">
        <v>35431</v>
      </c>
      <c r="BA682" s="1">
        <v>35431</v>
      </c>
      <c r="BB682" s="1">
        <v>42736</v>
      </c>
      <c r="BC682" t="s">
        <v>51</v>
      </c>
      <c r="BE682" t="s">
        <v>54</v>
      </c>
      <c r="BF682">
        <v>2</v>
      </c>
      <c r="BG682">
        <v>0</v>
      </c>
      <c r="BH682" t="s">
        <v>53</v>
      </c>
      <c r="BK682" t="s">
        <v>65</v>
      </c>
      <c r="BL682">
        <v>14000</v>
      </c>
      <c r="BM682" s="1">
        <v>42917</v>
      </c>
      <c r="BN682" s="1">
        <v>42917</v>
      </c>
      <c r="BO682" s="1">
        <v>42917</v>
      </c>
      <c r="BP682" s="1">
        <v>44117</v>
      </c>
      <c r="BQ682" t="s">
        <v>51</v>
      </c>
      <c r="BS682" t="s">
        <v>60</v>
      </c>
      <c r="BT682" t="s">
        <v>54</v>
      </c>
      <c r="BU682" t="s">
        <v>61</v>
      </c>
      <c r="BV682" t="s">
        <v>62</v>
      </c>
      <c r="BX682">
        <v>36</v>
      </c>
      <c r="BY682">
        <v>0</v>
      </c>
      <c r="BZ682">
        <v>0</v>
      </c>
    </row>
    <row r="683" spans="1:78" x14ac:dyDescent="0.2">
      <c r="A683" t="s">
        <v>180</v>
      </c>
      <c r="B683" t="s">
        <v>181</v>
      </c>
      <c r="C683" t="s">
        <v>184</v>
      </c>
      <c r="D683" t="s">
        <v>513</v>
      </c>
      <c r="F683" t="str">
        <f>"250326"</f>
        <v>250326</v>
      </c>
      <c r="G683" t="s">
        <v>49</v>
      </c>
      <c r="H683" t="s">
        <v>543</v>
      </c>
      <c r="K683" t="s">
        <v>51</v>
      </c>
      <c r="L683" t="s">
        <v>52</v>
      </c>
      <c r="M683">
        <v>135862.82999999999</v>
      </c>
      <c r="N683">
        <v>472348.13</v>
      </c>
      <c r="O683" t="s">
        <v>53</v>
      </c>
      <c r="P683" t="s">
        <v>54</v>
      </c>
      <c r="Q683" t="s">
        <v>55</v>
      </c>
      <c r="T683" t="s">
        <v>183</v>
      </c>
      <c r="U683">
        <v>40</v>
      </c>
      <c r="V683" s="1">
        <v>35431</v>
      </c>
      <c r="W683" s="1">
        <v>35431</v>
      </c>
      <c r="X683" s="1">
        <v>35431</v>
      </c>
      <c r="Y683" s="1">
        <v>50041</v>
      </c>
      <c r="Z683" t="s">
        <v>51</v>
      </c>
      <c r="AB683" t="s">
        <v>54</v>
      </c>
      <c r="AC683">
        <v>1</v>
      </c>
      <c r="AE683" t="s">
        <v>116</v>
      </c>
      <c r="AF683">
        <v>20</v>
      </c>
      <c r="AG683" s="1">
        <v>35431</v>
      </c>
      <c r="AH683" s="1">
        <v>35431</v>
      </c>
      <c r="AI683" s="1">
        <v>35431</v>
      </c>
      <c r="AJ683" s="1">
        <v>42736</v>
      </c>
      <c r="AK683" t="s">
        <v>51</v>
      </c>
      <c r="AN683">
        <v>0</v>
      </c>
      <c r="AO683" t="s">
        <v>54</v>
      </c>
      <c r="AP683" t="s">
        <v>53</v>
      </c>
      <c r="AQ683">
        <v>0</v>
      </c>
      <c r="AR683" t="s">
        <v>53</v>
      </c>
      <c r="AS683">
        <v>0</v>
      </c>
      <c r="AT683">
        <v>0</v>
      </c>
      <c r="AW683" t="s">
        <v>58</v>
      </c>
      <c r="AX683">
        <v>20</v>
      </c>
      <c r="AY683" s="1">
        <v>35431</v>
      </c>
      <c r="AZ683" s="1">
        <v>35431</v>
      </c>
      <c r="BA683" s="1">
        <v>35431</v>
      </c>
      <c r="BB683" s="1">
        <v>42736</v>
      </c>
      <c r="BC683" t="s">
        <v>51</v>
      </c>
      <c r="BE683" t="s">
        <v>54</v>
      </c>
      <c r="BF683">
        <v>2</v>
      </c>
      <c r="BG683">
        <v>0</v>
      </c>
      <c r="BH683" t="s">
        <v>53</v>
      </c>
      <c r="BK683" t="s">
        <v>65</v>
      </c>
      <c r="BL683">
        <v>14000</v>
      </c>
      <c r="BM683" s="1">
        <v>42917</v>
      </c>
      <c r="BN683" s="1">
        <v>42917</v>
      </c>
      <c r="BO683" s="1">
        <v>42917</v>
      </c>
      <c r="BP683" s="1">
        <v>44117</v>
      </c>
      <c r="BQ683" t="s">
        <v>51</v>
      </c>
      <c r="BS683" t="s">
        <v>60</v>
      </c>
      <c r="BT683" t="s">
        <v>54</v>
      </c>
      <c r="BU683" t="s">
        <v>61</v>
      </c>
      <c r="BV683" t="s">
        <v>62</v>
      </c>
      <c r="BX683">
        <v>36</v>
      </c>
      <c r="BY683">
        <v>0</v>
      </c>
      <c r="BZ683">
        <v>0</v>
      </c>
    </row>
    <row r="684" spans="1:78" x14ac:dyDescent="0.2">
      <c r="A684" t="s">
        <v>180</v>
      </c>
      <c r="B684" t="s">
        <v>181</v>
      </c>
      <c r="C684" t="s">
        <v>184</v>
      </c>
      <c r="D684" t="s">
        <v>513</v>
      </c>
      <c r="F684" t="str">
        <f>"250327"</f>
        <v>250327</v>
      </c>
      <c r="G684" t="s">
        <v>49</v>
      </c>
      <c r="H684" t="s">
        <v>260</v>
      </c>
      <c r="K684" t="s">
        <v>51</v>
      </c>
      <c r="L684" t="s">
        <v>52</v>
      </c>
      <c r="M684">
        <v>135880.85999999999</v>
      </c>
      <c r="N684">
        <v>472383.45</v>
      </c>
      <c r="O684" t="s">
        <v>53</v>
      </c>
      <c r="P684" t="s">
        <v>54</v>
      </c>
      <c r="Q684" t="s">
        <v>55</v>
      </c>
      <c r="T684" t="s">
        <v>183</v>
      </c>
      <c r="U684">
        <v>40</v>
      </c>
      <c r="V684" s="1">
        <v>35431</v>
      </c>
      <c r="W684" s="1">
        <v>35431</v>
      </c>
      <c r="X684" s="1">
        <v>35431</v>
      </c>
      <c r="Y684" s="1">
        <v>50041</v>
      </c>
      <c r="Z684" t="s">
        <v>51</v>
      </c>
      <c r="AB684" t="s">
        <v>54</v>
      </c>
      <c r="AC684">
        <v>1</v>
      </c>
      <c r="AE684" t="s">
        <v>84</v>
      </c>
      <c r="AF684">
        <v>20</v>
      </c>
      <c r="AG684" s="1">
        <v>35431</v>
      </c>
      <c r="AH684" s="1">
        <v>35431</v>
      </c>
      <c r="AI684" s="1">
        <v>35431</v>
      </c>
      <c r="AJ684" s="1">
        <v>42736</v>
      </c>
      <c r="AK684" t="s">
        <v>51</v>
      </c>
      <c r="AN684">
        <v>0</v>
      </c>
      <c r="AO684" t="s">
        <v>54</v>
      </c>
      <c r="AP684" t="s">
        <v>53</v>
      </c>
      <c r="AQ684">
        <v>0</v>
      </c>
      <c r="AR684" t="s">
        <v>53</v>
      </c>
      <c r="AS684">
        <v>0</v>
      </c>
      <c r="AT684">
        <v>0</v>
      </c>
      <c r="AW684" t="s">
        <v>58</v>
      </c>
      <c r="AX684">
        <v>20</v>
      </c>
      <c r="AY684" s="1">
        <v>35431</v>
      </c>
      <c r="AZ684" s="1">
        <v>35431</v>
      </c>
      <c r="BA684" s="1">
        <v>35431</v>
      </c>
      <c r="BB684" s="1">
        <v>42736</v>
      </c>
      <c r="BC684" t="s">
        <v>51</v>
      </c>
      <c r="BE684" t="s">
        <v>54</v>
      </c>
      <c r="BF684">
        <v>2</v>
      </c>
      <c r="BG684">
        <v>0</v>
      </c>
      <c r="BH684" t="s">
        <v>53</v>
      </c>
      <c r="BK684" t="s">
        <v>59</v>
      </c>
      <c r="BL684">
        <v>14000</v>
      </c>
      <c r="BM684" s="1">
        <v>42917</v>
      </c>
      <c r="BN684" s="1">
        <v>42917</v>
      </c>
      <c r="BO684" s="1">
        <v>42917</v>
      </c>
      <c r="BP684" s="1">
        <v>44117</v>
      </c>
      <c r="BQ684" t="s">
        <v>51</v>
      </c>
      <c r="BS684" t="s">
        <v>60</v>
      </c>
      <c r="BT684" t="s">
        <v>54</v>
      </c>
      <c r="BU684" t="s">
        <v>61</v>
      </c>
      <c r="BV684" t="s">
        <v>62</v>
      </c>
      <c r="BX684">
        <v>24</v>
      </c>
      <c r="BY684">
        <v>0</v>
      </c>
      <c r="BZ684">
        <v>0</v>
      </c>
    </row>
    <row r="685" spans="1:78" x14ac:dyDescent="0.2">
      <c r="A685" t="s">
        <v>180</v>
      </c>
      <c r="B685" t="s">
        <v>181</v>
      </c>
      <c r="C685" t="s">
        <v>184</v>
      </c>
      <c r="D685" t="s">
        <v>513</v>
      </c>
      <c r="F685" t="str">
        <f>"250328"</f>
        <v>250328</v>
      </c>
      <c r="G685" t="s">
        <v>49</v>
      </c>
      <c r="H685" t="s">
        <v>143</v>
      </c>
      <c r="K685" t="s">
        <v>51</v>
      </c>
      <c r="L685" t="s">
        <v>52</v>
      </c>
      <c r="M685">
        <v>135896.79999999999</v>
      </c>
      <c r="N685">
        <v>472414.64</v>
      </c>
      <c r="O685" t="s">
        <v>53</v>
      </c>
      <c r="P685" t="s">
        <v>54</v>
      </c>
      <c r="Q685" t="s">
        <v>55</v>
      </c>
      <c r="T685" t="s">
        <v>183</v>
      </c>
      <c r="U685">
        <v>40</v>
      </c>
      <c r="V685" s="1">
        <v>35431</v>
      </c>
      <c r="W685" s="1">
        <v>35431</v>
      </c>
      <c r="X685" s="1">
        <v>35431</v>
      </c>
      <c r="Y685" s="1">
        <v>50041</v>
      </c>
      <c r="Z685" t="s">
        <v>51</v>
      </c>
      <c r="AB685" t="s">
        <v>54</v>
      </c>
      <c r="AC685">
        <v>1</v>
      </c>
      <c r="AE685" t="s">
        <v>116</v>
      </c>
      <c r="AF685">
        <v>20</v>
      </c>
      <c r="AG685" s="1">
        <v>35431</v>
      </c>
      <c r="AH685" s="1">
        <v>35431</v>
      </c>
      <c r="AI685" s="1">
        <v>35431</v>
      </c>
      <c r="AJ685" s="1">
        <v>42736</v>
      </c>
      <c r="AK685" t="s">
        <v>51</v>
      </c>
      <c r="AN685">
        <v>0</v>
      </c>
      <c r="AO685" t="s">
        <v>54</v>
      </c>
      <c r="AP685" t="s">
        <v>53</v>
      </c>
      <c r="AQ685">
        <v>0</v>
      </c>
      <c r="AR685" t="s">
        <v>53</v>
      </c>
      <c r="AS685">
        <v>0</v>
      </c>
      <c r="AT685">
        <v>0</v>
      </c>
      <c r="AW685" t="s">
        <v>58</v>
      </c>
      <c r="AX685">
        <v>20</v>
      </c>
      <c r="AY685" s="1">
        <v>35431</v>
      </c>
      <c r="AZ685" s="1">
        <v>35431</v>
      </c>
      <c r="BA685" s="1">
        <v>35431</v>
      </c>
      <c r="BB685" s="1">
        <v>42736</v>
      </c>
      <c r="BC685" t="s">
        <v>51</v>
      </c>
      <c r="BE685" t="s">
        <v>54</v>
      </c>
      <c r="BF685">
        <v>2</v>
      </c>
      <c r="BG685">
        <v>0</v>
      </c>
      <c r="BH685" t="s">
        <v>53</v>
      </c>
      <c r="BK685" t="s">
        <v>65</v>
      </c>
      <c r="BL685">
        <v>14000</v>
      </c>
      <c r="BM685" s="1">
        <v>42917</v>
      </c>
      <c r="BN685" s="1">
        <v>42917</v>
      </c>
      <c r="BO685" s="1">
        <v>42917</v>
      </c>
      <c r="BP685" s="1">
        <v>44117</v>
      </c>
      <c r="BQ685" t="s">
        <v>51</v>
      </c>
      <c r="BS685" t="s">
        <v>60</v>
      </c>
      <c r="BT685" t="s">
        <v>54</v>
      </c>
      <c r="BU685" t="s">
        <v>61</v>
      </c>
      <c r="BV685" t="s">
        <v>62</v>
      </c>
      <c r="BX685">
        <v>36</v>
      </c>
      <c r="BY685">
        <v>0</v>
      </c>
      <c r="BZ685">
        <v>0</v>
      </c>
    </row>
    <row r="686" spans="1:78" x14ac:dyDescent="0.2">
      <c r="A686" t="s">
        <v>180</v>
      </c>
      <c r="B686" t="s">
        <v>181</v>
      </c>
      <c r="C686" t="s">
        <v>184</v>
      </c>
      <c r="D686" t="s">
        <v>513</v>
      </c>
      <c r="F686" t="str">
        <f>"250329"</f>
        <v>250329</v>
      </c>
      <c r="G686" t="s">
        <v>49</v>
      </c>
      <c r="H686" t="s">
        <v>143</v>
      </c>
      <c r="K686" t="s">
        <v>51</v>
      </c>
      <c r="L686" t="s">
        <v>52</v>
      </c>
      <c r="M686">
        <v>135910.26</v>
      </c>
      <c r="N686">
        <v>472441.39</v>
      </c>
      <c r="O686" t="s">
        <v>53</v>
      </c>
      <c r="P686" t="s">
        <v>54</v>
      </c>
      <c r="Q686" t="s">
        <v>55</v>
      </c>
      <c r="T686" t="s">
        <v>183</v>
      </c>
      <c r="U686">
        <v>40</v>
      </c>
      <c r="V686" s="1">
        <v>35431</v>
      </c>
      <c r="W686" s="1">
        <v>35431</v>
      </c>
      <c r="X686" s="1">
        <v>35431</v>
      </c>
      <c r="Y686" s="1">
        <v>50041</v>
      </c>
      <c r="Z686" t="s">
        <v>51</v>
      </c>
      <c r="AB686" t="s">
        <v>54</v>
      </c>
      <c r="AC686">
        <v>1</v>
      </c>
      <c r="AE686" t="s">
        <v>116</v>
      </c>
      <c r="AF686">
        <v>20</v>
      </c>
      <c r="AG686" s="1">
        <v>35431</v>
      </c>
      <c r="AH686" s="1">
        <v>35431</v>
      </c>
      <c r="AI686" s="1">
        <v>35431</v>
      </c>
      <c r="AJ686" s="1">
        <v>42736</v>
      </c>
      <c r="AK686" t="s">
        <v>51</v>
      </c>
      <c r="AN686">
        <v>0</v>
      </c>
      <c r="AO686" t="s">
        <v>54</v>
      </c>
      <c r="AP686" t="s">
        <v>53</v>
      </c>
      <c r="AQ686">
        <v>0</v>
      </c>
      <c r="AR686" t="s">
        <v>53</v>
      </c>
      <c r="AS686">
        <v>0</v>
      </c>
      <c r="AT686">
        <v>0</v>
      </c>
      <c r="AW686" t="s">
        <v>58</v>
      </c>
      <c r="AX686">
        <v>20</v>
      </c>
      <c r="AY686" s="1">
        <v>35431</v>
      </c>
      <c r="AZ686" s="1">
        <v>35431</v>
      </c>
      <c r="BA686" s="1">
        <v>35431</v>
      </c>
      <c r="BB686" s="1">
        <v>42736</v>
      </c>
      <c r="BC686" t="s">
        <v>51</v>
      </c>
      <c r="BE686" t="s">
        <v>54</v>
      </c>
      <c r="BF686">
        <v>2</v>
      </c>
      <c r="BG686">
        <v>0</v>
      </c>
      <c r="BH686" t="s">
        <v>53</v>
      </c>
      <c r="BK686" t="s">
        <v>65</v>
      </c>
      <c r="BL686">
        <v>14000</v>
      </c>
      <c r="BM686" s="1">
        <v>42917</v>
      </c>
      <c r="BN686" s="1">
        <v>42917</v>
      </c>
      <c r="BO686" s="1">
        <v>42917</v>
      </c>
      <c r="BP686" s="1">
        <v>44117</v>
      </c>
      <c r="BQ686" t="s">
        <v>51</v>
      </c>
      <c r="BS686" t="s">
        <v>60</v>
      </c>
      <c r="BT686" t="s">
        <v>54</v>
      </c>
      <c r="BU686" t="s">
        <v>61</v>
      </c>
      <c r="BV686" t="s">
        <v>62</v>
      </c>
      <c r="BX686">
        <v>36</v>
      </c>
      <c r="BY686">
        <v>0</v>
      </c>
      <c r="BZ686">
        <v>0</v>
      </c>
    </row>
    <row r="687" spans="1:78" x14ac:dyDescent="0.2">
      <c r="A687" t="s">
        <v>180</v>
      </c>
      <c r="B687" t="s">
        <v>181</v>
      </c>
      <c r="C687" t="s">
        <v>184</v>
      </c>
      <c r="D687" t="s">
        <v>513</v>
      </c>
      <c r="F687" t="str">
        <f>"250330"</f>
        <v>250330</v>
      </c>
      <c r="G687" t="s">
        <v>49</v>
      </c>
      <c r="H687" t="s">
        <v>97</v>
      </c>
      <c r="K687" t="s">
        <v>51</v>
      </c>
      <c r="L687" t="s">
        <v>52</v>
      </c>
      <c r="M687">
        <v>135928.07999999999</v>
      </c>
      <c r="N687">
        <v>472478.47</v>
      </c>
      <c r="O687" t="s">
        <v>53</v>
      </c>
      <c r="P687" t="s">
        <v>54</v>
      </c>
      <c r="Q687" t="s">
        <v>55</v>
      </c>
      <c r="T687" t="s">
        <v>183</v>
      </c>
      <c r="U687">
        <v>40</v>
      </c>
      <c r="V687" s="1">
        <v>35431</v>
      </c>
      <c r="W687" s="1">
        <v>35431</v>
      </c>
      <c r="X687" s="1">
        <v>35431</v>
      </c>
      <c r="Y687" s="1">
        <v>50041</v>
      </c>
      <c r="Z687" t="s">
        <v>51</v>
      </c>
      <c r="AB687" t="s">
        <v>54</v>
      </c>
      <c r="AC687">
        <v>1</v>
      </c>
      <c r="AE687" t="s">
        <v>116</v>
      </c>
      <c r="AF687">
        <v>20</v>
      </c>
      <c r="AG687" s="1">
        <v>35431</v>
      </c>
      <c r="AH687" s="1">
        <v>35431</v>
      </c>
      <c r="AI687" s="1">
        <v>35431</v>
      </c>
      <c r="AJ687" s="1">
        <v>42736</v>
      </c>
      <c r="AK687" t="s">
        <v>51</v>
      </c>
      <c r="AN687">
        <v>0</v>
      </c>
      <c r="AO687" t="s">
        <v>54</v>
      </c>
      <c r="AP687" t="s">
        <v>53</v>
      </c>
      <c r="AQ687">
        <v>0</v>
      </c>
      <c r="AR687" t="s">
        <v>53</v>
      </c>
      <c r="AS687">
        <v>0</v>
      </c>
      <c r="AT687">
        <v>0</v>
      </c>
      <c r="AW687" t="s">
        <v>58</v>
      </c>
      <c r="AX687">
        <v>20</v>
      </c>
      <c r="AY687" s="1">
        <v>35431</v>
      </c>
      <c r="AZ687" s="1">
        <v>35431</v>
      </c>
      <c r="BA687" s="1">
        <v>35431</v>
      </c>
      <c r="BB687" s="1">
        <v>42736</v>
      </c>
      <c r="BC687" t="s">
        <v>51</v>
      </c>
      <c r="BE687" t="s">
        <v>54</v>
      </c>
      <c r="BF687">
        <v>2</v>
      </c>
      <c r="BG687">
        <v>0</v>
      </c>
      <c r="BH687" t="s">
        <v>53</v>
      </c>
      <c r="BK687" t="s">
        <v>65</v>
      </c>
      <c r="BL687">
        <v>14000</v>
      </c>
      <c r="BM687" s="1">
        <v>42917</v>
      </c>
      <c r="BN687" s="1">
        <v>42917</v>
      </c>
      <c r="BO687" s="1">
        <v>42917</v>
      </c>
      <c r="BP687" s="1">
        <v>44117</v>
      </c>
      <c r="BQ687" t="s">
        <v>51</v>
      </c>
      <c r="BS687" t="s">
        <v>60</v>
      </c>
      <c r="BT687" t="s">
        <v>54</v>
      </c>
      <c r="BU687" t="s">
        <v>61</v>
      </c>
      <c r="BV687" t="s">
        <v>62</v>
      </c>
      <c r="BX687">
        <v>36</v>
      </c>
      <c r="BY687">
        <v>0</v>
      </c>
      <c r="BZ687">
        <v>0</v>
      </c>
    </row>
    <row r="688" spans="1:78" x14ac:dyDescent="0.2">
      <c r="A688" t="s">
        <v>180</v>
      </c>
      <c r="B688" t="s">
        <v>181</v>
      </c>
      <c r="C688" t="s">
        <v>184</v>
      </c>
      <c r="D688" t="s">
        <v>513</v>
      </c>
      <c r="F688" t="str">
        <f>"250331"</f>
        <v>250331</v>
      </c>
      <c r="G688" t="s">
        <v>49</v>
      </c>
      <c r="K688" t="s">
        <v>51</v>
      </c>
      <c r="L688" t="s">
        <v>52</v>
      </c>
      <c r="M688">
        <v>135940.96</v>
      </c>
      <c r="N688">
        <v>472503.53</v>
      </c>
      <c r="O688" t="s">
        <v>53</v>
      </c>
      <c r="P688" t="s">
        <v>54</v>
      </c>
      <c r="Q688" t="s">
        <v>55</v>
      </c>
      <c r="T688" t="s">
        <v>183</v>
      </c>
      <c r="U688">
        <v>40</v>
      </c>
      <c r="V688" s="1">
        <v>35431</v>
      </c>
      <c r="W688" s="1">
        <v>35431</v>
      </c>
      <c r="X688" s="1">
        <v>35431</v>
      </c>
      <c r="Y688" s="1">
        <v>50041</v>
      </c>
      <c r="Z688" t="s">
        <v>51</v>
      </c>
      <c r="AB688" t="s">
        <v>54</v>
      </c>
      <c r="AC688">
        <v>1</v>
      </c>
      <c r="AE688" t="s">
        <v>116</v>
      </c>
      <c r="AF688">
        <v>20</v>
      </c>
      <c r="AG688" s="1">
        <v>35431</v>
      </c>
      <c r="AH688" s="1">
        <v>35431</v>
      </c>
      <c r="AI688" s="1">
        <v>35431</v>
      </c>
      <c r="AJ688" s="1">
        <v>42736</v>
      </c>
      <c r="AK688" t="s">
        <v>51</v>
      </c>
      <c r="AN688">
        <v>0</v>
      </c>
      <c r="AO688" t="s">
        <v>54</v>
      </c>
      <c r="AP688" t="s">
        <v>53</v>
      </c>
      <c r="AQ688">
        <v>0</v>
      </c>
      <c r="AR688" t="s">
        <v>53</v>
      </c>
      <c r="AS688">
        <v>0</v>
      </c>
      <c r="AT688">
        <v>0</v>
      </c>
      <c r="AW688" t="s">
        <v>58</v>
      </c>
      <c r="AX688">
        <v>20</v>
      </c>
      <c r="AY688" s="1">
        <v>35431</v>
      </c>
      <c r="AZ688" s="1">
        <v>35431</v>
      </c>
      <c r="BA688" s="1">
        <v>35431</v>
      </c>
      <c r="BB688" s="1">
        <v>42736</v>
      </c>
      <c r="BC688" t="s">
        <v>51</v>
      </c>
      <c r="BE688" t="s">
        <v>54</v>
      </c>
      <c r="BF688">
        <v>2</v>
      </c>
      <c r="BG688">
        <v>0</v>
      </c>
      <c r="BH688" t="s">
        <v>53</v>
      </c>
      <c r="BK688" t="s">
        <v>65</v>
      </c>
      <c r="BL688">
        <v>14000</v>
      </c>
      <c r="BM688" s="1">
        <v>42917</v>
      </c>
      <c r="BN688" s="1">
        <v>42917</v>
      </c>
      <c r="BO688" s="1">
        <v>42917</v>
      </c>
      <c r="BP688" s="1">
        <v>44117</v>
      </c>
      <c r="BQ688" t="s">
        <v>51</v>
      </c>
      <c r="BS688" t="s">
        <v>60</v>
      </c>
      <c r="BT688" t="s">
        <v>54</v>
      </c>
      <c r="BU688" t="s">
        <v>61</v>
      </c>
      <c r="BV688" t="s">
        <v>62</v>
      </c>
      <c r="BX688">
        <v>36</v>
      </c>
      <c r="BY688">
        <v>0</v>
      </c>
      <c r="BZ688">
        <v>0</v>
      </c>
    </row>
    <row r="689" spans="1:78" x14ac:dyDescent="0.2">
      <c r="A689" t="s">
        <v>180</v>
      </c>
      <c r="B689" t="s">
        <v>181</v>
      </c>
      <c r="C689" t="s">
        <v>184</v>
      </c>
      <c r="D689" t="s">
        <v>513</v>
      </c>
      <c r="F689" t="str">
        <f>"250332"</f>
        <v>250332</v>
      </c>
      <c r="G689" t="s">
        <v>49</v>
      </c>
      <c r="H689" t="s">
        <v>472</v>
      </c>
      <c r="K689" t="s">
        <v>51</v>
      </c>
      <c r="L689" t="s">
        <v>52</v>
      </c>
      <c r="M689">
        <v>135955.35</v>
      </c>
      <c r="N689">
        <v>472538.46</v>
      </c>
      <c r="O689" t="s">
        <v>53</v>
      </c>
      <c r="P689" t="s">
        <v>54</v>
      </c>
      <c r="Q689" t="s">
        <v>55</v>
      </c>
      <c r="T689" t="s">
        <v>183</v>
      </c>
      <c r="U689">
        <v>40</v>
      </c>
      <c r="V689" s="1">
        <v>35431</v>
      </c>
      <c r="W689" s="1">
        <v>35431</v>
      </c>
      <c r="X689" s="1">
        <v>35431</v>
      </c>
      <c r="Y689" s="1">
        <v>50041</v>
      </c>
      <c r="Z689" t="s">
        <v>51</v>
      </c>
      <c r="AB689" t="s">
        <v>54</v>
      </c>
      <c r="AC689">
        <v>1</v>
      </c>
      <c r="AE689" t="s">
        <v>116</v>
      </c>
      <c r="AF689">
        <v>20</v>
      </c>
      <c r="AG689" s="1">
        <v>35431</v>
      </c>
      <c r="AH689" s="1">
        <v>35431</v>
      </c>
      <c r="AI689" s="1">
        <v>35431</v>
      </c>
      <c r="AJ689" s="1">
        <v>42736</v>
      </c>
      <c r="AK689" t="s">
        <v>51</v>
      </c>
      <c r="AN689">
        <v>0</v>
      </c>
      <c r="AO689" t="s">
        <v>54</v>
      </c>
      <c r="AP689" t="s">
        <v>53</v>
      </c>
      <c r="AQ689">
        <v>0</v>
      </c>
      <c r="AR689" t="s">
        <v>53</v>
      </c>
      <c r="AS689">
        <v>0</v>
      </c>
      <c r="AT689">
        <v>0</v>
      </c>
      <c r="AW689" t="s">
        <v>58</v>
      </c>
      <c r="AX689">
        <v>20</v>
      </c>
      <c r="AY689" s="1">
        <v>35431</v>
      </c>
      <c r="AZ689" s="1">
        <v>35431</v>
      </c>
      <c r="BA689" s="1">
        <v>35431</v>
      </c>
      <c r="BB689" s="1">
        <v>42736</v>
      </c>
      <c r="BC689" t="s">
        <v>51</v>
      </c>
      <c r="BE689" t="s">
        <v>54</v>
      </c>
      <c r="BF689">
        <v>2</v>
      </c>
      <c r="BG689">
        <v>0</v>
      </c>
      <c r="BH689" t="s">
        <v>53</v>
      </c>
      <c r="BK689" t="s">
        <v>65</v>
      </c>
      <c r="BL689">
        <v>14000</v>
      </c>
      <c r="BM689" s="1">
        <v>42917</v>
      </c>
      <c r="BN689" s="1">
        <v>42917</v>
      </c>
      <c r="BO689" s="1">
        <v>42917</v>
      </c>
      <c r="BP689" s="1">
        <v>44117</v>
      </c>
      <c r="BQ689" t="s">
        <v>51</v>
      </c>
      <c r="BS689" t="s">
        <v>60</v>
      </c>
      <c r="BT689" t="s">
        <v>54</v>
      </c>
      <c r="BU689" t="s">
        <v>61</v>
      </c>
      <c r="BV689" t="s">
        <v>62</v>
      </c>
      <c r="BX689">
        <v>36</v>
      </c>
      <c r="BY689">
        <v>0</v>
      </c>
      <c r="BZ689">
        <v>0</v>
      </c>
    </row>
    <row r="690" spans="1:78" x14ac:dyDescent="0.2">
      <c r="A690" t="s">
        <v>180</v>
      </c>
      <c r="B690" t="s">
        <v>181</v>
      </c>
      <c r="C690" t="s">
        <v>184</v>
      </c>
      <c r="D690" t="s">
        <v>513</v>
      </c>
      <c r="F690" t="str">
        <f>"250333"</f>
        <v>250333</v>
      </c>
      <c r="G690" t="s">
        <v>49</v>
      </c>
      <c r="H690" t="s">
        <v>472</v>
      </c>
      <c r="K690" t="s">
        <v>51</v>
      </c>
      <c r="L690" t="s">
        <v>52</v>
      </c>
      <c r="M690">
        <v>135970.51</v>
      </c>
      <c r="N690">
        <v>472570.31</v>
      </c>
      <c r="O690" t="s">
        <v>53</v>
      </c>
      <c r="P690" t="s">
        <v>54</v>
      </c>
      <c r="Q690" t="s">
        <v>55</v>
      </c>
      <c r="T690" t="s">
        <v>183</v>
      </c>
      <c r="U690">
        <v>40</v>
      </c>
      <c r="V690" s="1">
        <v>35431</v>
      </c>
      <c r="W690" s="1">
        <v>35431</v>
      </c>
      <c r="X690" s="1">
        <v>35431</v>
      </c>
      <c r="Y690" s="1">
        <v>50041</v>
      </c>
      <c r="Z690" t="s">
        <v>51</v>
      </c>
      <c r="AB690" t="s">
        <v>54</v>
      </c>
      <c r="AC690">
        <v>1</v>
      </c>
      <c r="AE690" t="s">
        <v>116</v>
      </c>
      <c r="AF690">
        <v>20</v>
      </c>
      <c r="AG690" s="1">
        <v>35431</v>
      </c>
      <c r="AH690" s="1">
        <v>35431</v>
      </c>
      <c r="AI690" s="1">
        <v>35431</v>
      </c>
      <c r="AJ690" s="1">
        <v>42736</v>
      </c>
      <c r="AK690" t="s">
        <v>51</v>
      </c>
      <c r="AN690">
        <v>0</v>
      </c>
      <c r="AO690" t="s">
        <v>54</v>
      </c>
      <c r="AP690" t="s">
        <v>53</v>
      </c>
      <c r="AQ690">
        <v>0</v>
      </c>
      <c r="AR690" t="s">
        <v>53</v>
      </c>
      <c r="AS690">
        <v>0</v>
      </c>
      <c r="AT690">
        <v>0</v>
      </c>
      <c r="AW690" t="s">
        <v>58</v>
      </c>
      <c r="AX690">
        <v>20</v>
      </c>
      <c r="AY690" s="1">
        <v>35431</v>
      </c>
      <c r="AZ690" s="1">
        <v>35431</v>
      </c>
      <c r="BA690" s="1">
        <v>35431</v>
      </c>
      <c r="BB690" s="1">
        <v>42736</v>
      </c>
      <c r="BC690" t="s">
        <v>51</v>
      </c>
      <c r="BE690" t="s">
        <v>54</v>
      </c>
      <c r="BF690">
        <v>2</v>
      </c>
      <c r="BG690">
        <v>0</v>
      </c>
      <c r="BH690" t="s">
        <v>53</v>
      </c>
      <c r="BK690" t="s">
        <v>65</v>
      </c>
      <c r="BL690">
        <v>14000</v>
      </c>
      <c r="BM690" s="1">
        <v>42917</v>
      </c>
      <c r="BN690" s="1">
        <v>42917</v>
      </c>
      <c r="BO690" s="1">
        <v>42917</v>
      </c>
      <c r="BP690" s="1">
        <v>44117</v>
      </c>
      <c r="BQ690" t="s">
        <v>51</v>
      </c>
      <c r="BS690" t="s">
        <v>60</v>
      </c>
      <c r="BT690" t="s">
        <v>54</v>
      </c>
      <c r="BU690" t="s">
        <v>61</v>
      </c>
      <c r="BV690" t="s">
        <v>62</v>
      </c>
      <c r="BX690">
        <v>36</v>
      </c>
      <c r="BY690">
        <v>0</v>
      </c>
      <c r="BZ690">
        <v>0</v>
      </c>
    </row>
    <row r="691" spans="1:78" x14ac:dyDescent="0.2">
      <c r="A691" t="s">
        <v>180</v>
      </c>
      <c r="B691" t="s">
        <v>181</v>
      </c>
      <c r="C691" t="s">
        <v>184</v>
      </c>
      <c r="D691" t="s">
        <v>513</v>
      </c>
      <c r="F691" t="str">
        <f>"250334"</f>
        <v>250334</v>
      </c>
      <c r="G691" t="s">
        <v>49</v>
      </c>
      <c r="H691" t="s">
        <v>312</v>
      </c>
      <c r="K691" t="s">
        <v>51</v>
      </c>
      <c r="L691" t="s">
        <v>52</v>
      </c>
      <c r="M691">
        <v>135985.31</v>
      </c>
      <c r="N691">
        <v>472598.17</v>
      </c>
      <c r="O691" t="s">
        <v>53</v>
      </c>
      <c r="P691" t="s">
        <v>54</v>
      </c>
      <c r="Q691" t="s">
        <v>55</v>
      </c>
      <c r="T691" t="s">
        <v>466</v>
      </c>
      <c r="U691">
        <v>40</v>
      </c>
      <c r="V691" s="1">
        <v>35431</v>
      </c>
      <c r="W691" s="1">
        <v>35431</v>
      </c>
      <c r="X691" s="1">
        <v>35431</v>
      </c>
      <c r="Y691" s="1">
        <v>50041</v>
      </c>
      <c r="Z691" t="s">
        <v>51</v>
      </c>
      <c r="AB691" t="s">
        <v>54</v>
      </c>
      <c r="AC691">
        <v>1</v>
      </c>
      <c r="AE691" t="s">
        <v>116</v>
      </c>
      <c r="AF691">
        <v>20</v>
      </c>
      <c r="AG691" s="1">
        <v>43340</v>
      </c>
      <c r="AH691" s="1">
        <v>43340</v>
      </c>
      <c r="AI691" s="1">
        <v>43340</v>
      </c>
      <c r="AJ691" s="1">
        <v>50645</v>
      </c>
      <c r="AK691" t="s">
        <v>51</v>
      </c>
      <c r="AN691">
        <v>0</v>
      </c>
      <c r="AO691" t="s">
        <v>54</v>
      </c>
      <c r="AP691" t="s">
        <v>53</v>
      </c>
      <c r="AQ691">
        <v>0</v>
      </c>
      <c r="AR691" t="s">
        <v>53</v>
      </c>
      <c r="AS691">
        <v>0</v>
      </c>
      <c r="AT691">
        <v>0</v>
      </c>
      <c r="AW691" t="s">
        <v>58</v>
      </c>
      <c r="AX691">
        <v>20</v>
      </c>
      <c r="AY691" s="1">
        <v>43340</v>
      </c>
      <c r="AZ691" s="1">
        <v>43340</v>
      </c>
      <c r="BA691" s="1">
        <v>43340</v>
      </c>
      <c r="BB691" s="1">
        <v>50645</v>
      </c>
      <c r="BC691" t="s">
        <v>51</v>
      </c>
      <c r="BE691" t="s">
        <v>54</v>
      </c>
      <c r="BF691">
        <v>2</v>
      </c>
      <c r="BG691">
        <v>0</v>
      </c>
      <c r="BH691" t="s">
        <v>53</v>
      </c>
      <c r="BK691" t="s">
        <v>65</v>
      </c>
      <c r="BL691">
        <v>14000</v>
      </c>
      <c r="BM691" s="1">
        <v>43340</v>
      </c>
      <c r="BN691" s="1">
        <v>43340</v>
      </c>
      <c r="BO691" s="1">
        <v>43340</v>
      </c>
      <c r="BP691" s="1">
        <v>44514</v>
      </c>
      <c r="BQ691" t="s">
        <v>51</v>
      </c>
      <c r="BS691" t="s">
        <v>60</v>
      </c>
      <c r="BT691" t="s">
        <v>54</v>
      </c>
      <c r="BU691" t="s">
        <v>61</v>
      </c>
      <c r="BV691" t="s">
        <v>62</v>
      </c>
      <c r="BX691">
        <v>36</v>
      </c>
      <c r="BY691">
        <v>0</v>
      </c>
      <c r="BZ691">
        <v>0</v>
      </c>
    </row>
    <row r="692" spans="1:78" x14ac:dyDescent="0.2">
      <c r="A692" t="s">
        <v>180</v>
      </c>
      <c r="B692" t="s">
        <v>181</v>
      </c>
      <c r="C692" t="s">
        <v>184</v>
      </c>
      <c r="D692" t="s">
        <v>513</v>
      </c>
      <c r="F692" t="str">
        <f>"250335"</f>
        <v>250335</v>
      </c>
      <c r="G692" t="s">
        <v>49</v>
      </c>
      <c r="H692" t="s">
        <v>312</v>
      </c>
      <c r="K692" t="s">
        <v>51</v>
      </c>
      <c r="L692" t="s">
        <v>52</v>
      </c>
      <c r="M692">
        <v>136003.19</v>
      </c>
      <c r="N692">
        <v>472620.2</v>
      </c>
      <c r="O692" t="s">
        <v>53</v>
      </c>
      <c r="P692" t="s">
        <v>54</v>
      </c>
      <c r="Q692" t="s">
        <v>55</v>
      </c>
      <c r="T692" t="s">
        <v>466</v>
      </c>
      <c r="U692">
        <v>40</v>
      </c>
      <c r="V692" s="1">
        <v>35431</v>
      </c>
      <c r="W692" s="1">
        <v>35431</v>
      </c>
      <c r="X692" s="1">
        <v>35431</v>
      </c>
      <c r="Y692" s="1">
        <v>50041</v>
      </c>
      <c r="Z692" t="s">
        <v>51</v>
      </c>
      <c r="AB692" t="s">
        <v>54</v>
      </c>
      <c r="AC692">
        <v>1</v>
      </c>
      <c r="AE692" t="s">
        <v>116</v>
      </c>
      <c r="AF692">
        <v>20</v>
      </c>
      <c r="AG692" s="1">
        <v>43340</v>
      </c>
      <c r="AH692" s="1">
        <v>43340</v>
      </c>
      <c r="AI692" s="1">
        <v>43340</v>
      </c>
      <c r="AJ692" s="1">
        <v>50645</v>
      </c>
      <c r="AK692" t="s">
        <v>51</v>
      </c>
      <c r="AN692">
        <v>0</v>
      </c>
      <c r="AO692" t="s">
        <v>54</v>
      </c>
      <c r="AP692" t="s">
        <v>53</v>
      </c>
      <c r="AQ692">
        <v>0</v>
      </c>
      <c r="AR692" t="s">
        <v>53</v>
      </c>
      <c r="AS692">
        <v>0</v>
      </c>
      <c r="AT692">
        <v>0</v>
      </c>
      <c r="AW692" t="s">
        <v>58</v>
      </c>
      <c r="AX692">
        <v>20</v>
      </c>
      <c r="AY692" s="1">
        <v>35431</v>
      </c>
      <c r="AZ692" s="1">
        <v>35431</v>
      </c>
      <c r="BA692" s="1">
        <v>43340</v>
      </c>
      <c r="BB692" s="1">
        <v>42736</v>
      </c>
      <c r="BC692" t="s">
        <v>51</v>
      </c>
      <c r="BE692" t="s">
        <v>54</v>
      </c>
      <c r="BF692">
        <v>2</v>
      </c>
      <c r="BG692">
        <v>0</v>
      </c>
      <c r="BH692" t="s">
        <v>53</v>
      </c>
      <c r="BK692" t="s">
        <v>65</v>
      </c>
      <c r="BL692">
        <v>14000</v>
      </c>
      <c r="BM692" s="1">
        <v>43374</v>
      </c>
      <c r="BN692" s="1">
        <v>43374</v>
      </c>
      <c r="BO692" s="1">
        <v>43374</v>
      </c>
      <c r="BP692" s="1">
        <v>44539</v>
      </c>
      <c r="BQ692" t="s">
        <v>51</v>
      </c>
      <c r="BS692" t="s">
        <v>60</v>
      </c>
      <c r="BT692" t="s">
        <v>54</v>
      </c>
      <c r="BU692" t="s">
        <v>61</v>
      </c>
      <c r="BV692" t="s">
        <v>62</v>
      </c>
      <c r="BX692">
        <v>36</v>
      </c>
      <c r="BY692">
        <v>0</v>
      </c>
      <c r="BZ692">
        <v>0</v>
      </c>
    </row>
    <row r="693" spans="1:78" x14ac:dyDescent="0.2">
      <c r="A693" t="s">
        <v>180</v>
      </c>
      <c r="B693" t="s">
        <v>181</v>
      </c>
      <c r="C693" t="s">
        <v>184</v>
      </c>
      <c r="D693" t="s">
        <v>513</v>
      </c>
      <c r="F693" t="str">
        <f>"250336"</f>
        <v>250336</v>
      </c>
      <c r="G693" t="s">
        <v>49</v>
      </c>
      <c r="H693" t="s">
        <v>544</v>
      </c>
      <c r="K693" t="s">
        <v>51</v>
      </c>
      <c r="L693" t="s">
        <v>52</v>
      </c>
      <c r="M693">
        <v>136011.13</v>
      </c>
      <c r="N693">
        <v>472640.09</v>
      </c>
      <c r="O693" t="s">
        <v>53</v>
      </c>
      <c r="P693" t="s">
        <v>54</v>
      </c>
      <c r="Q693" t="s">
        <v>55</v>
      </c>
      <c r="T693" t="s">
        <v>466</v>
      </c>
      <c r="U693">
        <v>40</v>
      </c>
      <c r="V693" s="1">
        <v>35431</v>
      </c>
      <c r="W693" s="1">
        <v>35431</v>
      </c>
      <c r="X693" s="1">
        <v>35431</v>
      </c>
      <c r="Y693" s="1">
        <v>50041</v>
      </c>
      <c r="Z693" t="s">
        <v>51</v>
      </c>
      <c r="AB693" t="s">
        <v>54</v>
      </c>
      <c r="AC693">
        <v>1</v>
      </c>
      <c r="AE693" t="s">
        <v>116</v>
      </c>
      <c r="AF693">
        <v>20</v>
      </c>
      <c r="AG693" s="1">
        <v>35431</v>
      </c>
      <c r="AH693" s="1">
        <v>35431</v>
      </c>
      <c r="AI693" s="1">
        <v>35431</v>
      </c>
      <c r="AJ693" s="1">
        <v>42736</v>
      </c>
      <c r="AK693" t="s">
        <v>51</v>
      </c>
      <c r="AN693">
        <v>0</v>
      </c>
      <c r="AO693" t="s">
        <v>54</v>
      </c>
      <c r="AP693" t="s">
        <v>53</v>
      </c>
      <c r="AQ693">
        <v>0</v>
      </c>
      <c r="AR693" t="s">
        <v>53</v>
      </c>
      <c r="AS693">
        <v>0</v>
      </c>
      <c r="AT693">
        <v>0</v>
      </c>
      <c r="AW693" t="s">
        <v>58</v>
      </c>
      <c r="AX693">
        <v>20</v>
      </c>
      <c r="AY693" s="1">
        <v>43430</v>
      </c>
      <c r="AZ693" s="1">
        <v>43430</v>
      </c>
      <c r="BA693" s="1">
        <v>43430</v>
      </c>
      <c r="BB693" s="1">
        <v>50735</v>
      </c>
      <c r="BC693" t="s">
        <v>51</v>
      </c>
      <c r="BE693" t="s">
        <v>54</v>
      </c>
      <c r="BF693">
        <v>2</v>
      </c>
      <c r="BG693">
        <v>0</v>
      </c>
      <c r="BH693" t="s">
        <v>53</v>
      </c>
      <c r="BK693" t="s">
        <v>65</v>
      </c>
      <c r="BL693">
        <v>14000</v>
      </c>
      <c r="BM693" s="1">
        <v>43340</v>
      </c>
      <c r="BN693" s="1">
        <v>43340</v>
      </c>
      <c r="BO693" s="1">
        <v>43430</v>
      </c>
      <c r="BP693" s="1">
        <v>44514</v>
      </c>
      <c r="BQ693" t="s">
        <v>51</v>
      </c>
      <c r="BS693" t="s">
        <v>60</v>
      </c>
      <c r="BT693" t="s">
        <v>54</v>
      </c>
      <c r="BU693" t="s">
        <v>61</v>
      </c>
      <c r="BV693" t="s">
        <v>62</v>
      </c>
      <c r="BX693">
        <v>36</v>
      </c>
      <c r="BY693">
        <v>0</v>
      </c>
      <c r="BZ693">
        <v>0</v>
      </c>
    </row>
    <row r="694" spans="1:78" x14ac:dyDescent="0.2">
      <c r="A694" t="s">
        <v>180</v>
      </c>
      <c r="B694" t="s">
        <v>181</v>
      </c>
      <c r="C694" t="s">
        <v>184</v>
      </c>
      <c r="D694" t="s">
        <v>513</v>
      </c>
      <c r="F694" t="str">
        <f>"250337"</f>
        <v>250337</v>
      </c>
      <c r="G694" t="s">
        <v>49</v>
      </c>
      <c r="K694" t="s">
        <v>51</v>
      </c>
      <c r="L694" t="s">
        <v>52</v>
      </c>
      <c r="M694">
        <v>136017.03</v>
      </c>
      <c r="N694">
        <v>472663.9</v>
      </c>
      <c r="O694" t="s">
        <v>53</v>
      </c>
      <c r="P694" t="s">
        <v>54</v>
      </c>
      <c r="Q694" t="s">
        <v>55</v>
      </c>
      <c r="T694" t="s">
        <v>466</v>
      </c>
      <c r="U694">
        <v>40</v>
      </c>
      <c r="V694" s="1">
        <v>35431</v>
      </c>
      <c r="W694" s="1">
        <v>35431</v>
      </c>
      <c r="X694" s="1">
        <v>35431</v>
      </c>
      <c r="Y694" s="1">
        <v>50041</v>
      </c>
      <c r="Z694" t="s">
        <v>51</v>
      </c>
      <c r="AB694" t="s">
        <v>54</v>
      </c>
      <c r="AC694">
        <v>1</v>
      </c>
      <c r="AE694" t="s">
        <v>84</v>
      </c>
      <c r="AF694">
        <v>20</v>
      </c>
      <c r="AG694" s="1">
        <v>35431</v>
      </c>
      <c r="AH694" s="1">
        <v>35431</v>
      </c>
      <c r="AI694" s="1">
        <v>35431</v>
      </c>
      <c r="AJ694" s="1">
        <v>42736</v>
      </c>
      <c r="AK694" t="s">
        <v>51</v>
      </c>
      <c r="AN694">
        <v>0</v>
      </c>
      <c r="AO694" t="s">
        <v>54</v>
      </c>
      <c r="AP694" t="s">
        <v>53</v>
      </c>
      <c r="AQ694">
        <v>0</v>
      </c>
      <c r="AR694" t="s">
        <v>53</v>
      </c>
      <c r="AS694">
        <v>0</v>
      </c>
      <c r="AT694">
        <v>0</v>
      </c>
      <c r="AW694" t="s">
        <v>58</v>
      </c>
      <c r="AX694">
        <v>20</v>
      </c>
      <c r="AY694" s="1">
        <v>35431</v>
      </c>
      <c r="AZ694" s="1">
        <v>35431</v>
      </c>
      <c r="BA694" s="1">
        <v>35431</v>
      </c>
      <c r="BB694" s="1">
        <v>42736</v>
      </c>
      <c r="BC694" t="s">
        <v>51</v>
      </c>
      <c r="BE694" t="s">
        <v>54</v>
      </c>
      <c r="BF694">
        <v>2</v>
      </c>
      <c r="BG694">
        <v>0</v>
      </c>
      <c r="BH694" t="s">
        <v>53</v>
      </c>
      <c r="BK694" t="s">
        <v>59</v>
      </c>
      <c r="BL694">
        <v>14000</v>
      </c>
      <c r="BM694" s="1">
        <v>42917</v>
      </c>
      <c r="BN694" s="1">
        <v>42917</v>
      </c>
      <c r="BO694" s="1">
        <v>42917</v>
      </c>
      <c r="BP694" s="1">
        <v>44117</v>
      </c>
      <c r="BQ694" t="s">
        <v>51</v>
      </c>
      <c r="BS694" t="s">
        <v>60</v>
      </c>
      <c r="BT694" t="s">
        <v>54</v>
      </c>
      <c r="BU694" t="s">
        <v>61</v>
      </c>
      <c r="BV694" t="s">
        <v>62</v>
      </c>
      <c r="BX694">
        <v>24</v>
      </c>
      <c r="BY694">
        <v>0</v>
      </c>
      <c r="BZ694">
        <v>0</v>
      </c>
    </row>
    <row r="695" spans="1:78" x14ac:dyDescent="0.2">
      <c r="A695" t="s">
        <v>180</v>
      </c>
      <c r="B695" t="s">
        <v>181</v>
      </c>
      <c r="C695" t="s">
        <v>184</v>
      </c>
      <c r="D695" t="s">
        <v>545</v>
      </c>
      <c r="F695" t="str">
        <f>"250338"</f>
        <v>250338</v>
      </c>
      <c r="G695" t="s">
        <v>49</v>
      </c>
      <c r="H695" t="s">
        <v>219</v>
      </c>
      <c r="K695" t="s">
        <v>51</v>
      </c>
      <c r="L695" t="s">
        <v>52</v>
      </c>
      <c r="M695">
        <v>136453.51</v>
      </c>
      <c r="N695">
        <v>473550.01</v>
      </c>
      <c r="O695" t="s">
        <v>53</v>
      </c>
      <c r="P695" t="s">
        <v>54</v>
      </c>
      <c r="Q695" t="s">
        <v>55</v>
      </c>
      <c r="T695" t="s">
        <v>183</v>
      </c>
      <c r="U695">
        <v>40</v>
      </c>
      <c r="V695" s="1">
        <v>38899</v>
      </c>
      <c r="W695" s="1">
        <v>38899</v>
      </c>
      <c r="X695" s="1">
        <v>38899</v>
      </c>
      <c r="Y695" s="1">
        <v>53509</v>
      </c>
      <c r="Z695" t="s">
        <v>51</v>
      </c>
      <c r="AB695" t="s">
        <v>54</v>
      </c>
      <c r="AC695">
        <v>1</v>
      </c>
      <c r="AE695" t="s">
        <v>57</v>
      </c>
      <c r="AF695">
        <v>20</v>
      </c>
      <c r="AG695" s="1">
        <v>38899</v>
      </c>
      <c r="AH695" s="1">
        <v>38899</v>
      </c>
      <c r="AI695" s="1">
        <v>38899</v>
      </c>
      <c r="AJ695" s="1">
        <v>46204</v>
      </c>
      <c r="AK695" t="s">
        <v>51</v>
      </c>
      <c r="AN695">
        <v>0</v>
      </c>
      <c r="AO695" t="s">
        <v>54</v>
      </c>
      <c r="AP695" t="s">
        <v>53</v>
      </c>
      <c r="AQ695">
        <v>0</v>
      </c>
      <c r="AR695" t="s">
        <v>53</v>
      </c>
      <c r="AS695">
        <v>0</v>
      </c>
      <c r="AT695">
        <v>0</v>
      </c>
      <c r="AW695" t="s">
        <v>58</v>
      </c>
      <c r="AX695">
        <v>20</v>
      </c>
      <c r="AY695" s="1">
        <v>38899</v>
      </c>
      <c r="AZ695" s="1">
        <v>38899</v>
      </c>
      <c r="BA695" s="1">
        <v>38899</v>
      </c>
      <c r="BB695" s="1">
        <v>46204</v>
      </c>
      <c r="BC695" t="s">
        <v>51</v>
      </c>
      <c r="BE695" t="s">
        <v>54</v>
      </c>
      <c r="BF695">
        <v>2</v>
      </c>
      <c r="BG695">
        <v>0</v>
      </c>
      <c r="BH695" t="s">
        <v>53</v>
      </c>
      <c r="BK695" t="s">
        <v>59</v>
      </c>
      <c r="BL695">
        <v>14000</v>
      </c>
      <c r="BM695" s="1">
        <v>42917</v>
      </c>
      <c r="BN695" s="1">
        <v>42917</v>
      </c>
      <c r="BO695" s="1">
        <v>42917</v>
      </c>
      <c r="BP695" s="1">
        <v>44117</v>
      </c>
      <c r="BQ695" t="s">
        <v>51</v>
      </c>
      <c r="BS695" t="s">
        <v>60</v>
      </c>
      <c r="BT695" t="s">
        <v>54</v>
      </c>
      <c r="BU695" t="s">
        <v>61</v>
      </c>
      <c r="BV695" t="s">
        <v>62</v>
      </c>
      <c r="BX695">
        <v>24</v>
      </c>
      <c r="BY695">
        <v>0</v>
      </c>
      <c r="BZ695">
        <v>0</v>
      </c>
    </row>
    <row r="696" spans="1:78" x14ac:dyDescent="0.2">
      <c r="A696" t="s">
        <v>180</v>
      </c>
      <c r="B696" t="s">
        <v>181</v>
      </c>
      <c r="C696" t="s">
        <v>184</v>
      </c>
      <c r="D696" t="s">
        <v>545</v>
      </c>
      <c r="F696" t="str">
        <f>"250339"</f>
        <v>250339</v>
      </c>
      <c r="G696" t="s">
        <v>49</v>
      </c>
      <c r="H696" t="s">
        <v>233</v>
      </c>
      <c r="K696" t="s">
        <v>51</v>
      </c>
      <c r="L696" t="s">
        <v>52</v>
      </c>
      <c r="M696">
        <v>136436.81</v>
      </c>
      <c r="N696">
        <v>473512.45</v>
      </c>
      <c r="O696" t="s">
        <v>53</v>
      </c>
      <c r="P696" t="s">
        <v>54</v>
      </c>
      <c r="Q696" t="s">
        <v>55</v>
      </c>
      <c r="T696" t="s">
        <v>183</v>
      </c>
      <c r="U696">
        <v>40</v>
      </c>
      <c r="V696" s="1">
        <v>22828</v>
      </c>
      <c r="W696" s="1">
        <v>22828</v>
      </c>
      <c r="X696" s="1">
        <v>22828</v>
      </c>
      <c r="Y696" s="1">
        <v>37438</v>
      </c>
      <c r="Z696" t="s">
        <v>51</v>
      </c>
      <c r="AB696" t="s">
        <v>54</v>
      </c>
      <c r="AC696">
        <v>1</v>
      </c>
      <c r="AE696" t="s">
        <v>546</v>
      </c>
      <c r="AF696">
        <v>20</v>
      </c>
      <c r="AG696" s="1">
        <v>37073</v>
      </c>
      <c r="AH696" s="1">
        <v>37073</v>
      </c>
      <c r="AI696" s="1">
        <v>37073</v>
      </c>
      <c r="AJ696" s="1">
        <v>44378</v>
      </c>
      <c r="AK696" t="s">
        <v>51</v>
      </c>
      <c r="AN696">
        <v>0</v>
      </c>
      <c r="AO696" t="s">
        <v>54</v>
      </c>
      <c r="AP696" t="s">
        <v>53</v>
      </c>
      <c r="AQ696">
        <v>0</v>
      </c>
      <c r="AR696" t="s">
        <v>53</v>
      </c>
      <c r="AS696">
        <v>0</v>
      </c>
      <c r="AT696">
        <v>0</v>
      </c>
      <c r="AW696" t="s">
        <v>58</v>
      </c>
      <c r="AX696">
        <v>20</v>
      </c>
      <c r="AY696" s="1">
        <v>37073</v>
      </c>
      <c r="AZ696" s="1">
        <v>37073</v>
      </c>
      <c r="BA696" s="1">
        <v>37073</v>
      </c>
      <c r="BB696" s="1">
        <v>44378</v>
      </c>
      <c r="BC696" t="s">
        <v>51</v>
      </c>
      <c r="BE696" t="s">
        <v>54</v>
      </c>
      <c r="BF696">
        <v>2</v>
      </c>
      <c r="BG696">
        <v>0</v>
      </c>
      <c r="BH696" t="s">
        <v>53</v>
      </c>
      <c r="BK696" t="s">
        <v>59</v>
      </c>
      <c r="BL696">
        <v>14000</v>
      </c>
      <c r="BM696" s="1">
        <v>42917</v>
      </c>
      <c r="BN696" s="1">
        <v>42917</v>
      </c>
      <c r="BO696" s="1">
        <v>42917</v>
      </c>
      <c r="BP696" s="1">
        <v>44117</v>
      </c>
      <c r="BQ696" t="s">
        <v>51</v>
      </c>
      <c r="BS696" t="s">
        <v>60</v>
      </c>
      <c r="BT696" t="s">
        <v>54</v>
      </c>
      <c r="BU696" t="s">
        <v>61</v>
      </c>
      <c r="BV696" t="s">
        <v>62</v>
      </c>
      <c r="BX696">
        <v>24</v>
      </c>
      <c r="BY696">
        <v>0</v>
      </c>
      <c r="BZ696">
        <v>0</v>
      </c>
    </row>
    <row r="697" spans="1:78" x14ac:dyDescent="0.2">
      <c r="A697" t="s">
        <v>180</v>
      </c>
      <c r="B697" t="s">
        <v>181</v>
      </c>
      <c r="C697" t="s">
        <v>184</v>
      </c>
      <c r="D697" t="s">
        <v>545</v>
      </c>
      <c r="F697" t="str">
        <f>"250340"</f>
        <v>250340</v>
      </c>
      <c r="G697" t="s">
        <v>49</v>
      </c>
      <c r="K697" t="s">
        <v>51</v>
      </c>
      <c r="L697" t="s">
        <v>52</v>
      </c>
      <c r="M697">
        <v>136412.09</v>
      </c>
      <c r="N697">
        <v>473461.28</v>
      </c>
      <c r="O697" t="s">
        <v>53</v>
      </c>
      <c r="P697" t="s">
        <v>54</v>
      </c>
      <c r="Q697" t="s">
        <v>55</v>
      </c>
      <c r="T697" t="s">
        <v>183</v>
      </c>
      <c r="U697">
        <v>40</v>
      </c>
      <c r="V697" s="1">
        <v>37073</v>
      </c>
      <c r="W697" s="1">
        <v>37073</v>
      </c>
      <c r="X697" s="1">
        <v>37073</v>
      </c>
      <c r="Y697" s="1">
        <v>51683</v>
      </c>
      <c r="Z697" t="s">
        <v>51</v>
      </c>
      <c r="AB697" t="s">
        <v>54</v>
      </c>
      <c r="AC697">
        <v>1</v>
      </c>
      <c r="AE697" t="s">
        <v>546</v>
      </c>
      <c r="AF697">
        <v>20</v>
      </c>
      <c r="AG697" s="1">
        <v>37073</v>
      </c>
      <c r="AH697" s="1">
        <v>37073</v>
      </c>
      <c r="AI697" s="1">
        <v>37073</v>
      </c>
      <c r="AJ697" s="1">
        <v>44378</v>
      </c>
      <c r="AK697" t="s">
        <v>51</v>
      </c>
      <c r="AN697">
        <v>0</v>
      </c>
      <c r="AO697" t="s">
        <v>54</v>
      </c>
      <c r="AP697" t="s">
        <v>53</v>
      </c>
      <c r="AQ697">
        <v>0</v>
      </c>
      <c r="AR697" t="s">
        <v>53</v>
      </c>
      <c r="AS697">
        <v>0</v>
      </c>
      <c r="AT697">
        <v>0</v>
      </c>
      <c r="AW697" t="s">
        <v>58</v>
      </c>
      <c r="AX697">
        <v>20</v>
      </c>
      <c r="AY697" s="1">
        <v>44935</v>
      </c>
      <c r="AZ697" s="1">
        <v>44935</v>
      </c>
      <c r="BA697" s="1">
        <v>44935</v>
      </c>
      <c r="BB697" s="1">
        <v>52240</v>
      </c>
      <c r="BC697" t="s">
        <v>51</v>
      </c>
      <c r="BE697" t="s">
        <v>54</v>
      </c>
      <c r="BF697">
        <v>2</v>
      </c>
      <c r="BG697">
        <v>0</v>
      </c>
      <c r="BH697" t="s">
        <v>53</v>
      </c>
      <c r="BK697" t="s">
        <v>59</v>
      </c>
      <c r="BL697">
        <v>14000</v>
      </c>
      <c r="BM697" s="1">
        <v>44935</v>
      </c>
      <c r="BN697" s="1">
        <v>44935</v>
      </c>
      <c r="BO697" s="1">
        <v>44935</v>
      </c>
      <c r="BP697" s="1">
        <v>46102</v>
      </c>
      <c r="BQ697" t="s">
        <v>51</v>
      </c>
      <c r="BS697" t="s">
        <v>60</v>
      </c>
      <c r="BT697" t="s">
        <v>54</v>
      </c>
      <c r="BU697" t="s">
        <v>61</v>
      </c>
      <c r="BV697" t="s">
        <v>62</v>
      </c>
      <c r="BX697">
        <v>24</v>
      </c>
      <c r="BY697">
        <v>0</v>
      </c>
      <c r="BZ697">
        <v>0</v>
      </c>
    </row>
    <row r="698" spans="1:78" x14ac:dyDescent="0.2">
      <c r="A698" t="s">
        <v>180</v>
      </c>
      <c r="B698" t="s">
        <v>181</v>
      </c>
      <c r="C698" t="s">
        <v>184</v>
      </c>
      <c r="D698" t="s">
        <v>545</v>
      </c>
      <c r="F698" t="str">
        <f>"250341"</f>
        <v>250341</v>
      </c>
      <c r="G698" t="s">
        <v>49</v>
      </c>
      <c r="H698" s="2">
        <v>44958</v>
      </c>
      <c r="K698" t="s">
        <v>51</v>
      </c>
      <c r="L698" t="s">
        <v>52</v>
      </c>
      <c r="M698">
        <v>136391.6</v>
      </c>
      <c r="N698">
        <v>473414.75</v>
      </c>
      <c r="O698" t="s">
        <v>53</v>
      </c>
      <c r="P698" t="s">
        <v>54</v>
      </c>
      <c r="Q698" t="s">
        <v>55</v>
      </c>
      <c r="T698" t="s">
        <v>466</v>
      </c>
      <c r="U698">
        <v>40</v>
      </c>
      <c r="V698" s="1">
        <v>22828</v>
      </c>
      <c r="W698" s="1">
        <v>22828</v>
      </c>
      <c r="X698" s="1">
        <v>22828</v>
      </c>
      <c r="Y698" s="1">
        <v>37438</v>
      </c>
      <c r="Z698" t="s">
        <v>51</v>
      </c>
      <c r="AB698" t="s">
        <v>54</v>
      </c>
      <c r="AC698">
        <v>1</v>
      </c>
      <c r="AE698" t="s">
        <v>546</v>
      </c>
      <c r="AF698">
        <v>20</v>
      </c>
      <c r="AG698" s="1">
        <v>37073</v>
      </c>
      <c r="AH698" s="1">
        <v>37073</v>
      </c>
      <c r="AI698" s="1">
        <v>37073</v>
      </c>
      <c r="AJ698" s="1">
        <v>44378</v>
      </c>
      <c r="AK698" t="s">
        <v>51</v>
      </c>
      <c r="AN698">
        <v>0</v>
      </c>
      <c r="AO698" t="s">
        <v>54</v>
      </c>
      <c r="AP698" t="s">
        <v>53</v>
      </c>
      <c r="AQ698">
        <v>0</v>
      </c>
      <c r="AR698" t="s">
        <v>53</v>
      </c>
      <c r="AS698">
        <v>0</v>
      </c>
      <c r="AT698">
        <v>0</v>
      </c>
      <c r="AW698" t="s">
        <v>58</v>
      </c>
      <c r="AX698">
        <v>20</v>
      </c>
      <c r="AY698" s="1">
        <v>37073</v>
      </c>
      <c r="AZ698" s="1">
        <v>37073</v>
      </c>
      <c r="BA698" s="1">
        <v>37073</v>
      </c>
      <c r="BB698" s="1">
        <v>44378</v>
      </c>
      <c r="BC698" t="s">
        <v>51</v>
      </c>
      <c r="BE698" t="s">
        <v>54</v>
      </c>
      <c r="BF698">
        <v>2</v>
      </c>
      <c r="BG698">
        <v>0</v>
      </c>
      <c r="BH698" t="s">
        <v>53</v>
      </c>
      <c r="BK698" t="s">
        <v>59</v>
      </c>
      <c r="BL698">
        <v>14000</v>
      </c>
      <c r="BM698" s="1">
        <v>42917</v>
      </c>
      <c r="BN698" s="1">
        <v>42917</v>
      </c>
      <c r="BO698" s="1">
        <v>42917</v>
      </c>
      <c r="BP698" s="1">
        <v>44117</v>
      </c>
      <c r="BQ698" t="s">
        <v>51</v>
      </c>
      <c r="BS698" t="s">
        <v>60</v>
      </c>
      <c r="BT698" t="s">
        <v>54</v>
      </c>
      <c r="BU698" t="s">
        <v>61</v>
      </c>
      <c r="BV698" t="s">
        <v>62</v>
      </c>
      <c r="BX698">
        <v>24</v>
      </c>
      <c r="BY698">
        <v>0</v>
      </c>
      <c r="BZ698">
        <v>0</v>
      </c>
    </row>
    <row r="699" spans="1:78" x14ac:dyDescent="0.2">
      <c r="A699" t="s">
        <v>180</v>
      </c>
      <c r="B699" t="s">
        <v>181</v>
      </c>
      <c r="C699" t="s">
        <v>184</v>
      </c>
      <c r="D699" t="s">
        <v>545</v>
      </c>
      <c r="F699" t="str">
        <f>"250342"</f>
        <v>250342</v>
      </c>
      <c r="G699" t="s">
        <v>49</v>
      </c>
      <c r="K699" t="s">
        <v>51</v>
      </c>
      <c r="L699" t="s">
        <v>52</v>
      </c>
      <c r="M699">
        <v>136370.62</v>
      </c>
      <c r="N699">
        <v>473367.89</v>
      </c>
      <c r="O699" t="s">
        <v>53</v>
      </c>
      <c r="P699" t="s">
        <v>54</v>
      </c>
      <c r="Q699" t="s">
        <v>55</v>
      </c>
      <c r="T699" t="s">
        <v>183</v>
      </c>
      <c r="U699">
        <v>40</v>
      </c>
      <c r="V699" s="1">
        <v>37073</v>
      </c>
      <c r="W699" s="1">
        <v>37073</v>
      </c>
      <c r="X699" s="1">
        <v>37073</v>
      </c>
      <c r="Y699" s="1">
        <v>51683</v>
      </c>
      <c r="Z699" t="s">
        <v>51</v>
      </c>
      <c r="AB699" t="s">
        <v>54</v>
      </c>
      <c r="AC699">
        <v>1</v>
      </c>
      <c r="AE699" t="s">
        <v>546</v>
      </c>
      <c r="AF699">
        <v>20</v>
      </c>
      <c r="AG699" s="1">
        <v>37073</v>
      </c>
      <c r="AH699" s="1">
        <v>37073</v>
      </c>
      <c r="AI699" s="1">
        <v>37073</v>
      </c>
      <c r="AJ699" s="1">
        <v>44378</v>
      </c>
      <c r="AK699" t="s">
        <v>51</v>
      </c>
      <c r="AN699">
        <v>0</v>
      </c>
      <c r="AO699" t="s">
        <v>54</v>
      </c>
      <c r="AP699" t="s">
        <v>53</v>
      </c>
      <c r="AQ699">
        <v>0</v>
      </c>
      <c r="AR699" t="s">
        <v>53</v>
      </c>
      <c r="AS699">
        <v>0</v>
      </c>
      <c r="AT699">
        <v>0</v>
      </c>
      <c r="AW699" t="s">
        <v>58</v>
      </c>
      <c r="AX699">
        <v>20</v>
      </c>
      <c r="AY699" s="1">
        <v>44935</v>
      </c>
      <c r="AZ699" s="1">
        <v>44935</v>
      </c>
      <c r="BA699" s="1">
        <v>44935</v>
      </c>
      <c r="BB699" s="1">
        <v>52240</v>
      </c>
      <c r="BC699" t="s">
        <v>51</v>
      </c>
      <c r="BE699" t="s">
        <v>54</v>
      </c>
      <c r="BF699">
        <v>2</v>
      </c>
      <c r="BG699">
        <v>0</v>
      </c>
      <c r="BH699" t="s">
        <v>53</v>
      </c>
      <c r="BK699" t="s">
        <v>59</v>
      </c>
      <c r="BL699">
        <v>14000</v>
      </c>
      <c r="BM699" s="1">
        <v>44935</v>
      </c>
      <c r="BN699" s="1">
        <v>44935</v>
      </c>
      <c r="BO699" s="1">
        <v>44935</v>
      </c>
      <c r="BP699" s="1">
        <v>46102</v>
      </c>
      <c r="BQ699" t="s">
        <v>51</v>
      </c>
      <c r="BS699" t="s">
        <v>60</v>
      </c>
      <c r="BT699" t="s">
        <v>54</v>
      </c>
      <c r="BU699" t="s">
        <v>61</v>
      </c>
      <c r="BV699" t="s">
        <v>62</v>
      </c>
      <c r="BX699">
        <v>24</v>
      </c>
      <c r="BY699">
        <v>0</v>
      </c>
      <c r="BZ699">
        <v>0</v>
      </c>
    </row>
    <row r="700" spans="1:78" x14ac:dyDescent="0.2">
      <c r="A700" t="s">
        <v>180</v>
      </c>
      <c r="B700" t="s">
        <v>181</v>
      </c>
      <c r="C700" t="s">
        <v>184</v>
      </c>
      <c r="D700" t="s">
        <v>545</v>
      </c>
      <c r="F700" t="str">
        <f>"250343"</f>
        <v>250343</v>
      </c>
      <c r="G700" t="s">
        <v>49</v>
      </c>
      <c r="H700" s="2">
        <v>45018</v>
      </c>
      <c r="K700" t="s">
        <v>51</v>
      </c>
      <c r="L700" t="s">
        <v>52</v>
      </c>
      <c r="M700">
        <v>136349.57</v>
      </c>
      <c r="N700">
        <v>473325.04</v>
      </c>
      <c r="O700" t="s">
        <v>53</v>
      </c>
      <c r="P700" t="s">
        <v>54</v>
      </c>
      <c r="Q700" t="s">
        <v>55</v>
      </c>
      <c r="T700" t="s">
        <v>466</v>
      </c>
      <c r="U700">
        <v>40</v>
      </c>
      <c r="V700" s="1">
        <v>22828</v>
      </c>
      <c r="W700" s="1">
        <v>22828</v>
      </c>
      <c r="X700" s="1">
        <v>22828</v>
      </c>
      <c r="Y700" s="1">
        <v>37438</v>
      </c>
      <c r="Z700" t="s">
        <v>51</v>
      </c>
      <c r="AB700" t="s">
        <v>54</v>
      </c>
      <c r="AC700">
        <v>1</v>
      </c>
      <c r="AE700" t="s">
        <v>57</v>
      </c>
      <c r="AF700">
        <v>20</v>
      </c>
      <c r="AG700" s="1">
        <v>37073</v>
      </c>
      <c r="AH700" s="1">
        <v>37073</v>
      </c>
      <c r="AI700" s="1">
        <v>37073</v>
      </c>
      <c r="AJ700" s="1">
        <v>44378</v>
      </c>
      <c r="AK700" t="s">
        <v>51</v>
      </c>
      <c r="AN700">
        <v>0</v>
      </c>
      <c r="AO700" t="s">
        <v>54</v>
      </c>
      <c r="AP700" t="s">
        <v>53</v>
      </c>
      <c r="AQ700">
        <v>0</v>
      </c>
      <c r="AR700" t="s">
        <v>53</v>
      </c>
      <c r="AS700">
        <v>0</v>
      </c>
      <c r="AT700">
        <v>0</v>
      </c>
      <c r="AW700" t="s">
        <v>58</v>
      </c>
      <c r="AX700">
        <v>20</v>
      </c>
      <c r="AY700" s="1">
        <v>37073</v>
      </c>
      <c r="AZ700" s="1">
        <v>37073</v>
      </c>
      <c r="BA700" s="1">
        <v>37073</v>
      </c>
      <c r="BB700" s="1">
        <v>44378</v>
      </c>
      <c r="BC700" t="s">
        <v>51</v>
      </c>
      <c r="BE700" t="s">
        <v>54</v>
      </c>
      <c r="BF700">
        <v>2</v>
      </c>
      <c r="BG700">
        <v>0</v>
      </c>
      <c r="BH700" t="s">
        <v>53</v>
      </c>
      <c r="BK700" t="s">
        <v>59</v>
      </c>
      <c r="BL700">
        <v>14000</v>
      </c>
      <c r="BM700" s="1">
        <v>42917</v>
      </c>
      <c r="BN700" s="1">
        <v>42917</v>
      </c>
      <c r="BO700" s="1">
        <v>42917</v>
      </c>
      <c r="BP700" s="1">
        <v>44117</v>
      </c>
      <c r="BQ700" t="s">
        <v>51</v>
      </c>
      <c r="BS700" t="s">
        <v>60</v>
      </c>
      <c r="BT700" t="s">
        <v>54</v>
      </c>
      <c r="BU700" t="s">
        <v>61</v>
      </c>
      <c r="BV700" t="s">
        <v>62</v>
      </c>
      <c r="BX700">
        <v>24</v>
      </c>
      <c r="BY700">
        <v>0</v>
      </c>
      <c r="BZ700">
        <v>0</v>
      </c>
    </row>
    <row r="701" spans="1:78" x14ac:dyDescent="0.2">
      <c r="A701" t="s">
        <v>180</v>
      </c>
      <c r="B701" t="s">
        <v>181</v>
      </c>
      <c r="C701" t="s">
        <v>184</v>
      </c>
      <c r="D701" t="s">
        <v>545</v>
      </c>
      <c r="F701" t="str">
        <f>"250344"</f>
        <v>250344</v>
      </c>
      <c r="G701" t="s">
        <v>49</v>
      </c>
      <c r="H701" t="s">
        <v>236</v>
      </c>
      <c r="K701" t="s">
        <v>51</v>
      </c>
      <c r="L701" t="s">
        <v>52</v>
      </c>
      <c r="M701">
        <v>136326.88</v>
      </c>
      <c r="N701">
        <v>473278.77</v>
      </c>
      <c r="O701" t="s">
        <v>53</v>
      </c>
      <c r="P701" t="s">
        <v>54</v>
      </c>
      <c r="Q701" t="s">
        <v>55</v>
      </c>
      <c r="T701" t="s">
        <v>183</v>
      </c>
      <c r="U701">
        <v>40</v>
      </c>
      <c r="V701" s="1">
        <v>37073</v>
      </c>
      <c r="W701" s="1">
        <v>37073</v>
      </c>
      <c r="X701" s="1">
        <v>37073</v>
      </c>
      <c r="Y701" s="1">
        <v>51683</v>
      </c>
      <c r="Z701" t="s">
        <v>51</v>
      </c>
      <c r="AB701" t="s">
        <v>54</v>
      </c>
      <c r="AC701">
        <v>1</v>
      </c>
      <c r="AE701" t="s">
        <v>546</v>
      </c>
      <c r="AF701">
        <v>20</v>
      </c>
      <c r="AG701" s="1">
        <v>37073</v>
      </c>
      <c r="AH701" s="1">
        <v>37073</v>
      </c>
      <c r="AI701" s="1">
        <v>37073</v>
      </c>
      <c r="AJ701" s="1">
        <v>44378</v>
      </c>
      <c r="AK701" t="s">
        <v>51</v>
      </c>
      <c r="AN701">
        <v>0</v>
      </c>
      <c r="AO701" t="s">
        <v>54</v>
      </c>
      <c r="AP701" t="s">
        <v>53</v>
      </c>
      <c r="AQ701">
        <v>0</v>
      </c>
      <c r="AR701" t="s">
        <v>53</v>
      </c>
      <c r="AS701">
        <v>0</v>
      </c>
      <c r="AT701">
        <v>0</v>
      </c>
      <c r="AW701" t="s">
        <v>58</v>
      </c>
      <c r="AX701">
        <v>20</v>
      </c>
      <c r="AY701" s="1">
        <v>43838</v>
      </c>
      <c r="AZ701" s="1">
        <v>43838</v>
      </c>
      <c r="BA701" s="1">
        <v>43838</v>
      </c>
      <c r="BB701" s="1">
        <v>51143</v>
      </c>
      <c r="BC701" t="s">
        <v>51</v>
      </c>
      <c r="BE701" t="s">
        <v>54</v>
      </c>
      <c r="BF701">
        <v>2</v>
      </c>
      <c r="BG701">
        <v>0</v>
      </c>
      <c r="BH701" t="s">
        <v>53</v>
      </c>
      <c r="BK701" t="s">
        <v>59</v>
      </c>
      <c r="BL701">
        <v>14000</v>
      </c>
      <c r="BM701" s="1">
        <v>43838</v>
      </c>
      <c r="BN701" s="1">
        <v>43838</v>
      </c>
      <c r="BO701" s="1">
        <v>43838</v>
      </c>
      <c r="BP701" s="1">
        <v>45005</v>
      </c>
      <c r="BQ701" t="s">
        <v>51</v>
      </c>
      <c r="BS701" t="s">
        <v>60</v>
      </c>
      <c r="BT701" t="s">
        <v>54</v>
      </c>
      <c r="BU701" t="s">
        <v>61</v>
      </c>
      <c r="BV701" t="s">
        <v>62</v>
      </c>
      <c r="BX701">
        <v>24</v>
      </c>
      <c r="BY701">
        <v>0</v>
      </c>
      <c r="BZ701">
        <v>0</v>
      </c>
    </row>
    <row r="702" spans="1:78" x14ac:dyDescent="0.2">
      <c r="A702" t="s">
        <v>180</v>
      </c>
      <c r="B702" t="s">
        <v>181</v>
      </c>
      <c r="C702" t="s">
        <v>184</v>
      </c>
      <c r="D702" t="s">
        <v>545</v>
      </c>
      <c r="F702" t="str">
        <f>"250345"</f>
        <v>250345</v>
      </c>
      <c r="G702" t="s">
        <v>49</v>
      </c>
      <c r="H702" t="s">
        <v>510</v>
      </c>
      <c r="K702" t="s">
        <v>51</v>
      </c>
      <c r="L702" t="s">
        <v>52</v>
      </c>
      <c r="M702">
        <v>136307.71</v>
      </c>
      <c r="N702">
        <v>473237.15</v>
      </c>
      <c r="O702" t="s">
        <v>53</v>
      </c>
      <c r="P702" t="s">
        <v>54</v>
      </c>
      <c r="Q702" t="s">
        <v>55</v>
      </c>
      <c r="T702" t="s">
        <v>183</v>
      </c>
      <c r="U702">
        <v>40</v>
      </c>
      <c r="V702" s="1">
        <v>22828</v>
      </c>
      <c r="W702" s="1">
        <v>22828</v>
      </c>
      <c r="X702" s="1">
        <v>22828</v>
      </c>
      <c r="Y702" s="1">
        <v>37438</v>
      </c>
      <c r="Z702" t="s">
        <v>51</v>
      </c>
      <c r="AB702" t="s">
        <v>54</v>
      </c>
      <c r="AC702">
        <v>1</v>
      </c>
      <c r="AE702" t="s">
        <v>546</v>
      </c>
      <c r="AF702">
        <v>20</v>
      </c>
      <c r="AG702" s="1">
        <v>37073</v>
      </c>
      <c r="AH702" s="1">
        <v>37073</v>
      </c>
      <c r="AI702" s="1">
        <v>37073</v>
      </c>
      <c r="AJ702" s="1">
        <v>44378</v>
      </c>
      <c r="AK702" t="s">
        <v>51</v>
      </c>
      <c r="AN702">
        <v>0</v>
      </c>
      <c r="AO702" t="s">
        <v>54</v>
      </c>
      <c r="AP702" t="s">
        <v>53</v>
      </c>
      <c r="AQ702">
        <v>0</v>
      </c>
      <c r="AR702" t="s">
        <v>53</v>
      </c>
      <c r="AS702">
        <v>0</v>
      </c>
      <c r="AT702">
        <v>0</v>
      </c>
      <c r="AW702" t="s">
        <v>58</v>
      </c>
      <c r="AX702">
        <v>20</v>
      </c>
      <c r="AY702" s="1">
        <v>37073</v>
      </c>
      <c r="AZ702" s="1">
        <v>37073</v>
      </c>
      <c r="BA702" s="1">
        <v>37073</v>
      </c>
      <c r="BB702" s="1">
        <v>44378</v>
      </c>
      <c r="BC702" t="s">
        <v>51</v>
      </c>
      <c r="BE702" t="s">
        <v>54</v>
      </c>
      <c r="BF702">
        <v>2</v>
      </c>
      <c r="BG702">
        <v>0</v>
      </c>
      <c r="BH702" t="s">
        <v>53</v>
      </c>
      <c r="BK702" t="s">
        <v>59</v>
      </c>
      <c r="BL702">
        <v>14000</v>
      </c>
      <c r="BM702" s="1">
        <v>44942</v>
      </c>
      <c r="BN702" s="1">
        <v>44942</v>
      </c>
      <c r="BO702" s="1">
        <v>44942</v>
      </c>
      <c r="BP702" s="1">
        <v>46112</v>
      </c>
      <c r="BQ702" t="s">
        <v>51</v>
      </c>
      <c r="BS702" t="s">
        <v>60</v>
      </c>
      <c r="BT702" t="s">
        <v>54</v>
      </c>
      <c r="BU702" t="s">
        <v>61</v>
      </c>
      <c r="BV702" t="s">
        <v>62</v>
      </c>
      <c r="BX702">
        <v>24</v>
      </c>
      <c r="BY702">
        <v>0</v>
      </c>
      <c r="BZ702">
        <v>0</v>
      </c>
    </row>
    <row r="703" spans="1:78" x14ac:dyDescent="0.2">
      <c r="A703" t="s">
        <v>180</v>
      </c>
      <c r="B703" t="s">
        <v>181</v>
      </c>
      <c r="C703" t="s">
        <v>184</v>
      </c>
      <c r="D703" t="s">
        <v>545</v>
      </c>
      <c r="F703" t="str">
        <f>"250346"</f>
        <v>250346</v>
      </c>
      <c r="G703" t="s">
        <v>49</v>
      </c>
      <c r="H703" t="s">
        <v>166</v>
      </c>
      <c r="K703" t="s">
        <v>51</v>
      </c>
      <c r="L703" t="s">
        <v>52</v>
      </c>
      <c r="M703">
        <v>136286.01</v>
      </c>
      <c r="N703">
        <v>473194.61</v>
      </c>
      <c r="O703" t="s">
        <v>53</v>
      </c>
      <c r="P703" t="s">
        <v>54</v>
      </c>
      <c r="Q703" t="s">
        <v>55</v>
      </c>
      <c r="T703" t="s">
        <v>183</v>
      </c>
      <c r="U703">
        <v>40</v>
      </c>
      <c r="V703" s="1">
        <v>37073</v>
      </c>
      <c r="W703" s="1">
        <v>37073</v>
      </c>
      <c r="X703" s="1">
        <v>37073</v>
      </c>
      <c r="Y703" s="1">
        <v>51683</v>
      </c>
      <c r="Z703" t="s">
        <v>51</v>
      </c>
      <c r="AB703" t="s">
        <v>54</v>
      </c>
      <c r="AC703">
        <v>1</v>
      </c>
      <c r="AE703" t="s">
        <v>546</v>
      </c>
      <c r="AF703">
        <v>20</v>
      </c>
      <c r="AG703" s="1">
        <v>37073</v>
      </c>
      <c r="AH703" s="1">
        <v>37073</v>
      </c>
      <c r="AI703" s="1">
        <v>37073</v>
      </c>
      <c r="AJ703" s="1">
        <v>44378</v>
      </c>
      <c r="AK703" t="s">
        <v>51</v>
      </c>
      <c r="AN703">
        <v>0</v>
      </c>
      <c r="AO703" t="s">
        <v>54</v>
      </c>
      <c r="AP703" t="s">
        <v>53</v>
      </c>
      <c r="AQ703">
        <v>0</v>
      </c>
      <c r="AR703" t="s">
        <v>53</v>
      </c>
      <c r="AS703">
        <v>0</v>
      </c>
      <c r="AT703">
        <v>0</v>
      </c>
      <c r="AW703" t="s">
        <v>58</v>
      </c>
      <c r="AX703">
        <v>20</v>
      </c>
      <c r="AY703" s="1">
        <v>37073</v>
      </c>
      <c r="AZ703" s="1">
        <v>37073</v>
      </c>
      <c r="BA703" s="1">
        <v>37073</v>
      </c>
      <c r="BB703" s="1">
        <v>44378</v>
      </c>
      <c r="BC703" t="s">
        <v>51</v>
      </c>
      <c r="BE703" t="s">
        <v>54</v>
      </c>
      <c r="BF703">
        <v>2</v>
      </c>
      <c r="BG703">
        <v>0</v>
      </c>
      <c r="BH703" t="s">
        <v>53</v>
      </c>
      <c r="BK703" t="s">
        <v>59</v>
      </c>
      <c r="BL703">
        <v>14000</v>
      </c>
      <c r="BM703" s="1">
        <v>42917</v>
      </c>
      <c r="BN703" s="1">
        <v>42917</v>
      </c>
      <c r="BO703" s="1">
        <v>42917</v>
      </c>
      <c r="BP703" s="1">
        <v>44117</v>
      </c>
      <c r="BQ703" t="s">
        <v>51</v>
      </c>
      <c r="BS703" t="s">
        <v>60</v>
      </c>
      <c r="BT703" t="s">
        <v>54</v>
      </c>
      <c r="BU703" t="s">
        <v>61</v>
      </c>
      <c r="BV703" t="s">
        <v>62</v>
      </c>
      <c r="BX703">
        <v>24</v>
      </c>
      <c r="BY703">
        <v>0</v>
      </c>
      <c r="BZ703">
        <v>0</v>
      </c>
    </row>
    <row r="704" spans="1:78" x14ac:dyDescent="0.2">
      <c r="A704" t="s">
        <v>180</v>
      </c>
      <c r="B704" t="s">
        <v>181</v>
      </c>
      <c r="C704" t="s">
        <v>184</v>
      </c>
      <c r="D704" t="s">
        <v>545</v>
      </c>
      <c r="F704" t="str">
        <f>"250347"</f>
        <v>250347</v>
      </c>
      <c r="G704" t="s">
        <v>49</v>
      </c>
      <c r="H704" s="2">
        <v>45176</v>
      </c>
      <c r="K704" t="s">
        <v>51</v>
      </c>
      <c r="L704" t="s">
        <v>52</v>
      </c>
      <c r="M704">
        <v>136197.63</v>
      </c>
      <c r="N704">
        <v>473010.61</v>
      </c>
      <c r="O704" t="s">
        <v>53</v>
      </c>
      <c r="P704" t="s">
        <v>54</v>
      </c>
      <c r="Q704" t="s">
        <v>55</v>
      </c>
      <c r="T704" t="s">
        <v>183</v>
      </c>
      <c r="U704">
        <v>40</v>
      </c>
      <c r="V704" s="1">
        <v>37073</v>
      </c>
      <c r="W704" s="1">
        <v>37073</v>
      </c>
      <c r="X704" s="1">
        <v>37073</v>
      </c>
      <c r="Y704" s="1">
        <v>51683</v>
      </c>
      <c r="Z704" t="s">
        <v>51</v>
      </c>
      <c r="AB704" t="s">
        <v>54</v>
      </c>
      <c r="AC704">
        <v>1</v>
      </c>
      <c r="AE704" t="s">
        <v>84</v>
      </c>
      <c r="AF704">
        <v>20</v>
      </c>
      <c r="AG704" s="1">
        <v>37073</v>
      </c>
      <c r="AH704" s="1">
        <v>37073</v>
      </c>
      <c r="AI704" s="1">
        <v>37073</v>
      </c>
      <c r="AJ704" s="1">
        <v>44378</v>
      </c>
      <c r="AK704" t="s">
        <v>51</v>
      </c>
      <c r="AN704">
        <v>0</v>
      </c>
      <c r="AO704" t="s">
        <v>54</v>
      </c>
      <c r="AP704" t="s">
        <v>53</v>
      </c>
      <c r="AQ704">
        <v>0</v>
      </c>
      <c r="AR704" t="s">
        <v>53</v>
      </c>
      <c r="AS704">
        <v>0</v>
      </c>
      <c r="AT704">
        <v>0</v>
      </c>
      <c r="AW704" t="s">
        <v>58</v>
      </c>
      <c r="AX704">
        <v>20</v>
      </c>
      <c r="AY704" s="1">
        <v>43549</v>
      </c>
      <c r="AZ704" s="1">
        <v>43549</v>
      </c>
      <c r="BA704" s="1">
        <v>43549</v>
      </c>
      <c r="BB704" s="1">
        <v>50854</v>
      </c>
      <c r="BC704" t="s">
        <v>51</v>
      </c>
      <c r="BE704" t="s">
        <v>54</v>
      </c>
      <c r="BF704">
        <v>2</v>
      </c>
      <c r="BG704">
        <v>0</v>
      </c>
      <c r="BH704" t="s">
        <v>53</v>
      </c>
      <c r="BK704" t="s">
        <v>59</v>
      </c>
      <c r="BL704">
        <v>14000</v>
      </c>
      <c r="BM704" s="1">
        <v>43549</v>
      </c>
      <c r="BN704" s="1">
        <v>43549</v>
      </c>
      <c r="BO704" s="1">
        <v>43549</v>
      </c>
      <c r="BP704" s="1">
        <v>44769</v>
      </c>
      <c r="BQ704" t="s">
        <v>51</v>
      </c>
      <c r="BS704" t="s">
        <v>60</v>
      </c>
      <c r="BT704" t="s">
        <v>54</v>
      </c>
      <c r="BU704" t="s">
        <v>61</v>
      </c>
      <c r="BV704" t="s">
        <v>62</v>
      </c>
      <c r="BX704">
        <v>24</v>
      </c>
      <c r="BY704">
        <v>0</v>
      </c>
      <c r="BZ704">
        <v>0</v>
      </c>
    </row>
    <row r="705" spans="1:78" x14ac:dyDescent="0.2">
      <c r="A705" t="s">
        <v>180</v>
      </c>
      <c r="B705" t="s">
        <v>181</v>
      </c>
      <c r="C705" t="s">
        <v>184</v>
      </c>
      <c r="D705" t="s">
        <v>545</v>
      </c>
      <c r="F705" t="str">
        <f>"250348"</f>
        <v>250348</v>
      </c>
      <c r="G705" t="s">
        <v>49</v>
      </c>
      <c r="H705" t="s">
        <v>262</v>
      </c>
      <c r="K705" t="s">
        <v>51</v>
      </c>
      <c r="L705" t="s">
        <v>52</v>
      </c>
      <c r="M705">
        <v>136243.28</v>
      </c>
      <c r="N705">
        <v>473108.1</v>
      </c>
      <c r="O705" t="s">
        <v>53</v>
      </c>
      <c r="P705" t="s">
        <v>54</v>
      </c>
      <c r="Q705" t="s">
        <v>55</v>
      </c>
      <c r="T705" t="s">
        <v>183</v>
      </c>
      <c r="U705">
        <v>40</v>
      </c>
      <c r="V705" s="1">
        <v>37073</v>
      </c>
      <c r="W705" s="1">
        <v>37073</v>
      </c>
      <c r="X705" s="1">
        <v>37073</v>
      </c>
      <c r="Y705" s="1">
        <v>51683</v>
      </c>
      <c r="Z705" t="s">
        <v>51</v>
      </c>
      <c r="AB705" t="s">
        <v>54</v>
      </c>
      <c r="AC705">
        <v>1</v>
      </c>
      <c r="AE705" t="s">
        <v>546</v>
      </c>
      <c r="AF705">
        <v>20</v>
      </c>
      <c r="AG705" s="1">
        <v>37073</v>
      </c>
      <c r="AH705" s="1">
        <v>37073</v>
      </c>
      <c r="AI705" s="1">
        <v>37073</v>
      </c>
      <c r="AJ705" s="1">
        <v>44378</v>
      </c>
      <c r="AK705" t="s">
        <v>51</v>
      </c>
      <c r="AN705">
        <v>0</v>
      </c>
      <c r="AO705" t="s">
        <v>54</v>
      </c>
      <c r="AP705" t="s">
        <v>53</v>
      </c>
      <c r="AQ705">
        <v>0</v>
      </c>
      <c r="AR705" t="s">
        <v>53</v>
      </c>
      <c r="AS705">
        <v>0</v>
      </c>
      <c r="AT705">
        <v>0</v>
      </c>
      <c r="AW705" t="s">
        <v>58</v>
      </c>
      <c r="AX705">
        <v>20</v>
      </c>
      <c r="AY705" s="1">
        <v>37073</v>
      </c>
      <c r="AZ705" s="1">
        <v>37073</v>
      </c>
      <c r="BA705" s="1">
        <v>37073</v>
      </c>
      <c r="BB705" s="1">
        <v>44378</v>
      </c>
      <c r="BC705" t="s">
        <v>51</v>
      </c>
      <c r="BE705" t="s">
        <v>54</v>
      </c>
      <c r="BF705">
        <v>2</v>
      </c>
      <c r="BG705">
        <v>0</v>
      </c>
      <c r="BH705" t="s">
        <v>53</v>
      </c>
      <c r="BK705" t="s">
        <v>59</v>
      </c>
      <c r="BL705">
        <v>14000</v>
      </c>
      <c r="BM705" s="1">
        <v>42917</v>
      </c>
      <c r="BN705" s="1">
        <v>42917</v>
      </c>
      <c r="BO705" s="1">
        <v>42917</v>
      </c>
      <c r="BP705" s="1">
        <v>44117</v>
      </c>
      <c r="BQ705" t="s">
        <v>51</v>
      </c>
      <c r="BS705" t="s">
        <v>60</v>
      </c>
      <c r="BT705" t="s">
        <v>54</v>
      </c>
      <c r="BU705" t="s">
        <v>61</v>
      </c>
      <c r="BV705" t="s">
        <v>62</v>
      </c>
      <c r="BX705">
        <v>24</v>
      </c>
      <c r="BY705">
        <v>0</v>
      </c>
      <c r="BZ705">
        <v>0</v>
      </c>
    </row>
    <row r="706" spans="1:78" x14ac:dyDescent="0.2">
      <c r="A706" t="s">
        <v>180</v>
      </c>
      <c r="B706" t="s">
        <v>181</v>
      </c>
      <c r="C706" t="s">
        <v>184</v>
      </c>
      <c r="D706" t="s">
        <v>545</v>
      </c>
      <c r="F706" t="str">
        <f>"250349"</f>
        <v>250349</v>
      </c>
      <c r="G706" t="s">
        <v>49</v>
      </c>
      <c r="H706" t="s">
        <v>262</v>
      </c>
      <c r="K706" t="s">
        <v>51</v>
      </c>
      <c r="L706" t="s">
        <v>52</v>
      </c>
      <c r="M706">
        <v>136221.45000000001</v>
      </c>
      <c r="N706">
        <v>473060.43</v>
      </c>
      <c r="O706" t="s">
        <v>53</v>
      </c>
      <c r="P706" t="s">
        <v>54</v>
      </c>
      <c r="Q706" t="s">
        <v>55</v>
      </c>
      <c r="T706" t="s">
        <v>466</v>
      </c>
      <c r="U706">
        <v>40</v>
      </c>
      <c r="V706" s="1">
        <v>37073</v>
      </c>
      <c r="W706" s="1">
        <v>37073</v>
      </c>
      <c r="X706" s="1">
        <v>37073</v>
      </c>
      <c r="Y706" s="1">
        <v>51683</v>
      </c>
      <c r="Z706" t="s">
        <v>51</v>
      </c>
      <c r="AB706" t="s">
        <v>54</v>
      </c>
      <c r="AC706">
        <v>1</v>
      </c>
      <c r="AE706" t="s">
        <v>546</v>
      </c>
      <c r="AF706">
        <v>20</v>
      </c>
      <c r="AG706" s="1">
        <v>37073</v>
      </c>
      <c r="AH706" s="1">
        <v>37073</v>
      </c>
      <c r="AI706" s="1">
        <v>37073</v>
      </c>
      <c r="AJ706" s="1">
        <v>44378</v>
      </c>
      <c r="AK706" t="s">
        <v>51</v>
      </c>
      <c r="AN706">
        <v>0</v>
      </c>
      <c r="AO706" t="s">
        <v>54</v>
      </c>
      <c r="AP706" t="s">
        <v>53</v>
      </c>
      <c r="AQ706">
        <v>0</v>
      </c>
      <c r="AR706" t="s">
        <v>53</v>
      </c>
      <c r="AS706">
        <v>0</v>
      </c>
      <c r="AT706">
        <v>0</v>
      </c>
      <c r="AW706" t="s">
        <v>58</v>
      </c>
      <c r="AX706">
        <v>20</v>
      </c>
      <c r="AY706" s="1">
        <v>43865</v>
      </c>
      <c r="AZ706" s="1">
        <v>43865</v>
      </c>
      <c r="BA706" s="1">
        <v>43865</v>
      </c>
      <c r="BB706" s="1">
        <v>51170</v>
      </c>
      <c r="BC706" t="s">
        <v>51</v>
      </c>
      <c r="BE706" t="s">
        <v>54</v>
      </c>
      <c r="BF706">
        <v>2</v>
      </c>
      <c r="BG706">
        <v>0</v>
      </c>
      <c r="BH706" t="s">
        <v>53</v>
      </c>
      <c r="BK706" t="s">
        <v>85</v>
      </c>
      <c r="BL706">
        <v>50000</v>
      </c>
      <c r="BM706" s="1">
        <v>44589</v>
      </c>
      <c r="BN706" s="1">
        <v>44589</v>
      </c>
      <c r="BO706" s="1">
        <v>44589</v>
      </c>
      <c r="BP706" s="1">
        <v>48852</v>
      </c>
      <c r="BQ706" t="s">
        <v>51</v>
      </c>
      <c r="BS706" t="s">
        <v>60</v>
      </c>
      <c r="BT706" t="s">
        <v>54</v>
      </c>
      <c r="BU706" t="s">
        <v>61</v>
      </c>
      <c r="BV706" t="s">
        <v>86</v>
      </c>
      <c r="BX706">
        <v>13</v>
      </c>
      <c r="BY706">
        <v>1430</v>
      </c>
      <c r="BZ706">
        <v>0</v>
      </c>
    </row>
    <row r="707" spans="1:78" x14ac:dyDescent="0.2">
      <c r="A707" t="s">
        <v>180</v>
      </c>
      <c r="B707" t="s">
        <v>181</v>
      </c>
      <c r="C707" t="s">
        <v>184</v>
      </c>
      <c r="D707" t="s">
        <v>545</v>
      </c>
      <c r="F707" t="str">
        <f>"250351"</f>
        <v>250351</v>
      </c>
      <c r="G707" t="s">
        <v>49</v>
      </c>
      <c r="H707" s="2">
        <v>45176</v>
      </c>
      <c r="K707" t="s">
        <v>51</v>
      </c>
      <c r="L707" t="s">
        <v>52</v>
      </c>
      <c r="M707">
        <v>136170.85</v>
      </c>
      <c r="N707">
        <v>472957.8</v>
      </c>
      <c r="O707" t="s">
        <v>53</v>
      </c>
      <c r="P707" t="s">
        <v>54</v>
      </c>
      <c r="Q707" t="s">
        <v>55</v>
      </c>
      <c r="T707" t="s">
        <v>183</v>
      </c>
      <c r="U707">
        <v>40</v>
      </c>
      <c r="V707" s="1">
        <v>37073</v>
      </c>
      <c r="W707" s="1">
        <v>37073</v>
      </c>
      <c r="X707" s="1">
        <v>37073</v>
      </c>
      <c r="Y707" s="1">
        <v>51683</v>
      </c>
      <c r="Z707" t="s">
        <v>51</v>
      </c>
      <c r="AB707" t="s">
        <v>54</v>
      </c>
      <c r="AC707">
        <v>1</v>
      </c>
      <c r="AE707" t="s">
        <v>546</v>
      </c>
      <c r="AF707">
        <v>20</v>
      </c>
      <c r="AG707" s="1">
        <v>37073</v>
      </c>
      <c r="AH707" s="1">
        <v>37073</v>
      </c>
      <c r="AI707" s="1">
        <v>37073</v>
      </c>
      <c r="AJ707" s="1">
        <v>44378</v>
      </c>
      <c r="AK707" t="s">
        <v>51</v>
      </c>
      <c r="AN707">
        <v>0</v>
      </c>
      <c r="AO707" t="s">
        <v>54</v>
      </c>
      <c r="AP707" t="s">
        <v>53</v>
      </c>
      <c r="AQ707">
        <v>0</v>
      </c>
      <c r="AR707" t="s">
        <v>53</v>
      </c>
      <c r="AS707">
        <v>0</v>
      </c>
      <c r="AT707">
        <v>0</v>
      </c>
      <c r="AW707" t="s">
        <v>58</v>
      </c>
      <c r="AX707">
        <v>20</v>
      </c>
      <c r="AY707" s="1">
        <v>37073</v>
      </c>
      <c r="AZ707" s="1">
        <v>37073</v>
      </c>
      <c r="BA707" s="1">
        <v>37073</v>
      </c>
      <c r="BB707" s="1">
        <v>44378</v>
      </c>
      <c r="BC707" t="s">
        <v>51</v>
      </c>
      <c r="BE707" t="s">
        <v>54</v>
      </c>
      <c r="BF707">
        <v>2</v>
      </c>
      <c r="BG707">
        <v>0</v>
      </c>
      <c r="BH707" t="s">
        <v>53</v>
      </c>
      <c r="BK707" t="s">
        <v>59</v>
      </c>
      <c r="BL707">
        <v>14000</v>
      </c>
      <c r="BM707" s="1">
        <v>42917</v>
      </c>
      <c r="BN707" s="1">
        <v>42917</v>
      </c>
      <c r="BO707" s="1">
        <v>42917</v>
      </c>
      <c r="BP707" s="1">
        <v>44117</v>
      </c>
      <c r="BQ707" t="s">
        <v>51</v>
      </c>
      <c r="BS707" t="s">
        <v>60</v>
      </c>
      <c r="BT707" t="s">
        <v>54</v>
      </c>
      <c r="BU707" t="s">
        <v>61</v>
      </c>
      <c r="BV707" t="s">
        <v>62</v>
      </c>
      <c r="BX707">
        <v>24</v>
      </c>
      <c r="BY707">
        <v>0</v>
      </c>
      <c r="BZ707">
        <v>0</v>
      </c>
    </row>
    <row r="708" spans="1:78" x14ac:dyDescent="0.2">
      <c r="A708" t="s">
        <v>180</v>
      </c>
      <c r="B708" t="s">
        <v>181</v>
      </c>
      <c r="C708" t="s">
        <v>184</v>
      </c>
      <c r="D708" t="s">
        <v>545</v>
      </c>
      <c r="F708" t="str">
        <f>"250352"</f>
        <v>250352</v>
      </c>
      <c r="G708" t="s">
        <v>49</v>
      </c>
      <c r="K708" t="s">
        <v>51</v>
      </c>
      <c r="L708" t="s">
        <v>52</v>
      </c>
      <c r="M708">
        <v>136136.87</v>
      </c>
      <c r="N708">
        <v>472906.72</v>
      </c>
      <c r="O708" t="s">
        <v>53</v>
      </c>
      <c r="P708" t="s">
        <v>54</v>
      </c>
      <c r="Q708" t="s">
        <v>55</v>
      </c>
      <c r="T708" t="s">
        <v>466</v>
      </c>
      <c r="U708">
        <v>40</v>
      </c>
      <c r="V708" s="1">
        <v>37073</v>
      </c>
      <c r="W708" s="1">
        <v>37073</v>
      </c>
      <c r="X708" s="1">
        <v>37073</v>
      </c>
      <c r="Y708" s="1">
        <v>51683</v>
      </c>
      <c r="Z708" t="s">
        <v>51</v>
      </c>
      <c r="AB708" t="s">
        <v>54</v>
      </c>
      <c r="AC708">
        <v>1</v>
      </c>
      <c r="AE708" t="s">
        <v>546</v>
      </c>
      <c r="AF708">
        <v>20</v>
      </c>
      <c r="AG708" s="1">
        <v>37073</v>
      </c>
      <c r="AH708" s="1">
        <v>37073</v>
      </c>
      <c r="AI708" s="1">
        <v>37073</v>
      </c>
      <c r="AJ708" s="1">
        <v>44378</v>
      </c>
      <c r="AK708" t="s">
        <v>51</v>
      </c>
      <c r="AN708">
        <v>0</v>
      </c>
      <c r="AO708" t="s">
        <v>54</v>
      </c>
      <c r="AP708" t="s">
        <v>53</v>
      </c>
      <c r="AQ708">
        <v>0</v>
      </c>
      <c r="AR708" t="s">
        <v>53</v>
      </c>
      <c r="AS708">
        <v>0</v>
      </c>
      <c r="AT708">
        <v>0</v>
      </c>
      <c r="AW708" t="s">
        <v>58</v>
      </c>
      <c r="AX708">
        <v>20</v>
      </c>
      <c r="AY708" s="1">
        <v>37073</v>
      </c>
      <c r="AZ708" s="1">
        <v>37073</v>
      </c>
      <c r="BA708" s="1">
        <v>37073</v>
      </c>
      <c r="BB708" s="1">
        <v>44378</v>
      </c>
      <c r="BC708" t="s">
        <v>51</v>
      </c>
      <c r="BE708" t="s">
        <v>54</v>
      </c>
      <c r="BF708">
        <v>2</v>
      </c>
      <c r="BG708">
        <v>0</v>
      </c>
      <c r="BH708" t="s">
        <v>53</v>
      </c>
      <c r="BK708" t="s">
        <v>59</v>
      </c>
      <c r="BL708">
        <v>14000</v>
      </c>
      <c r="BM708" s="1">
        <v>42917</v>
      </c>
      <c r="BN708" s="1">
        <v>42917</v>
      </c>
      <c r="BO708" s="1">
        <v>42917</v>
      </c>
      <c r="BP708" s="1">
        <v>44117</v>
      </c>
      <c r="BQ708" t="s">
        <v>51</v>
      </c>
      <c r="BS708" t="s">
        <v>60</v>
      </c>
      <c r="BT708" t="s">
        <v>54</v>
      </c>
      <c r="BU708" t="s">
        <v>61</v>
      </c>
      <c r="BV708" t="s">
        <v>62</v>
      </c>
      <c r="BX708">
        <v>24</v>
      </c>
      <c r="BY708">
        <v>0</v>
      </c>
      <c r="BZ708">
        <v>0</v>
      </c>
    </row>
    <row r="709" spans="1:78" x14ac:dyDescent="0.2">
      <c r="A709" t="s">
        <v>180</v>
      </c>
      <c r="B709" t="s">
        <v>181</v>
      </c>
      <c r="C709" t="s">
        <v>184</v>
      </c>
      <c r="D709" t="s">
        <v>545</v>
      </c>
      <c r="F709" t="str">
        <f>"250353"</f>
        <v>250353</v>
      </c>
      <c r="G709" t="s">
        <v>49</v>
      </c>
      <c r="H709" s="2">
        <v>45176</v>
      </c>
      <c r="K709" t="s">
        <v>51</v>
      </c>
      <c r="L709" t="s">
        <v>52</v>
      </c>
      <c r="M709">
        <v>136110.37</v>
      </c>
      <c r="N709">
        <v>472857.04</v>
      </c>
      <c r="O709" t="s">
        <v>53</v>
      </c>
      <c r="P709" t="s">
        <v>54</v>
      </c>
      <c r="Q709" t="s">
        <v>55</v>
      </c>
      <c r="T709" t="s">
        <v>466</v>
      </c>
      <c r="U709">
        <v>40</v>
      </c>
      <c r="V709" s="1">
        <v>22828</v>
      </c>
      <c r="W709" s="1">
        <v>22828</v>
      </c>
      <c r="X709" s="1">
        <v>22828</v>
      </c>
      <c r="Y709" s="1">
        <v>37438</v>
      </c>
      <c r="Z709" t="s">
        <v>51</v>
      </c>
      <c r="AB709" t="s">
        <v>54</v>
      </c>
      <c r="AC709">
        <v>1</v>
      </c>
      <c r="AE709" t="s">
        <v>546</v>
      </c>
      <c r="AF709">
        <v>20</v>
      </c>
      <c r="AG709" s="1">
        <v>37073</v>
      </c>
      <c r="AH709" s="1">
        <v>37073</v>
      </c>
      <c r="AI709" s="1">
        <v>37073</v>
      </c>
      <c r="AJ709" s="1">
        <v>44378</v>
      </c>
      <c r="AK709" t="s">
        <v>51</v>
      </c>
      <c r="AN709">
        <v>0</v>
      </c>
      <c r="AO709" t="s">
        <v>54</v>
      </c>
      <c r="AP709" t="s">
        <v>53</v>
      </c>
      <c r="AQ709">
        <v>0</v>
      </c>
      <c r="AR709" t="s">
        <v>53</v>
      </c>
      <c r="AS709">
        <v>0</v>
      </c>
      <c r="AT709">
        <v>0</v>
      </c>
      <c r="AW709" t="s">
        <v>58</v>
      </c>
      <c r="AX709">
        <v>20</v>
      </c>
      <c r="AY709" s="1">
        <v>37073</v>
      </c>
      <c r="AZ709" s="1">
        <v>37073</v>
      </c>
      <c r="BA709" s="1">
        <v>37073</v>
      </c>
      <c r="BB709" s="1">
        <v>44378</v>
      </c>
      <c r="BC709" t="s">
        <v>51</v>
      </c>
      <c r="BE709" t="s">
        <v>54</v>
      </c>
      <c r="BF709">
        <v>2</v>
      </c>
      <c r="BG709">
        <v>0</v>
      </c>
      <c r="BH709" t="s">
        <v>53</v>
      </c>
      <c r="BK709" t="s">
        <v>59</v>
      </c>
      <c r="BL709">
        <v>14000</v>
      </c>
      <c r="BM709" s="1">
        <v>42917</v>
      </c>
      <c r="BN709" s="1">
        <v>42917</v>
      </c>
      <c r="BO709" s="1">
        <v>42917</v>
      </c>
      <c r="BP709" s="1">
        <v>44117</v>
      </c>
      <c r="BQ709" t="s">
        <v>51</v>
      </c>
      <c r="BS709" t="s">
        <v>60</v>
      </c>
      <c r="BT709" t="s">
        <v>54</v>
      </c>
      <c r="BU709" t="s">
        <v>61</v>
      </c>
      <c r="BV709" t="s">
        <v>62</v>
      </c>
      <c r="BX709">
        <v>24</v>
      </c>
      <c r="BY709">
        <v>0</v>
      </c>
      <c r="BZ709">
        <v>0</v>
      </c>
    </row>
    <row r="710" spans="1:78" x14ac:dyDescent="0.2">
      <c r="A710" t="s">
        <v>180</v>
      </c>
      <c r="B710" t="s">
        <v>181</v>
      </c>
      <c r="C710" t="s">
        <v>184</v>
      </c>
      <c r="D710" t="s">
        <v>545</v>
      </c>
      <c r="F710" t="str">
        <f>"250354"</f>
        <v>250354</v>
      </c>
      <c r="G710" t="s">
        <v>49</v>
      </c>
      <c r="H710" t="s">
        <v>547</v>
      </c>
      <c r="K710" t="s">
        <v>51</v>
      </c>
      <c r="L710" t="s">
        <v>52</v>
      </c>
      <c r="M710">
        <v>136085.69</v>
      </c>
      <c r="N710">
        <v>472804.02</v>
      </c>
      <c r="O710" t="s">
        <v>53</v>
      </c>
      <c r="P710" t="s">
        <v>54</v>
      </c>
      <c r="Q710" t="s">
        <v>55</v>
      </c>
      <c r="T710" t="s">
        <v>183</v>
      </c>
      <c r="U710">
        <v>40</v>
      </c>
      <c r="V710" s="1">
        <v>37073</v>
      </c>
      <c r="W710" s="1">
        <v>37073</v>
      </c>
      <c r="X710" s="1">
        <v>37073</v>
      </c>
      <c r="Y710" s="1">
        <v>51683</v>
      </c>
      <c r="Z710" t="s">
        <v>51</v>
      </c>
      <c r="AB710" t="s">
        <v>54</v>
      </c>
      <c r="AC710">
        <v>1</v>
      </c>
      <c r="AE710" t="s">
        <v>546</v>
      </c>
      <c r="AF710">
        <v>20</v>
      </c>
      <c r="AG710" s="1">
        <v>37073</v>
      </c>
      <c r="AH710" s="1">
        <v>37073</v>
      </c>
      <c r="AI710" s="1">
        <v>37073</v>
      </c>
      <c r="AJ710" s="1">
        <v>44378</v>
      </c>
      <c r="AK710" t="s">
        <v>51</v>
      </c>
      <c r="AN710">
        <v>0</v>
      </c>
      <c r="AO710" t="s">
        <v>54</v>
      </c>
      <c r="AP710" t="s">
        <v>53</v>
      </c>
      <c r="AQ710">
        <v>0</v>
      </c>
      <c r="AR710" t="s">
        <v>53</v>
      </c>
      <c r="AS710">
        <v>0</v>
      </c>
      <c r="AT710">
        <v>0</v>
      </c>
      <c r="AW710" t="s">
        <v>58</v>
      </c>
      <c r="AX710">
        <v>20</v>
      </c>
      <c r="AY710" s="1">
        <v>44487</v>
      </c>
      <c r="AZ710" s="1">
        <v>44487</v>
      </c>
      <c r="BA710" s="1">
        <v>44487</v>
      </c>
      <c r="BB710" s="1">
        <v>51792</v>
      </c>
      <c r="BC710" t="s">
        <v>51</v>
      </c>
      <c r="BE710" t="s">
        <v>54</v>
      </c>
      <c r="BF710">
        <v>2</v>
      </c>
      <c r="BG710">
        <v>0</v>
      </c>
      <c r="BH710" t="s">
        <v>53</v>
      </c>
      <c r="BK710" t="s">
        <v>59</v>
      </c>
      <c r="BL710">
        <v>14000</v>
      </c>
      <c r="BM710" s="1">
        <v>44487</v>
      </c>
      <c r="BN710" s="1">
        <v>44487</v>
      </c>
      <c r="BO710" s="1">
        <v>44487</v>
      </c>
      <c r="BP710" s="1">
        <v>45648</v>
      </c>
      <c r="BQ710" t="s">
        <v>51</v>
      </c>
      <c r="BS710" t="s">
        <v>60</v>
      </c>
      <c r="BT710" t="s">
        <v>54</v>
      </c>
      <c r="BU710" t="s">
        <v>61</v>
      </c>
      <c r="BV710" t="s">
        <v>62</v>
      </c>
      <c r="BX710">
        <v>24</v>
      </c>
      <c r="BY710">
        <v>0</v>
      </c>
      <c r="BZ710">
        <v>0</v>
      </c>
    </row>
    <row r="711" spans="1:78" x14ac:dyDescent="0.2">
      <c r="A711" t="s">
        <v>180</v>
      </c>
      <c r="B711" t="s">
        <v>181</v>
      </c>
      <c r="C711" t="s">
        <v>184</v>
      </c>
      <c r="D711" t="s">
        <v>545</v>
      </c>
      <c r="F711" t="str">
        <f>"250355"</f>
        <v>250355</v>
      </c>
      <c r="G711" t="s">
        <v>49</v>
      </c>
      <c r="H711" t="s">
        <v>261</v>
      </c>
      <c r="K711" t="s">
        <v>51</v>
      </c>
      <c r="L711" t="s">
        <v>52</v>
      </c>
      <c r="M711">
        <v>136062.72</v>
      </c>
      <c r="N711">
        <v>472757.93</v>
      </c>
      <c r="O711" t="s">
        <v>53</v>
      </c>
      <c r="P711" t="s">
        <v>54</v>
      </c>
      <c r="Q711" t="s">
        <v>55</v>
      </c>
      <c r="T711" t="s">
        <v>183</v>
      </c>
      <c r="U711">
        <v>40</v>
      </c>
      <c r="V711" s="1">
        <v>38534</v>
      </c>
      <c r="W711" s="1">
        <v>38534</v>
      </c>
      <c r="X711" s="1">
        <v>38534</v>
      </c>
      <c r="Y711" s="1">
        <v>53144</v>
      </c>
      <c r="Z711" t="s">
        <v>51</v>
      </c>
      <c r="AB711" t="s">
        <v>54</v>
      </c>
      <c r="AC711">
        <v>1</v>
      </c>
      <c r="AE711" t="s">
        <v>546</v>
      </c>
      <c r="AF711">
        <v>20</v>
      </c>
      <c r="AG711" s="1">
        <v>38534</v>
      </c>
      <c r="AH711" s="1">
        <v>38534</v>
      </c>
      <c r="AI711" s="1">
        <v>38534</v>
      </c>
      <c r="AJ711" s="1">
        <v>45839</v>
      </c>
      <c r="AK711" t="s">
        <v>51</v>
      </c>
      <c r="AN711">
        <v>0</v>
      </c>
      <c r="AO711" t="s">
        <v>54</v>
      </c>
      <c r="AP711" t="s">
        <v>53</v>
      </c>
      <c r="AQ711">
        <v>0</v>
      </c>
      <c r="AR711" t="s">
        <v>53</v>
      </c>
      <c r="AS711">
        <v>0</v>
      </c>
      <c r="AT711">
        <v>0</v>
      </c>
      <c r="AW711" t="s">
        <v>58</v>
      </c>
      <c r="AX711">
        <v>20</v>
      </c>
      <c r="AY711" s="1">
        <v>38534</v>
      </c>
      <c r="AZ711" s="1">
        <v>38534</v>
      </c>
      <c r="BA711" s="1">
        <v>38534</v>
      </c>
      <c r="BB711" s="1">
        <v>45839</v>
      </c>
      <c r="BC711" t="s">
        <v>51</v>
      </c>
      <c r="BE711" t="s">
        <v>54</v>
      </c>
      <c r="BF711">
        <v>2</v>
      </c>
      <c r="BG711">
        <v>0</v>
      </c>
      <c r="BH711" t="s">
        <v>53</v>
      </c>
      <c r="BK711" t="s">
        <v>59</v>
      </c>
      <c r="BL711">
        <v>14000</v>
      </c>
      <c r="BM711" s="1">
        <v>44662</v>
      </c>
      <c r="BN711" s="1">
        <v>44662</v>
      </c>
      <c r="BO711" s="1">
        <v>44662</v>
      </c>
      <c r="BP711" s="1">
        <v>45885</v>
      </c>
      <c r="BQ711" t="s">
        <v>51</v>
      </c>
      <c r="BS711" t="s">
        <v>60</v>
      </c>
      <c r="BT711" t="s">
        <v>54</v>
      </c>
      <c r="BU711" t="s">
        <v>61</v>
      </c>
      <c r="BV711" t="s">
        <v>62</v>
      </c>
      <c r="BX711">
        <v>24</v>
      </c>
      <c r="BY711">
        <v>0</v>
      </c>
      <c r="BZ711">
        <v>0</v>
      </c>
    </row>
    <row r="712" spans="1:78" x14ac:dyDescent="0.2">
      <c r="A712" t="s">
        <v>180</v>
      </c>
      <c r="B712" t="s">
        <v>181</v>
      </c>
      <c r="C712" t="s">
        <v>184</v>
      </c>
      <c r="D712" t="s">
        <v>545</v>
      </c>
      <c r="F712" t="str">
        <f>"250356"</f>
        <v>250356</v>
      </c>
      <c r="G712" t="s">
        <v>49</v>
      </c>
      <c r="K712" t="s">
        <v>51</v>
      </c>
      <c r="L712" t="s">
        <v>52</v>
      </c>
      <c r="M712">
        <v>136042.18</v>
      </c>
      <c r="N712">
        <v>472716.95</v>
      </c>
      <c r="O712" t="s">
        <v>53</v>
      </c>
      <c r="P712" t="s">
        <v>54</v>
      </c>
      <c r="Q712" t="s">
        <v>55</v>
      </c>
      <c r="T712" t="s">
        <v>183</v>
      </c>
      <c r="U712">
        <v>40</v>
      </c>
      <c r="V712" s="1">
        <v>37073</v>
      </c>
      <c r="W712" s="1">
        <v>37073</v>
      </c>
      <c r="X712" s="1">
        <v>37073</v>
      </c>
      <c r="Y712" s="1">
        <v>51683</v>
      </c>
      <c r="Z712" t="s">
        <v>51</v>
      </c>
      <c r="AB712" t="s">
        <v>54</v>
      </c>
      <c r="AC712">
        <v>1</v>
      </c>
      <c r="AE712" t="s">
        <v>546</v>
      </c>
      <c r="AF712">
        <v>20</v>
      </c>
      <c r="AG712" s="1">
        <v>37073</v>
      </c>
      <c r="AH712" s="1">
        <v>37073</v>
      </c>
      <c r="AI712" s="1">
        <v>37073</v>
      </c>
      <c r="AJ712" s="1">
        <v>44378</v>
      </c>
      <c r="AK712" t="s">
        <v>51</v>
      </c>
      <c r="AN712">
        <v>0</v>
      </c>
      <c r="AO712" t="s">
        <v>54</v>
      </c>
      <c r="AP712" t="s">
        <v>53</v>
      </c>
      <c r="AQ712">
        <v>0</v>
      </c>
      <c r="AR712" t="s">
        <v>53</v>
      </c>
      <c r="AS712">
        <v>0</v>
      </c>
      <c r="AT712">
        <v>0</v>
      </c>
      <c r="AW712" t="s">
        <v>58</v>
      </c>
      <c r="AX712">
        <v>20</v>
      </c>
      <c r="AY712" s="1">
        <v>37073</v>
      </c>
      <c r="AZ712" s="1">
        <v>37073</v>
      </c>
      <c r="BA712" s="1">
        <v>37073</v>
      </c>
      <c r="BB712" s="1">
        <v>44378</v>
      </c>
      <c r="BC712" t="s">
        <v>51</v>
      </c>
      <c r="BE712" t="s">
        <v>54</v>
      </c>
      <c r="BF712">
        <v>2</v>
      </c>
      <c r="BG712">
        <v>0</v>
      </c>
      <c r="BH712" t="s">
        <v>53</v>
      </c>
      <c r="BK712" t="s">
        <v>59</v>
      </c>
      <c r="BL712">
        <v>14000</v>
      </c>
      <c r="BM712" s="1">
        <v>42917</v>
      </c>
      <c r="BN712" s="1">
        <v>42917</v>
      </c>
      <c r="BO712" s="1">
        <v>42917</v>
      </c>
      <c r="BP712" s="1">
        <v>44117</v>
      </c>
      <c r="BQ712" t="s">
        <v>51</v>
      </c>
      <c r="BS712" t="s">
        <v>60</v>
      </c>
      <c r="BT712" t="s">
        <v>54</v>
      </c>
      <c r="BU712" t="s">
        <v>61</v>
      </c>
      <c r="BV712" t="s">
        <v>62</v>
      </c>
      <c r="BX712">
        <v>24</v>
      </c>
      <c r="BY712">
        <v>0</v>
      </c>
      <c r="BZ712">
        <v>0</v>
      </c>
    </row>
    <row r="713" spans="1:78" x14ac:dyDescent="0.2">
      <c r="A713" t="s">
        <v>180</v>
      </c>
      <c r="B713" t="s">
        <v>181</v>
      </c>
      <c r="C713" t="s">
        <v>184</v>
      </c>
      <c r="D713" t="s">
        <v>545</v>
      </c>
      <c r="F713" t="str">
        <f>"250357"</f>
        <v>250357</v>
      </c>
      <c r="G713" t="s">
        <v>49</v>
      </c>
      <c r="H713" t="s">
        <v>143</v>
      </c>
      <c r="K713" t="s">
        <v>51</v>
      </c>
      <c r="L713" t="s">
        <v>52</v>
      </c>
      <c r="M713">
        <v>136025.5</v>
      </c>
      <c r="N713">
        <v>472685.7</v>
      </c>
      <c r="O713" t="s">
        <v>53</v>
      </c>
      <c r="P713" t="s">
        <v>54</v>
      </c>
      <c r="Q713" t="s">
        <v>55</v>
      </c>
      <c r="T713" t="s">
        <v>183</v>
      </c>
      <c r="U713">
        <v>40</v>
      </c>
      <c r="V713" s="1">
        <v>37073</v>
      </c>
      <c r="W713" s="1">
        <v>37073</v>
      </c>
      <c r="X713" s="1">
        <v>37073</v>
      </c>
      <c r="Y713" s="1">
        <v>51683</v>
      </c>
      <c r="Z713" t="s">
        <v>51</v>
      </c>
      <c r="AB713" t="s">
        <v>54</v>
      </c>
      <c r="AC713">
        <v>1</v>
      </c>
      <c r="AE713" t="s">
        <v>84</v>
      </c>
      <c r="AF713">
        <v>20</v>
      </c>
      <c r="AG713" s="1">
        <v>37073</v>
      </c>
      <c r="AH713" s="1">
        <v>37073</v>
      </c>
      <c r="AI713" s="1">
        <v>37073</v>
      </c>
      <c r="AJ713" s="1">
        <v>44378</v>
      </c>
      <c r="AK713" t="s">
        <v>51</v>
      </c>
      <c r="AN713">
        <v>0</v>
      </c>
      <c r="AO713" t="s">
        <v>54</v>
      </c>
      <c r="AP713" t="s">
        <v>53</v>
      </c>
      <c r="AQ713">
        <v>0</v>
      </c>
      <c r="AR713" t="s">
        <v>53</v>
      </c>
      <c r="AS713">
        <v>0</v>
      </c>
      <c r="AT713">
        <v>0</v>
      </c>
      <c r="AW713" t="s">
        <v>58</v>
      </c>
      <c r="AX713">
        <v>20</v>
      </c>
      <c r="AY713" s="1">
        <v>44109</v>
      </c>
      <c r="AZ713" s="1">
        <v>44109</v>
      </c>
      <c r="BA713" s="1">
        <v>44109</v>
      </c>
      <c r="BB713" s="1">
        <v>51414</v>
      </c>
      <c r="BC713" t="s">
        <v>51</v>
      </c>
      <c r="BE713" t="s">
        <v>54</v>
      </c>
      <c r="BF713">
        <v>2</v>
      </c>
      <c r="BG713">
        <v>0</v>
      </c>
      <c r="BH713" t="s">
        <v>53</v>
      </c>
      <c r="BK713" t="s">
        <v>59</v>
      </c>
      <c r="BL713">
        <v>14000</v>
      </c>
      <c r="BM713" s="1">
        <v>44109</v>
      </c>
      <c r="BN713" s="1">
        <v>44109</v>
      </c>
      <c r="BO713" s="1">
        <v>44109</v>
      </c>
      <c r="BP713" s="1">
        <v>45273</v>
      </c>
      <c r="BQ713" t="s">
        <v>51</v>
      </c>
      <c r="BS713" t="s">
        <v>60</v>
      </c>
      <c r="BT713" t="s">
        <v>54</v>
      </c>
      <c r="BU713" t="s">
        <v>61</v>
      </c>
      <c r="BV713" t="s">
        <v>62</v>
      </c>
      <c r="BX713">
        <v>24</v>
      </c>
      <c r="BY713">
        <v>0</v>
      </c>
      <c r="BZ713">
        <v>0</v>
      </c>
    </row>
    <row r="714" spans="1:78" x14ac:dyDescent="0.2">
      <c r="A714" t="s">
        <v>180</v>
      </c>
      <c r="B714" t="s">
        <v>181</v>
      </c>
      <c r="C714" t="s">
        <v>182</v>
      </c>
      <c r="D714" t="s">
        <v>545</v>
      </c>
      <c r="F714" t="str">
        <f>"250358"</f>
        <v>250358</v>
      </c>
      <c r="G714" t="s">
        <v>49</v>
      </c>
      <c r="H714" t="s">
        <v>143</v>
      </c>
      <c r="K714" t="s">
        <v>51</v>
      </c>
      <c r="L714" t="s">
        <v>52</v>
      </c>
      <c r="M714">
        <v>135975.29</v>
      </c>
      <c r="N714">
        <v>472709.66</v>
      </c>
      <c r="O714" t="s">
        <v>53</v>
      </c>
      <c r="P714" t="s">
        <v>54</v>
      </c>
      <c r="Q714" t="s">
        <v>55</v>
      </c>
      <c r="T714" t="s">
        <v>183</v>
      </c>
      <c r="U714">
        <v>40</v>
      </c>
      <c r="V714" s="1">
        <v>37073</v>
      </c>
      <c r="W714" s="1">
        <v>37073</v>
      </c>
      <c r="X714" s="1">
        <v>37073</v>
      </c>
      <c r="Y714" s="1">
        <v>51683</v>
      </c>
      <c r="Z714" t="s">
        <v>51</v>
      </c>
      <c r="AB714" t="s">
        <v>54</v>
      </c>
      <c r="AC714">
        <v>1</v>
      </c>
      <c r="AE714" t="s">
        <v>84</v>
      </c>
      <c r="AF714">
        <v>20</v>
      </c>
      <c r="AG714" s="1">
        <v>37073</v>
      </c>
      <c r="AH714" s="1">
        <v>37073</v>
      </c>
      <c r="AI714" s="1">
        <v>37073</v>
      </c>
      <c r="AJ714" s="1">
        <v>44378</v>
      </c>
      <c r="AK714" t="s">
        <v>51</v>
      </c>
      <c r="AN714">
        <v>0</v>
      </c>
      <c r="AO714" t="s">
        <v>54</v>
      </c>
      <c r="AP714" t="s">
        <v>53</v>
      </c>
      <c r="AQ714">
        <v>0</v>
      </c>
      <c r="AR714" t="s">
        <v>53</v>
      </c>
      <c r="AS714">
        <v>0</v>
      </c>
      <c r="AT714">
        <v>0</v>
      </c>
      <c r="AW714" t="s">
        <v>58</v>
      </c>
      <c r="AX714">
        <v>20</v>
      </c>
      <c r="AY714" s="1">
        <v>37073</v>
      </c>
      <c r="AZ714" s="1">
        <v>37073</v>
      </c>
      <c r="BA714" s="1">
        <v>37073</v>
      </c>
      <c r="BB714" s="1">
        <v>44378</v>
      </c>
      <c r="BC714" t="s">
        <v>51</v>
      </c>
      <c r="BE714" t="s">
        <v>54</v>
      </c>
      <c r="BF714">
        <v>2</v>
      </c>
      <c r="BG714">
        <v>0</v>
      </c>
      <c r="BH714" t="s">
        <v>53</v>
      </c>
      <c r="BK714" t="s">
        <v>59</v>
      </c>
      <c r="BL714">
        <v>14000</v>
      </c>
      <c r="BM714" s="1">
        <v>42917</v>
      </c>
      <c r="BN714" s="1">
        <v>42917</v>
      </c>
      <c r="BO714" s="1">
        <v>42917</v>
      </c>
      <c r="BP714" s="1">
        <v>44117</v>
      </c>
      <c r="BQ714" t="s">
        <v>51</v>
      </c>
      <c r="BS714" t="s">
        <v>60</v>
      </c>
      <c r="BT714" t="s">
        <v>54</v>
      </c>
      <c r="BU714" t="s">
        <v>61</v>
      </c>
      <c r="BV714" t="s">
        <v>62</v>
      </c>
      <c r="BX714">
        <v>24</v>
      </c>
      <c r="BY714">
        <v>0</v>
      </c>
      <c r="BZ714">
        <v>0</v>
      </c>
    </row>
    <row r="715" spans="1:78" x14ac:dyDescent="0.2">
      <c r="A715" t="s">
        <v>180</v>
      </c>
      <c r="B715" t="s">
        <v>181</v>
      </c>
      <c r="C715" t="s">
        <v>182</v>
      </c>
      <c r="D715" t="s">
        <v>545</v>
      </c>
      <c r="F715" t="str">
        <f>"250359"</f>
        <v>250359</v>
      </c>
      <c r="G715" t="s">
        <v>49</v>
      </c>
      <c r="H715" t="s">
        <v>143</v>
      </c>
      <c r="K715" t="s">
        <v>51</v>
      </c>
      <c r="L715" t="s">
        <v>52</v>
      </c>
      <c r="M715">
        <v>135934.16</v>
      </c>
      <c r="N715">
        <v>472729.62</v>
      </c>
      <c r="O715" t="s">
        <v>53</v>
      </c>
      <c r="P715" t="s">
        <v>54</v>
      </c>
      <c r="Q715" t="s">
        <v>55</v>
      </c>
      <c r="T715" t="s">
        <v>183</v>
      </c>
      <c r="U715">
        <v>40</v>
      </c>
      <c r="V715" s="1">
        <v>37073</v>
      </c>
      <c r="W715" s="1">
        <v>37073</v>
      </c>
      <c r="X715" s="1">
        <v>37073</v>
      </c>
      <c r="Y715" s="1">
        <v>51683</v>
      </c>
      <c r="Z715" t="s">
        <v>51</v>
      </c>
      <c r="AB715" t="s">
        <v>54</v>
      </c>
      <c r="AC715">
        <v>1</v>
      </c>
      <c r="AE715" t="s">
        <v>84</v>
      </c>
      <c r="AF715">
        <v>20</v>
      </c>
      <c r="AG715" s="1">
        <v>37073</v>
      </c>
      <c r="AH715" s="1">
        <v>37073</v>
      </c>
      <c r="AI715" s="1">
        <v>37073</v>
      </c>
      <c r="AJ715" s="1">
        <v>44378</v>
      </c>
      <c r="AK715" t="s">
        <v>51</v>
      </c>
      <c r="AN715">
        <v>0</v>
      </c>
      <c r="AO715" t="s">
        <v>54</v>
      </c>
      <c r="AP715" t="s">
        <v>53</v>
      </c>
      <c r="AQ715">
        <v>0</v>
      </c>
      <c r="AR715" t="s">
        <v>53</v>
      </c>
      <c r="AS715">
        <v>0</v>
      </c>
      <c r="AT715">
        <v>0</v>
      </c>
      <c r="AW715" t="s">
        <v>58</v>
      </c>
      <c r="AX715">
        <v>20</v>
      </c>
      <c r="AY715" s="1">
        <v>43437</v>
      </c>
      <c r="AZ715" s="1">
        <v>43437</v>
      </c>
      <c r="BA715" s="1">
        <v>43437</v>
      </c>
      <c r="BB715" s="1">
        <v>50742</v>
      </c>
      <c r="BC715" t="s">
        <v>51</v>
      </c>
      <c r="BE715" t="s">
        <v>54</v>
      </c>
      <c r="BF715">
        <v>2</v>
      </c>
      <c r="BG715">
        <v>0</v>
      </c>
      <c r="BH715" t="s">
        <v>53</v>
      </c>
      <c r="BK715" t="s">
        <v>59</v>
      </c>
      <c r="BL715">
        <v>14000</v>
      </c>
      <c r="BM715" s="1">
        <v>43283</v>
      </c>
      <c r="BN715" s="1">
        <v>43283</v>
      </c>
      <c r="BO715" s="1">
        <v>43437</v>
      </c>
      <c r="BP715" s="1">
        <v>44481</v>
      </c>
      <c r="BQ715" t="s">
        <v>51</v>
      </c>
      <c r="BS715" t="s">
        <v>60</v>
      </c>
      <c r="BT715" t="s">
        <v>54</v>
      </c>
      <c r="BU715" t="s">
        <v>61</v>
      </c>
      <c r="BV715" t="s">
        <v>62</v>
      </c>
      <c r="BX715">
        <v>24</v>
      </c>
      <c r="BY715">
        <v>0</v>
      </c>
      <c r="BZ715">
        <v>0</v>
      </c>
    </row>
    <row r="716" spans="1:78" x14ac:dyDescent="0.2">
      <c r="A716" t="s">
        <v>180</v>
      </c>
      <c r="B716" t="s">
        <v>181</v>
      </c>
      <c r="C716" t="s">
        <v>182</v>
      </c>
      <c r="D716" t="s">
        <v>545</v>
      </c>
      <c r="F716" t="str">
        <f>"250360"</f>
        <v>250360</v>
      </c>
      <c r="G716" t="s">
        <v>49</v>
      </c>
      <c r="K716" t="s">
        <v>51</v>
      </c>
      <c r="L716" t="s">
        <v>52</v>
      </c>
      <c r="M716">
        <v>135891.71</v>
      </c>
      <c r="N716">
        <v>472750.38</v>
      </c>
      <c r="O716" t="s">
        <v>53</v>
      </c>
      <c r="P716" t="s">
        <v>54</v>
      </c>
      <c r="Q716" t="s">
        <v>55</v>
      </c>
      <c r="T716" t="s">
        <v>183</v>
      </c>
      <c r="U716">
        <v>40</v>
      </c>
      <c r="V716" s="1">
        <v>37073</v>
      </c>
      <c r="W716" s="1">
        <v>37073</v>
      </c>
      <c r="X716" s="1">
        <v>37073</v>
      </c>
      <c r="Y716" s="1">
        <v>51683</v>
      </c>
      <c r="Z716" t="s">
        <v>51</v>
      </c>
      <c r="AB716" t="s">
        <v>54</v>
      </c>
      <c r="AC716">
        <v>1</v>
      </c>
      <c r="AE716" t="s">
        <v>84</v>
      </c>
      <c r="AF716">
        <v>20</v>
      </c>
      <c r="AG716" s="1">
        <v>37073</v>
      </c>
      <c r="AH716" s="1">
        <v>37073</v>
      </c>
      <c r="AI716" s="1">
        <v>37073</v>
      </c>
      <c r="AJ716" s="1">
        <v>44378</v>
      </c>
      <c r="AK716" t="s">
        <v>51</v>
      </c>
      <c r="AN716">
        <v>0</v>
      </c>
      <c r="AO716" t="s">
        <v>54</v>
      </c>
      <c r="AP716" t="s">
        <v>53</v>
      </c>
      <c r="AQ716">
        <v>0</v>
      </c>
      <c r="AR716" t="s">
        <v>53</v>
      </c>
      <c r="AS716">
        <v>0</v>
      </c>
      <c r="AT716">
        <v>0</v>
      </c>
      <c r="AW716" t="s">
        <v>58</v>
      </c>
      <c r="AX716">
        <v>20</v>
      </c>
      <c r="AY716" s="1">
        <v>43402</v>
      </c>
      <c r="AZ716" s="1">
        <v>43402</v>
      </c>
      <c r="BA716" s="1">
        <v>43402</v>
      </c>
      <c r="BB716" s="1">
        <v>50707</v>
      </c>
      <c r="BC716" t="s">
        <v>51</v>
      </c>
      <c r="BE716" t="s">
        <v>54</v>
      </c>
      <c r="BF716">
        <v>2</v>
      </c>
      <c r="BG716">
        <v>0</v>
      </c>
      <c r="BH716" t="s">
        <v>53</v>
      </c>
      <c r="BK716" t="s">
        <v>59</v>
      </c>
      <c r="BL716">
        <v>14000</v>
      </c>
      <c r="BM716" s="1">
        <v>43402</v>
      </c>
      <c r="BN716" s="1">
        <v>43402</v>
      </c>
      <c r="BO716" s="1">
        <v>43402</v>
      </c>
      <c r="BP716" s="1">
        <v>44562</v>
      </c>
      <c r="BQ716" t="s">
        <v>51</v>
      </c>
      <c r="BS716" t="s">
        <v>60</v>
      </c>
      <c r="BT716" t="s">
        <v>54</v>
      </c>
      <c r="BU716" t="s">
        <v>61</v>
      </c>
      <c r="BV716" t="s">
        <v>62</v>
      </c>
      <c r="BX716">
        <v>24</v>
      </c>
      <c r="BY716">
        <v>0</v>
      </c>
      <c r="BZ716">
        <v>0</v>
      </c>
    </row>
    <row r="717" spans="1:78" x14ac:dyDescent="0.2">
      <c r="A717" t="s">
        <v>180</v>
      </c>
      <c r="B717" t="s">
        <v>181</v>
      </c>
      <c r="C717" t="s">
        <v>182</v>
      </c>
      <c r="D717" t="s">
        <v>545</v>
      </c>
      <c r="F717" t="str">
        <f>"250361"</f>
        <v>250361</v>
      </c>
      <c r="G717" t="s">
        <v>49</v>
      </c>
      <c r="K717" t="s">
        <v>51</v>
      </c>
      <c r="L717" t="s">
        <v>52</v>
      </c>
      <c r="M717">
        <v>135850.04</v>
      </c>
      <c r="N717">
        <v>472770.63</v>
      </c>
      <c r="O717" t="s">
        <v>53</v>
      </c>
      <c r="P717" t="s">
        <v>54</v>
      </c>
      <c r="Q717" t="s">
        <v>55</v>
      </c>
      <c r="T717" t="s">
        <v>183</v>
      </c>
      <c r="U717">
        <v>40</v>
      </c>
      <c r="V717" s="1">
        <v>37073</v>
      </c>
      <c r="W717" s="1">
        <v>37073</v>
      </c>
      <c r="X717" s="1">
        <v>37073</v>
      </c>
      <c r="Y717" s="1">
        <v>51683</v>
      </c>
      <c r="Z717" t="s">
        <v>51</v>
      </c>
      <c r="AB717" t="s">
        <v>54</v>
      </c>
      <c r="AC717">
        <v>1</v>
      </c>
      <c r="AE717" t="s">
        <v>84</v>
      </c>
      <c r="AF717">
        <v>20</v>
      </c>
      <c r="AG717" s="1">
        <v>37073</v>
      </c>
      <c r="AH717" s="1">
        <v>37073</v>
      </c>
      <c r="AI717" s="1">
        <v>37073</v>
      </c>
      <c r="AJ717" s="1">
        <v>44378</v>
      </c>
      <c r="AK717" t="s">
        <v>51</v>
      </c>
      <c r="AN717">
        <v>0</v>
      </c>
      <c r="AO717" t="s">
        <v>54</v>
      </c>
      <c r="AP717" t="s">
        <v>53</v>
      </c>
      <c r="AQ717">
        <v>0</v>
      </c>
      <c r="AR717" t="s">
        <v>53</v>
      </c>
      <c r="AS717">
        <v>0</v>
      </c>
      <c r="AT717">
        <v>0</v>
      </c>
      <c r="AW717" t="s">
        <v>58</v>
      </c>
      <c r="AX717">
        <v>20</v>
      </c>
      <c r="AY717" s="1">
        <v>43437</v>
      </c>
      <c r="AZ717" s="1">
        <v>43437</v>
      </c>
      <c r="BA717" s="1">
        <v>43437</v>
      </c>
      <c r="BB717" s="1">
        <v>50742</v>
      </c>
      <c r="BC717" t="s">
        <v>51</v>
      </c>
      <c r="BE717" t="s">
        <v>54</v>
      </c>
      <c r="BF717">
        <v>2</v>
      </c>
      <c r="BG717">
        <v>0</v>
      </c>
      <c r="BH717" t="s">
        <v>53</v>
      </c>
      <c r="BK717" t="s">
        <v>59</v>
      </c>
      <c r="BL717">
        <v>14000</v>
      </c>
      <c r="BM717" s="1">
        <v>43437</v>
      </c>
      <c r="BN717" s="1">
        <v>43437</v>
      </c>
      <c r="BO717" s="1">
        <v>43437</v>
      </c>
      <c r="BP717" s="1">
        <v>44597</v>
      </c>
      <c r="BQ717" t="s">
        <v>51</v>
      </c>
      <c r="BS717" t="s">
        <v>60</v>
      </c>
      <c r="BT717" t="s">
        <v>54</v>
      </c>
      <c r="BU717" t="s">
        <v>61</v>
      </c>
      <c r="BV717" t="s">
        <v>62</v>
      </c>
      <c r="BX717">
        <v>24</v>
      </c>
      <c r="BY717">
        <v>0</v>
      </c>
      <c r="BZ717">
        <v>0</v>
      </c>
    </row>
    <row r="718" spans="1:78" x14ac:dyDescent="0.2">
      <c r="A718" t="s">
        <v>180</v>
      </c>
      <c r="B718" t="s">
        <v>181</v>
      </c>
      <c r="C718" t="s">
        <v>182</v>
      </c>
      <c r="D718" t="s">
        <v>545</v>
      </c>
      <c r="F718" t="str">
        <f>"250362"</f>
        <v>250362</v>
      </c>
      <c r="G718" t="s">
        <v>49</v>
      </c>
      <c r="H718" t="s">
        <v>507</v>
      </c>
      <c r="K718" t="s">
        <v>51</v>
      </c>
      <c r="L718" t="s">
        <v>52</v>
      </c>
      <c r="M718">
        <v>135807.5</v>
      </c>
      <c r="N718">
        <v>472791.34</v>
      </c>
      <c r="O718" t="s">
        <v>53</v>
      </c>
      <c r="P718" t="s">
        <v>54</v>
      </c>
      <c r="Q718" t="s">
        <v>55</v>
      </c>
      <c r="T718" t="s">
        <v>183</v>
      </c>
      <c r="U718">
        <v>40</v>
      </c>
      <c r="V718" s="1">
        <v>37073</v>
      </c>
      <c r="W718" s="1">
        <v>37073</v>
      </c>
      <c r="X718" s="1">
        <v>37073</v>
      </c>
      <c r="Y718" s="1">
        <v>51683</v>
      </c>
      <c r="Z718" t="s">
        <v>51</v>
      </c>
      <c r="AB718" t="s">
        <v>54</v>
      </c>
      <c r="AC718">
        <v>1</v>
      </c>
      <c r="AE718" t="s">
        <v>84</v>
      </c>
      <c r="AF718">
        <v>20</v>
      </c>
      <c r="AG718" s="1">
        <v>37073</v>
      </c>
      <c r="AH718" s="1">
        <v>37073</v>
      </c>
      <c r="AI718" s="1">
        <v>37073</v>
      </c>
      <c r="AJ718" s="1">
        <v>44378</v>
      </c>
      <c r="AK718" t="s">
        <v>51</v>
      </c>
      <c r="AN718">
        <v>0</v>
      </c>
      <c r="AO718" t="s">
        <v>54</v>
      </c>
      <c r="AP718" t="s">
        <v>53</v>
      </c>
      <c r="AQ718">
        <v>0</v>
      </c>
      <c r="AR718" t="s">
        <v>53</v>
      </c>
      <c r="AS718">
        <v>0</v>
      </c>
      <c r="AT718">
        <v>0</v>
      </c>
      <c r="AW718" t="s">
        <v>58</v>
      </c>
      <c r="AX718">
        <v>20</v>
      </c>
      <c r="AY718" s="1">
        <v>37073</v>
      </c>
      <c r="AZ718" s="1">
        <v>37073</v>
      </c>
      <c r="BA718" s="1">
        <v>37073</v>
      </c>
      <c r="BB718" s="1">
        <v>44378</v>
      </c>
      <c r="BC718" t="s">
        <v>51</v>
      </c>
      <c r="BE718" t="s">
        <v>54</v>
      </c>
      <c r="BF718">
        <v>2</v>
      </c>
      <c r="BG718">
        <v>0</v>
      </c>
      <c r="BH718" t="s">
        <v>53</v>
      </c>
      <c r="BK718" t="s">
        <v>59</v>
      </c>
      <c r="BL718">
        <v>14000</v>
      </c>
      <c r="BM718" s="1">
        <v>42917</v>
      </c>
      <c r="BN718" s="1">
        <v>42917</v>
      </c>
      <c r="BO718" s="1">
        <v>42917</v>
      </c>
      <c r="BP718" s="1">
        <v>44117</v>
      </c>
      <c r="BQ718" t="s">
        <v>51</v>
      </c>
      <c r="BS718" t="s">
        <v>60</v>
      </c>
      <c r="BT718" t="s">
        <v>54</v>
      </c>
      <c r="BU718" t="s">
        <v>61</v>
      </c>
      <c r="BV718" t="s">
        <v>62</v>
      </c>
      <c r="BX718">
        <v>24</v>
      </c>
      <c r="BY718">
        <v>0</v>
      </c>
      <c r="BZ718">
        <v>0</v>
      </c>
    </row>
    <row r="719" spans="1:78" x14ac:dyDescent="0.2">
      <c r="A719" t="s">
        <v>180</v>
      </c>
      <c r="B719" t="s">
        <v>181</v>
      </c>
      <c r="C719" t="s">
        <v>182</v>
      </c>
      <c r="D719" t="s">
        <v>545</v>
      </c>
      <c r="F719" t="str">
        <f>"250363"</f>
        <v>250363</v>
      </c>
      <c r="G719" t="s">
        <v>49</v>
      </c>
      <c r="H719" t="s">
        <v>507</v>
      </c>
      <c r="K719" t="s">
        <v>51</v>
      </c>
      <c r="L719" t="s">
        <v>52</v>
      </c>
      <c r="M719">
        <v>135767.16</v>
      </c>
      <c r="N719">
        <v>472810.68</v>
      </c>
      <c r="O719" t="s">
        <v>53</v>
      </c>
      <c r="P719" t="s">
        <v>54</v>
      </c>
      <c r="Q719" t="s">
        <v>55</v>
      </c>
      <c r="T719" t="s">
        <v>183</v>
      </c>
      <c r="U719">
        <v>40</v>
      </c>
      <c r="V719" s="1">
        <v>37073</v>
      </c>
      <c r="W719" s="1">
        <v>37073</v>
      </c>
      <c r="X719" s="1">
        <v>37073</v>
      </c>
      <c r="Y719" s="1">
        <v>51683</v>
      </c>
      <c r="Z719" t="s">
        <v>51</v>
      </c>
      <c r="AB719" t="s">
        <v>54</v>
      </c>
      <c r="AC719">
        <v>1</v>
      </c>
      <c r="AE719" t="s">
        <v>84</v>
      </c>
      <c r="AF719">
        <v>20</v>
      </c>
      <c r="AG719" s="1">
        <v>37073</v>
      </c>
      <c r="AH719" s="1">
        <v>37073</v>
      </c>
      <c r="AI719" s="1">
        <v>37073</v>
      </c>
      <c r="AJ719" s="1">
        <v>44378</v>
      </c>
      <c r="AK719" t="s">
        <v>51</v>
      </c>
      <c r="AN719">
        <v>0</v>
      </c>
      <c r="AO719" t="s">
        <v>54</v>
      </c>
      <c r="AP719" t="s">
        <v>53</v>
      </c>
      <c r="AQ719">
        <v>0</v>
      </c>
      <c r="AR719" t="s">
        <v>53</v>
      </c>
      <c r="AS719">
        <v>0</v>
      </c>
      <c r="AT719">
        <v>0</v>
      </c>
      <c r="AW719" t="s">
        <v>58</v>
      </c>
      <c r="AX719">
        <v>20</v>
      </c>
      <c r="AY719" s="1">
        <v>43493</v>
      </c>
      <c r="AZ719" s="1">
        <v>43493</v>
      </c>
      <c r="BA719" s="1">
        <v>43493</v>
      </c>
      <c r="BB719" s="1">
        <v>50798</v>
      </c>
      <c r="BC719" t="s">
        <v>51</v>
      </c>
      <c r="BE719" t="s">
        <v>54</v>
      </c>
      <c r="BF719">
        <v>2</v>
      </c>
      <c r="BG719">
        <v>0</v>
      </c>
      <c r="BH719" t="s">
        <v>53</v>
      </c>
      <c r="BK719" t="s">
        <v>59</v>
      </c>
      <c r="BL719">
        <v>14000</v>
      </c>
      <c r="BM719" s="1">
        <v>43493</v>
      </c>
      <c r="BN719" s="1">
        <v>43493</v>
      </c>
      <c r="BO719" s="1">
        <v>43493</v>
      </c>
      <c r="BP719" s="1">
        <v>44670</v>
      </c>
      <c r="BQ719" t="s">
        <v>51</v>
      </c>
      <c r="BS719" t="s">
        <v>60</v>
      </c>
      <c r="BT719" t="s">
        <v>54</v>
      </c>
      <c r="BU719" t="s">
        <v>61</v>
      </c>
      <c r="BV719" t="s">
        <v>62</v>
      </c>
      <c r="BX719">
        <v>24</v>
      </c>
      <c r="BY719">
        <v>0</v>
      </c>
      <c r="BZ719">
        <v>0</v>
      </c>
    </row>
    <row r="720" spans="1:78" x14ac:dyDescent="0.2">
      <c r="A720" t="s">
        <v>180</v>
      </c>
      <c r="B720" t="s">
        <v>181</v>
      </c>
      <c r="C720" t="s">
        <v>182</v>
      </c>
      <c r="D720" t="s">
        <v>545</v>
      </c>
      <c r="F720" t="str">
        <f>"250364"</f>
        <v>250364</v>
      </c>
      <c r="G720" t="s">
        <v>49</v>
      </c>
      <c r="K720" t="s">
        <v>51</v>
      </c>
      <c r="L720" t="s">
        <v>52</v>
      </c>
      <c r="M720">
        <v>135760.72</v>
      </c>
      <c r="N720">
        <v>472846.37</v>
      </c>
      <c r="O720" t="s">
        <v>53</v>
      </c>
      <c r="P720" t="s">
        <v>54</v>
      </c>
      <c r="Q720" t="s">
        <v>55</v>
      </c>
      <c r="T720" t="s">
        <v>183</v>
      </c>
      <c r="U720">
        <v>40</v>
      </c>
      <c r="V720" s="1">
        <v>22828</v>
      </c>
      <c r="W720" s="1">
        <v>22828</v>
      </c>
      <c r="X720" s="1">
        <v>22828</v>
      </c>
      <c r="Y720" s="1">
        <v>37438</v>
      </c>
      <c r="Z720" t="s">
        <v>51</v>
      </c>
      <c r="AB720" t="s">
        <v>54</v>
      </c>
      <c r="AC720">
        <v>1</v>
      </c>
      <c r="AE720" t="s">
        <v>84</v>
      </c>
      <c r="AF720">
        <v>20</v>
      </c>
      <c r="AG720" s="1">
        <v>36892</v>
      </c>
      <c r="AH720" s="1">
        <v>36892</v>
      </c>
      <c r="AI720" s="1">
        <v>36892</v>
      </c>
      <c r="AJ720" s="1">
        <v>44197</v>
      </c>
      <c r="AK720" t="s">
        <v>51</v>
      </c>
      <c r="AN720">
        <v>0</v>
      </c>
      <c r="AO720" t="s">
        <v>54</v>
      </c>
      <c r="AP720" t="s">
        <v>53</v>
      </c>
      <c r="AQ720">
        <v>0</v>
      </c>
      <c r="AR720" t="s">
        <v>53</v>
      </c>
      <c r="AS720">
        <v>0</v>
      </c>
      <c r="AT720">
        <v>0</v>
      </c>
      <c r="AW720" t="s">
        <v>58</v>
      </c>
      <c r="AX720">
        <v>20</v>
      </c>
      <c r="AY720" s="1">
        <v>43486</v>
      </c>
      <c r="AZ720" s="1">
        <v>43486</v>
      </c>
      <c r="BA720" s="1">
        <v>43486</v>
      </c>
      <c r="BB720" s="1">
        <v>50791</v>
      </c>
      <c r="BC720" t="s">
        <v>51</v>
      </c>
      <c r="BE720" t="s">
        <v>54</v>
      </c>
      <c r="BF720">
        <v>2</v>
      </c>
      <c r="BG720">
        <v>0</v>
      </c>
      <c r="BH720" t="s">
        <v>53</v>
      </c>
      <c r="BK720" t="s">
        <v>59</v>
      </c>
      <c r="BL720">
        <v>14000</v>
      </c>
      <c r="BM720" s="1">
        <v>43486</v>
      </c>
      <c r="BN720" s="1">
        <v>43486</v>
      </c>
      <c r="BO720" s="1">
        <v>43486</v>
      </c>
      <c r="BP720" s="1">
        <v>44659</v>
      </c>
      <c r="BQ720" t="s">
        <v>51</v>
      </c>
      <c r="BS720" t="s">
        <v>60</v>
      </c>
      <c r="BT720" t="s">
        <v>54</v>
      </c>
      <c r="BU720" t="s">
        <v>61</v>
      </c>
      <c r="BV720" t="s">
        <v>62</v>
      </c>
      <c r="BX720">
        <v>24</v>
      </c>
      <c r="BY720">
        <v>0</v>
      </c>
      <c r="BZ720">
        <v>0</v>
      </c>
    </row>
    <row r="721" spans="1:78" x14ac:dyDescent="0.2">
      <c r="A721" t="s">
        <v>180</v>
      </c>
      <c r="B721" t="s">
        <v>181</v>
      </c>
      <c r="C721" t="s">
        <v>182</v>
      </c>
      <c r="D721" t="s">
        <v>545</v>
      </c>
      <c r="F721" t="str">
        <f>"250365"</f>
        <v>250365</v>
      </c>
      <c r="G721" t="s">
        <v>49</v>
      </c>
      <c r="H721" t="s">
        <v>548</v>
      </c>
      <c r="K721" t="s">
        <v>51</v>
      </c>
      <c r="L721" t="s">
        <v>52</v>
      </c>
      <c r="M721">
        <v>135742.54999999999</v>
      </c>
      <c r="N721">
        <v>472815</v>
      </c>
      <c r="O721" t="s">
        <v>53</v>
      </c>
      <c r="P721" t="s">
        <v>54</v>
      </c>
      <c r="Q721" t="s">
        <v>55</v>
      </c>
      <c r="T721" t="s">
        <v>183</v>
      </c>
      <c r="U721">
        <v>40</v>
      </c>
      <c r="V721" s="1">
        <v>38899</v>
      </c>
      <c r="W721" s="1">
        <v>38899</v>
      </c>
      <c r="X721" s="1">
        <v>38899</v>
      </c>
      <c r="Y721" s="1">
        <v>53509</v>
      </c>
      <c r="Z721" t="s">
        <v>51</v>
      </c>
      <c r="AB721" t="s">
        <v>54</v>
      </c>
      <c r="AC721">
        <v>1</v>
      </c>
      <c r="AE721" t="s">
        <v>549</v>
      </c>
      <c r="AF721">
        <v>20</v>
      </c>
      <c r="AG721" s="1">
        <v>37073</v>
      </c>
      <c r="AH721" s="1">
        <v>37073</v>
      </c>
      <c r="AI721" s="1">
        <v>38899</v>
      </c>
      <c r="AJ721" s="1">
        <v>44378</v>
      </c>
      <c r="AK721" t="s">
        <v>51</v>
      </c>
      <c r="AN721">
        <v>0</v>
      </c>
      <c r="AO721" t="s">
        <v>54</v>
      </c>
      <c r="AP721" t="s">
        <v>53</v>
      </c>
      <c r="AQ721">
        <v>0</v>
      </c>
      <c r="AR721" t="s">
        <v>53</v>
      </c>
      <c r="AS721">
        <v>0</v>
      </c>
      <c r="AT721">
        <v>0</v>
      </c>
      <c r="AW721" t="s">
        <v>58</v>
      </c>
      <c r="AX721">
        <v>20</v>
      </c>
      <c r="AY721" s="1">
        <v>37073</v>
      </c>
      <c r="AZ721" s="1">
        <v>37073</v>
      </c>
      <c r="BA721" s="1">
        <v>38899</v>
      </c>
      <c r="BB721" s="1">
        <v>44378</v>
      </c>
      <c r="BC721" t="s">
        <v>51</v>
      </c>
      <c r="BE721" t="s">
        <v>54</v>
      </c>
      <c r="BF721">
        <v>2</v>
      </c>
      <c r="BG721">
        <v>0</v>
      </c>
      <c r="BH721" t="s">
        <v>53</v>
      </c>
      <c r="BK721" t="s">
        <v>59</v>
      </c>
      <c r="BL721">
        <v>14000</v>
      </c>
      <c r="BM721" s="1">
        <v>42917</v>
      </c>
      <c r="BN721" s="1">
        <v>42917</v>
      </c>
      <c r="BO721" s="1">
        <v>42917</v>
      </c>
      <c r="BP721" s="1">
        <v>44117</v>
      </c>
      <c r="BQ721" t="s">
        <v>51</v>
      </c>
      <c r="BS721" t="s">
        <v>60</v>
      </c>
      <c r="BT721" t="s">
        <v>54</v>
      </c>
      <c r="BU721" t="s">
        <v>61</v>
      </c>
      <c r="BV721" t="s">
        <v>62</v>
      </c>
      <c r="BX721">
        <v>24</v>
      </c>
      <c r="BY721">
        <v>0</v>
      </c>
      <c r="BZ721">
        <v>0</v>
      </c>
    </row>
    <row r="722" spans="1:78" x14ac:dyDescent="0.2">
      <c r="A722" t="s">
        <v>180</v>
      </c>
      <c r="B722" t="s">
        <v>181</v>
      </c>
      <c r="C722" t="s">
        <v>182</v>
      </c>
      <c r="D722" t="s">
        <v>545</v>
      </c>
      <c r="F722" t="str">
        <f>"250366"</f>
        <v>250366</v>
      </c>
      <c r="G722" t="s">
        <v>49</v>
      </c>
      <c r="K722" t="s">
        <v>51</v>
      </c>
      <c r="L722" t="s">
        <v>52</v>
      </c>
      <c r="M722">
        <v>135720.53</v>
      </c>
      <c r="N722">
        <v>472827.33</v>
      </c>
      <c r="O722" t="s">
        <v>53</v>
      </c>
      <c r="P722" t="s">
        <v>54</v>
      </c>
      <c r="Q722" t="s">
        <v>55</v>
      </c>
      <c r="T722" t="s">
        <v>183</v>
      </c>
      <c r="U722">
        <v>40</v>
      </c>
      <c r="V722" s="1">
        <v>40544</v>
      </c>
      <c r="W722" s="1">
        <v>40544</v>
      </c>
      <c r="X722" s="1">
        <v>40544</v>
      </c>
      <c r="Y722" s="1">
        <v>55154</v>
      </c>
      <c r="Z722" t="s">
        <v>51</v>
      </c>
      <c r="AB722" t="s">
        <v>54</v>
      </c>
      <c r="AC722">
        <v>1</v>
      </c>
      <c r="AE722" t="s">
        <v>549</v>
      </c>
      <c r="AF722">
        <v>20</v>
      </c>
      <c r="AG722" s="1">
        <v>40544</v>
      </c>
      <c r="AH722" s="1">
        <v>40544</v>
      </c>
      <c r="AI722" s="1">
        <v>40544</v>
      </c>
      <c r="AJ722" s="1">
        <v>47849</v>
      </c>
      <c r="AK722" t="s">
        <v>51</v>
      </c>
      <c r="AN722">
        <v>0</v>
      </c>
      <c r="AO722" t="s">
        <v>54</v>
      </c>
      <c r="AP722" t="s">
        <v>53</v>
      </c>
      <c r="AQ722">
        <v>0</v>
      </c>
      <c r="AR722" t="s">
        <v>53</v>
      </c>
      <c r="AS722">
        <v>0</v>
      </c>
      <c r="AT722">
        <v>0</v>
      </c>
      <c r="AW722" t="s">
        <v>58</v>
      </c>
      <c r="AX722">
        <v>20</v>
      </c>
      <c r="AY722" s="1">
        <v>40544</v>
      </c>
      <c r="AZ722" s="1">
        <v>40544</v>
      </c>
      <c r="BA722" s="1">
        <v>40544</v>
      </c>
      <c r="BB722" s="1">
        <v>47849</v>
      </c>
      <c r="BC722" t="s">
        <v>51</v>
      </c>
      <c r="BE722" t="s">
        <v>54</v>
      </c>
      <c r="BF722">
        <v>2</v>
      </c>
      <c r="BG722">
        <v>0</v>
      </c>
      <c r="BH722" t="s">
        <v>53</v>
      </c>
      <c r="BK722" t="s">
        <v>59</v>
      </c>
      <c r="BL722">
        <v>14000</v>
      </c>
      <c r="BM722" s="1">
        <v>42917</v>
      </c>
      <c r="BN722" s="1">
        <v>42917</v>
      </c>
      <c r="BO722" s="1">
        <v>42917</v>
      </c>
      <c r="BP722" s="1">
        <v>44117</v>
      </c>
      <c r="BQ722" t="s">
        <v>51</v>
      </c>
      <c r="BS722" t="s">
        <v>60</v>
      </c>
      <c r="BT722" t="s">
        <v>54</v>
      </c>
      <c r="BU722" t="s">
        <v>61</v>
      </c>
      <c r="BV722" t="s">
        <v>62</v>
      </c>
      <c r="BX722">
        <v>24</v>
      </c>
      <c r="BY722">
        <v>0</v>
      </c>
      <c r="BZ722">
        <v>0</v>
      </c>
    </row>
    <row r="723" spans="1:78" x14ac:dyDescent="0.2">
      <c r="A723" t="s">
        <v>180</v>
      </c>
      <c r="B723" t="s">
        <v>181</v>
      </c>
      <c r="C723" t="s">
        <v>182</v>
      </c>
      <c r="D723" t="s">
        <v>545</v>
      </c>
      <c r="F723" t="str">
        <f>"250367"</f>
        <v>250367</v>
      </c>
      <c r="G723" t="s">
        <v>49</v>
      </c>
      <c r="K723" t="s">
        <v>51</v>
      </c>
      <c r="L723" t="s">
        <v>52</v>
      </c>
      <c r="M723">
        <v>135696.58799999999</v>
      </c>
      <c r="N723">
        <v>472839.51899999997</v>
      </c>
      <c r="O723" t="s">
        <v>53</v>
      </c>
      <c r="P723" t="s">
        <v>54</v>
      </c>
      <c r="Q723" t="s">
        <v>55</v>
      </c>
      <c r="T723" t="s">
        <v>183</v>
      </c>
      <c r="U723">
        <v>40</v>
      </c>
      <c r="V723" s="1">
        <v>40544</v>
      </c>
      <c r="W723" s="1">
        <v>40544</v>
      </c>
      <c r="X723" s="1">
        <v>40544</v>
      </c>
      <c r="Y723" s="1">
        <v>55154</v>
      </c>
      <c r="Z723" t="s">
        <v>51</v>
      </c>
      <c r="AB723" t="s">
        <v>54</v>
      </c>
      <c r="AC723">
        <v>1</v>
      </c>
      <c r="AE723" t="s">
        <v>549</v>
      </c>
      <c r="AF723">
        <v>20</v>
      </c>
      <c r="AG723" s="1">
        <v>40544</v>
      </c>
      <c r="AH723" s="1">
        <v>40544</v>
      </c>
      <c r="AI723" s="1">
        <v>40544</v>
      </c>
      <c r="AJ723" s="1">
        <v>47849</v>
      </c>
      <c r="AK723" t="s">
        <v>51</v>
      </c>
      <c r="AN723">
        <v>0</v>
      </c>
      <c r="AO723" t="s">
        <v>54</v>
      </c>
      <c r="AP723" t="s">
        <v>53</v>
      </c>
      <c r="AQ723">
        <v>0</v>
      </c>
      <c r="AR723" t="s">
        <v>53</v>
      </c>
      <c r="AS723">
        <v>0</v>
      </c>
      <c r="AT723">
        <v>0</v>
      </c>
      <c r="AW723" t="s">
        <v>58</v>
      </c>
      <c r="AX723">
        <v>20</v>
      </c>
      <c r="AY723" s="1">
        <v>40544</v>
      </c>
      <c r="AZ723" s="1">
        <v>40544</v>
      </c>
      <c r="BA723" s="1">
        <v>40544</v>
      </c>
      <c r="BB723" s="1">
        <v>47849</v>
      </c>
      <c r="BC723" t="s">
        <v>51</v>
      </c>
      <c r="BE723" t="s">
        <v>54</v>
      </c>
      <c r="BF723">
        <v>2</v>
      </c>
      <c r="BG723">
        <v>0</v>
      </c>
      <c r="BH723" t="s">
        <v>53</v>
      </c>
      <c r="BK723" t="s">
        <v>59</v>
      </c>
      <c r="BL723">
        <v>14000</v>
      </c>
      <c r="BM723" s="1">
        <v>42917</v>
      </c>
      <c r="BN723" s="1">
        <v>42917</v>
      </c>
      <c r="BO723" s="1">
        <v>42917</v>
      </c>
      <c r="BP723" s="1">
        <v>44117</v>
      </c>
      <c r="BQ723" t="s">
        <v>51</v>
      </c>
      <c r="BS723" t="s">
        <v>60</v>
      </c>
      <c r="BT723" t="s">
        <v>54</v>
      </c>
      <c r="BU723" t="s">
        <v>61</v>
      </c>
      <c r="BV723" t="s">
        <v>62</v>
      </c>
      <c r="BX723">
        <v>24</v>
      </c>
      <c r="BY723">
        <v>0</v>
      </c>
      <c r="BZ723">
        <v>0</v>
      </c>
    </row>
    <row r="724" spans="1:78" x14ac:dyDescent="0.2">
      <c r="A724" t="s">
        <v>180</v>
      </c>
      <c r="B724" t="s">
        <v>181</v>
      </c>
      <c r="C724" t="s">
        <v>182</v>
      </c>
      <c r="D724" t="s">
        <v>545</v>
      </c>
      <c r="F724" t="str">
        <f>"250368"</f>
        <v>250368</v>
      </c>
      <c r="G724" t="s">
        <v>49</v>
      </c>
      <c r="K724" t="s">
        <v>51</v>
      </c>
      <c r="L724" t="s">
        <v>52</v>
      </c>
      <c r="M724">
        <v>135674.52499999999</v>
      </c>
      <c r="N724">
        <v>472851.06800000003</v>
      </c>
      <c r="O724" t="s">
        <v>53</v>
      </c>
      <c r="P724" t="s">
        <v>54</v>
      </c>
      <c r="Q724" t="s">
        <v>55</v>
      </c>
      <c r="T724" t="s">
        <v>183</v>
      </c>
      <c r="U724">
        <v>40</v>
      </c>
      <c r="V724" s="1">
        <v>30498</v>
      </c>
      <c r="W724" s="1">
        <v>30498</v>
      </c>
      <c r="X724" s="1">
        <v>30498</v>
      </c>
      <c r="Y724" s="1">
        <v>45108</v>
      </c>
      <c r="Z724" t="s">
        <v>51</v>
      </c>
      <c r="AB724" t="s">
        <v>54</v>
      </c>
      <c r="AC724">
        <v>1</v>
      </c>
      <c r="AE724" t="s">
        <v>549</v>
      </c>
      <c r="AF724">
        <v>20</v>
      </c>
      <c r="AG724" s="1">
        <v>36892</v>
      </c>
      <c r="AH724" s="1">
        <v>36892</v>
      </c>
      <c r="AI724" s="1">
        <v>36892</v>
      </c>
      <c r="AJ724" s="1">
        <v>44197</v>
      </c>
      <c r="AK724" t="s">
        <v>51</v>
      </c>
      <c r="AN724">
        <v>0</v>
      </c>
      <c r="AO724" t="s">
        <v>54</v>
      </c>
      <c r="AP724" t="s">
        <v>53</v>
      </c>
      <c r="AQ724">
        <v>0</v>
      </c>
      <c r="AR724" t="s">
        <v>53</v>
      </c>
      <c r="AS724">
        <v>0</v>
      </c>
      <c r="AT724">
        <v>0</v>
      </c>
      <c r="AW724" t="s">
        <v>58</v>
      </c>
      <c r="AX724">
        <v>20</v>
      </c>
      <c r="AY724" s="1">
        <v>36892</v>
      </c>
      <c r="AZ724" s="1">
        <v>36892</v>
      </c>
      <c r="BA724" s="1">
        <v>36892</v>
      </c>
      <c r="BB724" s="1">
        <v>44197</v>
      </c>
      <c r="BC724" t="s">
        <v>51</v>
      </c>
      <c r="BE724" t="s">
        <v>54</v>
      </c>
      <c r="BF724">
        <v>2</v>
      </c>
      <c r="BG724">
        <v>0</v>
      </c>
      <c r="BH724" t="s">
        <v>53</v>
      </c>
      <c r="BK724" t="s">
        <v>59</v>
      </c>
      <c r="BL724">
        <v>14000</v>
      </c>
      <c r="BM724" s="1">
        <v>42917</v>
      </c>
      <c r="BN724" s="1">
        <v>42917</v>
      </c>
      <c r="BO724" s="1">
        <v>42917</v>
      </c>
      <c r="BP724" s="1">
        <v>44117</v>
      </c>
      <c r="BQ724" t="s">
        <v>51</v>
      </c>
      <c r="BS724" t="s">
        <v>60</v>
      </c>
      <c r="BT724" t="s">
        <v>54</v>
      </c>
      <c r="BU724" t="s">
        <v>61</v>
      </c>
      <c r="BV724" t="s">
        <v>62</v>
      </c>
      <c r="BX724">
        <v>24</v>
      </c>
      <c r="BY724">
        <v>0</v>
      </c>
      <c r="BZ724">
        <v>0</v>
      </c>
    </row>
    <row r="725" spans="1:78" x14ac:dyDescent="0.2">
      <c r="A725" t="s">
        <v>180</v>
      </c>
      <c r="B725" t="s">
        <v>181</v>
      </c>
      <c r="C725" t="s">
        <v>182</v>
      </c>
      <c r="D725" t="s">
        <v>545</v>
      </c>
      <c r="F725" t="str">
        <f>"250369"</f>
        <v>250369</v>
      </c>
      <c r="G725" t="s">
        <v>49</v>
      </c>
      <c r="K725" t="s">
        <v>51</v>
      </c>
      <c r="L725" t="s">
        <v>52</v>
      </c>
      <c r="M725">
        <v>135651.45499999999</v>
      </c>
      <c r="N725">
        <v>472863.005</v>
      </c>
      <c r="O725" t="s">
        <v>53</v>
      </c>
      <c r="P725" t="s">
        <v>54</v>
      </c>
      <c r="Q725" t="s">
        <v>55</v>
      </c>
      <c r="T725" t="s">
        <v>183</v>
      </c>
      <c r="U725">
        <v>40</v>
      </c>
      <c r="V725" s="1">
        <v>30498</v>
      </c>
      <c r="W725" s="1">
        <v>30498</v>
      </c>
      <c r="X725" s="1">
        <v>30498</v>
      </c>
      <c r="Y725" s="1">
        <v>45108</v>
      </c>
      <c r="Z725" t="s">
        <v>51</v>
      </c>
      <c r="AB725" t="s">
        <v>54</v>
      </c>
      <c r="AC725">
        <v>1</v>
      </c>
      <c r="AE725" t="s">
        <v>549</v>
      </c>
      <c r="AF725">
        <v>20</v>
      </c>
      <c r="AG725" s="1">
        <v>36892</v>
      </c>
      <c r="AH725" s="1">
        <v>36892</v>
      </c>
      <c r="AI725" s="1">
        <v>36892</v>
      </c>
      <c r="AJ725" s="1">
        <v>44197</v>
      </c>
      <c r="AK725" t="s">
        <v>51</v>
      </c>
      <c r="AN725">
        <v>0</v>
      </c>
      <c r="AO725" t="s">
        <v>54</v>
      </c>
      <c r="AP725" t="s">
        <v>53</v>
      </c>
      <c r="AQ725">
        <v>0</v>
      </c>
      <c r="AR725" t="s">
        <v>53</v>
      </c>
      <c r="AS725">
        <v>0</v>
      </c>
      <c r="AT725">
        <v>0</v>
      </c>
      <c r="AW725" t="s">
        <v>58</v>
      </c>
      <c r="AX725">
        <v>20</v>
      </c>
      <c r="AY725" s="1">
        <v>36892</v>
      </c>
      <c r="AZ725" s="1">
        <v>36892</v>
      </c>
      <c r="BA725" s="1">
        <v>36892</v>
      </c>
      <c r="BB725" s="1">
        <v>44197</v>
      </c>
      <c r="BC725" t="s">
        <v>51</v>
      </c>
      <c r="BE725" t="s">
        <v>54</v>
      </c>
      <c r="BF725">
        <v>2</v>
      </c>
      <c r="BG725">
        <v>0</v>
      </c>
      <c r="BH725" t="s">
        <v>53</v>
      </c>
      <c r="BK725" t="s">
        <v>59</v>
      </c>
      <c r="BL725">
        <v>14000</v>
      </c>
      <c r="BM725" s="1">
        <v>42917</v>
      </c>
      <c r="BN725" s="1">
        <v>42917</v>
      </c>
      <c r="BO725" s="1">
        <v>42917</v>
      </c>
      <c r="BP725" s="1">
        <v>44117</v>
      </c>
      <c r="BQ725" t="s">
        <v>51</v>
      </c>
      <c r="BS725" t="s">
        <v>60</v>
      </c>
      <c r="BT725" t="s">
        <v>54</v>
      </c>
      <c r="BU725" t="s">
        <v>61</v>
      </c>
      <c r="BV725" t="s">
        <v>62</v>
      </c>
      <c r="BX725">
        <v>24</v>
      </c>
      <c r="BY725">
        <v>0</v>
      </c>
      <c r="BZ725">
        <v>0</v>
      </c>
    </row>
    <row r="726" spans="1:78" x14ac:dyDescent="0.2">
      <c r="A726" t="s">
        <v>180</v>
      </c>
      <c r="B726" t="s">
        <v>181</v>
      </c>
      <c r="C726" t="s">
        <v>182</v>
      </c>
      <c r="D726" t="s">
        <v>545</v>
      </c>
      <c r="F726" t="str">
        <f>"250370"</f>
        <v>250370</v>
      </c>
      <c r="G726" t="s">
        <v>49</v>
      </c>
      <c r="K726" t="s">
        <v>51</v>
      </c>
      <c r="L726" t="s">
        <v>52</v>
      </c>
      <c r="M726">
        <v>135626.93</v>
      </c>
      <c r="N726">
        <v>472874.283</v>
      </c>
      <c r="O726" t="s">
        <v>53</v>
      </c>
      <c r="P726" t="s">
        <v>54</v>
      </c>
      <c r="Q726" t="s">
        <v>55</v>
      </c>
      <c r="T726" t="s">
        <v>550</v>
      </c>
      <c r="U726">
        <v>40</v>
      </c>
      <c r="V726" s="1">
        <v>30498</v>
      </c>
      <c r="W726" s="1">
        <v>30498</v>
      </c>
      <c r="X726" s="1">
        <v>30498</v>
      </c>
      <c r="Y726" s="1">
        <v>45108</v>
      </c>
      <c r="Z726" t="s">
        <v>51</v>
      </c>
      <c r="AB726" t="s">
        <v>54</v>
      </c>
      <c r="AC726">
        <v>1</v>
      </c>
      <c r="AE726" t="s">
        <v>549</v>
      </c>
      <c r="AF726">
        <v>20</v>
      </c>
      <c r="AG726" s="1">
        <v>36892</v>
      </c>
      <c r="AH726" s="1">
        <v>36892</v>
      </c>
      <c r="AI726" s="1">
        <v>36892</v>
      </c>
      <c r="AJ726" s="1">
        <v>44197</v>
      </c>
      <c r="AK726" t="s">
        <v>51</v>
      </c>
      <c r="AN726">
        <v>0</v>
      </c>
      <c r="AO726" t="s">
        <v>54</v>
      </c>
      <c r="AP726" t="s">
        <v>53</v>
      </c>
      <c r="AQ726">
        <v>0</v>
      </c>
      <c r="AR726" t="s">
        <v>53</v>
      </c>
      <c r="AS726">
        <v>0</v>
      </c>
      <c r="AT726">
        <v>0</v>
      </c>
      <c r="AW726" t="s">
        <v>58</v>
      </c>
      <c r="AX726">
        <v>20</v>
      </c>
      <c r="AY726" s="1">
        <v>36892</v>
      </c>
      <c r="AZ726" s="1">
        <v>36892</v>
      </c>
      <c r="BA726" s="1">
        <v>36892</v>
      </c>
      <c r="BB726" s="1">
        <v>44197</v>
      </c>
      <c r="BC726" t="s">
        <v>51</v>
      </c>
      <c r="BE726" t="s">
        <v>54</v>
      </c>
      <c r="BF726">
        <v>2</v>
      </c>
      <c r="BG726">
        <v>0</v>
      </c>
      <c r="BH726" t="s">
        <v>53</v>
      </c>
      <c r="BK726" t="s">
        <v>59</v>
      </c>
      <c r="BL726">
        <v>14000</v>
      </c>
      <c r="BM726" s="1">
        <v>42917</v>
      </c>
      <c r="BN726" s="1">
        <v>42917</v>
      </c>
      <c r="BO726" s="1">
        <v>42917</v>
      </c>
      <c r="BP726" s="1">
        <v>44117</v>
      </c>
      <c r="BQ726" t="s">
        <v>51</v>
      </c>
      <c r="BS726" t="s">
        <v>60</v>
      </c>
      <c r="BT726" t="s">
        <v>54</v>
      </c>
      <c r="BU726" t="s">
        <v>61</v>
      </c>
      <c r="BV726" t="s">
        <v>62</v>
      </c>
      <c r="BX726">
        <v>24</v>
      </c>
      <c r="BY726">
        <v>0</v>
      </c>
      <c r="BZ726">
        <v>0</v>
      </c>
    </row>
    <row r="727" spans="1:78" x14ac:dyDescent="0.2">
      <c r="A727" t="s">
        <v>180</v>
      </c>
      <c r="B727" t="s">
        <v>181</v>
      </c>
      <c r="C727" t="s">
        <v>182</v>
      </c>
      <c r="D727" t="s">
        <v>545</v>
      </c>
      <c r="F727" t="str">
        <f>"250371"</f>
        <v>250371</v>
      </c>
      <c r="G727" t="s">
        <v>49</v>
      </c>
      <c r="K727" t="s">
        <v>51</v>
      </c>
      <c r="L727" t="s">
        <v>52</v>
      </c>
      <c r="M727">
        <v>135639.03599999999</v>
      </c>
      <c r="N727">
        <v>472888.17200000002</v>
      </c>
      <c r="O727" t="s">
        <v>53</v>
      </c>
      <c r="P727" t="s">
        <v>54</v>
      </c>
      <c r="Q727" t="s">
        <v>55</v>
      </c>
      <c r="T727" t="s">
        <v>497</v>
      </c>
      <c r="U727">
        <v>40</v>
      </c>
      <c r="V727" s="1">
        <v>30317</v>
      </c>
      <c r="W727" s="1">
        <v>30317</v>
      </c>
      <c r="X727" s="1">
        <v>30317</v>
      </c>
      <c r="Y727" s="1">
        <v>44927</v>
      </c>
      <c r="Z727" t="s">
        <v>51</v>
      </c>
      <c r="AB727" t="s">
        <v>54</v>
      </c>
      <c r="AC727">
        <v>1</v>
      </c>
      <c r="AE727" t="s">
        <v>549</v>
      </c>
      <c r="AF727">
        <v>20</v>
      </c>
      <c r="AG727" s="1">
        <v>36892</v>
      </c>
      <c r="AH727" s="1">
        <v>36892</v>
      </c>
      <c r="AI727" s="1">
        <v>36892</v>
      </c>
      <c r="AJ727" s="1">
        <v>44197</v>
      </c>
      <c r="AK727" t="s">
        <v>51</v>
      </c>
      <c r="AN727">
        <v>0</v>
      </c>
      <c r="AO727" t="s">
        <v>54</v>
      </c>
      <c r="AP727" t="s">
        <v>53</v>
      </c>
      <c r="AQ727">
        <v>0</v>
      </c>
      <c r="AR727" t="s">
        <v>53</v>
      </c>
      <c r="AS727">
        <v>0</v>
      </c>
      <c r="AT727">
        <v>0</v>
      </c>
      <c r="AW727" t="s">
        <v>58</v>
      </c>
      <c r="AX727">
        <v>20</v>
      </c>
      <c r="AY727" s="1">
        <v>36892</v>
      </c>
      <c r="AZ727" s="1">
        <v>36892</v>
      </c>
      <c r="BA727" s="1">
        <v>36892</v>
      </c>
      <c r="BB727" s="1">
        <v>44197</v>
      </c>
      <c r="BC727" t="s">
        <v>51</v>
      </c>
      <c r="BE727" t="s">
        <v>54</v>
      </c>
      <c r="BF727">
        <v>2</v>
      </c>
      <c r="BG727">
        <v>0</v>
      </c>
      <c r="BH727" t="s">
        <v>53</v>
      </c>
      <c r="BK727" t="s">
        <v>59</v>
      </c>
      <c r="BL727">
        <v>14000</v>
      </c>
      <c r="BM727" s="1">
        <v>44515</v>
      </c>
      <c r="BN727" s="1">
        <v>44515</v>
      </c>
      <c r="BO727" s="1">
        <v>44515</v>
      </c>
      <c r="BP727" s="1">
        <v>45674</v>
      </c>
      <c r="BQ727" t="s">
        <v>51</v>
      </c>
      <c r="BS727" t="s">
        <v>60</v>
      </c>
      <c r="BT727" t="s">
        <v>54</v>
      </c>
      <c r="BU727" t="s">
        <v>61</v>
      </c>
      <c r="BV727" t="s">
        <v>62</v>
      </c>
      <c r="BX727">
        <v>24</v>
      </c>
      <c r="BY727">
        <v>0</v>
      </c>
      <c r="BZ727">
        <v>0</v>
      </c>
    </row>
    <row r="728" spans="1:78" x14ac:dyDescent="0.2">
      <c r="A728" t="s">
        <v>180</v>
      </c>
      <c r="B728" t="s">
        <v>181</v>
      </c>
      <c r="C728" t="s">
        <v>182</v>
      </c>
      <c r="D728" t="s">
        <v>545</v>
      </c>
      <c r="F728" t="str">
        <f>"250372"</f>
        <v>250372</v>
      </c>
      <c r="G728" t="s">
        <v>49</v>
      </c>
      <c r="K728" t="s">
        <v>51</v>
      </c>
      <c r="L728" t="s">
        <v>52</v>
      </c>
      <c r="M728">
        <v>135648.367</v>
      </c>
      <c r="N728">
        <v>472905.73599999998</v>
      </c>
      <c r="O728" t="s">
        <v>53</v>
      </c>
      <c r="P728" t="s">
        <v>54</v>
      </c>
      <c r="Q728" t="s">
        <v>55</v>
      </c>
      <c r="T728" t="s">
        <v>497</v>
      </c>
      <c r="U728">
        <v>40</v>
      </c>
      <c r="V728" s="1">
        <v>30317</v>
      </c>
      <c r="W728" s="1">
        <v>30317</v>
      </c>
      <c r="X728" s="1">
        <v>30317</v>
      </c>
      <c r="Y728" s="1">
        <v>44927</v>
      </c>
      <c r="Z728" t="s">
        <v>51</v>
      </c>
      <c r="AB728" t="s">
        <v>54</v>
      </c>
      <c r="AC728">
        <v>1</v>
      </c>
      <c r="AE728" t="s">
        <v>549</v>
      </c>
      <c r="AF728">
        <v>20</v>
      </c>
      <c r="AG728" s="1">
        <v>43473</v>
      </c>
      <c r="AH728" s="1">
        <v>43473</v>
      </c>
      <c r="AI728" s="1">
        <v>43473</v>
      </c>
      <c r="AJ728" s="1">
        <v>50778</v>
      </c>
      <c r="AK728" t="s">
        <v>51</v>
      </c>
      <c r="AN728">
        <v>0</v>
      </c>
      <c r="AO728" t="s">
        <v>54</v>
      </c>
      <c r="AP728" t="s">
        <v>53</v>
      </c>
      <c r="AQ728">
        <v>0</v>
      </c>
      <c r="AR728" t="s">
        <v>53</v>
      </c>
      <c r="AS728">
        <v>0</v>
      </c>
      <c r="AT728">
        <v>0</v>
      </c>
      <c r="AW728" t="s">
        <v>58</v>
      </c>
      <c r="AX728">
        <v>20</v>
      </c>
      <c r="AY728" s="1">
        <v>36892</v>
      </c>
      <c r="AZ728" s="1">
        <v>36892</v>
      </c>
      <c r="BA728" s="1">
        <v>43473</v>
      </c>
      <c r="BB728" s="1">
        <v>44197</v>
      </c>
      <c r="BC728" t="s">
        <v>51</v>
      </c>
      <c r="BE728" t="s">
        <v>54</v>
      </c>
      <c r="BF728">
        <v>2</v>
      </c>
      <c r="BG728">
        <v>0</v>
      </c>
      <c r="BH728" t="s">
        <v>53</v>
      </c>
      <c r="BK728" t="s">
        <v>59</v>
      </c>
      <c r="BL728">
        <v>14000</v>
      </c>
      <c r="BM728" s="1">
        <v>42917</v>
      </c>
      <c r="BN728" s="1">
        <v>42917</v>
      </c>
      <c r="BO728" s="1">
        <v>43473</v>
      </c>
      <c r="BP728" s="1">
        <v>44117</v>
      </c>
      <c r="BQ728" t="s">
        <v>51</v>
      </c>
      <c r="BS728" t="s">
        <v>60</v>
      </c>
      <c r="BT728" t="s">
        <v>54</v>
      </c>
      <c r="BU728" t="s">
        <v>61</v>
      </c>
      <c r="BV728" t="s">
        <v>62</v>
      </c>
      <c r="BX728">
        <v>24</v>
      </c>
      <c r="BY728">
        <v>0</v>
      </c>
      <c r="BZ728">
        <v>0</v>
      </c>
    </row>
    <row r="729" spans="1:78" x14ac:dyDescent="0.2">
      <c r="A729" t="s">
        <v>180</v>
      </c>
      <c r="B729" t="s">
        <v>181</v>
      </c>
      <c r="C729" t="s">
        <v>182</v>
      </c>
      <c r="D729" t="s">
        <v>545</v>
      </c>
      <c r="F729" t="str">
        <f>"250373"</f>
        <v>250373</v>
      </c>
      <c r="G729" t="s">
        <v>49</v>
      </c>
      <c r="K729" t="s">
        <v>51</v>
      </c>
      <c r="L729" t="s">
        <v>52</v>
      </c>
      <c r="M729">
        <v>135656.92300000001</v>
      </c>
      <c r="N729">
        <v>472922.89299999998</v>
      </c>
      <c r="O729" t="s">
        <v>53</v>
      </c>
      <c r="P729" t="s">
        <v>54</v>
      </c>
      <c r="Q729" t="s">
        <v>55</v>
      </c>
      <c r="T729" t="s">
        <v>497</v>
      </c>
      <c r="U729">
        <v>40</v>
      </c>
      <c r="V729" s="1">
        <v>40544</v>
      </c>
      <c r="W729" s="1">
        <v>40544</v>
      </c>
      <c r="X729" s="1">
        <v>40544</v>
      </c>
      <c r="Y729" s="1">
        <v>55154</v>
      </c>
      <c r="Z729" t="s">
        <v>51</v>
      </c>
      <c r="AB729" t="s">
        <v>54</v>
      </c>
      <c r="AC729">
        <v>1</v>
      </c>
      <c r="AE729" t="s">
        <v>549</v>
      </c>
      <c r="AF729">
        <v>20</v>
      </c>
      <c r="AG729" s="1">
        <v>40544</v>
      </c>
      <c r="AH729" s="1">
        <v>40544</v>
      </c>
      <c r="AI729" s="1">
        <v>40544</v>
      </c>
      <c r="AJ729" s="1">
        <v>47849</v>
      </c>
      <c r="AK729" t="s">
        <v>51</v>
      </c>
      <c r="AN729">
        <v>0</v>
      </c>
      <c r="AO729" t="s">
        <v>54</v>
      </c>
      <c r="AP729" t="s">
        <v>53</v>
      </c>
      <c r="AQ729">
        <v>0</v>
      </c>
      <c r="AR729" t="s">
        <v>53</v>
      </c>
      <c r="AS729">
        <v>0</v>
      </c>
      <c r="AT729">
        <v>0</v>
      </c>
      <c r="AW729" t="s">
        <v>58</v>
      </c>
      <c r="AX729">
        <v>20</v>
      </c>
      <c r="AY729" s="1">
        <v>40544</v>
      </c>
      <c r="AZ729" s="1">
        <v>40544</v>
      </c>
      <c r="BA729" s="1">
        <v>40544</v>
      </c>
      <c r="BB729" s="1">
        <v>47849</v>
      </c>
      <c r="BC729" t="s">
        <v>51</v>
      </c>
      <c r="BE729" t="s">
        <v>54</v>
      </c>
      <c r="BF729">
        <v>2</v>
      </c>
      <c r="BG729">
        <v>0</v>
      </c>
      <c r="BH729" t="s">
        <v>53</v>
      </c>
      <c r="BK729" t="s">
        <v>59</v>
      </c>
      <c r="BL729">
        <v>14000</v>
      </c>
      <c r="BM729" s="1">
        <v>42917</v>
      </c>
      <c r="BN729" s="1">
        <v>42917</v>
      </c>
      <c r="BO729" s="1">
        <v>42917</v>
      </c>
      <c r="BP729" s="1">
        <v>44117</v>
      </c>
      <c r="BQ729" t="s">
        <v>51</v>
      </c>
      <c r="BS729" t="s">
        <v>60</v>
      </c>
      <c r="BT729" t="s">
        <v>54</v>
      </c>
      <c r="BU729" t="s">
        <v>61</v>
      </c>
      <c r="BV729" t="s">
        <v>62</v>
      </c>
      <c r="BX729">
        <v>24</v>
      </c>
      <c r="BY729">
        <v>0</v>
      </c>
      <c r="BZ729">
        <v>0</v>
      </c>
    </row>
    <row r="730" spans="1:78" x14ac:dyDescent="0.2">
      <c r="A730" t="s">
        <v>180</v>
      </c>
      <c r="B730" t="s">
        <v>181</v>
      </c>
      <c r="C730" t="s">
        <v>182</v>
      </c>
      <c r="D730" t="s">
        <v>545</v>
      </c>
      <c r="F730" t="str">
        <f>"250374"</f>
        <v>250374</v>
      </c>
      <c r="G730" t="s">
        <v>49</v>
      </c>
      <c r="K730" t="s">
        <v>51</v>
      </c>
      <c r="L730" t="s">
        <v>52</v>
      </c>
      <c r="M730">
        <v>135662.761</v>
      </c>
      <c r="N730">
        <v>472899.05200000003</v>
      </c>
      <c r="O730" t="s">
        <v>53</v>
      </c>
      <c r="P730" t="s">
        <v>54</v>
      </c>
      <c r="Q730" t="s">
        <v>55</v>
      </c>
      <c r="T730" t="s">
        <v>497</v>
      </c>
      <c r="U730">
        <v>40</v>
      </c>
      <c r="V730" s="1">
        <v>30317</v>
      </c>
      <c r="W730" s="1">
        <v>30317</v>
      </c>
      <c r="X730" s="1">
        <v>30317</v>
      </c>
      <c r="Y730" s="1">
        <v>44927</v>
      </c>
      <c r="Z730" t="s">
        <v>51</v>
      </c>
      <c r="AB730" t="s">
        <v>54</v>
      </c>
      <c r="AC730">
        <v>1</v>
      </c>
      <c r="AE730" t="s">
        <v>356</v>
      </c>
      <c r="AF730">
        <v>20</v>
      </c>
      <c r="AG730" s="1">
        <v>44249</v>
      </c>
      <c r="AH730" s="1">
        <v>44249</v>
      </c>
      <c r="AI730" s="1">
        <v>44249</v>
      </c>
      <c r="AJ730" s="1">
        <v>51554</v>
      </c>
      <c r="AK730" t="s">
        <v>51</v>
      </c>
      <c r="AN730">
        <v>0</v>
      </c>
      <c r="AO730" t="s">
        <v>54</v>
      </c>
      <c r="AP730" t="s">
        <v>53</v>
      </c>
      <c r="AQ730">
        <v>0</v>
      </c>
      <c r="AR730" t="s">
        <v>145</v>
      </c>
      <c r="AS730">
        <v>0</v>
      </c>
      <c r="AT730">
        <v>0</v>
      </c>
      <c r="AW730" t="s">
        <v>58</v>
      </c>
      <c r="AX730">
        <v>20</v>
      </c>
      <c r="AY730" s="1">
        <v>36892</v>
      </c>
      <c r="AZ730" s="1">
        <v>36892</v>
      </c>
      <c r="BA730" s="1">
        <v>44249</v>
      </c>
      <c r="BB730" s="1">
        <v>44197</v>
      </c>
      <c r="BC730" t="s">
        <v>51</v>
      </c>
      <c r="BE730" t="s">
        <v>54</v>
      </c>
      <c r="BF730">
        <v>2</v>
      </c>
      <c r="BG730">
        <v>0</v>
      </c>
      <c r="BH730" t="s">
        <v>53</v>
      </c>
      <c r="BK730" t="s">
        <v>59</v>
      </c>
      <c r="BL730">
        <v>14000</v>
      </c>
      <c r="BM730" s="1">
        <v>42917</v>
      </c>
      <c r="BN730" s="1">
        <v>42917</v>
      </c>
      <c r="BO730" s="1">
        <v>44249</v>
      </c>
      <c r="BP730" s="1">
        <v>44117</v>
      </c>
      <c r="BQ730" t="s">
        <v>51</v>
      </c>
      <c r="BS730" t="s">
        <v>60</v>
      </c>
      <c r="BT730" t="s">
        <v>54</v>
      </c>
      <c r="BU730" t="s">
        <v>61</v>
      </c>
      <c r="BV730" t="s">
        <v>62</v>
      </c>
      <c r="BX730">
        <v>24</v>
      </c>
      <c r="BY730">
        <v>0</v>
      </c>
      <c r="BZ730">
        <v>0</v>
      </c>
    </row>
    <row r="731" spans="1:78" x14ac:dyDescent="0.2">
      <c r="A731" t="s">
        <v>180</v>
      </c>
      <c r="B731" t="s">
        <v>181</v>
      </c>
      <c r="C731" t="s">
        <v>184</v>
      </c>
      <c r="D731" t="s">
        <v>551</v>
      </c>
      <c r="F731" t="str">
        <f>"250375"</f>
        <v>250375</v>
      </c>
      <c r="G731" t="s">
        <v>49</v>
      </c>
      <c r="K731" t="s">
        <v>51</v>
      </c>
      <c r="L731" t="s">
        <v>52</v>
      </c>
      <c r="M731">
        <v>136195.88</v>
      </c>
      <c r="N731">
        <v>472597.66</v>
      </c>
      <c r="O731" t="s">
        <v>53</v>
      </c>
      <c r="P731" t="s">
        <v>54</v>
      </c>
      <c r="Q731" t="s">
        <v>55</v>
      </c>
      <c r="T731" t="s">
        <v>241</v>
      </c>
      <c r="U731">
        <v>40</v>
      </c>
      <c r="V731" s="1">
        <v>33970</v>
      </c>
      <c r="W731" s="1">
        <v>33970</v>
      </c>
      <c r="X731" s="1">
        <v>33970</v>
      </c>
      <c r="Y731" s="1">
        <v>48580</v>
      </c>
      <c r="Z731" t="s">
        <v>51</v>
      </c>
      <c r="AB731" t="s">
        <v>54</v>
      </c>
      <c r="AC731">
        <v>1</v>
      </c>
      <c r="AE731" t="s">
        <v>222</v>
      </c>
      <c r="AF731">
        <v>20</v>
      </c>
      <c r="AG731" s="1">
        <v>33970</v>
      </c>
      <c r="AH731" s="1">
        <v>33970</v>
      </c>
      <c r="AI731" s="1">
        <v>33970</v>
      </c>
      <c r="AJ731" s="1">
        <v>41275</v>
      </c>
      <c r="AK731" t="s">
        <v>51</v>
      </c>
      <c r="AN731">
        <v>0</v>
      </c>
      <c r="AO731" t="s">
        <v>54</v>
      </c>
      <c r="AP731" t="s">
        <v>53</v>
      </c>
      <c r="AQ731">
        <v>0</v>
      </c>
      <c r="AR731" t="s">
        <v>53</v>
      </c>
      <c r="AS731">
        <v>0</v>
      </c>
      <c r="AT731">
        <v>0</v>
      </c>
      <c r="AW731" t="s">
        <v>58</v>
      </c>
      <c r="AX731">
        <v>20</v>
      </c>
      <c r="AY731" s="1">
        <v>33970</v>
      </c>
      <c r="AZ731" s="1">
        <v>33970</v>
      </c>
      <c r="BA731" s="1">
        <v>33970</v>
      </c>
      <c r="BB731" s="1">
        <v>41275</v>
      </c>
      <c r="BC731" t="s">
        <v>51</v>
      </c>
      <c r="BE731" t="s">
        <v>54</v>
      </c>
      <c r="BF731">
        <v>2</v>
      </c>
      <c r="BG731">
        <v>0</v>
      </c>
      <c r="BH731" t="s">
        <v>53</v>
      </c>
      <c r="BK731" t="s">
        <v>65</v>
      </c>
      <c r="BL731">
        <v>14000</v>
      </c>
      <c r="BM731" s="1">
        <v>43430</v>
      </c>
      <c r="BN731" s="1">
        <v>43430</v>
      </c>
      <c r="BO731" s="1">
        <v>43430</v>
      </c>
      <c r="BP731" s="1">
        <v>44588</v>
      </c>
      <c r="BQ731" t="s">
        <v>51</v>
      </c>
      <c r="BS731" t="s">
        <v>60</v>
      </c>
      <c r="BT731" t="s">
        <v>54</v>
      </c>
      <c r="BU731" t="s">
        <v>61</v>
      </c>
      <c r="BV731" t="s">
        <v>62</v>
      </c>
      <c r="BX731">
        <v>36</v>
      </c>
      <c r="BY731">
        <v>0</v>
      </c>
      <c r="BZ731">
        <v>0</v>
      </c>
    </row>
    <row r="732" spans="1:78" x14ac:dyDescent="0.2">
      <c r="A732" t="s">
        <v>180</v>
      </c>
      <c r="B732" t="s">
        <v>181</v>
      </c>
      <c r="C732" t="s">
        <v>184</v>
      </c>
      <c r="D732" t="s">
        <v>551</v>
      </c>
      <c r="F732" t="str">
        <f>"250376"</f>
        <v>250376</v>
      </c>
      <c r="G732" t="s">
        <v>49</v>
      </c>
      <c r="K732" t="s">
        <v>51</v>
      </c>
      <c r="L732" t="s">
        <v>52</v>
      </c>
      <c r="M732">
        <v>136196.20000000001</v>
      </c>
      <c r="N732">
        <v>472622.09</v>
      </c>
      <c r="O732" t="s">
        <v>53</v>
      </c>
      <c r="P732" t="s">
        <v>54</v>
      </c>
      <c r="Q732" t="s">
        <v>55</v>
      </c>
      <c r="T732" t="s">
        <v>241</v>
      </c>
      <c r="U732">
        <v>40</v>
      </c>
      <c r="V732" s="1">
        <v>25569</v>
      </c>
      <c r="W732" s="1">
        <v>25569</v>
      </c>
      <c r="X732" s="1">
        <v>25569</v>
      </c>
      <c r="Y732" s="1">
        <v>40179</v>
      </c>
      <c r="Z732" t="s">
        <v>51</v>
      </c>
      <c r="AB732" t="s">
        <v>54</v>
      </c>
      <c r="AC732">
        <v>1</v>
      </c>
      <c r="AE732" t="s">
        <v>222</v>
      </c>
      <c r="AF732">
        <v>20</v>
      </c>
      <c r="AG732" s="1">
        <v>25569</v>
      </c>
      <c r="AH732" s="1">
        <v>25569</v>
      </c>
      <c r="AI732" s="1">
        <v>25569</v>
      </c>
      <c r="AJ732" s="1">
        <v>32874</v>
      </c>
      <c r="AK732" t="s">
        <v>51</v>
      </c>
      <c r="AN732">
        <v>0</v>
      </c>
      <c r="AO732" t="s">
        <v>54</v>
      </c>
      <c r="AP732" t="s">
        <v>53</v>
      </c>
      <c r="AQ732">
        <v>0</v>
      </c>
      <c r="AR732" t="s">
        <v>53</v>
      </c>
      <c r="AS732">
        <v>0</v>
      </c>
      <c r="AT732">
        <v>0</v>
      </c>
      <c r="AW732" t="s">
        <v>58</v>
      </c>
      <c r="AX732">
        <v>20</v>
      </c>
      <c r="AY732" s="1">
        <v>25569</v>
      </c>
      <c r="AZ732" s="1">
        <v>25569</v>
      </c>
      <c r="BA732" s="1">
        <v>25569</v>
      </c>
      <c r="BB732" s="1">
        <v>32874</v>
      </c>
      <c r="BC732" t="s">
        <v>51</v>
      </c>
      <c r="BE732" t="s">
        <v>54</v>
      </c>
      <c r="BF732">
        <v>2</v>
      </c>
      <c r="BG732">
        <v>0</v>
      </c>
      <c r="BH732" t="s">
        <v>53</v>
      </c>
      <c r="BK732" t="s">
        <v>59</v>
      </c>
      <c r="BL732">
        <v>14000</v>
      </c>
      <c r="BM732" s="1">
        <v>44837</v>
      </c>
      <c r="BN732" s="1">
        <v>44837</v>
      </c>
      <c r="BO732" s="1">
        <v>44837</v>
      </c>
      <c r="BP732" s="1">
        <v>46000</v>
      </c>
      <c r="BQ732" t="s">
        <v>51</v>
      </c>
      <c r="BS732" t="s">
        <v>60</v>
      </c>
      <c r="BT732" t="s">
        <v>54</v>
      </c>
      <c r="BU732" t="s">
        <v>61</v>
      </c>
      <c r="BV732" t="s">
        <v>62</v>
      </c>
      <c r="BX732">
        <v>24</v>
      </c>
      <c r="BY732">
        <v>0</v>
      </c>
      <c r="BZ732">
        <v>0</v>
      </c>
    </row>
    <row r="733" spans="1:78" x14ac:dyDescent="0.2">
      <c r="A733" t="s">
        <v>180</v>
      </c>
      <c r="B733" t="s">
        <v>181</v>
      </c>
      <c r="C733" t="s">
        <v>184</v>
      </c>
      <c r="D733" t="s">
        <v>551</v>
      </c>
      <c r="F733" t="str">
        <f>"250377"</f>
        <v>250377</v>
      </c>
      <c r="G733" t="s">
        <v>49</v>
      </c>
      <c r="K733" t="s">
        <v>51</v>
      </c>
      <c r="L733" t="s">
        <v>52</v>
      </c>
      <c r="M733">
        <v>136217.25</v>
      </c>
      <c r="N733">
        <v>472645.3</v>
      </c>
      <c r="O733" t="s">
        <v>53</v>
      </c>
      <c r="P733" t="s">
        <v>54</v>
      </c>
      <c r="Q733" t="s">
        <v>55</v>
      </c>
      <c r="T733" t="s">
        <v>241</v>
      </c>
      <c r="U733">
        <v>40</v>
      </c>
      <c r="V733" s="1">
        <v>33970</v>
      </c>
      <c r="W733" s="1">
        <v>33970</v>
      </c>
      <c r="X733" s="1">
        <v>33970</v>
      </c>
      <c r="Y733" s="1">
        <v>48580</v>
      </c>
      <c r="Z733" t="s">
        <v>51</v>
      </c>
      <c r="AB733" t="s">
        <v>54</v>
      </c>
      <c r="AC733">
        <v>1</v>
      </c>
      <c r="AE733" t="s">
        <v>222</v>
      </c>
      <c r="AF733">
        <v>20</v>
      </c>
      <c r="AG733" s="1">
        <v>33970</v>
      </c>
      <c r="AH733" s="1">
        <v>33970</v>
      </c>
      <c r="AI733" s="1">
        <v>33970</v>
      </c>
      <c r="AJ733" s="1">
        <v>41275</v>
      </c>
      <c r="AK733" t="s">
        <v>51</v>
      </c>
      <c r="AN733">
        <v>0</v>
      </c>
      <c r="AO733" t="s">
        <v>54</v>
      </c>
      <c r="AP733" t="s">
        <v>53</v>
      </c>
      <c r="AQ733">
        <v>0</v>
      </c>
      <c r="AR733" t="s">
        <v>53</v>
      </c>
      <c r="AS733">
        <v>0</v>
      </c>
      <c r="AT733">
        <v>0</v>
      </c>
      <c r="AW733" t="s">
        <v>58</v>
      </c>
      <c r="AX733">
        <v>20</v>
      </c>
      <c r="AY733" s="1">
        <v>43759</v>
      </c>
      <c r="AZ733" s="1">
        <v>43759</v>
      </c>
      <c r="BA733" s="1">
        <v>43759</v>
      </c>
      <c r="BB733" s="1">
        <v>51064</v>
      </c>
      <c r="BC733" t="s">
        <v>51</v>
      </c>
      <c r="BE733" t="s">
        <v>54</v>
      </c>
      <c r="BF733">
        <v>2</v>
      </c>
      <c r="BG733">
        <v>0</v>
      </c>
      <c r="BH733" t="s">
        <v>53</v>
      </c>
      <c r="BK733" t="s">
        <v>65</v>
      </c>
      <c r="BL733">
        <v>14000</v>
      </c>
      <c r="BM733" s="1">
        <v>43759</v>
      </c>
      <c r="BN733" s="1">
        <v>43759</v>
      </c>
      <c r="BO733" s="1">
        <v>43759</v>
      </c>
      <c r="BP733" s="1">
        <v>44919</v>
      </c>
      <c r="BQ733" t="s">
        <v>51</v>
      </c>
      <c r="BS733" t="s">
        <v>60</v>
      </c>
      <c r="BT733" t="s">
        <v>54</v>
      </c>
      <c r="BU733" t="s">
        <v>61</v>
      </c>
      <c r="BV733" t="s">
        <v>62</v>
      </c>
      <c r="BX733">
        <v>36</v>
      </c>
      <c r="BY733">
        <v>0</v>
      </c>
      <c r="BZ733">
        <v>0</v>
      </c>
    </row>
    <row r="734" spans="1:78" x14ac:dyDescent="0.2">
      <c r="A734" t="s">
        <v>180</v>
      </c>
      <c r="B734" t="s">
        <v>181</v>
      </c>
      <c r="C734" t="s">
        <v>184</v>
      </c>
      <c r="D734" t="s">
        <v>551</v>
      </c>
      <c r="F734" t="str">
        <f>"250378"</f>
        <v>250378</v>
      </c>
      <c r="G734" t="s">
        <v>49</v>
      </c>
      <c r="K734" t="s">
        <v>51</v>
      </c>
      <c r="L734" t="s">
        <v>52</v>
      </c>
      <c r="M734">
        <v>136197.11199999999</v>
      </c>
      <c r="N734">
        <v>472654.13500000001</v>
      </c>
      <c r="O734" t="s">
        <v>53</v>
      </c>
      <c r="P734" t="s">
        <v>54</v>
      </c>
      <c r="Q734" t="s">
        <v>55</v>
      </c>
      <c r="T734" t="s">
        <v>241</v>
      </c>
      <c r="U734">
        <v>40</v>
      </c>
      <c r="V734" s="1">
        <v>35247</v>
      </c>
      <c r="W734" s="1">
        <v>35247</v>
      </c>
      <c r="X734" s="1">
        <v>35247</v>
      </c>
      <c r="Y734" s="1">
        <v>49857</v>
      </c>
      <c r="Z734" t="s">
        <v>51</v>
      </c>
      <c r="AB734" t="s">
        <v>54</v>
      </c>
      <c r="AC734">
        <v>1</v>
      </c>
      <c r="AE734" t="s">
        <v>222</v>
      </c>
      <c r="AF734">
        <v>20</v>
      </c>
      <c r="AG734" s="1">
        <v>35247</v>
      </c>
      <c r="AH734" s="1">
        <v>35247</v>
      </c>
      <c r="AI734" s="1">
        <v>35247</v>
      </c>
      <c r="AJ734" s="1">
        <v>42552</v>
      </c>
      <c r="AK734" t="s">
        <v>51</v>
      </c>
      <c r="AN734">
        <v>0</v>
      </c>
      <c r="AO734" t="s">
        <v>54</v>
      </c>
      <c r="AP734" t="s">
        <v>53</v>
      </c>
      <c r="AQ734">
        <v>0</v>
      </c>
      <c r="AR734" t="s">
        <v>53</v>
      </c>
      <c r="AS734">
        <v>0</v>
      </c>
      <c r="AT734">
        <v>0</v>
      </c>
      <c r="AW734" t="s">
        <v>58</v>
      </c>
      <c r="AX734">
        <v>20</v>
      </c>
      <c r="AY734" s="1">
        <v>35247</v>
      </c>
      <c r="AZ734" s="1">
        <v>35247</v>
      </c>
      <c r="BA734" s="1">
        <v>35247</v>
      </c>
      <c r="BB734" s="1">
        <v>42552</v>
      </c>
      <c r="BC734" t="s">
        <v>51</v>
      </c>
      <c r="BE734" t="s">
        <v>54</v>
      </c>
      <c r="BF734">
        <v>2</v>
      </c>
      <c r="BG734">
        <v>0</v>
      </c>
      <c r="BH734" t="s">
        <v>53</v>
      </c>
      <c r="BK734" t="s">
        <v>59</v>
      </c>
      <c r="BL734">
        <v>14000</v>
      </c>
      <c r="BM734" s="1">
        <v>41091</v>
      </c>
      <c r="BN734" s="1">
        <v>41091</v>
      </c>
      <c r="BO734" s="1">
        <v>41091</v>
      </c>
      <c r="BP734" s="1">
        <v>42291</v>
      </c>
      <c r="BQ734" t="s">
        <v>51</v>
      </c>
      <c r="BS734" t="s">
        <v>60</v>
      </c>
      <c r="BT734" t="s">
        <v>54</v>
      </c>
      <c r="BU734" t="s">
        <v>61</v>
      </c>
      <c r="BV734" t="s">
        <v>62</v>
      </c>
      <c r="BX734">
        <v>24</v>
      </c>
      <c r="BY734">
        <v>0</v>
      </c>
      <c r="BZ734">
        <v>0</v>
      </c>
    </row>
    <row r="735" spans="1:78" x14ac:dyDescent="0.2">
      <c r="A735" t="s">
        <v>180</v>
      </c>
      <c r="B735" t="s">
        <v>181</v>
      </c>
      <c r="C735" t="s">
        <v>184</v>
      </c>
      <c r="D735" t="s">
        <v>551</v>
      </c>
      <c r="F735" t="str">
        <f>"250379"</f>
        <v>250379</v>
      </c>
      <c r="G735" t="s">
        <v>49</v>
      </c>
      <c r="K735" t="s">
        <v>51</v>
      </c>
      <c r="L735" t="s">
        <v>52</v>
      </c>
      <c r="M735">
        <v>136205.853</v>
      </c>
      <c r="N735">
        <v>472673.41100000002</v>
      </c>
      <c r="O735" t="s">
        <v>53</v>
      </c>
      <c r="P735" t="s">
        <v>54</v>
      </c>
      <c r="Q735" t="s">
        <v>55</v>
      </c>
      <c r="T735" t="s">
        <v>241</v>
      </c>
      <c r="U735">
        <v>40</v>
      </c>
      <c r="V735" s="1">
        <v>35247</v>
      </c>
      <c r="W735" s="1">
        <v>35247</v>
      </c>
      <c r="X735" s="1">
        <v>35247</v>
      </c>
      <c r="Y735" s="1">
        <v>49857</v>
      </c>
      <c r="Z735" t="s">
        <v>51</v>
      </c>
      <c r="AB735" t="s">
        <v>54</v>
      </c>
      <c r="AC735">
        <v>1</v>
      </c>
      <c r="AE735" t="s">
        <v>222</v>
      </c>
      <c r="AF735">
        <v>20</v>
      </c>
      <c r="AG735" s="1">
        <v>35247</v>
      </c>
      <c r="AH735" s="1">
        <v>35247</v>
      </c>
      <c r="AI735" s="1">
        <v>35247</v>
      </c>
      <c r="AJ735" s="1">
        <v>42552</v>
      </c>
      <c r="AK735" t="s">
        <v>51</v>
      </c>
      <c r="AN735">
        <v>0</v>
      </c>
      <c r="AO735" t="s">
        <v>54</v>
      </c>
      <c r="AP735" t="s">
        <v>53</v>
      </c>
      <c r="AQ735">
        <v>0</v>
      </c>
      <c r="AR735" t="s">
        <v>53</v>
      </c>
      <c r="AS735">
        <v>0</v>
      </c>
      <c r="AT735">
        <v>0</v>
      </c>
      <c r="AW735" t="s">
        <v>58</v>
      </c>
      <c r="AX735">
        <v>20</v>
      </c>
      <c r="AY735" s="1">
        <v>44214</v>
      </c>
      <c r="AZ735" s="1">
        <v>44214</v>
      </c>
      <c r="BA735" s="1">
        <v>44214</v>
      </c>
      <c r="BB735" s="1">
        <v>51519</v>
      </c>
      <c r="BC735" t="s">
        <v>51</v>
      </c>
      <c r="BE735" t="s">
        <v>54</v>
      </c>
      <c r="BF735">
        <v>2</v>
      </c>
      <c r="BG735">
        <v>0</v>
      </c>
      <c r="BH735" t="s">
        <v>53</v>
      </c>
      <c r="BK735" t="s">
        <v>59</v>
      </c>
      <c r="BL735">
        <v>14000</v>
      </c>
      <c r="BM735" s="1">
        <v>44214</v>
      </c>
      <c r="BN735" s="1">
        <v>44214</v>
      </c>
      <c r="BO735" s="1">
        <v>44214</v>
      </c>
      <c r="BP735" s="1">
        <v>45385</v>
      </c>
      <c r="BQ735" t="s">
        <v>51</v>
      </c>
      <c r="BS735" t="s">
        <v>60</v>
      </c>
      <c r="BT735" t="s">
        <v>54</v>
      </c>
      <c r="BU735" t="s">
        <v>61</v>
      </c>
      <c r="BV735" t="s">
        <v>62</v>
      </c>
      <c r="BX735">
        <v>24</v>
      </c>
      <c r="BY735">
        <v>0</v>
      </c>
      <c r="BZ735">
        <v>0</v>
      </c>
    </row>
    <row r="736" spans="1:78" x14ac:dyDescent="0.2">
      <c r="A736" t="s">
        <v>180</v>
      </c>
      <c r="B736" t="s">
        <v>181</v>
      </c>
      <c r="C736" t="s">
        <v>184</v>
      </c>
      <c r="D736" t="s">
        <v>551</v>
      </c>
      <c r="F736" t="str">
        <f>"250380"</f>
        <v>250380</v>
      </c>
      <c r="G736" t="s">
        <v>49</v>
      </c>
      <c r="K736" t="s">
        <v>51</v>
      </c>
      <c r="L736" t="s">
        <v>52</v>
      </c>
      <c r="M736">
        <v>136220.35699999999</v>
      </c>
      <c r="N736">
        <v>472672.08899999998</v>
      </c>
      <c r="O736" t="s">
        <v>53</v>
      </c>
      <c r="P736" t="s">
        <v>54</v>
      </c>
      <c r="Q736" t="s">
        <v>55</v>
      </c>
      <c r="T736" t="s">
        <v>241</v>
      </c>
      <c r="U736">
        <v>40</v>
      </c>
      <c r="V736" s="1">
        <v>25569</v>
      </c>
      <c r="W736" s="1">
        <v>25569</v>
      </c>
      <c r="X736" s="1">
        <v>25569</v>
      </c>
      <c r="Y736" s="1">
        <v>40179</v>
      </c>
      <c r="Z736" t="s">
        <v>51</v>
      </c>
      <c r="AB736" t="s">
        <v>54</v>
      </c>
      <c r="AC736">
        <v>1</v>
      </c>
      <c r="AE736" t="s">
        <v>222</v>
      </c>
      <c r="AF736">
        <v>20</v>
      </c>
      <c r="AG736" s="1">
        <v>25569</v>
      </c>
      <c r="AH736" s="1">
        <v>25569</v>
      </c>
      <c r="AI736" s="1">
        <v>25569</v>
      </c>
      <c r="AJ736" s="1">
        <v>32874</v>
      </c>
      <c r="AK736" t="s">
        <v>51</v>
      </c>
      <c r="AN736">
        <v>0</v>
      </c>
      <c r="AO736" t="s">
        <v>54</v>
      </c>
      <c r="AP736" t="s">
        <v>53</v>
      </c>
      <c r="AQ736">
        <v>0</v>
      </c>
      <c r="AR736" t="s">
        <v>53</v>
      </c>
      <c r="AS736">
        <v>0</v>
      </c>
      <c r="AT736">
        <v>0</v>
      </c>
      <c r="AW736" t="s">
        <v>58</v>
      </c>
      <c r="AX736">
        <v>20</v>
      </c>
      <c r="AY736" s="1">
        <v>44494</v>
      </c>
      <c r="AZ736" s="1">
        <v>44494</v>
      </c>
      <c r="BA736" s="1">
        <v>44494</v>
      </c>
      <c r="BB736" s="1">
        <v>51799</v>
      </c>
      <c r="BC736" t="s">
        <v>51</v>
      </c>
      <c r="BE736" t="s">
        <v>54</v>
      </c>
      <c r="BF736">
        <v>2</v>
      </c>
      <c r="BG736">
        <v>0</v>
      </c>
      <c r="BH736" t="s">
        <v>53</v>
      </c>
      <c r="BK736" t="s">
        <v>65</v>
      </c>
      <c r="BL736">
        <v>14000</v>
      </c>
      <c r="BM736" s="1">
        <v>44494</v>
      </c>
      <c r="BN736" s="1">
        <v>44494</v>
      </c>
      <c r="BO736" s="1">
        <v>44494</v>
      </c>
      <c r="BP736" s="1">
        <v>45655</v>
      </c>
      <c r="BQ736" t="s">
        <v>51</v>
      </c>
      <c r="BS736" t="s">
        <v>60</v>
      </c>
      <c r="BT736" t="s">
        <v>54</v>
      </c>
      <c r="BU736" t="s">
        <v>61</v>
      </c>
      <c r="BV736" t="s">
        <v>62</v>
      </c>
      <c r="BX736">
        <v>36</v>
      </c>
      <c r="BY736">
        <v>0</v>
      </c>
      <c r="BZ736">
        <v>0</v>
      </c>
    </row>
    <row r="737" spans="1:99" x14ac:dyDescent="0.2">
      <c r="A737" t="s">
        <v>180</v>
      </c>
      <c r="B737" t="s">
        <v>181</v>
      </c>
      <c r="C737" t="s">
        <v>184</v>
      </c>
      <c r="D737" t="s">
        <v>551</v>
      </c>
      <c r="F737" t="str">
        <f>"250381"</f>
        <v>250381</v>
      </c>
      <c r="G737" t="s">
        <v>49</v>
      </c>
      <c r="K737" t="s">
        <v>51</v>
      </c>
      <c r="L737" t="s">
        <v>52</v>
      </c>
      <c r="M737">
        <v>136239.07</v>
      </c>
      <c r="N737">
        <v>472690.94</v>
      </c>
      <c r="O737" t="s">
        <v>53</v>
      </c>
      <c r="P737" t="s">
        <v>54</v>
      </c>
      <c r="Q737" t="s">
        <v>55</v>
      </c>
      <c r="T737" t="s">
        <v>241</v>
      </c>
      <c r="U737">
        <v>40</v>
      </c>
      <c r="V737" s="1">
        <v>33970</v>
      </c>
      <c r="W737" s="1">
        <v>33970</v>
      </c>
      <c r="X737" s="1">
        <v>33970</v>
      </c>
      <c r="Y737" s="1">
        <v>48580</v>
      </c>
      <c r="Z737" t="s">
        <v>51</v>
      </c>
      <c r="AB737" t="s">
        <v>54</v>
      </c>
      <c r="AC737">
        <v>1</v>
      </c>
      <c r="AE737" t="s">
        <v>222</v>
      </c>
      <c r="AF737">
        <v>20</v>
      </c>
      <c r="AG737" s="1">
        <v>33970</v>
      </c>
      <c r="AH737" s="1">
        <v>33970</v>
      </c>
      <c r="AI737" s="1">
        <v>33970</v>
      </c>
      <c r="AJ737" s="1">
        <v>41275</v>
      </c>
      <c r="AK737" t="s">
        <v>51</v>
      </c>
      <c r="AN737">
        <v>0</v>
      </c>
      <c r="AO737" t="s">
        <v>54</v>
      </c>
      <c r="AP737" t="s">
        <v>53</v>
      </c>
      <c r="AQ737">
        <v>0</v>
      </c>
      <c r="AR737" t="s">
        <v>53</v>
      </c>
      <c r="AS737">
        <v>0</v>
      </c>
      <c r="AT737">
        <v>0</v>
      </c>
      <c r="AW737" t="s">
        <v>58</v>
      </c>
      <c r="AX737">
        <v>20</v>
      </c>
      <c r="AY737" s="1">
        <v>33970</v>
      </c>
      <c r="AZ737" s="1">
        <v>33970</v>
      </c>
      <c r="BA737" s="1">
        <v>33970</v>
      </c>
      <c r="BB737" s="1">
        <v>41275</v>
      </c>
      <c r="BC737" t="s">
        <v>51</v>
      </c>
      <c r="BE737" t="s">
        <v>54</v>
      </c>
      <c r="BF737">
        <v>2</v>
      </c>
      <c r="BG737">
        <v>0</v>
      </c>
      <c r="BH737" t="s">
        <v>53</v>
      </c>
      <c r="BK737" t="s">
        <v>65</v>
      </c>
      <c r="BL737">
        <v>14000</v>
      </c>
      <c r="BM737" s="1">
        <v>41091</v>
      </c>
      <c r="BN737" s="1">
        <v>41091</v>
      </c>
      <c r="BO737" s="1">
        <v>41091</v>
      </c>
      <c r="BP737" s="1">
        <v>42291</v>
      </c>
      <c r="BQ737" t="s">
        <v>51</v>
      </c>
      <c r="BS737" t="s">
        <v>60</v>
      </c>
      <c r="BT737" t="s">
        <v>54</v>
      </c>
      <c r="BU737" t="s">
        <v>61</v>
      </c>
      <c r="BV737" t="s">
        <v>62</v>
      </c>
      <c r="BX737">
        <v>36</v>
      </c>
      <c r="BY737">
        <v>0</v>
      </c>
      <c r="BZ737">
        <v>0</v>
      </c>
    </row>
    <row r="738" spans="1:99" x14ac:dyDescent="0.2">
      <c r="A738" t="s">
        <v>180</v>
      </c>
      <c r="B738" t="s">
        <v>181</v>
      </c>
      <c r="C738" t="s">
        <v>184</v>
      </c>
      <c r="D738" t="s">
        <v>551</v>
      </c>
      <c r="F738" t="str">
        <f>"250382"</f>
        <v>250382</v>
      </c>
      <c r="G738" t="s">
        <v>49</v>
      </c>
      <c r="K738" t="s">
        <v>51</v>
      </c>
      <c r="L738" t="s">
        <v>52</v>
      </c>
      <c r="M738">
        <v>136242.26999999999</v>
      </c>
      <c r="N738">
        <v>472718</v>
      </c>
      <c r="O738" t="s">
        <v>53</v>
      </c>
      <c r="P738" t="s">
        <v>54</v>
      </c>
      <c r="Q738" t="s">
        <v>55</v>
      </c>
      <c r="T738" t="s">
        <v>241</v>
      </c>
      <c r="U738">
        <v>40</v>
      </c>
      <c r="V738" s="1">
        <v>25569</v>
      </c>
      <c r="W738" s="1">
        <v>25569</v>
      </c>
      <c r="X738" s="1">
        <v>25569</v>
      </c>
      <c r="Y738" s="1">
        <v>40179</v>
      </c>
      <c r="Z738" t="s">
        <v>51</v>
      </c>
      <c r="AB738" t="s">
        <v>54</v>
      </c>
      <c r="AC738">
        <v>1</v>
      </c>
      <c r="AE738" t="s">
        <v>222</v>
      </c>
      <c r="AF738">
        <v>20</v>
      </c>
      <c r="AG738" s="1">
        <v>25569</v>
      </c>
      <c r="AH738" s="1">
        <v>25569</v>
      </c>
      <c r="AI738" s="1">
        <v>25569</v>
      </c>
      <c r="AJ738" s="1">
        <v>32874</v>
      </c>
      <c r="AK738" t="s">
        <v>51</v>
      </c>
      <c r="AN738">
        <v>0</v>
      </c>
      <c r="AO738" t="s">
        <v>54</v>
      </c>
      <c r="AP738" t="s">
        <v>53</v>
      </c>
      <c r="AQ738">
        <v>0</v>
      </c>
      <c r="AR738" t="s">
        <v>53</v>
      </c>
      <c r="AS738">
        <v>0</v>
      </c>
      <c r="AT738">
        <v>0</v>
      </c>
      <c r="AW738" t="s">
        <v>58</v>
      </c>
      <c r="AX738">
        <v>20</v>
      </c>
      <c r="AY738" s="1">
        <v>25569</v>
      </c>
      <c r="AZ738" s="1">
        <v>25569</v>
      </c>
      <c r="BA738" s="1">
        <v>25569</v>
      </c>
      <c r="BB738" s="1">
        <v>32874</v>
      </c>
      <c r="BC738" t="s">
        <v>51</v>
      </c>
      <c r="BE738" t="s">
        <v>54</v>
      </c>
      <c r="BF738">
        <v>2</v>
      </c>
      <c r="BG738">
        <v>0</v>
      </c>
      <c r="BH738" t="s">
        <v>53</v>
      </c>
      <c r="BK738" t="s">
        <v>65</v>
      </c>
      <c r="BL738">
        <v>14000</v>
      </c>
      <c r="BM738" s="1">
        <v>41091</v>
      </c>
      <c r="BN738" s="1">
        <v>41091</v>
      </c>
      <c r="BO738" s="1">
        <v>41091</v>
      </c>
      <c r="BP738" s="1">
        <v>42291</v>
      </c>
      <c r="BQ738" t="s">
        <v>51</v>
      </c>
      <c r="BS738" t="s">
        <v>60</v>
      </c>
      <c r="BT738" t="s">
        <v>54</v>
      </c>
      <c r="BU738" t="s">
        <v>61</v>
      </c>
      <c r="BV738" t="s">
        <v>62</v>
      </c>
      <c r="BX738">
        <v>36</v>
      </c>
      <c r="BY738">
        <v>0</v>
      </c>
      <c r="BZ738">
        <v>0</v>
      </c>
    </row>
    <row r="739" spans="1:99" x14ac:dyDescent="0.2">
      <c r="A739" t="s">
        <v>180</v>
      </c>
      <c r="B739" t="s">
        <v>181</v>
      </c>
      <c r="C739" t="s">
        <v>184</v>
      </c>
      <c r="D739" t="s">
        <v>551</v>
      </c>
      <c r="F739" t="str">
        <f>"250383"</f>
        <v>250383</v>
      </c>
      <c r="G739" t="s">
        <v>49</v>
      </c>
      <c r="K739" t="s">
        <v>51</v>
      </c>
      <c r="L739" t="s">
        <v>52</v>
      </c>
      <c r="M739">
        <v>136262.1</v>
      </c>
      <c r="N739">
        <v>472741.02</v>
      </c>
      <c r="O739" t="s">
        <v>53</v>
      </c>
      <c r="P739" t="s">
        <v>54</v>
      </c>
      <c r="Q739" t="s">
        <v>55</v>
      </c>
      <c r="T739" t="s">
        <v>241</v>
      </c>
      <c r="U739">
        <v>40</v>
      </c>
      <c r="V739" s="1">
        <v>27395</v>
      </c>
      <c r="W739" s="1">
        <v>27395</v>
      </c>
      <c r="X739" s="1">
        <v>27395</v>
      </c>
      <c r="Y739" s="1">
        <v>42005</v>
      </c>
      <c r="Z739" t="s">
        <v>51</v>
      </c>
      <c r="AB739" t="s">
        <v>54</v>
      </c>
      <c r="AC739">
        <v>1</v>
      </c>
      <c r="AE739" t="s">
        <v>222</v>
      </c>
      <c r="AF739">
        <v>20</v>
      </c>
      <c r="AG739" s="1">
        <v>27395</v>
      </c>
      <c r="AH739" s="1">
        <v>27395</v>
      </c>
      <c r="AI739" s="1">
        <v>27395</v>
      </c>
      <c r="AJ739" s="1">
        <v>34700</v>
      </c>
      <c r="AK739" t="s">
        <v>51</v>
      </c>
      <c r="AN739">
        <v>0</v>
      </c>
      <c r="AO739" t="s">
        <v>54</v>
      </c>
      <c r="AP739" t="s">
        <v>53</v>
      </c>
      <c r="AQ739">
        <v>0</v>
      </c>
      <c r="AR739" t="s">
        <v>53</v>
      </c>
      <c r="AS739">
        <v>0</v>
      </c>
      <c r="AT739">
        <v>0</v>
      </c>
      <c r="AW739" t="s">
        <v>58</v>
      </c>
      <c r="AX739">
        <v>20</v>
      </c>
      <c r="AY739" s="1">
        <v>27395</v>
      </c>
      <c r="AZ739" s="1">
        <v>27395</v>
      </c>
      <c r="BA739" s="1">
        <v>27395</v>
      </c>
      <c r="BB739" s="1">
        <v>34700</v>
      </c>
      <c r="BC739" t="s">
        <v>51</v>
      </c>
      <c r="BE739" t="s">
        <v>54</v>
      </c>
      <c r="BF739">
        <v>2</v>
      </c>
      <c r="BG739">
        <v>0</v>
      </c>
      <c r="BH739" t="s">
        <v>53</v>
      </c>
      <c r="BK739" t="s">
        <v>65</v>
      </c>
      <c r="BL739">
        <v>14000</v>
      </c>
      <c r="BM739" s="1">
        <v>41091</v>
      </c>
      <c r="BN739" s="1">
        <v>41091</v>
      </c>
      <c r="BO739" s="1">
        <v>41091</v>
      </c>
      <c r="BP739" s="1">
        <v>42291</v>
      </c>
      <c r="BQ739" t="s">
        <v>51</v>
      </c>
      <c r="BS739" t="s">
        <v>60</v>
      </c>
      <c r="BT739" t="s">
        <v>54</v>
      </c>
      <c r="BU739" t="s">
        <v>61</v>
      </c>
      <c r="BV739" t="s">
        <v>62</v>
      </c>
      <c r="BX739">
        <v>36</v>
      </c>
      <c r="BY739">
        <v>0</v>
      </c>
      <c r="BZ739">
        <v>0</v>
      </c>
    </row>
    <row r="740" spans="1:99" x14ac:dyDescent="0.2">
      <c r="A740" t="s">
        <v>180</v>
      </c>
      <c r="B740" t="s">
        <v>181</v>
      </c>
      <c r="C740" t="s">
        <v>184</v>
      </c>
      <c r="D740" t="s">
        <v>551</v>
      </c>
      <c r="F740" t="str">
        <f>"250384"</f>
        <v>250384</v>
      </c>
      <c r="G740" t="s">
        <v>49</v>
      </c>
      <c r="K740" t="s">
        <v>51</v>
      </c>
      <c r="L740" t="s">
        <v>52</v>
      </c>
      <c r="M740">
        <v>136267.67000000001</v>
      </c>
      <c r="N740">
        <v>472731.25</v>
      </c>
      <c r="O740" t="s">
        <v>53</v>
      </c>
      <c r="P740" t="s">
        <v>54</v>
      </c>
      <c r="Q740" t="s">
        <v>55</v>
      </c>
      <c r="T740" t="s">
        <v>241</v>
      </c>
      <c r="U740">
        <v>40</v>
      </c>
      <c r="V740" s="1">
        <v>25569</v>
      </c>
      <c r="W740" s="1">
        <v>25569</v>
      </c>
      <c r="X740" s="1">
        <v>25569</v>
      </c>
      <c r="Y740" s="1">
        <v>40179</v>
      </c>
      <c r="Z740" t="s">
        <v>51</v>
      </c>
      <c r="AB740" t="s">
        <v>54</v>
      </c>
      <c r="AC740">
        <v>1</v>
      </c>
      <c r="AE740" t="s">
        <v>222</v>
      </c>
      <c r="AF740">
        <v>20</v>
      </c>
      <c r="AG740" s="1">
        <v>25569</v>
      </c>
      <c r="AH740" s="1">
        <v>25569</v>
      </c>
      <c r="AI740" s="1">
        <v>25569</v>
      </c>
      <c r="AJ740" s="1">
        <v>32874</v>
      </c>
      <c r="AK740" t="s">
        <v>51</v>
      </c>
      <c r="AN740">
        <v>0</v>
      </c>
      <c r="AO740" t="s">
        <v>54</v>
      </c>
      <c r="AP740" t="s">
        <v>53</v>
      </c>
      <c r="AQ740">
        <v>0</v>
      </c>
      <c r="AR740" t="s">
        <v>53</v>
      </c>
      <c r="AS740">
        <v>0</v>
      </c>
      <c r="AT740">
        <v>0</v>
      </c>
      <c r="AW740" t="s">
        <v>58</v>
      </c>
      <c r="AX740">
        <v>20</v>
      </c>
      <c r="AY740" s="1">
        <v>25569</v>
      </c>
      <c r="AZ740" s="1">
        <v>25569</v>
      </c>
      <c r="BA740" s="1">
        <v>25569</v>
      </c>
      <c r="BB740" s="1">
        <v>32874</v>
      </c>
      <c r="BC740" t="s">
        <v>51</v>
      </c>
      <c r="BE740" t="s">
        <v>54</v>
      </c>
      <c r="BF740">
        <v>2</v>
      </c>
      <c r="BG740">
        <v>0</v>
      </c>
      <c r="BH740" t="s">
        <v>53</v>
      </c>
      <c r="BK740" t="s">
        <v>65</v>
      </c>
      <c r="BL740">
        <v>14000</v>
      </c>
      <c r="BM740" s="1">
        <v>41091</v>
      </c>
      <c r="BN740" s="1">
        <v>41091</v>
      </c>
      <c r="BO740" s="1">
        <v>41091</v>
      </c>
      <c r="BP740" s="1">
        <v>42291</v>
      </c>
      <c r="BQ740" t="s">
        <v>51</v>
      </c>
      <c r="BS740" t="s">
        <v>60</v>
      </c>
      <c r="BT740" t="s">
        <v>54</v>
      </c>
      <c r="BU740" t="s">
        <v>61</v>
      </c>
      <c r="BV740" t="s">
        <v>62</v>
      </c>
      <c r="BX740">
        <v>36</v>
      </c>
      <c r="BY740">
        <v>0</v>
      </c>
      <c r="BZ740">
        <v>0</v>
      </c>
    </row>
    <row r="741" spans="1:99" x14ac:dyDescent="0.2">
      <c r="A741" t="s">
        <v>180</v>
      </c>
      <c r="B741" t="s">
        <v>181</v>
      </c>
      <c r="C741" t="s">
        <v>184</v>
      </c>
      <c r="D741" t="s">
        <v>551</v>
      </c>
      <c r="F741" t="str">
        <f>"250385"</f>
        <v>250385</v>
      </c>
      <c r="G741" t="s">
        <v>49</v>
      </c>
      <c r="K741" t="s">
        <v>51</v>
      </c>
      <c r="L741" t="s">
        <v>52</v>
      </c>
      <c r="M741">
        <v>136284.19</v>
      </c>
      <c r="N741">
        <v>472724.28</v>
      </c>
      <c r="O741" t="s">
        <v>53</v>
      </c>
      <c r="P741" t="s">
        <v>54</v>
      </c>
      <c r="Q741" t="s">
        <v>55</v>
      </c>
      <c r="T741" t="s">
        <v>241</v>
      </c>
      <c r="U741">
        <v>40</v>
      </c>
      <c r="V741" s="1">
        <v>25569</v>
      </c>
      <c r="W741" s="1">
        <v>25569</v>
      </c>
      <c r="X741" s="1">
        <v>25569</v>
      </c>
      <c r="Y741" s="1">
        <v>40179</v>
      </c>
      <c r="Z741" t="s">
        <v>51</v>
      </c>
      <c r="AB741" t="s">
        <v>54</v>
      </c>
      <c r="AC741">
        <v>1</v>
      </c>
      <c r="AE741" t="s">
        <v>222</v>
      </c>
      <c r="AF741">
        <v>20</v>
      </c>
      <c r="AG741" s="1">
        <v>25569</v>
      </c>
      <c r="AH741" s="1">
        <v>25569</v>
      </c>
      <c r="AI741" s="1">
        <v>25569</v>
      </c>
      <c r="AJ741" s="1">
        <v>32874</v>
      </c>
      <c r="AK741" t="s">
        <v>51</v>
      </c>
      <c r="AN741">
        <v>0</v>
      </c>
      <c r="AO741" t="s">
        <v>54</v>
      </c>
      <c r="AP741" t="s">
        <v>53</v>
      </c>
      <c r="AQ741">
        <v>0</v>
      </c>
      <c r="AR741" t="s">
        <v>53</v>
      </c>
      <c r="AS741">
        <v>0</v>
      </c>
      <c r="AT741">
        <v>0</v>
      </c>
      <c r="AW741" t="s">
        <v>58</v>
      </c>
      <c r="AX741">
        <v>20</v>
      </c>
      <c r="AY741" s="1">
        <v>25569</v>
      </c>
      <c r="AZ741" s="1">
        <v>25569</v>
      </c>
      <c r="BA741" s="1">
        <v>25569</v>
      </c>
      <c r="BB741" s="1">
        <v>32874</v>
      </c>
      <c r="BC741" t="s">
        <v>51</v>
      </c>
      <c r="BE741" t="s">
        <v>54</v>
      </c>
      <c r="BF741">
        <v>2</v>
      </c>
      <c r="BG741">
        <v>0</v>
      </c>
      <c r="BH741" t="s">
        <v>53</v>
      </c>
      <c r="BK741" t="s">
        <v>65</v>
      </c>
      <c r="BL741">
        <v>14000</v>
      </c>
      <c r="BM741" s="1">
        <v>41091</v>
      </c>
      <c r="BN741" s="1">
        <v>41091</v>
      </c>
      <c r="BO741" s="1">
        <v>41091</v>
      </c>
      <c r="BP741" s="1">
        <v>42291</v>
      </c>
      <c r="BQ741" t="s">
        <v>51</v>
      </c>
      <c r="BS741" t="s">
        <v>60</v>
      </c>
      <c r="BT741" t="s">
        <v>54</v>
      </c>
      <c r="BU741" t="s">
        <v>61</v>
      </c>
      <c r="BV741" t="s">
        <v>62</v>
      </c>
      <c r="BX741">
        <v>36</v>
      </c>
      <c r="BY741">
        <v>0</v>
      </c>
      <c r="BZ741">
        <v>0</v>
      </c>
    </row>
    <row r="742" spans="1:99" x14ac:dyDescent="0.2">
      <c r="A742" t="s">
        <v>180</v>
      </c>
      <c r="B742" t="s">
        <v>181</v>
      </c>
      <c r="C742" t="s">
        <v>184</v>
      </c>
      <c r="D742" t="s">
        <v>551</v>
      </c>
      <c r="F742" t="str">
        <f>"250386"</f>
        <v>250386</v>
      </c>
      <c r="G742" t="s">
        <v>49</v>
      </c>
      <c r="K742" t="s">
        <v>51</v>
      </c>
      <c r="L742" t="s">
        <v>52</v>
      </c>
      <c r="M742">
        <v>136265.13</v>
      </c>
      <c r="N742">
        <v>472766.38</v>
      </c>
      <c r="O742" t="s">
        <v>53</v>
      </c>
      <c r="P742" t="s">
        <v>54</v>
      </c>
      <c r="Q742" t="s">
        <v>55</v>
      </c>
      <c r="T742" t="s">
        <v>241</v>
      </c>
      <c r="U742">
        <v>40</v>
      </c>
      <c r="V742" s="1">
        <v>27395</v>
      </c>
      <c r="W742" s="1">
        <v>27395</v>
      </c>
      <c r="X742" s="1">
        <v>27395</v>
      </c>
      <c r="Y742" s="1">
        <v>42005</v>
      </c>
      <c r="Z742" t="s">
        <v>51</v>
      </c>
      <c r="AB742" t="s">
        <v>54</v>
      </c>
      <c r="AC742">
        <v>1</v>
      </c>
      <c r="AE742" t="s">
        <v>222</v>
      </c>
      <c r="AF742">
        <v>20</v>
      </c>
      <c r="AG742" s="1">
        <v>27395</v>
      </c>
      <c r="AH742" s="1">
        <v>27395</v>
      </c>
      <c r="AI742" s="1">
        <v>27395</v>
      </c>
      <c r="AJ742" s="1">
        <v>34700</v>
      </c>
      <c r="AK742" t="s">
        <v>51</v>
      </c>
      <c r="AN742">
        <v>0</v>
      </c>
      <c r="AO742" t="s">
        <v>54</v>
      </c>
      <c r="AP742" t="s">
        <v>53</v>
      </c>
      <c r="AQ742">
        <v>0</v>
      </c>
      <c r="AR742" t="s">
        <v>53</v>
      </c>
      <c r="AS742">
        <v>0</v>
      </c>
      <c r="AT742">
        <v>0</v>
      </c>
      <c r="AW742" t="s">
        <v>58</v>
      </c>
      <c r="AX742">
        <v>20</v>
      </c>
      <c r="AY742" s="1">
        <v>27395</v>
      </c>
      <c r="AZ742" s="1">
        <v>27395</v>
      </c>
      <c r="BA742" s="1">
        <v>27395</v>
      </c>
      <c r="BB742" s="1">
        <v>34700</v>
      </c>
      <c r="BC742" t="s">
        <v>51</v>
      </c>
      <c r="BE742" t="s">
        <v>54</v>
      </c>
      <c r="BF742">
        <v>2</v>
      </c>
      <c r="BG742">
        <v>0</v>
      </c>
      <c r="BH742" t="s">
        <v>53</v>
      </c>
      <c r="BK742" t="s">
        <v>65</v>
      </c>
      <c r="BL742">
        <v>14000</v>
      </c>
      <c r="BM742" s="1">
        <v>41091</v>
      </c>
      <c r="BN742" s="1">
        <v>41091</v>
      </c>
      <c r="BO742" s="1">
        <v>41091</v>
      </c>
      <c r="BP742" s="1">
        <v>42291</v>
      </c>
      <c r="BQ742" t="s">
        <v>51</v>
      </c>
      <c r="BS742" t="s">
        <v>60</v>
      </c>
      <c r="BT742" t="s">
        <v>54</v>
      </c>
      <c r="BU742" t="s">
        <v>61</v>
      </c>
      <c r="BV742" t="s">
        <v>62</v>
      </c>
      <c r="BX742">
        <v>36</v>
      </c>
      <c r="BY742">
        <v>0</v>
      </c>
      <c r="BZ742">
        <v>0</v>
      </c>
    </row>
    <row r="743" spans="1:99" x14ac:dyDescent="0.2">
      <c r="A743" t="s">
        <v>180</v>
      </c>
      <c r="B743" t="s">
        <v>181</v>
      </c>
      <c r="C743" t="s">
        <v>184</v>
      </c>
      <c r="D743" t="s">
        <v>551</v>
      </c>
      <c r="F743" t="str">
        <f>"250387"</f>
        <v>250387</v>
      </c>
      <c r="G743" t="s">
        <v>49</v>
      </c>
      <c r="K743" t="s">
        <v>51</v>
      </c>
      <c r="L743" t="s">
        <v>52</v>
      </c>
      <c r="M743">
        <v>136281.45000000001</v>
      </c>
      <c r="N743">
        <v>472780.75</v>
      </c>
      <c r="O743" t="s">
        <v>53</v>
      </c>
      <c r="P743" t="s">
        <v>54</v>
      </c>
      <c r="Q743" t="s">
        <v>55</v>
      </c>
      <c r="T743" t="s">
        <v>241</v>
      </c>
      <c r="U743">
        <v>40</v>
      </c>
      <c r="V743" s="1">
        <v>27395</v>
      </c>
      <c r="W743" s="1">
        <v>27395</v>
      </c>
      <c r="X743" s="1">
        <v>27395</v>
      </c>
      <c r="Y743" s="1">
        <v>42005</v>
      </c>
      <c r="Z743" t="s">
        <v>51</v>
      </c>
      <c r="AB743" t="s">
        <v>54</v>
      </c>
      <c r="AC743">
        <v>1</v>
      </c>
      <c r="AE743" t="s">
        <v>222</v>
      </c>
      <c r="AF743">
        <v>20</v>
      </c>
      <c r="AG743" s="1">
        <v>27395</v>
      </c>
      <c r="AH743" s="1">
        <v>27395</v>
      </c>
      <c r="AI743" s="1">
        <v>27395</v>
      </c>
      <c r="AJ743" s="1">
        <v>34700</v>
      </c>
      <c r="AK743" t="s">
        <v>51</v>
      </c>
      <c r="AN743">
        <v>0</v>
      </c>
      <c r="AO743" t="s">
        <v>54</v>
      </c>
      <c r="AP743" t="s">
        <v>53</v>
      </c>
      <c r="AQ743">
        <v>0</v>
      </c>
      <c r="AR743" t="s">
        <v>53</v>
      </c>
      <c r="AS743">
        <v>0</v>
      </c>
      <c r="AT743">
        <v>0</v>
      </c>
      <c r="AW743" t="s">
        <v>58</v>
      </c>
      <c r="AX743">
        <v>20</v>
      </c>
      <c r="AY743" s="1">
        <v>27395</v>
      </c>
      <c r="AZ743" s="1">
        <v>27395</v>
      </c>
      <c r="BA743" s="1">
        <v>27395</v>
      </c>
      <c r="BB743" s="1">
        <v>34700</v>
      </c>
      <c r="BC743" t="s">
        <v>51</v>
      </c>
      <c r="BE743" t="s">
        <v>54</v>
      </c>
      <c r="BF743">
        <v>2</v>
      </c>
      <c r="BG743">
        <v>0</v>
      </c>
      <c r="BH743" t="s">
        <v>53</v>
      </c>
      <c r="BK743" t="s">
        <v>65</v>
      </c>
      <c r="BL743">
        <v>14000</v>
      </c>
      <c r="BM743" s="1">
        <v>41091</v>
      </c>
      <c r="BN743" s="1">
        <v>41091</v>
      </c>
      <c r="BO743" s="1">
        <v>41091</v>
      </c>
      <c r="BP743" s="1">
        <v>42291</v>
      </c>
      <c r="BQ743" t="s">
        <v>51</v>
      </c>
      <c r="BS743" t="s">
        <v>60</v>
      </c>
      <c r="BT743" t="s">
        <v>54</v>
      </c>
      <c r="BU743" t="s">
        <v>61</v>
      </c>
      <c r="BV743" t="s">
        <v>62</v>
      </c>
      <c r="BX743">
        <v>36</v>
      </c>
      <c r="BY743">
        <v>0</v>
      </c>
      <c r="BZ743">
        <v>0</v>
      </c>
    </row>
    <row r="744" spans="1:99" x14ac:dyDescent="0.2">
      <c r="A744" t="s">
        <v>180</v>
      </c>
      <c r="B744" t="s">
        <v>181</v>
      </c>
      <c r="C744" t="s">
        <v>184</v>
      </c>
      <c r="D744" t="s">
        <v>551</v>
      </c>
      <c r="F744" t="str">
        <f>"250388"</f>
        <v>250388</v>
      </c>
      <c r="G744" t="s">
        <v>49</v>
      </c>
      <c r="K744" t="s">
        <v>51</v>
      </c>
      <c r="L744" t="s">
        <v>52</v>
      </c>
      <c r="M744">
        <v>136284.56</v>
      </c>
      <c r="N744">
        <v>472809.87</v>
      </c>
      <c r="O744" t="s">
        <v>53</v>
      </c>
      <c r="P744" t="s">
        <v>54</v>
      </c>
      <c r="Q744" t="s">
        <v>55</v>
      </c>
      <c r="T744" t="s">
        <v>241</v>
      </c>
      <c r="U744">
        <v>40</v>
      </c>
      <c r="V744" s="1">
        <v>35247</v>
      </c>
      <c r="W744" s="1">
        <v>35247</v>
      </c>
      <c r="X744" s="1">
        <v>35247</v>
      </c>
      <c r="Y744" s="1">
        <v>49857</v>
      </c>
      <c r="Z744" t="s">
        <v>51</v>
      </c>
      <c r="AB744" t="s">
        <v>54</v>
      </c>
      <c r="AC744">
        <v>1</v>
      </c>
      <c r="AE744" t="s">
        <v>222</v>
      </c>
      <c r="AF744">
        <v>20</v>
      </c>
      <c r="AG744" s="1">
        <v>35247</v>
      </c>
      <c r="AH744" s="1">
        <v>35247</v>
      </c>
      <c r="AI744" s="1">
        <v>35247</v>
      </c>
      <c r="AJ744" s="1">
        <v>42552</v>
      </c>
      <c r="AK744" t="s">
        <v>51</v>
      </c>
      <c r="AN744">
        <v>0</v>
      </c>
      <c r="AO744" t="s">
        <v>54</v>
      </c>
      <c r="AP744" t="s">
        <v>53</v>
      </c>
      <c r="AQ744">
        <v>0</v>
      </c>
      <c r="AR744" t="s">
        <v>53</v>
      </c>
      <c r="AS744">
        <v>0</v>
      </c>
      <c r="AT744">
        <v>0</v>
      </c>
      <c r="AW744" t="s">
        <v>58</v>
      </c>
      <c r="AX744">
        <v>20</v>
      </c>
      <c r="AY744" s="1">
        <v>45013</v>
      </c>
      <c r="AZ744" s="1">
        <v>45013</v>
      </c>
      <c r="BA744" s="1">
        <v>45013</v>
      </c>
      <c r="BB744" s="1">
        <v>52318</v>
      </c>
      <c r="BC744" t="s">
        <v>51</v>
      </c>
      <c r="BE744" t="s">
        <v>54</v>
      </c>
      <c r="BF744">
        <v>2</v>
      </c>
      <c r="BG744">
        <v>0</v>
      </c>
      <c r="BH744" t="s">
        <v>53</v>
      </c>
      <c r="BK744" t="s">
        <v>65</v>
      </c>
      <c r="BL744">
        <v>14000</v>
      </c>
      <c r="BM744" s="1">
        <v>44963</v>
      </c>
      <c r="BN744" s="1">
        <v>44963</v>
      </c>
      <c r="BO744" s="1">
        <v>45013</v>
      </c>
      <c r="BP744" s="1">
        <v>46146</v>
      </c>
      <c r="BQ744" t="s">
        <v>51</v>
      </c>
      <c r="BS744" t="s">
        <v>60</v>
      </c>
      <c r="BT744" t="s">
        <v>54</v>
      </c>
      <c r="BU744" t="s">
        <v>61</v>
      </c>
      <c r="BV744" t="s">
        <v>62</v>
      </c>
      <c r="BX744">
        <v>36</v>
      </c>
      <c r="BY744">
        <v>0</v>
      </c>
      <c r="BZ744">
        <v>0</v>
      </c>
    </row>
    <row r="745" spans="1:99" x14ac:dyDescent="0.2">
      <c r="A745" t="s">
        <v>180</v>
      </c>
      <c r="B745" t="s">
        <v>181</v>
      </c>
      <c r="C745" t="s">
        <v>184</v>
      </c>
      <c r="D745" t="s">
        <v>551</v>
      </c>
      <c r="F745" t="str">
        <f>"250389"</f>
        <v>250389</v>
      </c>
      <c r="G745" t="s">
        <v>49</v>
      </c>
      <c r="K745" t="s">
        <v>51</v>
      </c>
      <c r="L745" t="s">
        <v>52</v>
      </c>
      <c r="M745">
        <v>136297.16</v>
      </c>
      <c r="N745">
        <v>472830.81</v>
      </c>
      <c r="O745" t="s">
        <v>53</v>
      </c>
      <c r="P745" t="s">
        <v>54</v>
      </c>
      <c r="Q745" t="s">
        <v>55</v>
      </c>
      <c r="T745" t="s">
        <v>241</v>
      </c>
      <c r="U745">
        <v>40</v>
      </c>
      <c r="V745" s="1">
        <v>44914</v>
      </c>
      <c r="W745" s="1">
        <v>44914</v>
      </c>
      <c r="X745" s="1">
        <v>44914</v>
      </c>
      <c r="Y745" s="1">
        <v>59524</v>
      </c>
      <c r="Z745" t="s">
        <v>51</v>
      </c>
      <c r="AB745" t="s">
        <v>54</v>
      </c>
      <c r="AC745">
        <v>1</v>
      </c>
      <c r="AE745" t="s">
        <v>552</v>
      </c>
      <c r="AF745">
        <v>20</v>
      </c>
      <c r="AG745" s="1">
        <v>44277</v>
      </c>
      <c r="AH745" s="1">
        <v>44277</v>
      </c>
      <c r="AI745" s="1">
        <v>44914</v>
      </c>
      <c r="AJ745" s="1">
        <v>51582</v>
      </c>
      <c r="AK745" t="s">
        <v>51</v>
      </c>
      <c r="AN745">
        <v>0</v>
      </c>
      <c r="AO745" t="s">
        <v>54</v>
      </c>
      <c r="AP745" t="s">
        <v>53</v>
      </c>
      <c r="AQ745">
        <v>0</v>
      </c>
      <c r="AR745" t="s">
        <v>145</v>
      </c>
      <c r="AS745">
        <v>0</v>
      </c>
      <c r="AT745">
        <v>0</v>
      </c>
      <c r="AW745" t="s">
        <v>58</v>
      </c>
      <c r="AX745">
        <v>20</v>
      </c>
      <c r="AY745" s="1">
        <v>35247</v>
      </c>
      <c r="AZ745" s="1">
        <v>35247</v>
      </c>
      <c r="BA745" s="1">
        <v>44914</v>
      </c>
      <c r="BB745" s="1">
        <v>42552</v>
      </c>
      <c r="BC745" t="s">
        <v>51</v>
      </c>
      <c r="BE745" t="s">
        <v>54</v>
      </c>
      <c r="BF745">
        <v>2</v>
      </c>
      <c r="BG745">
        <v>0</v>
      </c>
      <c r="BH745" t="s">
        <v>53</v>
      </c>
      <c r="BK745" t="s">
        <v>65</v>
      </c>
      <c r="BL745">
        <v>14000</v>
      </c>
      <c r="BM745" s="1">
        <v>43215</v>
      </c>
      <c r="BN745" s="1">
        <v>43215</v>
      </c>
      <c r="BO745" s="1">
        <v>44914</v>
      </c>
      <c r="BP745" s="1">
        <v>44439</v>
      </c>
      <c r="BQ745" t="s">
        <v>51</v>
      </c>
      <c r="BS745" t="s">
        <v>60</v>
      </c>
      <c r="BT745" t="s">
        <v>54</v>
      </c>
      <c r="BU745" t="s">
        <v>61</v>
      </c>
      <c r="BV745" t="s">
        <v>62</v>
      </c>
      <c r="BX745">
        <v>36</v>
      </c>
      <c r="BY745">
        <v>0</v>
      </c>
      <c r="BZ745">
        <v>0</v>
      </c>
    </row>
    <row r="746" spans="1:99" x14ac:dyDescent="0.2">
      <c r="A746" t="s">
        <v>180</v>
      </c>
      <c r="B746" t="s">
        <v>181</v>
      </c>
      <c r="C746" t="s">
        <v>184</v>
      </c>
      <c r="D746" t="s">
        <v>553</v>
      </c>
      <c r="F746" t="str">
        <f>"250390"</f>
        <v>250390</v>
      </c>
      <c r="G746" t="s">
        <v>49</v>
      </c>
      <c r="K746" t="s">
        <v>51</v>
      </c>
      <c r="L746" t="s">
        <v>52</v>
      </c>
      <c r="M746">
        <v>136306.55499999999</v>
      </c>
      <c r="N746">
        <v>472853.32799999998</v>
      </c>
      <c r="O746" t="s">
        <v>53</v>
      </c>
      <c r="P746" t="s">
        <v>54</v>
      </c>
      <c r="Q746" t="s">
        <v>55</v>
      </c>
      <c r="T746" t="s">
        <v>554</v>
      </c>
      <c r="U746">
        <v>40</v>
      </c>
      <c r="V746" s="1">
        <v>27942</v>
      </c>
      <c r="W746" s="1">
        <v>27942</v>
      </c>
      <c r="X746" s="1">
        <v>27942</v>
      </c>
      <c r="Y746" s="1">
        <v>42552</v>
      </c>
      <c r="Z746" t="s">
        <v>51</v>
      </c>
      <c r="AB746" t="s">
        <v>54</v>
      </c>
      <c r="AC746">
        <v>1</v>
      </c>
      <c r="AE746" t="s">
        <v>64</v>
      </c>
      <c r="AF746">
        <v>20</v>
      </c>
      <c r="AG746" s="1">
        <v>38169</v>
      </c>
      <c r="AH746" s="1">
        <v>38169</v>
      </c>
      <c r="AI746" s="1">
        <v>38169</v>
      </c>
      <c r="AJ746" s="1">
        <v>45474</v>
      </c>
      <c r="AK746" t="s">
        <v>51</v>
      </c>
      <c r="AN746">
        <v>0</v>
      </c>
      <c r="AO746" t="s">
        <v>54</v>
      </c>
      <c r="AP746" t="s">
        <v>53</v>
      </c>
      <c r="AQ746">
        <v>0</v>
      </c>
      <c r="AR746" t="s">
        <v>53</v>
      </c>
      <c r="AS746">
        <v>0</v>
      </c>
      <c r="AT746">
        <v>0</v>
      </c>
      <c r="CC746" t="s">
        <v>555</v>
      </c>
      <c r="CD746">
        <v>85000</v>
      </c>
      <c r="CE746" s="1">
        <v>43402</v>
      </c>
      <c r="CF746" s="1">
        <v>43402</v>
      </c>
      <c r="CG746" s="1">
        <v>43402</v>
      </c>
      <c r="CH746" s="1">
        <v>50564</v>
      </c>
      <c r="CI746" t="s">
        <v>51</v>
      </c>
      <c r="CK746" t="s">
        <v>78</v>
      </c>
      <c r="CM746" t="s">
        <v>54</v>
      </c>
      <c r="CN746" t="s">
        <v>174</v>
      </c>
      <c r="CO746" t="s">
        <v>86</v>
      </c>
      <c r="CR746">
        <v>20</v>
      </c>
      <c r="CS746">
        <v>0</v>
      </c>
      <c r="CT746">
        <v>0</v>
      </c>
      <c r="CU746">
        <v>0</v>
      </c>
    </row>
    <row r="747" spans="1:99" x14ac:dyDescent="0.2">
      <c r="A747" t="s">
        <v>180</v>
      </c>
      <c r="B747" t="s">
        <v>181</v>
      </c>
      <c r="C747" t="s">
        <v>184</v>
      </c>
      <c r="D747" t="s">
        <v>553</v>
      </c>
      <c r="F747" t="str">
        <f>"250391"</f>
        <v>250391</v>
      </c>
      <c r="G747" t="s">
        <v>49</v>
      </c>
      <c r="H747" t="s">
        <v>219</v>
      </c>
      <c r="K747" t="s">
        <v>51</v>
      </c>
      <c r="L747" t="s">
        <v>52</v>
      </c>
      <c r="M747">
        <v>136284.75</v>
      </c>
      <c r="N747">
        <v>472849.66</v>
      </c>
      <c r="O747" t="s">
        <v>53</v>
      </c>
      <c r="P747" t="s">
        <v>54</v>
      </c>
      <c r="Q747" t="s">
        <v>55</v>
      </c>
      <c r="T747" t="s">
        <v>476</v>
      </c>
      <c r="U747">
        <v>40</v>
      </c>
      <c r="V747" s="1">
        <v>27576</v>
      </c>
      <c r="W747" s="1">
        <v>27576</v>
      </c>
      <c r="X747" s="1">
        <v>27576</v>
      </c>
      <c r="Y747" s="1">
        <v>42186</v>
      </c>
      <c r="Z747" t="s">
        <v>51</v>
      </c>
      <c r="AB747" t="s">
        <v>54</v>
      </c>
      <c r="AC747">
        <v>1</v>
      </c>
      <c r="AE747" t="s">
        <v>222</v>
      </c>
      <c r="AF747">
        <v>20</v>
      </c>
      <c r="AG747" s="1">
        <v>36342</v>
      </c>
      <c r="AH747" s="1">
        <v>36342</v>
      </c>
      <c r="AI747" s="1">
        <v>36342</v>
      </c>
      <c r="AJ747" s="1">
        <v>43647</v>
      </c>
      <c r="AK747" t="s">
        <v>51</v>
      </c>
      <c r="AN747">
        <v>0</v>
      </c>
      <c r="AO747" t="s">
        <v>54</v>
      </c>
      <c r="AP747" t="s">
        <v>53</v>
      </c>
      <c r="AQ747">
        <v>0</v>
      </c>
      <c r="AR747" t="s">
        <v>53</v>
      </c>
      <c r="AS747">
        <v>0</v>
      </c>
      <c r="AT747">
        <v>0</v>
      </c>
      <c r="CC747" t="s">
        <v>432</v>
      </c>
      <c r="CD747">
        <v>85000</v>
      </c>
      <c r="CE747" s="1">
        <v>42917</v>
      </c>
      <c r="CF747" s="1">
        <v>42917</v>
      </c>
      <c r="CG747" s="1">
        <v>42917</v>
      </c>
      <c r="CH747" s="1">
        <v>50079</v>
      </c>
      <c r="CI747" t="s">
        <v>51</v>
      </c>
      <c r="CK747" t="s">
        <v>78</v>
      </c>
      <c r="CM747" t="s">
        <v>54</v>
      </c>
      <c r="CN747" t="s">
        <v>174</v>
      </c>
      <c r="CO747" t="s">
        <v>86</v>
      </c>
      <c r="CR747">
        <v>24</v>
      </c>
      <c r="CS747">
        <v>0</v>
      </c>
      <c r="CT747">
        <v>0</v>
      </c>
      <c r="CU747">
        <v>0</v>
      </c>
    </row>
    <row r="748" spans="1:99" x14ac:dyDescent="0.2">
      <c r="A748" t="s">
        <v>180</v>
      </c>
      <c r="B748" t="s">
        <v>181</v>
      </c>
      <c r="C748" t="s">
        <v>184</v>
      </c>
      <c r="D748" t="s">
        <v>553</v>
      </c>
      <c r="F748" t="str">
        <f>"250393"</f>
        <v>250393</v>
      </c>
      <c r="G748" t="s">
        <v>49</v>
      </c>
      <c r="H748" t="s">
        <v>236</v>
      </c>
      <c r="K748" t="s">
        <v>51</v>
      </c>
      <c r="L748" t="s">
        <v>52</v>
      </c>
      <c r="M748">
        <v>136290.01999999999</v>
      </c>
      <c r="N748">
        <v>472872.69</v>
      </c>
      <c r="O748" t="s">
        <v>53</v>
      </c>
      <c r="P748" t="s">
        <v>54</v>
      </c>
      <c r="Q748" t="s">
        <v>55</v>
      </c>
      <c r="T748" t="s">
        <v>554</v>
      </c>
      <c r="U748">
        <v>40</v>
      </c>
      <c r="V748" s="1">
        <v>27576</v>
      </c>
      <c r="W748" s="1">
        <v>27576</v>
      </c>
      <c r="X748" s="1">
        <v>27576</v>
      </c>
      <c r="Y748" s="1">
        <v>42186</v>
      </c>
      <c r="Z748" t="s">
        <v>51</v>
      </c>
      <c r="AB748" t="s">
        <v>54</v>
      </c>
      <c r="AC748">
        <v>1</v>
      </c>
      <c r="AE748" t="s">
        <v>64</v>
      </c>
      <c r="AF748">
        <v>20</v>
      </c>
      <c r="AG748" s="1">
        <v>38169</v>
      </c>
      <c r="AH748" s="1">
        <v>38169</v>
      </c>
      <c r="AI748" s="1">
        <v>38169</v>
      </c>
      <c r="AJ748" s="1">
        <v>45474</v>
      </c>
      <c r="AK748" t="s">
        <v>51</v>
      </c>
      <c r="AN748">
        <v>0</v>
      </c>
      <c r="AO748" t="s">
        <v>54</v>
      </c>
      <c r="AP748" t="s">
        <v>53</v>
      </c>
      <c r="AQ748">
        <v>0</v>
      </c>
      <c r="AR748" t="s">
        <v>53</v>
      </c>
      <c r="AS748">
        <v>0</v>
      </c>
      <c r="AT748">
        <v>0</v>
      </c>
      <c r="CC748" t="s">
        <v>555</v>
      </c>
      <c r="CD748">
        <v>85000</v>
      </c>
      <c r="CE748" s="1">
        <v>42917</v>
      </c>
      <c r="CF748" s="1">
        <v>42917</v>
      </c>
      <c r="CG748" s="1">
        <v>42917</v>
      </c>
      <c r="CH748" s="1">
        <v>50079</v>
      </c>
      <c r="CI748" t="s">
        <v>51</v>
      </c>
      <c r="CK748" t="s">
        <v>78</v>
      </c>
      <c r="CM748" t="s">
        <v>54</v>
      </c>
      <c r="CN748" t="s">
        <v>174</v>
      </c>
      <c r="CO748" t="s">
        <v>86</v>
      </c>
      <c r="CR748">
        <v>20</v>
      </c>
      <c r="CS748">
        <v>0</v>
      </c>
      <c r="CT748">
        <v>0</v>
      </c>
      <c r="CU748">
        <v>0</v>
      </c>
    </row>
    <row r="749" spans="1:99" x14ac:dyDescent="0.2">
      <c r="A749" t="s">
        <v>180</v>
      </c>
      <c r="B749" t="s">
        <v>181</v>
      </c>
      <c r="C749" t="s">
        <v>184</v>
      </c>
      <c r="D749" t="s">
        <v>553</v>
      </c>
      <c r="F749" t="str">
        <f>"250394"</f>
        <v>250394</v>
      </c>
      <c r="G749" t="s">
        <v>49</v>
      </c>
      <c r="K749" t="s">
        <v>51</v>
      </c>
      <c r="L749" t="s">
        <v>52</v>
      </c>
      <c r="M749">
        <v>136301.16</v>
      </c>
      <c r="N749">
        <v>472877.27</v>
      </c>
      <c r="O749" t="s">
        <v>53</v>
      </c>
      <c r="P749" t="s">
        <v>54</v>
      </c>
      <c r="Q749" t="s">
        <v>55</v>
      </c>
      <c r="T749" t="s">
        <v>554</v>
      </c>
      <c r="U749">
        <v>40</v>
      </c>
      <c r="V749" s="1">
        <v>27576</v>
      </c>
      <c r="W749" s="1">
        <v>27576</v>
      </c>
      <c r="X749" s="1">
        <v>27576</v>
      </c>
      <c r="Y749" s="1">
        <v>42186</v>
      </c>
      <c r="Z749" t="s">
        <v>51</v>
      </c>
      <c r="AB749" t="s">
        <v>54</v>
      </c>
      <c r="AC749">
        <v>1</v>
      </c>
      <c r="AE749" t="s">
        <v>556</v>
      </c>
      <c r="AF749">
        <v>20</v>
      </c>
      <c r="AG749" s="1">
        <v>27576</v>
      </c>
      <c r="AH749" s="1">
        <v>27576</v>
      </c>
      <c r="AI749" s="1">
        <v>27576</v>
      </c>
      <c r="AJ749" s="1">
        <v>34881</v>
      </c>
      <c r="AK749" t="s">
        <v>51</v>
      </c>
      <c r="AN749">
        <v>0</v>
      </c>
      <c r="AO749" t="s">
        <v>54</v>
      </c>
      <c r="AP749" t="s">
        <v>53</v>
      </c>
      <c r="AQ749">
        <v>0</v>
      </c>
      <c r="AR749" t="s">
        <v>53</v>
      </c>
      <c r="AS749">
        <v>0</v>
      </c>
      <c r="AT749">
        <v>0</v>
      </c>
      <c r="CC749" t="s">
        <v>557</v>
      </c>
      <c r="CD749">
        <v>85000</v>
      </c>
      <c r="CE749" s="1">
        <v>42917</v>
      </c>
      <c r="CF749" s="1">
        <v>42917</v>
      </c>
      <c r="CG749" s="1">
        <v>42917</v>
      </c>
      <c r="CH749" s="1">
        <v>50079</v>
      </c>
      <c r="CI749" t="s">
        <v>51</v>
      </c>
      <c r="CK749" t="s">
        <v>78</v>
      </c>
      <c r="CM749" t="s">
        <v>54</v>
      </c>
      <c r="CN749" t="s">
        <v>174</v>
      </c>
      <c r="CO749" t="s">
        <v>86</v>
      </c>
      <c r="CR749">
        <v>70</v>
      </c>
      <c r="CS749">
        <v>0</v>
      </c>
      <c r="CT749">
        <v>0</v>
      </c>
      <c r="CU749">
        <v>0</v>
      </c>
    </row>
    <row r="750" spans="1:99" x14ac:dyDescent="0.2">
      <c r="A750" t="s">
        <v>180</v>
      </c>
      <c r="B750" t="s">
        <v>181</v>
      </c>
      <c r="C750" t="s">
        <v>184</v>
      </c>
      <c r="D750" t="s">
        <v>553</v>
      </c>
      <c r="F750" t="str">
        <f>"250395"</f>
        <v>250395</v>
      </c>
      <c r="G750" t="s">
        <v>49</v>
      </c>
      <c r="H750" t="s">
        <v>312</v>
      </c>
      <c r="K750" t="s">
        <v>51</v>
      </c>
      <c r="L750" t="s">
        <v>52</v>
      </c>
      <c r="M750">
        <v>136317.16</v>
      </c>
      <c r="N750">
        <v>472921.97</v>
      </c>
      <c r="O750" t="s">
        <v>53</v>
      </c>
      <c r="P750" t="s">
        <v>54</v>
      </c>
      <c r="Q750" t="s">
        <v>55</v>
      </c>
      <c r="T750" t="s">
        <v>558</v>
      </c>
      <c r="U750">
        <v>40</v>
      </c>
      <c r="V750" s="1">
        <v>27576</v>
      </c>
      <c r="W750" s="1">
        <v>27576</v>
      </c>
      <c r="X750" s="1">
        <v>27576</v>
      </c>
      <c r="Y750" s="1">
        <v>42186</v>
      </c>
      <c r="Z750" t="s">
        <v>51</v>
      </c>
      <c r="AB750" t="s">
        <v>54</v>
      </c>
      <c r="AC750">
        <v>1</v>
      </c>
      <c r="AE750" t="s">
        <v>559</v>
      </c>
      <c r="AF750">
        <v>20</v>
      </c>
      <c r="AG750" s="1">
        <v>38169</v>
      </c>
      <c r="AH750" s="1">
        <v>38169</v>
      </c>
      <c r="AI750" s="1">
        <v>38169</v>
      </c>
      <c r="AJ750" s="1">
        <v>45474</v>
      </c>
      <c r="AK750" t="s">
        <v>51</v>
      </c>
      <c r="AN750">
        <v>0</v>
      </c>
      <c r="AO750" t="s">
        <v>54</v>
      </c>
      <c r="AP750" t="s">
        <v>53</v>
      </c>
      <c r="AQ750">
        <v>0</v>
      </c>
      <c r="AR750" t="s">
        <v>53</v>
      </c>
      <c r="AS750">
        <v>0</v>
      </c>
      <c r="AT750">
        <v>0</v>
      </c>
      <c r="CC750" t="s">
        <v>560</v>
      </c>
      <c r="CD750">
        <v>85000</v>
      </c>
      <c r="CE750" s="1">
        <v>42552</v>
      </c>
      <c r="CF750" s="1">
        <v>42552</v>
      </c>
      <c r="CG750" s="1">
        <v>42552</v>
      </c>
      <c r="CH750" s="1">
        <v>49714</v>
      </c>
      <c r="CI750" t="s">
        <v>51</v>
      </c>
      <c r="CK750" t="s">
        <v>78</v>
      </c>
      <c r="CM750" t="s">
        <v>54</v>
      </c>
      <c r="CN750" t="s">
        <v>174</v>
      </c>
      <c r="CO750" t="s">
        <v>86</v>
      </c>
      <c r="CR750">
        <v>36</v>
      </c>
      <c r="CS750">
        <v>0</v>
      </c>
      <c r="CT750">
        <v>0</v>
      </c>
      <c r="CU750">
        <v>0</v>
      </c>
    </row>
    <row r="751" spans="1:99" x14ac:dyDescent="0.2">
      <c r="A751" t="s">
        <v>180</v>
      </c>
      <c r="B751" t="s">
        <v>181</v>
      </c>
      <c r="C751" t="s">
        <v>184</v>
      </c>
      <c r="D751" t="s">
        <v>553</v>
      </c>
      <c r="F751" t="str">
        <f>"250396"</f>
        <v>250396</v>
      </c>
      <c r="G751" t="s">
        <v>49</v>
      </c>
      <c r="H751" t="s">
        <v>166</v>
      </c>
      <c r="K751" t="s">
        <v>51</v>
      </c>
      <c r="L751" t="s">
        <v>52</v>
      </c>
      <c r="M751">
        <v>136317.73000000001</v>
      </c>
      <c r="N751">
        <v>472945.96</v>
      </c>
      <c r="O751" t="s">
        <v>53</v>
      </c>
      <c r="P751" t="s">
        <v>54</v>
      </c>
      <c r="Q751" t="s">
        <v>55</v>
      </c>
      <c r="T751" t="s">
        <v>558</v>
      </c>
      <c r="U751">
        <v>40</v>
      </c>
      <c r="V751" s="1">
        <v>27576</v>
      </c>
      <c r="W751" s="1">
        <v>27576</v>
      </c>
      <c r="X751" s="1">
        <v>27576</v>
      </c>
      <c r="Y751" s="1">
        <v>42186</v>
      </c>
      <c r="Z751" t="s">
        <v>51</v>
      </c>
      <c r="AB751" t="s">
        <v>54</v>
      </c>
      <c r="AC751">
        <v>1</v>
      </c>
      <c r="AE751" t="s">
        <v>64</v>
      </c>
      <c r="AF751">
        <v>20</v>
      </c>
      <c r="AG751" s="1">
        <v>38169</v>
      </c>
      <c r="AH751" s="1">
        <v>38169</v>
      </c>
      <c r="AI751" s="1">
        <v>38169</v>
      </c>
      <c r="AJ751" s="1">
        <v>45474</v>
      </c>
      <c r="AK751" t="s">
        <v>51</v>
      </c>
      <c r="AN751">
        <v>0</v>
      </c>
      <c r="AO751" t="s">
        <v>54</v>
      </c>
      <c r="AP751" t="s">
        <v>53</v>
      </c>
      <c r="AQ751">
        <v>0</v>
      </c>
      <c r="AR751" t="s">
        <v>53</v>
      </c>
      <c r="AS751">
        <v>0</v>
      </c>
      <c r="AT751">
        <v>0</v>
      </c>
      <c r="CC751" t="s">
        <v>555</v>
      </c>
      <c r="CD751">
        <v>85000</v>
      </c>
      <c r="CE751" s="1">
        <v>42552</v>
      </c>
      <c r="CF751" s="1">
        <v>42552</v>
      </c>
      <c r="CG751" s="1">
        <v>42552</v>
      </c>
      <c r="CH751" s="1">
        <v>49714</v>
      </c>
      <c r="CI751" t="s">
        <v>51</v>
      </c>
      <c r="CK751" t="s">
        <v>78</v>
      </c>
      <c r="CM751" t="s">
        <v>54</v>
      </c>
      <c r="CN751" t="s">
        <v>174</v>
      </c>
      <c r="CO751" t="s">
        <v>86</v>
      </c>
      <c r="CR751">
        <v>20</v>
      </c>
      <c r="CS751">
        <v>0</v>
      </c>
      <c r="CT751">
        <v>0</v>
      </c>
      <c r="CU751">
        <v>0</v>
      </c>
    </row>
    <row r="752" spans="1:99" x14ac:dyDescent="0.2">
      <c r="A752" t="s">
        <v>180</v>
      </c>
      <c r="B752" t="s">
        <v>181</v>
      </c>
      <c r="C752" t="s">
        <v>184</v>
      </c>
      <c r="D752" t="s">
        <v>553</v>
      </c>
      <c r="F752" t="str">
        <f>"250397"</f>
        <v>250397</v>
      </c>
      <c r="G752" t="s">
        <v>49</v>
      </c>
      <c r="H752" t="s">
        <v>561</v>
      </c>
      <c r="K752" t="s">
        <v>51</v>
      </c>
      <c r="L752" t="s">
        <v>52</v>
      </c>
      <c r="M752">
        <v>136335.01999999999</v>
      </c>
      <c r="N752">
        <v>472964.78</v>
      </c>
      <c r="O752" t="s">
        <v>53</v>
      </c>
      <c r="P752" t="s">
        <v>54</v>
      </c>
      <c r="Q752" t="s">
        <v>55</v>
      </c>
      <c r="T752" t="s">
        <v>558</v>
      </c>
      <c r="U752">
        <v>40</v>
      </c>
      <c r="V752" s="1">
        <v>27942</v>
      </c>
      <c r="W752" s="1">
        <v>27942</v>
      </c>
      <c r="X752" s="1">
        <v>27942</v>
      </c>
      <c r="Y752" s="1">
        <v>42552</v>
      </c>
      <c r="Z752" t="s">
        <v>51</v>
      </c>
      <c r="AB752" t="s">
        <v>54</v>
      </c>
      <c r="AC752">
        <v>1</v>
      </c>
      <c r="AE752" t="s">
        <v>64</v>
      </c>
      <c r="AF752">
        <v>20</v>
      </c>
      <c r="AG752" s="1">
        <v>38169</v>
      </c>
      <c r="AH752" s="1">
        <v>38169</v>
      </c>
      <c r="AI752" s="1">
        <v>38169</v>
      </c>
      <c r="AJ752" s="1">
        <v>45474</v>
      </c>
      <c r="AK752" t="s">
        <v>51</v>
      </c>
      <c r="AN752">
        <v>0</v>
      </c>
      <c r="AO752" t="s">
        <v>54</v>
      </c>
      <c r="AP752" t="s">
        <v>53</v>
      </c>
      <c r="AQ752">
        <v>0</v>
      </c>
      <c r="AR752" t="s">
        <v>53</v>
      </c>
      <c r="AS752">
        <v>0</v>
      </c>
      <c r="AT752">
        <v>0</v>
      </c>
      <c r="CC752" t="s">
        <v>555</v>
      </c>
      <c r="CD752">
        <v>85000</v>
      </c>
      <c r="CE752" s="1">
        <v>42552</v>
      </c>
      <c r="CF752" s="1">
        <v>42552</v>
      </c>
      <c r="CG752" s="1">
        <v>42552</v>
      </c>
      <c r="CH752" s="1">
        <v>49714</v>
      </c>
      <c r="CI752" t="s">
        <v>51</v>
      </c>
      <c r="CK752" t="s">
        <v>78</v>
      </c>
      <c r="CM752" t="s">
        <v>54</v>
      </c>
      <c r="CN752" t="s">
        <v>174</v>
      </c>
      <c r="CO752" t="s">
        <v>86</v>
      </c>
      <c r="CR752">
        <v>20</v>
      </c>
      <c r="CS752">
        <v>0</v>
      </c>
      <c r="CT752">
        <v>0</v>
      </c>
      <c r="CU752">
        <v>0</v>
      </c>
    </row>
    <row r="753" spans="1:99" x14ac:dyDescent="0.2">
      <c r="A753" t="s">
        <v>180</v>
      </c>
      <c r="B753" t="s">
        <v>181</v>
      </c>
      <c r="C753" t="s">
        <v>184</v>
      </c>
      <c r="D753" t="s">
        <v>553</v>
      </c>
      <c r="F753" t="str">
        <f>"250398"</f>
        <v>250398</v>
      </c>
      <c r="G753" t="s">
        <v>49</v>
      </c>
      <c r="H753" t="s">
        <v>472</v>
      </c>
      <c r="K753" t="s">
        <v>51</v>
      </c>
      <c r="L753" t="s">
        <v>52</v>
      </c>
      <c r="M753">
        <v>136341.21</v>
      </c>
      <c r="N753">
        <v>472988.04</v>
      </c>
      <c r="O753" t="s">
        <v>53</v>
      </c>
      <c r="P753" t="s">
        <v>54</v>
      </c>
      <c r="Q753" t="s">
        <v>55</v>
      </c>
      <c r="T753" t="s">
        <v>558</v>
      </c>
      <c r="U753">
        <v>40</v>
      </c>
      <c r="V753" s="1">
        <v>27576</v>
      </c>
      <c r="W753" s="1">
        <v>27576</v>
      </c>
      <c r="X753" s="1">
        <v>27576</v>
      </c>
      <c r="Y753" s="1">
        <v>42186</v>
      </c>
      <c r="Z753" t="s">
        <v>51</v>
      </c>
      <c r="AB753" t="s">
        <v>54</v>
      </c>
      <c r="AC753">
        <v>1</v>
      </c>
      <c r="AE753" t="s">
        <v>64</v>
      </c>
      <c r="AF753">
        <v>20</v>
      </c>
      <c r="AG753" s="1">
        <v>38169</v>
      </c>
      <c r="AH753" s="1">
        <v>38169</v>
      </c>
      <c r="AI753" s="1">
        <v>38169</v>
      </c>
      <c r="AJ753" s="1">
        <v>45474</v>
      </c>
      <c r="AK753" t="s">
        <v>51</v>
      </c>
      <c r="AN753">
        <v>0</v>
      </c>
      <c r="AO753" t="s">
        <v>54</v>
      </c>
      <c r="AP753" t="s">
        <v>53</v>
      </c>
      <c r="AQ753">
        <v>0</v>
      </c>
      <c r="AR753" t="s">
        <v>53</v>
      </c>
      <c r="AS753">
        <v>0</v>
      </c>
      <c r="AT753">
        <v>0</v>
      </c>
      <c r="CC753" t="s">
        <v>555</v>
      </c>
      <c r="CD753">
        <v>85000</v>
      </c>
      <c r="CE753" s="1">
        <v>42552</v>
      </c>
      <c r="CF753" s="1">
        <v>42552</v>
      </c>
      <c r="CG753" s="1">
        <v>42552</v>
      </c>
      <c r="CH753" s="1">
        <v>49714</v>
      </c>
      <c r="CI753" t="s">
        <v>51</v>
      </c>
      <c r="CK753" t="s">
        <v>78</v>
      </c>
      <c r="CM753" t="s">
        <v>54</v>
      </c>
      <c r="CN753" t="s">
        <v>174</v>
      </c>
      <c r="CO753" t="s">
        <v>86</v>
      </c>
      <c r="CR753">
        <v>20</v>
      </c>
      <c r="CS753">
        <v>0</v>
      </c>
      <c r="CT753">
        <v>0</v>
      </c>
      <c r="CU753">
        <v>0</v>
      </c>
    </row>
    <row r="754" spans="1:99" x14ac:dyDescent="0.2">
      <c r="A754" t="s">
        <v>180</v>
      </c>
      <c r="B754" t="s">
        <v>181</v>
      </c>
      <c r="C754" t="s">
        <v>184</v>
      </c>
      <c r="D754" t="s">
        <v>562</v>
      </c>
      <c r="F754" t="str">
        <f>"250399"</f>
        <v>250399</v>
      </c>
      <c r="G754" t="s">
        <v>49</v>
      </c>
      <c r="K754" t="s">
        <v>51</v>
      </c>
      <c r="L754" t="s">
        <v>52</v>
      </c>
      <c r="M754">
        <v>136220.14000000001</v>
      </c>
      <c r="N754">
        <v>472629.67</v>
      </c>
      <c r="O754" t="s">
        <v>53</v>
      </c>
      <c r="P754" t="s">
        <v>54</v>
      </c>
      <c r="Q754" t="s">
        <v>55</v>
      </c>
      <c r="T754" t="s">
        <v>563</v>
      </c>
      <c r="U754">
        <v>40</v>
      </c>
      <c r="V754" s="1">
        <v>33970</v>
      </c>
      <c r="W754" s="1">
        <v>33970</v>
      </c>
      <c r="X754" s="1">
        <v>33970</v>
      </c>
      <c r="Y754" s="1">
        <v>48580</v>
      </c>
      <c r="Z754" t="s">
        <v>51</v>
      </c>
      <c r="AB754" t="s">
        <v>54</v>
      </c>
      <c r="AC754">
        <v>1</v>
      </c>
      <c r="AE754" t="s">
        <v>564</v>
      </c>
      <c r="AF754">
        <v>20</v>
      </c>
      <c r="AG754" s="1">
        <v>33970</v>
      </c>
      <c r="AH754" s="1">
        <v>33970</v>
      </c>
      <c r="AI754" s="1">
        <v>33970</v>
      </c>
      <c r="AJ754" s="1">
        <v>41275</v>
      </c>
      <c r="AK754" t="s">
        <v>51</v>
      </c>
      <c r="AN754">
        <v>0</v>
      </c>
      <c r="AO754" t="s">
        <v>54</v>
      </c>
      <c r="AP754" t="s">
        <v>53</v>
      </c>
      <c r="AQ754">
        <v>0</v>
      </c>
      <c r="AR754" t="s">
        <v>53</v>
      </c>
      <c r="AS754">
        <v>0</v>
      </c>
      <c r="AT754">
        <v>0</v>
      </c>
      <c r="AW754" t="s">
        <v>58</v>
      </c>
      <c r="AX754">
        <v>20</v>
      </c>
      <c r="AY754" s="1">
        <v>33970</v>
      </c>
      <c r="AZ754" s="1">
        <v>33970</v>
      </c>
      <c r="BA754" s="1">
        <v>33970</v>
      </c>
      <c r="BB754" s="1">
        <v>41275</v>
      </c>
      <c r="BC754" t="s">
        <v>51</v>
      </c>
      <c r="BE754" t="s">
        <v>54</v>
      </c>
      <c r="BF754">
        <v>2</v>
      </c>
      <c r="BG754">
        <v>0</v>
      </c>
      <c r="BH754" t="s">
        <v>53</v>
      </c>
      <c r="BK754" t="s">
        <v>565</v>
      </c>
      <c r="BL754">
        <v>18000</v>
      </c>
      <c r="BM754" s="1">
        <v>41091</v>
      </c>
      <c r="BN754" s="1">
        <v>41091</v>
      </c>
      <c r="BO754" s="1">
        <v>41091</v>
      </c>
      <c r="BP754" s="1">
        <v>42631</v>
      </c>
      <c r="BQ754" t="s">
        <v>51</v>
      </c>
      <c r="BS754" t="s">
        <v>60</v>
      </c>
      <c r="BT754" t="s">
        <v>54</v>
      </c>
      <c r="BU754" t="s">
        <v>362</v>
      </c>
      <c r="BV754" t="s">
        <v>566</v>
      </c>
      <c r="BX754">
        <v>50</v>
      </c>
      <c r="BY754">
        <v>0</v>
      </c>
      <c r="BZ754">
        <v>0</v>
      </c>
    </row>
    <row r="755" spans="1:99" x14ac:dyDescent="0.2">
      <c r="A755" t="s">
        <v>180</v>
      </c>
      <c r="B755" t="s">
        <v>181</v>
      </c>
      <c r="C755" t="s">
        <v>184</v>
      </c>
      <c r="D755" t="s">
        <v>562</v>
      </c>
      <c r="F755" t="str">
        <f>"250400"</f>
        <v>250400</v>
      </c>
      <c r="G755" t="s">
        <v>49</v>
      </c>
      <c r="H755" t="s">
        <v>567</v>
      </c>
      <c r="K755" t="s">
        <v>51</v>
      </c>
      <c r="L755" t="s">
        <v>52</v>
      </c>
      <c r="M755">
        <v>136236.94</v>
      </c>
      <c r="N755">
        <v>472622.02</v>
      </c>
      <c r="O755" t="s">
        <v>53</v>
      </c>
      <c r="P755" t="s">
        <v>54</v>
      </c>
      <c r="Q755" t="s">
        <v>55</v>
      </c>
      <c r="T755" t="s">
        <v>563</v>
      </c>
      <c r="U755">
        <v>40</v>
      </c>
      <c r="V755" s="1">
        <v>33970</v>
      </c>
      <c r="W755" s="1">
        <v>33970</v>
      </c>
      <c r="X755" s="1">
        <v>33970</v>
      </c>
      <c r="Y755" s="1">
        <v>48580</v>
      </c>
      <c r="Z755" t="s">
        <v>51</v>
      </c>
      <c r="AB755" t="s">
        <v>54</v>
      </c>
      <c r="AC755">
        <v>1</v>
      </c>
      <c r="AE755" t="s">
        <v>564</v>
      </c>
      <c r="AF755">
        <v>20</v>
      </c>
      <c r="AG755" s="1">
        <v>33970</v>
      </c>
      <c r="AH755" s="1">
        <v>33970</v>
      </c>
      <c r="AI755" s="1">
        <v>33970</v>
      </c>
      <c r="AJ755" s="1">
        <v>41275</v>
      </c>
      <c r="AK755" t="s">
        <v>51</v>
      </c>
      <c r="AN755">
        <v>0</v>
      </c>
      <c r="AO755" t="s">
        <v>54</v>
      </c>
      <c r="AP755" t="s">
        <v>53</v>
      </c>
      <c r="AQ755">
        <v>0</v>
      </c>
      <c r="AR755" t="s">
        <v>53</v>
      </c>
      <c r="AS755">
        <v>0</v>
      </c>
      <c r="AT755">
        <v>0</v>
      </c>
      <c r="AW755" t="s">
        <v>58</v>
      </c>
      <c r="AX755">
        <v>20</v>
      </c>
      <c r="AY755" s="1">
        <v>33970</v>
      </c>
      <c r="AZ755" s="1">
        <v>33970</v>
      </c>
      <c r="BA755" s="1">
        <v>33970</v>
      </c>
      <c r="BB755" s="1">
        <v>41275</v>
      </c>
      <c r="BC755" t="s">
        <v>51</v>
      </c>
      <c r="BE755" t="s">
        <v>54</v>
      </c>
      <c r="BF755">
        <v>2</v>
      </c>
      <c r="BG755">
        <v>0</v>
      </c>
      <c r="BH755" t="s">
        <v>53</v>
      </c>
      <c r="BK755" t="s">
        <v>565</v>
      </c>
      <c r="BL755">
        <v>18000</v>
      </c>
      <c r="BM755" s="1">
        <v>41091</v>
      </c>
      <c r="BN755" s="1">
        <v>41091</v>
      </c>
      <c r="BO755" s="1">
        <v>41091</v>
      </c>
      <c r="BP755" s="1">
        <v>42631</v>
      </c>
      <c r="BQ755" t="s">
        <v>51</v>
      </c>
      <c r="BS755" t="s">
        <v>60</v>
      </c>
      <c r="BT755" t="s">
        <v>54</v>
      </c>
      <c r="BU755" t="s">
        <v>362</v>
      </c>
      <c r="BV755" t="s">
        <v>566</v>
      </c>
      <c r="BX755">
        <v>50</v>
      </c>
      <c r="BY755">
        <v>0</v>
      </c>
      <c r="BZ755">
        <v>0</v>
      </c>
    </row>
    <row r="756" spans="1:99" x14ac:dyDescent="0.2">
      <c r="A756" t="s">
        <v>180</v>
      </c>
      <c r="B756" t="s">
        <v>181</v>
      </c>
      <c r="C756" t="s">
        <v>184</v>
      </c>
      <c r="D756" t="s">
        <v>562</v>
      </c>
      <c r="F756" t="str">
        <f>"250401"</f>
        <v>250401</v>
      </c>
      <c r="G756" t="s">
        <v>49</v>
      </c>
      <c r="H756" t="s">
        <v>568</v>
      </c>
      <c r="K756" t="s">
        <v>51</v>
      </c>
      <c r="L756" t="s">
        <v>52</v>
      </c>
      <c r="M756">
        <v>136228.97</v>
      </c>
      <c r="N756">
        <v>472605.09</v>
      </c>
      <c r="O756" t="s">
        <v>53</v>
      </c>
      <c r="P756" t="s">
        <v>54</v>
      </c>
      <c r="Q756" t="s">
        <v>55</v>
      </c>
      <c r="T756" t="s">
        <v>563</v>
      </c>
      <c r="U756">
        <v>40</v>
      </c>
      <c r="V756" s="1">
        <v>33970</v>
      </c>
      <c r="W756" s="1">
        <v>33970</v>
      </c>
      <c r="X756" s="1">
        <v>33970</v>
      </c>
      <c r="Y756" s="1">
        <v>48580</v>
      </c>
      <c r="Z756" t="s">
        <v>51</v>
      </c>
      <c r="AB756" t="s">
        <v>54</v>
      </c>
      <c r="AC756">
        <v>1</v>
      </c>
      <c r="AE756" t="s">
        <v>564</v>
      </c>
      <c r="AF756">
        <v>20</v>
      </c>
      <c r="AG756" s="1">
        <v>33970</v>
      </c>
      <c r="AH756" s="1">
        <v>33970</v>
      </c>
      <c r="AI756" s="1">
        <v>33970</v>
      </c>
      <c r="AJ756" s="1">
        <v>41275</v>
      </c>
      <c r="AK756" t="s">
        <v>51</v>
      </c>
      <c r="AN756">
        <v>0</v>
      </c>
      <c r="AO756" t="s">
        <v>54</v>
      </c>
      <c r="AP756" t="s">
        <v>53</v>
      </c>
      <c r="AQ756">
        <v>0</v>
      </c>
      <c r="AR756" t="s">
        <v>53</v>
      </c>
      <c r="AS756">
        <v>0</v>
      </c>
      <c r="AT756">
        <v>0</v>
      </c>
      <c r="AW756" t="s">
        <v>58</v>
      </c>
      <c r="AX756">
        <v>20</v>
      </c>
      <c r="AY756" s="1">
        <v>33970</v>
      </c>
      <c r="AZ756" s="1">
        <v>33970</v>
      </c>
      <c r="BA756" s="1">
        <v>33970</v>
      </c>
      <c r="BB756" s="1">
        <v>41275</v>
      </c>
      <c r="BC756" t="s">
        <v>51</v>
      </c>
      <c r="BE756" t="s">
        <v>54</v>
      </c>
      <c r="BF756">
        <v>2</v>
      </c>
      <c r="BG756">
        <v>0</v>
      </c>
      <c r="BH756" t="s">
        <v>53</v>
      </c>
      <c r="BK756" t="s">
        <v>565</v>
      </c>
      <c r="BL756">
        <v>18000</v>
      </c>
      <c r="BM756" s="1">
        <v>41091</v>
      </c>
      <c r="BN756" s="1">
        <v>41091</v>
      </c>
      <c r="BO756" s="1">
        <v>41091</v>
      </c>
      <c r="BP756" s="1">
        <v>42631</v>
      </c>
      <c r="BQ756" t="s">
        <v>51</v>
      </c>
      <c r="BS756" t="s">
        <v>60</v>
      </c>
      <c r="BT756" t="s">
        <v>54</v>
      </c>
      <c r="BU756" t="s">
        <v>362</v>
      </c>
      <c r="BV756" t="s">
        <v>566</v>
      </c>
      <c r="BX756">
        <v>50</v>
      </c>
      <c r="BY756">
        <v>0</v>
      </c>
      <c r="BZ756">
        <v>0</v>
      </c>
    </row>
    <row r="757" spans="1:99" x14ac:dyDescent="0.2">
      <c r="A757" t="s">
        <v>180</v>
      </c>
      <c r="B757" t="s">
        <v>181</v>
      </c>
      <c r="C757" t="s">
        <v>184</v>
      </c>
      <c r="D757" t="s">
        <v>562</v>
      </c>
      <c r="F757" t="str">
        <f>"250402"</f>
        <v>250402</v>
      </c>
      <c r="G757" t="s">
        <v>49</v>
      </c>
      <c r="H757" t="s">
        <v>242</v>
      </c>
      <c r="K757" t="s">
        <v>51</v>
      </c>
      <c r="L757" t="s">
        <v>52</v>
      </c>
      <c r="M757">
        <v>136212.65</v>
      </c>
      <c r="N757">
        <v>472611.95</v>
      </c>
      <c r="O757" t="s">
        <v>53</v>
      </c>
      <c r="P757" t="s">
        <v>54</v>
      </c>
      <c r="Q757" t="s">
        <v>55</v>
      </c>
      <c r="T757" t="s">
        <v>563</v>
      </c>
      <c r="U757">
        <v>40</v>
      </c>
      <c r="V757" s="1">
        <v>33970</v>
      </c>
      <c r="W757" s="1">
        <v>33970</v>
      </c>
      <c r="X757" s="1">
        <v>33970</v>
      </c>
      <c r="Y757" s="1">
        <v>48580</v>
      </c>
      <c r="Z757" t="s">
        <v>51</v>
      </c>
      <c r="AB757" t="s">
        <v>54</v>
      </c>
      <c r="AC757">
        <v>1</v>
      </c>
      <c r="AE757" t="s">
        <v>564</v>
      </c>
      <c r="AF757">
        <v>20</v>
      </c>
      <c r="AG757" s="1">
        <v>33970</v>
      </c>
      <c r="AH757" s="1">
        <v>33970</v>
      </c>
      <c r="AI757" s="1">
        <v>33970</v>
      </c>
      <c r="AJ757" s="1">
        <v>41275</v>
      </c>
      <c r="AK757" t="s">
        <v>51</v>
      </c>
      <c r="AN757">
        <v>0</v>
      </c>
      <c r="AO757" t="s">
        <v>54</v>
      </c>
      <c r="AP757" t="s">
        <v>53</v>
      </c>
      <c r="AQ757">
        <v>0</v>
      </c>
      <c r="AR757" t="s">
        <v>53</v>
      </c>
      <c r="AS757">
        <v>0</v>
      </c>
      <c r="AT757">
        <v>0</v>
      </c>
      <c r="AW757" t="s">
        <v>58</v>
      </c>
      <c r="AX757">
        <v>20</v>
      </c>
      <c r="AY757" s="1">
        <v>33970</v>
      </c>
      <c r="AZ757" s="1">
        <v>33970</v>
      </c>
      <c r="BA757" s="1">
        <v>33970</v>
      </c>
      <c r="BB757" s="1">
        <v>41275</v>
      </c>
      <c r="BC757" t="s">
        <v>51</v>
      </c>
      <c r="BE757" t="s">
        <v>54</v>
      </c>
      <c r="BF757">
        <v>2</v>
      </c>
      <c r="BG757">
        <v>0</v>
      </c>
      <c r="BH757" t="s">
        <v>53</v>
      </c>
      <c r="BK757" t="s">
        <v>565</v>
      </c>
      <c r="BL757">
        <v>18000</v>
      </c>
      <c r="BM757" s="1">
        <v>41091</v>
      </c>
      <c r="BN757" s="1">
        <v>41091</v>
      </c>
      <c r="BO757" s="1">
        <v>41091</v>
      </c>
      <c r="BP757" s="1">
        <v>42631</v>
      </c>
      <c r="BQ757" t="s">
        <v>51</v>
      </c>
      <c r="BS757" t="s">
        <v>60</v>
      </c>
      <c r="BT757" t="s">
        <v>54</v>
      </c>
      <c r="BU757" t="s">
        <v>362</v>
      </c>
      <c r="BV757" t="s">
        <v>566</v>
      </c>
      <c r="BX757">
        <v>50</v>
      </c>
      <c r="BY757">
        <v>0</v>
      </c>
      <c r="BZ757">
        <v>0</v>
      </c>
    </row>
    <row r="758" spans="1:99" x14ac:dyDescent="0.2">
      <c r="A758" t="s">
        <v>180</v>
      </c>
      <c r="B758" t="s">
        <v>181</v>
      </c>
      <c r="C758" t="s">
        <v>184</v>
      </c>
      <c r="D758" t="s">
        <v>562</v>
      </c>
      <c r="F758" t="str">
        <f>"250403"</f>
        <v>250403</v>
      </c>
      <c r="G758" t="s">
        <v>49</v>
      </c>
      <c r="K758" t="s">
        <v>51</v>
      </c>
      <c r="L758" t="s">
        <v>52</v>
      </c>
      <c r="M758">
        <v>136248.57</v>
      </c>
      <c r="N758">
        <v>472629.27</v>
      </c>
      <c r="O758" t="s">
        <v>53</v>
      </c>
      <c r="P758" t="s">
        <v>54</v>
      </c>
      <c r="Q758" t="s">
        <v>55</v>
      </c>
      <c r="T758" t="s">
        <v>563</v>
      </c>
      <c r="U758">
        <v>40</v>
      </c>
      <c r="V758" s="1">
        <v>33970</v>
      </c>
      <c r="W758" s="1">
        <v>33970</v>
      </c>
      <c r="X758" s="1">
        <v>33970</v>
      </c>
      <c r="Y758" s="1">
        <v>48580</v>
      </c>
      <c r="Z758" t="s">
        <v>51</v>
      </c>
      <c r="AB758" t="s">
        <v>54</v>
      </c>
      <c r="AC758">
        <v>1</v>
      </c>
      <c r="AE758" t="s">
        <v>564</v>
      </c>
      <c r="AF758">
        <v>20</v>
      </c>
      <c r="AG758" s="1">
        <v>33970</v>
      </c>
      <c r="AH758" s="1">
        <v>33970</v>
      </c>
      <c r="AI758" s="1">
        <v>33970</v>
      </c>
      <c r="AJ758" s="1">
        <v>41275</v>
      </c>
      <c r="AK758" t="s">
        <v>51</v>
      </c>
      <c r="AN758">
        <v>0</v>
      </c>
      <c r="AO758" t="s">
        <v>54</v>
      </c>
      <c r="AP758" t="s">
        <v>53</v>
      </c>
      <c r="AQ758">
        <v>0</v>
      </c>
      <c r="AR758" t="s">
        <v>53</v>
      </c>
      <c r="AS758">
        <v>0</v>
      </c>
      <c r="AT758">
        <v>0</v>
      </c>
      <c r="AW758" t="s">
        <v>58</v>
      </c>
      <c r="AX758">
        <v>20</v>
      </c>
      <c r="AY758" s="1">
        <v>33970</v>
      </c>
      <c r="AZ758" s="1">
        <v>33970</v>
      </c>
      <c r="BA758" s="1">
        <v>33970</v>
      </c>
      <c r="BB758" s="1">
        <v>41275</v>
      </c>
      <c r="BC758" t="s">
        <v>51</v>
      </c>
      <c r="BE758" t="s">
        <v>54</v>
      </c>
      <c r="BF758">
        <v>2</v>
      </c>
      <c r="BG758">
        <v>0</v>
      </c>
      <c r="BH758" t="s">
        <v>53</v>
      </c>
      <c r="BK758" t="s">
        <v>565</v>
      </c>
      <c r="BL758">
        <v>18000</v>
      </c>
      <c r="BM758" s="1">
        <v>41091</v>
      </c>
      <c r="BN758" s="1">
        <v>41091</v>
      </c>
      <c r="BO758" s="1">
        <v>41091</v>
      </c>
      <c r="BP758" s="1">
        <v>42631</v>
      </c>
      <c r="BQ758" t="s">
        <v>51</v>
      </c>
      <c r="BS758" t="s">
        <v>60</v>
      </c>
      <c r="BT758" t="s">
        <v>54</v>
      </c>
      <c r="BU758" t="s">
        <v>362</v>
      </c>
      <c r="BV758" t="s">
        <v>566</v>
      </c>
      <c r="BX758">
        <v>50</v>
      </c>
      <c r="BY758">
        <v>0</v>
      </c>
      <c r="BZ758">
        <v>0</v>
      </c>
    </row>
    <row r="759" spans="1:99" x14ac:dyDescent="0.2">
      <c r="A759" t="s">
        <v>180</v>
      </c>
      <c r="B759" t="s">
        <v>181</v>
      </c>
      <c r="C759" t="s">
        <v>184</v>
      </c>
      <c r="D759" t="s">
        <v>562</v>
      </c>
      <c r="F759" t="str">
        <f>"250404"</f>
        <v>250404</v>
      </c>
      <c r="G759" t="s">
        <v>49</v>
      </c>
      <c r="H759" t="s">
        <v>569</v>
      </c>
      <c r="K759" t="s">
        <v>51</v>
      </c>
      <c r="L759" t="s">
        <v>52</v>
      </c>
      <c r="M759">
        <v>136255.26999999999</v>
      </c>
      <c r="N759">
        <v>472644.29</v>
      </c>
      <c r="O759" t="s">
        <v>53</v>
      </c>
      <c r="P759" t="s">
        <v>54</v>
      </c>
      <c r="Q759" t="s">
        <v>55</v>
      </c>
      <c r="T759" t="s">
        <v>563</v>
      </c>
      <c r="U759">
        <v>40</v>
      </c>
      <c r="V759" s="1">
        <v>33970</v>
      </c>
      <c r="W759" s="1">
        <v>33970</v>
      </c>
      <c r="X759" s="1">
        <v>33970</v>
      </c>
      <c r="Y759" s="1">
        <v>48580</v>
      </c>
      <c r="Z759" t="s">
        <v>51</v>
      </c>
      <c r="AB759" t="s">
        <v>54</v>
      </c>
      <c r="AC759">
        <v>1</v>
      </c>
      <c r="AE759" t="s">
        <v>564</v>
      </c>
      <c r="AF759">
        <v>20</v>
      </c>
      <c r="AG759" s="1">
        <v>33970</v>
      </c>
      <c r="AH759" s="1">
        <v>33970</v>
      </c>
      <c r="AI759" s="1">
        <v>33970</v>
      </c>
      <c r="AJ759" s="1">
        <v>41275</v>
      </c>
      <c r="AK759" t="s">
        <v>51</v>
      </c>
      <c r="AN759">
        <v>0</v>
      </c>
      <c r="AO759" t="s">
        <v>54</v>
      </c>
      <c r="AP759" t="s">
        <v>53</v>
      </c>
      <c r="AQ759">
        <v>0</v>
      </c>
      <c r="AR759" t="s">
        <v>53</v>
      </c>
      <c r="AS759">
        <v>0</v>
      </c>
      <c r="AT759">
        <v>0</v>
      </c>
      <c r="AW759" t="s">
        <v>58</v>
      </c>
      <c r="AX759">
        <v>20</v>
      </c>
      <c r="AY759" s="1">
        <v>33970</v>
      </c>
      <c r="AZ759" s="1">
        <v>33970</v>
      </c>
      <c r="BA759" s="1">
        <v>33970</v>
      </c>
      <c r="BB759" s="1">
        <v>41275</v>
      </c>
      <c r="BC759" t="s">
        <v>51</v>
      </c>
      <c r="BE759" t="s">
        <v>54</v>
      </c>
      <c r="BF759">
        <v>2</v>
      </c>
      <c r="BG759">
        <v>0</v>
      </c>
      <c r="BH759" t="s">
        <v>53</v>
      </c>
      <c r="BK759" t="s">
        <v>565</v>
      </c>
      <c r="BL759">
        <v>18000</v>
      </c>
      <c r="BM759" s="1">
        <v>41091</v>
      </c>
      <c r="BN759" s="1">
        <v>41091</v>
      </c>
      <c r="BO759" s="1">
        <v>41091</v>
      </c>
      <c r="BP759" s="1">
        <v>42631</v>
      </c>
      <c r="BQ759" t="s">
        <v>51</v>
      </c>
      <c r="BS759" t="s">
        <v>60</v>
      </c>
      <c r="BT759" t="s">
        <v>54</v>
      </c>
      <c r="BU759" t="s">
        <v>362</v>
      </c>
      <c r="BV759" t="s">
        <v>566</v>
      </c>
      <c r="BX759">
        <v>50</v>
      </c>
      <c r="BY759">
        <v>0</v>
      </c>
      <c r="BZ759">
        <v>0</v>
      </c>
    </row>
    <row r="760" spans="1:99" x14ac:dyDescent="0.2">
      <c r="A760" t="s">
        <v>180</v>
      </c>
      <c r="B760" t="s">
        <v>181</v>
      </c>
      <c r="C760" t="s">
        <v>184</v>
      </c>
      <c r="D760" t="s">
        <v>562</v>
      </c>
      <c r="F760" t="str">
        <f>"250405"</f>
        <v>250405</v>
      </c>
      <c r="G760" t="s">
        <v>49</v>
      </c>
      <c r="H760" t="s">
        <v>570</v>
      </c>
      <c r="K760" t="s">
        <v>51</v>
      </c>
      <c r="L760" t="s">
        <v>52</v>
      </c>
      <c r="M760">
        <v>136272.95999999999</v>
      </c>
      <c r="N760">
        <v>472636.11</v>
      </c>
      <c r="O760" t="s">
        <v>53</v>
      </c>
      <c r="P760" t="s">
        <v>54</v>
      </c>
      <c r="Q760" t="s">
        <v>55</v>
      </c>
      <c r="T760" t="s">
        <v>563</v>
      </c>
      <c r="U760">
        <v>40</v>
      </c>
      <c r="V760" s="1">
        <v>33970</v>
      </c>
      <c r="W760" s="1">
        <v>33970</v>
      </c>
      <c r="X760" s="1">
        <v>33970</v>
      </c>
      <c r="Y760" s="1">
        <v>48580</v>
      </c>
      <c r="Z760" t="s">
        <v>51</v>
      </c>
      <c r="AB760" t="s">
        <v>54</v>
      </c>
      <c r="AC760">
        <v>1</v>
      </c>
      <c r="AE760" t="s">
        <v>564</v>
      </c>
      <c r="AF760">
        <v>20</v>
      </c>
      <c r="AG760" s="1">
        <v>33970</v>
      </c>
      <c r="AH760" s="1">
        <v>33970</v>
      </c>
      <c r="AI760" s="1">
        <v>33970</v>
      </c>
      <c r="AJ760" s="1">
        <v>41275</v>
      </c>
      <c r="AK760" t="s">
        <v>51</v>
      </c>
      <c r="AN760">
        <v>0</v>
      </c>
      <c r="AO760" t="s">
        <v>54</v>
      </c>
      <c r="AP760" t="s">
        <v>53</v>
      </c>
      <c r="AQ760">
        <v>0</v>
      </c>
      <c r="AR760" t="s">
        <v>53</v>
      </c>
      <c r="AS760">
        <v>0</v>
      </c>
      <c r="AT760">
        <v>0</v>
      </c>
      <c r="AW760" t="s">
        <v>58</v>
      </c>
      <c r="AX760">
        <v>20</v>
      </c>
      <c r="AY760" s="1">
        <v>33970</v>
      </c>
      <c r="AZ760" s="1">
        <v>33970</v>
      </c>
      <c r="BA760" s="1">
        <v>33970</v>
      </c>
      <c r="BB760" s="1">
        <v>41275</v>
      </c>
      <c r="BC760" t="s">
        <v>51</v>
      </c>
      <c r="BE760" t="s">
        <v>54</v>
      </c>
      <c r="BF760">
        <v>2</v>
      </c>
      <c r="BG760">
        <v>0</v>
      </c>
      <c r="BH760" t="s">
        <v>53</v>
      </c>
      <c r="BK760" t="s">
        <v>565</v>
      </c>
      <c r="BL760">
        <v>18000</v>
      </c>
      <c r="BM760" s="1">
        <v>41091</v>
      </c>
      <c r="BN760" s="1">
        <v>41091</v>
      </c>
      <c r="BO760" s="1">
        <v>41091</v>
      </c>
      <c r="BP760" s="1">
        <v>42631</v>
      </c>
      <c r="BQ760" t="s">
        <v>51</v>
      </c>
      <c r="BS760" t="s">
        <v>60</v>
      </c>
      <c r="BT760" t="s">
        <v>54</v>
      </c>
      <c r="BU760" t="s">
        <v>362</v>
      </c>
      <c r="BV760" t="s">
        <v>566</v>
      </c>
      <c r="BX760">
        <v>50</v>
      </c>
      <c r="BY760">
        <v>0</v>
      </c>
      <c r="BZ760">
        <v>0</v>
      </c>
    </row>
    <row r="761" spans="1:99" x14ac:dyDescent="0.2">
      <c r="A761" t="s">
        <v>180</v>
      </c>
      <c r="B761" t="s">
        <v>181</v>
      </c>
      <c r="C761" t="s">
        <v>184</v>
      </c>
      <c r="D761" t="s">
        <v>562</v>
      </c>
      <c r="F761" t="str">
        <f>"250406"</f>
        <v>250406</v>
      </c>
      <c r="G761" t="s">
        <v>49</v>
      </c>
      <c r="H761" t="s">
        <v>223</v>
      </c>
      <c r="K761" t="s">
        <v>51</v>
      </c>
      <c r="L761" t="s">
        <v>52</v>
      </c>
      <c r="M761">
        <v>136266.17000000001</v>
      </c>
      <c r="N761">
        <v>472621.16</v>
      </c>
      <c r="O761" t="s">
        <v>53</v>
      </c>
      <c r="P761" t="s">
        <v>54</v>
      </c>
      <c r="Q761" t="s">
        <v>55</v>
      </c>
      <c r="T761" t="s">
        <v>563</v>
      </c>
      <c r="U761">
        <v>40</v>
      </c>
      <c r="V761" s="1">
        <v>33970</v>
      </c>
      <c r="W761" s="1">
        <v>33970</v>
      </c>
      <c r="X761" s="1">
        <v>33970</v>
      </c>
      <c r="Y761" s="1">
        <v>48580</v>
      </c>
      <c r="Z761" t="s">
        <v>51</v>
      </c>
      <c r="AB761" t="s">
        <v>54</v>
      </c>
      <c r="AC761">
        <v>1</v>
      </c>
      <c r="AE761" t="s">
        <v>564</v>
      </c>
      <c r="AF761">
        <v>20</v>
      </c>
      <c r="AG761" s="1">
        <v>33970</v>
      </c>
      <c r="AH761" s="1">
        <v>33970</v>
      </c>
      <c r="AI761" s="1">
        <v>33970</v>
      </c>
      <c r="AJ761" s="1">
        <v>41275</v>
      </c>
      <c r="AK761" t="s">
        <v>51</v>
      </c>
      <c r="AN761">
        <v>0</v>
      </c>
      <c r="AO761" t="s">
        <v>54</v>
      </c>
      <c r="AP761" t="s">
        <v>53</v>
      </c>
      <c r="AQ761">
        <v>0</v>
      </c>
      <c r="AR761" t="s">
        <v>53</v>
      </c>
      <c r="AS761">
        <v>0</v>
      </c>
      <c r="AT761">
        <v>0</v>
      </c>
      <c r="AW761" t="s">
        <v>58</v>
      </c>
      <c r="AX761">
        <v>20</v>
      </c>
      <c r="AY761" s="1">
        <v>33970</v>
      </c>
      <c r="AZ761" s="1">
        <v>33970</v>
      </c>
      <c r="BA761" s="1">
        <v>33970</v>
      </c>
      <c r="BB761" s="1">
        <v>41275</v>
      </c>
      <c r="BC761" t="s">
        <v>51</v>
      </c>
      <c r="BE761" t="s">
        <v>54</v>
      </c>
      <c r="BF761">
        <v>2</v>
      </c>
      <c r="BG761">
        <v>0</v>
      </c>
      <c r="BH761" t="s">
        <v>53</v>
      </c>
      <c r="BK761" t="s">
        <v>565</v>
      </c>
      <c r="BL761">
        <v>18000</v>
      </c>
      <c r="BM761" s="1">
        <v>41091</v>
      </c>
      <c r="BN761" s="1">
        <v>41091</v>
      </c>
      <c r="BO761" s="1">
        <v>41091</v>
      </c>
      <c r="BP761" s="1">
        <v>42631</v>
      </c>
      <c r="BQ761" t="s">
        <v>51</v>
      </c>
      <c r="BS761" t="s">
        <v>60</v>
      </c>
      <c r="BT761" t="s">
        <v>54</v>
      </c>
      <c r="BU761" t="s">
        <v>362</v>
      </c>
      <c r="BV761" t="s">
        <v>566</v>
      </c>
      <c r="BX761">
        <v>50</v>
      </c>
      <c r="BY761">
        <v>0</v>
      </c>
      <c r="BZ761">
        <v>0</v>
      </c>
    </row>
    <row r="762" spans="1:99" x14ac:dyDescent="0.2">
      <c r="A762" t="s">
        <v>180</v>
      </c>
      <c r="B762" t="s">
        <v>181</v>
      </c>
      <c r="C762" t="s">
        <v>184</v>
      </c>
      <c r="D762" t="s">
        <v>571</v>
      </c>
      <c r="F762" t="str">
        <f>"250407"</f>
        <v>250407</v>
      </c>
      <c r="G762" t="s">
        <v>49</v>
      </c>
      <c r="H762" t="s">
        <v>572</v>
      </c>
      <c r="K762" t="s">
        <v>51</v>
      </c>
      <c r="L762" t="s">
        <v>52</v>
      </c>
      <c r="M762">
        <v>136228.54999999999</v>
      </c>
      <c r="N762">
        <v>472752.06</v>
      </c>
      <c r="O762" t="s">
        <v>53</v>
      </c>
      <c r="P762" t="s">
        <v>54</v>
      </c>
      <c r="Q762" t="s">
        <v>55</v>
      </c>
      <c r="T762" t="s">
        <v>476</v>
      </c>
      <c r="U762">
        <v>40</v>
      </c>
      <c r="V762" s="1">
        <v>27395</v>
      </c>
      <c r="W762" s="1">
        <v>27395</v>
      </c>
      <c r="X762" s="1">
        <v>27395</v>
      </c>
      <c r="Y762" s="1">
        <v>42005</v>
      </c>
      <c r="Z762" t="s">
        <v>51</v>
      </c>
      <c r="AB762" t="s">
        <v>54</v>
      </c>
      <c r="AC762">
        <v>1</v>
      </c>
      <c r="AE762" t="s">
        <v>222</v>
      </c>
      <c r="AF762">
        <v>20</v>
      </c>
      <c r="AG762" s="1">
        <v>27395</v>
      </c>
      <c r="AH762" s="1">
        <v>27395</v>
      </c>
      <c r="AI762" s="1">
        <v>27395</v>
      </c>
      <c r="AJ762" s="1">
        <v>34700</v>
      </c>
      <c r="AK762" t="s">
        <v>51</v>
      </c>
      <c r="AN762">
        <v>0</v>
      </c>
      <c r="AO762" t="s">
        <v>54</v>
      </c>
      <c r="AP762" t="s">
        <v>53</v>
      </c>
      <c r="AQ762">
        <v>0</v>
      </c>
      <c r="AR762" t="s">
        <v>53</v>
      </c>
      <c r="AS762">
        <v>0</v>
      </c>
      <c r="AT762">
        <v>0</v>
      </c>
      <c r="CC762" t="s">
        <v>560</v>
      </c>
      <c r="CD762">
        <v>85000</v>
      </c>
      <c r="CE762" s="1">
        <v>42917</v>
      </c>
      <c r="CF762" s="1">
        <v>42917</v>
      </c>
      <c r="CG762" s="1">
        <v>42917</v>
      </c>
      <c r="CH762" s="1">
        <v>50079</v>
      </c>
      <c r="CI762" t="s">
        <v>51</v>
      </c>
      <c r="CK762" t="s">
        <v>78</v>
      </c>
      <c r="CM762" t="s">
        <v>54</v>
      </c>
      <c r="CN762" t="s">
        <v>174</v>
      </c>
      <c r="CO762" t="s">
        <v>86</v>
      </c>
      <c r="CR762">
        <v>36</v>
      </c>
      <c r="CS762">
        <v>0</v>
      </c>
      <c r="CT762">
        <v>0</v>
      </c>
      <c r="CU762">
        <v>0</v>
      </c>
    </row>
    <row r="763" spans="1:99" x14ac:dyDescent="0.2">
      <c r="A763" t="s">
        <v>180</v>
      </c>
      <c r="B763" t="s">
        <v>181</v>
      </c>
      <c r="C763" t="s">
        <v>184</v>
      </c>
      <c r="D763" t="s">
        <v>571</v>
      </c>
      <c r="F763" t="str">
        <f>"250408"</f>
        <v>250408</v>
      </c>
      <c r="G763" t="s">
        <v>49</v>
      </c>
      <c r="H763" t="s">
        <v>175</v>
      </c>
      <c r="K763" t="s">
        <v>51</v>
      </c>
      <c r="L763" t="s">
        <v>52</v>
      </c>
      <c r="M763">
        <v>136202.64000000001</v>
      </c>
      <c r="N763">
        <v>472765.53</v>
      </c>
      <c r="O763" t="s">
        <v>53</v>
      </c>
      <c r="P763" t="s">
        <v>54</v>
      </c>
      <c r="Q763" t="s">
        <v>55</v>
      </c>
      <c r="T763" t="s">
        <v>476</v>
      </c>
      <c r="U763">
        <v>40</v>
      </c>
      <c r="V763" s="1">
        <v>27395</v>
      </c>
      <c r="W763" s="1">
        <v>27395</v>
      </c>
      <c r="X763" s="1">
        <v>27395</v>
      </c>
      <c r="Y763" s="1">
        <v>42005</v>
      </c>
      <c r="Z763" t="s">
        <v>51</v>
      </c>
      <c r="AB763" t="s">
        <v>54</v>
      </c>
      <c r="AC763">
        <v>1</v>
      </c>
      <c r="AE763" t="s">
        <v>222</v>
      </c>
      <c r="AF763">
        <v>20</v>
      </c>
      <c r="AG763" s="1">
        <v>27395</v>
      </c>
      <c r="AH763" s="1">
        <v>27395</v>
      </c>
      <c r="AI763" s="1">
        <v>27395</v>
      </c>
      <c r="AJ763" s="1">
        <v>34700</v>
      </c>
      <c r="AK763" t="s">
        <v>51</v>
      </c>
      <c r="AN763">
        <v>0</v>
      </c>
      <c r="AO763" t="s">
        <v>54</v>
      </c>
      <c r="AP763" t="s">
        <v>53</v>
      </c>
      <c r="AQ763">
        <v>0</v>
      </c>
      <c r="AR763" t="s">
        <v>53</v>
      </c>
      <c r="AS763">
        <v>0</v>
      </c>
      <c r="AT763">
        <v>0</v>
      </c>
      <c r="CC763" t="s">
        <v>560</v>
      </c>
      <c r="CD763">
        <v>85000</v>
      </c>
      <c r="CE763" s="1">
        <v>42917</v>
      </c>
      <c r="CF763" s="1">
        <v>42917</v>
      </c>
      <c r="CG763" s="1">
        <v>42917</v>
      </c>
      <c r="CH763" s="1">
        <v>50079</v>
      </c>
      <c r="CI763" t="s">
        <v>51</v>
      </c>
      <c r="CK763" t="s">
        <v>78</v>
      </c>
      <c r="CM763" t="s">
        <v>54</v>
      </c>
      <c r="CN763" t="s">
        <v>174</v>
      </c>
      <c r="CO763" t="s">
        <v>86</v>
      </c>
      <c r="CR763">
        <v>36</v>
      </c>
      <c r="CS763">
        <v>0</v>
      </c>
      <c r="CT763">
        <v>0</v>
      </c>
      <c r="CU763">
        <v>0</v>
      </c>
    </row>
    <row r="764" spans="1:99" x14ac:dyDescent="0.2">
      <c r="A764" t="s">
        <v>180</v>
      </c>
      <c r="B764" t="s">
        <v>181</v>
      </c>
      <c r="C764" t="s">
        <v>184</v>
      </c>
      <c r="D764" t="s">
        <v>571</v>
      </c>
      <c r="F764" t="str">
        <f>"250409"</f>
        <v>250409</v>
      </c>
      <c r="G764" t="s">
        <v>49</v>
      </c>
      <c r="K764" t="s">
        <v>51</v>
      </c>
      <c r="L764" t="s">
        <v>52</v>
      </c>
      <c r="M764">
        <v>136187.28</v>
      </c>
      <c r="N764">
        <v>472751.85</v>
      </c>
      <c r="O764" t="s">
        <v>53</v>
      </c>
      <c r="P764" t="s">
        <v>54</v>
      </c>
      <c r="Q764" t="s">
        <v>55</v>
      </c>
      <c r="T764" t="s">
        <v>476</v>
      </c>
      <c r="U764">
        <v>40</v>
      </c>
      <c r="V764" s="1">
        <v>27395</v>
      </c>
      <c r="W764" s="1">
        <v>27395</v>
      </c>
      <c r="X764" s="1">
        <v>27395</v>
      </c>
      <c r="Y764" s="1">
        <v>42005</v>
      </c>
      <c r="Z764" t="s">
        <v>51</v>
      </c>
      <c r="AB764" t="s">
        <v>54</v>
      </c>
      <c r="AC764">
        <v>1</v>
      </c>
      <c r="AE764" t="s">
        <v>222</v>
      </c>
      <c r="AF764">
        <v>20</v>
      </c>
      <c r="AG764" s="1">
        <v>27395</v>
      </c>
      <c r="AH764" s="1">
        <v>27395</v>
      </c>
      <c r="AI764" s="1">
        <v>27395</v>
      </c>
      <c r="AJ764" s="1">
        <v>34700</v>
      </c>
      <c r="AK764" t="s">
        <v>51</v>
      </c>
      <c r="AN764">
        <v>0</v>
      </c>
      <c r="AO764" t="s">
        <v>54</v>
      </c>
      <c r="AP764" t="s">
        <v>53</v>
      </c>
      <c r="AQ764">
        <v>0</v>
      </c>
      <c r="AR764" t="s">
        <v>53</v>
      </c>
      <c r="AS764">
        <v>0</v>
      </c>
      <c r="AT764">
        <v>0</v>
      </c>
      <c r="CC764" t="s">
        <v>560</v>
      </c>
      <c r="CD764">
        <v>85000</v>
      </c>
      <c r="CE764" s="1">
        <v>42917</v>
      </c>
      <c r="CF764" s="1">
        <v>42917</v>
      </c>
      <c r="CG764" s="1">
        <v>42917</v>
      </c>
      <c r="CH764" s="1">
        <v>50079</v>
      </c>
      <c r="CI764" t="s">
        <v>51</v>
      </c>
      <c r="CK764" t="s">
        <v>78</v>
      </c>
      <c r="CM764" t="s">
        <v>54</v>
      </c>
      <c r="CN764" t="s">
        <v>174</v>
      </c>
      <c r="CO764" t="s">
        <v>86</v>
      </c>
      <c r="CR764">
        <v>36</v>
      </c>
      <c r="CS764">
        <v>0</v>
      </c>
      <c r="CT764">
        <v>0</v>
      </c>
      <c r="CU764">
        <v>0</v>
      </c>
    </row>
    <row r="765" spans="1:99" x14ac:dyDescent="0.2">
      <c r="A765" t="s">
        <v>180</v>
      </c>
      <c r="B765" t="s">
        <v>181</v>
      </c>
      <c r="C765" t="s">
        <v>184</v>
      </c>
      <c r="D765" t="s">
        <v>571</v>
      </c>
      <c r="F765" t="str">
        <f>"250410"</f>
        <v>250410</v>
      </c>
      <c r="G765" t="s">
        <v>49</v>
      </c>
      <c r="H765" t="s">
        <v>233</v>
      </c>
      <c r="K765" t="s">
        <v>51</v>
      </c>
      <c r="L765" t="s">
        <v>52</v>
      </c>
      <c r="M765">
        <v>136215.78</v>
      </c>
      <c r="N765">
        <v>472746.38</v>
      </c>
      <c r="O765" t="s">
        <v>53</v>
      </c>
      <c r="P765" t="s">
        <v>54</v>
      </c>
      <c r="Q765" t="s">
        <v>55</v>
      </c>
      <c r="T765" t="s">
        <v>476</v>
      </c>
      <c r="U765">
        <v>40</v>
      </c>
      <c r="V765" s="1">
        <v>27395</v>
      </c>
      <c r="W765" s="1">
        <v>27395</v>
      </c>
      <c r="X765" s="1">
        <v>27395</v>
      </c>
      <c r="Y765" s="1">
        <v>42005</v>
      </c>
      <c r="Z765" t="s">
        <v>51</v>
      </c>
      <c r="AB765" t="s">
        <v>54</v>
      </c>
      <c r="AC765">
        <v>1</v>
      </c>
      <c r="AE765" t="s">
        <v>222</v>
      </c>
      <c r="AF765">
        <v>20</v>
      </c>
      <c r="AG765" s="1">
        <v>27395</v>
      </c>
      <c r="AH765" s="1">
        <v>27395</v>
      </c>
      <c r="AI765" s="1">
        <v>27395</v>
      </c>
      <c r="AJ765" s="1">
        <v>34700</v>
      </c>
      <c r="AK765" t="s">
        <v>51</v>
      </c>
      <c r="AN765">
        <v>0</v>
      </c>
      <c r="AO765" t="s">
        <v>54</v>
      </c>
      <c r="AP765" t="s">
        <v>53</v>
      </c>
      <c r="AQ765">
        <v>0</v>
      </c>
      <c r="AR765" t="s">
        <v>53</v>
      </c>
      <c r="AS765">
        <v>0</v>
      </c>
      <c r="AT765">
        <v>0</v>
      </c>
      <c r="CC765" t="s">
        <v>560</v>
      </c>
      <c r="CD765">
        <v>85000</v>
      </c>
      <c r="CE765" s="1">
        <v>42917</v>
      </c>
      <c r="CF765" s="1">
        <v>42917</v>
      </c>
      <c r="CG765" s="1">
        <v>42917</v>
      </c>
      <c r="CH765" s="1">
        <v>50079</v>
      </c>
      <c r="CI765" t="s">
        <v>51</v>
      </c>
      <c r="CK765" t="s">
        <v>78</v>
      </c>
      <c r="CM765" t="s">
        <v>54</v>
      </c>
      <c r="CN765" t="s">
        <v>174</v>
      </c>
      <c r="CO765" t="s">
        <v>86</v>
      </c>
      <c r="CR765">
        <v>36</v>
      </c>
      <c r="CS765">
        <v>0</v>
      </c>
      <c r="CT765">
        <v>0</v>
      </c>
      <c r="CU765">
        <v>0</v>
      </c>
    </row>
    <row r="766" spans="1:99" x14ac:dyDescent="0.2">
      <c r="A766" t="s">
        <v>180</v>
      </c>
      <c r="B766" t="s">
        <v>181</v>
      </c>
      <c r="C766" t="s">
        <v>184</v>
      </c>
      <c r="D766" t="s">
        <v>571</v>
      </c>
      <c r="F766" t="str">
        <f>"250411"</f>
        <v>250411</v>
      </c>
      <c r="G766" t="s">
        <v>49</v>
      </c>
      <c r="K766" t="s">
        <v>51</v>
      </c>
      <c r="L766" t="s">
        <v>52</v>
      </c>
      <c r="M766">
        <v>136232.15</v>
      </c>
      <c r="N766">
        <v>472776.59</v>
      </c>
      <c r="O766" t="s">
        <v>53</v>
      </c>
      <c r="P766" t="s">
        <v>54</v>
      </c>
      <c r="Q766" t="s">
        <v>55</v>
      </c>
      <c r="T766" t="s">
        <v>241</v>
      </c>
      <c r="U766">
        <v>40</v>
      </c>
      <c r="V766" s="1">
        <v>27395</v>
      </c>
      <c r="W766" s="1">
        <v>27395</v>
      </c>
      <c r="X766" s="1">
        <v>27395</v>
      </c>
      <c r="Y766" s="1">
        <v>42005</v>
      </c>
      <c r="Z766" t="s">
        <v>51</v>
      </c>
      <c r="AB766" t="s">
        <v>54</v>
      </c>
      <c r="AC766">
        <v>1</v>
      </c>
      <c r="AE766" t="s">
        <v>222</v>
      </c>
      <c r="AF766">
        <v>20</v>
      </c>
      <c r="AG766" s="1">
        <v>27395</v>
      </c>
      <c r="AH766" s="1">
        <v>27395</v>
      </c>
      <c r="AI766" s="1">
        <v>27395</v>
      </c>
      <c r="AJ766" s="1">
        <v>34700</v>
      </c>
      <c r="AK766" t="s">
        <v>51</v>
      </c>
      <c r="AN766">
        <v>0</v>
      </c>
      <c r="AO766" t="s">
        <v>54</v>
      </c>
      <c r="AP766" t="s">
        <v>53</v>
      </c>
      <c r="AQ766">
        <v>0</v>
      </c>
      <c r="AR766" t="s">
        <v>53</v>
      </c>
      <c r="AS766">
        <v>0</v>
      </c>
      <c r="AT766">
        <v>0</v>
      </c>
      <c r="CC766" t="s">
        <v>560</v>
      </c>
      <c r="CD766">
        <v>85000</v>
      </c>
      <c r="CE766" s="1">
        <v>42917</v>
      </c>
      <c r="CF766" s="1">
        <v>42917</v>
      </c>
      <c r="CG766" s="1">
        <v>42917</v>
      </c>
      <c r="CH766" s="1">
        <v>50079</v>
      </c>
      <c r="CI766" t="s">
        <v>51</v>
      </c>
      <c r="CK766" t="s">
        <v>78</v>
      </c>
      <c r="CM766" t="s">
        <v>54</v>
      </c>
      <c r="CN766" t="s">
        <v>174</v>
      </c>
      <c r="CO766" t="s">
        <v>86</v>
      </c>
      <c r="CR766">
        <v>36</v>
      </c>
      <c r="CS766">
        <v>0</v>
      </c>
      <c r="CT766">
        <v>0</v>
      </c>
      <c r="CU766">
        <v>0</v>
      </c>
    </row>
    <row r="767" spans="1:99" x14ac:dyDescent="0.2">
      <c r="A767" t="s">
        <v>180</v>
      </c>
      <c r="B767" t="s">
        <v>181</v>
      </c>
      <c r="C767" t="s">
        <v>184</v>
      </c>
      <c r="D767" t="s">
        <v>571</v>
      </c>
      <c r="F767" t="str">
        <f>"250412"</f>
        <v>250412</v>
      </c>
      <c r="G767" t="s">
        <v>49</v>
      </c>
      <c r="H767" t="s">
        <v>573</v>
      </c>
      <c r="K767" t="s">
        <v>51</v>
      </c>
      <c r="L767" t="s">
        <v>52</v>
      </c>
      <c r="M767">
        <v>136243.10999999999</v>
      </c>
      <c r="N767">
        <v>472798.4</v>
      </c>
      <c r="O767" t="s">
        <v>53</v>
      </c>
      <c r="P767" t="s">
        <v>54</v>
      </c>
      <c r="Q767" t="s">
        <v>55</v>
      </c>
      <c r="T767" t="s">
        <v>241</v>
      </c>
      <c r="U767">
        <v>40</v>
      </c>
      <c r="V767" s="1">
        <v>27395</v>
      </c>
      <c r="W767" s="1">
        <v>27395</v>
      </c>
      <c r="X767" s="1">
        <v>27395</v>
      </c>
      <c r="Y767" s="1">
        <v>42005</v>
      </c>
      <c r="Z767" t="s">
        <v>51</v>
      </c>
      <c r="AB767" t="s">
        <v>54</v>
      </c>
      <c r="AC767">
        <v>1</v>
      </c>
      <c r="AE767" t="s">
        <v>222</v>
      </c>
      <c r="AF767">
        <v>20</v>
      </c>
      <c r="AG767" s="1">
        <v>27395</v>
      </c>
      <c r="AH767" s="1">
        <v>27395</v>
      </c>
      <c r="AI767" s="1">
        <v>27395</v>
      </c>
      <c r="AJ767" s="1">
        <v>34700</v>
      </c>
      <c r="AK767" t="s">
        <v>51</v>
      </c>
      <c r="AN767">
        <v>0</v>
      </c>
      <c r="AO767" t="s">
        <v>54</v>
      </c>
      <c r="AP767" t="s">
        <v>53</v>
      </c>
      <c r="AQ767">
        <v>0</v>
      </c>
      <c r="AR767" t="s">
        <v>53</v>
      </c>
      <c r="AS767">
        <v>0</v>
      </c>
      <c r="AT767">
        <v>0</v>
      </c>
      <c r="CC767" t="s">
        <v>560</v>
      </c>
      <c r="CD767">
        <v>85000</v>
      </c>
      <c r="CE767" s="1">
        <v>42917</v>
      </c>
      <c r="CF767" s="1">
        <v>42917</v>
      </c>
      <c r="CG767" s="1">
        <v>42917</v>
      </c>
      <c r="CH767" s="1">
        <v>50079</v>
      </c>
      <c r="CI767" t="s">
        <v>51</v>
      </c>
      <c r="CK767" t="s">
        <v>78</v>
      </c>
      <c r="CM767" t="s">
        <v>54</v>
      </c>
      <c r="CN767" t="s">
        <v>174</v>
      </c>
      <c r="CO767" t="s">
        <v>86</v>
      </c>
      <c r="CR767">
        <v>36</v>
      </c>
      <c r="CS767">
        <v>0</v>
      </c>
      <c r="CT767">
        <v>0</v>
      </c>
      <c r="CU767">
        <v>0</v>
      </c>
    </row>
    <row r="768" spans="1:99" x14ac:dyDescent="0.2">
      <c r="A768" t="s">
        <v>180</v>
      </c>
      <c r="B768" t="s">
        <v>181</v>
      </c>
      <c r="C768" t="s">
        <v>184</v>
      </c>
      <c r="D768" t="s">
        <v>571</v>
      </c>
      <c r="F768" t="str">
        <f>"250413"</f>
        <v>250413</v>
      </c>
      <c r="G768" t="s">
        <v>49</v>
      </c>
      <c r="H768" t="s">
        <v>574</v>
      </c>
      <c r="K768" t="s">
        <v>51</v>
      </c>
      <c r="L768" t="s">
        <v>52</v>
      </c>
      <c r="M768">
        <v>136253.96</v>
      </c>
      <c r="N768">
        <v>472820.65</v>
      </c>
      <c r="O768" t="s">
        <v>53</v>
      </c>
      <c r="P768" t="s">
        <v>54</v>
      </c>
      <c r="Q768" t="s">
        <v>55</v>
      </c>
      <c r="T768" t="s">
        <v>239</v>
      </c>
      <c r="U768">
        <v>40</v>
      </c>
      <c r="V768" s="1">
        <v>27395</v>
      </c>
      <c r="W768" s="1">
        <v>27395</v>
      </c>
      <c r="X768" s="1">
        <v>27395</v>
      </c>
      <c r="Y768" s="1">
        <v>42005</v>
      </c>
      <c r="Z768" t="s">
        <v>51</v>
      </c>
      <c r="AB768" t="s">
        <v>54</v>
      </c>
      <c r="AC768">
        <v>1</v>
      </c>
      <c r="AE768" t="s">
        <v>222</v>
      </c>
      <c r="AF768">
        <v>20</v>
      </c>
      <c r="AG768" s="1">
        <v>27395</v>
      </c>
      <c r="AH768" s="1">
        <v>27395</v>
      </c>
      <c r="AI768" s="1">
        <v>27395</v>
      </c>
      <c r="AJ768" s="1">
        <v>34700</v>
      </c>
      <c r="AK768" t="s">
        <v>51</v>
      </c>
      <c r="AN768">
        <v>0</v>
      </c>
      <c r="AO768" t="s">
        <v>54</v>
      </c>
      <c r="AP768" t="s">
        <v>53</v>
      </c>
      <c r="AQ768">
        <v>0</v>
      </c>
      <c r="AR768" t="s">
        <v>53</v>
      </c>
      <c r="AS768">
        <v>0</v>
      </c>
      <c r="AT768">
        <v>0</v>
      </c>
      <c r="CC768" t="s">
        <v>560</v>
      </c>
      <c r="CD768">
        <v>85000</v>
      </c>
      <c r="CE768" s="1">
        <v>42917</v>
      </c>
      <c r="CF768" s="1">
        <v>42917</v>
      </c>
      <c r="CG768" s="1">
        <v>42917</v>
      </c>
      <c r="CH768" s="1">
        <v>50079</v>
      </c>
      <c r="CI768" t="s">
        <v>51</v>
      </c>
      <c r="CK768" t="s">
        <v>78</v>
      </c>
      <c r="CM768" t="s">
        <v>54</v>
      </c>
      <c r="CN768" t="s">
        <v>174</v>
      </c>
      <c r="CO768" t="s">
        <v>86</v>
      </c>
      <c r="CR768">
        <v>36</v>
      </c>
      <c r="CS768">
        <v>0</v>
      </c>
      <c r="CT768">
        <v>0</v>
      </c>
      <c r="CU768">
        <v>0</v>
      </c>
    </row>
    <row r="769" spans="1:99" x14ac:dyDescent="0.2">
      <c r="A769" t="s">
        <v>180</v>
      </c>
      <c r="B769" t="s">
        <v>181</v>
      </c>
      <c r="C769" t="s">
        <v>184</v>
      </c>
      <c r="D769" t="s">
        <v>571</v>
      </c>
      <c r="F769" t="str">
        <f>"250414"</f>
        <v>250414</v>
      </c>
      <c r="G769" t="s">
        <v>49</v>
      </c>
      <c r="H769" t="s">
        <v>575</v>
      </c>
      <c r="K769" t="s">
        <v>51</v>
      </c>
      <c r="L769" t="s">
        <v>52</v>
      </c>
      <c r="M769">
        <v>136258.38</v>
      </c>
      <c r="N769">
        <v>472838.31</v>
      </c>
      <c r="O769" t="s">
        <v>53</v>
      </c>
      <c r="P769" t="s">
        <v>54</v>
      </c>
      <c r="Q769" t="s">
        <v>55</v>
      </c>
      <c r="T769" t="s">
        <v>239</v>
      </c>
      <c r="U769">
        <v>40</v>
      </c>
      <c r="V769" s="1">
        <v>27395</v>
      </c>
      <c r="W769" s="1">
        <v>27395</v>
      </c>
      <c r="X769" s="1">
        <v>27395</v>
      </c>
      <c r="Y769" s="1">
        <v>42005</v>
      </c>
      <c r="Z769" t="s">
        <v>51</v>
      </c>
      <c r="AB769" t="s">
        <v>54</v>
      </c>
      <c r="AC769">
        <v>1</v>
      </c>
      <c r="AE769" t="s">
        <v>222</v>
      </c>
      <c r="AF769">
        <v>20</v>
      </c>
      <c r="AG769" s="1">
        <v>27395</v>
      </c>
      <c r="AH769" s="1">
        <v>27395</v>
      </c>
      <c r="AI769" s="1">
        <v>27395</v>
      </c>
      <c r="AJ769" s="1">
        <v>34700</v>
      </c>
      <c r="AK769" t="s">
        <v>51</v>
      </c>
      <c r="AN769">
        <v>0</v>
      </c>
      <c r="AO769" t="s">
        <v>54</v>
      </c>
      <c r="AP769" t="s">
        <v>53</v>
      </c>
      <c r="AQ769">
        <v>0</v>
      </c>
      <c r="AR769" t="s">
        <v>53</v>
      </c>
      <c r="AS769">
        <v>0</v>
      </c>
      <c r="AT769">
        <v>0</v>
      </c>
      <c r="CC769" t="s">
        <v>560</v>
      </c>
      <c r="CD769">
        <v>85000</v>
      </c>
      <c r="CE769" s="1">
        <v>42917</v>
      </c>
      <c r="CF769" s="1">
        <v>42917</v>
      </c>
      <c r="CG769" s="1">
        <v>42917</v>
      </c>
      <c r="CH769" s="1">
        <v>50079</v>
      </c>
      <c r="CI769" t="s">
        <v>51</v>
      </c>
      <c r="CK769" t="s">
        <v>78</v>
      </c>
      <c r="CM769" t="s">
        <v>54</v>
      </c>
      <c r="CN769" t="s">
        <v>174</v>
      </c>
      <c r="CO769" t="s">
        <v>86</v>
      </c>
      <c r="CR769">
        <v>36</v>
      </c>
      <c r="CS769">
        <v>0</v>
      </c>
      <c r="CT769">
        <v>0</v>
      </c>
      <c r="CU769">
        <v>0</v>
      </c>
    </row>
    <row r="770" spans="1:99" x14ac:dyDescent="0.2">
      <c r="A770" t="s">
        <v>180</v>
      </c>
      <c r="B770" t="s">
        <v>181</v>
      </c>
      <c r="C770" t="s">
        <v>184</v>
      </c>
      <c r="D770" t="s">
        <v>571</v>
      </c>
      <c r="F770" t="str">
        <f>"250415"</f>
        <v>250415</v>
      </c>
      <c r="G770" t="s">
        <v>49</v>
      </c>
      <c r="H770" t="s">
        <v>472</v>
      </c>
      <c r="K770" t="s">
        <v>51</v>
      </c>
      <c r="L770" t="s">
        <v>52</v>
      </c>
      <c r="M770">
        <v>136257.17000000001</v>
      </c>
      <c r="N770">
        <v>472858.31</v>
      </c>
      <c r="O770" t="s">
        <v>53</v>
      </c>
      <c r="P770" t="s">
        <v>54</v>
      </c>
      <c r="Q770" t="s">
        <v>55</v>
      </c>
      <c r="T770" t="s">
        <v>241</v>
      </c>
      <c r="U770">
        <v>40</v>
      </c>
      <c r="V770" s="1">
        <v>27395</v>
      </c>
      <c r="W770" s="1">
        <v>27395</v>
      </c>
      <c r="X770" s="1">
        <v>27395</v>
      </c>
      <c r="Y770" s="1">
        <v>42005</v>
      </c>
      <c r="Z770" t="s">
        <v>51</v>
      </c>
      <c r="AB770" t="s">
        <v>54</v>
      </c>
      <c r="AC770">
        <v>1</v>
      </c>
      <c r="AE770" t="s">
        <v>222</v>
      </c>
      <c r="AF770">
        <v>20</v>
      </c>
      <c r="AG770" s="1">
        <v>27395</v>
      </c>
      <c r="AH770" s="1">
        <v>27395</v>
      </c>
      <c r="AI770" s="1">
        <v>27395</v>
      </c>
      <c r="AJ770" s="1">
        <v>34700</v>
      </c>
      <c r="AK770" t="s">
        <v>51</v>
      </c>
      <c r="AN770">
        <v>0</v>
      </c>
      <c r="AO770" t="s">
        <v>54</v>
      </c>
      <c r="AP770" t="s">
        <v>53</v>
      </c>
      <c r="AQ770">
        <v>0</v>
      </c>
      <c r="AR770" t="s">
        <v>53</v>
      </c>
      <c r="AS770">
        <v>0</v>
      </c>
      <c r="AT770">
        <v>0</v>
      </c>
      <c r="CC770" t="s">
        <v>560</v>
      </c>
      <c r="CD770">
        <v>85000</v>
      </c>
      <c r="CE770" s="1">
        <v>42917</v>
      </c>
      <c r="CF770" s="1">
        <v>42917</v>
      </c>
      <c r="CG770" s="1">
        <v>42917</v>
      </c>
      <c r="CH770" s="1">
        <v>50079</v>
      </c>
      <c r="CI770" t="s">
        <v>51</v>
      </c>
      <c r="CK770" t="s">
        <v>78</v>
      </c>
      <c r="CM770" t="s">
        <v>54</v>
      </c>
      <c r="CN770" t="s">
        <v>174</v>
      </c>
      <c r="CO770" t="s">
        <v>86</v>
      </c>
      <c r="CR770">
        <v>36</v>
      </c>
      <c r="CS770">
        <v>0</v>
      </c>
      <c r="CT770">
        <v>0</v>
      </c>
      <c r="CU770">
        <v>0</v>
      </c>
    </row>
    <row r="771" spans="1:99" x14ac:dyDescent="0.2">
      <c r="A771" t="s">
        <v>180</v>
      </c>
      <c r="B771" t="s">
        <v>181</v>
      </c>
      <c r="C771" t="s">
        <v>184</v>
      </c>
      <c r="D771" t="s">
        <v>571</v>
      </c>
      <c r="F771" t="str">
        <f>"250416"</f>
        <v>250416</v>
      </c>
      <c r="G771" t="s">
        <v>49</v>
      </c>
      <c r="H771" t="s">
        <v>576</v>
      </c>
      <c r="K771" t="s">
        <v>51</v>
      </c>
      <c r="L771" t="s">
        <v>52</v>
      </c>
      <c r="M771">
        <v>136255</v>
      </c>
      <c r="N771">
        <v>472891.19</v>
      </c>
      <c r="O771" t="s">
        <v>53</v>
      </c>
      <c r="P771" t="s">
        <v>54</v>
      </c>
      <c r="Q771" t="s">
        <v>55</v>
      </c>
      <c r="T771" t="s">
        <v>577</v>
      </c>
      <c r="U771">
        <v>40</v>
      </c>
      <c r="V771" s="1">
        <v>27395</v>
      </c>
      <c r="W771" s="1">
        <v>27395</v>
      </c>
      <c r="X771" s="1">
        <v>27395</v>
      </c>
      <c r="Y771" s="1">
        <v>42005</v>
      </c>
      <c r="Z771" t="s">
        <v>51</v>
      </c>
      <c r="AB771" t="s">
        <v>54</v>
      </c>
      <c r="AC771">
        <v>1</v>
      </c>
      <c r="AE771" t="s">
        <v>222</v>
      </c>
      <c r="AF771">
        <v>20</v>
      </c>
      <c r="AG771" s="1">
        <v>27395</v>
      </c>
      <c r="AH771" s="1">
        <v>27395</v>
      </c>
      <c r="AI771" s="1">
        <v>27395</v>
      </c>
      <c r="AJ771" s="1">
        <v>34700</v>
      </c>
      <c r="AK771" t="s">
        <v>51</v>
      </c>
      <c r="AN771">
        <v>0</v>
      </c>
      <c r="AO771" t="s">
        <v>54</v>
      </c>
      <c r="AP771" t="s">
        <v>53</v>
      </c>
      <c r="AQ771">
        <v>0</v>
      </c>
      <c r="AR771" t="s">
        <v>53</v>
      </c>
      <c r="AS771">
        <v>0</v>
      </c>
      <c r="AT771">
        <v>0</v>
      </c>
      <c r="CC771" t="s">
        <v>560</v>
      </c>
      <c r="CD771">
        <v>85000</v>
      </c>
      <c r="CE771" s="1">
        <v>42917</v>
      </c>
      <c r="CF771" s="1">
        <v>42917</v>
      </c>
      <c r="CG771" s="1">
        <v>42917</v>
      </c>
      <c r="CH771" s="1">
        <v>50079</v>
      </c>
      <c r="CI771" t="s">
        <v>51</v>
      </c>
      <c r="CK771" t="s">
        <v>78</v>
      </c>
      <c r="CM771" t="s">
        <v>54</v>
      </c>
      <c r="CN771" t="s">
        <v>174</v>
      </c>
      <c r="CO771" t="s">
        <v>86</v>
      </c>
      <c r="CR771">
        <v>36</v>
      </c>
      <c r="CS771">
        <v>0</v>
      </c>
      <c r="CT771">
        <v>0</v>
      </c>
      <c r="CU771">
        <v>0</v>
      </c>
    </row>
    <row r="772" spans="1:99" x14ac:dyDescent="0.2">
      <c r="A772" t="s">
        <v>180</v>
      </c>
      <c r="B772" t="s">
        <v>181</v>
      </c>
      <c r="C772" t="s">
        <v>184</v>
      </c>
      <c r="D772" t="s">
        <v>571</v>
      </c>
      <c r="F772" t="str">
        <f>"250417"</f>
        <v>250417</v>
      </c>
      <c r="G772" t="s">
        <v>49</v>
      </c>
      <c r="H772">
        <v>22</v>
      </c>
      <c r="K772" t="s">
        <v>51</v>
      </c>
      <c r="L772" t="s">
        <v>52</v>
      </c>
      <c r="M772">
        <v>136274.23000000001</v>
      </c>
      <c r="N772">
        <v>472892.31</v>
      </c>
      <c r="O772" t="s">
        <v>53</v>
      </c>
      <c r="P772" t="s">
        <v>54</v>
      </c>
      <c r="Q772" t="s">
        <v>55</v>
      </c>
      <c r="T772" t="s">
        <v>476</v>
      </c>
      <c r="U772">
        <v>40</v>
      </c>
      <c r="V772" s="1">
        <v>27395</v>
      </c>
      <c r="W772" s="1">
        <v>27395</v>
      </c>
      <c r="X772" s="1">
        <v>27395</v>
      </c>
      <c r="Y772" s="1">
        <v>42005</v>
      </c>
      <c r="Z772" t="s">
        <v>51</v>
      </c>
      <c r="AB772" t="s">
        <v>54</v>
      </c>
      <c r="AC772">
        <v>1</v>
      </c>
      <c r="AE772" t="s">
        <v>222</v>
      </c>
      <c r="AF772">
        <v>20</v>
      </c>
      <c r="AG772" s="1">
        <v>27395</v>
      </c>
      <c r="AH772" s="1">
        <v>27395</v>
      </c>
      <c r="AI772" s="1">
        <v>27395</v>
      </c>
      <c r="AJ772" s="1">
        <v>34700</v>
      </c>
      <c r="AK772" t="s">
        <v>51</v>
      </c>
      <c r="AN772">
        <v>0</v>
      </c>
      <c r="AO772" t="s">
        <v>54</v>
      </c>
      <c r="AP772" t="s">
        <v>53</v>
      </c>
      <c r="AQ772">
        <v>0</v>
      </c>
      <c r="AR772" t="s">
        <v>53</v>
      </c>
      <c r="AS772">
        <v>0</v>
      </c>
      <c r="AT772">
        <v>0</v>
      </c>
      <c r="CC772" t="s">
        <v>560</v>
      </c>
      <c r="CD772">
        <v>85000</v>
      </c>
      <c r="CE772" s="1">
        <v>42917</v>
      </c>
      <c r="CF772" s="1">
        <v>42917</v>
      </c>
      <c r="CG772" s="1">
        <v>42917</v>
      </c>
      <c r="CH772" s="1">
        <v>50079</v>
      </c>
      <c r="CI772" t="s">
        <v>51</v>
      </c>
      <c r="CK772" t="s">
        <v>78</v>
      </c>
      <c r="CM772" t="s">
        <v>54</v>
      </c>
      <c r="CN772" t="s">
        <v>174</v>
      </c>
      <c r="CO772" t="s">
        <v>86</v>
      </c>
      <c r="CR772">
        <v>36</v>
      </c>
      <c r="CS772">
        <v>0</v>
      </c>
      <c r="CT772">
        <v>0</v>
      </c>
      <c r="CU772">
        <v>0</v>
      </c>
    </row>
    <row r="773" spans="1:99" x14ac:dyDescent="0.2">
      <c r="A773" t="s">
        <v>180</v>
      </c>
      <c r="B773" t="s">
        <v>181</v>
      </c>
      <c r="C773" t="s">
        <v>184</v>
      </c>
      <c r="D773" t="s">
        <v>571</v>
      </c>
      <c r="F773" t="str">
        <f>"250418"</f>
        <v>250418</v>
      </c>
      <c r="G773" t="s">
        <v>49</v>
      </c>
      <c r="H773" t="s">
        <v>472</v>
      </c>
      <c r="K773" t="s">
        <v>51</v>
      </c>
      <c r="L773" t="s">
        <v>52</v>
      </c>
      <c r="M773">
        <v>136235.70000000001</v>
      </c>
      <c r="N773">
        <v>472846.44</v>
      </c>
      <c r="O773" t="s">
        <v>53</v>
      </c>
      <c r="P773" t="s">
        <v>54</v>
      </c>
      <c r="Q773" t="s">
        <v>55</v>
      </c>
      <c r="T773" t="s">
        <v>476</v>
      </c>
      <c r="U773">
        <v>40</v>
      </c>
      <c r="V773" s="1">
        <v>27395</v>
      </c>
      <c r="W773" s="1">
        <v>27395</v>
      </c>
      <c r="X773" s="1">
        <v>27395</v>
      </c>
      <c r="Y773" s="1">
        <v>42005</v>
      </c>
      <c r="Z773" t="s">
        <v>51</v>
      </c>
      <c r="AB773" t="s">
        <v>54</v>
      </c>
      <c r="AC773">
        <v>1</v>
      </c>
      <c r="AE773" t="s">
        <v>222</v>
      </c>
      <c r="AF773">
        <v>20</v>
      </c>
      <c r="AG773" s="1">
        <v>27395</v>
      </c>
      <c r="AH773" s="1">
        <v>27395</v>
      </c>
      <c r="AI773" s="1">
        <v>27395</v>
      </c>
      <c r="AJ773" s="1">
        <v>34700</v>
      </c>
      <c r="AK773" t="s">
        <v>51</v>
      </c>
      <c r="AN773">
        <v>0</v>
      </c>
      <c r="AO773" t="s">
        <v>54</v>
      </c>
      <c r="AP773" t="s">
        <v>53</v>
      </c>
      <c r="AQ773">
        <v>0</v>
      </c>
      <c r="AR773" t="s">
        <v>53</v>
      </c>
      <c r="AS773">
        <v>0</v>
      </c>
      <c r="AT773">
        <v>0</v>
      </c>
      <c r="CC773" t="s">
        <v>560</v>
      </c>
      <c r="CD773">
        <v>85000</v>
      </c>
      <c r="CE773" s="1">
        <v>42917</v>
      </c>
      <c r="CF773" s="1">
        <v>42917</v>
      </c>
      <c r="CG773" s="1">
        <v>42917</v>
      </c>
      <c r="CH773" s="1">
        <v>50079</v>
      </c>
      <c r="CI773" t="s">
        <v>51</v>
      </c>
      <c r="CK773" t="s">
        <v>78</v>
      </c>
      <c r="CM773" t="s">
        <v>54</v>
      </c>
      <c r="CN773" t="s">
        <v>174</v>
      </c>
      <c r="CO773" t="s">
        <v>86</v>
      </c>
      <c r="CR773">
        <v>36</v>
      </c>
      <c r="CS773">
        <v>0</v>
      </c>
      <c r="CT773">
        <v>0</v>
      </c>
      <c r="CU773">
        <v>0</v>
      </c>
    </row>
    <row r="774" spans="1:99" x14ac:dyDescent="0.2">
      <c r="A774" t="s">
        <v>180</v>
      </c>
      <c r="B774" t="s">
        <v>181</v>
      </c>
      <c r="C774" t="s">
        <v>184</v>
      </c>
      <c r="D774" t="s">
        <v>571</v>
      </c>
      <c r="F774" t="str">
        <f>"250419"</f>
        <v>250419</v>
      </c>
      <c r="G774" t="s">
        <v>49</v>
      </c>
      <c r="H774" t="s">
        <v>97</v>
      </c>
      <c r="K774" t="s">
        <v>51</v>
      </c>
      <c r="L774" t="s">
        <v>52</v>
      </c>
      <c r="M774">
        <v>136209.92000000001</v>
      </c>
      <c r="N774">
        <v>472875.22</v>
      </c>
      <c r="O774" t="s">
        <v>53</v>
      </c>
      <c r="P774" t="s">
        <v>54</v>
      </c>
      <c r="Q774" t="s">
        <v>55</v>
      </c>
      <c r="T774" t="s">
        <v>476</v>
      </c>
      <c r="U774">
        <v>40</v>
      </c>
      <c r="V774" s="1">
        <v>27395</v>
      </c>
      <c r="W774" s="1">
        <v>27395</v>
      </c>
      <c r="X774" s="1">
        <v>27395</v>
      </c>
      <c r="Y774" s="1">
        <v>42005</v>
      </c>
      <c r="Z774" t="s">
        <v>51</v>
      </c>
      <c r="AB774" t="s">
        <v>54</v>
      </c>
      <c r="AC774">
        <v>1</v>
      </c>
      <c r="AE774" t="s">
        <v>222</v>
      </c>
      <c r="AF774">
        <v>20</v>
      </c>
      <c r="AG774" s="1">
        <v>27395</v>
      </c>
      <c r="AH774" s="1">
        <v>27395</v>
      </c>
      <c r="AI774" s="1">
        <v>27395</v>
      </c>
      <c r="AJ774" s="1">
        <v>34700</v>
      </c>
      <c r="AK774" t="s">
        <v>51</v>
      </c>
      <c r="AN774">
        <v>0</v>
      </c>
      <c r="AO774" t="s">
        <v>54</v>
      </c>
      <c r="AP774" t="s">
        <v>53</v>
      </c>
      <c r="AQ774">
        <v>0</v>
      </c>
      <c r="AR774" t="s">
        <v>53</v>
      </c>
      <c r="AS774">
        <v>0</v>
      </c>
      <c r="AT774">
        <v>0</v>
      </c>
      <c r="CC774" t="s">
        <v>560</v>
      </c>
      <c r="CD774">
        <v>85000</v>
      </c>
      <c r="CE774" s="1">
        <v>42917</v>
      </c>
      <c r="CF774" s="1">
        <v>42917</v>
      </c>
      <c r="CG774" s="1">
        <v>42917</v>
      </c>
      <c r="CH774" s="1">
        <v>50079</v>
      </c>
      <c r="CI774" t="s">
        <v>51</v>
      </c>
      <c r="CK774" t="s">
        <v>78</v>
      </c>
      <c r="CM774" t="s">
        <v>54</v>
      </c>
      <c r="CN774" t="s">
        <v>174</v>
      </c>
      <c r="CO774" t="s">
        <v>86</v>
      </c>
      <c r="CR774">
        <v>36</v>
      </c>
      <c r="CS774">
        <v>0</v>
      </c>
      <c r="CT774">
        <v>0</v>
      </c>
      <c r="CU774">
        <v>0</v>
      </c>
    </row>
    <row r="775" spans="1:99" x14ac:dyDescent="0.2">
      <c r="A775" t="s">
        <v>180</v>
      </c>
      <c r="B775" t="s">
        <v>181</v>
      </c>
      <c r="C775" t="s">
        <v>184</v>
      </c>
      <c r="D775" t="s">
        <v>571</v>
      </c>
      <c r="F775" t="str">
        <f>"250420"</f>
        <v>250420</v>
      </c>
      <c r="G775" t="s">
        <v>49</v>
      </c>
      <c r="K775" t="s">
        <v>51</v>
      </c>
      <c r="L775" t="s">
        <v>52</v>
      </c>
      <c r="M775">
        <v>136235.34</v>
      </c>
      <c r="N775">
        <v>472879.66</v>
      </c>
      <c r="O775" t="s">
        <v>53</v>
      </c>
      <c r="P775" t="s">
        <v>54</v>
      </c>
      <c r="Q775" t="s">
        <v>55</v>
      </c>
      <c r="T775" t="s">
        <v>476</v>
      </c>
      <c r="U775">
        <v>40</v>
      </c>
      <c r="V775" s="1">
        <v>27395</v>
      </c>
      <c r="W775" s="1">
        <v>27395</v>
      </c>
      <c r="X775" s="1">
        <v>27395</v>
      </c>
      <c r="Y775" s="1">
        <v>42005</v>
      </c>
      <c r="Z775" t="s">
        <v>51</v>
      </c>
      <c r="AB775" t="s">
        <v>54</v>
      </c>
      <c r="AC775">
        <v>1</v>
      </c>
      <c r="AE775" t="s">
        <v>222</v>
      </c>
      <c r="AF775">
        <v>20</v>
      </c>
      <c r="AG775" s="1">
        <v>27395</v>
      </c>
      <c r="AH775" s="1">
        <v>27395</v>
      </c>
      <c r="AI775" s="1">
        <v>27395</v>
      </c>
      <c r="AJ775" s="1">
        <v>34700</v>
      </c>
      <c r="AK775" t="s">
        <v>51</v>
      </c>
      <c r="AN775">
        <v>0</v>
      </c>
      <c r="AO775" t="s">
        <v>54</v>
      </c>
      <c r="AP775" t="s">
        <v>53</v>
      </c>
      <c r="AQ775">
        <v>0</v>
      </c>
      <c r="AR775" t="s">
        <v>53</v>
      </c>
      <c r="AS775">
        <v>0</v>
      </c>
      <c r="AT775">
        <v>0</v>
      </c>
      <c r="CC775" t="s">
        <v>560</v>
      </c>
      <c r="CD775">
        <v>85000</v>
      </c>
      <c r="CE775" s="1">
        <v>42917</v>
      </c>
      <c r="CF775" s="1">
        <v>42917</v>
      </c>
      <c r="CG775" s="1">
        <v>42917</v>
      </c>
      <c r="CH775" s="1">
        <v>50079</v>
      </c>
      <c r="CI775" t="s">
        <v>51</v>
      </c>
      <c r="CK775" t="s">
        <v>78</v>
      </c>
      <c r="CM775" t="s">
        <v>54</v>
      </c>
      <c r="CN775" t="s">
        <v>174</v>
      </c>
      <c r="CO775" t="s">
        <v>86</v>
      </c>
      <c r="CR775">
        <v>36</v>
      </c>
      <c r="CS775">
        <v>0</v>
      </c>
      <c r="CT775">
        <v>0</v>
      </c>
      <c r="CU775">
        <v>0</v>
      </c>
    </row>
    <row r="776" spans="1:99" x14ac:dyDescent="0.2">
      <c r="A776" t="s">
        <v>180</v>
      </c>
      <c r="B776" t="s">
        <v>181</v>
      </c>
      <c r="C776" t="s">
        <v>184</v>
      </c>
      <c r="D776" t="s">
        <v>571</v>
      </c>
      <c r="F776" t="str">
        <f>"250421"</f>
        <v>250421</v>
      </c>
      <c r="G776" t="s">
        <v>49</v>
      </c>
      <c r="H776" t="s">
        <v>578</v>
      </c>
      <c r="K776" t="s">
        <v>51</v>
      </c>
      <c r="L776" t="s">
        <v>52</v>
      </c>
      <c r="M776">
        <v>136189</v>
      </c>
      <c r="N776">
        <v>472876.19</v>
      </c>
      <c r="O776" t="s">
        <v>53</v>
      </c>
      <c r="P776" t="s">
        <v>54</v>
      </c>
      <c r="Q776" t="s">
        <v>55</v>
      </c>
      <c r="T776" t="s">
        <v>476</v>
      </c>
      <c r="U776">
        <v>40</v>
      </c>
      <c r="V776" s="1">
        <v>27395</v>
      </c>
      <c r="W776" s="1">
        <v>27395</v>
      </c>
      <c r="X776" s="1">
        <v>27395</v>
      </c>
      <c r="Y776" s="1">
        <v>42005</v>
      </c>
      <c r="Z776" t="s">
        <v>51</v>
      </c>
      <c r="AB776" t="s">
        <v>54</v>
      </c>
      <c r="AC776">
        <v>1</v>
      </c>
      <c r="AE776" t="s">
        <v>222</v>
      </c>
      <c r="AF776">
        <v>20</v>
      </c>
      <c r="AG776" s="1">
        <v>27395</v>
      </c>
      <c r="AH776" s="1">
        <v>27395</v>
      </c>
      <c r="AI776" s="1">
        <v>27395</v>
      </c>
      <c r="AJ776" s="1">
        <v>34700</v>
      </c>
      <c r="AK776" t="s">
        <v>51</v>
      </c>
      <c r="AN776">
        <v>0</v>
      </c>
      <c r="AO776" t="s">
        <v>54</v>
      </c>
      <c r="AP776" t="s">
        <v>53</v>
      </c>
      <c r="AQ776">
        <v>0</v>
      </c>
      <c r="AR776" t="s">
        <v>53</v>
      </c>
      <c r="AS776">
        <v>0</v>
      </c>
      <c r="AT776">
        <v>0</v>
      </c>
      <c r="CC776" t="s">
        <v>560</v>
      </c>
      <c r="CD776">
        <v>85000</v>
      </c>
      <c r="CE776" s="1">
        <v>42917</v>
      </c>
      <c r="CF776" s="1">
        <v>42917</v>
      </c>
      <c r="CG776" s="1">
        <v>42917</v>
      </c>
      <c r="CH776" s="1">
        <v>50079</v>
      </c>
      <c r="CI776" t="s">
        <v>51</v>
      </c>
      <c r="CK776" t="s">
        <v>78</v>
      </c>
      <c r="CM776" t="s">
        <v>54</v>
      </c>
      <c r="CN776" t="s">
        <v>174</v>
      </c>
      <c r="CO776" t="s">
        <v>86</v>
      </c>
      <c r="CR776">
        <v>36</v>
      </c>
      <c r="CS776">
        <v>0</v>
      </c>
      <c r="CT776">
        <v>0</v>
      </c>
      <c r="CU776">
        <v>0</v>
      </c>
    </row>
    <row r="777" spans="1:99" x14ac:dyDescent="0.2">
      <c r="A777" t="s">
        <v>180</v>
      </c>
      <c r="B777" t="s">
        <v>181</v>
      </c>
      <c r="C777" t="s">
        <v>184</v>
      </c>
      <c r="D777" t="s">
        <v>571</v>
      </c>
      <c r="F777" t="str">
        <f>"250422"</f>
        <v>250422</v>
      </c>
      <c r="G777" t="s">
        <v>49</v>
      </c>
      <c r="H777" t="s">
        <v>467</v>
      </c>
      <c r="K777" t="s">
        <v>51</v>
      </c>
      <c r="L777" t="s">
        <v>52</v>
      </c>
      <c r="M777">
        <v>136165.60999999999</v>
      </c>
      <c r="N777">
        <v>472863.59</v>
      </c>
      <c r="O777" t="s">
        <v>53</v>
      </c>
      <c r="P777" t="s">
        <v>54</v>
      </c>
      <c r="Q777" t="s">
        <v>55</v>
      </c>
      <c r="T777" t="s">
        <v>476</v>
      </c>
      <c r="U777">
        <v>40</v>
      </c>
      <c r="V777" s="1">
        <v>27395</v>
      </c>
      <c r="W777" s="1">
        <v>27395</v>
      </c>
      <c r="X777" s="1">
        <v>27395</v>
      </c>
      <c r="Y777" s="1">
        <v>42005</v>
      </c>
      <c r="Z777" t="s">
        <v>51</v>
      </c>
      <c r="AB777" t="s">
        <v>54</v>
      </c>
      <c r="AC777">
        <v>1</v>
      </c>
      <c r="AE777" t="s">
        <v>222</v>
      </c>
      <c r="AF777">
        <v>20</v>
      </c>
      <c r="AG777" s="1">
        <v>27395</v>
      </c>
      <c r="AH777" s="1">
        <v>27395</v>
      </c>
      <c r="AI777" s="1">
        <v>27395</v>
      </c>
      <c r="AJ777" s="1">
        <v>34700</v>
      </c>
      <c r="AK777" t="s">
        <v>51</v>
      </c>
      <c r="AN777">
        <v>0</v>
      </c>
      <c r="AO777" t="s">
        <v>54</v>
      </c>
      <c r="AP777" t="s">
        <v>53</v>
      </c>
      <c r="AQ777">
        <v>0</v>
      </c>
      <c r="AR777" t="s">
        <v>53</v>
      </c>
      <c r="AS777">
        <v>0</v>
      </c>
      <c r="AT777">
        <v>0</v>
      </c>
      <c r="CC777" t="s">
        <v>560</v>
      </c>
      <c r="CD777">
        <v>85000</v>
      </c>
      <c r="CE777" s="1">
        <v>42917</v>
      </c>
      <c r="CF777" s="1">
        <v>42917</v>
      </c>
      <c r="CG777" s="1">
        <v>42917</v>
      </c>
      <c r="CH777" s="1">
        <v>50079</v>
      </c>
      <c r="CI777" t="s">
        <v>51</v>
      </c>
      <c r="CK777" t="s">
        <v>78</v>
      </c>
      <c r="CM777" t="s">
        <v>54</v>
      </c>
      <c r="CN777" t="s">
        <v>174</v>
      </c>
      <c r="CO777" t="s">
        <v>86</v>
      </c>
      <c r="CR777">
        <v>36</v>
      </c>
      <c r="CS777">
        <v>0</v>
      </c>
      <c r="CT777">
        <v>0</v>
      </c>
      <c r="CU777">
        <v>0</v>
      </c>
    </row>
    <row r="778" spans="1:99" x14ac:dyDescent="0.2">
      <c r="A778" t="s">
        <v>180</v>
      </c>
      <c r="B778" t="s">
        <v>181</v>
      </c>
      <c r="C778" t="s">
        <v>184</v>
      </c>
      <c r="D778" t="s">
        <v>571</v>
      </c>
      <c r="F778" t="str">
        <f>"250423"</f>
        <v>250423</v>
      </c>
      <c r="G778" t="s">
        <v>49</v>
      </c>
      <c r="H778" t="s">
        <v>123</v>
      </c>
      <c r="K778" t="s">
        <v>51</v>
      </c>
      <c r="L778" t="s">
        <v>52</v>
      </c>
      <c r="M778">
        <v>136168.51999999999</v>
      </c>
      <c r="N778">
        <v>472838.53</v>
      </c>
      <c r="O778" t="s">
        <v>53</v>
      </c>
      <c r="P778" t="s">
        <v>54</v>
      </c>
      <c r="Q778" t="s">
        <v>55</v>
      </c>
      <c r="T778" t="s">
        <v>476</v>
      </c>
      <c r="U778">
        <v>40</v>
      </c>
      <c r="V778" s="1">
        <v>27395</v>
      </c>
      <c r="W778" s="1">
        <v>27395</v>
      </c>
      <c r="X778" s="1">
        <v>27395</v>
      </c>
      <c r="Y778" s="1">
        <v>42005</v>
      </c>
      <c r="Z778" t="s">
        <v>51</v>
      </c>
      <c r="AB778" t="s">
        <v>54</v>
      </c>
      <c r="AC778">
        <v>1</v>
      </c>
      <c r="AE778" t="s">
        <v>222</v>
      </c>
      <c r="AF778">
        <v>20</v>
      </c>
      <c r="AG778" s="1">
        <v>27395</v>
      </c>
      <c r="AH778" s="1">
        <v>27395</v>
      </c>
      <c r="AI778" s="1">
        <v>27395</v>
      </c>
      <c r="AJ778" s="1">
        <v>34700</v>
      </c>
      <c r="AK778" t="s">
        <v>51</v>
      </c>
      <c r="AN778">
        <v>0</v>
      </c>
      <c r="AO778" t="s">
        <v>54</v>
      </c>
      <c r="AP778" t="s">
        <v>53</v>
      </c>
      <c r="AQ778">
        <v>0</v>
      </c>
      <c r="AR778" t="s">
        <v>53</v>
      </c>
      <c r="AS778">
        <v>0</v>
      </c>
      <c r="AT778">
        <v>0</v>
      </c>
      <c r="CC778" t="s">
        <v>560</v>
      </c>
      <c r="CD778">
        <v>85000</v>
      </c>
      <c r="CE778" s="1">
        <v>42917</v>
      </c>
      <c r="CF778" s="1">
        <v>42917</v>
      </c>
      <c r="CG778" s="1">
        <v>42917</v>
      </c>
      <c r="CH778" s="1">
        <v>50079</v>
      </c>
      <c r="CI778" t="s">
        <v>51</v>
      </c>
      <c r="CK778" t="s">
        <v>78</v>
      </c>
      <c r="CM778" t="s">
        <v>54</v>
      </c>
      <c r="CN778" t="s">
        <v>174</v>
      </c>
      <c r="CO778" t="s">
        <v>86</v>
      </c>
      <c r="CR778">
        <v>36</v>
      </c>
      <c r="CS778">
        <v>0</v>
      </c>
      <c r="CT778">
        <v>0</v>
      </c>
      <c r="CU778">
        <v>0</v>
      </c>
    </row>
    <row r="779" spans="1:99" x14ac:dyDescent="0.2">
      <c r="A779" t="s">
        <v>180</v>
      </c>
      <c r="B779" t="s">
        <v>181</v>
      </c>
      <c r="C779" t="s">
        <v>184</v>
      </c>
      <c r="D779" t="s">
        <v>571</v>
      </c>
      <c r="F779" t="str">
        <f>"250424"</f>
        <v>250424</v>
      </c>
      <c r="G779" t="s">
        <v>49</v>
      </c>
      <c r="K779" t="s">
        <v>51</v>
      </c>
      <c r="L779" t="s">
        <v>52</v>
      </c>
      <c r="M779">
        <v>136224.01</v>
      </c>
      <c r="N779">
        <v>472898.07</v>
      </c>
      <c r="O779" t="s">
        <v>53</v>
      </c>
      <c r="P779" t="s">
        <v>54</v>
      </c>
      <c r="Q779" t="s">
        <v>55</v>
      </c>
      <c r="T779" t="s">
        <v>476</v>
      </c>
      <c r="U779">
        <v>40</v>
      </c>
      <c r="V779" s="1">
        <v>27395</v>
      </c>
      <c r="W779" s="1">
        <v>27395</v>
      </c>
      <c r="X779" s="1">
        <v>27395</v>
      </c>
      <c r="Y779" s="1">
        <v>42005</v>
      </c>
      <c r="Z779" t="s">
        <v>51</v>
      </c>
      <c r="AB779" t="s">
        <v>54</v>
      </c>
      <c r="AC779">
        <v>1</v>
      </c>
      <c r="AE779" t="s">
        <v>222</v>
      </c>
      <c r="AF779">
        <v>20</v>
      </c>
      <c r="AG779" s="1">
        <v>27395</v>
      </c>
      <c r="AH779" s="1">
        <v>27395</v>
      </c>
      <c r="AI779" s="1">
        <v>27395</v>
      </c>
      <c r="AJ779" s="1">
        <v>34700</v>
      </c>
      <c r="AK779" t="s">
        <v>51</v>
      </c>
      <c r="AN779">
        <v>0</v>
      </c>
      <c r="AO779" t="s">
        <v>54</v>
      </c>
      <c r="AP779" t="s">
        <v>53</v>
      </c>
      <c r="AQ779">
        <v>0</v>
      </c>
      <c r="AR779" t="s">
        <v>53</v>
      </c>
      <c r="AS779">
        <v>0</v>
      </c>
      <c r="AT779">
        <v>0</v>
      </c>
      <c r="CC779" t="s">
        <v>560</v>
      </c>
      <c r="CD779">
        <v>85000</v>
      </c>
      <c r="CE779" s="1">
        <v>42917</v>
      </c>
      <c r="CF779" s="1">
        <v>42917</v>
      </c>
      <c r="CG779" s="1">
        <v>42917</v>
      </c>
      <c r="CH779" s="1">
        <v>50079</v>
      </c>
      <c r="CI779" t="s">
        <v>51</v>
      </c>
      <c r="CK779" t="s">
        <v>78</v>
      </c>
      <c r="CM779" t="s">
        <v>54</v>
      </c>
      <c r="CN779" t="s">
        <v>174</v>
      </c>
      <c r="CO779" t="s">
        <v>86</v>
      </c>
      <c r="CR779">
        <v>36</v>
      </c>
      <c r="CS779">
        <v>0</v>
      </c>
      <c r="CT779">
        <v>0</v>
      </c>
      <c r="CU779">
        <v>0</v>
      </c>
    </row>
    <row r="780" spans="1:99" x14ac:dyDescent="0.2">
      <c r="A780" t="s">
        <v>180</v>
      </c>
      <c r="B780" t="s">
        <v>181</v>
      </c>
      <c r="C780" t="s">
        <v>184</v>
      </c>
      <c r="D780" t="s">
        <v>571</v>
      </c>
      <c r="F780" t="str">
        <f>"250425"</f>
        <v>250425</v>
      </c>
      <c r="G780" t="s">
        <v>49</v>
      </c>
      <c r="H780" t="s">
        <v>489</v>
      </c>
      <c r="K780" t="s">
        <v>51</v>
      </c>
      <c r="L780" t="s">
        <v>52</v>
      </c>
      <c r="M780">
        <v>136199.34</v>
      </c>
      <c r="N780">
        <v>472915.41</v>
      </c>
      <c r="O780" t="s">
        <v>53</v>
      </c>
      <c r="P780" t="s">
        <v>54</v>
      </c>
      <c r="Q780" t="s">
        <v>55</v>
      </c>
      <c r="T780" t="s">
        <v>476</v>
      </c>
      <c r="U780">
        <v>40</v>
      </c>
      <c r="V780" s="1">
        <v>27395</v>
      </c>
      <c r="W780" s="1">
        <v>27395</v>
      </c>
      <c r="X780" s="1">
        <v>27395</v>
      </c>
      <c r="Y780" s="1">
        <v>42005</v>
      </c>
      <c r="Z780" t="s">
        <v>51</v>
      </c>
      <c r="AB780" t="s">
        <v>54</v>
      </c>
      <c r="AC780">
        <v>1</v>
      </c>
      <c r="AE780" t="s">
        <v>222</v>
      </c>
      <c r="AF780">
        <v>20</v>
      </c>
      <c r="AG780" s="1">
        <v>27395</v>
      </c>
      <c r="AH780" s="1">
        <v>27395</v>
      </c>
      <c r="AI780" s="1">
        <v>27395</v>
      </c>
      <c r="AJ780" s="1">
        <v>34700</v>
      </c>
      <c r="AK780" t="s">
        <v>51</v>
      </c>
      <c r="AN780">
        <v>0</v>
      </c>
      <c r="AO780" t="s">
        <v>54</v>
      </c>
      <c r="AP780" t="s">
        <v>53</v>
      </c>
      <c r="AQ780">
        <v>0</v>
      </c>
      <c r="AR780" t="s">
        <v>53</v>
      </c>
      <c r="AS780">
        <v>0</v>
      </c>
      <c r="AT780">
        <v>0</v>
      </c>
      <c r="CC780" t="s">
        <v>560</v>
      </c>
      <c r="CD780">
        <v>85000</v>
      </c>
      <c r="CE780" s="1">
        <v>42917</v>
      </c>
      <c r="CF780" s="1">
        <v>42917</v>
      </c>
      <c r="CG780" s="1">
        <v>42917</v>
      </c>
      <c r="CH780" s="1">
        <v>50079</v>
      </c>
      <c r="CI780" t="s">
        <v>51</v>
      </c>
      <c r="CK780" t="s">
        <v>78</v>
      </c>
      <c r="CM780" t="s">
        <v>54</v>
      </c>
      <c r="CN780" t="s">
        <v>174</v>
      </c>
      <c r="CO780" t="s">
        <v>86</v>
      </c>
      <c r="CR780">
        <v>36</v>
      </c>
      <c r="CS780">
        <v>0</v>
      </c>
      <c r="CT780">
        <v>0</v>
      </c>
      <c r="CU780">
        <v>0</v>
      </c>
    </row>
    <row r="781" spans="1:99" x14ac:dyDescent="0.2">
      <c r="A781" t="s">
        <v>180</v>
      </c>
      <c r="B781" t="s">
        <v>181</v>
      </c>
      <c r="C781" t="s">
        <v>184</v>
      </c>
      <c r="D781" t="s">
        <v>571</v>
      </c>
      <c r="F781" t="str">
        <f>"250426"</f>
        <v>250426</v>
      </c>
      <c r="G781" t="s">
        <v>49</v>
      </c>
      <c r="K781" t="s">
        <v>51</v>
      </c>
      <c r="L781" t="s">
        <v>52</v>
      </c>
      <c r="M781">
        <v>136200.69</v>
      </c>
      <c r="N781">
        <v>472894.34</v>
      </c>
      <c r="O781" t="s">
        <v>53</v>
      </c>
      <c r="P781" t="s">
        <v>54</v>
      </c>
      <c r="Q781" t="s">
        <v>55</v>
      </c>
      <c r="T781" t="s">
        <v>476</v>
      </c>
      <c r="U781">
        <v>40</v>
      </c>
      <c r="V781" s="1">
        <v>27395</v>
      </c>
      <c r="W781" s="1">
        <v>27395</v>
      </c>
      <c r="X781" s="1">
        <v>27395</v>
      </c>
      <c r="Y781" s="1">
        <v>42005</v>
      </c>
      <c r="Z781" t="s">
        <v>51</v>
      </c>
      <c r="AB781" t="s">
        <v>54</v>
      </c>
      <c r="AC781">
        <v>1</v>
      </c>
      <c r="AE781" t="s">
        <v>222</v>
      </c>
      <c r="AF781">
        <v>20</v>
      </c>
      <c r="AG781" s="1">
        <v>27395</v>
      </c>
      <c r="AH781" s="1">
        <v>27395</v>
      </c>
      <c r="AI781" s="1">
        <v>27395</v>
      </c>
      <c r="AJ781" s="1">
        <v>34700</v>
      </c>
      <c r="AK781" t="s">
        <v>51</v>
      </c>
      <c r="AN781">
        <v>0</v>
      </c>
      <c r="AO781" t="s">
        <v>54</v>
      </c>
      <c r="AP781" t="s">
        <v>53</v>
      </c>
      <c r="AQ781">
        <v>0</v>
      </c>
      <c r="AR781" t="s">
        <v>53</v>
      </c>
      <c r="AS781">
        <v>0</v>
      </c>
      <c r="AT781">
        <v>0</v>
      </c>
      <c r="CC781" t="s">
        <v>560</v>
      </c>
      <c r="CD781">
        <v>85000</v>
      </c>
      <c r="CE781" s="1">
        <v>42917</v>
      </c>
      <c r="CF781" s="1">
        <v>42917</v>
      </c>
      <c r="CG781" s="1">
        <v>42917</v>
      </c>
      <c r="CH781" s="1">
        <v>50079</v>
      </c>
      <c r="CI781" t="s">
        <v>51</v>
      </c>
      <c r="CK781" t="s">
        <v>78</v>
      </c>
      <c r="CM781" t="s">
        <v>54</v>
      </c>
      <c r="CN781" t="s">
        <v>174</v>
      </c>
      <c r="CO781" t="s">
        <v>86</v>
      </c>
      <c r="CR781">
        <v>36</v>
      </c>
      <c r="CS781">
        <v>0</v>
      </c>
      <c r="CT781">
        <v>0</v>
      </c>
      <c r="CU781">
        <v>0</v>
      </c>
    </row>
    <row r="782" spans="1:99" x14ac:dyDescent="0.2">
      <c r="A782" t="s">
        <v>180</v>
      </c>
      <c r="B782" t="s">
        <v>181</v>
      </c>
      <c r="C782" t="s">
        <v>184</v>
      </c>
      <c r="D782" t="s">
        <v>571</v>
      </c>
      <c r="F782" t="str">
        <f>"250427"</f>
        <v>250427</v>
      </c>
      <c r="G782" t="s">
        <v>49</v>
      </c>
      <c r="H782" t="s">
        <v>579</v>
      </c>
      <c r="K782" t="s">
        <v>51</v>
      </c>
      <c r="L782" t="s">
        <v>52</v>
      </c>
      <c r="M782">
        <v>136161.48000000001</v>
      </c>
      <c r="N782">
        <v>472816.58</v>
      </c>
      <c r="O782" t="s">
        <v>53</v>
      </c>
      <c r="P782" t="s">
        <v>54</v>
      </c>
      <c r="Q782" t="s">
        <v>55</v>
      </c>
      <c r="T782" t="s">
        <v>476</v>
      </c>
      <c r="U782">
        <v>40</v>
      </c>
      <c r="V782" s="1">
        <v>27395</v>
      </c>
      <c r="W782" s="1">
        <v>27395</v>
      </c>
      <c r="X782" s="1">
        <v>27395</v>
      </c>
      <c r="Y782" s="1">
        <v>42005</v>
      </c>
      <c r="Z782" t="s">
        <v>51</v>
      </c>
      <c r="AB782" t="s">
        <v>54</v>
      </c>
      <c r="AC782">
        <v>1</v>
      </c>
      <c r="AE782" t="s">
        <v>222</v>
      </c>
      <c r="AF782">
        <v>20</v>
      </c>
      <c r="AG782" s="1">
        <v>27395</v>
      </c>
      <c r="AH782" s="1">
        <v>27395</v>
      </c>
      <c r="AI782" s="1">
        <v>27395</v>
      </c>
      <c r="AJ782" s="1">
        <v>34700</v>
      </c>
      <c r="AK782" t="s">
        <v>51</v>
      </c>
      <c r="AN782">
        <v>0</v>
      </c>
      <c r="AO782" t="s">
        <v>54</v>
      </c>
      <c r="AP782" t="s">
        <v>53</v>
      </c>
      <c r="AQ782">
        <v>0</v>
      </c>
      <c r="AR782" t="s">
        <v>53</v>
      </c>
      <c r="AS782">
        <v>0</v>
      </c>
      <c r="AT782">
        <v>0</v>
      </c>
      <c r="CC782" t="s">
        <v>560</v>
      </c>
      <c r="CD782">
        <v>85000</v>
      </c>
      <c r="CE782" s="1">
        <v>42917</v>
      </c>
      <c r="CF782" s="1">
        <v>42917</v>
      </c>
      <c r="CG782" s="1">
        <v>42917</v>
      </c>
      <c r="CH782" s="1">
        <v>50079</v>
      </c>
      <c r="CI782" t="s">
        <v>51</v>
      </c>
      <c r="CK782" t="s">
        <v>78</v>
      </c>
      <c r="CM782" t="s">
        <v>54</v>
      </c>
      <c r="CN782" t="s">
        <v>174</v>
      </c>
      <c r="CO782" t="s">
        <v>86</v>
      </c>
      <c r="CR782">
        <v>36</v>
      </c>
      <c r="CS782">
        <v>0</v>
      </c>
      <c r="CT782">
        <v>0</v>
      </c>
      <c r="CU782">
        <v>0</v>
      </c>
    </row>
    <row r="783" spans="1:99" x14ac:dyDescent="0.2">
      <c r="A783" t="s">
        <v>180</v>
      </c>
      <c r="B783" t="s">
        <v>181</v>
      </c>
      <c r="C783" t="s">
        <v>184</v>
      </c>
      <c r="D783" t="s">
        <v>571</v>
      </c>
      <c r="F783" t="str">
        <f>"250428"</f>
        <v>250428</v>
      </c>
      <c r="G783" t="s">
        <v>49</v>
      </c>
      <c r="H783" t="s">
        <v>505</v>
      </c>
      <c r="K783" t="s">
        <v>51</v>
      </c>
      <c r="L783" t="s">
        <v>52</v>
      </c>
      <c r="M783">
        <v>136154.09</v>
      </c>
      <c r="N783">
        <v>472796.78</v>
      </c>
      <c r="O783" t="s">
        <v>53</v>
      </c>
      <c r="P783" t="s">
        <v>54</v>
      </c>
      <c r="Q783" t="s">
        <v>55</v>
      </c>
      <c r="T783" t="s">
        <v>476</v>
      </c>
      <c r="U783">
        <v>40</v>
      </c>
      <c r="V783" s="1">
        <v>27395</v>
      </c>
      <c r="W783" s="1">
        <v>27395</v>
      </c>
      <c r="X783" s="1">
        <v>27395</v>
      </c>
      <c r="Y783" s="1">
        <v>42005</v>
      </c>
      <c r="Z783" t="s">
        <v>51</v>
      </c>
      <c r="AB783" t="s">
        <v>54</v>
      </c>
      <c r="AC783">
        <v>1</v>
      </c>
      <c r="AE783" t="s">
        <v>222</v>
      </c>
      <c r="AF783">
        <v>20</v>
      </c>
      <c r="AG783" s="1">
        <v>27395</v>
      </c>
      <c r="AH783" s="1">
        <v>27395</v>
      </c>
      <c r="AI783" s="1">
        <v>27395</v>
      </c>
      <c r="AJ783" s="1">
        <v>34700</v>
      </c>
      <c r="AK783" t="s">
        <v>51</v>
      </c>
      <c r="AN783">
        <v>0</v>
      </c>
      <c r="AO783" t="s">
        <v>54</v>
      </c>
      <c r="AP783" t="s">
        <v>53</v>
      </c>
      <c r="AQ783">
        <v>0</v>
      </c>
      <c r="AR783" t="s">
        <v>53</v>
      </c>
      <c r="AS783">
        <v>0</v>
      </c>
      <c r="AT783">
        <v>0</v>
      </c>
      <c r="CC783" t="s">
        <v>560</v>
      </c>
      <c r="CD783">
        <v>85000</v>
      </c>
      <c r="CE783" s="1">
        <v>42917</v>
      </c>
      <c r="CF783" s="1">
        <v>42917</v>
      </c>
      <c r="CG783" s="1">
        <v>42917</v>
      </c>
      <c r="CH783" s="1">
        <v>50079</v>
      </c>
      <c r="CI783" t="s">
        <v>51</v>
      </c>
      <c r="CK783" t="s">
        <v>78</v>
      </c>
      <c r="CM783" t="s">
        <v>54</v>
      </c>
      <c r="CN783" t="s">
        <v>174</v>
      </c>
      <c r="CO783" t="s">
        <v>86</v>
      </c>
      <c r="CR783">
        <v>36</v>
      </c>
      <c r="CS783">
        <v>0</v>
      </c>
      <c r="CT783">
        <v>0</v>
      </c>
      <c r="CU783">
        <v>0</v>
      </c>
    </row>
    <row r="784" spans="1:99" x14ac:dyDescent="0.2">
      <c r="A784" t="s">
        <v>180</v>
      </c>
      <c r="B784" t="s">
        <v>181</v>
      </c>
      <c r="C784" t="s">
        <v>184</v>
      </c>
      <c r="D784" t="s">
        <v>571</v>
      </c>
      <c r="F784" t="str">
        <f>"250429"</f>
        <v>250429</v>
      </c>
      <c r="G784" t="s">
        <v>49</v>
      </c>
      <c r="K784" t="s">
        <v>51</v>
      </c>
      <c r="L784" t="s">
        <v>52</v>
      </c>
      <c r="M784">
        <v>136141.71</v>
      </c>
      <c r="N784">
        <v>472771.25</v>
      </c>
      <c r="O784" t="s">
        <v>53</v>
      </c>
      <c r="P784" t="s">
        <v>54</v>
      </c>
      <c r="Q784" t="s">
        <v>55</v>
      </c>
      <c r="T784" t="s">
        <v>476</v>
      </c>
      <c r="U784">
        <v>40</v>
      </c>
      <c r="V784" s="1">
        <v>27395</v>
      </c>
      <c r="W784" s="1">
        <v>27395</v>
      </c>
      <c r="X784" s="1">
        <v>27395</v>
      </c>
      <c r="Y784" s="1">
        <v>42005</v>
      </c>
      <c r="Z784" t="s">
        <v>51</v>
      </c>
      <c r="AB784" t="s">
        <v>54</v>
      </c>
      <c r="AC784">
        <v>1</v>
      </c>
      <c r="AE784" t="s">
        <v>222</v>
      </c>
      <c r="AF784">
        <v>20</v>
      </c>
      <c r="AG784" s="1">
        <v>27395</v>
      </c>
      <c r="AH784" s="1">
        <v>27395</v>
      </c>
      <c r="AI784" s="1">
        <v>27395</v>
      </c>
      <c r="AJ784" s="1">
        <v>34700</v>
      </c>
      <c r="AK784" t="s">
        <v>51</v>
      </c>
      <c r="AN784">
        <v>0</v>
      </c>
      <c r="AO784" t="s">
        <v>54</v>
      </c>
      <c r="AP784" t="s">
        <v>53</v>
      </c>
      <c r="AQ784">
        <v>0</v>
      </c>
      <c r="AR784" t="s">
        <v>53</v>
      </c>
      <c r="AS784">
        <v>0</v>
      </c>
      <c r="AT784">
        <v>0</v>
      </c>
      <c r="CC784" t="s">
        <v>560</v>
      </c>
      <c r="CD784">
        <v>85000</v>
      </c>
      <c r="CE784" s="1">
        <v>42917</v>
      </c>
      <c r="CF784" s="1">
        <v>42917</v>
      </c>
      <c r="CG784" s="1">
        <v>42917</v>
      </c>
      <c r="CH784" s="1">
        <v>50079</v>
      </c>
      <c r="CI784" t="s">
        <v>51</v>
      </c>
      <c r="CK784" t="s">
        <v>78</v>
      </c>
      <c r="CM784" t="s">
        <v>54</v>
      </c>
      <c r="CN784" t="s">
        <v>174</v>
      </c>
      <c r="CO784" t="s">
        <v>86</v>
      </c>
      <c r="CR784">
        <v>36</v>
      </c>
      <c r="CS784">
        <v>0</v>
      </c>
      <c r="CT784">
        <v>0</v>
      </c>
      <c r="CU784">
        <v>0</v>
      </c>
    </row>
    <row r="785" spans="1:99" x14ac:dyDescent="0.2">
      <c r="A785" t="s">
        <v>180</v>
      </c>
      <c r="B785" t="s">
        <v>181</v>
      </c>
      <c r="C785" t="s">
        <v>184</v>
      </c>
      <c r="D785" t="s">
        <v>571</v>
      </c>
      <c r="F785" t="str">
        <f>"250430"</f>
        <v>250430</v>
      </c>
      <c r="G785" t="s">
        <v>49</v>
      </c>
      <c r="H785" t="s">
        <v>580</v>
      </c>
      <c r="K785" t="s">
        <v>51</v>
      </c>
      <c r="L785" t="s">
        <v>52</v>
      </c>
      <c r="M785">
        <v>136165.91</v>
      </c>
      <c r="N785">
        <v>472774.31</v>
      </c>
      <c r="O785" t="s">
        <v>53</v>
      </c>
      <c r="P785" t="s">
        <v>54</v>
      </c>
      <c r="Q785" t="s">
        <v>55</v>
      </c>
      <c r="T785" t="s">
        <v>476</v>
      </c>
      <c r="U785">
        <v>40</v>
      </c>
      <c r="V785" s="1">
        <v>27395</v>
      </c>
      <c r="W785" s="1">
        <v>27395</v>
      </c>
      <c r="X785" s="1">
        <v>27395</v>
      </c>
      <c r="Y785" s="1">
        <v>42005</v>
      </c>
      <c r="Z785" t="s">
        <v>51</v>
      </c>
      <c r="AB785" t="s">
        <v>54</v>
      </c>
      <c r="AC785">
        <v>1</v>
      </c>
      <c r="AE785" t="s">
        <v>222</v>
      </c>
      <c r="AF785">
        <v>20</v>
      </c>
      <c r="AG785" s="1">
        <v>27395</v>
      </c>
      <c r="AH785" s="1">
        <v>27395</v>
      </c>
      <c r="AI785" s="1">
        <v>27395</v>
      </c>
      <c r="AJ785" s="1">
        <v>34700</v>
      </c>
      <c r="AK785" t="s">
        <v>51</v>
      </c>
      <c r="AN785">
        <v>0</v>
      </c>
      <c r="AO785" t="s">
        <v>54</v>
      </c>
      <c r="AP785" t="s">
        <v>53</v>
      </c>
      <c r="AQ785">
        <v>0</v>
      </c>
      <c r="AR785" t="s">
        <v>53</v>
      </c>
      <c r="AS785">
        <v>0</v>
      </c>
      <c r="AT785">
        <v>0</v>
      </c>
      <c r="CC785" t="s">
        <v>560</v>
      </c>
      <c r="CD785">
        <v>85000</v>
      </c>
      <c r="CE785" s="1">
        <v>42917</v>
      </c>
      <c r="CF785" s="1">
        <v>42917</v>
      </c>
      <c r="CG785" s="1">
        <v>42917</v>
      </c>
      <c r="CH785" s="1">
        <v>50079</v>
      </c>
      <c r="CI785" t="s">
        <v>51</v>
      </c>
      <c r="CK785" t="s">
        <v>78</v>
      </c>
      <c r="CM785" t="s">
        <v>54</v>
      </c>
      <c r="CN785" t="s">
        <v>174</v>
      </c>
      <c r="CO785" t="s">
        <v>86</v>
      </c>
      <c r="CR785">
        <v>36</v>
      </c>
      <c r="CS785">
        <v>0</v>
      </c>
      <c r="CT785">
        <v>0</v>
      </c>
      <c r="CU785">
        <v>0</v>
      </c>
    </row>
    <row r="786" spans="1:99" x14ac:dyDescent="0.2">
      <c r="A786" t="s">
        <v>180</v>
      </c>
      <c r="B786" t="s">
        <v>181</v>
      </c>
      <c r="C786" t="s">
        <v>184</v>
      </c>
      <c r="D786" t="s">
        <v>571</v>
      </c>
      <c r="F786" t="str">
        <f>"250431"</f>
        <v>250431</v>
      </c>
      <c r="G786" t="s">
        <v>49</v>
      </c>
      <c r="H786" t="s">
        <v>581</v>
      </c>
      <c r="K786" t="s">
        <v>51</v>
      </c>
      <c r="L786" t="s">
        <v>52</v>
      </c>
      <c r="M786">
        <v>136183.16</v>
      </c>
      <c r="N786">
        <v>472779.52000000002</v>
      </c>
      <c r="O786" t="s">
        <v>53</v>
      </c>
      <c r="P786" t="s">
        <v>54</v>
      </c>
      <c r="Q786" t="s">
        <v>55</v>
      </c>
      <c r="T786" t="s">
        <v>577</v>
      </c>
      <c r="U786">
        <v>40</v>
      </c>
      <c r="V786" s="1">
        <v>27395</v>
      </c>
      <c r="W786" s="1">
        <v>27395</v>
      </c>
      <c r="X786" s="1">
        <v>27395</v>
      </c>
      <c r="Y786" s="1">
        <v>42005</v>
      </c>
      <c r="Z786" t="s">
        <v>51</v>
      </c>
      <c r="AB786" t="s">
        <v>54</v>
      </c>
      <c r="AC786">
        <v>1</v>
      </c>
      <c r="AE786" t="s">
        <v>222</v>
      </c>
      <c r="AF786">
        <v>20</v>
      </c>
      <c r="AG786" s="1">
        <v>27395</v>
      </c>
      <c r="AH786" s="1">
        <v>27395</v>
      </c>
      <c r="AI786" s="1">
        <v>27395</v>
      </c>
      <c r="AJ786" s="1">
        <v>34700</v>
      </c>
      <c r="AK786" t="s">
        <v>51</v>
      </c>
      <c r="AN786">
        <v>0</v>
      </c>
      <c r="AO786" t="s">
        <v>54</v>
      </c>
      <c r="AP786" t="s">
        <v>53</v>
      </c>
      <c r="AQ786">
        <v>0</v>
      </c>
      <c r="AR786" t="s">
        <v>53</v>
      </c>
      <c r="AS786">
        <v>0</v>
      </c>
      <c r="AT786">
        <v>0</v>
      </c>
      <c r="CC786" t="s">
        <v>560</v>
      </c>
      <c r="CD786">
        <v>85000</v>
      </c>
      <c r="CE786" s="1">
        <v>42917</v>
      </c>
      <c r="CF786" s="1">
        <v>42917</v>
      </c>
      <c r="CG786" s="1">
        <v>42917</v>
      </c>
      <c r="CH786" s="1">
        <v>50079</v>
      </c>
      <c r="CI786" t="s">
        <v>51</v>
      </c>
      <c r="CK786" t="s">
        <v>78</v>
      </c>
      <c r="CM786" t="s">
        <v>54</v>
      </c>
      <c r="CN786" t="s">
        <v>174</v>
      </c>
      <c r="CO786" t="s">
        <v>86</v>
      </c>
      <c r="CR786">
        <v>36</v>
      </c>
      <c r="CS786">
        <v>0</v>
      </c>
      <c r="CT786">
        <v>0</v>
      </c>
      <c r="CU786">
        <v>0</v>
      </c>
    </row>
    <row r="787" spans="1:99" x14ac:dyDescent="0.2">
      <c r="A787" t="s">
        <v>180</v>
      </c>
      <c r="B787" t="s">
        <v>181</v>
      </c>
      <c r="C787" t="s">
        <v>184</v>
      </c>
      <c r="D787" t="s">
        <v>571</v>
      </c>
      <c r="F787" t="str">
        <f>"250432"</f>
        <v>250432</v>
      </c>
      <c r="G787" t="s">
        <v>49</v>
      </c>
      <c r="H787" t="s">
        <v>236</v>
      </c>
      <c r="K787" t="s">
        <v>51</v>
      </c>
      <c r="L787" t="s">
        <v>52</v>
      </c>
      <c r="M787">
        <v>136189.07</v>
      </c>
      <c r="N787">
        <v>472804.54</v>
      </c>
      <c r="O787" t="s">
        <v>53</v>
      </c>
      <c r="P787" t="s">
        <v>54</v>
      </c>
      <c r="Q787" t="s">
        <v>55</v>
      </c>
      <c r="T787" t="s">
        <v>476</v>
      </c>
      <c r="U787">
        <v>40</v>
      </c>
      <c r="V787" s="1">
        <v>27395</v>
      </c>
      <c r="W787" s="1">
        <v>27395</v>
      </c>
      <c r="X787" s="1">
        <v>27395</v>
      </c>
      <c r="Y787" s="1">
        <v>42005</v>
      </c>
      <c r="Z787" t="s">
        <v>51</v>
      </c>
      <c r="AB787" t="s">
        <v>54</v>
      </c>
      <c r="AC787">
        <v>1</v>
      </c>
      <c r="AE787" t="s">
        <v>222</v>
      </c>
      <c r="AF787">
        <v>20</v>
      </c>
      <c r="AG787" s="1">
        <v>27395</v>
      </c>
      <c r="AH787" s="1">
        <v>27395</v>
      </c>
      <c r="AI787" s="1">
        <v>27395</v>
      </c>
      <c r="AJ787" s="1">
        <v>34700</v>
      </c>
      <c r="AK787" t="s">
        <v>51</v>
      </c>
      <c r="AN787">
        <v>0</v>
      </c>
      <c r="AO787" t="s">
        <v>54</v>
      </c>
      <c r="AP787" t="s">
        <v>53</v>
      </c>
      <c r="AQ787">
        <v>0</v>
      </c>
      <c r="AR787" t="s">
        <v>53</v>
      </c>
      <c r="AS787">
        <v>0</v>
      </c>
      <c r="AT787">
        <v>0</v>
      </c>
      <c r="CC787" t="s">
        <v>560</v>
      </c>
      <c r="CD787">
        <v>85000</v>
      </c>
      <c r="CE787" s="1">
        <v>42917</v>
      </c>
      <c r="CF787" s="1">
        <v>42917</v>
      </c>
      <c r="CG787" s="1">
        <v>42917</v>
      </c>
      <c r="CH787" s="1">
        <v>50079</v>
      </c>
      <c r="CI787" t="s">
        <v>51</v>
      </c>
      <c r="CK787" t="s">
        <v>78</v>
      </c>
      <c r="CM787" t="s">
        <v>54</v>
      </c>
      <c r="CN787" t="s">
        <v>174</v>
      </c>
      <c r="CO787" t="s">
        <v>86</v>
      </c>
      <c r="CR787">
        <v>36</v>
      </c>
      <c r="CS787">
        <v>0</v>
      </c>
      <c r="CT787">
        <v>0</v>
      </c>
      <c r="CU787">
        <v>0</v>
      </c>
    </row>
    <row r="788" spans="1:99" x14ac:dyDescent="0.2">
      <c r="A788" t="s">
        <v>180</v>
      </c>
      <c r="B788" t="s">
        <v>181</v>
      </c>
      <c r="C788" t="s">
        <v>184</v>
      </c>
      <c r="D788" t="s">
        <v>571</v>
      </c>
      <c r="F788" t="str">
        <f>"250433"</f>
        <v>250433</v>
      </c>
      <c r="G788" t="s">
        <v>49</v>
      </c>
      <c r="H788" t="s">
        <v>95</v>
      </c>
      <c r="K788" t="s">
        <v>51</v>
      </c>
      <c r="L788" t="s">
        <v>52</v>
      </c>
      <c r="M788">
        <v>136186.84</v>
      </c>
      <c r="N788">
        <v>472831.64</v>
      </c>
      <c r="O788" t="s">
        <v>53</v>
      </c>
      <c r="P788" t="s">
        <v>54</v>
      </c>
      <c r="Q788" t="s">
        <v>55</v>
      </c>
      <c r="T788" t="s">
        <v>476</v>
      </c>
      <c r="U788">
        <v>40</v>
      </c>
      <c r="V788" s="1">
        <v>27395</v>
      </c>
      <c r="W788" s="1">
        <v>27395</v>
      </c>
      <c r="X788" s="1">
        <v>27395</v>
      </c>
      <c r="Y788" s="1">
        <v>42005</v>
      </c>
      <c r="Z788" t="s">
        <v>51</v>
      </c>
      <c r="AB788" t="s">
        <v>54</v>
      </c>
      <c r="AC788">
        <v>1</v>
      </c>
      <c r="AE788" t="s">
        <v>222</v>
      </c>
      <c r="AF788">
        <v>20</v>
      </c>
      <c r="AG788" s="1">
        <v>27395</v>
      </c>
      <c r="AH788" s="1">
        <v>27395</v>
      </c>
      <c r="AI788" s="1">
        <v>27395</v>
      </c>
      <c r="AJ788" s="1">
        <v>34700</v>
      </c>
      <c r="AK788" t="s">
        <v>51</v>
      </c>
      <c r="AN788">
        <v>0</v>
      </c>
      <c r="AO788" t="s">
        <v>54</v>
      </c>
      <c r="AP788" t="s">
        <v>53</v>
      </c>
      <c r="AQ788">
        <v>0</v>
      </c>
      <c r="AR788" t="s">
        <v>53</v>
      </c>
      <c r="AS788">
        <v>0</v>
      </c>
      <c r="AT788">
        <v>0</v>
      </c>
      <c r="CC788" t="s">
        <v>560</v>
      </c>
      <c r="CD788">
        <v>85000</v>
      </c>
      <c r="CE788" s="1">
        <v>42917</v>
      </c>
      <c r="CF788" s="1">
        <v>42917</v>
      </c>
      <c r="CG788" s="1">
        <v>42917</v>
      </c>
      <c r="CH788" s="1">
        <v>50079</v>
      </c>
      <c r="CI788" t="s">
        <v>51</v>
      </c>
      <c r="CK788" t="s">
        <v>78</v>
      </c>
      <c r="CM788" t="s">
        <v>54</v>
      </c>
      <c r="CN788" t="s">
        <v>174</v>
      </c>
      <c r="CO788" t="s">
        <v>86</v>
      </c>
      <c r="CR788">
        <v>36</v>
      </c>
      <c r="CS788">
        <v>0</v>
      </c>
      <c r="CT788">
        <v>0</v>
      </c>
      <c r="CU788">
        <v>0</v>
      </c>
    </row>
    <row r="789" spans="1:99" x14ac:dyDescent="0.2">
      <c r="A789" t="s">
        <v>180</v>
      </c>
      <c r="B789" t="s">
        <v>181</v>
      </c>
      <c r="C789" t="s">
        <v>184</v>
      </c>
      <c r="D789" t="s">
        <v>571</v>
      </c>
      <c r="F789" t="str">
        <f>"250434"</f>
        <v>250434</v>
      </c>
      <c r="G789" t="s">
        <v>49</v>
      </c>
      <c r="H789" t="s">
        <v>259</v>
      </c>
      <c r="K789" t="s">
        <v>51</v>
      </c>
      <c r="L789" t="s">
        <v>52</v>
      </c>
      <c r="M789">
        <v>136202.5</v>
      </c>
      <c r="N789">
        <v>472843.13</v>
      </c>
      <c r="O789" t="s">
        <v>53</v>
      </c>
      <c r="P789" t="s">
        <v>54</v>
      </c>
      <c r="Q789" t="s">
        <v>55</v>
      </c>
      <c r="T789" t="s">
        <v>476</v>
      </c>
      <c r="U789">
        <v>40</v>
      </c>
      <c r="V789" s="1">
        <v>27395</v>
      </c>
      <c r="W789" s="1">
        <v>27395</v>
      </c>
      <c r="X789" s="1">
        <v>27395</v>
      </c>
      <c r="Y789" s="1">
        <v>42005</v>
      </c>
      <c r="Z789" t="s">
        <v>51</v>
      </c>
      <c r="AB789" t="s">
        <v>54</v>
      </c>
      <c r="AC789">
        <v>1</v>
      </c>
      <c r="AE789" t="s">
        <v>222</v>
      </c>
      <c r="AF789">
        <v>20</v>
      </c>
      <c r="AG789" s="1">
        <v>27395</v>
      </c>
      <c r="AH789" s="1">
        <v>27395</v>
      </c>
      <c r="AI789" s="1">
        <v>27395</v>
      </c>
      <c r="AJ789" s="1">
        <v>34700</v>
      </c>
      <c r="AK789" t="s">
        <v>51</v>
      </c>
      <c r="AN789">
        <v>0</v>
      </c>
      <c r="AO789" t="s">
        <v>54</v>
      </c>
      <c r="AP789" t="s">
        <v>53</v>
      </c>
      <c r="AQ789">
        <v>0</v>
      </c>
      <c r="AR789" t="s">
        <v>53</v>
      </c>
      <c r="AS789">
        <v>0</v>
      </c>
      <c r="AT789">
        <v>0</v>
      </c>
      <c r="CC789" t="s">
        <v>560</v>
      </c>
      <c r="CD789">
        <v>85000</v>
      </c>
      <c r="CE789" s="1">
        <v>42917</v>
      </c>
      <c r="CF789" s="1">
        <v>42917</v>
      </c>
      <c r="CG789" s="1">
        <v>42917</v>
      </c>
      <c r="CH789" s="1">
        <v>50079</v>
      </c>
      <c r="CI789" t="s">
        <v>51</v>
      </c>
      <c r="CK789" t="s">
        <v>78</v>
      </c>
      <c r="CM789" t="s">
        <v>54</v>
      </c>
      <c r="CN789" t="s">
        <v>174</v>
      </c>
      <c r="CO789" t="s">
        <v>86</v>
      </c>
      <c r="CR789">
        <v>36</v>
      </c>
      <c r="CS789">
        <v>0</v>
      </c>
      <c r="CT789">
        <v>0</v>
      </c>
      <c r="CU789">
        <v>0</v>
      </c>
    </row>
    <row r="790" spans="1:99" x14ac:dyDescent="0.2">
      <c r="A790" t="s">
        <v>180</v>
      </c>
      <c r="B790" t="s">
        <v>181</v>
      </c>
      <c r="C790" t="s">
        <v>184</v>
      </c>
      <c r="D790" t="s">
        <v>571</v>
      </c>
      <c r="F790" t="str">
        <f>"250435"</f>
        <v>250435</v>
      </c>
      <c r="G790" t="s">
        <v>49</v>
      </c>
      <c r="H790" t="s">
        <v>175</v>
      </c>
      <c r="K790" t="s">
        <v>51</v>
      </c>
      <c r="L790" t="s">
        <v>52</v>
      </c>
      <c r="M790">
        <v>136211.99</v>
      </c>
      <c r="N790">
        <v>472786.98</v>
      </c>
      <c r="O790" t="s">
        <v>53</v>
      </c>
      <c r="P790" t="s">
        <v>54</v>
      </c>
      <c r="Q790" t="s">
        <v>55</v>
      </c>
      <c r="T790" t="s">
        <v>476</v>
      </c>
      <c r="U790">
        <v>40</v>
      </c>
      <c r="V790" s="1">
        <v>27395</v>
      </c>
      <c r="W790" s="1">
        <v>27395</v>
      </c>
      <c r="X790" s="1">
        <v>27395</v>
      </c>
      <c r="Y790" s="1">
        <v>42005</v>
      </c>
      <c r="Z790" t="s">
        <v>51</v>
      </c>
      <c r="AB790" t="s">
        <v>54</v>
      </c>
      <c r="AC790">
        <v>1</v>
      </c>
      <c r="AE790" t="s">
        <v>222</v>
      </c>
      <c r="AF790">
        <v>20</v>
      </c>
      <c r="AG790" s="1">
        <v>27395</v>
      </c>
      <c r="AH790" s="1">
        <v>27395</v>
      </c>
      <c r="AI790" s="1">
        <v>27395</v>
      </c>
      <c r="AJ790" s="1">
        <v>34700</v>
      </c>
      <c r="AK790" t="s">
        <v>51</v>
      </c>
      <c r="AN790">
        <v>0</v>
      </c>
      <c r="AO790" t="s">
        <v>54</v>
      </c>
      <c r="AP790" t="s">
        <v>53</v>
      </c>
      <c r="AQ790">
        <v>0</v>
      </c>
      <c r="AR790" t="s">
        <v>53</v>
      </c>
      <c r="AS790">
        <v>0</v>
      </c>
      <c r="AT790">
        <v>0</v>
      </c>
      <c r="CC790" t="s">
        <v>560</v>
      </c>
      <c r="CD790">
        <v>85000</v>
      </c>
      <c r="CE790" s="1">
        <v>42917</v>
      </c>
      <c r="CF790" s="1">
        <v>42917</v>
      </c>
      <c r="CG790" s="1">
        <v>42917</v>
      </c>
      <c r="CH790" s="1">
        <v>50079</v>
      </c>
      <c r="CI790" t="s">
        <v>51</v>
      </c>
      <c r="CK790" t="s">
        <v>78</v>
      </c>
      <c r="CM790" t="s">
        <v>54</v>
      </c>
      <c r="CN790" t="s">
        <v>174</v>
      </c>
      <c r="CO790" t="s">
        <v>86</v>
      </c>
      <c r="CR790">
        <v>36</v>
      </c>
      <c r="CS790">
        <v>0</v>
      </c>
      <c r="CT790">
        <v>0</v>
      </c>
      <c r="CU790">
        <v>0</v>
      </c>
    </row>
    <row r="791" spans="1:99" x14ac:dyDescent="0.2">
      <c r="A791" t="s">
        <v>180</v>
      </c>
      <c r="B791" t="s">
        <v>181</v>
      </c>
      <c r="C791" t="s">
        <v>184</v>
      </c>
      <c r="D791" t="s">
        <v>571</v>
      </c>
      <c r="F791" t="str">
        <f>"250436"</f>
        <v>250436</v>
      </c>
      <c r="G791" t="s">
        <v>49</v>
      </c>
      <c r="H791" t="s">
        <v>285</v>
      </c>
      <c r="K791" t="s">
        <v>51</v>
      </c>
      <c r="L791" t="s">
        <v>52</v>
      </c>
      <c r="M791">
        <v>136210.18</v>
      </c>
      <c r="N791">
        <v>472823.12</v>
      </c>
      <c r="O791" t="s">
        <v>53</v>
      </c>
      <c r="P791" t="s">
        <v>54</v>
      </c>
      <c r="Q791" t="s">
        <v>55</v>
      </c>
      <c r="T791" t="s">
        <v>476</v>
      </c>
      <c r="U791">
        <v>40</v>
      </c>
      <c r="V791" s="1">
        <v>27395</v>
      </c>
      <c r="W791" s="1">
        <v>27395</v>
      </c>
      <c r="X791" s="1">
        <v>27395</v>
      </c>
      <c r="Y791" s="1">
        <v>42005</v>
      </c>
      <c r="Z791" t="s">
        <v>51</v>
      </c>
      <c r="AB791" t="s">
        <v>54</v>
      </c>
      <c r="AC791">
        <v>1</v>
      </c>
      <c r="AE791" t="s">
        <v>222</v>
      </c>
      <c r="AF791">
        <v>20</v>
      </c>
      <c r="AG791" s="1">
        <v>27395</v>
      </c>
      <c r="AH791" s="1">
        <v>27395</v>
      </c>
      <c r="AI791" s="1">
        <v>27395</v>
      </c>
      <c r="AJ791" s="1">
        <v>34700</v>
      </c>
      <c r="AK791" t="s">
        <v>51</v>
      </c>
      <c r="AN791">
        <v>0</v>
      </c>
      <c r="AO791" t="s">
        <v>54</v>
      </c>
      <c r="AP791" t="s">
        <v>53</v>
      </c>
      <c r="AQ791">
        <v>0</v>
      </c>
      <c r="AR791" t="s">
        <v>53</v>
      </c>
      <c r="AS791">
        <v>0</v>
      </c>
      <c r="AT791">
        <v>0</v>
      </c>
      <c r="CC791" t="s">
        <v>560</v>
      </c>
      <c r="CD791">
        <v>85000</v>
      </c>
      <c r="CE791" s="1">
        <v>42917</v>
      </c>
      <c r="CF791" s="1">
        <v>42917</v>
      </c>
      <c r="CG791" s="1">
        <v>42917</v>
      </c>
      <c r="CH791" s="1">
        <v>50079</v>
      </c>
      <c r="CI791" t="s">
        <v>51</v>
      </c>
      <c r="CK791" t="s">
        <v>78</v>
      </c>
      <c r="CM791" t="s">
        <v>54</v>
      </c>
      <c r="CN791" t="s">
        <v>174</v>
      </c>
      <c r="CO791" t="s">
        <v>86</v>
      </c>
      <c r="CR791">
        <v>36</v>
      </c>
      <c r="CS791">
        <v>0</v>
      </c>
      <c r="CT791">
        <v>0</v>
      </c>
      <c r="CU791">
        <v>0</v>
      </c>
    </row>
    <row r="792" spans="1:99" x14ac:dyDescent="0.2">
      <c r="A792" t="s">
        <v>180</v>
      </c>
      <c r="B792" t="s">
        <v>181</v>
      </c>
      <c r="C792" t="s">
        <v>184</v>
      </c>
      <c r="D792" t="s">
        <v>571</v>
      </c>
      <c r="F792" t="str">
        <f>"250437"</f>
        <v>250437</v>
      </c>
      <c r="G792" t="s">
        <v>49</v>
      </c>
      <c r="H792" t="s">
        <v>306</v>
      </c>
      <c r="K792" t="s">
        <v>51</v>
      </c>
      <c r="L792" t="s">
        <v>52</v>
      </c>
      <c r="M792">
        <v>136230.1</v>
      </c>
      <c r="N792">
        <v>472824.2</v>
      </c>
      <c r="O792" t="s">
        <v>53</v>
      </c>
      <c r="P792" t="s">
        <v>54</v>
      </c>
      <c r="Q792" t="s">
        <v>55</v>
      </c>
      <c r="T792" t="s">
        <v>476</v>
      </c>
      <c r="U792">
        <v>40</v>
      </c>
      <c r="V792" s="1">
        <v>27395</v>
      </c>
      <c r="W792" s="1">
        <v>27395</v>
      </c>
      <c r="X792" s="1">
        <v>27395</v>
      </c>
      <c r="Y792" s="1">
        <v>42005</v>
      </c>
      <c r="Z792" t="s">
        <v>51</v>
      </c>
      <c r="AB792" t="s">
        <v>54</v>
      </c>
      <c r="AC792">
        <v>1</v>
      </c>
      <c r="AE792" t="s">
        <v>222</v>
      </c>
      <c r="AF792">
        <v>20</v>
      </c>
      <c r="AG792" s="1">
        <v>27395</v>
      </c>
      <c r="AH792" s="1">
        <v>27395</v>
      </c>
      <c r="AI792" s="1">
        <v>27395</v>
      </c>
      <c r="AJ792" s="1">
        <v>34700</v>
      </c>
      <c r="AK792" t="s">
        <v>51</v>
      </c>
      <c r="AN792">
        <v>0</v>
      </c>
      <c r="AO792" t="s">
        <v>54</v>
      </c>
      <c r="AP792" t="s">
        <v>53</v>
      </c>
      <c r="AQ792">
        <v>0</v>
      </c>
      <c r="AR792" t="s">
        <v>53</v>
      </c>
      <c r="AS792">
        <v>0</v>
      </c>
      <c r="AT792">
        <v>0</v>
      </c>
      <c r="CC792" t="s">
        <v>560</v>
      </c>
      <c r="CD792">
        <v>85000</v>
      </c>
      <c r="CE792" s="1">
        <v>42917</v>
      </c>
      <c r="CF792" s="1">
        <v>42917</v>
      </c>
      <c r="CG792" s="1">
        <v>42917</v>
      </c>
      <c r="CH792" s="1">
        <v>50079</v>
      </c>
      <c r="CI792" t="s">
        <v>51</v>
      </c>
      <c r="CK792" t="s">
        <v>78</v>
      </c>
      <c r="CM792" t="s">
        <v>54</v>
      </c>
      <c r="CN792" t="s">
        <v>174</v>
      </c>
      <c r="CO792" t="s">
        <v>86</v>
      </c>
      <c r="CR792">
        <v>36</v>
      </c>
      <c r="CS792">
        <v>0</v>
      </c>
      <c r="CT792">
        <v>0</v>
      </c>
      <c r="CU792">
        <v>0</v>
      </c>
    </row>
    <row r="793" spans="1:99" x14ac:dyDescent="0.2">
      <c r="A793" t="s">
        <v>180</v>
      </c>
      <c r="B793" t="s">
        <v>181</v>
      </c>
      <c r="C793" t="s">
        <v>184</v>
      </c>
      <c r="D793" t="s">
        <v>571</v>
      </c>
      <c r="F793" t="str">
        <f>"250438"</f>
        <v>250438</v>
      </c>
      <c r="G793" t="s">
        <v>49</v>
      </c>
      <c r="H793" t="s">
        <v>542</v>
      </c>
      <c r="K793" t="s">
        <v>51</v>
      </c>
      <c r="L793" t="s">
        <v>52</v>
      </c>
      <c r="M793">
        <v>136160.04</v>
      </c>
      <c r="N793">
        <v>472746.87</v>
      </c>
      <c r="O793" t="s">
        <v>53</v>
      </c>
      <c r="P793" t="s">
        <v>54</v>
      </c>
      <c r="Q793" t="s">
        <v>55</v>
      </c>
      <c r="T793" t="s">
        <v>577</v>
      </c>
      <c r="U793">
        <v>40</v>
      </c>
      <c r="V793" s="1">
        <v>40544</v>
      </c>
      <c r="W793" s="1">
        <v>40544</v>
      </c>
      <c r="X793" s="1">
        <v>40544</v>
      </c>
      <c r="Y793" s="1">
        <v>55154</v>
      </c>
      <c r="Z793" t="s">
        <v>51</v>
      </c>
      <c r="AB793" t="s">
        <v>54</v>
      </c>
      <c r="AC793">
        <v>1</v>
      </c>
      <c r="AE793" t="s">
        <v>222</v>
      </c>
      <c r="AF793">
        <v>20</v>
      </c>
      <c r="AG793" s="1">
        <v>40544</v>
      </c>
      <c r="AH793" s="1">
        <v>40544</v>
      </c>
      <c r="AI793" s="1">
        <v>40544</v>
      </c>
      <c r="AJ793" s="1">
        <v>47849</v>
      </c>
      <c r="AK793" t="s">
        <v>51</v>
      </c>
      <c r="AN793">
        <v>0</v>
      </c>
      <c r="AO793" t="s">
        <v>54</v>
      </c>
      <c r="AP793" t="s">
        <v>53</v>
      </c>
      <c r="AQ793">
        <v>0</v>
      </c>
      <c r="AR793" t="s">
        <v>53</v>
      </c>
      <c r="AS793">
        <v>0</v>
      </c>
      <c r="AT793">
        <v>0</v>
      </c>
      <c r="CC793" t="s">
        <v>560</v>
      </c>
      <c r="CD793">
        <v>85000</v>
      </c>
      <c r="CE793" s="1">
        <v>42917</v>
      </c>
      <c r="CF793" s="1">
        <v>42917</v>
      </c>
      <c r="CG793" s="1">
        <v>42917</v>
      </c>
      <c r="CH793" s="1">
        <v>50079</v>
      </c>
      <c r="CI793" t="s">
        <v>51</v>
      </c>
      <c r="CK793" t="s">
        <v>78</v>
      </c>
      <c r="CM793" t="s">
        <v>54</v>
      </c>
      <c r="CN793" t="s">
        <v>174</v>
      </c>
      <c r="CO793" t="s">
        <v>86</v>
      </c>
      <c r="CR793">
        <v>36</v>
      </c>
      <c r="CS793">
        <v>0</v>
      </c>
      <c r="CT793">
        <v>0</v>
      </c>
      <c r="CU793">
        <v>0</v>
      </c>
    </row>
    <row r="794" spans="1:99" x14ac:dyDescent="0.2">
      <c r="A794" t="s">
        <v>180</v>
      </c>
      <c r="B794" t="s">
        <v>181</v>
      </c>
      <c r="C794" t="s">
        <v>184</v>
      </c>
      <c r="D794" t="s">
        <v>571</v>
      </c>
      <c r="F794" t="str">
        <f>"250439"</f>
        <v>250439</v>
      </c>
      <c r="G794" t="s">
        <v>49</v>
      </c>
      <c r="H794" t="s">
        <v>483</v>
      </c>
      <c r="K794" t="s">
        <v>51</v>
      </c>
      <c r="L794" t="s">
        <v>52</v>
      </c>
      <c r="M794">
        <v>136134.91</v>
      </c>
      <c r="N794">
        <v>472747.09</v>
      </c>
      <c r="O794" t="s">
        <v>53</v>
      </c>
      <c r="P794" t="s">
        <v>54</v>
      </c>
      <c r="Q794" t="s">
        <v>55</v>
      </c>
      <c r="T794" t="s">
        <v>577</v>
      </c>
      <c r="U794">
        <v>40</v>
      </c>
      <c r="V794" s="1">
        <v>40544</v>
      </c>
      <c r="W794" s="1">
        <v>40544</v>
      </c>
      <c r="X794" s="1">
        <v>40544</v>
      </c>
      <c r="Y794" s="1">
        <v>55154</v>
      </c>
      <c r="Z794" t="s">
        <v>51</v>
      </c>
      <c r="AB794" t="s">
        <v>54</v>
      </c>
      <c r="AC794">
        <v>1</v>
      </c>
      <c r="AE794" t="s">
        <v>222</v>
      </c>
      <c r="AF794">
        <v>20</v>
      </c>
      <c r="AG794" s="1">
        <v>40544</v>
      </c>
      <c r="AH794" s="1">
        <v>40544</v>
      </c>
      <c r="AI794" s="1">
        <v>40544</v>
      </c>
      <c r="AJ794" s="1">
        <v>47849</v>
      </c>
      <c r="AK794" t="s">
        <v>51</v>
      </c>
      <c r="AN794">
        <v>0</v>
      </c>
      <c r="AO794" t="s">
        <v>54</v>
      </c>
      <c r="AP794" t="s">
        <v>53</v>
      </c>
      <c r="AQ794">
        <v>0</v>
      </c>
      <c r="AR794" t="s">
        <v>53</v>
      </c>
      <c r="AS794">
        <v>0</v>
      </c>
      <c r="AT794">
        <v>0</v>
      </c>
      <c r="CC794" t="s">
        <v>560</v>
      </c>
      <c r="CD794">
        <v>85000</v>
      </c>
      <c r="CE794" s="1">
        <v>42917</v>
      </c>
      <c r="CF794" s="1">
        <v>42917</v>
      </c>
      <c r="CG794" s="1">
        <v>42917</v>
      </c>
      <c r="CH794" s="1">
        <v>50079</v>
      </c>
      <c r="CI794" t="s">
        <v>51</v>
      </c>
      <c r="CK794" t="s">
        <v>78</v>
      </c>
      <c r="CM794" t="s">
        <v>54</v>
      </c>
      <c r="CN794" t="s">
        <v>174</v>
      </c>
      <c r="CO794" t="s">
        <v>86</v>
      </c>
      <c r="CR794">
        <v>36</v>
      </c>
      <c r="CS794">
        <v>0</v>
      </c>
      <c r="CT794">
        <v>0</v>
      </c>
      <c r="CU794">
        <v>0</v>
      </c>
    </row>
    <row r="795" spans="1:99" x14ac:dyDescent="0.2">
      <c r="A795" t="s">
        <v>180</v>
      </c>
      <c r="B795" t="s">
        <v>181</v>
      </c>
      <c r="C795" t="s">
        <v>184</v>
      </c>
      <c r="D795" t="s">
        <v>571</v>
      </c>
      <c r="F795" t="str">
        <f>"250441"</f>
        <v>250441</v>
      </c>
      <c r="G795" t="s">
        <v>49</v>
      </c>
      <c r="H795" t="s">
        <v>582</v>
      </c>
      <c r="K795" t="s">
        <v>51</v>
      </c>
      <c r="L795" t="s">
        <v>52</v>
      </c>
      <c r="M795">
        <v>136123.93</v>
      </c>
      <c r="N795">
        <v>472789.84</v>
      </c>
      <c r="O795" t="s">
        <v>53</v>
      </c>
      <c r="P795" t="s">
        <v>54</v>
      </c>
      <c r="Q795" t="s">
        <v>55</v>
      </c>
      <c r="T795" t="s">
        <v>577</v>
      </c>
      <c r="U795">
        <v>40</v>
      </c>
      <c r="V795" s="1">
        <v>27395</v>
      </c>
      <c r="W795" s="1">
        <v>27395</v>
      </c>
      <c r="X795" s="1">
        <v>27395</v>
      </c>
      <c r="Y795" s="1">
        <v>42005</v>
      </c>
      <c r="Z795" t="s">
        <v>51</v>
      </c>
      <c r="AB795" t="s">
        <v>54</v>
      </c>
      <c r="AC795">
        <v>1</v>
      </c>
      <c r="AE795" t="s">
        <v>222</v>
      </c>
      <c r="AF795">
        <v>20</v>
      </c>
      <c r="AG795" s="1">
        <v>27395</v>
      </c>
      <c r="AH795" s="1">
        <v>27395</v>
      </c>
      <c r="AI795" s="1">
        <v>27395</v>
      </c>
      <c r="AJ795" s="1">
        <v>34700</v>
      </c>
      <c r="AK795" t="s">
        <v>51</v>
      </c>
      <c r="AN795">
        <v>0</v>
      </c>
      <c r="AO795" t="s">
        <v>54</v>
      </c>
      <c r="AP795" t="s">
        <v>53</v>
      </c>
      <c r="AQ795">
        <v>0</v>
      </c>
      <c r="AR795" t="s">
        <v>53</v>
      </c>
      <c r="AS795">
        <v>0</v>
      </c>
      <c r="AT795">
        <v>0</v>
      </c>
      <c r="CC795" t="s">
        <v>560</v>
      </c>
      <c r="CD795">
        <v>85000</v>
      </c>
      <c r="CE795" s="1">
        <v>42917</v>
      </c>
      <c r="CF795" s="1">
        <v>42917</v>
      </c>
      <c r="CG795" s="1">
        <v>42917</v>
      </c>
      <c r="CH795" s="1">
        <v>50079</v>
      </c>
      <c r="CI795" t="s">
        <v>51</v>
      </c>
      <c r="CK795" t="s">
        <v>78</v>
      </c>
      <c r="CM795" t="s">
        <v>54</v>
      </c>
      <c r="CN795" t="s">
        <v>174</v>
      </c>
      <c r="CO795" t="s">
        <v>86</v>
      </c>
      <c r="CR795">
        <v>36</v>
      </c>
      <c r="CS795">
        <v>0</v>
      </c>
      <c r="CT795">
        <v>0</v>
      </c>
      <c r="CU795">
        <v>0</v>
      </c>
    </row>
    <row r="796" spans="1:99" x14ac:dyDescent="0.2">
      <c r="A796" t="s">
        <v>180</v>
      </c>
      <c r="B796" t="s">
        <v>181</v>
      </c>
      <c r="C796" t="s">
        <v>184</v>
      </c>
      <c r="D796" t="s">
        <v>571</v>
      </c>
      <c r="F796" t="str">
        <f>"250442"</f>
        <v>250442</v>
      </c>
      <c r="G796" t="s">
        <v>49</v>
      </c>
      <c r="H796" t="s">
        <v>582</v>
      </c>
      <c r="K796" t="s">
        <v>51</v>
      </c>
      <c r="L796" t="s">
        <v>52</v>
      </c>
      <c r="M796">
        <v>136134.24</v>
      </c>
      <c r="N796">
        <v>472811.65</v>
      </c>
      <c r="O796" t="s">
        <v>53</v>
      </c>
      <c r="P796" t="s">
        <v>54</v>
      </c>
      <c r="Q796" t="s">
        <v>55</v>
      </c>
      <c r="T796" t="s">
        <v>577</v>
      </c>
      <c r="U796">
        <v>40</v>
      </c>
      <c r="V796" s="1">
        <v>27395</v>
      </c>
      <c r="W796" s="1">
        <v>27395</v>
      </c>
      <c r="X796" s="1">
        <v>27395</v>
      </c>
      <c r="Y796" s="1">
        <v>42005</v>
      </c>
      <c r="Z796" t="s">
        <v>51</v>
      </c>
      <c r="AB796" t="s">
        <v>54</v>
      </c>
      <c r="AC796">
        <v>1</v>
      </c>
      <c r="AE796" t="s">
        <v>222</v>
      </c>
      <c r="AF796">
        <v>20</v>
      </c>
      <c r="AG796" s="1">
        <v>27395</v>
      </c>
      <c r="AH796" s="1">
        <v>27395</v>
      </c>
      <c r="AI796" s="1">
        <v>27395</v>
      </c>
      <c r="AJ796" s="1">
        <v>34700</v>
      </c>
      <c r="AK796" t="s">
        <v>51</v>
      </c>
      <c r="AN796">
        <v>0</v>
      </c>
      <c r="AO796" t="s">
        <v>54</v>
      </c>
      <c r="AP796" t="s">
        <v>53</v>
      </c>
      <c r="AQ796">
        <v>0</v>
      </c>
      <c r="AR796" t="s">
        <v>53</v>
      </c>
      <c r="AS796">
        <v>0</v>
      </c>
      <c r="AT796">
        <v>0</v>
      </c>
      <c r="CC796" t="s">
        <v>560</v>
      </c>
      <c r="CD796">
        <v>85000</v>
      </c>
      <c r="CE796" s="1">
        <v>42917</v>
      </c>
      <c r="CF796" s="1">
        <v>42917</v>
      </c>
      <c r="CG796" s="1">
        <v>42917</v>
      </c>
      <c r="CH796" s="1">
        <v>50079</v>
      </c>
      <c r="CI796" t="s">
        <v>51</v>
      </c>
      <c r="CK796" t="s">
        <v>78</v>
      </c>
      <c r="CM796" t="s">
        <v>54</v>
      </c>
      <c r="CN796" t="s">
        <v>174</v>
      </c>
      <c r="CO796" t="s">
        <v>86</v>
      </c>
      <c r="CR796">
        <v>36</v>
      </c>
      <c r="CS796">
        <v>0</v>
      </c>
      <c r="CT796">
        <v>0</v>
      </c>
      <c r="CU796">
        <v>0</v>
      </c>
    </row>
    <row r="797" spans="1:99" x14ac:dyDescent="0.2">
      <c r="A797" t="s">
        <v>180</v>
      </c>
      <c r="B797" t="s">
        <v>181</v>
      </c>
      <c r="C797" t="s">
        <v>184</v>
      </c>
      <c r="D797" t="s">
        <v>571</v>
      </c>
      <c r="F797" t="str">
        <f>"250443"</f>
        <v>250443</v>
      </c>
      <c r="G797" t="s">
        <v>49</v>
      </c>
      <c r="K797" t="s">
        <v>51</v>
      </c>
      <c r="L797" t="s">
        <v>52</v>
      </c>
      <c r="M797">
        <v>136144.03</v>
      </c>
      <c r="N797">
        <v>472834.84</v>
      </c>
      <c r="O797" t="s">
        <v>53</v>
      </c>
      <c r="P797" t="s">
        <v>54</v>
      </c>
      <c r="Q797" t="s">
        <v>55</v>
      </c>
      <c r="T797" t="s">
        <v>577</v>
      </c>
      <c r="U797">
        <v>40</v>
      </c>
      <c r="V797" s="1">
        <v>27395</v>
      </c>
      <c r="W797" s="1">
        <v>27395</v>
      </c>
      <c r="X797" s="1">
        <v>27395</v>
      </c>
      <c r="Y797" s="1">
        <v>42005</v>
      </c>
      <c r="Z797" t="s">
        <v>51</v>
      </c>
      <c r="AB797" t="s">
        <v>54</v>
      </c>
      <c r="AC797">
        <v>1</v>
      </c>
      <c r="AE797" t="s">
        <v>222</v>
      </c>
      <c r="AF797">
        <v>20</v>
      </c>
      <c r="AG797" s="1">
        <v>27395</v>
      </c>
      <c r="AH797" s="1">
        <v>27395</v>
      </c>
      <c r="AI797" s="1">
        <v>27395</v>
      </c>
      <c r="AJ797" s="1">
        <v>34700</v>
      </c>
      <c r="AK797" t="s">
        <v>51</v>
      </c>
      <c r="AN797">
        <v>0</v>
      </c>
      <c r="AO797" t="s">
        <v>54</v>
      </c>
      <c r="AP797" t="s">
        <v>53</v>
      </c>
      <c r="AQ797">
        <v>0</v>
      </c>
      <c r="AR797" t="s">
        <v>53</v>
      </c>
      <c r="AS797">
        <v>0</v>
      </c>
      <c r="AT797">
        <v>0</v>
      </c>
      <c r="CC797" t="s">
        <v>560</v>
      </c>
      <c r="CD797">
        <v>85000</v>
      </c>
      <c r="CE797" s="1">
        <v>42917</v>
      </c>
      <c r="CF797" s="1">
        <v>42917</v>
      </c>
      <c r="CG797" s="1">
        <v>42917</v>
      </c>
      <c r="CH797" s="1">
        <v>50079</v>
      </c>
      <c r="CI797" t="s">
        <v>51</v>
      </c>
      <c r="CK797" t="s">
        <v>78</v>
      </c>
      <c r="CM797" t="s">
        <v>54</v>
      </c>
      <c r="CN797" t="s">
        <v>174</v>
      </c>
      <c r="CO797" t="s">
        <v>86</v>
      </c>
      <c r="CR797">
        <v>36</v>
      </c>
      <c r="CS797">
        <v>0</v>
      </c>
      <c r="CT797">
        <v>0</v>
      </c>
      <c r="CU797">
        <v>0</v>
      </c>
    </row>
    <row r="798" spans="1:99" x14ac:dyDescent="0.2">
      <c r="A798" t="s">
        <v>180</v>
      </c>
      <c r="B798" t="s">
        <v>181</v>
      </c>
      <c r="C798" t="s">
        <v>184</v>
      </c>
      <c r="D798" t="s">
        <v>571</v>
      </c>
      <c r="F798" t="str">
        <f>"250444"</f>
        <v>250444</v>
      </c>
      <c r="G798" t="s">
        <v>49</v>
      </c>
      <c r="H798" t="s">
        <v>343</v>
      </c>
      <c r="K798" t="s">
        <v>51</v>
      </c>
      <c r="L798" t="s">
        <v>52</v>
      </c>
      <c r="M798">
        <v>136142.28</v>
      </c>
      <c r="N798">
        <v>472860.56</v>
      </c>
      <c r="O798" t="s">
        <v>53</v>
      </c>
      <c r="P798" t="s">
        <v>54</v>
      </c>
      <c r="Q798" t="s">
        <v>55</v>
      </c>
      <c r="T798" t="s">
        <v>476</v>
      </c>
      <c r="U798">
        <v>40</v>
      </c>
      <c r="V798" s="1">
        <v>27395</v>
      </c>
      <c r="W798" s="1">
        <v>27395</v>
      </c>
      <c r="X798" s="1">
        <v>27395</v>
      </c>
      <c r="Y798" s="1">
        <v>42005</v>
      </c>
      <c r="Z798" t="s">
        <v>51</v>
      </c>
      <c r="AB798" t="s">
        <v>54</v>
      </c>
      <c r="AC798">
        <v>1</v>
      </c>
      <c r="AE798" t="s">
        <v>222</v>
      </c>
      <c r="AF798">
        <v>20</v>
      </c>
      <c r="AG798" s="1">
        <v>27395</v>
      </c>
      <c r="AH798" s="1">
        <v>27395</v>
      </c>
      <c r="AI798" s="1">
        <v>27395</v>
      </c>
      <c r="AJ798" s="1">
        <v>34700</v>
      </c>
      <c r="AK798" t="s">
        <v>51</v>
      </c>
      <c r="AN798">
        <v>0</v>
      </c>
      <c r="AO798" t="s">
        <v>54</v>
      </c>
      <c r="AP798" t="s">
        <v>53</v>
      </c>
      <c r="AQ798">
        <v>0</v>
      </c>
      <c r="AR798" t="s">
        <v>53</v>
      </c>
      <c r="AS798">
        <v>0</v>
      </c>
      <c r="AT798">
        <v>0</v>
      </c>
      <c r="CC798" t="s">
        <v>560</v>
      </c>
      <c r="CD798">
        <v>85000</v>
      </c>
      <c r="CE798" s="1">
        <v>42917</v>
      </c>
      <c r="CF798" s="1">
        <v>42917</v>
      </c>
      <c r="CG798" s="1">
        <v>42917</v>
      </c>
      <c r="CH798" s="1">
        <v>50079</v>
      </c>
      <c r="CI798" t="s">
        <v>51</v>
      </c>
      <c r="CK798" t="s">
        <v>78</v>
      </c>
      <c r="CM798" t="s">
        <v>54</v>
      </c>
      <c r="CN798" t="s">
        <v>174</v>
      </c>
      <c r="CO798" t="s">
        <v>86</v>
      </c>
      <c r="CR798">
        <v>36</v>
      </c>
      <c r="CS798">
        <v>0</v>
      </c>
      <c r="CT798">
        <v>0</v>
      </c>
      <c r="CU798">
        <v>0</v>
      </c>
    </row>
    <row r="799" spans="1:99" x14ac:dyDescent="0.2">
      <c r="A799" t="s">
        <v>180</v>
      </c>
      <c r="B799" t="s">
        <v>181</v>
      </c>
      <c r="C799" t="s">
        <v>184</v>
      </c>
      <c r="D799" t="s">
        <v>571</v>
      </c>
      <c r="F799" t="str">
        <f>"250445"</f>
        <v>250445</v>
      </c>
      <c r="G799" t="s">
        <v>49</v>
      </c>
      <c r="H799" t="s">
        <v>467</v>
      </c>
      <c r="K799" t="s">
        <v>51</v>
      </c>
      <c r="L799" t="s">
        <v>52</v>
      </c>
      <c r="M799">
        <v>136149.07</v>
      </c>
      <c r="N799">
        <v>472886.34</v>
      </c>
      <c r="O799" t="s">
        <v>53</v>
      </c>
      <c r="P799" t="s">
        <v>54</v>
      </c>
      <c r="Q799" t="s">
        <v>55</v>
      </c>
      <c r="T799" t="s">
        <v>577</v>
      </c>
      <c r="U799">
        <v>40</v>
      </c>
      <c r="V799" s="1">
        <v>27395</v>
      </c>
      <c r="W799" s="1">
        <v>27395</v>
      </c>
      <c r="X799" s="1">
        <v>27395</v>
      </c>
      <c r="Y799" s="1">
        <v>42005</v>
      </c>
      <c r="Z799" t="s">
        <v>51</v>
      </c>
      <c r="AB799" t="s">
        <v>54</v>
      </c>
      <c r="AC799">
        <v>1</v>
      </c>
      <c r="AE799" t="s">
        <v>222</v>
      </c>
      <c r="AF799">
        <v>20</v>
      </c>
      <c r="AG799" s="1">
        <v>27395</v>
      </c>
      <c r="AH799" s="1">
        <v>27395</v>
      </c>
      <c r="AI799" s="1">
        <v>27395</v>
      </c>
      <c r="AJ799" s="1">
        <v>34700</v>
      </c>
      <c r="AK799" t="s">
        <v>51</v>
      </c>
      <c r="AN799">
        <v>0</v>
      </c>
      <c r="AO799" t="s">
        <v>54</v>
      </c>
      <c r="AP799" t="s">
        <v>53</v>
      </c>
      <c r="AQ799">
        <v>0</v>
      </c>
      <c r="AR799" t="s">
        <v>53</v>
      </c>
      <c r="AS799">
        <v>0</v>
      </c>
      <c r="AT799">
        <v>0</v>
      </c>
      <c r="CC799" t="s">
        <v>560</v>
      </c>
      <c r="CD799">
        <v>85000</v>
      </c>
      <c r="CE799" s="1">
        <v>42917</v>
      </c>
      <c r="CF799" s="1">
        <v>42917</v>
      </c>
      <c r="CG799" s="1">
        <v>42917</v>
      </c>
      <c r="CH799" s="1">
        <v>50079</v>
      </c>
      <c r="CI799" t="s">
        <v>51</v>
      </c>
      <c r="CK799" t="s">
        <v>78</v>
      </c>
      <c r="CM799" t="s">
        <v>54</v>
      </c>
      <c r="CN799" t="s">
        <v>174</v>
      </c>
      <c r="CO799" t="s">
        <v>86</v>
      </c>
      <c r="CR799">
        <v>36</v>
      </c>
      <c r="CS799">
        <v>0</v>
      </c>
      <c r="CT799">
        <v>0</v>
      </c>
      <c r="CU799">
        <v>0</v>
      </c>
    </row>
    <row r="800" spans="1:99" x14ac:dyDescent="0.2">
      <c r="A800" t="s">
        <v>180</v>
      </c>
      <c r="B800" t="s">
        <v>181</v>
      </c>
      <c r="C800" t="s">
        <v>184</v>
      </c>
      <c r="D800" t="s">
        <v>571</v>
      </c>
      <c r="F800" t="str">
        <f>"250446"</f>
        <v>250446</v>
      </c>
      <c r="G800" t="s">
        <v>49</v>
      </c>
      <c r="H800" t="s">
        <v>502</v>
      </c>
      <c r="K800" t="s">
        <v>51</v>
      </c>
      <c r="L800" t="s">
        <v>52</v>
      </c>
      <c r="M800">
        <v>136171.54999999999</v>
      </c>
      <c r="N800">
        <v>472893.94</v>
      </c>
      <c r="O800" t="s">
        <v>53</v>
      </c>
      <c r="P800" t="s">
        <v>54</v>
      </c>
      <c r="Q800" t="s">
        <v>55</v>
      </c>
      <c r="T800" t="s">
        <v>476</v>
      </c>
      <c r="U800">
        <v>40</v>
      </c>
      <c r="V800" s="1">
        <v>27395</v>
      </c>
      <c r="W800" s="1">
        <v>27395</v>
      </c>
      <c r="X800" s="1">
        <v>27395</v>
      </c>
      <c r="Y800" s="1">
        <v>42005</v>
      </c>
      <c r="Z800" t="s">
        <v>51</v>
      </c>
      <c r="AB800" t="s">
        <v>54</v>
      </c>
      <c r="AC800">
        <v>1</v>
      </c>
      <c r="AE800" t="s">
        <v>222</v>
      </c>
      <c r="AF800">
        <v>20</v>
      </c>
      <c r="AG800" s="1">
        <v>27395</v>
      </c>
      <c r="AH800" s="1">
        <v>27395</v>
      </c>
      <c r="AI800" s="1">
        <v>27395</v>
      </c>
      <c r="AJ800" s="1">
        <v>34700</v>
      </c>
      <c r="AK800" t="s">
        <v>51</v>
      </c>
      <c r="AN800">
        <v>0</v>
      </c>
      <c r="AO800" t="s">
        <v>54</v>
      </c>
      <c r="AP800" t="s">
        <v>53</v>
      </c>
      <c r="AQ800">
        <v>0</v>
      </c>
      <c r="AR800" t="s">
        <v>53</v>
      </c>
      <c r="AS800">
        <v>0</v>
      </c>
      <c r="AT800">
        <v>0</v>
      </c>
      <c r="CC800" t="s">
        <v>560</v>
      </c>
      <c r="CD800">
        <v>85000</v>
      </c>
      <c r="CE800" s="1">
        <v>42917</v>
      </c>
      <c r="CF800" s="1">
        <v>42917</v>
      </c>
      <c r="CG800" s="1">
        <v>42917</v>
      </c>
      <c r="CH800" s="1">
        <v>50079</v>
      </c>
      <c r="CI800" t="s">
        <v>51</v>
      </c>
      <c r="CK800" t="s">
        <v>78</v>
      </c>
      <c r="CM800" t="s">
        <v>54</v>
      </c>
      <c r="CN800" t="s">
        <v>174</v>
      </c>
      <c r="CO800" t="s">
        <v>86</v>
      </c>
      <c r="CR800">
        <v>36</v>
      </c>
      <c r="CS800">
        <v>0</v>
      </c>
      <c r="CT800">
        <v>0</v>
      </c>
      <c r="CU800">
        <v>0</v>
      </c>
    </row>
    <row r="801" spans="1:99" x14ac:dyDescent="0.2">
      <c r="A801" t="s">
        <v>180</v>
      </c>
      <c r="B801" t="s">
        <v>181</v>
      </c>
      <c r="C801" t="s">
        <v>184</v>
      </c>
      <c r="D801" t="s">
        <v>571</v>
      </c>
      <c r="F801" t="str">
        <f>"250447"</f>
        <v>250447</v>
      </c>
      <c r="G801" t="s">
        <v>49</v>
      </c>
      <c r="H801" t="s">
        <v>502</v>
      </c>
      <c r="K801" t="s">
        <v>51</v>
      </c>
      <c r="L801" t="s">
        <v>52</v>
      </c>
      <c r="M801">
        <v>136174.89000000001</v>
      </c>
      <c r="N801">
        <v>472917.94</v>
      </c>
      <c r="O801" t="s">
        <v>53</v>
      </c>
      <c r="P801" t="s">
        <v>54</v>
      </c>
      <c r="Q801" t="s">
        <v>55</v>
      </c>
      <c r="T801" t="s">
        <v>476</v>
      </c>
      <c r="U801">
        <v>40</v>
      </c>
      <c r="V801" s="1">
        <v>27395</v>
      </c>
      <c r="W801" s="1">
        <v>27395</v>
      </c>
      <c r="X801" s="1">
        <v>27395</v>
      </c>
      <c r="Y801" s="1">
        <v>42005</v>
      </c>
      <c r="Z801" t="s">
        <v>51</v>
      </c>
      <c r="AB801" t="s">
        <v>54</v>
      </c>
      <c r="AC801">
        <v>1</v>
      </c>
      <c r="AE801" t="s">
        <v>222</v>
      </c>
      <c r="AF801">
        <v>20</v>
      </c>
      <c r="AG801" s="1">
        <v>27395</v>
      </c>
      <c r="AH801" s="1">
        <v>27395</v>
      </c>
      <c r="AI801" s="1">
        <v>27395</v>
      </c>
      <c r="AJ801" s="1">
        <v>34700</v>
      </c>
      <c r="AK801" t="s">
        <v>51</v>
      </c>
      <c r="AN801">
        <v>0</v>
      </c>
      <c r="AO801" t="s">
        <v>54</v>
      </c>
      <c r="AP801" t="s">
        <v>53</v>
      </c>
      <c r="AQ801">
        <v>0</v>
      </c>
      <c r="AR801" t="s">
        <v>53</v>
      </c>
      <c r="AS801">
        <v>0</v>
      </c>
      <c r="AT801">
        <v>0</v>
      </c>
      <c r="CC801" t="s">
        <v>560</v>
      </c>
      <c r="CD801">
        <v>85000</v>
      </c>
      <c r="CE801" s="1">
        <v>42917</v>
      </c>
      <c r="CF801" s="1">
        <v>42917</v>
      </c>
      <c r="CG801" s="1">
        <v>42917</v>
      </c>
      <c r="CH801" s="1">
        <v>50079</v>
      </c>
      <c r="CI801" t="s">
        <v>51</v>
      </c>
      <c r="CK801" t="s">
        <v>78</v>
      </c>
      <c r="CM801" t="s">
        <v>54</v>
      </c>
      <c r="CN801" t="s">
        <v>174</v>
      </c>
      <c r="CO801" t="s">
        <v>86</v>
      </c>
      <c r="CR801">
        <v>36</v>
      </c>
      <c r="CS801">
        <v>0</v>
      </c>
      <c r="CT801">
        <v>0</v>
      </c>
      <c r="CU801">
        <v>0</v>
      </c>
    </row>
    <row r="802" spans="1:99" x14ac:dyDescent="0.2">
      <c r="A802" t="s">
        <v>180</v>
      </c>
      <c r="B802" t="s">
        <v>181</v>
      </c>
      <c r="C802" t="s">
        <v>184</v>
      </c>
      <c r="D802" t="s">
        <v>571</v>
      </c>
      <c r="F802" t="str">
        <f>"250448"</f>
        <v>250448</v>
      </c>
      <c r="G802" t="s">
        <v>49</v>
      </c>
      <c r="H802" t="s">
        <v>314</v>
      </c>
      <c r="K802" t="s">
        <v>51</v>
      </c>
      <c r="L802" t="s">
        <v>52</v>
      </c>
      <c r="M802">
        <v>136181.07999999999</v>
      </c>
      <c r="N802">
        <v>472943.91</v>
      </c>
      <c r="O802" t="s">
        <v>53</v>
      </c>
      <c r="P802" t="s">
        <v>54</v>
      </c>
      <c r="Q802" t="s">
        <v>55</v>
      </c>
      <c r="T802" t="s">
        <v>583</v>
      </c>
      <c r="U802">
        <v>40</v>
      </c>
      <c r="V802" s="1">
        <v>27395</v>
      </c>
      <c r="W802" s="1">
        <v>27395</v>
      </c>
      <c r="X802" s="1">
        <v>27395</v>
      </c>
      <c r="Y802" s="1">
        <v>42005</v>
      </c>
      <c r="Z802" t="s">
        <v>51</v>
      </c>
      <c r="AB802" t="s">
        <v>54</v>
      </c>
      <c r="AC802">
        <v>1</v>
      </c>
      <c r="AE802" t="s">
        <v>222</v>
      </c>
      <c r="AF802">
        <v>20</v>
      </c>
      <c r="AG802" s="1">
        <v>27395</v>
      </c>
      <c r="AH802" s="1">
        <v>27395</v>
      </c>
      <c r="AI802" s="1">
        <v>27395</v>
      </c>
      <c r="AJ802" s="1">
        <v>34700</v>
      </c>
      <c r="AK802" t="s">
        <v>51</v>
      </c>
      <c r="AN802">
        <v>0</v>
      </c>
      <c r="AO802" t="s">
        <v>54</v>
      </c>
      <c r="AP802" t="s">
        <v>53</v>
      </c>
      <c r="AQ802">
        <v>0</v>
      </c>
      <c r="AR802" t="s">
        <v>53</v>
      </c>
      <c r="AS802">
        <v>0</v>
      </c>
      <c r="AT802">
        <v>0</v>
      </c>
      <c r="CC802" t="s">
        <v>560</v>
      </c>
      <c r="CD802">
        <v>85000</v>
      </c>
      <c r="CE802" s="1">
        <v>42917</v>
      </c>
      <c r="CF802" s="1">
        <v>42917</v>
      </c>
      <c r="CG802" s="1">
        <v>42917</v>
      </c>
      <c r="CH802" s="1">
        <v>50079</v>
      </c>
      <c r="CI802" t="s">
        <v>51</v>
      </c>
      <c r="CK802" t="s">
        <v>78</v>
      </c>
      <c r="CM802" t="s">
        <v>54</v>
      </c>
      <c r="CN802" t="s">
        <v>174</v>
      </c>
      <c r="CO802" t="s">
        <v>86</v>
      </c>
      <c r="CR802">
        <v>36</v>
      </c>
      <c r="CS802">
        <v>0</v>
      </c>
      <c r="CT802">
        <v>0</v>
      </c>
      <c r="CU802">
        <v>0</v>
      </c>
    </row>
    <row r="803" spans="1:99" x14ac:dyDescent="0.2">
      <c r="A803" t="s">
        <v>180</v>
      </c>
      <c r="B803" t="s">
        <v>181</v>
      </c>
      <c r="C803" t="s">
        <v>184</v>
      </c>
      <c r="D803" t="s">
        <v>584</v>
      </c>
      <c r="F803" t="str">
        <f>"250449"</f>
        <v>250449</v>
      </c>
      <c r="G803" t="s">
        <v>49</v>
      </c>
      <c r="K803" t="s">
        <v>51</v>
      </c>
      <c r="L803" t="s">
        <v>52</v>
      </c>
      <c r="M803">
        <v>136208.51999999999</v>
      </c>
      <c r="N803">
        <v>472731.98</v>
      </c>
      <c r="O803" t="s">
        <v>53</v>
      </c>
      <c r="P803" t="s">
        <v>54</v>
      </c>
      <c r="Q803" t="s">
        <v>55</v>
      </c>
      <c r="T803" t="s">
        <v>585</v>
      </c>
      <c r="U803">
        <v>40</v>
      </c>
      <c r="V803" s="1">
        <v>27395</v>
      </c>
      <c r="W803" s="1">
        <v>27395</v>
      </c>
      <c r="X803" s="1">
        <v>27395</v>
      </c>
      <c r="Y803" s="1">
        <v>42005</v>
      </c>
      <c r="Z803" t="s">
        <v>51</v>
      </c>
      <c r="AB803" t="s">
        <v>54</v>
      </c>
      <c r="AC803">
        <v>1</v>
      </c>
      <c r="AE803" t="s">
        <v>79</v>
      </c>
      <c r="AF803">
        <v>20</v>
      </c>
      <c r="AG803" s="1">
        <v>40544</v>
      </c>
      <c r="AH803" s="1">
        <v>40544</v>
      </c>
      <c r="AI803" s="1">
        <v>40544</v>
      </c>
      <c r="AJ803" s="1">
        <v>47849</v>
      </c>
      <c r="AK803" t="s">
        <v>51</v>
      </c>
      <c r="AN803">
        <v>0</v>
      </c>
      <c r="AO803" t="s">
        <v>54</v>
      </c>
      <c r="AP803" t="s">
        <v>53</v>
      </c>
      <c r="AQ803">
        <v>0</v>
      </c>
      <c r="AR803" t="s">
        <v>145</v>
      </c>
      <c r="AS803">
        <v>0</v>
      </c>
      <c r="AT803">
        <v>0</v>
      </c>
      <c r="CC803" t="s">
        <v>560</v>
      </c>
      <c r="CD803">
        <v>85000</v>
      </c>
      <c r="CE803" s="1">
        <v>44578</v>
      </c>
      <c r="CF803" s="1">
        <v>44578</v>
      </c>
      <c r="CG803" s="1">
        <v>44578</v>
      </c>
      <c r="CH803" s="1">
        <v>51794</v>
      </c>
      <c r="CI803" t="s">
        <v>51</v>
      </c>
      <c r="CK803" t="s">
        <v>78</v>
      </c>
      <c r="CM803" t="s">
        <v>54</v>
      </c>
      <c r="CN803" t="s">
        <v>174</v>
      </c>
      <c r="CO803" t="s">
        <v>86</v>
      </c>
      <c r="CR803">
        <v>36</v>
      </c>
      <c r="CS803">
        <v>0</v>
      </c>
      <c r="CT803">
        <v>0</v>
      </c>
      <c r="CU803">
        <v>0</v>
      </c>
    </row>
    <row r="804" spans="1:99" x14ac:dyDescent="0.2">
      <c r="A804" t="s">
        <v>180</v>
      </c>
      <c r="B804" t="s">
        <v>181</v>
      </c>
      <c r="C804" t="s">
        <v>184</v>
      </c>
      <c r="D804" t="s">
        <v>584</v>
      </c>
      <c r="F804" t="str">
        <f>"250450"</f>
        <v>250450</v>
      </c>
      <c r="G804" t="s">
        <v>49</v>
      </c>
      <c r="K804" t="s">
        <v>51</v>
      </c>
      <c r="L804" t="s">
        <v>52</v>
      </c>
      <c r="M804">
        <v>136185.07999999999</v>
      </c>
      <c r="N804">
        <v>472947.91</v>
      </c>
      <c r="O804" t="s">
        <v>53</v>
      </c>
      <c r="P804" t="s">
        <v>54</v>
      </c>
      <c r="Q804" t="s">
        <v>55</v>
      </c>
      <c r="T804" t="s">
        <v>585</v>
      </c>
      <c r="U804">
        <v>40</v>
      </c>
      <c r="V804" s="1">
        <v>27395</v>
      </c>
      <c r="W804" s="1">
        <v>27395</v>
      </c>
      <c r="X804" s="1">
        <v>27395</v>
      </c>
      <c r="Y804" s="1">
        <v>42005</v>
      </c>
      <c r="Z804" t="s">
        <v>51</v>
      </c>
      <c r="AB804" t="s">
        <v>54</v>
      </c>
      <c r="AC804">
        <v>1</v>
      </c>
      <c r="AE804" t="s">
        <v>79</v>
      </c>
      <c r="AF804">
        <v>20</v>
      </c>
      <c r="AG804" s="1">
        <v>40544</v>
      </c>
      <c r="AH804" s="1">
        <v>40544</v>
      </c>
      <c r="AI804" s="1">
        <v>40544</v>
      </c>
      <c r="AJ804" s="1">
        <v>47849</v>
      </c>
      <c r="AK804" t="s">
        <v>51</v>
      </c>
      <c r="AN804">
        <v>0</v>
      </c>
      <c r="AO804" t="s">
        <v>54</v>
      </c>
      <c r="AP804" t="s">
        <v>53</v>
      </c>
      <c r="AQ804">
        <v>0</v>
      </c>
      <c r="AR804" t="s">
        <v>145</v>
      </c>
      <c r="AS804">
        <v>0</v>
      </c>
      <c r="AT804">
        <v>0</v>
      </c>
      <c r="CC804" t="s">
        <v>432</v>
      </c>
      <c r="CD804">
        <v>85000</v>
      </c>
      <c r="CE804" s="1">
        <v>42917</v>
      </c>
      <c r="CF804" s="1">
        <v>42917</v>
      </c>
      <c r="CG804" s="1">
        <v>42917</v>
      </c>
      <c r="CH804" s="1">
        <v>50079</v>
      </c>
      <c r="CI804" t="s">
        <v>51</v>
      </c>
      <c r="CK804" t="s">
        <v>78</v>
      </c>
      <c r="CM804" t="s">
        <v>54</v>
      </c>
      <c r="CN804" t="s">
        <v>174</v>
      </c>
      <c r="CO804" t="s">
        <v>86</v>
      </c>
      <c r="CR804">
        <v>24</v>
      </c>
      <c r="CS804">
        <v>0</v>
      </c>
      <c r="CT804">
        <v>0</v>
      </c>
      <c r="CU804">
        <v>0</v>
      </c>
    </row>
    <row r="805" spans="1:99" x14ac:dyDescent="0.2">
      <c r="A805" t="s">
        <v>180</v>
      </c>
      <c r="B805" t="s">
        <v>181</v>
      </c>
      <c r="C805" t="s">
        <v>184</v>
      </c>
      <c r="D805" t="s">
        <v>584</v>
      </c>
      <c r="F805" t="str">
        <f>"250455"</f>
        <v>250455</v>
      </c>
      <c r="G805" t="s">
        <v>49</v>
      </c>
      <c r="K805" t="s">
        <v>586</v>
      </c>
      <c r="L805" t="s">
        <v>52</v>
      </c>
      <c r="M805">
        <v>136128.615370441</v>
      </c>
      <c r="N805">
        <v>472733.66734971001</v>
      </c>
      <c r="O805" t="s">
        <v>53</v>
      </c>
      <c r="P805" t="s">
        <v>54</v>
      </c>
      <c r="Q805" t="s">
        <v>55</v>
      </c>
      <c r="T805" t="s">
        <v>431</v>
      </c>
      <c r="U805">
        <v>40</v>
      </c>
      <c r="V805" s="1">
        <v>40544</v>
      </c>
      <c r="W805" s="1">
        <v>40544</v>
      </c>
      <c r="X805" s="1">
        <v>40544</v>
      </c>
      <c r="Y805" s="1">
        <v>55154</v>
      </c>
      <c r="Z805" t="s">
        <v>51</v>
      </c>
      <c r="AB805" t="s">
        <v>54</v>
      </c>
      <c r="AP805" t="s">
        <v>53</v>
      </c>
      <c r="AR805" t="s">
        <v>53</v>
      </c>
      <c r="BH805" t="s">
        <v>53</v>
      </c>
    </row>
    <row r="806" spans="1:99" x14ac:dyDescent="0.2">
      <c r="A806" t="s">
        <v>180</v>
      </c>
      <c r="B806" t="s">
        <v>181</v>
      </c>
      <c r="C806" t="s">
        <v>184</v>
      </c>
      <c r="D806" t="s">
        <v>584</v>
      </c>
      <c r="F806" t="str">
        <f>"250456"</f>
        <v>250456</v>
      </c>
      <c r="G806" t="s">
        <v>49</v>
      </c>
      <c r="K806" t="s">
        <v>586</v>
      </c>
      <c r="L806" t="s">
        <v>52</v>
      </c>
      <c r="M806">
        <v>136139.56</v>
      </c>
      <c r="N806">
        <v>472742.36</v>
      </c>
      <c r="O806" t="s">
        <v>53</v>
      </c>
      <c r="P806" t="s">
        <v>54</v>
      </c>
      <c r="AP806" t="s">
        <v>53</v>
      </c>
      <c r="AR806" t="s">
        <v>53</v>
      </c>
      <c r="BH806" t="s">
        <v>53</v>
      </c>
    </row>
    <row r="807" spans="1:99" x14ac:dyDescent="0.2">
      <c r="A807" t="s">
        <v>180</v>
      </c>
      <c r="B807" t="s">
        <v>181</v>
      </c>
      <c r="C807" t="s">
        <v>184</v>
      </c>
      <c r="D807" t="s">
        <v>584</v>
      </c>
      <c r="F807" t="str">
        <f>"250457"</f>
        <v>250457</v>
      </c>
      <c r="G807" t="s">
        <v>49</v>
      </c>
      <c r="K807" t="s">
        <v>586</v>
      </c>
      <c r="L807" t="s">
        <v>52</v>
      </c>
      <c r="M807">
        <v>136154.01</v>
      </c>
      <c r="N807">
        <v>472738.56</v>
      </c>
      <c r="O807" t="s">
        <v>53</v>
      </c>
      <c r="P807" t="s">
        <v>54</v>
      </c>
      <c r="AP807" t="s">
        <v>53</v>
      </c>
      <c r="AR807" t="s">
        <v>53</v>
      </c>
      <c r="BH807" t="s">
        <v>53</v>
      </c>
    </row>
    <row r="808" spans="1:99" x14ac:dyDescent="0.2">
      <c r="A808" t="s">
        <v>180</v>
      </c>
      <c r="B808" t="s">
        <v>181</v>
      </c>
      <c r="C808" t="s">
        <v>184</v>
      </c>
      <c r="D808" t="s">
        <v>584</v>
      </c>
      <c r="F808" t="str">
        <f>"250458"</f>
        <v>250458</v>
      </c>
      <c r="G808" t="s">
        <v>49</v>
      </c>
      <c r="K808" t="s">
        <v>586</v>
      </c>
      <c r="L808" t="s">
        <v>52</v>
      </c>
      <c r="M808">
        <v>136168.22</v>
      </c>
      <c r="N808">
        <v>472742.78</v>
      </c>
      <c r="O808" t="s">
        <v>53</v>
      </c>
      <c r="P808" t="s">
        <v>54</v>
      </c>
      <c r="Q808" t="s">
        <v>55</v>
      </c>
      <c r="T808" t="s">
        <v>585</v>
      </c>
      <c r="U808">
        <v>40</v>
      </c>
      <c r="V808" s="1">
        <v>40544</v>
      </c>
      <c r="W808" s="1">
        <v>40544</v>
      </c>
      <c r="X808" s="1">
        <v>40544</v>
      </c>
      <c r="Y808" s="1">
        <v>55154</v>
      </c>
      <c r="Z808" t="s">
        <v>51</v>
      </c>
      <c r="AB808" t="s">
        <v>54</v>
      </c>
      <c r="AC808">
        <v>1</v>
      </c>
      <c r="AE808" t="s">
        <v>79</v>
      </c>
      <c r="AF808">
        <v>20</v>
      </c>
      <c r="AG808" s="1">
        <v>40544</v>
      </c>
      <c r="AH808" s="1">
        <v>40544</v>
      </c>
      <c r="AI808" s="1">
        <v>40544</v>
      </c>
      <c r="AJ808" s="1">
        <v>47849</v>
      </c>
      <c r="AK808" t="s">
        <v>51</v>
      </c>
      <c r="AN808">
        <v>0</v>
      </c>
      <c r="AO808" t="s">
        <v>54</v>
      </c>
      <c r="AP808" t="s">
        <v>53</v>
      </c>
      <c r="AQ808">
        <v>0</v>
      </c>
      <c r="AR808" t="s">
        <v>145</v>
      </c>
      <c r="AS808">
        <v>0</v>
      </c>
      <c r="AT808">
        <v>0</v>
      </c>
      <c r="CC808" t="s">
        <v>560</v>
      </c>
      <c r="CD808">
        <v>85000</v>
      </c>
      <c r="CE808" s="1">
        <v>43228</v>
      </c>
      <c r="CF808" s="1">
        <v>43228</v>
      </c>
      <c r="CG808" s="1">
        <v>43228</v>
      </c>
      <c r="CH808" s="1">
        <v>50419</v>
      </c>
      <c r="CI808" t="s">
        <v>51</v>
      </c>
      <c r="CK808" t="s">
        <v>78</v>
      </c>
      <c r="CM808" t="s">
        <v>54</v>
      </c>
      <c r="CN808" t="s">
        <v>174</v>
      </c>
      <c r="CO808" t="s">
        <v>86</v>
      </c>
      <c r="CR808">
        <v>36</v>
      </c>
      <c r="CS808">
        <v>0</v>
      </c>
      <c r="CT808">
        <v>0</v>
      </c>
      <c r="CU808">
        <v>0</v>
      </c>
    </row>
    <row r="809" spans="1:99" x14ac:dyDescent="0.2">
      <c r="A809" t="s">
        <v>180</v>
      </c>
      <c r="B809" t="s">
        <v>181</v>
      </c>
      <c r="C809" t="s">
        <v>184</v>
      </c>
      <c r="D809" t="s">
        <v>587</v>
      </c>
      <c r="F809" t="str">
        <f>"250459"</f>
        <v>250459</v>
      </c>
      <c r="G809" t="s">
        <v>49</v>
      </c>
      <c r="K809" t="s">
        <v>51</v>
      </c>
      <c r="L809" t="s">
        <v>52</v>
      </c>
      <c r="M809">
        <v>136350.94</v>
      </c>
      <c r="N809">
        <v>472968.25</v>
      </c>
      <c r="O809" t="s">
        <v>53</v>
      </c>
      <c r="P809" t="s">
        <v>54</v>
      </c>
      <c r="Q809" t="s">
        <v>55</v>
      </c>
      <c r="T809" t="s">
        <v>588</v>
      </c>
      <c r="U809">
        <v>40</v>
      </c>
      <c r="V809" s="1">
        <v>27395</v>
      </c>
      <c r="W809" s="1">
        <v>27395</v>
      </c>
      <c r="X809" s="1">
        <v>27395</v>
      </c>
      <c r="Y809" s="1">
        <v>42005</v>
      </c>
      <c r="Z809" t="s">
        <v>51</v>
      </c>
      <c r="AB809" t="s">
        <v>54</v>
      </c>
      <c r="AC809">
        <v>1</v>
      </c>
      <c r="AE809" t="s">
        <v>222</v>
      </c>
      <c r="AF809">
        <v>20</v>
      </c>
      <c r="AG809" s="1">
        <v>36342</v>
      </c>
      <c r="AH809" s="1">
        <v>36342</v>
      </c>
      <c r="AI809" s="1">
        <v>36342</v>
      </c>
      <c r="AJ809" s="1">
        <v>43647</v>
      </c>
      <c r="AK809" t="s">
        <v>51</v>
      </c>
      <c r="AN809">
        <v>0</v>
      </c>
      <c r="AO809" t="s">
        <v>54</v>
      </c>
      <c r="AP809" t="s">
        <v>53</v>
      </c>
      <c r="AQ809">
        <v>0</v>
      </c>
      <c r="AR809" t="s">
        <v>53</v>
      </c>
      <c r="AS809">
        <v>0</v>
      </c>
      <c r="AT809">
        <v>0</v>
      </c>
      <c r="CC809" t="s">
        <v>432</v>
      </c>
      <c r="CD809">
        <v>85000</v>
      </c>
      <c r="CE809" s="1">
        <v>43234</v>
      </c>
      <c r="CF809" s="1">
        <v>43234</v>
      </c>
      <c r="CG809" s="1">
        <v>43234</v>
      </c>
      <c r="CH809" s="1">
        <v>50422</v>
      </c>
      <c r="CI809" t="s">
        <v>51</v>
      </c>
      <c r="CK809" t="s">
        <v>78</v>
      </c>
      <c r="CM809" t="s">
        <v>54</v>
      </c>
      <c r="CN809" t="s">
        <v>174</v>
      </c>
      <c r="CO809" t="s">
        <v>86</v>
      </c>
      <c r="CR809">
        <v>24</v>
      </c>
      <c r="CS809">
        <v>0</v>
      </c>
      <c r="CT809">
        <v>0</v>
      </c>
      <c r="CU809">
        <v>0</v>
      </c>
    </row>
    <row r="810" spans="1:99" x14ac:dyDescent="0.2">
      <c r="A810" t="s">
        <v>180</v>
      </c>
      <c r="B810" t="s">
        <v>181</v>
      </c>
      <c r="C810" t="s">
        <v>184</v>
      </c>
      <c r="D810" t="s">
        <v>587</v>
      </c>
      <c r="F810" t="str">
        <f>"250460"</f>
        <v>250460</v>
      </c>
      <c r="G810" t="s">
        <v>49</v>
      </c>
      <c r="K810" t="s">
        <v>51</v>
      </c>
      <c r="L810" t="s">
        <v>52</v>
      </c>
      <c r="M810">
        <v>136369.84</v>
      </c>
      <c r="N810">
        <v>472963.74</v>
      </c>
      <c r="O810" t="s">
        <v>53</v>
      </c>
      <c r="P810" t="s">
        <v>54</v>
      </c>
      <c r="Q810" t="s">
        <v>55</v>
      </c>
      <c r="T810" t="s">
        <v>588</v>
      </c>
      <c r="U810">
        <v>40</v>
      </c>
      <c r="V810" s="1">
        <v>27395</v>
      </c>
      <c r="W810" s="1">
        <v>27395</v>
      </c>
      <c r="X810" s="1">
        <v>27395</v>
      </c>
      <c r="Y810" s="1">
        <v>42005</v>
      </c>
      <c r="Z810" t="s">
        <v>51</v>
      </c>
      <c r="AB810" t="s">
        <v>54</v>
      </c>
      <c r="AC810">
        <v>1</v>
      </c>
      <c r="AE810" t="s">
        <v>222</v>
      </c>
      <c r="AF810">
        <v>20</v>
      </c>
      <c r="AG810" s="1">
        <v>36342</v>
      </c>
      <c r="AH810" s="1">
        <v>36342</v>
      </c>
      <c r="AI810" s="1">
        <v>36342</v>
      </c>
      <c r="AJ810" s="1">
        <v>43647</v>
      </c>
      <c r="AK810" t="s">
        <v>51</v>
      </c>
      <c r="AN810">
        <v>0</v>
      </c>
      <c r="AO810" t="s">
        <v>54</v>
      </c>
      <c r="AP810" t="s">
        <v>53</v>
      </c>
      <c r="AQ810">
        <v>0</v>
      </c>
      <c r="AR810" t="s">
        <v>53</v>
      </c>
      <c r="AS810">
        <v>0</v>
      </c>
      <c r="AT810">
        <v>0</v>
      </c>
      <c r="CC810" t="s">
        <v>432</v>
      </c>
      <c r="CD810">
        <v>85000</v>
      </c>
      <c r="CE810" s="1">
        <v>42552</v>
      </c>
      <c r="CF810" s="1">
        <v>42552</v>
      </c>
      <c r="CG810" s="1">
        <v>42552</v>
      </c>
      <c r="CH810" s="1">
        <v>49714</v>
      </c>
      <c r="CI810" t="s">
        <v>51</v>
      </c>
      <c r="CK810" t="s">
        <v>78</v>
      </c>
      <c r="CM810" t="s">
        <v>54</v>
      </c>
      <c r="CN810" t="s">
        <v>174</v>
      </c>
      <c r="CO810" t="s">
        <v>86</v>
      </c>
      <c r="CR810">
        <v>24</v>
      </c>
      <c r="CS810">
        <v>0</v>
      </c>
      <c r="CT810">
        <v>0</v>
      </c>
      <c r="CU810">
        <v>0</v>
      </c>
    </row>
    <row r="811" spans="1:99" x14ac:dyDescent="0.2">
      <c r="A811" t="s">
        <v>180</v>
      </c>
      <c r="B811" t="s">
        <v>181</v>
      </c>
      <c r="C811" t="s">
        <v>184</v>
      </c>
      <c r="D811" t="s">
        <v>587</v>
      </c>
      <c r="F811" t="str">
        <f>"250462"</f>
        <v>250462</v>
      </c>
      <c r="G811" t="s">
        <v>49</v>
      </c>
      <c r="H811" t="s">
        <v>260</v>
      </c>
      <c r="K811" t="s">
        <v>51</v>
      </c>
      <c r="L811" t="s">
        <v>52</v>
      </c>
      <c r="M811">
        <v>136411.01999999999</v>
      </c>
      <c r="N811">
        <v>472963.13</v>
      </c>
      <c r="O811" t="s">
        <v>53</v>
      </c>
      <c r="P811" t="s">
        <v>54</v>
      </c>
      <c r="Q811" t="s">
        <v>55</v>
      </c>
      <c r="T811" t="s">
        <v>588</v>
      </c>
      <c r="U811">
        <v>40</v>
      </c>
      <c r="V811" s="1">
        <v>27395</v>
      </c>
      <c r="W811" s="1">
        <v>27395</v>
      </c>
      <c r="X811" s="1">
        <v>27395</v>
      </c>
      <c r="Y811" s="1">
        <v>42005</v>
      </c>
      <c r="Z811" t="s">
        <v>51</v>
      </c>
      <c r="AB811" t="s">
        <v>54</v>
      </c>
      <c r="AC811">
        <v>1</v>
      </c>
      <c r="AE811" t="s">
        <v>222</v>
      </c>
      <c r="AF811">
        <v>20</v>
      </c>
      <c r="AG811" s="1">
        <v>36342</v>
      </c>
      <c r="AH811" s="1">
        <v>36342</v>
      </c>
      <c r="AI811" s="1">
        <v>36342</v>
      </c>
      <c r="AJ811" s="1">
        <v>43647</v>
      </c>
      <c r="AK811" t="s">
        <v>51</v>
      </c>
      <c r="AN811">
        <v>0</v>
      </c>
      <c r="AO811" t="s">
        <v>54</v>
      </c>
      <c r="AP811" t="s">
        <v>53</v>
      </c>
      <c r="AQ811">
        <v>0</v>
      </c>
      <c r="AR811" t="s">
        <v>53</v>
      </c>
      <c r="AS811">
        <v>0</v>
      </c>
      <c r="AT811">
        <v>0</v>
      </c>
      <c r="CC811" t="s">
        <v>432</v>
      </c>
      <c r="CD811">
        <v>85000</v>
      </c>
      <c r="CE811" s="1">
        <v>43913</v>
      </c>
      <c r="CF811" s="1">
        <v>43913</v>
      </c>
      <c r="CG811" s="1">
        <v>43913</v>
      </c>
      <c r="CH811" s="1">
        <v>51121</v>
      </c>
      <c r="CI811" t="s">
        <v>51</v>
      </c>
      <c r="CK811" t="s">
        <v>78</v>
      </c>
      <c r="CM811" t="s">
        <v>54</v>
      </c>
      <c r="CN811" t="s">
        <v>174</v>
      </c>
      <c r="CO811" t="s">
        <v>86</v>
      </c>
      <c r="CR811">
        <v>24</v>
      </c>
      <c r="CS811">
        <v>0</v>
      </c>
      <c r="CT811">
        <v>0</v>
      </c>
      <c r="CU811">
        <v>0</v>
      </c>
    </row>
    <row r="812" spans="1:99" x14ac:dyDescent="0.2">
      <c r="A812" t="s">
        <v>180</v>
      </c>
      <c r="B812" t="s">
        <v>181</v>
      </c>
      <c r="C812" t="s">
        <v>184</v>
      </c>
      <c r="D812" t="s">
        <v>587</v>
      </c>
      <c r="F812" t="str">
        <f>"250463"</f>
        <v>250463</v>
      </c>
      <c r="G812" t="s">
        <v>49</v>
      </c>
      <c r="H812" t="s">
        <v>589</v>
      </c>
      <c r="K812" t="s">
        <v>51</v>
      </c>
      <c r="L812" t="s">
        <v>52</v>
      </c>
      <c r="M812">
        <v>136428.89000000001</v>
      </c>
      <c r="N812">
        <v>472955.66</v>
      </c>
      <c r="O812" t="s">
        <v>53</v>
      </c>
      <c r="P812" t="s">
        <v>54</v>
      </c>
      <c r="Q812" t="s">
        <v>55</v>
      </c>
      <c r="T812" t="s">
        <v>588</v>
      </c>
      <c r="U812">
        <v>40</v>
      </c>
      <c r="V812" s="1">
        <v>27395</v>
      </c>
      <c r="W812" s="1">
        <v>27395</v>
      </c>
      <c r="X812" s="1">
        <v>27395</v>
      </c>
      <c r="Y812" s="1">
        <v>42005</v>
      </c>
      <c r="Z812" t="s">
        <v>51</v>
      </c>
      <c r="AB812" t="s">
        <v>54</v>
      </c>
      <c r="AC812">
        <v>1</v>
      </c>
      <c r="AE812" t="s">
        <v>222</v>
      </c>
      <c r="AF812">
        <v>20</v>
      </c>
      <c r="AG812" s="1">
        <v>36342</v>
      </c>
      <c r="AH812" s="1">
        <v>36342</v>
      </c>
      <c r="AI812" s="1">
        <v>36342</v>
      </c>
      <c r="AJ812" s="1">
        <v>43647</v>
      </c>
      <c r="AK812" t="s">
        <v>51</v>
      </c>
      <c r="AN812">
        <v>0</v>
      </c>
      <c r="AO812" t="s">
        <v>54</v>
      </c>
      <c r="AP812" t="s">
        <v>53</v>
      </c>
      <c r="AQ812">
        <v>0</v>
      </c>
      <c r="AR812" t="s">
        <v>53</v>
      </c>
      <c r="AS812">
        <v>0</v>
      </c>
      <c r="AT812">
        <v>0</v>
      </c>
      <c r="CC812" t="s">
        <v>432</v>
      </c>
      <c r="CD812">
        <v>85000</v>
      </c>
      <c r="CE812" s="1">
        <v>42552</v>
      </c>
      <c r="CF812" s="1">
        <v>42552</v>
      </c>
      <c r="CG812" s="1">
        <v>42552</v>
      </c>
      <c r="CH812" s="1">
        <v>49714</v>
      </c>
      <c r="CI812" t="s">
        <v>51</v>
      </c>
      <c r="CK812" t="s">
        <v>78</v>
      </c>
      <c r="CM812" t="s">
        <v>54</v>
      </c>
      <c r="CN812" t="s">
        <v>174</v>
      </c>
      <c r="CO812" t="s">
        <v>86</v>
      </c>
      <c r="CR812">
        <v>24</v>
      </c>
      <c r="CS812">
        <v>0</v>
      </c>
      <c r="CT812">
        <v>0</v>
      </c>
      <c r="CU812">
        <v>0</v>
      </c>
    </row>
    <row r="813" spans="1:99" x14ac:dyDescent="0.2">
      <c r="A813" t="s">
        <v>180</v>
      </c>
      <c r="B813" t="s">
        <v>181</v>
      </c>
      <c r="C813" t="s">
        <v>184</v>
      </c>
      <c r="D813" t="s">
        <v>587</v>
      </c>
      <c r="F813" t="str">
        <f>"250464"</f>
        <v>250464</v>
      </c>
      <c r="G813" t="s">
        <v>49</v>
      </c>
      <c r="H813" t="s">
        <v>97</v>
      </c>
      <c r="K813" t="s">
        <v>51</v>
      </c>
      <c r="L813" t="s">
        <v>52</v>
      </c>
      <c r="M813">
        <v>136450.29999999999</v>
      </c>
      <c r="N813">
        <v>472947.26</v>
      </c>
      <c r="O813" t="s">
        <v>53</v>
      </c>
      <c r="P813" t="s">
        <v>54</v>
      </c>
      <c r="Q813" t="s">
        <v>55</v>
      </c>
      <c r="T813" t="s">
        <v>588</v>
      </c>
      <c r="U813">
        <v>40</v>
      </c>
      <c r="V813" s="1">
        <v>27395</v>
      </c>
      <c r="W813" s="1">
        <v>27395</v>
      </c>
      <c r="X813" s="1">
        <v>27395</v>
      </c>
      <c r="Y813" s="1">
        <v>42005</v>
      </c>
      <c r="Z813" t="s">
        <v>51</v>
      </c>
      <c r="AB813" t="s">
        <v>54</v>
      </c>
      <c r="AC813">
        <v>1</v>
      </c>
      <c r="AE813" t="s">
        <v>222</v>
      </c>
      <c r="AF813">
        <v>20</v>
      </c>
      <c r="AG813" s="1">
        <v>36342</v>
      </c>
      <c r="AH813" s="1">
        <v>36342</v>
      </c>
      <c r="AI813" s="1">
        <v>36342</v>
      </c>
      <c r="AJ813" s="1">
        <v>43647</v>
      </c>
      <c r="AK813" t="s">
        <v>51</v>
      </c>
      <c r="AN813">
        <v>0</v>
      </c>
      <c r="AO813" t="s">
        <v>54</v>
      </c>
      <c r="AP813" t="s">
        <v>53</v>
      </c>
      <c r="AQ813">
        <v>0</v>
      </c>
      <c r="AR813" t="s">
        <v>53</v>
      </c>
      <c r="AS813">
        <v>0</v>
      </c>
      <c r="AT813">
        <v>0</v>
      </c>
      <c r="CC813" t="s">
        <v>432</v>
      </c>
      <c r="CD813">
        <v>85000</v>
      </c>
      <c r="CE813" s="1">
        <v>42552</v>
      </c>
      <c r="CF813" s="1">
        <v>42552</v>
      </c>
      <c r="CG813" s="1">
        <v>42552</v>
      </c>
      <c r="CH813" s="1">
        <v>49714</v>
      </c>
      <c r="CI813" t="s">
        <v>51</v>
      </c>
      <c r="CK813" t="s">
        <v>78</v>
      </c>
      <c r="CM813" t="s">
        <v>54</v>
      </c>
      <c r="CN813" t="s">
        <v>174</v>
      </c>
      <c r="CO813" t="s">
        <v>86</v>
      </c>
      <c r="CR813">
        <v>24</v>
      </c>
      <c r="CS813">
        <v>0</v>
      </c>
      <c r="CT813">
        <v>0</v>
      </c>
      <c r="CU813">
        <v>0</v>
      </c>
    </row>
    <row r="814" spans="1:99" x14ac:dyDescent="0.2">
      <c r="A814" t="s">
        <v>180</v>
      </c>
      <c r="B814" t="s">
        <v>181</v>
      </c>
      <c r="C814" t="s">
        <v>184</v>
      </c>
      <c r="D814" t="s">
        <v>590</v>
      </c>
      <c r="F814" t="str">
        <f>"250465"</f>
        <v>250465</v>
      </c>
      <c r="G814" t="s">
        <v>49</v>
      </c>
      <c r="K814" t="s">
        <v>51</v>
      </c>
      <c r="L814" t="s">
        <v>52</v>
      </c>
      <c r="M814">
        <v>136699.32999999999</v>
      </c>
      <c r="N814">
        <v>472083.09</v>
      </c>
      <c r="O814" t="s">
        <v>53</v>
      </c>
      <c r="P814" t="s">
        <v>54</v>
      </c>
      <c r="Q814" t="s">
        <v>55</v>
      </c>
      <c r="T814" t="s">
        <v>588</v>
      </c>
      <c r="U814">
        <v>40</v>
      </c>
      <c r="V814" s="1">
        <v>27395</v>
      </c>
      <c r="W814" s="1">
        <v>27395</v>
      </c>
      <c r="X814" s="1">
        <v>27395</v>
      </c>
      <c r="Y814" s="1">
        <v>42005</v>
      </c>
      <c r="Z814" t="s">
        <v>51</v>
      </c>
      <c r="AB814" t="s">
        <v>54</v>
      </c>
      <c r="AC814">
        <v>1</v>
      </c>
      <c r="AE814" t="s">
        <v>222</v>
      </c>
      <c r="AF814">
        <v>20</v>
      </c>
      <c r="AG814" s="1">
        <v>36342</v>
      </c>
      <c r="AH814" s="1">
        <v>36342</v>
      </c>
      <c r="AI814" s="1">
        <v>36342</v>
      </c>
      <c r="AJ814" s="1">
        <v>43647</v>
      </c>
      <c r="AK814" t="s">
        <v>51</v>
      </c>
      <c r="AN814">
        <v>0</v>
      </c>
      <c r="AO814" t="s">
        <v>54</v>
      </c>
      <c r="AP814" t="s">
        <v>53</v>
      </c>
      <c r="AQ814">
        <v>0</v>
      </c>
      <c r="AR814" t="s">
        <v>53</v>
      </c>
      <c r="AS814">
        <v>0</v>
      </c>
      <c r="AT814">
        <v>0</v>
      </c>
      <c r="AW814" t="s">
        <v>58</v>
      </c>
      <c r="AX814">
        <v>20</v>
      </c>
      <c r="AY814" s="1">
        <v>36342</v>
      </c>
      <c r="AZ814" s="1">
        <v>36342</v>
      </c>
      <c r="BA814" s="1">
        <v>36342</v>
      </c>
      <c r="BB814" s="1">
        <v>43647</v>
      </c>
      <c r="BC814" t="s">
        <v>51</v>
      </c>
      <c r="BE814" t="s">
        <v>54</v>
      </c>
      <c r="BF814">
        <v>2</v>
      </c>
      <c r="BG814">
        <v>0</v>
      </c>
      <c r="BH814" t="s">
        <v>53</v>
      </c>
      <c r="BK814" t="s">
        <v>59</v>
      </c>
      <c r="BL814">
        <v>14000</v>
      </c>
      <c r="BM814" s="1">
        <v>42917</v>
      </c>
      <c r="BN814" s="1">
        <v>42917</v>
      </c>
      <c r="BO814" s="1">
        <v>42917</v>
      </c>
      <c r="BP814" s="1">
        <v>44117</v>
      </c>
      <c r="BQ814" t="s">
        <v>51</v>
      </c>
      <c r="BS814" t="s">
        <v>60</v>
      </c>
      <c r="BT814" t="s">
        <v>54</v>
      </c>
      <c r="BU814" t="s">
        <v>61</v>
      </c>
      <c r="BV814" t="s">
        <v>62</v>
      </c>
      <c r="BX814">
        <v>24</v>
      </c>
      <c r="BY814">
        <v>0</v>
      </c>
      <c r="BZ814">
        <v>0</v>
      </c>
    </row>
    <row r="815" spans="1:99" x14ac:dyDescent="0.2">
      <c r="A815" t="s">
        <v>180</v>
      </c>
      <c r="B815" t="s">
        <v>181</v>
      </c>
      <c r="C815" t="s">
        <v>184</v>
      </c>
      <c r="D815" t="s">
        <v>587</v>
      </c>
      <c r="F815" t="str">
        <f>"250466"</f>
        <v>250466</v>
      </c>
      <c r="G815" t="s">
        <v>49</v>
      </c>
      <c r="H815" t="s">
        <v>574</v>
      </c>
      <c r="K815" t="s">
        <v>51</v>
      </c>
      <c r="L815" t="s">
        <v>52</v>
      </c>
      <c r="M815">
        <v>136380.04</v>
      </c>
      <c r="N815">
        <v>472977.27</v>
      </c>
      <c r="O815" t="s">
        <v>53</v>
      </c>
      <c r="P815" t="s">
        <v>54</v>
      </c>
      <c r="Q815" t="s">
        <v>55</v>
      </c>
      <c r="T815" t="s">
        <v>588</v>
      </c>
      <c r="U815">
        <v>40</v>
      </c>
      <c r="V815" s="1">
        <v>27395</v>
      </c>
      <c r="W815" s="1">
        <v>27395</v>
      </c>
      <c r="X815" s="1">
        <v>27395</v>
      </c>
      <c r="Y815" s="1">
        <v>42005</v>
      </c>
      <c r="Z815" t="s">
        <v>51</v>
      </c>
      <c r="AB815" t="s">
        <v>54</v>
      </c>
      <c r="AC815">
        <v>1</v>
      </c>
      <c r="AE815" t="s">
        <v>222</v>
      </c>
      <c r="AF815">
        <v>20</v>
      </c>
      <c r="AG815" s="1">
        <v>36342</v>
      </c>
      <c r="AH815" s="1">
        <v>36342</v>
      </c>
      <c r="AI815" s="1">
        <v>36342</v>
      </c>
      <c r="AJ815" s="1">
        <v>43647</v>
      </c>
      <c r="AK815" t="s">
        <v>51</v>
      </c>
      <c r="AN815">
        <v>0</v>
      </c>
      <c r="AO815" t="s">
        <v>54</v>
      </c>
      <c r="AP815" t="s">
        <v>53</v>
      </c>
      <c r="AQ815">
        <v>0</v>
      </c>
      <c r="AR815" t="s">
        <v>53</v>
      </c>
      <c r="AS815">
        <v>0</v>
      </c>
      <c r="AT815">
        <v>0</v>
      </c>
      <c r="CC815" t="s">
        <v>432</v>
      </c>
      <c r="CD815">
        <v>85000</v>
      </c>
      <c r="CE815" s="1">
        <v>43172</v>
      </c>
      <c r="CF815" s="1">
        <v>43172</v>
      </c>
      <c r="CG815" s="1">
        <v>43172</v>
      </c>
      <c r="CH815" s="1">
        <v>50384</v>
      </c>
      <c r="CI815" t="s">
        <v>51</v>
      </c>
      <c r="CK815" t="s">
        <v>78</v>
      </c>
      <c r="CM815" t="s">
        <v>54</v>
      </c>
      <c r="CN815" t="s">
        <v>174</v>
      </c>
      <c r="CO815" t="s">
        <v>86</v>
      </c>
      <c r="CR815">
        <v>24</v>
      </c>
      <c r="CS815">
        <v>0</v>
      </c>
      <c r="CT815">
        <v>0</v>
      </c>
      <c r="CU815">
        <v>0</v>
      </c>
    </row>
    <row r="816" spans="1:99" x14ac:dyDescent="0.2">
      <c r="A816" t="s">
        <v>180</v>
      </c>
      <c r="B816" t="s">
        <v>181</v>
      </c>
      <c r="C816" t="s">
        <v>184</v>
      </c>
      <c r="D816" t="s">
        <v>587</v>
      </c>
      <c r="F816" t="str">
        <f>"250467"</f>
        <v>250467</v>
      </c>
      <c r="G816" t="s">
        <v>49</v>
      </c>
      <c r="H816" t="s">
        <v>233</v>
      </c>
      <c r="K816" t="s">
        <v>51</v>
      </c>
      <c r="L816" t="s">
        <v>52</v>
      </c>
      <c r="M816">
        <v>136361.37</v>
      </c>
      <c r="N816">
        <v>472985.42</v>
      </c>
      <c r="O816" t="s">
        <v>53</v>
      </c>
      <c r="P816" t="s">
        <v>54</v>
      </c>
      <c r="Q816" t="s">
        <v>55</v>
      </c>
      <c r="T816" t="s">
        <v>588</v>
      </c>
      <c r="U816">
        <v>40</v>
      </c>
      <c r="V816" s="1">
        <v>27395</v>
      </c>
      <c r="W816" s="1">
        <v>27395</v>
      </c>
      <c r="X816" s="1">
        <v>27395</v>
      </c>
      <c r="Y816" s="1">
        <v>42005</v>
      </c>
      <c r="Z816" t="s">
        <v>51</v>
      </c>
      <c r="AB816" t="s">
        <v>54</v>
      </c>
      <c r="AC816">
        <v>1</v>
      </c>
      <c r="AE816" t="s">
        <v>222</v>
      </c>
      <c r="AF816">
        <v>20</v>
      </c>
      <c r="AG816" s="1">
        <v>36342</v>
      </c>
      <c r="AH816" s="1">
        <v>36342</v>
      </c>
      <c r="AI816" s="1">
        <v>36342</v>
      </c>
      <c r="AJ816" s="1">
        <v>43647</v>
      </c>
      <c r="AK816" t="s">
        <v>51</v>
      </c>
      <c r="AN816">
        <v>0</v>
      </c>
      <c r="AO816" t="s">
        <v>54</v>
      </c>
      <c r="AP816" t="s">
        <v>53</v>
      </c>
      <c r="AQ816">
        <v>0</v>
      </c>
      <c r="AR816" t="s">
        <v>53</v>
      </c>
      <c r="AS816">
        <v>0</v>
      </c>
      <c r="AT816">
        <v>0</v>
      </c>
      <c r="CC816" t="s">
        <v>432</v>
      </c>
      <c r="CD816">
        <v>85000</v>
      </c>
      <c r="CE816" s="1">
        <v>42552</v>
      </c>
      <c r="CF816" s="1">
        <v>42552</v>
      </c>
      <c r="CG816" s="1">
        <v>42552</v>
      </c>
      <c r="CH816" s="1">
        <v>49714</v>
      </c>
      <c r="CI816" t="s">
        <v>51</v>
      </c>
      <c r="CK816" t="s">
        <v>78</v>
      </c>
      <c r="CM816" t="s">
        <v>54</v>
      </c>
      <c r="CN816" t="s">
        <v>174</v>
      </c>
      <c r="CO816" t="s">
        <v>86</v>
      </c>
      <c r="CR816">
        <v>24</v>
      </c>
      <c r="CS816">
        <v>0</v>
      </c>
      <c r="CT816">
        <v>0</v>
      </c>
      <c r="CU816">
        <v>0</v>
      </c>
    </row>
    <row r="817" spans="1:99" x14ac:dyDescent="0.2">
      <c r="A817" t="s">
        <v>180</v>
      </c>
      <c r="B817" t="s">
        <v>181</v>
      </c>
      <c r="C817" t="s">
        <v>184</v>
      </c>
      <c r="D817" t="s">
        <v>587</v>
      </c>
      <c r="F817" t="str">
        <f>"250468"</f>
        <v>250468</v>
      </c>
      <c r="G817" t="s">
        <v>49</v>
      </c>
      <c r="H817" t="s">
        <v>591</v>
      </c>
      <c r="K817" t="s">
        <v>51</v>
      </c>
      <c r="L817" t="s">
        <v>52</v>
      </c>
      <c r="M817">
        <v>136468.20000000001</v>
      </c>
      <c r="N817">
        <v>472939.38</v>
      </c>
      <c r="O817" t="s">
        <v>53</v>
      </c>
      <c r="P817" t="s">
        <v>54</v>
      </c>
      <c r="Q817" t="s">
        <v>55</v>
      </c>
      <c r="T817" t="s">
        <v>588</v>
      </c>
      <c r="U817">
        <v>40</v>
      </c>
      <c r="V817" s="1">
        <v>27395</v>
      </c>
      <c r="W817" s="1">
        <v>27395</v>
      </c>
      <c r="X817" s="1">
        <v>27395</v>
      </c>
      <c r="Y817" s="1">
        <v>42005</v>
      </c>
      <c r="Z817" t="s">
        <v>51</v>
      </c>
      <c r="AB817" t="s">
        <v>54</v>
      </c>
      <c r="AC817">
        <v>1</v>
      </c>
      <c r="AE817" t="s">
        <v>222</v>
      </c>
      <c r="AF817">
        <v>20</v>
      </c>
      <c r="AG817" s="1">
        <v>36342</v>
      </c>
      <c r="AH817" s="1">
        <v>36342</v>
      </c>
      <c r="AI817" s="1">
        <v>36342</v>
      </c>
      <c r="AJ817" s="1">
        <v>43647</v>
      </c>
      <c r="AK817" t="s">
        <v>51</v>
      </c>
      <c r="AN817">
        <v>0</v>
      </c>
      <c r="AO817" t="s">
        <v>54</v>
      </c>
      <c r="AP817" t="s">
        <v>53</v>
      </c>
      <c r="AQ817">
        <v>0</v>
      </c>
      <c r="AR817" t="s">
        <v>53</v>
      </c>
      <c r="AS817">
        <v>0</v>
      </c>
      <c r="AT817">
        <v>0</v>
      </c>
      <c r="CC817" t="s">
        <v>432</v>
      </c>
      <c r="CD817">
        <v>85000</v>
      </c>
      <c r="CE817" s="1">
        <v>42552</v>
      </c>
      <c r="CF817" s="1">
        <v>42552</v>
      </c>
      <c r="CG817" s="1">
        <v>42552</v>
      </c>
      <c r="CH817" s="1">
        <v>49714</v>
      </c>
      <c r="CI817" t="s">
        <v>51</v>
      </c>
      <c r="CK817" t="s">
        <v>78</v>
      </c>
      <c r="CM817" t="s">
        <v>54</v>
      </c>
      <c r="CN817" t="s">
        <v>174</v>
      </c>
      <c r="CO817" t="s">
        <v>86</v>
      </c>
      <c r="CR817">
        <v>24</v>
      </c>
      <c r="CS817">
        <v>0</v>
      </c>
      <c r="CT817">
        <v>0</v>
      </c>
      <c r="CU817">
        <v>0</v>
      </c>
    </row>
    <row r="818" spans="1:99" x14ac:dyDescent="0.2">
      <c r="A818" t="s">
        <v>180</v>
      </c>
      <c r="B818" t="s">
        <v>181</v>
      </c>
      <c r="C818" t="s">
        <v>184</v>
      </c>
      <c r="D818" t="s">
        <v>587</v>
      </c>
      <c r="F818" t="str">
        <f>"250469"</f>
        <v>250469</v>
      </c>
      <c r="G818" t="s">
        <v>49</v>
      </c>
      <c r="H818" t="s">
        <v>337</v>
      </c>
      <c r="K818" t="s">
        <v>51</v>
      </c>
      <c r="L818" t="s">
        <v>52</v>
      </c>
      <c r="M818">
        <v>136406.23000000001</v>
      </c>
      <c r="N818">
        <v>472927.34</v>
      </c>
      <c r="O818" t="s">
        <v>53</v>
      </c>
      <c r="P818" t="s">
        <v>54</v>
      </c>
      <c r="Q818" t="s">
        <v>55</v>
      </c>
      <c r="T818" t="s">
        <v>588</v>
      </c>
      <c r="U818">
        <v>40</v>
      </c>
      <c r="V818" s="1">
        <v>27395</v>
      </c>
      <c r="W818" s="1">
        <v>27395</v>
      </c>
      <c r="X818" s="1">
        <v>27395</v>
      </c>
      <c r="Y818" s="1">
        <v>42005</v>
      </c>
      <c r="Z818" t="s">
        <v>51</v>
      </c>
      <c r="AB818" t="s">
        <v>54</v>
      </c>
      <c r="AC818">
        <v>1</v>
      </c>
      <c r="AE818" t="s">
        <v>222</v>
      </c>
      <c r="AF818">
        <v>20</v>
      </c>
      <c r="AG818" s="1">
        <v>36342</v>
      </c>
      <c r="AH818" s="1">
        <v>36342</v>
      </c>
      <c r="AI818" s="1">
        <v>36342</v>
      </c>
      <c r="AJ818" s="1">
        <v>43647</v>
      </c>
      <c r="AK818" t="s">
        <v>51</v>
      </c>
      <c r="AN818">
        <v>0</v>
      </c>
      <c r="AO818" t="s">
        <v>54</v>
      </c>
      <c r="AP818" t="s">
        <v>53</v>
      </c>
      <c r="AQ818">
        <v>0</v>
      </c>
      <c r="AR818" t="s">
        <v>53</v>
      </c>
      <c r="AS818">
        <v>0</v>
      </c>
      <c r="AT818">
        <v>0</v>
      </c>
      <c r="CC818" t="s">
        <v>432</v>
      </c>
      <c r="CD818">
        <v>85000</v>
      </c>
      <c r="CE818" s="1">
        <v>42552</v>
      </c>
      <c r="CF818" s="1">
        <v>42552</v>
      </c>
      <c r="CG818" s="1">
        <v>42552</v>
      </c>
      <c r="CH818" s="1">
        <v>49714</v>
      </c>
      <c r="CI818" t="s">
        <v>51</v>
      </c>
      <c r="CK818" t="s">
        <v>78</v>
      </c>
      <c r="CM818" t="s">
        <v>54</v>
      </c>
      <c r="CN818" t="s">
        <v>174</v>
      </c>
      <c r="CO818" t="s">
        <v>86</v>
      </c>
      <c r="CR818">
        <v>24</v>
      </c>
      <c r="CS818">
        <v>0</v>
      </c>
      <c r="CT818">
        <v>0</v>
      </c>
      <c r="CU818">
        <v>0</v>
      </c>
    </row>
    <row r="819" spans="1:99" x14ac:dyDescent="0.2">
      <c r="A819" t="s">
        <v>180</v>
      </c>
      <c r="B819" t="s">
        <v>181</v>
      </c>
      <c r="C819" t="s">
        <v>184</v>
      </c>
      <c r="D819" t="s">
        <v>587</v>
      </c>
      <c r="F819" t="str">
        <f>"250470"</f>
        <v>250470</v>
      </c>
      <c r="G819" t="s">
        <v>49</v>
      </c>
      <c r="K819" t="s">
        <v>51</v>
      </c>
      <c r="L819" t="s">
        <v>52</v>
      </c>
      <c r="M819">
        <v>136357.04</v>
      </c>
      <c r="N819">
        <v>472910.08000000002</v>
      </c>
      <c r="O819" t="s">
        <v>53</v>
      </c>
      <c r="P819" t="s">
        <v>54</v>
      </c>
      <c r="Q819" t="s">
        <v>55</v>
      </c>
      <c r="T819" t="s">
        <v>588</v>
      </c>
      <c r="U819">
        <v>40</v>
      </c>
      <c r="V819" s="1">
        <v>27395</v>
      </c>
      <c r="W819" s="1">
        <v>27395</v>
      </c>
      <c r="X819" s="1">
        <v>27395</v>
      </c>
      <c r="Y819" s="1">
        <v>42005</v>
      </c>
      <c r="Z819" t="s">
        <v>51</v>
      </c>
      <c r="AB819" t="s">
        <v>54</v>
      </c>
      <c r="AC819">
        <v>1</v>
      </c>
      <c r="AE819" t="s">
        <v>222</v>
      </c>
      <c r="AF819">
        <v>20</v>
      </c>
      <c r="AG819" s="1">
        <v>36342</v>
      </c>
      <c r="AH819" s="1">
        <v>36342</v>
      </c>
      <c r="AI819" s="1">
        <v>36342</v>
      </c>
      <c r="AJ819" s="1">
        <v>43647</v>
      </c>
      <c r="AK819" t="s">
        <v>51</v>
      </c>
      <c r="AN819">
        <v>0</v>
      </c>
      <c r="AO819" t="s">
        <v>54</v>
      </c>
      <c r="AP819" t="s">
        <v>53</v>
      </c>
      <c r="AQ819">
        <v>0</v>
      </c>
      <c r="AR819" t="s">
        <v>53</v>
      </c>
      <c r="AS819">
        <v>0</v>
      </c>
      <c r="AT819">
        <v>0</v>
      </c>
      <c r="CC819" t="s">
        <v>432</v>
      </c>
      <c r="CD819">
        <v>85000</v>
      </c>
      <c r="CE819" s="1">
        <v>42552</v>
      </c>
      <c r="CF819" s="1">
        <v>42552</v>
      </c>
      <c r="CG819" s="1">
        <v>42552</v>
      </c>
      <c r="CH819" s="1">
        <v>49714</v>
      </c>
      <c r="CI819" t="s">
        <v>51</v>
      </c>
      <c r="CK819" t="s">
        <v>78</v>
      </c>
      <c r="CM819" t="s">
        <v>54</v>
      </c>
      <c r="CN819" t="s">
        <v>174</v>
      </c>
      <c r="CO819" t="s">
        <v>86</v>
      </c>
      <c r="CR819">
        <v>24</v>
      </c>
      <c r="CS819">
        <v>0</v>
      </c>
      <c r="CT819">
        <v>0</v>
      </c>
      <c r="CU819">
        <v>0</v>
      </c>
    </row>
    <row r="820" spans="1:99" x14ac:dyDescent="0.2">
      <c r="A820" t="s">
        <v>180</v>
      </c>
      <c r="B820" t="s">
        <v>181</v>
      </c>
      <c r="C820" t="s">
        <v>184</v>
      </c>
      <c r="D820" t="s">
        <v>587</v>
      </c>
      <c r="F820" t="str">
        <f>"250471"</f>
        <v>250471</v>
      </c>
      <c r="G820" t="s">
        <v>49</v>
      </c>
      <c r="K820" t="s">
        <v>51</v>
      </c>
      <c r="L820" t="s">
        <v>52</v>
      </c>
      <c r="M820">
        <v>136360.84</v>
      </c>
      <c r="N820">
        <v>472936.53</v>
      </c>
      <c r="O820" t="s">
        <v>53</v>
      </c>
      <c r="P820" t="s">
        <v>54</v>
      </c>
      <c r="Q820" t="s">
        <v>55</v>
      </c>
      <c r="T820" t="s">
        <v>588</v>
      </c>
      <c r="U820">
        <v>40</v>
      </c>
      <c r="V820" s="1">
        <v>27395</v>
      </c>
      <c r="W820" s="1">
        <v>27395</v>
      </c>
      <c r="X820" s="1">
        <v>27395</v>
      </c>
      <c r="Y820" s="1">
        <v>42005</v>
      </c>
      <c r="Z820" t="s">
        <v>51</v>
      </c>
      <c r="AB820" t="s">
        <v>54</v>
      </c>
      <c r="AC820">
        <v>1</v>
      </c>
      <c r="AE820" t="s">
        <v>222</v>
      </c>
      <c r="AF820">
        <v>20</v>
      </c>
      <c r="AG820" s="1">
        <v>36342</v>
      </c>
      <c r="AH820" s="1">
        <v>36342</v>
      </c>
      <c r="AI820" s="1">
        <v>36342</v>
      </c>
      <c r="AJ820" s="1">
        <v>43647</v>
      </c>
      <c r="AK820" t="s">
        <v>51</v>
      </c>
      <c r="AN820">
        <v>0</v>
      </c>
      <c r="AO820" t="s">
        <v>54</v>
      </c>
      <c r="AP820" t="s">
        <v>53</v>
      </c>
      <c r="AQ820">
        <v>0</v>
      </c>
      <c r="AR820" t="s">
        <v>53</v>
      </c>
      <c r="AS820">
        <v>0</v>
      </c>
      <c r="AT820">
        <v>0</v>
      </c>
      <c r="CC820" t="s">
        <v>432</v>
      </c>
      <c r="CD820">
        <v>85000</v>
      </c>
      <c r="CE820" s="1">
        <v>42552</v>
      </c>
      <c r="CF820" s="1">
        <v>42552</v>
      </c>
      <c r="CG820" s="1">
        <v>42552</v>
      </c>
      <c r="CH820" s="1">
        <v>49714</v>
      </c>
      <c r="CI820" t="s">
        <v>51</v>
      </c>
      <c r="CK820" t="s">
        <v>78</v>
      </c>
      <c r="CM820" t="s">
        <v>54</v>
      </c>
      <c r="CN820" t="s">
        <v>174</v>
      </c>
      <c r="CO820" t="s">
        <v>86</v>
      </c>
      <c r="CR820">
        <v>24</v>
      </c>
      <c r="CS820">
        <v>0</v>
      </c>
      <c r="CT820">
        <v>0</v>
      </c>
      <c r="CU820">
        <v>0</v>
      </c>
    </row>
    <row r="821" spans="1:99" x14ac:dyDescent="0.2">
      <c r="A821" t="s">
        <v>180</v>
      </c>
      <c r="B821" t="s">
        <v>181</v>
      </c>
      <c r="C821" t="s">
        <v>184</v>
      </c>
      <c r="D821" t="s">
        <v>587</v>
      </c>
      <c r="F821" t="str">
        <f>"250472"</f>
        <v>250472</v>
      </c>
      <c r="G821" t="s">
        <v>49</v>
      </c>
      <c r="K821" t="s">
        <v>51</v>
      </c>
      <c r="L821" t="s">
        <v>52</v>
      </c>
      <c r="M821">
        <v>136341.94</v>
      </c>
      <c r="N821">
        <v>472929.72</v>
      </c>
      <c r="O821" t="s">
        <v>53</v>
      </c>
      <c r="P821" t="s">
        <v>54</v>
      </c>
      <c r="Q821" t="s">
        <v>55</v>
      </c>
      <c r="T821" t="s">
        <v>588</v>
      </c>
      <c r="U821">
        <v>40</v>
      </c>
      <c r="V821" s="1">
        <v>27395</v>
      </c>
      <c r="W821" s="1">
        <v>27395</v>
      </c>
      <c r="X821" s="1">
        <v>27395</v>
      </c>
      <c r="Y821" s="1">
        <v>42005</v>
      </c>
      <c r="Z821" t="s">
        <v>51</v>
      </c>
      <c r="AB821" t="s">
        <v>54</v>
      </c>
      <c r="AC821">
        <v>1</v>
      </c>
      <c r="AE821" t="s">
        <v>222</v>
      </c>
      <c r="AF821">
        <v>20</v>
      </c>
      <c r="AG821" s="1">
        <v>36342</v>
      </c>
      <c r="AH821" s="1">
        <v>36342</v>
      </c>
      <c r="AI821" s="1">
        <v>36342</v>
      </c>
      <c r="AJ821" s="1">
        <v>43647</v>
      </c>
      <c r="AK821" t="s">
        <v>51</v>
      </c>
      <c r="AN821">
        <v>0</v>
      </c>
      <c r="AO821" t="s">
        <v>54</v>
      </c>
      <c r="AP821" t="s">
        <v>53</v>
      </c>
      <c r="AQ821">
        <v>0</v>
      </c>
      <c r="AR821" t="s">
        <v>53</v>
      </c>
      <c r="AS821">
        <v>0</v>
      </c>
      <c r="AT821">
        <v>0</v>
      </c>
      <c r="CC821" t="s">
        <v>432</v>
      </c>
      <c r="CD821">
        <v>85000</v>
      </c>
      <c r="CE821" s="1">
        <v>42552</v>
      </c>
      <c r="CF821" s="1">
        <v>42552</v>
      </c>
      <c r="CG821" s="1">
        <v>42552</v>
      </c>
      <c r="CH821" s="1">
        <v>49714</v>
      </c>
      <c r="CI821" t="s">
        <v>51</v>
      </c>
      <c r="CK821" t="s">
        <v>78</v>
      </c>
      <c r="CM821" t="s">
        <v>54</v>
      </c>
      <c r="CN821" t="s">
        <v>174</v>
      </c>
      <c r="CO821" t="s">
        <v>86</v>
      </c>
      <c r="CR821">
        <v>24</v>
      </c>
      <c r="CS821">
        <v>0</v>
      </c>
      <c r="CT821">
        <v>0</v>
      </c>
      <c r="CU821">
        <v>0</v>
      </c>
    </row>
    <row r="822" spans="1:99" x14ac:dyDescent="0.2">
      <c r="A822" t="s">
        <v>180</v>
      </c>
      <c r="B822" t="s">
        <v>181</v>
      </c>
      <c r="C822" t="s">
        <v>184</v>
      </c>
      <c r="D822" t="s">
        <v>592</v>
      </c>
      <c r="F822" t="str">
        <f>"250473"</f>
        <v>250473</v>
      </c>
      <c r="G822" t="s">
        <v>49</v>
      </c>
      <c r="H822" t="s">
        <v>219</v>
      </c>
      <c r="K822" t="s">
        <v>51</v>
      </c>
      <c r="L822" t="s">
        <v>52</v>
      </c>
      <c r="M822">
        <v>136295.82999999999</v>
      </c>
      <c r="N822">
        <v>472927.25</v>
      </c>
      <c r="O822" t="s">
        <v>53</v>
      </c>
      <c r="P822" t="s">
        <v>54</v>
      </c>
      <c r="Q822" t="s">
        <v>55</v>
      </c>
      <c r="T822" t="s">
        <v>588</v>
      </c>
      <c r="U822">
        <v>40</v>
      </c>
      <c r="V822" s="1">
        <v>27395</v>
      </c>
      <c r="W822" s="1">
        <v>27395</v>
      </c>
      <c r="X822" s="1">
        <v>27395</v>
      </c>
      <c r="Y822" s="1">
        <v>42005</v>
      </c>
      <c r="Z822" t="s">
        <v>51</v>
      </c>
      <c r="AB822" t="s">
        <v>54</v>
      </c>
      <c r="AC822">
        <v>1</v>
      </c>
      <c r="AE822" t="s">
        <v>222</v>
      </c>
      <c r="AF822">
        <v>20</v>
      </c>
      <c r="AG822" s="1">
        <v>36342</v>
      </c>
      <c r="AH822" s="1">
        <v>36342</v>
      </c>
      <c r="AI822" s="1">
        <v>36342</v>
      </c>
      <c r="AJ822" s="1">
        <v>43647</v>
      </c>
      <c r="AK822" t="s">
        <v>51</v>
      </c>
      <c r="AN822">
        <v>0</v>
      </c>
      <c r="AO822" t="s">
        <v>54</v>
      </c>
      <c r="AP822" t="s">
        <v>53</v>
      </c>
      <c r="AQ822">
        <v>0</v>
      </c>
      <c r="AR822" t="s">
        <v>53</v>
      </c>
      <c r="AS822">
        <v>0</v>
      </c>
      <c r="AT822">
        <v>0</v>
      </c>
      <c r="CC822" t="s">
        <v>432</v>
      </c>
      <c r="CD822">
        <v>85000</v>
      </c>
      <c r="CE822" s="1">
        <v>42552</v>
      </c>
      <c r="CF822" s="1">
        <v>42552</v>
      </c>
      <c r="CG822" s="1">
        <v>42552</v>
      </c>
      <c r="CH822" s="1">
        <v>49714</v>
      </c>
      <c r="CI822" t="s">
        <v>51</v>
      </c>
      <c r="CK822" t="s">
        <v>78</v>
      </c>
      <c r="CM822" t="s">
        <v>54</v>
      </c>
      <c r="CN822" t="s">
        <v>174</v>
      </c>
      <c r="CO822" t="s">
        <v>86</v>
      </c>
      <c r="CR822">
        <v>24</v>
      </c>
      <c r="CS822">
        <v>0</v>
      </c>
      <c r="CT822">
        <v>0</v>
      </c>
      <c r="CU822">
        <v>0</v>
      </c>
    </row>
    <row r="823" spans="1:99" x14ac:dyDescent="0.2">
      <c r="A823" t="s">
        <v>180</v>
      </c>
      <c r="B823" t="s">
        <v>181</v>
      </c>
      <c r="C823" t="s">
        <v>184</v>
      </c>
      <c r="D823" t="s">
        <v>592</v>
      </c>
      <c r="F823" t="str">
        <f>"250474"</f>
        <v>250474</v>
      </c>
      <c r="G823" t="s">
        <v>49</v>
      </c>
      <c r="H823" t="s">
        <v>510</v>
      </c>
      <c r="K823" t="s">
        <v>51</v>
      </c>
      <c r="L823" t="s">
        <v>52</v>
      </c>
      <c r="M823">
        <v>136267.25</v>
      </c>
      <c r="N823">
        <v>472956.58</v>
      </c>
      <c r="O823" t="s">
        <v>53</v>
      </c>
      <c r="P823" t="s">
        <v>54</v>
      </c>
      <c r="Q823" t="s">
        <v>55</v>
      </c>
      <c r="T823" t="s">
        <v>588</v>
      </c>
      <c r="U823">
        <v>40</v>
      </c>
      <c r="V823" s="1">
        <v>27395</v>
      </c>
      <c r="W823" s="1">
        <v>27395</v>
      </c>
      <c r="X823" s="1">
        <v>27395</v>
      </c>
      <c r="Y823" s="1">
        <v>42005</v>
      </c>
      <c r="Z823" t="s">
        <v>51</v>
      </c>
      <c r="AB823" t="s">
        <v>54</v>
      </c>
      <c r="AC823">
        <v>1</v>
      </c>
      <c r="AE823" t="s">
        <v>222</v>
      </c>
      <c r="AF823">
        <v>20</v>
      </c>
      <c r="AG823" s="1">
        <v>36342</v>
      </c>
      <c r="AH823" s="1">
        <v>36342</v>
      </c>
      <c r="AI823" s="1">
        <v>36342</v>
      </c>
      <c r="AJ823" s="1">
        <v>43647</v>
      </c>
      <c r="AK823" t="s">
        <v>51</v>
      </c>
      <c r="AN823">
        <v>0</v>
      </c>
      <c r="AO823" t="s">
        <v>54</v>
      </c>
      <c r="AP823" t="s">
        <v>53</v>
      </c>
      <c r="AQ823">
        <v>0</v>
      </c>
      <c r="AR823" t="s">
        <v>53</v>
      </c>
      <c r="AS823">
        <v>0</v>
      </c>
      <c r="AT823">
        <v>0</v>
      </c>
      <c r="CC823" t="s">
        <v>432</v>
      </c>
      <c r="CD823">
        <v>85000</v>
      </c>
      <c r="CE823" s="1">
        <v>42552</v>
      </c>
      <c r="CF823" s="1">
        <v>42552</v>
      </c>
      <c r="CG823" s="1">
        <v>42552</v>
      </c>
      <c r="CH823" s="1">
        <v>49714</v>
      </c>
      <c r="CI823" t="s">
        <v>51</v>
      </c>
      <c r="CK823" t="s">
        <v>78</v>
      </c>
      <c r="CM823" t="s">
        <v>54</v>
      </c>
      <c r="CN823" t="s">
        <v>174</v>
      </c>
      <c r="CO823" t="s">
        <v>86</v>
      </c>
      <c r="CR823">
        <v>24</v>
      </c>
      <c r="CS823">
        <v>0</v>
      </c>
      <c r="CT823">
        <v>0</v>
      </c>
      <c r="CU823">
        <v>0</v>
      </c>
    </row>
    <row r="824" spans="1:99" x14ac:dyDescent="0.2">
      <c r="A824" t="s">
        <v>180</v>
      </c>
      <c r="B824" t="s">
        <v>181</v>
      </c>
      <c r="C824" t="s">
        <v>184</v>
      </c>
      <c r="D824" t="s">
        <v>592</v>
      </c>
      <c r="F824" t="str">
        <f>"250475"</f>
        <v>250475</v>
      </c>
      <c r="G824" t="s">
        <v>49</v>
      </c>
      <c r="H824" t="s">
        <v>249</v>
      </c>
      <c r="K824" t="s">
        <v>51</v>
      </c>
      <c r="L824" t="s">
        <v>52</v>
      </c>
      <c r="M824">
        <v>136255.19</v>
      </c>
      <c r="N824">
        <v>472975.05</v>
      </c>
      <c r="O824" t="s">
        <v>53</v>
      </c>
      <c r="P824" t="s">
        <v>54</v>
      </c>
      <c r="Q824" t="s">
        <v>55</v>
      </c>
      <c r="T824" t="s">
        <v>588</v>
      </c>
      <c r="U824">
        <v>40</v>
      </c>
      <c r="V824" s="1">
        <v>27395</v>
      </c>
      <c r="W824" s="1">
        <v>27395</v>
      </c>
      <c r="X824" s="1">
        <v>27395</v>
      </c>
      <c r="Y824" s="1">
        <v>42005</v>
      </c>
      <c r="Z824" t="s">
        <v>51</v>
      </c>
      <c r="AB824" t="s">
        <v>54</v>
      </c>
      <c r="AC824">
        <v>1</v>
      </c>
      <c r="AE824" t="s">
        <v>222</v>
      </c>
      <c r="AF824">
        <v>20</v>
      </c>
      <c r="AG824" s="1">
        <v>36342</v>
      </c>
      <c r="AH824" s="1">
        <v>36342</v>
      </c>
      <c r="AI824" s="1">
        <v>36342</v>
      </c>
      <c r="AJ824" s="1">
        <v>43647</v>
      </c>
      <c r="AK824" t="s">
        <v>51</v>
      </c>
      <c r="AN824">
        <v>0</v>
      </c>
      <c r="AO824" t="s">
        <v>54</v>
      </c>
      <c r="AP824" t="s">
        <v>53</v>
      </c>
      <c r="AQ824">
        <v>0</v>
      </c>
      <c r="AR824" t="s">
        <v>53</v>
      </c>
      <c r="AS824">
        <v>0</v>
      </c>
      <c r="AT824">
        <v>0</v>
      </c>
      <c r="CC824" t="s">
        <v>432</v>
      </c>
      <c r="CD824">
        <v>85000</v>
      </c>
      <c r="CE824" s="1">
        <v>42552</v>
      </c>
      <c r="CF824" s="1">
        <v>42552</v>
      </c>
      <c r="CG824" s="1">
        <v>42552</v>
      </c>
      <c r="CH824" s="1">
        <v>49714</v>
      </c>
      <c r="CI824" t="s">
        <v>51</v>
      </c>
      <c r="CK824" t="s">
        <v>78</v>
      </c>
      <c r="CM824" t="s">
        <v>54</v>
      </c>
      <c r="CN824" t="s">
        <v>174</v>
      </c>
      <c r="CO824" t="s">
        <v>86</v>
      </c>
      <c r="CR824">
        <v>24</v>
      </c>
      <c r="CS824">
        <v>0</v>
      </c>
      <c r="CT824">
        <v>0</v>
      </c>
      <c r="CU824">
        <v>0</v>
      </c>
    </row>
    <row r="825" spans="1:99" x14ac:dyDescent="0.2">
      <c r="A825" t="s">
        <v>180</v>
      </c>
      <c r="B825" t="s">
        <v>181</v>
      </c>
      <c r="C825" t="s">
        <v>184</v>
      </c>
      <c r="D825" t="s">
        <v>592</v>
      </c>
      <c r="F825" t="str">
        <f>"250476"</f>
        <v>250476</v>
      </c>
      <c r="G825" t="s">
        <v>49</v>
      </c>
      <c r="H825" t="s">
        <v>472</v>
      </c>
      <c r="K825" t="s">
        <v>51</v>
      </c>
      <c r="L825" t="s">
        <v>52</v>
      </c>
      <c r="M825">
        <v>136246.18</v>
      </c>
      <c r="N825">
        <v>472953.2</v>
      </c>
      <c r="O825" t="s">
        <v>53</v>
      </c>
      <c r="P825" t="s">
        <v>54</v>
      </c>
      <c r="Q825" t="s">
        <v>55</v>
      </c>
      <c r="T825" t="s">
        <v>588</v>
      </c>
      <c r="U825">
        <v>40</v>
      </c>
      <c r="V825" s="1">
        <v>27395</v>
      </c>
      <c r="W825" s="1">
        <v>27395</v>
      </c>
      <c r="X825" s="1">
        <v>27395</v>
      </c>
      <c r="Y825" s="1">
        <v>42005</v>
      </c>
      <c r="Z825" t="s">
        <v>51</v>
      </c>
      <c r="AB825" t="s">
        <v>54</v>
      </c>
      <c r="AC825">
        <v>1</v>
      </c>
      <c r="AE825" t="s">
        <v>222</v>
      </c>
      <c r="AF825">
        <v>20</v>
      </c>
      <c r="AG825" s="1">
        <v>36342</v>
      </c>
      <c r="AH825" s="1">
        <v>36342</v>
      </c>
      <c r="AI825" s="1">
        <v>36342</v>
      </c>
      <c r="AJ825" s="1">
        <v>43647</v>
      </c>
      <c r="AK825" t="s">
        <v>51</v>
      </c>
      <c r="AN825">
        <v>0</v>
      </c>
      <c r="AO825" t="s">
        <v>54</v>
      </c>
      <c r="AP825" t="s">
        <v>53</v>
      </c>
      <c r="AQ825">
        <v>0</v>
      </c>
      <c r="AR825" t="s">
        <v>53</v>
      </c>
      <c r="AS825">
        <v>0</v>
      </c>
      <c r="AT825">
        <v>0</v>
      </c>
      <c r="CC825" t="s">
        <v>432</v>
      </c>
      <c r="CD825">
        <v>85000</v>
      </c>
      <c r="CE825" s="1">
        <v>42552</v>
      </c>
      <c r="CF825" s="1">
        <v>42552</v>
      </c>
      <c r="CG825" s="1">
        <v>42552</v>
      </c>
      <c r="CH825" s="1">
        <v>49714</v>
      </c>
      <c r="CI825" t="s">
        <v>51</v>
      </c>
      <c r="CK825" t="s">
        <v>78</v>
      </c>
      <c r="CM825" t="s">
        <v>54</v>
      </c>
      <c r="CN825" t="s">
        <v>174</v>
      </c>
      <c r="CO825" t="s">
        <v>86</v>
      </c>
      <c r="CR825">
        <v>24</v>
      </c>
      <c r="CS825">
        <v>0</v>
      </c>
      <c r="CT825">
        <v>0</v>
      </c>
      <c r="CU825">
        <v>0</v>
      </c>
    </row>
    <row r="826" spans="1:99" x14ac:dyDescent="0.2">
      <c r="A826" t="s">
        <v>180</v>
      </c>
      <c r="B826" t="s">
        <v>181</v>
      </c>
      <c r="C826" t="s">
        <v>184</v>
      </c>
      <c r="D826" t="s">
        <v>592</v>
      </c>
      <c r="F826" t="str">
        <f>"250477"</f>
        <v>250477</v>
      </c>
      <c r="G826" t="s">
        <v>49</v>
      </c>
      <c r="H826" t="s">
        <v>472</v>
      </c>
      <c r="K826" t="s">
        <v>51</v>
      </c>
      <c r="L826" t="s">
        <v>52</v>
      </c>
      <c r="M826">
        <v>136249.09</v>
      </c>
      <c r="N826">
        <v>472931.72</v>
      </c>
      <c r="O826" t="s">
        <v>53</v>
      </c>
      <c r="P826" t="s">
        <v>54</v>
      </c>
      <c r="Q826" t="s">
        <v>55</v>
      </c>
      <c r="T826" t="s">
        <v>476</v>
      </c>
      <c r="U826">
        <v>40</v>
      </c>
      <c r="V826" s="1">
        <v>27395</v>
      </c>
      <c r="W826" s="1">
        <v>27395</v>
      </c>
      <c r="X826" s="1">
        <v>27395</v>
      </c>
      <c r="Y826" s="1">
        <v>42005</v>
      </c>
      <c r="Z826" t="s">
        <v>51</v>
      </c>
      <c r="AB826" t="s">
        <v>54</v>
      </c>
      <c r="AC826">
        <v>1</v>
      </c>
      <c r="AE826" t="s">
        <v>222</v>
      </c>
      <c r="AF826">
        <v>20</v>
      </c>
      <c r="AG826" s="1">
        <v>36342</v>
      </c>
      <c r="AH826" s="1">
        <v>36342</v>
      </c>
      <c r="AI826" s="1">
        <v>36342</v>
      </c>
      <c r="AJ826" s="1">
        <v>43647</v>
      </c>
      <c r="AK826" t="s">
        <v>51</v>
      </c>
      <c r="AN826">
        <v>0</v>
      </c>
      <c r="AO826" t="s">
        <v>54</v>
      </c>
      <c r="AP826" t="s">
        <v>53</v>
      </c>
      <c r="AQ826">
        <v>0</v>
      </c>
      <c r="AR826" t="s">
        <v>53</v>
      </c>
      <c r="AS826">
        <v>0</v>
      </c>
      <c r="AT826">
        <v>0</v>
      </c>
      <c r="CC826" t="s">
        <v>560</v>
      </c>
      <c r="CD826">
        <v>85000</v>
      </c>
      <c r="CE826" s="1">
        <v>42917</v>
      </c>
      <c r="CF826" s="1">
        <v>42917</v>
      </c>
      <c r="CG826" s="1">
        <v>42917</v>
      </c>
      <c r="CH826" s="1">
        <v>50079</v>
      </c>
      <c r="CI826" t="s">
        <v>51</v>
      </c>
      <c r="CK826" t="s">
        <v>78</v>
      </c>
      <c r="CM826" t="s">
        <v>54</v>
      </c>
      <c r="CN826" t="s">
        <v>174</v>
      </c>
      <c r="CO826" t="s">
        <v>86</v>
      </c>
      <c r="CR826">
        <v>36</v>
      </c>
      <c r="CS826">
        <v>0</v>
      </c>
      <c r="CT826">
        <v>0</v>
      </c>
      <c r="CU826">
        <v>0</v>
      </c>
    </row>
    <row r="827" spans="1:99" x14ac:dyDescent="0.2">
      <c r="A827" t="s">
        <v>180</v>
      </c>
      <c r="B827" t="s">
        <v>181</v>
      </c>
      <c r="C827" t="s">
        <v>184</v>
      </c>
      <c r="D827" t="s">
        <v>592</v>
      </c>
      <c r="F827" t="str">
        <f>"250478"</f>
        <v>250478</v>
      </c>
      <c r="G827" t="s">
        <v>49</v>
      </c>
      <c r="H827" t="s">
        <v>175</v>
      </c>
      <c r="K827" t="s">
        <v>51</v>
      </c>
      <c r="L827" t="s">
        <v>52</v>
      </c>
      <c r="M827">
        <v>136283.4</v>
      </c>
      <c r="N827">
        <v>472985.57</v>
      </c>
      <c r="O827" t="s">
        <v>53</v>
      </c>
      <c r="P827" t="s">
        <v>54</v>
      </c>
      <c r="Q827" t="s">
        <v>55</v>
      </c>
      <c r="T827" t="s">
        <v>588</v>
      </c>
      <c r="U827">
        <v>40</v>
      </c>
      <c r="V827" s="1">
        <v>27395</v>
      </c>
      <c r="W827" s="1">
        <v>27395</v>
      </c>
      <c r="X827" s="1">
        <v>27395</v>
      </c>
      <c r="Y827" s="1">
        <v>42005</v>
      </c>
      <c r="Z827" t="s">
        <v>51</v>
      </c>
      <c r="AB827" t="s">
        <v>54</v>
      </c>
      <c r="AC827">
        <v>1</v>
      </c>
      <c r="AE827" t="s">
        <v>222</v>
      </c>
      <c r="AF827">
        <v>20</v>
      </c>
      <c r="AG827" s="1">
        <v>36342</v>
      </c>
      <c r="AH827" s="1">
        <v>36342</v>
      </c>
      <c r="AI827" s="1">
        <v>36342</v>
      </c>
      <c r="AJ827" s="1">
        <v>43647</v>
      </c>
      <c r="AK827" t="s">
        <v>51</v>
      </c>
      <c r="AN827">
        <v>0</v>
      </c>
      <c r="AO827" t="s">
        <v>54</v>
      </c>
      <c r="AP827" t="s">
        <v>53</v>
      </c>
      <c r="AQ827">
        <v>0</v>
      </c>
      <c r="AR827" t="s">
        <v>53</v>
      </c>
      <c r="AS827">
        <v>0</v>
      </c>
      <c r="AT827">
        <v>0</v>
      </c>
      <c r="CC827" t="s">
        <v>432</v>
      </c>
      <c r="CD827">
        <v>85000</v>
      </c>
      <c r="CE827" s="1">
        <v>42552</v>
      </c>
      <c r="CF827" s="1">
        <v>42552</v>
      </c>
      <c r="CG827" s="1">
        <v>42552</v>
      </c>
      <c r="CH827" s="1">
        <v>49714</v>
      </c>
      <c r="CI827" t="s">
        <v>51</v>
      </c>
      <c r="CK827" t="s">
        <v>78</v>
      </c>
      <c r="CM827" t="s">
        <v>54</v>
      </c>
      <c r="CN827" t="s">
        <v>174</v>
      </c>
      <c r="CO827" t="s">
        <v>86</v>
      </c>
      <c r="CR827">
        <v>24</v>
      </c>
      <c r="CS827">
        <v>0</v>
      </c>
      <c r="CT827">
        <v>0</v>
      </c>
      <c r="CU827">
        <v>0</v>
      </c>
    </row>
    <row r="828" spans="1:99" x14ac:dyDescent="0.2">
      <c r="A828" t="s">
        <v>180</v>
      </c>
      <c r="B828" t="s">
        <v>181</v>
      </c>
      <c r="C828" t="s">
        <v>184</v>
      </c>
      <c r="D828" t="s">
        <v>592</v>
      </c>
      <c r="F828" t="str">
        <f>"250479"</f>
        <v>250479</v>
      </c>
      <c r="G828" t="s">
        <v>49</v>
      </c>
      <c r="H828" t="s">
        <v>574</v>
      </c>
      <c r="K828" t="s">
        <v>51</v>
      </c>
      <c r="L828" t="s">
        <v>52</v>
      </c>
      <c r="M828">
        <v>136274.19</v>
      </c>
      <c r="N828">
        <v>472914.38</v>
      </c>
      <c r="O828" t="s">
        <v>53</v>
      </c>
      <c r="P828" t="s">
        <v>54</v>
      </c>
      <c r="Q828" t="s">
        <v>55</v>
      </c>
      <c r="T828" t="s">
        <v>476</v>
      </c>
      <c r="U828">
        <v>40</v>
      </c>
      <c r="V828" s="1">
        <v>27395</v>
      </c>
      <c r="W828" s="1">
        <v>27395</v>
      </c>
      <c r="X828" s="1">
        <v>27395</v>
      </c>
      <c r="Y828" s="1">
        <v>42005</v>
      </c>
      <c r="Z828" t="s">
        <v>51</v>
      </c>
      <c r="AB828" t="s">
        <v>54</v>
      </c>
      <c r="AC828">
        <v>1</v>
      </c>
      <c r="AE828" t="s">
        <v>222</v>
      </c>
      <c r="AF828">
        <v>20</v>
      </c>
      <c r="AG828" s="1">
        <v>36342</v>
      </c>
      <c r="AH828" s="1">
        <v>36342</v>
      </c>
      <c r="AI828" s="1">
        <v>36342</v>
      </c>
      <c r="AJ828" s="1">
        <v>43647</v>
      </c>
      <c r="AK828" t="s">
        <v>51</v>
      </c>
      <c r="AN828">
        <v>0</v>
      </c>
      <c r="AO828" t="s">
        <v>54</v>
      </c>
      <c r="AP828" t="s">
        <v>53</v>
      </c>
      <c r="AQ828">
        <v>0</v>
      </c>
      <c r="AR828" t="s">
        <v>53</v>
      </c>
      <c r="AS828">
        <v>0</v>
      </c>
      <c r="AT828">
        <v>0</v>
      </c>
      <c r="CC828" t="s">
        <v>432</v>
      </c>
      <c r="CD828">
        <v>85000</v>
      </c>
      <c r="CE828" s="1">
        <v>43294</v>
      </c>
      <c r="CF828" s="1">
        <v>43294</v>
      </c>
      <c r="CG828" s="1">
        <v>43294</v>
      </c>
      <c r="CH828" s="1">
        <v>50451</v>
      </c>
      <c r="CI828" t="s">
        <v>51</v>
      </c>
      <c r="CK828" t="s">
        <v>78</v>
      </c>
      <c r="CM828" t="s">
        <v>54</v>
      </c>
      <c r="CN828" t="s">
        <v>174</v>
      </c>
      <c r="CO828" t="s">
        <v>86</v>
      </c>
      <c r="CR828">
        <v>24</v>
      </c>
      <c r="CS828">
        <v>0</v>
      </c>
      <c r="CT828">
        <v>0</v>
      </c>
      <c r="CU828">
        <v>0</v>
      </c>
    </row>
    <row r="829" spans="1:99" x14ac:dyDescent="0.2">
      <c r="A829" t="s">
        <v>180</v>
      </c>
      <c r="B829" t="s">
        <v>181</v>
      </c>
      <c r="C829" t="s">
        <v>184</v>
      </c>
      <c r="D829" t="s">
        <v>592</v>
      </c>
      <c r="F829" t="str">
        <f>"250480"</f>
        <v>250480</v>
      </c>
      <c r="G829" t="s">
        <v>49</v>
      </c>
      <c r="H829" t="s">
        <v>261</v>
      </c>
      <c r="K829" t="s">
        <v>51</v>
      </c>
      <c r="L829" t="s">
        <v>52</v>
      </c>
      <c r="M829">
        <v>136251.20000000001</v>
      </c>
      <c r="N829">
        <v>472912.63</v>
      </c>
      <c r="O829" t="s">
        <v>53</v>
      </c>
      <c r="P829" t="s">
        <v>54</v>
      </c>
      <c r="Q829" t="s">
        <v>55</v>
      </c>
      <c r="T829" t="s">
        <v>476</v>
      </c>
      <c r="U829">
        <v>40</v>
      </c>
      <c r="V829" s="1">
        <v>27395</v>
      </c>
      <c r="W829" s="1">
        <v>27395</v>
      </c>
      <c r="X829" s="1">
        <v>27395</v>
      </c>
      <c r="Y829" s="1">
        <v>42005</v>
      </c>
      <c r="Z829" t="s">
        <v>51</v>
      </c>
      <c r="AB829" t="s">
        <v>54</v>
      </c>
      <c r="AC829">
        <v>1</v>
      </c>
      <c r="AE829" t="s">
        <v>222</v>
      </c>
      <c r="AF829">
        <v>20</v>
      </c>
      <c r="AG829" s="1">
        <v>36342</v>
      </c>
      <c r="AH829" s="1">
        <v>36342</v>
      </c>
      <c r="AI829" s="1">
        <v>36342</v>
      </c>
      <c r="AJ829" s="1">
        <v>43647</v>
      </c>
      <c r="AK829" t="s">
        <v>51</v>
      </c>
      <c r="AN829">
        <v>0</v>
      </c>
      <c r="AO829" t="s">
        <v>54</v>
      </c>
      <c r="AP829" t="s">
        <v>53</v>
      </c>
      <c r="AQ829">
        <v>0</v>
      </c>
      <c r="AR829" t="s">
        <v>53</v>
      </c>
      <c r="AS829">
        <v>0</v>
      </c>
      <c r="AT829">
        <v>0</v>
      </c>
      <c r="CC829" t="s">
        <v>432</v>
      </c>
      <c r="CD829">
        <v>85000</v>
      </c>
      <c r="CE829" s="1">
        <v>42917</v>
      </c>
      <c r="CF829" s="1">
        <v>42917</v>
      </c>
      <c r="CG829" s="1">
        <v>42917</v>
      </c>
      <c r="CH829" s="1">
        <v>50079</v>
      </c>
      <c r="CI829" t="s">
        <v>51</v>
      </c>
      <c r="CK829" t="s">
        <v>78</v>
      </c>
      <c r="CM829" t="s">
        <v>54</v>
      </c>
      <c r="CN829" t="s">
        <v>174</v>
      </c>
      <c r="CO829" t="s">
        <v>86</v>
      </c>
      <c r="CR829">
        <v>24</v>
      </c>
      <c r="CS829">
        <v>0</v>
      </c>
      <c r="CT829">
        <v>0</v>
      </c>
      <c r="CU829">
        <v>0</v>
      </c>
    </row>
    <row r="830" spans="1:99" x14ac:dyDescent="0.2">
      <c r="A830" t="s">
        <v>180</v>
      </c>
      <c r="B830" t="s">
        <v>181</v>
      </c>
      <c r="C830" t="s">
        <v>184</v>
      </c>
      <c r="D830" t="s">
        <v>592</v>
      </c>
      <c r="F830" t="str">
        <f>"250481"</f>
        <v>250481</v>
      </c>
      <c r="G830" t="s">
        <v>49</v>
      </c>
      <c r="H830" t="s">
        <v>259</v>
      </c>
      <c r="K830" t="s">
        <v>51</v>
      </c>
      <c r="L830" t="s">
        <v>52</v>
      </c>
      <c r="M830">
        <v>136227.59</v>
      </c>
      <c r="N830">
        <v>472923.32</v>
      </c>
      <c r="O830" t="s">
        <v>53</v>
      </c>
      <c r="P830" t="s">
        <v>54</v>
      </c>
      <c r="Q830" t="s">
        <v>55</v>
      </c>
      <c r="T830" t="s">
        <v>577</v>
      </c>
      <c r="U830">
        <v>40</v>
      </c>
      <c r="V830" s="1">
        <v>27395</v>
      </c>
      <c r="W830" s="1">
        <v>27395</v>
      </c>
      <c r="X830" s="1">
        <v>27395</v>
      </c>
      <c r="Y830" s="1">
        <v>42005</v>
      </c>
      <c r="Z830" t="s">
        <v>51</v>
      </c>
      <c r="AB830" t="s">
        <v>54</v>
      </c>
      <c r="AC830">
        <v>1</v>
      </c>
      <c r="AE830" t="s">
        <v>222</v>
      </c>
      <c r="AF830">
        <v>20</v>
      </c>
      <c r="AG830" s="1">
        <v>36342</v>
      </c>
      <c r="AH830" s="1">
        <v>36342</v>
      </c>
      <c r="AI830" s="1">
        <v>36342</v>
      </c>
      <c r="AJ830" s="1">
        <v>43647</v>
      </c>
      <c r="AK830" t="s">
        <v>51</v>
      </c>
      <c r="AN830">
        <v>0</v>
      </c>
      <c r="AO830" t="s">
        <v>54</v>
      </c>
      <c r="AP830" t="s">
        <v>53</v>
      </c>
      <c r="AQ830">
        <v>0</v>
      </c>
      <c r="AR830" t="s">
        <v>53</v>
      </c>
      <c r="AS830">
        <v>0</v>
      </c>
      <c r="AT830">
        <v>0</v>
      </c>
      <c r="CC830" t="s">
        <v>560</v>
      </c>
      <c r="CD830">
        <v>85000</v>
      </c>
      <c r="CE830" s="1">
        <v>42917</v>
      </c>
      <c r="CF830" s="1">
        <v>42917</v>
      </c>
      <c r="CG830" s="1">
        <v>42917</v>
      </c>
      <c r="CH830" s="1">
        <v>50079</v>
      </c>
      <c r="CI830" t="s">
        <v>51</v>
      </c>
      <c r="CK830" t="s">
        <v>78</v>
      </c>
      <c r="CM830" t="s">
        <v>54</v>
      </c>
      <c r="CN830" t="s">
        <v>174</v>
      </c>
      <c r="CO830" t="s">
        <v>86</v>
      </c>
      <c r="CR830">
        <v>36</v>
      </c>
      <c r="CS830">
        <v>0</v>
      </c>
      <c r="CT830">
        <v>0</v>
      </c>
      <c r="CU830">
        <v>0</v>
      </c>
    </row>
    <row r="831" spans="1:99" x14ac:dyDescent="0.2">
      <c r="A831" t="s">
        <v>180</v>
      </c>
      <c r="B831" t="s">
        <v>181</v>
      </c>
      <c r="C831" t="s">
        <v>184</v>
      </c>
      <c r="D831" t="s">
        <v>592</v>
      </c>
      <c r="F831" t="str">
        <f>"250482"</f>
        <v>250482</v>
      </c>
      <c r="G831" t="s">
        <v>49</v>
      </c>
      <c r="H831" t="s">
        <v>593</v>
      </c>
      <c r="K831" t="s">
        <v>51</v>
      </c>
      <c r="L831" t="s">
        <v>52</v>
      </c>
      <c r="M831">
        <v>136206.35999999999</v>
      </c>
      <c r="N831">
        <v>472935.22</v>
      </c>
      <c r="O831" t="s">
        <v>53</v>
      </c>
      <c r="P831" t="s">
        <v>54</v>
      </c>
      <c r="Q831" t="s">
        <v>55</v>
      </c>
      <c r="T831" t="s">
        <v>476</v>
      </c>
      <c r="U831">
        <v>40</v>
      </c>
      <c r="V831" s="1">
        <v>27395</v>
      </c>
      <c r="W831" s="1">
        <v>27395</v>
      </c>
      <c r="X831" s="1">
        <v>27395</v>
      </c>
      <c r="Y831" s="1">
        <v>42005</v>
      </c>
      <c r="Z831" t="s">
        <v>51</v>
      </c>
      <c r="AB831" t="s">
        <v>54</v>
      </c>
      <c r="AC831">
        <v>1</v>
      </c>
      <c r="AE831" t="s">
        <v>222</v>
      </c>
      <c r="AF831">
        <v>20</v>
      </c>
      <c r="AG831" s="1">
        <v>36342</v>
      </c>
      <c r="AH831" s="1">
        <v>36342</v>
      </c>
      <c r="AI831" s="1">
        <v>36342</v>
      </c>
      <c r="AJ831" s="1">
        <v>43647</v>
      </c>
      <c r="AK831" t="s">
        <v>51</v>
      </c>
      <c r="AN831">
        <v>0</v>
      </c>
      <c r="AO831" t="s">
        <v>54</v>
      </c>
      <c r="AP831" t="s">
        <v>53</v>
      </c>
      <c r="AQ831">
        <v>0</v>
      </c>
      <c r="AR831" t="s">
        <v>53</v>
      </c>
      <c r="AS831">
        <v>0</v>
      </c>
      <c r="AT831">
        <v>0</v>
      </c>
      <c r="CC831" t="s">
        <v>560</v>
      </c>
      <c r="CD831">
        <v>85000</v>
      </c>
      <c r="CE831" s="1">
        <v>42917</v>
      </c>
      <c r="CF831" s="1">
        <v>42917</v>
      </c>
      <c r="CG831" s="1">
        <v>42917</v>
      </c>
      <c r="CH831" s="1">
        <v>50079</v>
      </c>
      <c r="CI831" t="s">
        <v>51</v>
      </c>
      <c r="CK831" t="s">
        <v>78</v>
      </c>
      <c r="CM831" t="s">
        <v>54</v>
      </c>
      <c r="CN831" t="s">
        <v>174</v>
      </c>
      <c r="CO831" t="s">
        <v>86</v>
      </c>
      <c r="CR831">
        <v>36</v>
      </c>
      <c r="CS831">
        <v>0</v>
      </c>
      <c r="CT831">
        <v>0</v>
      </c>
      <c r="CU831">
        <v>0</v>
      </c>
    </row>
    <row r="832" spans="1:99" x14ac:dyDescent="0.2">
      <c r="A832" t="s">
        <v>180</v>
      </c>
      <c r="B832" t="s">
        <v>181</v>
      </c>
      <c r="C832" t="s">
        <v>184</v>
      </c>
      <c r="D832" t="s">
        <v>592</v>
      </c>
      <c r="F832" t="str">
        <f>"250483"</f>
        <v>250483</v>
      </c>
      <c r="G832" t="s">
        <v>49</v>
      </c>
      <c r="H832" t="s">
        <v>93</v>
      </c>
      <c r="K832" t="s">
        <v>51</v>
      </c>
      <c r="L832" t="s">
        <v>52</v>
      </c>
      <c r="M832">
        <v>136194.70000000001</v>
      </c>
      <c r="N832">
        <v>472962.83</v>
      </c>
      <c r="O832" t="s">
        <v>53</v>
      </c>
      <c r="P832" t="s">
        <v>54</v>
      </c>
      <c r="Q832" t="s">
        <v>55</v>
      </c>
      <c r="T832" t="s">
        <v>588</v>
      </c>
      <c r="U832">
        <v>40</v>
      </c>
      <c r="V832" s="1">
        <v>27395</v>
      </c>
      <c r="W832" s="1">
        <v>27395</v>
      </c>
      <c r="X832" s="1">
        <v>27395</v>
      </c>
      <c r="Y832" s="1">
        <v>42005</v>
      </c>
      <c r="Z832" t="s">
        <v>51</v>
      </c>
      <c r="AB832" t="s">
        <v>54</v>
      </c>
      <c r="AC832">
        <v>1</v>
      </c>
      <c r="AE832" t="s">
        <v>222</v>
      </c>
      <c r="AF832">
        <v>20</v>
      </c>
      <c r="AG832" s="1">
        <v>36342</v>
      </c>
      <c r="AH832" s="1">
        <v>36342</v>
      </c>
      <c r="AI832" s="1">
        <v>36342</v>
      </c>
      <c r="AJ832" s="1">
        <v>43647</v>
      </c>
      <c r="AK832" t="s">
        <v>51</v>
      </c>
      <c r="AN832">
        <v>0</v>
      </c>
      <c r="AO832" t="s">
        <v>54</v>
      </c>
      <c r="AP832" t="s">
        <v>53</v>
      </c>
      <c r="AQ832">
        <v>0</v>
      </c>
      <c r="AR832" t="s">
        <v>53</v>
      </c>
      <c r="AS832">
        <v>0</v>
      </c>
      <c r="AT832">
        <v>0</v>
      </c>
      <c r="CC832" t="s">
        <v>432</v>
      </c>
      <c r="CD832">
        <v>85000</v>
      </c>
      <c r="CE832" s="1">
        <v>42552</v>
      </c>
      <c r="CF832" s="1">
        <v>42552</v>
      </c>
      <c r="CG832" s="1">
        <v>42552</v>
      </c>
      <c r="CH832" s="1">
        <v>49714</v>
      </c>
      <c r="CI832" t="s">
        <v>51</v>
      </c>
      <c r="CK832" t="s">
        <v>78</v>
      </c>
      <c r="CM832" t="s">
        <v>54</v>
      </c>
      <c r="CN832" t="s">
        <v>174</v>
      </c>
      <c r="CO832" t="s">
        <v>86</v>
      </c>
      <c r="CR832">
        <v>24</v>
      </c>
      <c r="CS832">
        <v>0</v>
      </c>
      <c r="CT832">
        <v>0</v>
      </c>
      <c r="CU832">
        <v>0</v>
      </c>
    </row>
    <row r="833" spans="1:99" x14ac:dyDescent="0.2">
      <c r="A833" t="s">
        <v>180</v>
      </c>
      <c r="B833" t="s">
        <v>181</v>
      </c>
      <c r="C833" t="s">
        <v>184</v>
      </c>
      <c r="D833" t="s">
        <v>592</v>
      </c>
      <c r="F833" t="str">
        <f>"250484"</f>
        <v>250484</v>
      </c>
      <c r="G833" t="s">
        <v>49</v>
      </c>
      <c r="H833" t="s">
        <v>578</v>
      </c>
      <c r="K833" t="s">
        <v>51</v>
      </c>
      <c r="L833" t="s">
        <v>52</v>
      </c>
      <c r="M833">
        <v>136203.44</v>
      </c>
      <c r="N833">
        <v>472982.95</v>
      </c>
      <c r="O833" t="s">
        <v>53</v>
      </c>
      <c r="P833" t="s">
        <v>54</v>
      </c>
      <c r="Q833" t="s">
        <v>55</v>
      </c>
      <c r="T833" t="s">
        <v>588</v>
      </c>
      <c r="U833">
        <v>40</v>
      </c>
      <c r="V833" s="1">
        <v>27395</v>
      </c>
      <c r="W833" s="1">
        <v>27395</v>
      </c>
      <c r="X833" s="1">
        <v>27395</v>
      </c>
      <c r="Y833" s="1">
        <v>42005</v>
      </c>
      <c r="Z833" t="s">
        <v>51</v>
      </c>
      <c r="AB833" t="s">
        <v>54</v>
      </c>
      <c r="AC833">
        <v>1</v>
      </c>
      <c r="AE833" t="s">
        <v>222</v>
      </c>
      <c r="AF833">
        <v>20</v>
      </c>
      <c r="AG833" s="1">
        <v>36342</v>
      </c>
      <c r="AH833" s="1">
        <v>36342</v>
      </c>
      <c r="AI833" s="1">
        <v>36342</v>
      </c>
      <c r="AJ833" s="1">
        <v>43647</v>
      </c>
      <c r="AK833" t="s">
        <v>51</v>
      </c>
      <c r="AN833">
        <v>0</v>
      </c>
      <c r="AO833" t="s">
        <v>54</v>
      </c>
      <c r="AP833" t="s">
        <v>53</v>
      </c>
      <c r="AQ833">
        <v>0</v>
      </c>
      <c r="AR833" t="s">
        <v>53</v>
      </c>
      <c r="AS833">
        <v>0</v>
      </c>
      <c r="AT833">
        <v>0</v>
      </c>
      <c r="CC833" t="s">
        <v>432</v>
      </c>
      <c r="CD833">
        <v>85000</v>
      </c>
      <c r="CE833" s="1">
        <v>42552</v>
      </c>
      <c r="CF833" s="1">
        <v>42552</v>
      </c>
      <c r="CG833" s="1">
        <v>42552</v>
      </c>
      <c r="CH833" s="1">
        <v>49714</v>
      </c>
      <c r="CI833" t="s">
        <v>51</v>
      </c>
      <c r="CK833" t="s">
        <v>78</v>
      </c>
      <c r="CM833" t="s">
        <v>54</v>
      </c>
      <c r="CN833" t="s">
        <v>174</v>
      </c>
      <c r="CO833" t="s">
        <v>86</v>
      </c>
      <c r="CR833">
        <v>24</v>
      </c>
      <c r="CS833">
        <v>0</v>
      </c>
      <c r="CT833">
        <v>0</v>
      </c>
      <c r="CU833">
        <v>0</v>
      </c>
    </row>
    <row r="834" spans="1:99" x14ac:dyDescent="0.2">
      <c r="A834" t="s">
        <v>180</v>
      </c>
      <c r="B834" t="s">
        <v>181</v>
      </c>
      <c r="C834" t="s">
        <v>184</v>
      </c>
      <c r="D834" t="s">
        <v>592</v>
      </c>
      <c r="F834" t="str">
        <f>"250485"</f>
        <v>250485</v>
      </c>
      <c r="G834" t="s">
        <v>49</v>
      </c>
      <c r="H834" t="s">
        <v>594</v>
      </c>
      <c r="K834" t="s">
        <v>51</v>
      </c>
      <c r="L834" t="s">
        <v>52</v>
      </c>
      <c r="M834">
        <v>136212.04</v>
      </c>
      <c r="N834">
        <v>473003.41</v>
      </c>
      <c r="O834" t="s">
        <v>53</v>
      </c>
      <c r="P834" t="s">
        <v>54</v>
      </c>
      <c r="Q834" t="s">
        <v>55</v>
      </c>
      <c r="T834" t="s">
        <v>241</v>
      </c>
      <c r="U834">
        <v>40</v>
      </c>
      <c r="V834" s="1">
        <v>38169</v>
      </c>
      <c r="W834" s="1">
        <v>38169</v>
      </c>
      <c r="X834" s="1">
        <v>38169</v>
      </c>
      <c r="Y834" s="1">
        <v>52779</v>
      </c>
      <c r="Z834" t="s">
        <v>51</v>
      </c>
      <c r="AB834" t="s">
        <v>54</v>
      </c>
      <c r="AC834">
        <v>1</v>
      </c>
      <c r="AE834" t="s">
        <v>222</v>
      </c>
      <c r="AF834">
        <v>20</v>
      </c>
      <c r="AG834" s="1">
        <v>38169</v>
      </c>
      <c r="AH834" s="1">
        <v>38169</v>
      </c>
      <c r="AI834" s="1">
        <v>38169</v>
      </c>
      <c r="AJ834" s="1">
        <v>45474</v>
      </c>
      <c r="AK834" t="s">
        <v>51</v>
      </c>
      <c r="AN834">
        <v>0</v>
      </c>
      <c r="AO834" t="s">
        <v>54</v>
      </c>
      <c r="AP834" t="s">
        <v>53</v>
      </c>
      <c r="AQ834">
        <v>0</v>
      </c>
      <c r="AR834" t="s">
        <v>53</v>
      </c>
      <c r="AS834">
        <v>0</v>
      </c>
      <c r="AT834">
        <v>0</v>
      </c>
      <c r="CC834" t="s">
        <v>432</v>
      </c>
      <c r="CD834">
        <v>85000</v>
      </c>
      <c r="CE834" s="1">
        <v>42552</v>
      </c>
      <c r="CF834" s="1">
        <v>42552</v>
      </c>
      <c r="CG834" s="1">
        <v>42552</v>
      </c>
      <c r="CH834" s="1">
        <v>49714</v>
      </c>
      <c r="CI834" t="s">
        <v>51</v>
      </c>
      <c r="CK834" t="s">
        <v>78</v>
      </c>
      <c r="CM834" t="s">
        <v>54</v>
      </c>
      <c r="CN834" t="s">
        <v>174</v>
      </c>
      <c r="CO834" t="s">
        <v>86</v>
      </c>
      <c r="CR834">
        <v>24</v>
      </c>
      <c r="CS834">
        <v>0</v>
      </c>
      <c r="CT834">
        <v>0</v>
      </c>
      <c r="CU834">
        <v>0</v>
      </c>
    </row>
    <row r="835" spans="1:99" x14ac:dyDescent="0.2">
      <c r="A835" t="s">
        <v>180</v>
      </c>
      <c r="B835" t="s">
        <v>181</v>
      </c>
      <c r="C835" t="s">
        <v>184</v>
      </c>
      <c r="D835" t="s">
        <v>592</v>
      </c>
      <c r="F835" t="str">
        <f>"250486"</f>
        <v>250486</v>
      </c>
      <c r="G835" t="s">
        <v>49</v>
      </c>
      <c r="H835" t="s">
        <v>595</v>
      </c>
      <c r="K835" t="s">
        <v>51</v>
      </c>
      <c r="L835" t="s">
        <v>52</v>
      </c>
      <c r="M835">
        <v>136236.68</v>
      </c>
      <c r="N835">
        <v>473014.12</v>
      </c>
      <c r="O835" t="s">
        <v>53</v>
      </c>
      <c r="P835" t="s">
        <v>54</v>
      </c>
      <c r="Q835" t="s">
        <v>55</v>
      </c>
      <c r="T835" t="s">
        <v>588</v>
      </c>
      <c r="U835">
        <v>40</v>
      </c>
      <c r="V835" s="1">
        <v>27395</v>
      </c>
      <c r="W835" s="1">
        <v>27395</v>
      </c>
      <c r="X835" s="1">
        <v>27395</v>
      </c>
      <c r="Y835" s="1">
        <v>42005</v>
      </c>
      <c r="Z835" t="s">
        <v>51</v>
      </c>
      <c r="AB835" t="s">
        <v>54</v>
      </c>
      <c r="AC835">
        <v>1</v>
      </c>
      <c r="AE835" t="s">
        <v>222</v>
      </c>
      <c r="AF835">
        <v>20</v>
      </c>
      <c r="AG835" s="1">
        <v>36342</v>
      </c>
      <c r="AH835" s="1">
        <v>36342</v>
      </c>
      <c r="AI835" s="1">
        <v>36342</v>
      </c>
      <c r="AJ835" s="1">
        <v>43647</v>
      </c>
      <c r="AK835" t="s">
        <v>51</v>
      </c>
      <c r="AN835">
        <v>0</v>
      </c>
      <c r="AO835" t="s">
        <v>54</v>
      </c>
      <c r="AP835" t="s">
        <v>53</v>
      </c>
      <c r="AQ835">
        <v>0</v>
      </c>
      <c r="AR835" t="s">
        <v>53</v>
      </c>
      <c r="AS835">
        <v>0</v>
      </c>
      <c r="AT835">
        <v>0</v>
      </c>
      <c r="CC835" t="s">
        <v>432</v>
      </c>
      <c r="CD835">
        <v>85000</v>
      </c>
      <c r="CE835" s="1">
        <v>42552</v>
      </c>
      <c r="CF835" s="1">
        <v>42552</v>
      </c>
      <c r="CG835" s="1">
        <v>42552</v>
      </c>
      <c r="CH835" s="1">
        <v>49714</v>
      </c>
      <c r="CI835" t="s">
        <v>51</v>
      </c>
      <c r="CK835" t="s">
        <v>78</v>
      </c>
      <c r="CM835" t="s">
        <v>54</v>
      </c>
      <c r="CN835" t="s">
        <v>174</v>
      </c>
      <c r="CO835" t="s">
        <v>86</v>
      </c>
      <c r="CR835">
        <v>24</v>
      </c>
      <c r="CS835">
        <v>0</v>
      </c>
      <c r="CT835">
        <v>0</v>
      </c>
      <c r="CU835">
        <v>0</v>
      </c>
    </row>
    <row r="836" spans="1:99" x14ac:dyDescent="0.2">
      <c r="A836" t="s">
        <v>180</v>
      </c>
      <c r="B836" t="s">
        <v>181</v>
      </c>
      <c r="C836" t="s">
        <v>184</v>
      </c>
      <c r="D836" t="s">
        <v>592</v>
      </c>
      <c r="F836" t="str">
        <f>"250487"</f>
        <v>250487</v>
      </c>
      <c r="G836" t="s">
        <v>49</v>
      </c>
      <c r="H836">
        <v>32</v>
      </c>
      <c r="K836" t="s">
        <v>51</v>
      </c>
      <c r="L836" t="s">
        <v>52</v>
      </c>
      <c r="M836">
        <v>136245.54999999999</v>
      </c>
      <c r="N836">
        <v>473036.94</v>
      </c>
      <c r="O836" t="s">
        <v>53</v>
      </c>
      <c r="P836" t="s">
        <v>54</v>
      </c>
      <c r="Q836" t="s">
        <v>55</v>
      </c>
      <c r="T836" t="s">
        <v>588</v>
      </c>
      <c r="U836">
        <v>40</v>
      </c>
      <c r="V836" s="1">
        <v>36342</v>
      </c>
      <c r="W836" s="1">
        <v>36342</v>
      </c>
      <c r="X836" s="1">
        <v>36342</v>
      </c>
      <c r="Y836" s="1">
        <v>50952</v>
      </c>
      <c r="Z836" t="s">
        <v>51</v>
      </c>
      <c r="AB836" t="s">
        <v>54</v>
      </c>
      <c r="AC836">
        <v>1</v>
      </c>
      <c r="AE836" t="s">
        <v>222</v>
      </c>
      <c r="AF836">
        <v>20</v>
      </c>
      <c r="AG836" s="1">
        <v>36342</v>
      </c>
      <c r="AH836" s="1">
        <v>36342</v>
      </c>
      <c r="AI836" s="1">
        <v>36342</v>
      </c>
      <c r="AJ836" s="1">
        <v>43647</v>
      </c>
      <c r="AK836" t="s">
        <v>51</v>
      </c>
      <c r="AN836">
        <v>0</v>
      </c>
      <c r="AO836" t="s">
        <v>54</v>
      </c>
      <c r="AP836" t="s">
        <v>53</v>
      </c>
      <c r="AQ836">
        <v>0</v>
      </c>
      <c r="AR836" t="s">
        <v>53</v>
      </c>
      <c r="AS836">
        <v>0</v>
      </c>
      <c r="AT836">
        <v>0</v>
      </c>
      <c r="CC836" t="s">
        <v>432</v>
      </c>
      <c r="CD836">
        <v>85000</v>
      </c>
      <c r="CE836" s="1">
        <v>42552</v>
      </c>
      <c r="CF836" s="1">
        <v>42552</v>
      </c>
      <c r="CG836" s="1">
        <v>42552</v>
      </c>
      <c r="CH836" s="1">
        <v>49714</v>
      </c>
      <c r="CI836" t="s">
        <v>51</v>
      </c>
      <c r="CK836" t="s">
        <v>78</v>
      </c>
      <c r="CM836" t="s">
        <v>54</v>
      </c>
      <c r="CN836" t="s">
        <v>174</v>
      </c>
      <c r="CO836" t="s">
        <v>86</v>
      </c>
      <c r="CR836">
        <v>24</v>
      </c>
      <c r="CS836">
        <v>0</v>
      </c>
      <c r="CT836">
        <v>0</v>
      </c>
      <c r="CU836">
        <v>0</v>
      </c>
    </row>
    <row r="837" spans="1:99" x14ac:dyDescent="0.2">
      <c r="A837" t="s">
        <v>180</v>
      </c>
      <c r="B837" t="s">
        <v>181</v>
      </c>
      <c r="C837" t="s">
        <v>184</v>
      </c>
      <c r="D837" t="s">
        <v>592</v>
      </c>
      <c r="F837" t="str">
        <f>"250488"</f>
        <v>250488</v>
      </c>
      <c r="G837" t="s">
        <v>49</v>
      </c>
      <c r="H837" t="s">
        <v>143</v>
      </c>
      <c r="K837" t="s">
        <v>51</v>
      </c>
      <c r="L837" t="s">
        <v>52</v>
      </c>
      <c r="M837">
        <v>136269.15</v>
      </c>
      <c r="N837">
        <v>473026.67</v>
      </c>
      <c r="O837" t="s">
        <v>53</v>
      </c>
      <c r="P837" t="s">
        <v>54</v>
      </c>
      <c r="Q837" t="s">
        <v>55</v>
      </c>
      <c r="T837" t="s">
        <v>241</v>
      </c>
      <c r="U837">
        <v>40</v>
      </c>
      <c r="V837" s="1">
        <v>38899</v>
      </c>
      <c r="W837" s="1">
        <v>38899</v>
      </c>
      <c r="X837" s="1">
        <v>38899</v>
      </c>
      <c r="Y837" s="1">
        <v>53509</v>
      </c>
      <c r="Z837" t="s">
        <v>51</v>
      </c>
      <c r="AB837" t="s">
        <v>54</v>
      </c>
      <c r="AC837">
        <v>1</v>
      </c>
      <c r="AE837" t="s">
        <v>222</v>
      </c>
      <c r="AF837">
        <v>20</v>
      </c>
      <c r="AG837" s="1">
        <v>38899</v>
      </c>
      <c r="AH837" s="1">
        <v>38899</v>
      </c>
      <c r="AI837" s="1">
        <v>38899</v>
      </c>
      <c r="AJ837" s="1">
        <v>46204</v>
      </c>
      <c r="AK837" t="s">
        <v>51</v>
      </c>
      <c r="AN837">
        <v>0</v>
      </c>
      <c r="AO837" t="s">
        <v>54</v>
      </c>
      <c r="AP837" t="s">
        <v>53</v>
      </c>
      <c r="AQ837">
        <v>0</v>
      </c>
      <c r="AR837" t="s">
        <v>53</v>
      </c>
      <c r="AS837">
        <v>0</v>
      </c>
      <c r="AT837">
        <v>0</v>
      </c>
      <c r="CC837" t="s">
        <v>432</v>
      </c>
      <c r="CD837">
        <v>85000</v>
      </c>
      <c r="CE837" s="1">
        <v>42552</v>
      </c>
      <c r="CF837" s="1">
        <v>42552</v>
      </c>
      <c r="CG837" s="1">
        <v>42552</v>
      </c>
      <c r="CH837" s="1">
        <v>49714</v>
      </c>
      <c r="CI837" t="s">
        <v>51</v>
      </c>
      <c r="CK837" t="s">
        <v>78</v>
      </c>
      <c r="CM837" t="s">
        <v>54</v>
      </c>
      <c r="CN837" t="s">
        <v>174</v>
      </c>
      <c r="CO837" t="s">
        <v>86</v>
      </c>
      <c r="CR837">
        <v>24</v>
      </c>
      <c r="CS837">
        <v>0</v>
      </c>
      <c r="CT837">
        <v>0</v>
      </c>
      <c r="CU837">
        <v>0</v>
      </c>
    </row>
    <row r="838" spans="1:99" x14ac:dyDescent="0.2">
      <c r="A838" t="s">
        <v>180</v>
      </c>
      <c r="B838" t="s">
        <v>181</v>
      </c>
      <c r="C838" t="s">
        <v>184</v>
      </c>
      <c r="D838" t="s">
        <v>592</v>
      </c>
      <c r="F838" t="str">
        <f>"250489"</f>
        <v>250489</v>
      </c>
      <c r="G838" t="s">
        <v>49</v>
      </c>
      <c r="H838" t="s">
        <v>143</v>
      </c>
      <c r="K838" t="s">
        <v>51</v>
      </c>
      <c r="L838" t="s">
        <v>52</v>
      </c>
      <c r="M838">
        <v>136292.38</v>
      </c>
      <c r="N838">
        <v>473015.75</v>
      </c>
      <c r="O838" t="s">
        <v>53</v>
      </c>
      <c r="P838" t="s">
        <v>54</v>
      </c>
      <c r="Q838" t="s">
        <v>55</v>
      </c>
      <c r="T838" t="s">
        <v>241</v>
      </c>
      <c r="U838">
        <v>40</v>
      </c>
      <c r="V838" s="1">
        <v>38899</v>
      </c>
      <c r="W838" s="1">
        <v>38899</v>
      </c>
      <c r="X838" s="1">
        <v>38899</v>
      </c>
      <c r="Y838" s="1">
        <v>53509</v>
      </c>
      <c r="Z838" t="s">
        <v>51</v>
      </c>
      <c r="AB838" t="s">
        <v>54</v>
      </c>
      <c r="AC838">
        <v>1</v>
      </c>
      <c r="AE838" t="s">
        <v>222</v>
      </c>
      <c r="AF838">
        <v>20</v>
      </c>
      <c r="AG838" s="1">
        <v>36342</v>
      </c>
      <c r="AH838" s="1">
        <v>36342</v>
      </c>
      <c r="AI838" s="1">
        <v>38899</v>
      </c>
      <c r="AJ838" s="1">
        <v>43647</v>
      </c>
      <c r="AK838" t="s">
        <v>51</v>
      </c>
      <c r="AN838">
        <v>0</v>
      </c>
      <c r="AO838" t="s">
        <v>54</v>
      </c>
      <c r="AP838" t="s">
        <v>53</v>
      </c>
      <c r="AQ838">
        <v>0</v>
      </c>
      <c r="AR838" t="s">
        <v>53</v>
      </c>
      <c r="AS838">
        <v>0</v>
      </c>
      <c r="AT838">
        <v>0</v>
      </c>
      <c r="CC838" t="s">
        <v>432</v>
      </c>
      <c r="CD838">
        <v>85000</v>
      </c>
      <c r="CE838" s="1">
        <v>42552</v>
      </c>
      <c r="CF838" s="1">
        <v>42552</v>
      </c>
      <c r="CG838" s="1">
        <v>42552</v>
      </c>
      <c r="CH838" s="1">
        <v>49714</v>
      </c>
      <c r="CI838" t="s">
        <v>51</v>
      </c>
      <c r="CK838" t="s">
        <v>78</v>
      </c>
      <c r="CM838" t="s">
        <v>54</v>
      </c>
      <c r="CN838" t="s">
        <v>174</v>
      </c>
      <c r="CO838" t="s">
        <v>86</v>
      </c>
      <c r="CR838">
        <v>24</v>
      </c>
      <c r="CS838">
        <v>0</v>
      </c>
      <c r="CT838">
        <v>0</v>
      </c>
      <c r="CU838">
        <v>0</v>
      </c>
    </row>
    <row r="839" spans="1:99" x14ac:dyDescent="0.2">
      <c r="A839" t="s">
        <v>180</v>
      </c>
      <c r="B839" t="s">
        <v>181</v>
      </c>
      <c r="C839" t="s">
        <v>184</v>
      </c>
      <c r="D839" t="s">
        <v>592</v>
      </c>
      <c r="F839" t="str">
        <f>"250490"</f>
        <v>250490</v>
      </c>
      <c r="G839" t="s">
        <v>49</v>
      </c>
      <c r="H839" t="s">
        <v>507</v>
      </c>
      <c r="K839" t="s">
        <v>51</v>
      </c>
      <c r="L839" t="s">
        <v>52</v>
      </c>
      <c r="M839">
        <v>136319.38</v>
      </c>
      <c r="N839">
        <v>473004.3</v>
      </c>
      <c r="O839" t="s">
        <v>53</v>
      </c>
      <c r="P839" t="s">
        <v>54</v>
      </c>
      <c r="Q839" t="s">
        <v>55</v>
      </c>
      <c r="T839" t="s">
        <v>241</v>
      </c>
      <c r="U839">
        <v>40</v>
      </c>
      <c r="V839" s="1">
        <v>38899</v>
      </c>
      <c r="W839" s="1">
        <v>38899</v>
      </c>
      <c r="X839" s="1">
        <v>38899</v>
      </c>
      <c r="Y839" s="1">
        <v>53509</v>
      </c>
      <c r="Z839" t="s">
        <v>51</v>
      </c>
      <c r="AB839" t="s">
        <v>54</v>
      </c>
      <c r="AC839">
        <v>1</v>
      </c>
      <c r="AE839" t="s">
        <v>222</v>
      </c>
      <c r="AF839">
        <v>20</v>
      </c>
      <c r="AG839" s="1">
        <v>36342</v>
      </c>
      <c r="AH839" s="1">
        <v>36342</v>
      </c>
      <c r="AI839" s="1">
        <v>38899</v>
      </c>
      <c r="AJ839" s="1">
        <v>43647</v>
      </c>
      <c r="AK839" t="s">
        <v>51</v>
      </c>
      <c r="AN839">
        <v>0</v>
      </c>
      <c r="AO839" t="s">
        <v>54</v>
      </c>
      <c r="AP839" t="s">
        <v>53</v>
      </c>
      <c r="AQ839">
        <v>0</v>
      </c>
      <c r="AR839" t="s">
        <v>53</v>
      </c>
      <c r="AS839">
        <v>0</v>
      </c>
      <c r="AT839">
        <v>0</v>
      </c>
      <c r="CC839" t="s">
        <v>432</v>
      </c>
      <c r="CD839">
        <v>85000</v>
      </c>
      <c r="CE839" s="1">
        <v>42552</v>
      </c>
      <c r="CF839" s="1">
        <v>42552</v>
      </c>
      <c r="CG839" s="1">
        <v>42552</v>
      </c>
      <c r="CH839" s="1">
        <v>49714</v>
      </c>
      <c r="CI839" t="s">
        <v>51</v>
      </c>
      <c r="CK839" t="s">
        <v>78</v>
      </c>
      <c r="CM839" t="s">
        <v>54</v>
      </c>
      <c r="CN839" t="s">
        <v>174</v>
      </c>
      <c r="CO839" t="s">
        <v>86</v>
      </c>
      <c r="CR839">
        <v>24</v>
      </c>
      <c r="CS839">
        <v>0</v>
      </c>
      <c r="CT839">
        <v>0</v>
      </c>
      <c r="CU839">
        <v>0</v>
      </c>
    </row>
    <row r="840" spans="1:99" x14ac:dyDescent="0.2">
      <c r="A840" t="s">
        <v>180</v>
      </c>
      <c r="B840" t="s">
        <v>181</v>
      </c>
      <c r="C840" t="s">
        <v>184</v>
      </c>
      <c r="D840" t="s">
        <v>596</v>
      </c>
      <c r="F840" t="str">
        <f>"250491"</f>
        <v>250491</v>
      </c>
      <c r="G840" t="s">
        <v>49</v>
      </c>
      <c r="H840" t="s">
        <v>597</v>
      </c>
      <c r="K840" t="s">
        <v>51</v>
      </c>
      <c r="L840" t="s">
        <v>52</v>
      </c>
      <c r="M840">
        <v>136320.57</v>
      </c>
      <c r="N840">
        <v>472824.56</v>
      </c>
      <c r="O840" t="s">
        <v>53</v>
      </c>
      <c r="P840" t="s">
        <v>54</v>
      </c>
      <c r="Q840" t="s">
        <v>55</v>
      </c>
      <c r="T840" t="s">
        <v>241</v>
      </c>
      <c r="U840">
        <v>40</v>
      </c>
      <c r="V840" s="1">
        <v>35247</v>
      </c>
      <c r="W840" s="1">
        <v>35247</v>
      </c>
      <c r="X840" s="1">
        <v>35247</v>
      </c>
      <c r="Y840" s="1">
        <v>49857</v>
      </c>
      <c r="Z840" t="s">
        <v>51</v>
      </c>
      <c r="AB840" t="s">
        <v>54</v>
      </c>
      <c r="AC840">
        <v>1</v>
      </c>
      <c r="AE840" t="s">
        <v>222</v>
      </c>
      <c r="AF840">
        <v>20</v>
      </c>
      <c r="AG840" s="1">
        <v>36342</v>
      </c>
      <c r="AH840" s="1">
        <v>36342</v>
      </c>
      <c r="AI840" s="1">
        <v>36342</v>
      </c>
      <c r="AJ840" s="1">
        <v>43647</v>
      </c>
      <c r="AK840" t="s">
        <v>51</v>
      </c>
      <c r="AN840">
        <v>0</v>
      </c>
      <c r="AO840" t="s">
        <v>54</v>
      </c>
      <c r="AP840" t="s">
        <v>53</v>
      </c>
      <c r="AQ840">
        <v>0</v>
      </c>
      <c r="AR840" t="s">
        <v>53</v>
      </c>
      <c r="AS840">
        <v>0</v>
      </c>
      <c r="AT840">
        <v>0</v>
      </c>
      <c r="AW840" t="s">
        <v>58</v>
      </c>
      <c r="AX840">
        <v>20</v>
      </c>
      <c r="AY840" s="1">
        <v>36342</v>
      </c>
      <c r="AZ840" s="1">
        <v>36342</v>
      </c>
      <c r="BA840" s="1">
        <v>36342</v>
      </c>
      <c r="BB840" s="1">
        <v>43647</v>
      </c>
      <c r="BC840" t="s">
        <v>51</v>
      </c>
      <c r="BE840" t="s">
        <v>54</v>
      </c>
      <c r="BF840">
        <v>2</v>
      </c>
      <c r="BG840">
        <v>0</v>
      </c>
      <c r="BH840" t="s">
        <v>53</v>
      </c>
      <c r="BK840" t="s">
        <v>65</v>
      </c>
      <c r="BL840">
        <v>14000</v>
      </c>
      <c r="BM840" s="1">
        <v>41091</v>
      </c>
      <c r="BN840" s="1">
        <v>41091</v>
      </c>
      <c r="BO840" s="1">
        <v>41091</v>
      </c>
      <c r="BP840" s="1">
        <v>42291</v>
      </c>
      <c r="BQ840" t="s">
        <v>51</v>
      </c>
      <c r="BS840" t="s">
        <v>60</v>
      </c>
      <c r="BT840" t="s">
        <v>54</v>
      </c>
      <c r="BU840" t="s">
        <v>61</v>
      </c>
      <c r="BV840" t="s">
        <v>62</v>
      </c>
      <c r="BX840">
        <v>36</v>
      </c>
      <c r="BY840">
        <v>0</v>
      </c>
      <c r="BZ840">
        <v>0</v>
      </c>
    </row>
    <row r="841" spans="1:99" x14ac:dyDescent="0.2">
      <c r="A841" t="s">
        <v>180</v>
      </c>
      <c r="B841" t="s">
        <v>181</v>
      </c>
      <c r="C841" t="s">
        <v>184</v>
      </c>
      <c r="D841" t="s">
        <v>596</v>
      </c>
      <c r="F841" t="str">
        <f>"250492"</f>
        <v>250492</v>
      </c>
      <c r="G841" t="s">
        <v>49</v>
      </c>
      <c r="K841" t="s">
        <v>51</v>
      </c>
      <c r="L841" t="s">
        <v>52</v>
      </c>
      <c r="M841">
        <v>136338.92000000001</v>
      </c>
      <c r="N841">
        <v>472806.43</v>
      </c>
      <c r="O841" t="s">
        <v>53</v>
      </c>
      <c r="P841" t="s">
        <v>54</v>
      </c>
      <c r="Q841" t="s">
        <v>55</v>
      </c>
      <c r="T841" t="s">
        <v>241</v>
      </c>
      <c r="U841">
        <v>40</v>
      </c>
      <c r="V841" s="1">
        <v>35247</v>
      </c>
      <c r="W841" s="1">
        <v>35247</v>
      </c>
      <c r="X841" s="1">
        <v>35247</v>
      </c>
      <c r="Y841" s="1">
        <v>49857</v>
      </c>
      <c r="Z841" t="s">
        <v>51</v>
      </c>
      <c r="AB841" t="s">
        <v>54</v>
      </c>
      <c r="AC841">
        <v>1</v>
      </c>
      <c r="AE841" t="s">
        <v>222</v>
      </c>
      <c r="AF841">
        <v>20</v>
      </c>
      <c r="AG841" s="1">
        <v>35247</v>
      </c>
      <c r="AH841" s="1">
        <v>35247</v>
      </c>
      <c r="AI841" s="1">
        <v>35247</v>
      </c>
      <c r="AJ841" s="1">
        <v>42552</v>
      </c>
      <c r="AK841" t="s">
        <v>51</v>
      </c>
      <c r="AN841">
        <v>0</v>
      </c>
      <c r="AO841" t="s">
        <v>54</v>
      </c>
      <c r="AP841" t="s">
        <v>53</v>
      </c>
      <c r="AQ841">
        <v>0</v>
      </c>
      <c r="AR841" t="s">
        <v>53</v>
      </c>
      <c r="AS841">
        <v>0</v>
      </c>
      <c r="AT841">
        <v>0</v>
      </c>
      <c r="AW841" t="s">
        <v>58</v>
      </c>
      <c r="AX841">
        <v>20</v>
      </c>
      <c r="AY841" s="1">
        <v>35247</v>
      </c>
      <c r="AZ841" s="1">
        <v>35247</v>
      </c>
      <c r="BA841" s="1">
        <v>35247</v>
      </c>
      <c r="BB841" s="1">
        <v>42552</v>
      </c>
      <c r="BC841" t="s">
        <v>51</v>
      </c>
      <c r="BE841" t="s">
        <v>54</v>
      </c>
      <c r="BF841">
        <v>2</v>
      </c>
      <c r="BG841">
        <v>0</v>
      </c>
      <c r="BH841" t="s">
        <v>53</v>
      </c>
      <c r="BK841" t="s">
        <v>65</v>
      </c>
      <c r="BL841">
        <v>14000</v>
      </c>
      <c r="BM841" s="1">
        <v>45145</v>
      </c>
      <c r="BN841" s="1">
        <v>45145</v>
      </c>
      <c r="BO841" s="1">
        <v>45145</v>
      </c>
      <c r="BP841" s="1">
        <v>46327</v>
      </c>
      <c r="BQ841" t="s">
        <v>51</v>
      </c>
      <c r="BS841" t="s">
        <v>60</v>
      </c>
      <c r="BT841" t="s">
        <v>54</v>
      </c>
      <c r="BU841" t="s">
        <v>61</v>
      </c>
      <c r="BV841" t="s">
        <v>62</v>
      </c>
      <c r="BX841">
        <v>36</v>
      </c>
      <c r="BY841">
        <v>0</v>
      </c>
      <c r="BZ841">
        <v>0</v>
      </c>
    </row>
    <row r="842" spans="1:99" x14ac:dyDescent="0.2">
      <c r="A842" t="s">
        <v>180</v>
      </c>
      <c r="B842" t="s">
        <v>181</v>
      </c>
      <c r="C842" t="s">
        <v>184</v>
      </c>
      <c r="D842" t="s">
        <v>596</v>
      </c>
      <c r="F842" t="str">
        <f>"250493"</f>
        <v>250493</v>
      </c>
      <c r="G842" t="s">
        <v>49</v>
      </c>
      <c r="H842" t="s">
        <v>186</v>
      </c>
      <c r="K842" t="s">
        <v>51</v>
      </c>
      <c r="L842" t="s">
        <v>52</v>
      </c>
      <c r="M842">
        <v>136364.89000000001</v>
      </c>
      <c r="N842">
        <v>472803.98</v>
      </c>
      <c r="O842" t="s">
        <v>53</v>
      </c>
      <c r="P842" t="s">
        <v>54</v>
      </c>
      <c r="Q842" t="s">
        <v>55</v>
      </c>
      <c r="T842" t="s">
        <v>241</v>
      </c>
      <c r="U842">
        <v>40</v>
      </c>
      <c r="V842" s="1">
        <v>35247</v>
      </c>
      <c r="W842" s="1">
        <v>35247</v>
      </c>
      <c r="X842" s="1">
        <v>35247</v>
      </c>
      <c r="Y842" s="1">
        <v>49857</v>
      </c>
      <c r="Z842" t="s">
        <v>51</v>
      </c>
      <c r="AB842" t="s">
        <v>54</v>
      </c>
      <c r="AC842">
        <v>1</v>
      </c>
      <c r="AE842" t="s">
        <v>222</v>
      </c>
      <c r="AF842">
        <v>20</v>
      </c>
      <c r="AG842" s="1">
        <v>35247</v>
      </c>
      <c r="AH842" s="1">
        <v>35247</v>
      </c>
      <c r="AI842" s="1">
        <v>35247</v>
      </c>
      <c r="AJ842" s="1">
        <v>42552</v>
      </c>
      <c r="AK842" t="s">
        <v>51</v>
      </c>
      <c r="AN842">
        <v>0</v>
      </c>
      <c r="AO842" t="s">
        <v>54</v>
      </c>
      <c r="AP842" t="s">
        <v>53</v>
      </c>
      <c r="AQ842">
        <v>0</v>
      </c>
      <c r="AR842" t="s">
        <v>53</v>
      </c>
      <c r="AS842">
        <v>0</v>
      </c>
      <c r="AT842">
        <v>0</v>
      </c>
      <c r="AW842" t="s">
        <v>58</v>
      </c>
      <c r="AX842">
        <v>20</v>
      </c>
      <c r="AY842" s="1">
        <v>35247</v>
      </c>
      <c r="AZ842" s="1">
        <v>35247</v>
      </c>
      <c r="BA842" s="1">
        <v>35247</v>
      </c>
      <c r="BB842" s="1">
        <v>42552</v>
      </c>
      <c r="BC842" t="s">
        <v>51</v>
      </c>
      <c r="BE842" t="s">
        <v>54</v>
      </c>
      <c r="BF842">
        <v>2</v>
      </c>
      <c r="BG842">
        <v>0</v>
      </c>
      <c r="BH842" t="s">
        <v>53</v>
      </c>
      <c r="BK842" t="s">
        <v>65</v>
      </c>
      <c r="BL842">
        <v>14000</v>
      </c>
      <c r="BM842" s="1">
        <v>41091</v>
      </c>
      <c r="BN842" s="1">
        <v>41091</v>
      </c>
      <c r="BO842" s="1">
        <v>41091</v>
      </c>
      <c r="BP842" s="1">
        <v>42291</v>
      </c>
      <c r="BQ842" t="s">
        <v>51</v>
      </c>
      <c r="BS842" t="s">
        <v>60</v>
      </c>
      <c r="BT842" t="s">
        <v>54</v>
      </c>
      <c r="BU842" t="s">
        <v>61</v>
      </c>
      <c r="BV842" t="s">
        <v>62</v>
      </c>
      <c r="BX842">
        <v>36</v>
      </c>
      <c r="BY842">
        <v>0</v>
      </c>
      <c r="BZ842">
        <v>0</v>
      </c>
    </row>
    <row r="843" spans="1:99" x14ac:dyDescent="0.2">
      <c r="A843" t="s">
        <v>180</v>
      </c>
      <c r="B843" t="s">
        <v>181</v>
      </c>
      <c r="C843" t="s">
        <v>184</v>
      </c>
      <c r="D843" t="s">
        <v>596</v>
      </c>
      <c r="F843" t="str">
        <f>"250494"</f>
        <v>250494</v>
      </c>
      <c r="G843" t="s">
        <v>49</v>
      </c>
      <c r="K843" t="s">
        <v>51</v>
      </c>
      <c r="L843" t="s">
        <v>52</v>
      </c>
      <c r="M843">
        <v>136386.63</v>
      </c>
      <c r="N843">
        <v>472791.14</v>
      </c>
      <c r="O843" t="s">
        <v>53</v>
      </c>
      <c r="P843" t="s">
        <v>54</v>
      </c>
      <c r="Q843" t="s">
        <v>55</v>
      </c>
      <c r="T843" t="s">
        <v>241</v>
      </c>
      <c r="U843">
        <v>40</v>
      </c>
      <c r="V843" s="1">
        <v>35247</v>
      </c>
      <c r="W843" s="1">
        <v>35247</v>
      </c>
      <c r="X843" s="1">
        <v>35247</v>
      </c>
      <c r="Y843" s="1">
        <v>49857</v>
      </c>
      <c r="Z843" t="s">
        <v>51</v>
      </c>
      <c r="AB843" t="s">
        <v>54</v>
      </c>
      <c r="AC843">
        <v>1</v>
      </c>
      <c r="AE843" t="s">
        <v>222</v>
      </c>
      <c r="AF843">
        <v>20</v>
      </c>
      <c r="AG843" s="1">
        <v>35247</v>
      </c>
      <c r="AH843" s="1">
        <v>35247</v>
      </c>
      <c r="AI843" s="1">
        <v>35247</v>
      </c>
      <c r="AJ843" s="1">
        <v>42552</v>
      </c>
      <c r="AK843" t="s">
        <v>51</v>
      </c>
      <c r="AN843">
        <v>0</v>
      </c>
      <c r="AO843" t="s">
        <v>54</v>
      </c>
      <c r="AP843" t="s">
        <v>53</v>
      </c>
      <c r="AQ843">
        <v>0</v>
      </c>
      <c r="AR843" t="s">
        <v>53</v>
      </c>
      <c r="AS843">
        <v>0</v>
      </c>
      <c r="AT843">
        <v>0</v>
      </c>
      <c r="AW843" t="s">
        <v>58</v>
      </c>
      <c r="AX843">
        <v>20</v>
      </c>
      <c r="AY843" s="1">
        <v>35247</v>
      </c>
      <c r="AZ843" s="1">
        <v>35247</v>
      </c>
      <c r="BA843" s="1">
        <v>35247</v>
      </c>
      <c r="BB843" s="1">
        <v>42552</v>
      </c>
      <c r="BC843" t="s">
        <v>51</v>
      </c>
      <c r="BE843" t="s">
        <v>54</v>
      </c>
      <c r="BF843">
        <v>2</v>
      </c>
      <c r="BG843">
        <v>0</v>
      </c>
      <c r="BH843" t="s">
        <v>53</v>
      </c>
      <c r="BK843" t="s">
        <v>65</v>
      </c>
      <c r="BL843">
        <v>14000</v>
      </c>
      <c r="BM843" s="1">
        <v>41091</v>
      </c>
      <c r="BN843" s="1">
        <v>41091</v>
      </c>
      <c r="BO843" s="1">
        <v>41091</v>
      </c>
      <c r="BP843" s="1">
        <v>42291</v>
      </c>
      <c r="BQ843" t="s">
        <v>51</v>
      </c>
      <c r="BS843" t="s">
        <v>60</v>
      </c>
      <c r="BT843" t="s">
        <v>54</v>
      </c>
      <c r="BU843" t="s">
        <v>61</v>
      </c>
      <c r="BV843" t="s">
        <v>62</v>
      </c>
      <c r="BX843">
        <v>36</v>
      </c>
      <c r="BY843">
        <v>0</v>
      </c>
      <c r="BZ843">
        <v>0</v>
      </c>
    </row>
    <row r="844" spans="1:99" x14ac:dyDescent="0.2">
      <c r="A844" t="s">
        <v>180</v>
      </c>
      <c r="B844" t="s">
        <v>181</v>
      </c>
      <c r="C844" t="s">
        <v>184</v>
      </c>
      <c r="D844" t="s">
        <v>596</v>
      </c>
      <c r="F844" t="str">
        <f>"250495"</f>
        <v>250495</v>
      </c>
      <c r="G844" t="s">
        <v>49</v>
      </c>
      <c r="H844" t="s">
        <v>309</v>
      </c>
      <c r="K844" t="s">
        <v>51</v>
      </c>
      <c r="L844" t="s">
        <v>52</v>
      </c>
      <c r="M844">
        <v>136402.64000000001</v>
      </c>
      <c r="N844">
        <v>472774</v>
      </c>
      <c r="O844" t="s">
        <v>53</v>
      </c>
      <c r="P844" t="s">
        <v>54</v>
      </c>
      <c r="Q844" t="s">
        <v>55</v>
      </c>
      <c r="T844" t="s">
        <v>241</v>
      </c>
      <c r="U844">
        <v>40</v>
      </c>
      <c r="V844" s="1">
        <v>35247</v>
      </c>
      <c r="W844" s="1">
        <v>35247</v>
      </c>
      <c r="X844" s="1">
        <v>35247</v>
      </c>
      <c r="Y844" s="1">
        <v>49857</v>
      </c>
      <c r="Z844" t="s">
        <v>51</v>
      </c>
      <c r="AB844" t="s">
        <v>54</v>
      </c>
      <c r="AC844">
        <v>1</v>
      </c>
      <c r="AE844" t="s">
        <v>222</v>
      </c>
      <c r="AF844">
        <v>20</v>
      </c>
      <c r="AG844" s="1">
        <v>35247</v>
      </c>
      <c r="AH844" s="1">
        <v>35247</v>
      </c>
      <c r="AI844" s="1">
        <v>35247</v>
      </c>
      <c r="AJ844" s="1">
        <v>42552</v>
      </c>
      <c r="AK844" t="s">
        <v>51</v>
      </c>
      <c r="AN844">
        <v>0</v>
      </c>
      <c r="AO844" t="s">
        <v>54</v>
      </c>
      <c r="AP844" t="s">
        <v>53</v>
      </c>
      <c r="AQ844">
        <v>0</v>
      </c>
      <c r="AR844" t="s">
        <v>53</v>
      </c>
      <c r="AS844">
        <v>0</v>
      </c>
      <c r="AT844">
        <v>0</v>
      </c>
      <c r="AW844" t="s">
        <v>58</v>
      </c>
      <c r="AX844">
        <v>20</v>
      </c>
      <c r="AY844" s="1">
        <v>35247</v>
      </c>
      <c r="AZ844" s="1">
        <v>35247</v>
      </c>
      <c r="BA844" s="1">
        <v>35247</v>
      </c>
      <c r="BB844" s="1">
        <v>42552</v>
      </c>
      <c r="BC844" t="s">
        <v>51</v>
      </c>
      <c r="BE844" t="s">
        <v>54</v>
      </c>
      <c r="BF844">
        <v>2</v>
      </c>
      <c r="BG844">
        <v>0</v>
      </c>
      <c r="BH844" t="s">
        <v>53</v>
      </c>
      <c r="BK844" t="s">
        <v>65</v>
      </c>
      <c r="BL844">
        <v>14000</v>
      </c>
      <c r="BM844" s="1">
        <v>41091</v>
      </c>
      <c r="BN844" s="1">
        <v>41091</v>
      </c>
      <c r="BO844" s="1">
        <v>41091</v>
      </c>
      <c r="BP844" s="1">
        <v>42291</v>
      </c>
      <c r="BQ844" t="s">
        <v>51</v>
      </c>
      <c r="BS844" t="s">
        <v>60</v>
      </c>
      <c r="BT844" t="s">
        <v>54</v>
      </c>
      <c r="BU844" t="s">
        <v>61</v>
      </c>
      <c r="BV844" t="s">
        <v>62</v>
      </c>
      <c r="BX844">
        <v>36</v>
      </c>
      <c r="BY844">
        <v>0</v>
      </c>
      <c r="BZ844">
        <v>0</v>
      </c>
    </row>
    <row r="845" spans="1:99" x14ac:dyDescent="0.2">
      <c r="A845" t="s">
        <v>180</v>
      </c>
      <c r="B845" t="s">
        <v>181</v>
      </c>
      <c r="C845" t="s">
        <v>184</v>
      </c>
      <c r="D845" t="s">
        <v>596</v>
      </c>
      <c r="F845" t="str">
        <f>"250496"</f>
        <v>250496</v>
      </c>
      <c r="G845" t="s">
        <v>49</v>
      </c>
      <c r="H845" t="s">
        <v>203</v>
      </c>
      <c r="K845" t="s">
        <v>51</v>
      </c>
      <c r="L845" t="s">
        <v>52</v>
      </c>
      <c r="M845">
        <v>136429.57999999999</v>
      </c>
      <c r="N845">
        <v>472773.84</v>
      </c>
      <c r="O845" t="s">
        <v>53</v>
      </c>
      <c r="P845" t="s">
        <v>54</v>
      </c>
      <c r="Q845" t="s">
        <v>55</v>
      </c>
      <c r="T845" t="s">
        <v>241</v>
      </c>
      <c r="U845">
        <v>40</v>
      </c>
      <c r="V845" s="1">
        <v>35247</v>
      </c>
      <c r="W845" s="1">
        <v>35247</v>
      </c>
      <c r="X845" s="1">
        <v>35247</v>
      </c>
      <c r="Y845" s="1">
        <v>49857</v>
      </c>
      <c r="Z845" t="s">
        <v>51</v>
      </c>
      <c r="AB845" t="s">
        <v>54</v>
      </c>
      <c r="AC845">
        <v>1</v>
      </c>
      <c r="AE845" t="s">
        <v>222</v>
      </c>
      <c r="AF845">
        <v>20</v>
      </c>
      <c r="AG845" s="1">
        <v>35247</v>
      </c>
      <c r="AH845" s="1">
        <v>35247</v>
      </c>
      <c r="AI845" s="1">
        <v>35247</v>
      </c>
      <c r="AJ845" s="1">
        <v>42552</v>
      </c>
      <c r="AK845" t="s">
        <v>51</v>
      </c>
      <c r="AN845">
        <v>0</v>
      </c>
      <c r="AO845" t="s">
        <v>54</v>
      </c>
      <c r="AP845" t="s">
        <v>53</v>
      </c>
      <c r="AQ845">
        <v>0</v>
      </c>
      <c r="AR845" t="s">
        <v>53</v>
      </c>
      <c r="AS845">
        <v>0</v>
      </c>
      <c r="AT845">
        <v>0</v>
      </c>
      <c r="AW845" t="s">
        <v>58</v>
      </c>
      <c r="AX845">
        <v>20</v>
      </c>
      <c r="AY845" s="1">
        <v>35247</v>
      </c>
      <c r="AZ845" s="1">
        <v>35247</v>
      </c>
      <c r="BA845" s="1">
        <v>35247</v>
      </c>
      <c r="BB845" s="1">
        <v>42552</v>
      </c>
      <c r="BC845" t="s">
        <v>51</v>
      </c>
      <c r="BE845" t="s">
        <v>54</v>
      </c>
      <c r="BF845">
        <v>2</v>
      </c>
      <c r="BG845">
        <v>0</v>
      </c>
      <c r="BH845" t="s">
        <v>53</v>
      </c>
      <c r="BK845" t="s">
        <v>65</v>
      </c>
      <c r="BL845">
        <v>14000</v>
      </c>
      <c r="BM845" s="1">
        <v>45117</v>
      </c>
      <c r="BN845" s="1">
        <v>45117</v>
      </c>
      <c r="BO845" s="1">
        <v>45117</v>
      </c>
      <c r="BP845" s="1">
        <v>46313</v>
      </c>
      <c r="BQ845" t="s">
        <v>51</v>
      </c>
      <c r="BS845" t="s">
        <v>60</v>
      </c>
      <c r="BT845" t="s">
        <v>54</v>
      </c>
      <c r="BU845" t="s">
        <v>61</v>
      </c>
      <c r="BV845" t="s">
        <v>62</v>
      </c>
      <c r="BX845">
        <v>36</v>
      </c>
      <c r="BY845">
        <v>0</v>
      </c>
      <c r="BZ845">
        <v>0</v>
      </c>
    </row>
    <row r="846" spans="1:99" x14ac:dyDescent="0.2">
      <c r="A846" t="s">
        <v>180</v>
      </c>
      <c r="B846" t="s">
        <v>181</v>
      </c>
      <c r="C846" t="s">
        <v>184</v>
      </c>
      <c r="D846" t="s">
        <v>596</v>
      </c>
      <c r="F846" t="str">
        <f>"250497"</f>
        <v>250497</v>
      </c>
      <c r="G846" t="s">
        <v>49</v>
      </c>
      <c r="H846" t="s">
        <v>294</v>
      </c>
      <c r="K846" t="s">
        <v>51</v>
      </c>
      <c r="L846" t="s">
        <v>52</v>
      </c>
      <c r="M846">
        <v>136448.54999999999</v>
      </c>
      <c r="N846">
        <v>472752.06</v>
      </c>
      <c r="O846" t="s">
        <v>53</v>
      </c>
      <c r="P846" t="s">
        <v>54</v>
      </c>
      <c r="Q846" t="s">
        <v>55</v>
      </c>
      <c r="T846" t="s">
        <v>241</v>
      </c>
      <c r="U846">
        <v>40</v>
      </c>
      <c r="V846" s="1">
        <v>35247</v>
      </c>
      <c r="W846" s="1">
        <v>35247</v>
      </c>
      <c r="X846" s="1">
        <v>35247</v>
      </c>
      <c r="Y846" s="1">
        <v>49857</v>
      </c>
      <c r="Z846" t="s">
        <v>51</v>
      </c>
      <c r="AB846" t="s">
        <v>54</v>
      </c>
      <c r="AC846">
        <v>1</v>
      </c>
      <c r="AE846" t="s">
        <v>222</v>
      </c>
      <c r="AF846">
        <v>20</v>
      </c>
      <c r="AG846" s="1">
        <v>35247</v>
      </c>
      <c r="AH846" s="1">
        <v>35247</v>
      </c>
      <c r="AI846" s="1">
        <v>35247</v>
      </c>
      <c r="AJ846" s="1">
        <v>42552</v>
      </c>
      <c r="AK846" t="s">
        <v>51</v>
      </c>
      <c r="AN846">
        <v>0</v>
      </c>
      <c r="AO846" t="s">
        <v>54</v>
      </c>
      <c r="AP846" t="s">
        <v>53</v>
      </c>
      <c r="AQ846">
        <v>0</v>
      </c>
      <c r="AR846" t="s">
        <v>53</v>
      </c>
      <c r="AS846">
        <v>0</v>
      </c>
      <c r="AT846">
        <v>0</v>
      </c>
      <c r="AW846" t="s">
        <v>58</v>
      </c>
      <c r="AX846">
        <v>20</v>
      </c>
      <c r="AY846" s="1">
        <v>35247</v>
      </c>
      <c r="AZ846" s="1">
        <v>35247</v>
      </c>
      <c r="BA846" s="1">
        <v>35247</v>
      </c>
      <c r="BB846" s="1">
        <v>42552</v>
      </c>
      <c r="BC846" t="s">
        <v>51</v>
      </c>
      <c r="BE846" t="s">
        <v>54</v>
      </c>
      <c r="BF846">
        <v>2</v>
      </c>
      <c r="BG846">
        <v>0</v>
      </c>
      <c r="BH846" t="s">
        <v>53</v>
      </c>
      <c r="BK846" t="s">
        <v>65</v>
      </c>
      <c r="BL846">
        <v>14000</v>
      </c>
      <c r="BM846" s="1">
        <v>41091</v>
      </c>
      <c r="BN846" s="1">
        <v>41091</v>
      </c>
      <c r="BO846" s="1">
        <v>41091</v>
      </c>
      <c r="BP846" s="1">
        <v>42291</v>
      </c>
      <c r="BQ846" t="s">
        <v>51</v>
      </c>
      <c r="BS846" t="s">
        <v>60</v>
      </c>
      <c r="BT846" t="s">
        <v>54</v>
      </c>
      <c r="BU846" t="s">
        <v>61</v>
      </c>
      <c r="BV846" t="s">
        <v>62</v>
      </c>
      <c r="BX846">
        <v>36</v>
      </c>
      <c r="BY846">
        <v>0</v>
      </c>
      <c r="BZ846">
        <v>0</v>
      </c>
    </row>
    <row r="847" spans="1:99" x14ac:dyDescent="0.2">
      <c r="A847" t="s">
        <v>180</v>
      </c>
      <c r="B847" t="s">
        <v>181</v>
      </c>
      <c r="C847" t="s">
        <v>184</v>
      </c>
      <c r="D847" t="s">
        <v>596</v>
      </c>
      <c r="F847" t="str">
        <f>"250498"</f>
        <v>250498</v>
      </c>
      <c r="G847" t="s">
        <v>49</v>
      </c>
      <c r="H847" t="s">
        <v>598</v>
      </c>
      <c r="K847" t="s">
        <v>51</v>
      </c>
      <c r="L847" t="s">
        <v>52</v>
      </c>
      <c r="M847">
        <v>136477.57999999999</v>
      </c>
      <c r="N847">
        <v>472748.16</v>
      </c>
      <c r="O847" t="s">
        <v>53</v>
      </c>
      <c r="P847" t="s">
        <v>54</v>
      </c>
      <c r="Q847" t="s">
        <v>55</v>
      </c>
      <c r="T847" t="s">
        <v>241</v>
      </c>
      <c r="U847">
        <v>40</v>
      </c>
      <c r="V847" s="1">
        <v>35247</v>
      </c>
      <c r="W847" s="1">
        <v>35247</v>
      </c>
      <c r="X847" s="1">
        <v>35247</v>
      </c>
      <c r="Y847" s="1">
        <v>49857</v>
      </c>
      <c r="Z847" t="s">
        <v>51</v>
      </c>
      <c r="AB847" t="s">
        <v>54</v>
      </c>
      <c r="AC847">
        <v>1</v>
      </c>
      <c r="AE847" t="s">
        <v>222</v>
      </c>
      <c r="AF847">
        <v>20</v>
      </c>
      <c r="AG847" s="1">
        <v>35247</v>
      </c>
      <c r="AH847" s="1">
        <v>35247</v>
      </c>
      <c r="AI847" s="1">
        <v>35247</v>
      </c>
      <c r="AJ847" s="1">
        <v>42552</v>
      </c>
      <c r="AK847" t="s">
        <v>51</v>
      </c>
      <c r="AN847">
        <v>0</v>
      </c>
      <c r="AO847" t="s">
        <v>54</v>
      </c>
      <c r="AP847" t="s">
        <v>53</v>
      </c>
      <c r="AQ847">
        <v>0</v>
      </c>
      <c r="AR847" t="s">
        <v>53</v>
      </c>
      <c r="AS847">
        <v>0</v>
      </c>
      <c r="AT847">
        <v>0</v>
      </c>
      <c r="AW847" t="s">
        <v>58</v>
      </c>
      <c r="AX847">
        <v>20</v>
      </c>
      <c r="AY847" s="1">
        <v>35247</v>
      </c>
      <c r="AZ847" s="1">
        <v>35247</v>
      </c>
      <c r="BA847" s="1">
        <v>35247</v>
      </c>
      <c r="BB847" s="1">
        <v>42552</v>
      </c>
      <c r="BC847" t="s">
        <v>51</v>
      </c>
      <c r="BE847" t="s">
        <v>54</v>
      </c>
      <c r="BF847">
        <v>2</v>
      </c>
      <c r="BG847">
        <v>0</v>
      </c>
      <c r="BH847" t="s">
        <v>53</v>
      </c>
      <c r="BK847" t="s">
        <v>65</v>
      </c>
      <c r="BL847">
        <v>14000</v>
      </c>
      <c r="BM847" s="1">
        <v>45117</v>
      </c>
      <c r="BN847" s="1">
        <v>45117</v>
      </c>
      <c r="BO847" s="1">
        <v>45117</v>
      </c>
      <c r="BP847" s="1">
        <v>46313</v>
      </c>
      <c r="BQ847" t="s">
        <v>51</v>
      </c>
      <c r="BS847" t="s">
        <v>60</v>
      </c>
      <c r="BT847" t="s">
        <v>54</v>
      </c>
      <c r="BU847" t="s">
        <v>61</v>
      </c>
      <c r="BV847" t="s">
        <v>62</v>
      </c>
      <c r="BX847">
        <v>36</v>
      </c>
      <c r="BY847">
        <v>0</v>
      </c>
      <c r="BZ847">
        <v>0</v>
      </c>
    </row>
    <row r="848" spans="1:99" x14ac:dyDescent="0.2">
      <c r="A848" t="s">
        <v>180</v>
      </c>
      <c r="B848" t="s">
        <v>181</v>
      </c>
      <c r="C848" t="s">
        <v>184</v>
      </c>
      <c r="D848" t="s">
        <v>596</v>
      </c>
      <c r="F848" t="str">
        <f>"250499"</f>
        <v>250499</v>
      </c>
      <c r="G848" t="s">
        <v>49</v>
      </c>
      <c r="H848" t="s">
        <v>121</v>
      </c>
      <c r="K848" t="s">
        <v>51</v>
      </c>
      <c r="L848" t="s">
        <v>52</v>
      </c>
      <c r="M848">
        <v>136493.03</v>
      </c>
      <c r="N848">
        <v>472731.09</v>
      </c>
      <c r="O848" t="s">
        <v>53</v>
      </c>
      <c r="P848" t="s">
        <v>54</v>
      </c>
      <c r="Q848" t="s">
        <v>55</v>
      </c>
      <c r="T848" t="s">
        <v>241</v>
      </c>
      <c r="U848">
        <v>40</v>
      </c>
      <c r="V848" s="1">
        <v>35247</v>
      </c>
      <c r="W848" s="1">
        <v>35247</v>
      </c>
      <c r="X848" s="1">
        <v>35247</v>
      </c>
      <c r="Y848" s="1">
        <v>49857</v>
      </c>
      <c r="Z848" t="s">
        <v>51</v>
      </c>
      <c r="AB848" t="s">
        <v>54</v>
      </c>
      <c r="AC848">
        <v>1</v>
      </c>
      <c r="AE848" t="s">
        <v>222</v>
      </c>
      <c r="AF848">
        <v>20</v>
      </c>
      <c r="AG848" s="1">
        <v>35247</v>
      </c>
      <c r="AH848" s="1">
        <v>35247</v>
      </c>
      <c r="AI848" s="1">
        <v>35247</v>
      </c>
      <c r="AJ848" s="1">
        <v>42552</v>
      </c>
      <c r="AK848" t="s">
        <v>51</v>
      </c>
      <c r="AN848">
        <v>0</v>
      </c>
      <c r="AO848" t="s">
        <v>54</v>
      </c>
      <c r="AP848" t="s">
        <v>53</v>
      </c>
      <c r="AQ848">
        <v>0</v>
      </c>
      <c r="AR848" t="s">
        <v>53</v>
      </c>
      <c r="AS848">
        <v>0</v>
      </c>
      <c r="AT848">
        <v>0</v>
      </c>
      <c r="AW848" t="s">
        <v>58</v>
      </c>
      <c r="AX848">
        <v>20</v>
      </c>
      <c r="AY848" s="1">
        <v>35247</v>
      </c>
      <c r="AZ848" s="1">
        <v>35247</v>
      </c>
      <c r="BA848" s="1">
        <v>35247</v>
      </c>
      <c r="BB848" s="1">
        <v>42552</v>
      </c>
      <c r="BC848" t="s">
        <v>51</v>
      </c>
      <c r="BE848" t="s">
        <v>54</v>
      </c>
      <c r="BF848">
        <v>2</v>
      </c>
      <c r="BG848">
        <v>0</v>
      </c>
      <c r="BH848" t="s">
        <v>53</v>
      </c>
      <c r="BK848" t="s">
        <v>65</v>
      </c>
      <c r="BL848">
        <v>14000</v>
      </c>
      <c r="BM848" s="1">
        <v>41091</v>
      </c>
      <c r="BN848" s="1">
        <v>41091</v>
      </c>
      <c r="BO848" s="1">
        <v>41091</v>
      </c>
      <c r="BP848" s="1">
        <v>42291</v>
      </c>
      <c r="BQ848" t="s">
        <v>51</v>
      </c>
      <c r="BS848" t="s">
        <v>60</v>
      </c>
      <c r="BT848" t="s">
        <v>54</v>
      </c>
      <c r="BU848" t="s">
        <v>61</v>
      </c>
      <c r="BV848" t="s">
        <v>62</v>
      </c>
      <c r="BX848">
        <v>36</v>
      </c>
      <c r="BY848">
        <v>0</v>
      </c>
      <c r="BZ848">
        <v>0</v>
      </c>
    </row>
    <row r="849" spans="1:99" x14ac:dyDescent="0.2">
      <c r="A849" t="s">
        <v>180</v>
      </c>
      <c r="B849" t="s">
        <v>181</v>
      </c>
      <c r="C849" t="s">
        <v>184</v>
      </c>
      <c r="D849" t="s">
        <v>596</v>
      </c>
      <c r="F849" t="str">
        <f>"250500"</f>
        <v>250500</v>
      </c>
      <c r="G849" t="s">
        <v>49</v>
      </c>
      <c r="H849" t="s">
        <v>599</v>
      </c>
      <c r="K849" t="s">
        <v>51</v>
      </c>
      <c r="L849" t="s">
        <v>52</v>
      </c>
      <c r="M849">
        <v>136519.79</v>
      </c>
      <c r="N849">
        <v>472731.13</v>
      </c>
      <c r="O849" t="s">
        <v>53</v>
      </c>
      <c r="P849" t="s">
        <v>54</v>
      </c>
      <c r="Q849" t="s">
        <v>55</v>
      </c>
      <c r="T849" t="s">
        <v>241</v>
      </c>
      <c r="U849">
        <v>40</v>
      </c>
      <c r="V849" s="1">
        <v>35247</v>
      </c>
      <c r="W849" s="1">
        <v>35247</v>
      </c>
      <c r="X849" s="1">
        <v>35247</v>
      </c>
      <c r="Y849" s="1">
        <v>49857</v>
      </c>
      <c r="Z849" t="s">
        <v>51</v>
      </c>
      <c r="AB849" t="s">
        <v>54</v>
      </c>
      <c r="AC849">
        <v>1</v>
      </c>
      <c r="AE849" t="s">
        <v>222</v>
      </c>
      <c r="AF849">
        <v>20</v>
      </c>
      <c r="AG849" s="1">
        <v>35247</v>
      </c>
      <c r="AH849" s="1">
        <v>35247</v>
      </c>
      <c r="AI849" s="1">
        <v>35247</v>
      </c>
      <c r="AJ849" s="1">
        <v>42552</v>
      </c>
      <c r="AK849" t="s">
        <v>51</v>
      </c>
      <c r="AN849">
        <v>0</v>
      </c>
      <c r="AO849" t="s">
        <v>54</v>
      </c>
      <c r="AP849" t="s">
        <v>53</v>
      </c>
      <c r="AQ849">
        <v>0</v>
      </c>
      <c r="AR849" t="s">
        <v>53</v>
      </c>
      <c r="AS849">
        <v>0</v>
      </c>
      <c r="AT849">
        <v>0</v>
      </c>
      <c r="AW849" t="s">
        <v>58</v>
      </c>
      <c r="AX849">
        <v>20</v>
      </c>
      <c r="AY849" s="1">
        <v>35247</v>
      </c>
      <c r="AZ849" s="1">
        <v>35247</v>
      </c>
      <c r="BA849" s="1">
        <v>35247</v>
      </c>
      <c r="BB849" s="1">
        <v>42552</v>
      </c>
      <c r="BC849" t="s">
        <v>51</v>
      </c>
      <c r="BE849" t="s">
        <v>54</v>
      </c>
      <c r="BF849">
        <v>2</v>
      </c>
      <c r="BG849">
        <v>0</v>
      </c>
      <c r="BH849" t="s">
        <v>53</v>
      </c>
      <c r="BK849" t="s">
        <v>65</v>
      </c>
      <c r="BL849">
        <v>14000</v>
      </c>
      <c r="BM849" s="1">
        <v>41091</v>
      </c>
      <c r="BN849" s="1">
        <v>41091</v>
      </c>
      <c r="BO849" s="1">
        <v>41091</v>
      </c>
      <c r="BP849" s="1">
        <v>42291</v>
      </c>
      <c r="BQ849" t="s">
        <v>51</v>
      </c>
      <c r="BS849" t="s">
        <v>60</v>
      </c>
      <c r="BT849" t="s">
        <v>54</v>
      </c>
      <c r="BU849" t="s">
        <v>61</v>
      </c>
      <c r="BV849" t="s">
        <v>62</v>
      </c>
      <c r="BX849">
        <v>36</v>
      </c>
      <c r="BY849">
        <v>0</v>
      </c>
      <c r="BZ849">
        <v>0</v>
      </c>
    </row>
    <row r="850" spans="1:99" x14ac:dyDescent="0.2">
      <c r="A850" t="s">
        <v>180</v>
      </c>
      <c r="B850" t="s">
        <v>181</v>
      </c>
      <c r="C850" t="s">
        <v>184</v>
      </c>
      <c r="D850" t="s">
        <v>596</v>
      </c>
      <c r="F850" t="str">
        <f>"250501"</f>
        <v>250501</v>
      </c>
      <c r="G850" t="s">
        <v>49</v>
      </c>
      <c r="H850" t="s">
        <v>483</v>
      </c>
      <c r="K850" t="s">
        <v>51</v>
      </c>
      <c r="L850" t="s">
        <v>52</v>
      </c>
      <c r="M850">
        <v>136542.32</v>
      </c>
      <c r="N850">
        <v>472710.2</v>
      </c>
      <c r="O850" t="s">
        <v>53</v>
      </c>
      <c r="P850" t="s">
        <v>54</v>
      </c>
      <c r="Q850" t="s">
        <v>55</v>
      </c>
      <c r="T850" t="s">
        <v>241</v>
      </c>
      <c r="U850">
        <v>40</v>
      </c>
      <c r="V850" s="1">
        <v>35247</v>
      </c>
      <c r="W850" s="1">
        <v>35247</v>
      </c>
      <c r="X850" s="1">
        <v>35247</v>
      </c>
      <c r="Y850" s="1">
        <v>49857</v>
      </c>
      <c r="Z850" t="s">
        <v>51</v>
      </c>
      <c r="AB850" t="s">
        <v>54</v>
      </c>
      <c r="AC850">
        <v>1</v>
      </c>
      <c r="AE850" t="s">
        <v>222</v>
      </c>
      <c r="AF850">
        <v>20</v>
      </c>
      <c r="AG850" s="1">
        <v>35247</v>
      </c>
      <c r="AH850" s="1">
        <v>35247</v>
      </c>
      <c r="AI850" s="1">
        <v>35247</v>
      </c>
      <c r="AJ850" s="1">
        <v>42552</v>
      </c>
      <c r="AK850" t="s">
        <v>51</v>
      </c>
      <c r="AN850">
        <v>0</v>
      </c>
      <c r="AO850" t="s">
        <v>54</v>
      </c>
      <c r="AP850" t="s">
        <v>53</v>
      </c>
      <c r="AQ850">
        <v>0</v>
      </c>
      <c r="AR850" t="s">
        <v>53</v>
      </c>
      <c r="AS850">
        <v>0</v>
      </c>
      <c r="AT850">
        <v>0</v>
      </c>
      <c r="AW850" t="s">
        <v>58</v>
      </c>
      <c r="AX850">
        <v>20</v>
      </c>
      <c r="AY850" s="1">
        <v>35247</v>
      </c>
      <c r="AZ850" s="1">
        <v>35247</v>
      </c>
      <c r="BA850" s="1">
        <v>35247</v>
      </c>
      <c r="BB850" s="1">
        <v>42552</v>
      </c>
      <c r="BC850" t="s">
        <v>51</v>
      </c>
      <c r="BE850" t="s">
        <v>54</v>
      </c>
      <c r="BF850">
        <v>2</v>
      </c>
      <c r="BG850">
        <v>0</v>
      </c>
      <c r="BH850" t="s">
        <v>53</v>
      </c>
      <c r="BK850" t="s">
        <v>65</v>
      </c>
      <c r="BL850">
        <v>14000</v>
      </c>
      <c r="BM850" s="1">
        <v>41091</v>
      </c>
      <c r="BN850" s="1">
        <v>41091</v>
      </c>
      <c r="BO850" s="1">
        <v>41091</v>
      </c>
      <c r="BP850" s="1">
        <v>42291</v>
      </c>
      <c r="BQ850" t="s">
        <v>51</v>
      </c>
      <c r="BS850" t="s">
        <v>60</v>
      </c>
      <c r="BT850" t="s">
        <v>54</v>
      </c>
      <c r="BU850" t="s">
        <v>61</v>
      </c>
      <c r="BV850" t="s">
        <v>62</v>
      </c>
      <c r="BX850">
        <v>36</v>
      </c>
      <c r="BY850">
        <v>0</v>
      </c>
      <c r="BZ850">
        <v>0</v>
      </c>
    </row>
    <row r="851" spans="1:99" x14ac:dyDescent="0.2">
      <c r="A851" t="s">
        <v>180</v>
      </c>
      <c r="B851" t="s">
        <v>181</v>
      </c>
      <c r="C851" t="s">
        <v>184</v>
      </c>
      <c r="D851" t="s">
        <v>596</v>
      </c>
      <c r="F851" t="str">
        <f>"250502"</f>
        <v>250502</v>
      </c>
      <c r="G851" t="s">
        <v>49</v>
      </c>
      <c r="H851" t="s">
        <v>600</v>
      </c>
      <c r="K851" t="s">
        <v>51</v>
      </c>
      <c r="L851" t="s">
        <v>52</v>
      </c>
      <c r="M851">
        <v>136563.76999999999</v>
      </c>
      <c r="N851">
        <v>472710.7</v>
      </c>
      <c r="O851" t="s">
        <v>53</v>
      </c>
      <c r="P851" t="s">
        <v>54</v>
      </c>
      <c r="Q851" t="s">
        <v>55</v>
      </c>
      <c r="T851" t="s">
        <v>241</v>
      </c>
      <c r="U851">
        <v>40</v>
      </c>
      <c r="V851" s="1">
        <v>35247</v>
      </c>
      <c r="W851" s="1">
        <v>35247</v>
      </c>
      <c r="X851" s="1">
        <v>35247</v>
      </c>
      <c r="Y851" s="1">
        <v>49857</v>
      </c>
      <c r="Z851" t="s">
        <v>51</v>
      </c>
      <c r="AB851" t="s">
        <v>54</v>
      </c>
      <c r="AC851">
        <v>1</v>
      </c>
      <c r="AE851" t="s">
        <v>222</v>
      </c>
      <c r="AF851">
        <v>20</v>
      </c>
      <c r="AG851" s="1">
        <v>38534</v>
      </c>
      <c r="AH851" s="1">
        <v>38534</v>
      </c>
      <c r="AI851" s="1">
        <v>38534</v>
      </c>
      <c r="AJ851" s="1">
        <v>45839</v>
      </c>
      <c r="AK851" t="s">
        <v>51</v>
      </c>
      <c r="AN851">
        <v>0</v>
      </c>
      <c r="AO851" t="s">
        <v>54</v>
      </c>
      <c r="AP851" t="s">
        <v>53</v>
      </c>
      <c r="AQ851">
        <v>0</v>
      </c>
      <c r="AR851" t="s">
        <v>53</v>
      </c>
      <c r="AS851">
        <v>0</v>
      </c>
      <c r="AT851">
        <v>0</v>
      </c>
      <c r="AW851" t="s">
        <v>58</v>
      </c>
      <c r="AX851">
        <v>20</v>
      </c>
      <c r="AY851" s="1">
        <v>38534</v>
      </c>
      <c r="AZ851" s="1">
        <v>38534</v>
      </c>
      <c r="BA851" s="1">
        <v>38534</v>
      </c>
      <c r="BB851" s="1">
        <v>45839</v>
      </c>
      <c r="BC851" t="s">
        <v>51</v>
      </c>
      <c r="BE851" t="s">
        <v>54</v>
      </c>
      <c r="BF851">
        <v>2</v>
      </c>
      <c r="BG851">
        <v>0</v>
      </c>
      <c r="BH851" t="s">
        <v>53</v>
      </c>
      <c r="BK851" t="s">
        <v>65</v>
      </c>
      <c r="BL851">
        <v>14000</v>
      </c>
      <c r="BM851" s="1">
        <v>44424</v>
      </c>
      <c r="BN851" s="1">
        <v>44424</v>
      </c>
      <c r="BO851" s="1">
        <v>44424</v>
      </c>
      <c r="BP851" s="1">
        <v>45602</v>
      </c>
      <c r="BQ851" t="s">
        <v>51</v>
      </c>
      <c r="BS851" t="s">
        <v>60</v>
      </c>
      <c r="BT851" t="s">
        <v>54</v>
      </c>
      <c r="BU851" t="s">
        <v>61</v>
      </c>
      <c r="BV851" t="s">
        <v>62</v>
      </c>
      <c r="BX851">
        <v>36</v>
      </c>
      <c r="BY851">
        <v>0</v>
      </c>
      <c r="BZ851">
        <v>0</v>
      </c>
    </row>
    <row r="852" spans="1:99" x14ac:dyDescent="0.2">
      <c r="A852" t="s">
        <v>180</v>
      </c>
      <c r="B852" t="s">
        <v>181</v>
      </c>
      <c r="C852" t="s">
        <v>184</v>
      </c>
      <c r="D852" t="s">
        <v>596</v>
      </c>
      <c r="F852" t="str">
        <f>"250503"</f>
        <v>250503</v>
      </c>
      <c r="G852" t="s">
        <v>49</v>
      </c>
      <c r="K852" t="s">
        <v>51</v>
      </c>
      <c r="L852" t="s">
        <v>52</v>
      </c>
      <c r="M852">
        <v>136586.76999999999</v>
      </c>
      <c r="N852">
        <v>472690.99</v>
      </c>
      <c r="O852" t="s">
        <v>53</v>
      </c>
      <c r="P852" t="s">
        <v>54</v>
      </c>
      <c r="Q852" t="s">
        <v>55</v>
      </c>
      <c r="T852" t="s">
        <v>241</v>
      </c>
      <c r="U852">
        <v>40</v>
      </c>
      <c r="V852" s="1">
        <v>35247</v>
      </c>
      <c r="W852" s="1">
        <v>35247</v>
      </c>
      <c r="X852" s="1">
        <v>35247</v>
      </c>
      <c r="Y852" s="1">
        <v>49857</v>
      </c>
      <c r="Z852" t="s">
        <v>51</v>
      </c>
      <c r="AB852" t="s">
        <v>54</v>
      </c>
      <c r="AC852">
        <v>1</v>
      </c>
      <c r="AE852" t="s">
        <v>222</v>
      </c>
      <c r="AF852">
        <v>20</v>
      </c>
      <c r="AG852" s="1">
        <v>35247</v>
      </c>
      <c r="AH852" s="1">
        <v>35247</v>
      </c>
      <c r="AI852" s="1">
        <v>35247</v>
      </c>
      <c r="AJ852" s="1">
        <v>42552</v>
      </c>
      <c r="AK852" t="s">
        <v>51</v>
      </c>
      <c r="AN852">
        <v>0</v>
      </c>
      <c r="AO852" t="s">
        <v>54</v>
      </c>
      <c r="AP852" t="s">
        <v>53</v>
      </c>
      <c r="AQ852">
        <v>0</v>
      </c>
      <c r="AR852" t="s">
        <v>53</v>
      </c>
      <c r="AS852">
        <v>0</v>
      </c>
      <c r="AT852">
        <v>0</v>
      </c>
      <c r="AW852" t="s">
        <v>58</v>
      </c>
      <c r="AX852">
        <v>20</v>
      </c>
      <c r="AY852" s="1">
        <v>35247</v>
      </c>
      <c r="AZ852" s="1">
        <v>35247</v>
      </c>
      <c r="BA852" s="1">
        <v>35247</v>
      </c>
      <c r="BB852" s="1">
        <v>42552</v>
      </c>
      <c r="BC852" t="s">
        <v>51</v>
      </c>
      <c r="BE852" t="s">
        <v>54</v>
      </c>
      <c r="BF852">
        <v>2</v>
      </c>
      <c r="BG852">
        <v>0</v>
      </c>
      <c r="BH852" t="s">
        <v>53</v>
      </c>
      <c r="BK852" t="s">
        <v>65</v>
      </c>
      <c r="BL852">
        <v>14000</v>
      </c>
      <c r="BM852" s="1">
        <v>41091</v>
      </c>
      <c r="BN852" s="1">
        <v>41091</v>
      </c>
      <c r="BO852" s="1">
        <v>41091</v>
      </c>
      <c r="BP852" s="1">
        <v>42291</v>
      </c>
      <c r="BQ852" t="s">
        <v>51</v>
      </c>
      <c r="BS852" t="s">
        <v>60</v>
      </c>
      <c r="BT852" t="s">
        <v>54</v>
      </c>
      <c r="BU852" t="s">
        <v>61</v>
      </c>
      <c r="BV852" t="s">
        <v>62</v>
      </c>
      <c r="BX852">
        <v>36</v>
      </c>
      <c r="BY852">
        <v>0</v>
      </c>
      <c r="BZ852">
        <v>0</v>
      </c>
    </row>
    <row r="853" spans="1:99" x14ac:dyDescent="0.2">
      <c r="A853" t="s">
        <v>180</v>
      </c>
      <c r="B853" t="s">
        <v>181</v>
      </c>
      <c r="C853" t="s">
        <v>184</v>
      </c>
      <c r="D853" t="s">
        <v>596</v>
      </c>
      <c r="F853" t="str">
        <f>"250504"</f>
        <v>250504</v>
      </c>
      <c r="G853" t="s">
        <v>49</v>
      </c>
      <c r="K853" t="s">
        <v>51</v>
      </c>
      <c r="L853" t="s">
        <v>52</v>
      </c>
      <c r="M853">
        <v>136614.31</v>
      </c>
      <c r="N853">
        <v>472678.21</v>
      </c>
      <c r="O853" t="s">
        <v>53</v>
      </c>
      <c r="P853" t="s">
        <v>54</v>
      </c>
      <c r="Q853" t="s">
        <v>55</v>
      </c>
      <c r="T853" t="s">
        <v>241</v>
      </c>
      <c r="U853">
        <v>40</v>
      </c>
      <c r="V853" s="1">
        <v>35247</v>
      </c>
      <c r="W853" s="1">
        <v>35247</v>
      </c>
      <c r="X853" s="1">
        <v>35247</v>
      </c>
      <c r="Y853" s="1">
        <v>49857</v>
      </c>
      <c r="Z853" t="s">
        <v>51</v>
      </c>
      <c r="AB853" t="s">
        <v>54</v>
      </c>
      <c r="AC853">
        <v>1</v>
      </c>
      <c r="AE853" t="s">
        <v>222</v>
      </c>
      <c r="AF853">
        <v>20</v>
      </c>
      <c r="AG853" s="1">
        <v>35247</v>
      </c>
      <c r="AH853" s="1">
        <v>35247</v>
      </c>
      <c r="AI853" s="1">
        <v>35247</v>
      </c>
      <c r="AJ853" s="1">
        <v>42552</v>
      </c>
      <c r="AK853" t="s">
        <v>51</v>
      </c>
      <c r="AN853">
        <v>0</v>
      </c>
      <c r="AO853" t="s">
        <v>54</v>
      </c>
      <c r="AP853" t="s">
        <v>53</v>
      </c>
      <c r="AQ853">
        <v>0</v>
      </c>
      <c r="AR853" t="s">
        <v>53</v>
      </c>
      <c r="AS853">
        <v>0</v>
      </c>
      <c r="AT853">
        <v>0</v>
      </c>
      <c r="AW853" t="s">
        <v>58</v>
      </c>
      <c r="AX853">
        <v>20</v>
      </c>
      <c r="AY853" s="1">
        <v>35247</v>
      </c>
      <c r="AZ853" s="1">
        <v>35247</v>
      </c>
      <c r="BA853" s="1">
        <v>35247</v>
      </c>
      <c r="BB853" s="1">
        <v>42552</v>
      </c>
      <c r="BC853" t="s">
        <v>51</v>
      </c>
      <c r="BE853" t="s">
        <v>54</v>
      </c>
      <c r="BF853">
        <v>2</v>
      </c>
      <c r="BG853">
        <v>0</v>
      </c>
      <c r="BH853" t="s">
        <v>53</v>
      </c>
      <c r="BK853" t="s">
        <v>65</v>
      </c>
      <c r="BL853">
        <v>14000</v>
      </c>
      <c r="BM853" s="1">
        <v>41091</v>
      </c>
      <c r="BN853" s="1">
        <v>41091</v>
      </c>
      <c r="BO853" s="1">
        <v>41091</v>
      </c>
      <c r="BP853" s="1">
        <v>42291</v>
      </c>
      <c r="BQ853" t="s">
        <v>51</v>
      </c>
      <c r="BS853" t="s">
        <v>60</v>
      </c>
      <c r="BT853" t="s">
        <v>54</v>
      </c>
      <c r="BU853" t="s">
        <v>61</v>
      </c>
      <c r="BV853" t="s">
        <v>62</v>
      </c>
      <c r="BX853">
        <v>36</v>
      </c>
      <c r="BY853">
        <v>0</v>
      </c>
      <c r="BZ853">
        <v>0</v>
      </c>
    </row>
    <row r="854" spans="1:99" x14ac:dyDescent="0.2">
      <c r="A854" t="s">
        <v>180</v>
      </c>
      <c r="B854" t="s">
        <v>181</v>
      </c>
      <c r="C854" t="s">
        <v>184</v>
      </c>
      <c r="D854" t="s">
        <v>596</v>
      </c>
      <c r="F854" t="str">
        <f>"250505"</f>
        <v>250505</v>
      </c>
      <c r="G854" t="s">
        <v>49</v>
      </c>
      <c r="H854" t="s">
        <v>601</v>
      </c>
      <c r="K854" t="s">
        <v>51</v>
      </c>
      <c r="L854" t="s">
        <v>52</v>
      </c>
      <c r="M854">
        <v>136642.88</v>
      </c>
      <c r="N854">
        <v>472675.67</v>
      </c>
      <c r="O854" t="s">
        <v>53</v>
      </c>
      <c r="P854" t="s">
        <v>54</v>
      </c>
      <c r="Q854" t="s">
        <v>55</v>
      </c>
      <c r="T854" t="s">
        <v>241</v>
      </c>
      <c r="U854">
        <v>40</v>
      </c>
      <c r="V854" s="1">
        <v>35247</v>
      </c>
      <c r="W854" s="1">
        <v>35247</v>
      </c>
      <c r="X854" s="1">
        <v>35247</v>
      </c>
      <c r="Y854" s="1">
        <v>49857</v>
      </c>
      <c r="Z854" t="s">
        <v>51</v>
      </c>
      <c r="AB854" t="s">
        <v>54</v>
      </c>
      <c r="AC854">
        <v>1</v>
      </c>
      <c r="AE854" t="s">
        <v>222</v>
      </c>
      <c r="AF854">
        <v>20</v>
      </c>
      <c r="AG854" s="1">
        <v>35247</v>
      </c>
      <c r="AH854" s="1">
        <v>35247</v>
      </c>
      <c r="AI854" s="1">
        <v>35247</v>
      </c>
      <c r="AJ854" s="1">
        <v>42552</v>
      </c>
      <c r="AK854" t="s">
        <v>51</v>
      </c>
      <c r="AN854">
        <v>0</v>
      </c>
      <c r="AO854" t="s">
        <v>54</v>
      </c>
      <c r="AP854" t="s">
        <v>53</v>
      </c>
      <c r="AQ854">
        <v>0</v>
      </c>
      <c r="AR854" t="s">
        <v>53</v>
      </c>
      <c r="AS854">
        <v>0</v>
      </c>
      <c r="AT854">
        <v>0</v>
      </c>
      <c r="AW854" t="s">
        <v>58</v>
      </c>
      <c r="AX854">
        <v>20</v>
      </c>
      <c r="AY854" s="1">
        <v>35247</v>
      </c>
      <c r="AZ854" s="1">
        <v>35247</v>
      </c>
      <c r="BA854" s="1">
        <v>35247</v>
      </c>
      <c r="BB854" s="1">
        <v>42552</v>
      </c>
      <c r="BC854" t="s">
        <v>51</v>
      </c>
      <c r="BE854" t="s">
        <v>54</v>
      </c>
      <c r="BF854">
        <v>2</v>
      </c>
      <c r="BG854">
        <v>0</v>
      </c>
      <c r="BH854" t="s">
        <v>53</v>
      </c>
      <c r="BK854" t="s">
        <v>65</v>
      </c>
      <c r="BL854">
        <v>14000</v>
      </c>
      <c r="BM854" s="1">
        <v>41091</v>
      </c>
      <c r="BN854" s="1">
        <v>41091</v>
      </c>
      <c r="BO854" s="1">
        <v>41091</v>
      </c>
      <c r="BP854" s="1">
        <v>42291</v>
      </c>
      <c r="BQ854" t="s">
        <v>51</v>
      </c>
      <c r="BS854" t="s">
        <v>60</v>
      </c>
      <c r="BT854" t="s">
        <v>54</v>
      </c>
      <c r="BU854" t="s">
        <v>61</v>
      </c>
      <c r="BV854" t="s">
        <v>62</v>
      </c>
      <c r="BX854">
        <v>36</v>
      </c>
      <c r="BY854">
        <v>0</v>
      </c>
      <c r="BZ854">
        <v>0</v>
      </c>
    </row>
    <row r="855" spans="1:99" x14ac:dyDescent="0.2">
      <c r="A855" t="s">
        <v>180</v>
      </c>
      <c r="B855" t="s">
        <v>181</v>
      </c>
      <c r="C855" t="s">
        <v>184</v>
      </c>
      <c r="D855" t="s">
        <v>596</v>
      </c>
      <c r="F855" t="str">
        <f>"250506"</f>
        <v>250506</v>
      </c>
      <c r="G855" t="s">
        <v>49</v>
      </c>
      <c r="H855" t="s">
        <v>472</v>
      </c>
      <c r="K855" t="s">
        <v>51</v>
      </c>
      <c r="L855" t="s">
        <v>52</v>
      </c>
      <c r="M855">
        <v>136659.44</v>
      </c>
      <c r="N855">
        <v>472658.36</v>
      </c>
      <c r="O855" t="s">
        <v>53</v>
      </c>
      <c r="P855" t="s">
        <v>54</v>
      </c>
      <c r="Q855" t="s">
        <v>55</v>
      </c>
      <c r="T855" t="s">
        <v>241</v>
      </c>
      <c r="U855">
        <v>40</v>
      </c>
      <c r="V855" s="1">
        <v>36708</v>
      </c>
      <c r="W855" s="1">
        <v>36708</v>
      </c>
      <c r="X855" s="1">
        <v>36708</v>
      </c>
      <c r="Y855" s="1">
        <v>51318</v>
      </c>
      <c r="Z855" t="s">
        <v>51</v>
      </c>
      <c r="AB855" t="s">
        <v>54</v>
      </c>
      <c r="AC855">
        <v>1</v>
      </c>
      <c r="AE855" t="s">
        <v>222</v>
      </c>
      <c r="AF855">
        <v>20</v>
      </c>
      <c r="AG855" s="1">
        <v>35247</v>
      </c>
      <c r="AH855" s="1">
        <v>35247</v>
      </c>
      <c r="AI855" s="1">
        <v>36708</v>
      </c>
      <c r="AJ855" s="1">
        <v>42552</v>
      </c>
      <c r="AK855" t="s">
        <v>51</v>
      </c>
      <c r="AN855">
        <v>0</v>
      </c>
      <c r="AO855" t="s">
        <v>54</v>
      </c>
      <c r="AP855" t="s">
        <v>53</v>
      </c>
      <c r="AQ855">
        <v>0</v>
      </c>
      <c r="AR855" t="s">
        <v>53</v>
      </c>
      <c r="AS855">
        <v>0</v>
      </c>
      <c r="AT855">
        <v>0</v>
      </c>
      <c r="AW855" t="s">
        <v>58</v>
      </c>
      <c r="AX855">
        <v>20</v>
      </c>
      <c r="AY855" s="1">
        <v>35247</v>
      </c>
      <c r="AZ855" s="1">
        <v>35247</v>
      </c>
      <c r="BA855" s="1">
        <v>36708</v>
      </c>
      <c r="BB855" s="1">
        <v>42552</v>
      </c>
      <c r="BC855" t="s">
        <v>51</v>
      </c>
      <c r="BE855" t="s">
        <v>54</v>
      </c>
      <c r="BF855">
        <v>2</v>
      </c>
      <c r="BG855">
        <v>0</v>
      </c>
      <c r="BH855" t="s">
        <v>53</v>
      </c>
      <c r="BK855" t="s">
        <v>65</v>
      </c>
      <c r="BL855">
        <v>14000</v>
      </c>
      <c r="BM855" s="1">
        <v>41091</v>
      </c>
      <c r="BN855" s="1">
        <v>41091</v>
      </c>
      <c r="BO855" s="1">
        <v>41091</v>
      </c>
      <c r="BP855" s="1">
        <v>42291</v>
      </c>
      <c r="BQ855" t="s">
        <v>51</v>
      </c>
      <c r="BS855" t="s">
        <v>60</v>
      </c>
      <c r="BT855" t="s">
        <v>54</v>
      </c>
      <c r="BU855" t="s">
        <v>61</v>
      </c>
      <c r="BV855" t="s">
        <v>62</v>
      </c>
      <c r="BX855">
        <v>36</v>
      </c>
      <c r="BY855">
        <v>0</v>
      </c>
      <c r="BZ855">
        <v>0</v>
      </c>
    </row>
    <row r="856" spans="1:99" x14ac:dyDescent="0.2">
      <c r="A856" t="s">
        <v>180</v>
      </c>
      <c r="B856" t="s">
        <v>181</v>
      </c>
      <c r="C856" t="s">
        <v>184</v>
      </c>
      <c r="D856" t="s">
        <v>596</v>
      </c>
      <c r="F856" t="str">
        <f>"250507"</f>
        <v>250507</v>
      </c>
      <c r="G856" t="s">
        <v>49</v>
      </c>
      <c r="H856" t="s">
        <v>97</v>
      </c>
      <c r="K856" t="s">
        <v>51</v>
      </c>
      <c r="L856" t="s">
        <v>52</v>
      </c>
      <c r="M856">
        <v>136688.57999999999</v>
      </c>
      <c r="N856">
        <v>472657.85</v>
      </c>
      <c r="O856" t="s">
        <v>53</v>
      </c>
      <c r="P856" t="s">
        <v>54</v>
      </c>
      <c r="Q856" t="s">
        <v>55</v>
      </c>
      <c r="T856" t="s">
        <v>241</v>
      </c>
      <c r="U856">
        <v>40</v>
      </c>
      <c r="V856" s="1">
        <v>35247</v>
      </c>
      <c r="W856" s="1">
        <v>35247</v>
      </c>
      <c r="X856" s="1">
        <v>35247</v>
      </c>
      <c r="Y856" s="1">
        <v>49857</v>
      </c>
      <c r="Z856" t="s">
        <v>51</v>
      </c>
      <c r="AB856" t="s">
        <v>54</v>
      </c>
      <c r="AC856">
        <v>1</v>
      </c>
      <c r="AE856" t="s">
        <v>222</v>
      </c>
      <c r="AF856">
        <v>20</v>
      </c>
      <c r="AG856" s="1">
        <v>35247</v>
      </c>
      <c r="AH856" s="1">
        <v>35247</v>
      </c>
      <c r="AI856" s="1">
        <v>35247</v>
      </c>
      <c r="AJ856" s="1">
        <v>42552</v>
      </c>
      <c r="AK856" t="s">
        <v>51</v>
      </c>
      <c r="AN856">
        <v>0</v>
      </c>
      <c r="AO856" t="s">
        <v>54</v>
      </c>
      <c r="AP856" t="s">
        <v>53</v>
      </c>
      <c r="AQ856">
        <v>0</v>
      </c>
      <c r="AR856" t="s">
        <v>53</v>
      </c>
      <c r="AS856">
        <v>0</v>
      </c>
      <c r="AT856">
        <v>0</v>
      </c>
      <c r="AW856" t="s">
        <v>58</v>
      </c>
      <c r="AX856">
        <v>20</v>
      </c>
      <c r="AY856" s="1">
        <v>35247</v>
      </c>
      <c r="AZ856" s="1">
        <v>35247</v>
      </c>
      <c r="BA856" s="1">
        <v>35247</v>
      </c>
      <c r="BB856" s="1">
        <v>42552</v>
      </c>
      <c r="BC856" t="s">
        <v>51</v>
      </c>
      <c r="BE856" t="s">
        <v>54</v>
      </c>
      <c r="BF856">
        <v>2</v>
      </c>
      <c r="BG856">
        <v>0</v>
      </c>
      <c r="BH856" t="s">
        <v>53</v>
      </c>
      <c r="BK856" t="s">
        <v>65</v>
      </c>
      <c r="BL856">
        <v>14000</v>
      </c>
      <c r="BM856" s="1">
        <v>41091</v>
      </c>
      <c r="BN856" s="1">
        <v>41091</v>
      </c>
      <c r="BO856" s="1">
        <v>41091</v>
      </c>
      <c r="BP856" s="1">
        <v>42291</v>
      </c>
      <c r="BQ856" t="s">
        <v>51</v>
      </c>
      <c r="BS856" t="s">
        <v>60</v>
      </c>
      <c r="BT856" t="s">
        <v>54</v>
      </c>
      <c r="BU856" t="s">
        <v>61</v>
      </c>
      <c r="BV856" t="s">
        <v>62</v>
      </c>
      <c r="BX856">
        <v>36</v>
      </c>
      <c r="BY856">
        <v>0</v>
      </c>
      <c r="BZ856">
        <v>0</v>
      </c>
    </row>
    <row r="857" spans="1:99" x14ac:dyDescent="0.2">
      <c r="A857" t="s">
        <v>180</v>
      </c>
      <c r="B857" t="s">
        <v>181</v>
      </c>
      <c r="C857" t="s">
        <v>184</v>
      </c>
      <c r="D857" t="s">
        <v>596</v>
      </c>
      <c r="F857" t="str">
        <f>"250508"</f>
        <v>250508</v>
      </c>
      <c r="G857" t="s">
        <v>49</v>
      </c>
      <c r="H857" t="s">
        <v>602</v>
      </c>
      <c r="K857" t="s">
        <v>51</v>
      </c>
      <c r="L857" t="s">
        <v>52</v>
      </c>
      <c r="M857">
        <v>136709.51999999999</v>
      </c>
      <c r="N857">
        <v>472636.03</v>
      </c>
      <c r="O857" t="s">
        <v>53</v>
      </c>
      <c r="P857" t="s">
        <v>54</v>
      </c>
      <c r="Q857" t="s">
        <v>55</v>
      </c>
      <c r="T857" t="s">
        <v>241</v>
      </c>
      <c r="U857">
        <v>40</v>
      </c>
      <c r="V857" s="1">
        <v>35247</v>
      </c>
      <c r="W857" s="1">
        <v>35247</v>
      </c>
      <c r="X857" s="1">
        <v>35247</v>
      </c>
      <c r="Y857" s="1">
        <v>49857</v>
      </c>
      <c r="Z857" t="s">
        <v>51</v>
      </c>
      <c r="AB857" t="s">
        <v>54</v>
      </c>
      <c r="AC857">
        <v>1</v>
      </c>
      <c r="AE857" t="s">
        <v>222</v>
      </c>
      <c r="AF857">
        <v>20</v>
      </c>
      <c r="AG857" s="1">
        <v>35247</v>
      </c>
      <c r="AH857" s="1">
        <v>35247</v>
      </c>
      <c r="AI857" s="1">
        <v>35247</v>
      </c>
      <c r="AJ857" s="1">
        <v>42552</v>
      </c>
      <c r="AK857" t="s">
        <v>51</v>
      </c>
      <c r="AN857">
        <v>0</v>
      </c>
      <c r="AO857" t="s">
        <v>54</v>
      </c>
      <c r="AP857" t="s">
        <v>53</v>
      </c>
      <c r="AQ857">
        <v>0</v>
      </c>
      <c r="AR857" t="s">
        <v>53</v>
      </c>
      <c r="AS857">
        <v>0</v>
      </c>
      <c r="AT857">
        <v>0</v>
      </c>
      <c r="AW857" t="s">
        <v>58</v>
      </c>
      <c r="AX857">
        <v>20</v>
      </c>
      <c r="AY857" s="1">
        <v>35247</v>
      </c>
      <c r="AZ857" s="1">
        <v>35247</v>
      </c>
      <c r="BA857" s="1">
        <v>35247</v>
      </c>
      <c r="BB857" s="1">
        <v>42552</v>
      </c>
      <c r="BC857" t="s">
        <v>51</v>
      </c>
      <c r="BE857" t="s">
        <v>54</v>
      </c>
      <c r="BF857">
        <v>2</v>
      </c>
      <c r="BG857">
        <v>0</v>
      </c>
      <c r="BH857" t="s">
        <v>53</v>
      </c>
      <c r="BK857" t="s">
        <v>65</v>
      </c>
      <c r="BL857">
        <v>14000</v>
      </c>
      <c r="BM857" s="1">
        <v>41091</v>
      </c>
      <c r="BN857" s="1">
        <v>41091</v>
      </c>
      <c r="BO857" s="1">
        <v>41091</v>
      </c>
      <c r="BP857" s="1">
        <v>42291</v>
      </c>
      <c r="BQ857" t="s">
        <v>51</v>
      </c>
      <c r="BS857" t="s">
        <v>60</v>
      </c>
      <c r="BT857" t="s">
        <v>54</v>
      </c>
      <c r="BU857" t="s">
        <v>61</v>
      </c>
      <c r="BV857" t="s">
        <v>62</v>
      </c>
      <c r="BX857">
        <v>36</v>
      </c>
      <c r="BY857">
        <v>0</v>
      </c>
      <c r="BZ857">
        <v>0</v>
      </c>
    </row>
    <row r="858" spans="1:99" x14ac:dyDescent="0.2">
      <c r="A858" t="s">
        <v>180</v>
      </c>
      <c r="B858" t="s">
        <v>181</v>
      </c>
      <c r="C858" t="s">
        <v>184</v>
      </c>
      <c r="D858" t="s">
        <v>596</v>
      </c>
      <c r="F858" t="str">
        <f>"250509"</f>
        <v>250509</v>
      </c>
      <c r="G858" t="s">
        <v>49</v>
      </c>
      <c r="H858" t="s">
        <v>275</v>
      </c>
      <c r="K858" t="s">
        <v>51</v>
      </c>
      <c r="L858" t="s">
        <v>52</v>
      </c>
      <c r="M858">
        <v>136734.32999999999</v>
      </c>
      <c r="N858">
        <v>472636.23</v>
      </c>
      <c r="O858" t="s">
        <v>53</v>
      </c>
      <c r="P858" t="s">
        <v>54</v>
      </c>
      <c r="Q858" t="s">
        <v>55</v>
      </c>
      <c r="T858" t="s">
        <v>241</v>
      </c>
      <c r="U858">
        <v>40</v>
      </c>
      <c r="V858" s="1">
        <v>35247</v>
      </c>
      <c r="W858" s="1">
        <v>35247</v>
      </c>
      <c r="X858" s="1">
        <v>35247</v>
      </c>
      <c r="Y858" s="1">
        <v>49857</v>
      </c>
      <c r="Z858" t="s">
        <v>51</v>
      </c>
      <c r="AB858" t="s">
        <v>54</v>
      </c>
      <c r="AC858">
        <v>1</v>
      </c>
      <c r="AE858" t="s">
        <v>222</v>
      </c>
      <c r="AF858">
        <v>20</v>
      </c>
      <c r="AG858" s="1">
        <v>35247</v>
      </c>
      <c r="AH858" s="1">
        <v>35247</v>
      </c>
      <c r="AI858" s="1">
        <v>35247</v>
      </c>
      <c r="AJ858" s="1">
        <v>42552</v>
      </c>
      <c r="AK858" t="s">
        <v>51</v>
      </c>
      <c r="AN858">
        <v>0</v>
      </c>
      <c r="AO858" t="s">
        <v>54</v>
      </c>
      <c r="AP858" t="s">
        <v>53</v>
      </c>
      <c r="AQ858">
        <v>0</v>
      </c>
      <c r="AR858" t="s">
        <v>53</v>
      </c>
      <c r="AS858">
        <v>0</v>
      </c>
      <c r="AT858">
        <v>0</v>
      </c>
      <c r="AW858" t="s">
        <v>58</v>
      </c>
      <c r="AX858">
        <v>20</v>
      </c>
      <c r="AY858" s="1">
        <v>35247</v>
      </c>
      <c r="AZ858" s="1">
        <v>35247</v>
      </c>
      <c r="BA858" s="1">
        <v>35247</v>
      </c>
      <c r="BB858" s="1">
        <v>42552</v>
      </c>
      <c r="BC858" t="s">
        <v>51</v>
      </c>
      <c r="BE858" t="s">
        <v>54</v>
      </c>
      <c r="BF858">
        <v>2</v>
      </c>
      <c r="BG858">
        <v>0</v>
      </c>
      <c r="BH858" t="s">
        <v>53</v>
      </c>
      <c r="BK858" t="s">
        <v>65</v>
      </c>
      <c r="BL858">
        <v>14000</v>
      </c>
      <c r="BM858" s="1">
        <v>41091</v>
      </c>
      <c r="BN858" s="1">
        <v>41091</v>
      </c>
      <c r="BO858" s="1">
        <v>41091</v>
      </c>
      <c r="BP858" s="1">
        <v>42291</v>
      </c>
      <c r="BQ858" t="s">
        <v>51</v>
      </c>
      <c r="BS858" t="s">
        <v>60</v>
      </c>
      <c r="BT858" t="s">
        <v>54</v>
      </c>
      <c r="BU858" t="s">
        <v>61</v>
      </c>
      <c r="BV858" t="s">
        <v>62</v>
      </c>
      <c r="BX858">
        <v>36</v>
      </c>
      <c r="BY858">
        <v>0</v>
      </c>
      <c r="BZ858">
        <v>0</v>
      </c>
    </row>
    <row r="859" spans="1:99" x14ac:dyDescent="0.2">
      <c r="A859" t="s">
        <v>180</v>
      </c>
      <c r="B859" t="s">
        <v>181</v>
      </c>
      <c r="C859" t="s">
        <v>184</v>
      </c>
      <c r="D859" t="s">
        <v>596</v>
      </c>
      <c r="F859" t="str">
        <f>"250510"</f>
        <v>250510</v>
      </c>
      <c r="G859" t="s">
        <v>49</v>
      </c>
      <c r="H859" t="s">
        <v>272</v>
      </c>
      <c r="K859" t="s">
        <v>51</v>
      </c>
      <c r="L859" t="s">
        <v>52</v>
      </c>
      <c r="M859">
        <v>136756.07</v>
      </c>
      <c r="N859">
        <v>472625.02</v>
      </c>
      <c r="O859" t="s">
        <v>53</v>
      </c>
      <c r="P859" t="s">
        <v>54</v>
      </c>
      <c r="Q859" t="s">
        <v>55</v>
      </c>
      <c r="T859" t="s">
        <v>241</v>
      </c>
      <c r="U859">
        <v>40</v>
      </c>
      <c r="V859" s="1">
        <v>35247</v>
      </c>
      <c r="W859" s="1">
        <v>35247</v>
      </c>
      <c r="X859" s="1">
        <v>35247</v>
      </c>
      <c r="Y859" s="1">
        <v>49857</v>
      </c>
      <c r="Z859" t="s">
        <v>51</v>
      </c>
      <c r="AB859" t="s">
        <v>54</v>
      </c>
      <c r="AC859">
        <v>1</v>
      </c>
      <c r="AE859" t="s">
        <v>222</v>
      </c>
      <c r="AF859">
        <v>20</v>
      </c>
      <c r="AG859" s="1">
        <v>43119</v>
      </c>
      <c r="AH859" s="1">
        <v>43119</v>
      </c>
      <c r="AI859" s="1">
        <v>43119</v>
      </c>
      <c r="AJ859" s="1">
        <v>50424</v>
      </c>
      <c r="AK859" t="s">
        <v>51</v>
      </c>
      <c r="AN859">
        <v>0</v>
      </c>
      <c r="AO859" t="s">
        <v>54</v>
      </c>
      <c r="AP859" t="s">
        <v>53</v>
      </c>
      <c r="AQ859">
        <v>0</v>
      </c>
      <c r="AR859" t="s">
        <v>53</v>
      </c>
      <c r="AS859">
        <v>0</v>
      </c>
      <c r="AT859">
        <v>0</v>
      </c>
      <c r="AW859" t="s">
        <v>58</v>
      </c>
      <c r="AX859">
        <v>20</v>
      </c>
      <c r="AY859" s="1">
        <v>35247</v>
      </c>
      <c r="AZ859" s="1">
        <v>35247</v>
      </c>
      <c r="BA859" s="1">
        <v>43119</v>
      </c>
      <c r="BB859" s="1">
        <v>42552</v>
      </c>
      <c r="BC859" t="s">
        <v>51</v>
      </c>
      <c r="BE859" t="s">
        <v>54</v>
      </c>
      <c r="BF859">
        <v>2</v>
      </c>
      <c r="BG859">
        <v>0</v>
      </c>
      <c r="BH859" t="s">
        <v>53</v>
      </c>
      <c r="BK859" t="s">
        <v>65</v>
      </c>
      <c r="BL859">
        <v>14000</v>
      </c>
      <c r="BM859" s="1">
        <v>41091</v>
      </c>
      <c r="BN859" s="1">
        <v>41091</v>
      </c>
      <c r="BO859" s="1">
        <v>43119</v>
      </c>
      <c r="BP859" s="1">
        <v>42291</v>
      </c>
      <c r="BQ859" t="s">
        <v>51</v>
      </c>
      <c r="BS859" t="s">
        <v>60</v>
      </c>
      <c r="BT859" t="s">
        <v>54</v>
      </c>
      <c r="BU859" t="s">
        <v>61</v>
      </c>
      <c r="BV859" t="s">
        <v>62</v>
      </c>
      <c r="BX859">
        <v>36</v>
      </c>
      <c r="BY859">
        <v>0</v>
      </c>
      <c r="BZ859">
        <v>0</v>
      </c>
    </row>
    <row r="860" spans="1:99" x14ac:dyDescent="0.2">
      <c r="A860" t="s">
        <v>180</v>
      </c>
      <c r="B860" t="s">
        <v>181</v>
      </c>
      <c r="C860" t="s">
        <v>184</v>
      </c>
      <c r="D860" t="s">
        <v>596</v>
      </c>
      <c r="F860" t="str">
        <f>"250511"</f>
        <v>250511</v>
      </c>
      <c r="G860" t="s">
        <v>49</v>
      </c>
      <c r="H860" t="s">
        <v>324</v>
      </c>
      <c r="K860" t="s">
        <v>51</v>
      </c>
      <c r="L860" t="s">
        <v>52</v>
      </c>
      <c r="M860">
        <v>136780.09</v>
      </c>
      <c r="N860">
        <v>472608.44</v>
      </c>
      <c r="O860" t="s">
        <v>53</v>
      </c>
      <c r="P860" t="s">
        <v>54</v>
      </c>
      <c r="Q860" t="s">
        <v>55</v>
      </c>
      <c r="T860" t="s">
        <v>241</v>
      </c>
      <c r="U860">
        <v>40</v>
      </c>
      <c r="V860" s="1">
        <v>35247</v>
      </c>
      <c r="W860" s="1">
        <v>35247</v>
      </c>
      <c r="X860" s="1">
        <v>35247</v>
      </c>
      <c r="Y860" s="1">
        <v>49857</v>
      </c>
      <c r="Z860" t="s">
        <v>51</v>
      </c>
      <c r="AB860" t="s">
        <v>54</v>
      </c>
      <c r="AC860">
        <v>1</v>
      </c>
      <c r="AE860" t="s">
        <v>222</v>
      </c>
      <c r="AF860">
        <v>20</v>
      </c>
      <c r="AG860" s="1">
        <v>38169</v>
      </c>
      <c r="AH860" s="1">
        <v>38169</v>
      </c>
      <c r="AI860" s="1">
        <v>38169</v>
      </c>
      <c r="AJ860" s="1">
        <v>45474</v>
      </c>
      <c r="AK860" t="s">
        <v>51</v>
      </c>
      <c r="AN860">
        <v>0</v>
      </c>
      <c r="AO860" t="s">
        <v>54</v>
      </c>
      <c r="AP860" t="s">
        <v>53</v>
      </c>
      <c r="AQ860">
        <v>0</v>
      </c>
      <c r="AR860" t="s">
        <v>53</v>
      </c>
      <c r="AS860">
        <v>0</v>
      </c>
      <c r="AT860">
        <v>0</v>
      </c>
      <c r="AW860" t="s">
        <v>58</v>
      </c>
      <c r="AX860">
        <v>20</v>
      </c>
      <c r="AY860" s="1">
        <v>38169</v>
      </c>
      <c r="AZ860" s="1">
        <v>38169</v>
      </c>
      <c r="BA860" s="1">
        <v>38169</v>
      </c>
      <c r="BB860" s="1">
        <v>45474</v>
      </c>
      <c r="BC860" t="s">
        <v>51</v>
      </c>
      <c r="BE860" t="s">
        <v>54</v>
      </c>
      <c r="BF860">
        <v>2</v>
      </c>
      <c r="BG860">
        <v>0</v>
      </c>
      <c r="BH860" t="s">
        <v>53</v>
      </c>
      <c r="BK860" t="s">
        <v>65</v>
      </c>
      <c r="BL860">
        <v>14000</v>
      </c>
      <c r="BM860" s="1">
        <v>41091</v>
      </c>
      <c r="BN860" s="1">
        <v>41091</v>
      </c>
      <c r="BO860" s="1">
        <v>41091</v>
      </c>
      <c r="BP860" s="1">
        <v>42291</v>
      </c>
      <c r="BQ860" t="s">
        <v>51</v>
      </c>
      <c r="BS860" t="s">
        <v>60</v>
      </c>
      <c r="BT860" t="s">
        <v>54</v>
      </c>
      <c r="BU860" t="s">
        <v>61</v>
      </c>
      <c r="BV860" t="s">
        <v>62</v>
      </c>
      <c r="BX860">
        <v>36</v>
      </c>
      <c r="BY860">
        <v>0</v>
      </c>
      <c r="BZ860">
        <v>0</v>
      </c>
    </row>
    <row r="861" spans="1:99" x14ac:dyDescent="0.2">
      <c r="A861" t="s">
        <v>180</v>
      </c>
      <c r="B861" t="s">
        <v>181</v>
      </c>
      <c r="C861" t="s">
        <v>184</v>
      </c>
      <c r="D861" t="s">
        <v>596</v>
      </c>
      <c r="F861" t="str">
        <f>"250513"</f>
        <v>250513</v>
      </c>
      <c r="G861" t="s">
        <v>49</v>
      </c>
      <c r="H861" t="s">
        <v>534</v>
      </c>
      <c r="K861" t="s">
        <v>51</v>
      </c>
      <c r="L861" t="s">
        <v>52</v>
      </c>
      <c r="M861">
        <v>136329.20000000001</v>
      </c>
      <c r="N861">
        <v>472836.91</v>
      </c>
      <c r="O861" t="s">
        <v>53</v>
      </c>
      <c r="P861" t="s">
        <v>54</v>
      </c>
      <c r="Q861" t="s">
        <v>55</v>
      </c>
      <c r="T861" t="s">
        <v>241</v>
      </c>
      <c r="U861">
        <v>40</v>
      </c>
      <c r="V861" s="1">
        <v>35247</v>
      </c>
      <c r="W861" s="1">
        <v>35247</v>
      </c>
      <c r="X861" s="1">
        <v>35247</v>
      </c>
      <c r="Y861" s="1">
        <v>49857</v>
      </c>
      <c r="Z861" t="s">
        <v>51</v>
      </c>
      <c r="AB861" t="s">
        <v>54</v>
      </c>
      <c r="AC861">
        <v>1</v>
      </c>
      <c r="AE861" t="s">
        <v>552</v>
      </c>
      <c r="AF861">
        <v>20</v>
      </c>
      <c r="AG861" s="1">
        <v>44179</v>
      </c>
      <c r="AH861" s="1">
        <v>44179</v>
      </c>
      <c r="AI861" s="1">
        <v>44179</v>
      </c>
      <c r="AJ861" s="1">
        <v>51484</v>
      </c>
      <c r="AK861" t="s">
        <v>51</v>
      </c>
      <c r="AN861">
        <v>0</v>
      </c>
      <c r="AO861" t="s">
        <v>54</v>
      </c>
      <c r="AP861" t="s">
        <v>53</v>
      </c>
      <c r="AQ861">
        <v>0</v>
      </c>
      <c r="AR861" t="s">
        <v>145</v>
      </c>
      <c r="AS861">
        <v>0</v>
      </c>
      <c r="AT861">
        <v>0</v>
      </c>
      <c r="CC861" t="s">
        <v>432</v>
      </c>
      <c r="CD861">
        <v>85000</v>
      </c>
      <c r="CE861" s="1">
        <v>42552</v>
      </c>
      <c r="CF861" s="1">
        <v>42552</v>
      </c>
      <c r="CG861" s="1">
        <v>44179</v>
      </c>
      <c r="CH861" s="1">
        <v>49714</v>
      </c>
      <c r="CI861" t="s">
        <v>51</v>
      </c>
      <c r="CK861" t="s">
        <v>78</v>
      </c>
      <c r="CM861" t="s">
        <v>54</v>
      </c>
      <c r="CN861" t="s">
        <v>174</v>
      </c>
      <c r="CO861" t="s">
        <v>86</v>
      </c>
      <c r="CR861">
        <v>24</v>
      </c>
      <c r="CS861">
        <v>0</v>
      </c>
      <c r="CT861">
        <v>0</v>
      </c>
      <c r="CU861">
        <v>0</v>
      </c>
    </row>
    <row r="862" spans="1:99" x14ac:dyDescent="0.2">
      <c r="A862" t="s">
        <v>180</v>
      </c>
      <c r="B862" t="s">
        <v>181</v>
      </c>
      <c r="C862" t="s">
        <v>184</v>
      </c>
      <c r="D862" t="s">
        <v>596</v>
      </c>
      <c r="F862" t="str">
        <f>"250514"</f>
        <v>250514</v>
      </c>
      <c r="G862" t="s">
        <v>49</v>
      </c>
      <c r="H862" t="s">
        <v>186</v>
      </c>
      <c r="K862" t="s">
        <v>51</v>
      </c>
      <c r="L862" t="s">
        <v>52</v>
      </c>
      <c r="M862">
        <v>136374.16</v>
      </c>
      <c r="N862">
        <v>472816.88</v>
      </c>
      <c r="O862" t="s">
        <v>53</v>
      </c>
      <c r="P862" t="s">
        <v>54</v>
      </c>
      <c r="Q862" t="s">
        <v>55</v>
      </c>
      <c r="T862" t="s">
        <v>588</v>
      </c>
      <c r="U862">
        <v>40</v>
      </c>
      <c r="V862" s="1">
        <v>28307</v>
      </c>
      <c r="W862" s="1">
        <v>28307</v>
      </c>
      <c r="X862" s="1">
        <v>28307</v>
      </c>
      <c r="Y862" s="1">
        <v>42917</v>
      </c>
      <c r="Z862" t="s">
        <v>51</v>
      </c>
      <c r="AB862" t="s">
        <v>54</v>
      </c>
      <c r="AC862">
        <v>1</v>
      </c>
      <c r="AE862" t="s">
        <v>222</v>
      </c>
      <c r="AF862">
        <v>20</v>
      </c>
      <c r="AG862" s="1">
        <v>28307</v>
      </c>
      <c r="AH862" s="1">
        <v>28307</v>
      </c>
      <c r="AI862" s="1">
        <v>28307</v>
      </c>
      <c r="AJ862" s="1">
        <v>35612</v>
      </c>
      <c r="AK862" t="s">
        <v>51</v>
      </c>
      <c r="AN862">
        <v>0</v>
      </c>
      <c r="AO862" t="s">
        <v>54</v>
      </c>
      <c r="AP862" t="s">
        <v>53</v>
      </c>
      <c r="AQ862">
        <v>0</v>
      </c>
      <c r="AR862" t="s">
        <v>53</v>
      </c>
      <c r="AS862">
        <v>0</v>
      </c>
      <c r="AT862">
        <v>0</v>
      </c>
      <c r="CC862" t="s">
        <v>432</v>
      </c>
      <c r="CD862">
        <v>85000</v>
      </c>
      <c r="CE862" s="1">
        <v>42552</v>
      </c>
      <c r="CF862" s="1">
        <v>42552</v>
      </c>
      <c r="CG862" s="1">
        <v>42552</v>
      </c>
      <c r="CH862" s="1">
        <v>49714</v>
      </c>
      <c r="CI862" t="s">
        <v>51</v>
      </c>
      <c r="CK862" t="s">
        <v>78</v>
      </c>
      <c r="CM862" t="s">
        <v>54</v>
      </c>
      <c r="CN862" t="s">
        <v>174</v>
      </c>
      <c r="CO862" t="s">
        <v>86</v>
      </c>
      <c r="CR862">
        <v>24</v>
      </c>
      <c r="CS862">
        <v>0</v>
      </c>
      <c r="CT862">
        <v>0</v>
      </c>
      <c r="CU862">
        <v>0</v>
      </c>
    </row>
    <row r="863" spans="1:99" x14ac:dyDescent="0.2">
      <c r="A863" t="s">
        <v>180</v>
      </c>
      <c r="B863" t="s">
        <v>181</v>
      </c>
      <c r="C863" t="s">
        <v>184</v>
      </c>
      <c r="D863" t="s">
        <v>596</v>
      </c>
      <c r="F863" t="str">
        <f>"250515"</f>
        <v>250515</v>
      </c>
      <c r="G863" t="s">
        <v>49</v>
      </c>
      <c r="H863" t="s">
        <v>141</v>
      </c>
      <c r="K863" t="s">
        <v>51</v>
      </c>
      <c r="L863" t="s">
        <v>52</v>
      </c>
      <c r="M863">
        <v>136395.20000000001</v>
      </c>
      <c r="N863">
        <v>472807.69</v>
      </c>
      <c r="O863" t="s">
        <v>53</v>
      </c>
      <c r="P863" t="s">
        <v>54</v>
      </c>
      <c r="Q863" t="s">
        <v>55</v>
      </c>
      <c r="T863" t="s">
        <v>588</v>
      </c>
      <c r="U863">
        <v>40</v>
      </c>
      <c r="V863" s="1">
        <v>28307</v>
      </c>
      <c r="W863" s="1">
        <v>28307</v>
      </c>
      <c r="X863" s="1">
        <v>28307</v>
      </c>
      <c r="Y863" s="1">
        <v>42917</v>
      </c>
      <c r="Z863" t="s">
        <v>51</v>
      </c>
      <c r="AB863" t="s">
        <v>54</v>
      </c>
      <c r="AC863">
        <v>1</v>
      </c>
      <c r="AE863" t="s">
        <v>222</v>
      </c>
      <c r="AF863">
        <v>20</v>
      </c>
      <c r="AG863" s="1">
        <v>36342</v>
      </c>
      <c r="AH863" s="1">
        <v>36342</v>
      </c>
      <c r="AI863" s="1">
        <v>36342</v>
      </c>
      <c r="AJ863" s="1">
        <v>43647</v>
      </c>
      <c r="AK863" t="s">
        <v>51</v>
      </c>
      <c r="AN863">
        <v>0</v>
      </c>
      <c r="AO863" t="s">
        <v>54</v>
      </c>
      <c r="AP863" t="s">
        <v>53</v>
      </c>
      <c r="AQ863">
        <v>0</v>
      </c>
      <c r="AR863" t="s">
        <v>53</v>
      </c>
      <c r="AS863">
        <v>0</v>
      </c>
      <c r="AT863">
        <v>0</v>
      </c>
      <c r="CC863" t="s">
        <v>432</v>
      </c>
      <c r="CD863">
        <v>85000</v>
      </c>
      <c r="CE863" s="1">
        <v>42552</v>
      </c>
      <c r="CF863" s="1">
        <v>42552</v>
      </c>
      <c r="CG863" s="1">
        <v>42552</v>
      </c>
      <c r="CH863" s="1">
        <v>49714</v>
      </c>
      <c r="CI863" t="s">
        <v>51</v>
      </c>
      <c r="CK863" t="s">
        <v>78</v>
      </c>
      <c r="CM863" t="s">
        <v>54</v>
      </c>
      <c r="CN863" t="s">
        <v>174</v>
      </c>
      <c r="CO863" t="s">
        <v>86</v>
      </c>
      <c r="CR863">
        <v>24</v>
      </c>
      <c r="CS863">
        <v>0</v>
      </c>
      <c r="CT863">
        <v>0</v>
      </c>
      <c r="CU863">
        <v>0</v>
      </c>
    </row>
    <row r="864" spans="1:99" x14ac:dyDescent="0.2">
      <c r="A864" t="s">
        <v>180</v>
      </c>
      <c r="B864" t="s">
        <v>181</v>
      </c>
      <c r="C864" t="s">
        <v>184</v>
      </c>
      <c r="D864" t="s">
        <v>596</v>
      </c>
      <c r="F864" t="str">
        <f>"250516"</f>
        <v>250516</v>
      </c>
      <c r="G864" t="s">
        <v>49</v>
      </c>
      <c r="K864" t="s">
        <v>51</v>
      </c>
      <c r="L864" t="s">
        <v>52</v>
      </c>
      <c r="M864">
        <v>136420.53</v>
      </c>
      <c r="N864">
        <v>472796.91</v>
      </c>
      <c r="O864" t="s">
        <v>53</v>
      </c>
      <c r="P864" t="s">
        <v>54</v>
      </c>
      <c r="Q864" t="s">
        <v>55</v>
      </c>
      <c r="T864" t="s">
        <v>588</v>
      </c>
      <c r="U864">
        <v>40</v>
      </c>
      <c r="V864" s="1">
        <v>28307</v>
      </c>
      <c r="W864" s="1">
        <v>28307</v>
      </c>
      <c r="X864" s="1">
        <v>28307</v>
      </c>
      <c r="Y864" s="1">
        <v>42917</v>
      </c>
      <c r="Z864" t="s">
        <v>51</v>
      </c>
      <c r="AB864" t="s">
        <v>54</v>
      </c>
      <c r="AC864">
        <v>1</v>
      </c>
      <c r="AE864" t="s">
        <v>222</v>
      </c>
      <c r="AF864">
        <v>20</v>
      </c>
      <c r="AG864" s="1">
        <v>28307</v>
      </c>
      <c r="AH864" s="1">
        <v>28307</v>
      </c>
      <c r="AI864" s="1">
        <v>28307</v>
      </c>
      <c r="AJ864" s="1">
        <v>35612</v>
      </c>
      <c r="AK864" t="s">
        <v>51</v>
      </c>
      <c r="AN864">
        <v>0</v>
      </c>
      <c r="AO864" t="s">
        <v>54</v>
      </c>
      <c r="AP864" t="s">
        <v>53</v>
      </c>
      <c r="AQ864">
        <v>0</v>
      </c>
      <c r="AR864" t="s">
        <v>53</v>
      </c>
      <c r="AS864">
        <v>0</v>
      </c>
      <c r="AT864">
        <v>0</v>
      </c>
      <c r="CC864" t="s">
        <v>432</v>
      </c>
      <c r="CD864">
        <v>85000</v>
      </c>
      <c r="CE864" s="1">
        <v>42552</v>
      </c>
      <c r="CF864" s="1">
        <v>42552</v>
      </c>
      <c r="CG864" s="1">
        <v>42552</v>
      </c>
      <c r="CH864" s="1">
        <v>49714</v>
      </c>
      <c r="CI864" t="s">
        <v>51</v>
      </c>
      <c r="CK864" t="s">
        <v>78</v>
      </c>
      <c r="CM864" t="s">
        <v>54</v>
      </c>
      <c r="CN864" t="s">
        <v>174</v>
      </c>
      <c r="CO864" t="s">
        <v>86</v>
      </c>
      <c r="CR864">
        <v>24</v>
      </c>
      <c r="CS864">
        <v>0</v>
      </c>
      <c r="CT864">
        <v>0</v>
      </c>
      <c r="CU864">
        <v>0</v>
      </c>
    </row>
    <row r="865" spans="1:99" x14ac:dyDescent="0.2">
      <c r="A865" t="s">
        <v>180</v>
      </c>
      <c r="B865" t="s">
        <v>181</v>
      </c>
      <c r="C865" t="s">
        <v>184</v>
      </c>
      <c r="D865" t="s">
        <v>596</v>
      </c>
      <c r="F865" t="str">
        <f>"250517"</f>
        <v>250517</v>
      </c>
      <c r="G865" t="s">
        <v>49</v>
      </c>
      <c r="H865" t="s">
        <v>458</v>
      </c>
      <c r="K865" t="s">
        <v>51</v>
      </c>
      <c r="L865" t="s">
        <v>52</v>
      </c>
      <c r="M865">
        <v>136443.10999999999</v>
      </c>
      <c r="N865">
        <v>472805.25</v>
      </c>
      <c r="O865" t="s">
        <v>53</v>
      </c>
      <c r="P865" t="s">
        <v>54</v>
      </c>
      <c r="Q865" t="s">
        <v>55</v>
      </c>
      <c r="T865" t="s">
        <v>588</v>
      </c>
      <c r="U865">
        <v>40</v>
      </c>
      <c r="V865" s="1">
        <v>28307</v>
      </c>
      <c r="W865" s="1">
        <v>28307</v>
      </c>
      <c r="X865" s="1">
        <v>28307</v>
      </c>
      <c r="Y865" s="1">
        <v>42917</v>
      </c>
      <c r="Z865" t="s">
        <v>51</v>
      </c>
      <c r="AB865" t="s">
        <v>54</v>
      </c>
      <c r="AC865">
        <v>1</v>
      </c>
      <c r="AE865" t="s">
        <v>222</v>
      </c>
      <c r="AF865">
        <v>20</v>
      </c>
      <c r="AG865" s="1">
        <v>28307</v>
      </c>
      <c r="AH865" s="1">
        <v>28307</v>
      </c>
      <c r="AI865" s="1">
        <v>28307</v>
      </c>
      <c r="AJ865" s="1">
        <v>35612</v>
      </c>
      <c r="AK865" t="s">
        <v>51</v>
      </c>
      <c r="AN865">
        <v>0</v>
      </c>
      <c r="AO865" t="s">
        <v>54</v>
      </c>
      <c r="AP865" t="s">
        <v>53</v>
      </c>
      <c r="AQ865">
        <v>0</v>
      </c>
      <c r="AR865" t="s">
        <v>53</v>
      </c>
      <c r="AS865">
        <v>0</v>
      </c>
      <c r="AT865">
        <v>0</v>
      </c>
      <c r="CC865" t="s">
        <v>432</v>
      </c>
      <c r="CD865">
        <v>85000</v>
      </c>
      <c r="CE865" s="1">
        <v>42552</v>
      </c>
      <c r="CF865" s="1">
        <v>42552</v>
      </c>
      <c r="CG865" s="1">
        <v>42552</v>
      </c>
      <c r="CH865" s="1">
        <v>49714</v>
      </c>
      <c r="CI865" t="s">
        <v>51</v>
      </c>
      <c r="CK865" t="s">
        <v>78</v>
      </c>
      <c r="CM865" t="s">
        <v>54</v>
      </c>
      <c r="CN865" t="s">
        <v>174</v>
      </c>
      <c r="CO865" t="s">
        <v>86</v>
      </c>
      <c r="CR865">
        <v>24</v>
      </c>
      <c r="CS865">
        <v>0</v>
      </c>
      <c r="CT865">
        <v>0</v>
      </c>
      <c r="CU865">
        <v>0</v>
      </c>
    </row>
    <row r="866" spans="1:99" x14ac:dyDescent="0.2">
      <c r="A866" t="s">
        <v>180</v>
      </c>
      <c r="B866" t="s">
        <v>181</v>
      </c>
      <c r="C866" t="s">
        <v>184</v>
      </c>
      <c r="D866" t="s">
        <v>596</v>
      </c>
      <c r="F866" t="str">
        <f>"250518"</f>
        <v>250518</v>
      </c>
      <c r="G866" t="s">
        <v>49</v>
      </c>
      <c r="H866" t="s">
        <v>137</v>
      </c>
      <c r="K866" t="s">
        <v>51</v>
      </c>
      <c r="L866" t="s">
        <v>52</v>
      </c>
      <c r="M866">
        <v>136462.89000000001</v>
      </c>
      <c r="N866">
        <v>472795.66</v>
      </c>
      <c r="O866" t="s">
        <v>53</v>
      </c>
      <c r="P866" t="s">
        <v>54</v>
      </c>
      <c r="Q866" t="s">
        <v>55</v>
      </c>
      <c r="T866" t="s">
        <v>588</v>
      </c>
      <c r="U866">
        <v>40</v>
      </c>
      <c r="V866" s="1">
        <v>28307</v>
      </c>
      <c r="W866" s="1">
        <v>28307</v>
      </c>
      <c r="X866" s="1">
        <v>28307</v>
      </c>
      <c r="Y866" s="1">
        <v>42917</v>
      </c>
      <c r="Z866" t="s">
        <v>51</v>
      </c>
      <c r="AB866" t="s">
        <v>54</v>
      </c>
      <c r="AC866">
        <v>1</v>
      </c>
      <c r="AE866" t="s">
        <v>222</v>
      </c>
      <c r="AF866">
        <v>20</v>
      </c>
      <c r="AG866" s="1">
        <v>28307</v>
      </c>
      <c r="AH866" s="1">
        <v>28307</v>
      </c>
      <c r="AI866" s="1">
        <v>28307</v>
      </c>
      <c r="AJ866" s="1">
        <v>35612</v>
      </c>
      <c r="AK866" t="s">
        <v>51</v>
      </c>
      <c r="AN866">
        <v>0</v>
      </c>
      <c r="AO866" t="s">
        <v>54</v>
      </c>
      <c r="AP866" t="s">
        <v>53</v>
      </c>
      <c r="AQ866">
        <v>0</v>
      </c>
      <c r="AR866" t="s">
        <v>53</v>
      </c>
      <c r="AS866">
        <v>0</v>
      </c>
      <c r="AT866">
        <v>0</v>
      </c>
      <c r="CC866" t="s">
        <v>432</v>
      </c>
      <c r="CD866">
        <v>85000</v>
      </c>
      <c r="CE866" s="1">
        <v>42552</v>
      </c>
      <c r="CF866" s="1">
        <v>42552</v>
      </c>
      <c r="CG866" s="1">
        <v>42552</v>
      </c>
      <c r="CH866" s="1">
        <v>49714</v>
      </c>
      <c r="CI866" t="s">
        <v>51</v>
      </c>
      <c r="CK866" t="s">
        <v>78</v>
      </c>
      <c r="CM866" t="s">
        <v>54</v>
      </c>
      <c r="CN866" t="s">
        <v>174</v>
      </c>
      <c r="CO866" t="s">
        <v>86</v>
      </c>
      <c r="CR866">
        <v>24</v>
      </c>
      <c r="CS866">
        <v>0</v>
      </c>
      <c r="CT866">
        <v>0</v>
      </c>
      <c r="CU866">
        <v>0</v>
      </c>
    </row>
    <row r="867" spans="1:99" x14ac:dyDescent="0.2">
      <c r="A867" t="s">
        <v>180</v>
      </c>
      <c r="B867" t="s">
        <v>181</v>
      </c>
      <c r="C867" t="s">
        <v>184</v>
      </c>
      <c r="D867" t="s">
        <v>596</v>
      </c>
      <c r="F867" t="str">
        <f>"250519"</f>
        <v>250519</v>
      </c>
      <c r="G867" t="s">
        <v>49</v>
      </c>
      <c r="H867" t="s">
        <v>603</v>
      </c>
      <c r="K867" t="s">
        <v>51</v>
      </c>
      <c r="L867" t="s">
        <v>52</v>
      </c>
      <c r="M867">
        <v>136472.28</v>
      </c>
      <c r="N867">
        <v>472772.92</v>
      </c>
      <c r="O867" t="s">
        <v>53</v>
      </c>
      <c r="P867" t="s">
        <v>54</v>
      </c>
      <c r="Q867" t="s">
        <v>55</v>
      </c>
      <c r="T867" t="s">
        <v>588</v>
      </c>
      <c r="U867">
        <v>40</v>
      </c>
      <c r="V867" s="1">
        <v>28307</v>
      </c>
      <c r="W867" s="1">
        <v>28307</v>
      </c>
      <c r="X867" s="1">
        <v>28307</v>
      </c>
      <c r="Y867" s="1">
        <v>42917</v>
      </c>
      <c r="Z867" t="s">
        <v>51</v>
      </c>
      <c r="AB867" t="s">
        <v>54</v>
      </c>
      <c r="AC867">
        <v>1</v>
      </c>
      <c r="AE867" t="s">
        <v>222</v>
      </c>
      <c r="AF867">
        <v>20</v>
      </c>
      <c r="AG867" s="1">
        <v>28307</v>
      </c>
      <c r="AH867" s="1">
        <v>28307</v>
      </c>
      <c r="AI867" s="1">
        <v>28307</v>
      </c>
      <c r="AJ867" s="1">
        <v>35612</v>
      </c>
      <c r="AK867" t="s">
        <v>51</v>
      </c>
      <c r="AN867">
        <v>0</v>
      </c>
      <c r="AO867" t="s">
        <v>54</v>
      </c>
      <c r="AP867" t="s">
        <v>53</v>
      </c>
      <c r="AQ867">
        <v>0</v>
      </c>
      <c r="AR867" t="s">
        <v>53</v>
      </c>
      <c r="AS867">
        <v>0</v>
      </c>
      <c r="AT867">
        <v>0</v>
      </c>
      <c r="CC867" t="s">
        <v>432</v>
      </c>
      <c r="CD867">
        <v>85000</v>
      </c>
      <c r="CE867" s="1">
        <v>42552</v>
      </c>
      <c r="CF867" s="1">
        <v>42552</v>
      </c>
      <c r="CG867" s="1">
        <v>42552</v>
      </c>
      <c r="CH867" s="1">
        <v>49714</v>
      </c>
      <c r="CI867" t="s">
        <v>51</v>
      </c>
      <c r="CK867" t="s">
        <v>78</v>
      </c>
      <c r="CM867" t="s">
        <v>54</v>
      </c>
      <c r="CN867" t="s">
        <v>174</v>
      </c>
      <c r="CO867" t="s">
        <v>86</v>
      </c>
      <c r="CR867">
        <v>24</v>
      </c>
      <c r="CS867">
        <v>0</v>
      </c>
      <c r="CT867">
        <v>0</v>
      </c>
      <c r="CU867">
        <v>0</v>
      </c>
    </row>
    <row r="868" spans="1:99" x14ac:dyDescent="0.2">
      <c r="A868" t="s">
        <v>180</v>
      </c>
      <c r="B868" t="s">
        <v>181</v>
      </c>
      <c r="C868" t="s">
        <v>184</v>
      </c>
      <c r="D868" t="s">
        <v>596</v>
      </c>
      <c r="F868" t="str">
        <f>"250520"</f>
        <v>250520</v>
      </c>
      <c r="G868" t="s">
        <v>49</v>
      </c>
      <c r="H868" t="s">
        <v>603</v>
      </c>
      <c r="K868" t="s">
        <v>51</v>
      </c>
      <c r="L868" t="s">
        <v>52</v>
      </c>
      <c r="M868">
        <v>136486.47</v>
      </c>
      <c r="N868">
        <v>472760.96</v>
      </c>
      <c r="O868" t="s">
        <v>53</v>
      </c>
      <c r="P868" t="s">
        <v>54</v>
      </c>
      <c r="Q868" t="s">
        <v>55</v>
      </c>
      <c r="T868" t="s">
        <v>588</v>
      </c>
      <c r="U868">
        <v>40</v>
      </c>
      <c r="V868" s="1">
        <v>28307</v>
      </c>
      <c r="W868" s="1">
        <v>28307</v>
      </c>
      <c r="X868" s="1">
        <v>28307</v>
      </c>
      <c r="Y868" s="1">
        <v>42917</v>
      </c>
      <c r="Z868" t="s">
        <v>51</v>
      </c>
      <c r="AB868" t="s">
        <v>54</v>
      </c>
      <c r="AC868">
        <v>1</v>
      </c>
      <c r="AE868" t="s">
        <v>222</v>
      </c>
      <c r="AF868">
        <v>20</v>
      </c>
      <c r="AG868" s="1">
        <v>36342</v>
      </c>
      <c r="AH868" s="1">
        <v>36342</v>
      </c>
      <c r="AI868" s="1">
        <v>36342</v>
      </c>
      <c r="AJ868" s="1">
        <v>43647</v>
      </c>
      <c r="AK868" t="s">
        <v>51</v>
      </c>
      <c r="AN868">
        <v>0</v>
      </c>
      <c r="AO868" t="s">
        <v>54</v>
      </c>
      <c r="AP868" t="s">
        <v>53</v>
      </c>
      <c r="AQ868">
        <v>0</v>
      </c>
      <c r="AR868" t="s">
        <v>53</v>
      </c>
      <c r="AS868">
        <v>0</v>
      </c>
      <c r="AT868">
        <v>0</v>
      </c>
      <c r="CC868" t="s">
        <v>432</v>
      </c>
      <c r="CD868">
        <v>85000</v>
      </c>
      <c r="CE868" s="1">
        <v>42552</v>
      </c>
      <c r="CF868" s="1">
        <v>42552</v>
      </c>
      <c r="CG868" s="1">
        <v>42552</v>
      </c>
      <c r="CH868" s="1">
        <v>49714</v>
      </c>
      <c r="CI868" t="s">
        <v>51</v>
      </c>
      <c r="CK868" t="s">
        <v>78</v>
      </c>
      <c r="CM868" t="s">
        <v>54</v>
      </c>
      <c r="CN868" t="s">
        <v>174</v>
      </c>
      <c r="CO868" t="s">
        <v>86</v>
      </c>
      <c r="CR868">
        <v>24</v>
      </c>
      <c r="CS868">
        <v>0</v>
      </c>
      <c r="CT868">
        <v>0</v>
      </c>
      <c r="CU868">
        <v>0</v>
      </c>
    </row>
    <row r="869" spans="1:99" x14ac:dyDescent="0.2">
      <c r="A869" t="s">
        <v>180</v>
      </c>
      <c r="B869" t="s">
        <v>181</v>
      </c>
      <c r="C869" t="s">
        <v>184</v>
      </c>
      <c r="D869" t="s">
        <v>596</v>
      </c>
      <c r="F869" t="str">
        <f>"250521"</f>
        <v>250521</v>
      </c>
      <c r="G869" t="s">
        <v>49</v>
      </c>
      <c r="H869" t="s">
        <v>604</v>
      </c>
      <c r="K869" t="s">
        <v>51</v>
      </c>
      <c r="L869" t="s">
        <v>52</v>
      </c>
      <c r="M869">
        <v>136509.94</v>
      </c>
      <c r="N869">
        <v>472750.92</v>
      </c>
      <c r="O869" t="s">
        <v>53</v>
      </c>
      <c r="P869" t="s">
        <v>54</v>
      </c>
      <c r="Q869" t="s">
        <v>55</v>
      </c>
      <c r="T869" t="s">
        <v>588</v>
      </c>
      <c r="U869">
        <v>40</v>
      </c>
      <c r="V869" s="1">
        <v>28307</v>
      </c>
      <c r="W869" s="1">
        <v>28307</v>
      </c>
      <c r="X869" s="1">
        <v>28307</v>
      </c>
      <c r="Y869" s="1">
        <v>42917</v>
      </c>
      <c r="Z869" t="s">
        <v>51</v>
      </c>
      <c r="AB869" t="s">
        <v>54</v>
      </c>
      <c r="AC869">
        <v>1</v>
      </c>
      <c r="AE869" t="s">
        <v>222</v>
      </c>
      <c r="AF869">
        <v>20</v>
      </c>
      <c r="AG869" s="1">
        <v>36342</v>
      </c>
      <c r="AH869" s="1">
        <v>36342</v>
      </c>
      <c r="AI869" s="1">
        <v>36342</v>
      </c>
      <c r="AJ869" s="1">
        <v>43647</v>
      </c>
      <c r="AK869" t="s">
        <v>51</v>
      </c>
      <c r="AN869">
        <v>0</v>
      </c>
      <c r="AO869" t="s">
        <v>54</v>
      </c>
      <c r="AP869" t="s">
        <v>53</v>
      </c>
      <c r="AQ869">
        <v>0</v>
      </c>
      <c r="AR869" t="s">
        <v>53</v>
      </c>
      <c r="AS869">
        <v>0</v>
      </c>
      <c r="AT869">
        <v>0</v>
      </c>
      <c r="CC869" t="s">
        <v>432</v>
      </c>
      <c r="CD869">
        <v>85000</v>
      </c>
      <c r="CE869" s="1">
        <v>42552</v>
      </c>
      <c r="CF869" s="1">
        <v>42552</v>
      </c>
      <c r="CG869" s="1">
        <v>42552</v>
      </c>
      <c r="CH869" s="1">
        <v>49714</v>
      </c>
      <c r="CI869" t="s">
        <v>51</v>
      </c>
      <c r="CK869" t="s">
        <v>78</v>
      </c>
      <c r="CM869" t="s">
        <v>54</v>
      </c>
      <c r="CN869" t="s">
        <v>174</v>
      </c>
      <c r="CO869" t="s">
        <v>86</v>
      </c>
      <c r="CR869">
        <v>24</v>
      </c>
      <c r="CS869">
        <v>0</v>
      </c>
      <c r="CT869">
        <v>0</v>
      </c>
      <c r="CU869">
        <v>0</v>
      </c>
    </row>
    <row r="870" spans="1:99" x14ac:dyDescent="0.2">
      <c r="A870" t="s">
        <v>180</v>
      </c>
      <c r="B870" t="s">
        <v>181</v>
      </c>
      <c r="C870" t="s">
        <v>184</v>
      </c>
      <c r="D870" t="s">
        <v>596</v>
      </c>
      <c r="F870" t="str">
        <f>"250522"</f>
        <v>250522</v>
      </c>
      <c r="G870" t="s">
        <v>49</v>
      </c>
      <c r="K870" t="s">
        <v>51</v>
      </c>
      <c r="L870" t="s">
        <v>52</v>
      </c>
      <c r="M870">
        <v>136534.37</v>
      </c>
      <c r="N870">
        <v>472740.05</v>
      </c>
      <c r="O870" t="s">
        <v>53</v>
      </c>
      <c r="P870" t="s">
        <v>54</v>
      </c>
      <c r="Q870" t="s">
        <v>55</v>
      </c>
      <c r="T870" t="s">
        <v>588</v>
      </c>
      <c r="U870">
        <v>40</v>
      </c>
      <c r="V870" s="1">
        <v>27576</v>
      </c>
      <c r="W870" s="1">
        <v>27576</v>
      </c>
      <c r="X870" s="1">
        <v>27576</v>
      </c>
      <c r="Y870" s="1">
        <v>42186</v>
      </c>
      <c r="Z870" t="s">
        <v>51</v>
      </c>
      <c r="AB870" t="s">
        <v>54</v>
      </c>
      <c r="AC870">
        <v>1</v>
      </c>
      <c r="AE870" t="s">
        <v>222</v>
      </c>
      <c r="AF870">
        <v>20</v>
      </c>
      <c r="AG870" s="1">
        <v>36342</v>
      </c>
      <c r="AH870" s="1">
        <v>36342</v>
      </c>
      <c r="AI870" s="1">
        <v>36342</v>
      </c>
      <c r="AJ870" s="1">
        <v>43647</v>
      </c>
      <c r="AK870" t="s">
        <v>51</v>
      </c>
      <c r="AN870">
        <v>0</v>
      </c>
      <c r="AO870" t="s">
        <v>54</v>
      </c>
      <c r="AP870" t="s">
        <v>53</v>
      </c>
      <c r="AQ870">
        <v>0</v>
      </c>
      <c r="AR870" t="s">
        <v>53</v>
      </c>
      <c r="AS870">
        <v>0</v>
      </c>
      <c r="AT870">
        <v>0</v>
      </c>
      <c r="CC870" t="s">
        <v>432</v>
      </c>
      <c r="CD870">
        <v>85000</v>
      </c>
      <c r="CE870" s="1">
        <v>42552</v>
      </c>
      <c r="CF870" s="1">
        <v>42552</v>
      </c>
      <c r="CG870" s="1">
        <v>42552</v>
      </c>
      <c r="CH870" s="1">
        <v>49714</v>
      </c>
      <c r="CI870" t="s">
        <v>51</v>
      </c>
      <c r="CK870" t="s">
        <v>78</v>
      </c>
      <c r="CM870" t="s">
        <v>54</v>
      </c>
      <c r="CN870" t="s">
        <v>174</v>
      </c>
      <c r="CO870" t="s">
        <v>86</v>
      </c>
      <c r="CR870">
        <v>24</v>
      </c>
      <c r="CS870">
        <v>0</v>
      </c>
      <c r="CT870">
        <v>0</v>
      </c>
      <c r="CU870">
        <v>0</v>
      </c>
    </row>
    <row r="871" spans="1:99" x14ac:dyDescent="0.2">
      <c r="A871" t="s">
        <v>180</v>
      </c>
      <c r="B871" t="s">
        <v>181</v>
      </c>
      <c r="C871" t="s">
        <v>184</v>
      </c>
      <c r="D871" t="s">
        <v>605</v>
      </c>
      <c r="F871" t="str">
        <f>"250523"</f>
        <v>250523</v>
      </c>
      <c r="G871" t="s">
        <v>49</v>
      </c>
      <c r="H871" t="s">
        <v>233</v>
      </c>
      <c r="K871" t="s">
        <v>51</v>
      </c>
      <c r="L871" t="s">
        <v>52</v>
      </c>
      <c r="M871">
        <v>136559.67999999999</v>
      </c>
      <c r="N871">
        <v>472732.84</v>
      </c>
      <c r="O871" t="s">
        <v>53</v>
      </c>
      <c r="P871" t="s">
        <v>54</v>
      </c>
      <c r="Q871" t="s">
        <v>55</v>
      </c>
      <c r="T871" t="s">
        <v>588</v>
      </c>
      <c r="U871">
        <v>40</v>
      </c>
      <c r="V871" s="1">
        <v>27576</v>
      </c>
      <c r="W871" s="1">
        <v>27576</v>
      </c>
      <c r="X871" s="1">
        <v>27576</v>
      </c>
      <c r="Y871" s="1">
        <v>42186</v>
      </c>
      <c r="Z871" t="s">
        <v>51</v>
      </c>
      <c r="AB871" t="s">
        <v>54</v>
      </c>
      <c r="AC871">
        <v>1</v>
      </c>
      <c r="AE871" t="s">
        <v>222</v>
      </c>
      <c r="AF871">
        <v>20</v>
      </c>
      <c r="AG871" s="1">
        <v>36342</v>
      </c>
      <c r="AH871" s="1">
        <v>36342</v>
      </c>
      <c r="AI871" s="1">
        <v>36342</v>
      </c>
      <c r="AJ871" s="1">
        <v>43647</v>
      </c>
      <c r="AK871" t="s">
        <v>51</v>
      </c>
      <c r="AN871">
        <v>0</v>
      </c>
      <c r="AO871" t="s">
        <v>54</v>
      </c>
      <c r="AP871" t="s">
        <v>53</v>
      </c>
      <c r="AQ871">
        <v>0</v>
      </c>
      <c r="AR871" t="s">
        <v>53</v>
      </c>
      <c r="AS871">
        <v>0</v>
      </c>
      <c r="AT871">
        <v>0</v>
      </c>
      <c r="CC871" t="s">
        <v>432</v>
      </c>
      <c r="CD871">
        <v>85000</v>
      </c>
      <c r="CE871" s="1">
        <v>42552</v>
      </c>
      <c r="CF871" s="1">
        <v>42552</v>
      </c>
      <c r="CG871" s="1">
        <v>42552</v>
      </c>
      <c r="CH871" s="1">
        <v>50139</v>
      </c>
      <c r="CI871" t="s">
        <v>51</v>
      </c>
      <c r="CK871" t="s">
        <v>78</v>
      </c>
      <c r="CM871" t="s">
        <v>54</v>
      </c>
      <c r="CN871" t="s">
        <v>174</v>
      </c>
      <c r="CO871" t="s">
        <v>86</v>
      </c>
      <c r="CR871">
        <v>24</v>
      </c>
      <c r="CS871">
        <v>0</v>
      </c>
      <c r="CT871">
        <v>0</v>
      </c>
      <c r="CU871">
        <v>0</v>
      </c>
    </row>
    <row r="872" spans="1:99" x14ac:dyDescent="0.2">
      <c r="A872" t="s">
        <v>180</v>
      </c>
      <c r="B872" t="s">
        <v>181</v>
      </c>
      <c r="C872" t="s">
        <v>184</v>
      </c>
      <c r="D872" t="s">
        <v>606</v>
      </c>
      <c r="F872" t="str">
        <f>"250524"</f>
        <v>250524</v>
      </c>
      <c r="G872" t="s">
        <v>49</v>
      </c>
      <c r="K872" t="s">
        <v>51</v>
      </c>
      <c r="L872" t="s">
        <v>52</v>
      </c>
      <c r="M872">
        <v>136356.39000000001</v>
      </c>
      <c r="N872">
        <v>472827.05</v>
      </c>
      <c r="O872" t="s">
        <v>53</v>
      </c>
      <c r="P872" t="s">
        <v>54</v>
      </c>
      <c r="Q872" t="s">
        <v>55</v>
      </c>
      <c r="T872" t="s">
        <v>469</v>
      </c>
      <c r="U872">
        <v>40</v>
      </c>
      <c r="V872" s="1">
        <v>35612</v>
      </c>
      <c r="W872" s="1">
        <v>35612</v>
      </c>
      <c r="X872" s="1">
        <v>35612</v>
      </c>
      <c r="Y872" s="1">
        <v>50222</v>
      </c>
      <c r="Z872" t="s">
        <v>51</v>
      </c>
      <c r="AB872" t="s">
        <v>54</v>
      </c>
      <c r="AC872">
        <v>1</v>
      </c>
      <c r="AE872" t="s">
        <v>84</v>
      </c>
      <c r="AF872">
        <v>20</v>
      </c>
      <c r="AG872" s="1">
        <v>27942</v>
      </c>
      <c r="AH872" s="1">
        <v>27942</v>
      </c>
      <c r="AI872" s="1">
        <v>35612</v>
      </c>
      <c r="AJ872" s="1">
        <v>35247</v>
      </c>
      <c r="AK872" t="s">
        <v>51</v>
      </c>
      <c r="AN872">
        <v>0</v>
      </c>
      <c r="AO872" t="s">
        <v>54</v>
      </c>
      <c r="AP872" t="s">
        <v>53</v>
      </c>
      <c r="AQ872">
        <v>0</v>
      </c>
      <c r="AR872" t="s">
        <v>53</v>
      </c>
      <c r="AS872">
        <v>0</v>
      </c>
      <c r="AT872">
        <v>0</v>
      </c>
      <c r="CC872" t="s">
        <v>185</v>
      </c>
      <c r="CD872">
        <v>85000</v>
      </c>
      <c r="CE872" s="1">
        <v>42552</v>
      </c>
      <c r="CF872" s="1">
        <v>42552</v>
      </c>
      <c r="CG872" s="1">
        <v>42552</v>
      </c>
      <c r="CH872" s="1">
        <v>49714</v>
      </c>
      <c r="CI872" t="s">
        <v>51</v>
      </c>
      <c r="CK872" t="s">
        <v>78</v>
      </c>
      <c r="CM872" t="s">
        <v>54</v>
      </c>
      <c r="CN872" t="s">
        <v>174</v>
      </c>
      <c r="CO872" t="s">
        <v>86</v>
      </c>
      <c r="CR872">
        <v>15</v>
      </c>
      <c r="CS872">
        <v>0</v>
      </c>
      <c r="CT872">
        <v>0</v>
      </c>
      <c r="CU872">
        <v>0</v>
      </c>
    </row>
    <row r="873" spans="1:99" x14ac:dyDescent="0.2">
      <c r="A873" t="s">
        <v>180</v>
      </c>
      <c r="B873" t="s">
        <v>181</v>
      </c>
      <c r="C873" t="s">
        <v>184</v>
      </c>
      <c r="D873" t="s">
        <v>606</v>
      </c>
      <c r="F873" t="str">
        <f>"250525"</f>
        <v>250525</v>
      </c>
      <c r="G873" t="s">
        <v>49</v>
      </c>
      <c r="H873" t="s">
        <v>607</v>
      </c>
      <c r="K873" t="s">
        <v>51</v>
      </c>
      <c r="L873" t="s">
        <v>52</v>
      </c>
      <c r="M873">
        <v>136360.76</v>
      </c>
      <c r="N873">
        <v>472852.46</v>
      </c>
      <c r="O873" t="s">
        <v>53</v>
      </c>
      <c r="P873" t="s">
        <v>54</v>
      </c>
      <c r="Q873" t="s">
        <v>55</v>
      </c>
      <c r="T873" t="s">
        <v>608</v>
      </c>
      <c r="U873">
        <v>40</v>
      </c>
      <c r="V873" s="1">
        <v>27942</v>
      </c>
      <c r="W873" s="1">
        <v>27942</v>
      </c>
      <c r="X873" s="1">
        <v>27942</v>
      </c>
      <c r="Y873" s="1">
        <v>42552</v>
      </c>
      <c r="Z873" t="s">
        <v>51</v>
      </c>
      <c r="AB873" t="s">
        <v>54</v>
      </c>
      <c r="AC873">
        <v>1</v>
      </c>
      <c r="AE873" t="s">
        <v>57</v>
      </c>
      <c r="AF873">
        <v>20</v>
      </c>
      <c r="AG873" s="1">
        <v>38169</v>
      </c>
      <c r="AH873" s="1">
        <v>38169</v>
      </c>
      <c r="AI873" s="1">
        <v>38169</v>
      </c>
      <c r="AJ873" s="1">
        <v>45474</v>
      </c>
      <c r="AK873" t="s">
        <v>51</v>
      </c>
      <c r="AN873">
        <v>0</v>
      </c>
      <c r="AO873" t="s">
        <v>54</v>
      </c>
      <c r="AP873" t="s">
        <v>53</v>
      </c>
      <c r="AQ873">
        <v>0</v>
      </c>
      <c r="AR873" t="s">
        <v>53</v>
      </c>
      <c r="AS873">
        <v>0</v>
      </c>
      <c r="AT873">
        <v>0</v>
      </c>
      <c r="CC873" t="s">
        <v>432</v>
      </c>
      <c r="CD873">
        <v>85000</v>
      </c>
      <c r="CE873" s="1">
        <v>42552</v>
      </c>
      <c r="CF873" s="1">
        <v>42552</v>
      </c>
      <c r="CG873" s="1">
        <v>42552</v>
      </c>
      <c r="CH873" s="1">
        <v>49714</v>
      </c>
      <c r="CI873" t="s">
        <v>51</v>
      </c>
      <c r="CK873" t="s">
        <v>78</v>
      </c>
      <c r="CM873" t="s">
        <v>54</v>
      </c>
      <c r="CN873" t="s">
        <v>174</v>
      </c>
      <c r="CO873" t="s">
        <v>86</v>
      </c>
      <c r="CR873">
        <v>24</v>
      </c>
      <c r="CS873">
        <v>0</v>
      </c>
      <c r="CT873">
        <v>0</v>
      </c>
      <c r="CU873">
        <v>0</v>
      </c>
    </row>
    <row r="874" spans="1:99" x14ac:dyDescent="0.2">
      <c r="A874" t="s">
        <v>180</v>
      </c>
      <c r="B874" t="s">
        <v>181</v>
      </c>
      <c r="C874" t="s">
        <v>184</v>
      </c>
      <c r="D874" t="s">
        <v>606</v>
      </c>
      <c r="F874" t="str">
        <f>"250526"</f>
        <v>250526</v>
      </c>
      <c r="G874" t="s">
        <v>49</v>
      </c>
      <c r="H874" t="s">
        <v>609</v>
      </c>
      <c r="K874" t="s">
        <v>51</v>
      </c>
      <c r="L874" t="s">
        <v>52</v>
      </c>
      <c r="M874">
        <v>136370.59</v>
      </c>
      <c r="N874">
        <v>472874.39</v>
      </c>
      <c r="O874" t="s">
        <v>53</v>
      </c>
      <c r="P874" t="s">
        <v>54</v>
      </c>
      <c r="Q874" t="s">
        <v>55</v>
      </c>
      <c r="T874" t="s">
        <v>608</v>
      </c>
      <c r="U874">
        <v>40</v>
      </c>
      <c r="V874" s="1">
        <v>27942</v>
      </c>
      <c r="W874" s="1">
        <v>27942</v>
      </c>
      <c r="X874" s="1">
        <v>27942</v>
      </c>
      <c r="Y874" s="1">
        <v>42552</v>
      </c>
      <c r="Z874" t="s">
        <v>51</v>
      </c>
      <c r="AB874" t="s">
        <v>54</v>
      </c>
      <c r="AC874">
        <v>1</v>
      </c>
      <c r="AE874" t="s">
        <v>84</v>
      </c>
      <c r="AF874">
        <v>20</v>
      </c>
      <c r="AG874" s="1">
        <v>27942</v>
      </c>
      <c r="AH874" s="1">
        <v>27942</v>
      </c>
      <c r="AI874" s="1">
        <v>27942</v>
      </c>
      <c r="AJ874" s="1">
        <v>35247</v>
      </c>
      <c r="AK874" t="s">
        <v>51</v>
      </c>
      <c r="AN874">
        <v>0</v>
      </c>
      <c r="AO874" t="s">
        <v>54</v>
      </c>
      <c r="AP874" t="s">
        <v>53</v>
      </c>
      <c r="AQ874">
        <v>0</v>
      </c>
      <c r="AR874" t="s">
        <v>53</v>
      </c>
      <c r="AS874">
        <v>0</v>
      </c>
      <c r="AT874">
        <v>0</v>
      </c>
      <c r="CA874">
        <v>1</v>
      </c>
      <c r="CC874" t="s">
        <v>185</v>
      </c>
      <c r="CD874">
        <v>85000</v>
      </c>
      <c r="CE874" s="1">
        <v>42552</v>
      </c>
      <c r="CF874" s="1">
        <v>42552</v>
      </c>
      <c r="CG874" s="1">
        <v>42552</v>
      </c>
      <c r="CH874" s="1">
        <v>49714</v>
      </c>
      <c r="CI874" t="s">
        <v>51</v>
      </c>
      <c r="CK874" t="s">
        <v>78</v>
      </c>
      <c r="CM874" t="s">
        <v>54</v>
      </c>
      <c r="CN874" t="s">
        <v>174</v>
      </c>
      <c r="CO874" t="s">
        <v>86</v>
      </c>
      <c r="CR874">
        <v>15</v>
      </c>
      <c r="CS874">
        <v>0</v>
      </c>
      <c r="CT874">
        <v>0</v>
      </c>
      <c r="CU874">
        <v>0</v>
      </c>
    </row>
    <row r="875" spans="1:99" x14ac:dyDescent="0.2">
      <c r="A875" t="s">
        <v>180</v>
      </c>
      <c r="B875" t="s">
        <v>181</v>
      </c>
      <c r="C875" t="s">
        <v>184</v>
      </c>
      <c r="D875" t="s">
        <v>606</v>
      </c>
      <c r="F875" t="str">
        <f>"250527"</f>
        <v>250527</v>
      </c>
      <c r="G875" t="s">
        <v>49</v>
      </c>
      <c r="H875" t="s">
        <v>610</v>
      </c>
      <c r="K875" t="s">
        <v>51</v>
      </c>
      <c r="L875" t="s">
        <v>52</v>
      </c>
      <c r="M875">
        <v>136395.62</v>
      </c>
      <c r="N875">
        <v>472890.3</v>
      </c>
      <c r="O875" t="s">
        <v>53</v>
      </c>
      <c r="P875" t="s">
        <v>54</v>
      </c>
      <c r="Q875" t="s">
        <v>55</v>
      </c>
      <c r="T875" t="s">
        <v>469</v>
      </c>
      <c r="U875">
        <v>40</v>
      </c>
      <c r="V875" s="1">
        <v>36342</v>
      </c>
      <c r="W875" s="1">
        <v>36342</v>
      </c>
      <c r="X875" s="1">
        <v>36342</v>
      </c>
      <c r="Y875" s="1">
        <v>50952</v>
      </c>
      <c r="Z875" t="s">
        <v>51</v>
      </c>
      <c r="AB875" t="s">
        <v>54</v>
      </c>
      <c r="AC875">
        <v>1</v>
      </c>
      <c r="AE875" t="s">
        <v>84</v>
      </c>
      <c r="AF875">
        <v>20</v>
      </c>
      <c r="AG875" s="1">
        <v>36342</v>
      </c>
      <c r="AH875" s="1">
        <v>36342</v>
      </c>
      <c r="AI875" s="1">
        <v>36342</v>
      </c>
      <c r="AJ875" s="1">
        <v>43647</v>
      </c>
      <c r="AK875" t="s">
        <v>51</v>
      </c>
      <c r="AN875">
        <v>0</v>
      </c>
      <c r="AO875" t="s">
        <v>54</v>
      </c>
      <c r="AP875" t="s">
        <v>53</v>
      </c>
      <c r="AQ875">
        <v>0</v>
      </c>
      <c r="AR875" t="s">
        <v>53</v>
      </c>
      <c r="AS875">
        <v>0</v>
      </c>
      <c r="AT875">
        <v>0</v>
      </c>
      <c r="CC875" t="s">
        <v>185</v>
      </c>
      <c r="CD875">
        <v>85000</v>
      </c>
      <c r="CE875" s="1">
        <v>42552</v>
      </c>
      <c r="CF875" s="1">
        <v>42552</v>
      </c>
      <c r="CG875" s="1">
        <v>42552</v>
      </c>
      <c r="CH875" s="1">
        <v>49714</v>
      </c>
      <c r="CI875" t="s">
        <v>51</v>
      </c>
      <c r="CK875" t="s">
        <v>78</v>
      </c>
      <c r="CM875" t="s">
        <v>54</v>
      </c>
      <c r="CN875" t="s">
        <v>174</v>
      </c>
      <c r="CO875" t="s">
        <v>86</v>
      </c>
      <c r="CR875">
        <v>15</v>
      </c>
      <c r="CS875">
        <v>0</v>
      </c>
      <c r="CT875">
        <v>0</v>
      </c>
      <c r="CU875">
        <v>0</v>
      </c>
    </row>
    <row r="876" spans="1:99" x14ac:dyDescent="0.2">
      <c r="A876" t="s">
        <v>180</v>
      </c>
      <c r="B876" t="s">
        <v>181</v>
      </c>
      <c r="C876" t="s">
        <v>184</v>
      </c>
      <c r="D876" t="s">
        <v>606</v>
      </c>
      <c r="F876" t="str">
        <f>"250528"</f>
        <v>250528</v>
      </c>
      <c r="G876" t="s">
        <v>49</v>
      </c>
      <c r="H876" t="s">
        <v>547</v>
      </c>
      <c r="K876" t="s">
        <v>51</v>
      </c>
      <c r="L876" t="s">
        <v>52</v>
      </c>
      <c r="M876">
        <v>136423.5</v>
      </c>
      <c r="N876">
        <v>472889.62</v>
      </c>
      <c r="O876" t="s">
        <v>53</v>
      </c>
      <c r="P876" t="s">
        <v>54</v>
      </c>
      <c r="Q876" t="s">
        <v>55</v>
      </c>
      <c r="T876" t="s">
        <v>608</v>
      </c>
      <c r="U876">
        <v>40</v>
      </c>
      <c r="V876" s="1">
        <v>27942</v>
      </c>
      <c r="W876" s="1">
        <v>27942</v>
      </c>
      <c r="X876" s="1">
        <v>27942</v>
      </c>
      <c r="Y876" s="1">
        <v>42552</v>
      </c>
      <c r="Z876" t="s">
        <v>51</v>
      </c>
      <c r="AB876" t="s">
        <v>54</v>
      </c>
      <c r="AC876">
        <v>1</v>
      </c>
      <c r="AE876" t="s">
        <v>84</v>
      </c>
      <c r="AF876">
        <v>20</v>
      </c>
      <c r="AG876" s="1">
        <v>27942</v>
      </c>
      <c r="AH876" s="1">
        <v>27942</v>
      </c>
      <c r="AI876" s="1">
        <v>27942</v>
      </c>
      <c r="AJ876" s="1">
        <v>35247</v>
      </c>
      <c r="AK876" t="s">
        <v>51</v>
      </c>
      <c r="AN876">
        <v>0</v>
      </c>
      <c r="AO876" t="s">
        <v>54</v>
      </c>
      <c r="AP876" t="s">
        <v>53</v>
      </c>
      <c r="AQ876">
        <v>0</v>
      </c>
      <c r="AR876" t="s">
        <v>53</v>
      </c>
      <c r="AS876">
        <v>0</v>
      </c>
      <c r="AT876">
        <v>0</v>
      </c>
      <c r="CA876">
        <v>1</v>
      </c>
      <c r="CC876" t="s">
        <v>185</v>
      </c>
      <c r="CD876">
        <v>85000</v>
      </c>
      <c r="CE876" s="1">
        <v>42552</v>
      </c>
      <c r="CF876" s="1">
        <v>42552</v>
      </c>
      <c r="CG876" s="1">
        <v>42552</v>
      </c>
      <c r="CH876" s="1">
        <v>49714</v>
      </c>
      <c r="CI876" t="s">
        <v>51</v>
      </c>
      <c r="CK876" t="s">
        <v>78</v>
      </c>
      <c r="CM876" t="s">
        <v>54</v>
      </c>
      <c r="CN876" t="s">
        <v>174</v>
      </c>
      <c r="CO876" t="s">
        <v>86</v>
      </c>
      <c r="CR876">
        <v>15</v>
      </c>
      <c r="CS876">
        <v>0</v>
      </c>
      <c r="CT876">
        <v>0</v>
      </c>
      <c r="CU876">
        <v>0</v>
      </c>
    </row>
    <row r="877" spans="1:99" x14ac:dyDescent="0.2">
      <c r="A877" t="s">
        <v>180</v>
      </c>
      <c r="B877" t="s">
        <v>181</v>
      </c>
      <c r="C877" t="s">
        <v>184</v>
      </c>
      <c r="D877" t="s">
        <v>606</v>
      </c>
      <c r="F877" t="str">
        <f>"250529"</f>
        <v>250529</v>
      </c>
      <c r="G877" t="s">
        <v>49</v>
      </c>
      <c r="H877" t="s">
        <v>611</v>
      </c>
      <c r="K877" t="s">
        <v>51</v>
      </c>
      <c r="L877" t="s">
        <v>52</v>
      </c>
      <c r="M877">
        <v>136492.84</v>
      </c>
      <c r="N877">
        <v>472881.28</v>
      </c>
      <c r="O877" t="s">
        <v>53</v>
      </c>
      <c r="P877" t="s">
        <v>54</v>
      </c>
      <c r="Q877" t="s">
        <v>55</v>
      </c>
      <c r="T877" t="s">
        <v>588</v>
      </c>
      <c r="U877">
        <v>40</v>
      </c>
      <c r="V877" s="1">
        <v>27576</v>
      </c>
      <c r="W877" s="1">
        <v>27576</v>
      </c>
      <c r="X877" s="1">
        <v>27576</v>
      </c>
      <c r="Y877" s="1">
        <v>42186</v>
      </c>
      <c r="Z877" t="s">
        <v>51</v>
      </c>
      <c r="AB877" t="s">
        <v>54</v>
      </c>
      <c r="AC877">
        <v>1</v>
      </c>
      <c r="AE877" t="s">
        <v>222</v>
      </c>
      <c r="AF877">
        <v>20</v>
      </c>
      <c r="AG877" s="1">
        <v>36342</v>
      </c>
      <c r="AH877" s="1">
        <v>36342</v>
      </c>
      <c r="AI877" s="1">
        <v>36342</v>
      </c>
      <c r="AJ877" s="1">
        <v>43647</v>
      </c>
      <c r="AK877" t="s">
        <v>51</v>
      </c>
      <c r="AN877">
        <v>0</v>
      </c>
      <c r="AO877" t="s">
        <v>54</v>
      </c>
      <c r="AP877" t="s">
        <v>53</v>
      </c>
      <c r="AQ877">
        <v>0</v>
      </c>
      <c r="AR877" t="s">
        <v>53</v>
      </c>
      <c r="AS877">
        <v>0</v>
      </c>
      <c r="AT877">
        <v>0</v>
      </c>
      <c r="CC877" t="s">
        <v>432</v>
      </c>
      <c r="CD877">
        <v>85000</v>
      </c>
      <c r="CE877" s="1">
        <v>42552</v>
      </c>
      <c r="CF877" s="1">
        <v>42552</v>
      </c>
      <c r="CG877" s="1">
        <v>42552</v>
      </c>
      <c r="CH877" s="1">
        <v>49714</v>
      </c>
      <c r="CI877" t="s">
        <v>51</v>
      </c>
      <c r="CK877" t="s">
        <v>78</v>
      </c>
      <c r="CM877" t="s">
        <v>54</v>
      </c>
      <c r="CN877" t="s">
        <v>174</v>
      </c>
      <c r="CO877" t="s">
        <v>86</v>
      </c>
      <c r="CR877">
        <v>24</v>
      </c>
      <c r="CS877">
        <v>0</v>
      </c>
      <c r="CT877">
        <v>0</v>
      </c>
      <c r="CU877">
        <v>0</v>
      </c>
    </row>
    <row r="878" spans="1:99" x14ac:dyDescent="0.2">
      <c r="A878" t="s">
        <v>180</v>
      </c>
      <c r="B878" t="s">
        <v>181</v>
      </c>
      <c r="C878" t="s">
        <v>184</v>
      </c>
      <c r="D878" t="s">
        <v>606</v>
      </c>
      <c r="F878" t="str">
        <f>"250530"</f>
        <v>250530</v>
      </c>
      <c r="G878" t="s">
        <v>49</v>
      </c>
      <c r="H878" t="s">
        <v>575</v>
      </c>
      <c r="K878" t="s">
        <v>51</v>
      </c>
      <c r="L878" t="s">
        <v>52</v>
      </c>
      <c r="M878">
        <v>136423.79</v>
      </c>
      <c r="N878">
        <v>472862.05</v>
      </c>
      <c r="O878" t="s">
        <v>53</v>
      </c>
      <c r="P878" t="s">
        <v>54</v>
      </c>
      <c r="Q878" t="s">
        <v>55</v>
      </c>
      <c r="T878" t="s">
        <v>588</v>
      </c>
      <c r="U878">
        <v>40</v>
      </c>
      <c r="V878" s="1">
        <v>27942</v>
      </c>
      <c r="W878" s="1">
        <v>27942</v>
      </c>
      <c r="X878" s="1">
        <v>27942</v>
      </c>
      <c r="Y878" s="1">
        <v>42552</v>
      </c>
      <c r="Z878" t="s">
        <v>51</v>
      </c>
      <c r="AB878" t="s">
        <v>54</v>
      </c>
      <c r="AC878">
        <v>1</v>
      </c>
      <c r="AE878" t="s">
        <v>222</v>
      </c>
      <c r="AF878">
        <v>20</v>
      </c>
      <c r="AG878" s="1">
        <v>36342</v>
      </c>
      <c r="AH878" s="1">
        <v>36342</v>
      </c>
      <c r="AI878" s="1">
        <v>36342</v>
      </c>
      <c r="AJ878" s="1">
        <v>43647</v>
      </c>
      <c r="AK878" t="s">
        <v>51</v>
      </c>
      <c r="AN878">
        <v>0</v>
      </c>
      <c r="AO878" t="s">
        <v>54</v>
      </c>
      <c r="AP878" t="s">
        <v>53</v>
      </c>
      <c r="AQ878">
        <v>0</v>
      </c>
      <c r="AR878" t="s">
        <v>53</v>
      </c>
      <c r="AS878">
        <v>0</v>
      </c>
      <c r="AT878">
        <v>0</v>
      </c>
      <c r="CC878" t="s">
        <v>432</v>
      </c>
      <c r="CD878">
        <v>85000</v>
      </c>
      <c r="CE878" s="1">
        <v>42552</v>
      </c>
      <c r="CF878" s="1">
        <v>42552</v>
      </c>
      <c r="CG878" s="1">
        <v>42552</v>
      </c>
      <c r="CH878" s="1">
        <v>49714</v>
      </c>
      <c r="CI878" t="s">
        <v>51</v>
      </c>
      <c r="CK878" t="s">
        <v>78</v>
      </c>
      <c r="CM878" t="s">
        <v>54</v>
      </c>
      <c r="CN878" t="s">
        <v>174</v>
      </c>
      <c r="CO878" t="s">
        <v>86</v>
      </c>
      <c r="CR878">
        <v>24</v>
      </c>
      <c r="CS878">
        <v>0</v>
      </c>
      <c r="CT878">
        <v>0</v>
      </c>
      <c r="CU878">
        <v>0</v>
      </c>
    </row>
    <row r="879" spans="1:99" x14ac:dyDescent="0.2">
      <c r="A879" t="s">
        <v>180</v>
      </c>
      <c r="B879" t="s">
        <v>181</v>
      </c>
      <c r="C879" t="s">
        <v>184</v>
      </c>
      <c r="D879" t="s">
        <v>606</v>
      </c>
      <c r="F879" t="str">
        <f>"250531"</f>
        <v>250531</v>
      </c>
      <c r="G879" t="s">
        <v>49</v>
      </c>
      <c r="K879" t="s">
        <v>51</v>
      </c>
      <c r="L879" t="s">
        <v>52</v>
      </c>
      <c r="M879">
        <v>136455.75</v>
      </c>
      <c r="N879">
        <v>472868.96</v>
      </c>
      <c r="O879" t="s">
        <v>53</v>
      </c>
      <c r="P879" t="s">
        <v>54</v>
      </c>
      <c r="Q879" t="s">
        <v>55</v>
      </c>
      <c r="T879" t="s">
        <v>612</v>
      </c>
      <c r="U879">
        <v>40</v>
      </c>
      <c r="V879" s="1">
        <v>27395</v>
      </c>
      <c r="W879" s="1">
        <v>27395</v>
      </c>
      <c r="X879" s="1">
        <v>27395</v>
      </c>
      <c r="Y879" s="1">
        <v>42005</v>
      </c>
      <c r="Z879" t="s">
        <v>51</v>
      </c>
      <c r="AB879" t="s">
        <v>54</v>
      </c>
      <c r="AC879">
        <v>1</v>
      </c>
      <c r="AE879" t="s">
        <v>613</v>
      </c>
      <c r="AF879">
        <v>20</v>
      </c>
      <c r="AG879" s="1">
        <v>34881</v>
      </c>
      <c r="AH879" s="1">
        <v>34881</v>
      </c>
      <c r="AI879" s="1">
        <v>34881</v>
      </c>
      <c r="AJ879" s="1">
        <v>42186</v>
      </c>
      <c r="AK879" t="s">
        <v>51</v>
      </c>
      <c r="AN879">
        <v>0</v>
      </c>
      <c r="AO879" t="s">
        <v>54</v>
      </c>
      <c r="AP879" t="s">
        <v>53</v>
      </c>
      <c r="AQ879">
        <v>0</v>
      </c>
      <c r="AR879" t="s">
        <v>53</v>
      </c>
      <c r="AS879">
        <v>0</v>
      </c>
      <c r="AT879">
        <v>0</v>
      </c>
      <c r="CC879" t="s">
        <v>432</v>
      </c>
      <c r="CD879">
        <v>85000</v>
      </c>
      <c r="CE879" s="1">
        <v>42552</v>
      </c>
      <c r="CF879" s="1">
        <v>42552</v>
      </c>
      <c r="CG879" s="1">
        <v>42552</v>
      </c>
      <c r="CH879" s="1">
        <v>49714</v>
      </c>
      <c r="CI879" t="s">
        <v>51</v>
      </c>
      <c r="CK879" t="s">
        <v>78</v>
      </c>
      <c r="CM879" t="s">
        <v>54</v>
      </c>
      <c r="CN879" t="s">
        <v>174</v>
      </c>
      <c r="CO879" t="s">
        <v>86</v>
      </c>
      <c r="CR879">
        <v>24</v>
      </c>
      <c r="CS879">
        <v>0</v>
      </c>
      <c r="CT879">
        <v>0</v>
      </c>
      <c r="CU879">
        <v>0</v>
      </c>
    </row>
    <row r="880" spans="1:99" x14ac:dyDescent="0.2">
      <c r="A880" t="s">
        <v>180</v>
      </c>
      <c r="B880" t="s">
        <v>181</v>
      </c>
      <c r="C880" t="s">
        <v>184</v>
      </c>
      <c r="D880" t="s">
        <v>606</v>
      </c>
      <c r="F880" t="str">
        <f>"250532"</f>
        <v>250532</v>
      </c>
      <c r="G880" t="s">
        <v>49</v>
      </c>
      <c r="H880" t="s">
        <v>507</v>
      </c>
      <c r="K880" t="s">
        <v>51</v>
      </c>
      <c r="L880" t="s">
        <v>52</v>
      </c>
      <c r="M880">
        <v>136466.57</v>
      </c>
      <c r="N880">
        <v>472900.81</v>
      </c>
      <c r="O880" t="s">
        <v>53</v>
      </c>
      <c r="P880" t="s">
        <v>54</v>
      </c>
      <c r="Q880" t="s">
        <v>55</v>
      </c>
      <c r="T880" t="s">
        <v>469</v>
      </c>
      <c r="U880">
        <v>40</v>
      </c>
      <c r="V880" s="1">
        <v>34881</v>
      </c>
      <c r="W880" s="1">
        <v>34881</v>
      </c>
      <c r="X880" s="1">
        <v>34881</v>
      </c>
      <c r="Y880" s="1">
        <v>49491</v>
      </c>
      <c r="Z880" t="s">
        <v>51</v>
      </c>
      <c r="AB880" t="s">
        <v>54</v>
      </c>
      <c r="AC880">
        <v>1</v>
      </c>
      <c r="AE880" t="s">
        <v>84</v>
      </c>
      <c r="AF880">
        <v>20</v>
      </c>
      <c r="AG880" s="1">
        <v>34881</v>
      </c>
      <c r="AH880" s="1">
        <v>34881</v>
      </c>
      <c r="AI880" s="1">
        <v>34881</v>
      </c>
      <c r="AJ880" s="1">
        <v>42186</v>
      </c>
      <c r="AK880" t="s">
        <v>51</v>
      </c>
      <c r="AN880">
        <v>0</v>
      </c>
      <c r="AO880" t="s">
        <v>54</v>
      </c>
      <c r="AP880" t="s">
        <v>53</v>
      </c>
      <c r="AQ880">
        <v>0</v>
      </c>
      <c r="AR880" t="s">
        <v>53</v>
      </c>
      <c r="AS880">
        <v>0</v>
      </c>
      <c r="AT880">
        <v>0</v>
      </c>
      <c r="CC880" t="s">
        <v>185</v>
      </c>
      <c r="CD880">
        <v>85000</v>
      </c>
      <c r="CE880" s="1">
        <v>42552</v>
      </c>
      <c r="CF880" s="1">
        <v>42552</v>
      </c>
      <c r="CG880" s="1">
        <v>42552</v>
      </c>
      <c r="CH880" s="1">
        <v>49714</v>
      </c>
      <c r="CI880" t="s">
        <v>51</v>
      </c>
      <c r="CK880" t="s">
        <v>78</v>
      </c>
      <c r="CM880" t="s">
        <v>54</v>
      </c>
      <c r="CN880" t="s">
        <v>174</v>
      </c>
      <c r="CO880" t="s">
        <v>86</v>
      </c>
      <c r="CR880">
        <v>15</v>
      </c>
      <c r="CS880">
        <v>0</v>
      </c>
      <c r="CT880">
        <v>0</v>
      </c>
      <c r="CU880">
        <v>0</v>
      </c>
    </row>
    <row r="881" spans="1:99" x14ac:dyDescent="0.2">
      <c r="A881" t="s">
        <v>180</v>
      </c>
      <c r="B881" t="s">
        <v>181</v>
      </c>
      <c r="C881" t="s">
        <v>184</v>
      </c>
      <c r="D881" t="s">
        <v>606</v>
      </c>
      <c r="F881" t="str">
        <f>"250533"</f>
        <v>250533</v>
      </c>
      <c r="G881" t="s">
        <v>49</v>
      </c>
      <c r="H881" t="s">
        <v>614</v>
      </c>
      <c r="K881" t="s">
        <v>51</v>
      </c>
      <c r="L881" t="s">
        <v>52</v>
      </c>
      <c r="M881">
        <v>136485.35</v>
      </c>
      <c r="N881">
        <v>472928.89</v>
      </c>
      <c r="O881" t="s">
        <v>53</v>
      </c>
      <c r="P881" t="s">
        <v>54</v>
      </c>
      <c r="Q881" t="s">
        <v>55</v>
      </c>
      <c r="T881" t="s">
        <v>608</v>
      </c>
      <c r="U881">
        <v>40</v>
      </c>
      <c r="V881" s="1">
        <v>27576</v>
      </c>
      <c r="W881" s="1">
        <v>27576</v>
      </c>
      <c r="X881" s="1">
        <v>27576</v>
      </c>
      <c r="Y881" s="1">
        <v>42186</v>
      </c>
      <c r="Z881" t="s">
        <v>51</v>
      </c>
      <c r="AB881" t="s">
        <v>54</v>
      </c>
      <c r="AC881">
        <v>1</v>
      </c>
      <c r="AE881" t="s">
        <v>613</v>
      </c>
      <c r="AF881">
        <v>20</v>
      </c>
      <c r="AG881" s="1">
        <v>37803</v>
      </c>
      <c r="AH881" s="1">
        <v>37803</v>
      </c>
      <c r="AI881" s="1">
        <v>37803</v>
      </c>
      <c r="AJ881" s="1">
        <v>45108</v>
      </c>
      <c r="AK881" t="s">
        <v>51</v>
      </c>
      <c r="AN881">
        <v>0</v>
      </c>
      <c r="AO881" t="s">
        <v>54</v>
      </c>
      <c r="AP881" t="s">
        <v>53</v>
      </c>
      <c r="AQ881">
        <v>0</v>
      </c>
      <c r="AR881" t="s">
        <v>53</v>
      </c>
      <c r="AS881">
        <v>0</v>
      </c>
      <c r="AT881">
        <v>0</v>
      </c>
      <c r="CC881" t="s">
        <v>432</v>
      </c>
      <c r="CD881">
        <v>85000</v>
      </c>
      <c r="CE881" s="1">
        <v>42552</v>
      </c>
      <c r="CF881" s="1">
        <v>42552</v>
      </c>
      <c r="CG881" s="1">
        <v>42552</v>
      </c>
      <c r="CH881" s="1">
        <v>49714</v>
      </c>
      <c r="CI881" t="s">
        <v>51</v>
      </c>
      <c r="CK881" t="s">
        <v>78</v>
      </c>
      <c r="CM881" t="s">
        <v>54</v>
      </c>
      <c r="CN881" t="s">
        <v>174</v>
      </c>
      <c r="CO881" t="s">
        <v>86</v>
      </c>
      <c r="CR881">
        <v>24</v>
      </c>
      <c r="CS881">
        <v>0</v>
      </c>
      <c r="CT881">
        <v>0</v>
      </c>
      <c r="CU881">
        <v>0</v>
      </c>
    </row>
    <row r="882" spans="1:99" x14ac:dyDescent="0.2">
      <c r="A882" t="s">
        <v>180</v>
      </c>
      <c r="B882" t="s">
        <v>181</v>
      </c>
      <c r="C882" t="s">
        <v>184</v>
      </c>
      <c r="D882" t="s">
        <v>606</v>
      </c>
      <c r="F882" t="str">
        <f>"250534"</f>
        <v>250534</v>
      </c>
      <c r="G882" t="s">
        <v>49</v>
      </c>
      <c r="H882" t="s">
        <v>502</v>
      </c>
      <c r="K882" t="s">
        <v>51</v>
      </c>
      <c r="L882" t="s">
        <v>52</v>
      </c>
      <c r="M882">
        <v>136493.78</v>
      </c>
      <c r="N882">
        <v>472969.31</v>
      </c>
      <c r="O882" t="s">
        <v>53</v>
      </c>
      <c r="P882" t="s">
        <v>54</v>
      </c>
      <c r="Q882" t="s">
        <v>55</v>
      </c>
      <c r="T882" t="s">
        <v>239</v>
      </c>
      <c r="U882">
        <v>40</v>
      </c>
      <c r="V882" s="1">
        <v>44089</v>
      </c>
      <c r="W882" s="1">
        <v>44089</v>
      </c>
      <c r="X882" s="1">
        <v>44225</v>
      </c>
      <c r="Y882" s="1">
        <v>58699</v>
      </c>
      <c r="Z882" t="s">
        <v>51</v>
      </c>
      <c r="AB882" t="s">
        <v>54</v>
      </c>
      <c r="AC882">
        <v>1</v>
      </c>
      <c r="AE882" t="s">
        <v>222</v>
      </c>
      <c r="AF882">
        <v>20</v>
      </c>
      <c r="AG882" s="1">
        <v>36342</v>
      </c>
      <c r="AH882" s="1">
        <v>36342</v>
      </c>
      <c r="AI882" s="1">
        <v>44225</v>
      </c>
      <c r="AJ882" s="1">
        <v>43647</v>
      </c>
      <c r="AK882" t="s">
        <v>51</v>
      </c>
      <c r="AN882">
        <v>0</v>
      </c>
      <c r="AO882" t="s">
        <v>54</v>
      </c>
      <c r="AP882" t="s">
        <v>53</v>
      </c>
      <c r="AQ882">
        <v>0</v>
      </c>
      <c r="AR882" t="s">
        <v>53</v>
      </c>
      <c r="AS882">
        <v>0</v>
      </c>
      <c r="AT882">
        <v>0</v>
      </c>
      <c r="CC882" t="s">
        <v>432</v>
      </c>
      <c r="CD882">
        <v>85000</v>
      </c>
      <c r="CE882" s="1">
        <v>42552</v>
      </c>
      <c r="CF882" s="1">
        <v>42552</v>
      </c>
      <c r="CG882" s="1">
        <v>44225</v>
      </c>
      <c r="CH882" s="1">
        <v>49714</v>
      </c>
      <c r="CI882" t="s">
        <v>51</v>
      </c>
      <c r="CK882" t="s">
        <v>78</v>
      </c>
      <c r="CM882" t="s">
        <v>54</v>
      </c>
      <c r="CN882" t="s">
        <v>174</v>
      </c>
      <c r="CO882" t="s">
        <v>86</v>
      </c>
      <c r="CR882">
        <v>24</v>
      </c>
      <c r="CS882">
        <v>0</v>
      </c>
      <c r="CT882">
        <v>0</v>
      </c>
      <c r="CU882">
        <v>0</v>
      </c>
    </row>
    <row r="883" spans="1:99" x14ac:dyDescent="0.2">
      <c r="A883" t="s">
        <v>180</v>
      </c>
      <c r="B883" t="s">
        <v>181</v>
      </c>
      <c r="C883" t="s">
        <v>184</v>
      </c>
      <c r="D883" t="s">
        <v>606</v>
      </c>
      <c r="F883" t="str">
        <f>"250535"</f>
        <v>250535</v>
      </c>
      <c r="G883" t="s">
        <v>49</v>
      </c>
      <c r="H883" t="s">
        <v>462</v>
      </c>
      <c r="K883" t="s">
        <v>51</v>
      </c>
      <c r="L883" t="s">
        <v>52</v>
      </c>
      <c r="M883">
        <v>136487.07999999999</v>
      </c>
      <c r="N883">
        <v>472948.88</v>
      </c>
      <c r="O883" t="s">
        <v>53</v>
      </c>
      <c r="P883" t="s">
        <v>54</v>
      </c>
      <c r="Q883" t="s">
        <v>55</v>
      </c>
      <c r="T883" t="s">
        <v>239</v>
      </c>
      <c r="U883">
        <v>40</v>
      </c>
      <c r="V883" s="1">
        <v>44089</v>
      </c>
      <c r="W883" s="1">
        <v>44089</v>
      </c>
      <c r="X883" s="1">
        <v>44225</v>
      </c>
      <c r="Y883" s="1">
        <v>58699</v>
      </c>
      <c r="Z883" t="s">
        <v>51</v>
      </c>
      <c r="AB883" t="s">
        <v>54</v>
      </c>
      <c r="AC883">
        <v>1</v>
      </c>
      <c r="AE883" t="s">
        <v>222</v>
      </c>
      <c r="AF883">
        <v>20</v>
      </c>
      <c r="AG883" s="1">
        <v>36342</v>
      </c>
      <c r="AH883" s="1">
        <v>36342</v>
      </c>
      <c r="AI883" s="1">
        <v>44225</v>
      </c>
      <c r="AJ883" s="1">
        <v>43647</v>
      </c>
      <c r="AK883" t="s">
        <v>51</v>
      </c>
      <c r="AN883">
        <v>0</v>
      </c>
      <c r="AO883" t="s">
        <v>54</v>
      </c>
      <c r="AP883" t="s">
        <v>53</v>
      </c>
      <c r="AQ883">
        <v>0</v>
      </c>
      <c r="AR883" t="s">
        <v>53</v>
      </c>
      <c r="AS883">
        <v>0</v>
      </c>
      <c r="AT883">
        <v>0</v>
      </c>
      <c r="CC883" t="s">
        <v>432</v>
      </c>
      <c r="CD883">
        <v>85000</v>
      </c>
      <c r="CE883" s="1">
        <v>42552</v>
      </c>
      <c r="CF883" s="1">
        <v>42552</v>
      </c>
      <c r="CG883" s="1">
        <v>44225</v>
      </c>
      <c r="CH883" s="1">
        <v>49714</v>
      </c>
      <c r="CI883" t="s">
        <v>51</v>
      </c>
      <c r="CK883" t="s">
        <v>78</v>
      </c>
      <c r="CM883" t="s">
        <v>54</v>
      </c>
      <c r="CN883" t="s">
        <v>174</v>
      </c>
      <c r="CO883" t="s">
        <v>86</v>
      </c>
      <c r="CR883">
        <v>24</v>
      </c>
      <c r="CS883">
        <v>0</v>
      </c>
      <c r="CT883">
        <v>0</v>
      </c>
      <c r="CU883">
        <v>0</v>
      </c>
    </row>
    <row r="884" spans="1:99" x14ac:dyDescent="0.2">
      <c r="A884" t="s">
        <v>180</v>
      </c>
      <c r="B884" t="s">
        <v>181</v>
      </c>
      <c r="C884" t="s">
        <v>184</v>
      </c>
      <c r="D884" t="s">
        <v>606</v>
      </c>
      <c r="F884" t="str">
        <f>"250536"</f>
        <v>250536</v>
      </c>
      <c r="G884" t="s">
        <v>49</v>
      </c>
      <c r="H884" t="s">
        <v>504</v>
      </c>
      <c r="K884" t="s">
        <v>51</v>
      </c>
      <c r="L884" t="s">
        <v>52</v>
      </c>
      <c r="M884">
        <v>136507.20000000001</v>
      </c>
      <c r="N884">
        <v>472919.98</v>
      </c>
      <c r="O884" t="s">
        <v>53</v>
      </c>
      <c r="P884" t="s">
        <v>54</v>
      </c>
      <c r="Q884" t="s">
        <v>55</v>
      </c>
      <c r="T884" t="s">
        <v>608</v>
      </c>
      <c r="U884">
        <v>40</v>
      </c>
      <c r="V884" s="1">
        <v>30133</v>
      </c>
      <c r="W884" s="1">
        <v>30133</v>
      </c>
      <c r="X884" s="1">
        <v>30133</v>
      </c>
      <c r="Y884" s="1">
        <v>44743</v>
      </c>
      <c r="Z884" t="s">
        <v>51</v>
      </c>
      <c r="AB884" t="s">
        <v>54</v>
      </c>
      <c r="AC884">
        <v>1</v>
      </c>
      <c r="AE884" t="s">
        <v>57</v>
      </c>
      <c r="AF884">
        <v>20</v>
      </c>
      <c r="AG884" s="1">
        <v>38169</v>
      </c>
      <c r="AH884" s="1">
        <v>38169</v>
      </c>
      <c r="AI884" s="1">
        <v>38169</v>
      </c>
      <c r="AJ884" s="1">
        <v>45474</v>
      </c>
      <c r="AK884" t="s">
        <v>51</v>
      </c>
      <c r="AN884">
        <v>0</v>
      </c>
      <c r="AO884" t="s">
        <v>54</v>
      </c>
      <c r="AP884" t="s">
        <v>53</v>
      </c>
      <c r="AQ884">
        <v>0</v>
      </c>
      <c r="AR884" t="s">
        <v>53</v>
      </c>
      <c r="AS884">
        <v>0</v>
      </c>
      <c r="AT884">
        <v>0</v>
      </c>
      <c r="CC884" t="s">
        <v>432</v>
      </c>
      <c r="CD884">
        <v>85000</v>
      </c>
      <c r="CE884" s="1">
        <v>42552</v>
      </c>
      <c r="CF884" s="1">
        <v>42552</v>
      </c>
      <c r="CG884" s="1">
        <v>42552</v>
      </c>
      <c r="CH884" s="1">
        <v>49714</v>
      </c>
      <c r="CI884" t="s">
        <v>51</v>
      </c>
      <c r="CK884" t="s">
        <v>78</v>
      </c>
      <c r="CM884" t="s">
        <v>54</v>
      </c>
      <c r="CN884" t="s">
        <v>174</v>
      </c>
      <c r="CO884" t="s">
        <v>86</v>
      </c>
      <c r="CR884">
        <v>24</v>
      </c>
      <c r="CS884">
        <v>0</v>
      </c>
      <c r="CT884">
        <v>0</v>
      </c>
      <c r="CU884">
        <v>0</v>
      </c>
    </row>
    <row r="885" spans="1:99" x14ac:dyDescent="0.2">
      <c r="A885" t="s">
        <v>180</v>
      </c>
      <c r="B885" t="s">
        <v>181</v>
      </c>
      <c r="C885" t="s">
        <v>184</v>
      </c>
      <c r="D885" t="s">
        <v>606</v>
      </c>
      <c r="F885" t="str">
        <f>"250537"</f>
        <v>250537</v>
      </c>
      <c r="G885" t="s">
        <v>49</v>
      </c>
      <c r="H885" t="s">
        <v>343</v>
      </c>
      <c r="K885" t="s">
        <v>51</v>
      </c>
      <c r="L885" t="s">
        <v>52</v>
      </c>
      <c r="M885">
        <v>136528.44</v>
      </c>
      <c r="N885">
        <v>472911.09</v>
      </c>
      <c r="O885" t="s">
        <v>53</v>
      </c>
      <c r="P885" t="s">
        <v>54</v>
      </c>
      <c r="Q885" t="s">
        <v>55</v>
      </c>
      <c r="T885" t="s">
        <v>608</v>
      </c>
      <c r="U885">
        <v>40</v>
      </c>
      <c r="V885" s="1">
        <v>30133</v>
      </c>
      <c r="W885" s="1">
        <v>30133</v>
      </c>
      <c r="X885" s="1">
        <v>30133</v>
      </c>
      <c r="Y885" s="1">
        <v>44743</v>
      </c>
      <c r="Z885" t="s">
        <v>51</v>
      </c>
      <c r="AB885" t="s">
        <v>54</v>
      </c>
      <c r="AC885">
        <v>1</v>
      </c>
      <c r="AE885" t="s">
        <v>84</v>
      </c>
      <c r="AF885">
        <v>20</v>
      </c>
      <c r="AG885" s="1">
        <v>30133</v>
      </c>
      <c r="AH885" s="1">
        <v>30133</v>
      </c>
      <c r="AI885" s="1">
        <v>30133</v>
      </c>
      <c r="AJ885" s="1">
        <v>37438</v>
      </c>
      <c r="AK885" t="s">
        <v>51</v>
      </c>
      <c r="AN885">
        <v>0</v>
      </c>
      <c r="AO885" t="s">
        <v>54</v>
      </c>
      <c r="AP885" t="s">
        <v>53</v>
      </c>
      <c r="AQ885">
        <v>0</v>
      </c>
      <c r="AR885" t="s">
        <v>53</v>
      </c>
      <c r="AS885">
        <v>0</v>
      </c>
      <c r="AT885">
        <v>0</v>
      </c>
      <c r="CA885">
        <v>1</v>
      </c>
      <c r="CC885" t="s">
        <v>185</v>
      </c>
      <c r="CD885">
        <v>85000</v>
      </c>
      <c r="CE885" s="1">
        <v>42552</v>
      </c>
      <c r="CF885" s="1">
        <v>42552</v>
      </c>
      <c r="CG885" s="1">
        <v>42552</v>
      </c>
      <c r="CH885" s="1">
        <v>49714</v>
      </c>
      <c r="CI885" t="s">
        <v>51</v>
      </c>
      <c r="CK885" t="s">
        <v>78</v>
      </c>
      <c r="CM885" t="s">
        <v>54</v>
      </c>
      <c r="CN885" t="s">
        <v>174</v>
      </c>
      <c r="CO885" t="s">
        <v>86</v>
      </c>
      <c r="CR885">
        <v>15</v>
      </c>
      <c r="CS885">
        <v>0</v>
      </c>
      <c r="CT885">
        <v>0</v>
      </c>
      <c r="CU885">
        <v>0</v>
      </c>
    </row>
    <row r="886" spans="1:99" x14ac:dyDescent="0.2">
      <c r="A886" t="s">
        <v>180</v>
      </c>
      <c r="B886" t="s">
        <v>181</v>
      </c>
      <c r="C886" t="s">
        <v>184</v>
      </c>
      <c r="D886" t="s">
        <v>606</v>
      </c>
      <c r="F886" t="str">
        <f>"250538"</f>
        <v>250538</v>
      </c>
      <c r="G886" t="s">
        <v>49</v>
      </c>
      <c r="H886" t="s">
        <v>603</v>
      </c>
      <c r="K886" t="s">
        <v>51</v>
      </c>
      <c r="L886" t="s">
        <v>52</v>
      </c>
      <c r="M886">
        <v>136553.1</v>
      </c>
      <c r="N886">
        <v>472899.42</v>
      </c>
      <c r="O886" t="s">
        <v>53</v>
      </c>
      <c r="P886" t="s">
        <v>54</v>
      </c>
      <c r="Q886" t="s">
        <v>55</v>
      </c>
      <c r="T886" t="s">
        <v>608</v>
      </c>
      <c r="U886">
        <v>40</v>
      </c>
      <c r="V886" s="1">
        <v>30133</v>
      </c>
      <c r="W886" s="1">
        <v>30133</v>
      </c>
      <c r="X886" s="1">
        <v>30133</v>
      </c>
      <c r="Y886" s="1">
        <v>44743</v>
      </c>
      <c r="Z886" t="s">
        <v>51</v>
      </c>
      <c r="AB886" t="s">
        <v>54</v>
      </c>
      <c r="AC886">
        <v>1</v>
      </c>
      <c r="AE886" t="s">
        <v>57</v>
      </c>
      <c r="AF886">
        <v>20</v>
      </c>
      <c r="AG886" s="1">
        <v>38169</v>
      </c>
      <c r="AH886" s="1">
        <v>38169</v>
      </c>
      <c r="AI886" s="1">
        <v>38169</v>
      </c>
      <c r="AJ886" s="1">
        <v>45474</v>
      </c>
      <c r="AK886" t="s">
        <v>51</v>
      </c>
      <c r="AN886">
        <v>0</v>
      </c>
      <c r="AO886" t="s">
        <v>54</v>
      </c>
      <c r="AP886" t="s">
        <v>53</v>
      </c>
      <c r="AQ886">
        <v>0</v>
      </c>
      <c r="AR886" t="s">
        <v>53</v>
      </c>
      <c r="AS886">
        <v>0</v>
      </c>
      <c r="AT886">
        <v>0</v>
      </c>
      <c r="CC886" t="s">
        <v>432</v>
      </c>
      <c r="CD886">
        <v>85000</v>
      </c>
      <c r="CE886" s="1">
        <v>42552</v>
      </c>
      <c r="CF886" s="1">
        <v>42552</v>
      </c>
      <c r="CG886" s="1">
        <v>42552</v>
      </c>
      <c r="CH886" s="1">
        <v>49714</v>
      </c>
      <c r="CI886" t="s">
        <v>51</v>
      </c>
      <c r="CK886" t="s">
        <v>78</v>
      </c>
      <c r="CM886" t="s">
        <v>54</v>
      </c>
      <c r="CN886" t="s">
        <v>174</v>
      </c>
      <c r="CO886" t="s">
        <v>86</v>
      </c>
      <c r="CR886">
        <v>24</v>
      </c>
      <c r="CS886">
        <v>0</v>
      </c>
      <c r="CT886">
        <v>0</v>
      </c>
      <c r="CU886">
        <v>0</v>
      </c>
    </row>
    <row r="887" spans="1:99" x14ac:dyDescent="0.2">
      <c r="A887" t="s">
        <v>180</v>
      </c>
      <c r="B887" t="s">
        <v>181</v>
      </c>
      <c r="C887" t="s">
        <v>184</v>
      </c>
      <c r="D887" t="s">
        <v>606</v>
      </c>
      <c r="F887" t="str">
        <f>"250539"</f>
        <v>250539</v>
      </c>
      <c r="G887" t="s">
        <v>49</v>
      </c>
      <c r="H887" t="s">
        <v>615</v>
      </c>
      <c r="K887" t="s">
        <v>51</v>
      </c>
      <c r="L887" t="s">
        <v>52</v>
      </c>
      <c r="M887">
        <v>136572.94</v>
      </c>
      <c r="N887">
        <v>472891.69</v>
      </c>
      <c r="O887" t="s">
        <v>53</v>
      </c>
      <c r="P887" t="s">
        <v>54</v>
      </c>
      <c r="Q887" t="s">
        <v>55</v>
      </c>
      <c r="T887" t="s">
        <v>608</v>
      </c>
      <c r="U887">
        <v>40</v>
      </c>
      <c r="V887" s="1">
        <v>30133</v>
      </c>
      <c r="W887" s="1">
        <v>30133</v>
      </c>
      <c r="X887" s="1">
        <v>30133</v>
      </c>
      <c r="Y887" s="1">
        <v>44743</v>
      </c>
      <c r="Z887" t="s">
        <v>51</v>
      </c>
      <c r="AB887" t="s">
        <v>54</v>
      </c>
      <c r="AC887">
        <v>1</v>
      </c>
      <c r="AE887" t="s">
        <v>84</v>
      </c>
      <c r="AF887">
        <v>20</v>
      </c>
      <c r="AG887" s="1">
        <v>30133</v>
      </c>
      <c r="AH887" s="1">
        <v>30133</v>
      </c>
      <c r="AI887" s="1">
        <v>30133</v>
      </c>
      <c r="AJ887" s="1">
        <v>37438</v>
      </c>
      <c r="AK887" t="s">
        <v>51</v>
      </c>
      <c r="AN887">
        <v>0</v>
      </c>
      <c r="AO887" t="s">
        <v>54</v>
      </c>
      <c r="AP887" t="s">
        <v>53</v>
      </c>
      <c r="AQ887">
        <v>0</v>
      </c>
      <c r="AR887" t="s">
        <v>53</v>
      </c>
      <c r="AS887">
        <v>0</v>
      </c>
      <c r="AT887">
        <v>0</v>
      </c>
      <c r="CC887" t="s">
        <v>185</v>
      </c>
      <c r="CD887">
        <v>85000</v>
      </c>
      <c r="CE887" s="1">
        <v>42552</v>
      </c>
      <c r="CF887" s="1">
        <v>42552</v>
      </c>
      <c r="CG887" s="1">
        <v>42552</v>
      </c>
      <c r="CH887" s="1">
        <v>49714</v>
      </c>
      <c r="CI887" t="s">
        <v>51</v>
      </c>
      <c r="CK887" t="s">
        <v>78</v>
      </c>
      <c r="CM887" t="s">
        <v>54</v>
      </c>
      <c r="CN887" t="s">
        <v>174</v>
      </c>
      <c r="CO887" t="s">
        <v>86</v>
      </c>
      <c r="CR887">
        <v>15</v>
      </c>
      <c r="CS887">
        <v>0</v>
      </c>
      <c r="CT887">
        <v>0</v>
      </c>
      <c r="CU887">
        <v>0</v>
      </c>
    </row>
    <row r="888" spans="1:99" x14ac:dyDescent="0.2">
      <c r="A888" t="s">
        <v>180</v>
      </c>
      <c r="B888" t="s">
        <v>181</v>
      </c>
      <c r="C888" t="s">
        <v>184</v>
      </c>
      <c r="D888" t="s">
        <v>606</v>
      </c>
      <c r="F888" t="str">
        <f>"250540"</f>
        <v>250540</v>
      </c>
      <c r="G888" t="s">
        <v>49</v>
      </c>
      <c r="H888" t="s">
        <v>498</v>
      </c>
      <c r="K888" t="s">
        <v>51</v>
      </c>
      <c r="L888" t="s">
        <v>52</v>
      </c>
      <c r="M888">
        <v>136593.1</v>
      </c>
      <c r="N888">
        <v>472884.57</v>
      </c>
      <c r="O888" t="s">
        <v>53</v>
      </c>
      <c r="P888" t="s">
        <v>54</v>
      </c>
      <c r="Q888" t="s">
        <v>55</v>
      </c>
      <c r="T888" t="s">
        <v>608</v>
      </c>
      <c r="U888">
        <v>40</v>
      </c>
      <c r="V888" s="1">
        <v>30133</v>
      </c>
      <c r="W888" s="1">
        <v>30133</v>
      </c>
      <c r="X888" s="1">
        <v>30133</v>
      </c>
      <c r="Y888" s="1">
        <v>44743</v>
      </c>
      <c r="Z888" t="s">
        <v>51</v>
      </c>
      <c r="AB888" t="s">
        <v>54</v>
      </c>
      <c r="AC888">
        <v>1</v>
      </c>
      <c r="AE888" t="s">
        <v>84</v>
      </c>
      <c r="AF888">
        <v>20</v>
      </c>
      <c r="AG888" s="1">
        <v>38169</v>
      </c>
      <c r="AH888" s="1">
        <v>38169</v>
      </c>
      <c r="AI888" s="1">
        <v>38169</v>
      </c>
      <c r="AJ888" s="1">
        <v>45474</v>
      </c>
      <c r="AK888" t="s">
        <v>51</v>
      </c>
      <c r="AN888">
        <v>0</v>
      </c>
      <c r="AO888" t="s">
        <v>54</v>
      </c>
      <c r="AP888" t="s">
        <v>53</v>
      </c>
      <c r="AQ888">
        <v>0</v>
      </c>
      <c r="AR888" t="s">
        <v>53</v>
      </c>
      <c r="AS888">
        <v>0</v>
      </c>
      <c r="AT888">
        <v>0</v>
      </c>
      <c r="CC888" t="s">
        <v>185</v>
      </c>
      <c r="CD888">
        <v>85000</v>
      </c>
      <c r="CE888" s="1">
        <v>42552</v>
      </c>
      <c r="CF888" s="1">
        <v>42552</v>
      </c>
      <c r="CG888" s="1">
        <v>42552</v>
      </c>
      <c r="CH888" s="1">
        <v>49714</v>
      </c>
      <c r="CI888" t="s">
        <v>51</v>
      </c>
      <c r="CK888" t="s">
        <v>78</v>
      </c>
      <c r="CM888" t="s">
        <v>54</v>
      </c>
      <c r="CN888" t="s">
        <v>174</v>
      </c>
      <c r="CO888" t="s">
        <v>86</v>
      </c>
      <c r="CR888">
        <v>15</v>
      </c>
      <c r="CS888">
        <v>0</v>
      </c>
      <c r="CT888">
        <v>0</v>
      </c>
      <c r="CU888">
        <v>0</v>
      </c>
    </row>
    <row r="889" spans="1:99" x14ac:dyDescent="0.2">
      <c r="A889" t="s">
        <v>180</v>
      </c>
      <c r="B889" t="s">
        <v>181</v>
      </c>
      <c r="C889" t="s">
        <v>184</v>
      </c>
      <c r="D889" t="s">
        <v>606</v>
      </c>
      <c r="F889" t="str">
        <f>"250541"</f>
        <v>250541</v>
      </c>
      <c r="G889" t="s">
        <v>49</v>
      </c>
      <c r="H889" t="s">
        <v>616</v>
      </c>
      <c r="K889" t="s">
        <v>51</v>
      </c>
      <c r="L889" t="s">
        <v>52</v>
      </c>
      <c r="M889">
        <v>136614.29999999999</v>
      </c>
      <c r="N889">
        <v>472891.88</v>
      </c>
      <c r="O889" t="s">
        <v>53</v>
      </c>
      <c r="P889" t="s">
        <v>54</v>
      </c>
      <c r="Q889" t="s">
        <v>55</v>
      </c>
      <c r="T889" t="s">
        <v>239</v>
      </c>
      <c r="U889">
        <v>40</v>
      </c>
      <c r="V889" s="1">
        <v>30133</v>
      </c>
      <c r="W889" s="1">
        <v>30133</v>
      </c>
      <c r="X889" s="1">
        <v>30133</v>
      </c>
      <c r="Y889" s="1">
        <v>44743</v>
      </c>
      <c r="Z889" t="s">
        <v>51</v>
      </c>
      <c r="AB889" t="s">
        <v>54</v>
      </c>
      <c r="AC889">
        <v>1</v>
      </c>
      <c r="AE889" t="s">
        <v>222</v>
      </c>
      <c r="AF889">
        <v>20</v>
      </c>
      <c r="AG889" s="1">
        <v>36342</v>
      </c>
      <c r="AH889" s="1">
        <v>36342</v>
      </c>
      <c r="AI889" s="1">
        <v>36342</v>
      </c>
      <c r="AJ889" s="1">
        <v>43647</v>
      </c>
      <c r="AK889" t="s">
        <v>51</v>
      </c>
      <c r="AN889">
        <v>0</v>
      </c>
      <c r="AO889" t="s">
        <v>54</v>
      </c>
      <c r="AP889" t="s">
        <v>53</v>
      </c>
      <c r="AQ889">
        <v>0</v>
      </c>
      <c r="AR889" t="s">
        <v>53</v>
      </c>
      <c r="AS889">
        <v>0</v>
      </c>
      <c r="AT889">
        <v>0</v>
      </c>
      <c r="CC889" t="s">
        <v>432</v>
      </c>
      <c r="CD889">
        <v>85000</v>
      </c>
      <c r="CE889" s="1">
        <v>42552</v>
      </c>
      <c r="CF889" s="1">
        <v>42552</v>
      </c>
      <c r="CG889" s="1">
        <v>42552</v>
      </c>
      <c r="CH889" s="1">
        <v>49714</v>
      </c>
      <c r="CI889" t="s">
        <v>51</v>
      </c>
      <c r="CK889" t="s">
        <v>78</v>
      </c>
      <c r="CM889" t="s">
        <v>54</v>
      </c>
      <c r="CN889" t="s">
        <v>174</v>
      </c>
      <c r="CO889" t="s">
        <v>86</v>
      </c>
      <c r="CR889">
        <v>24</v>
      </c>
      <c r="CS889">
        <v>0</v>
      </c>
      <c r="CT889">
        <v>0</v>
      </c>
      <c r="CU889">
        <v>0</v>
      </c>
    </row>
    <row r="890" spans="1:99" x14ac:dyDescent="0.2">
      <c r="A890" t="s">
        <v>180</v>
      </c>
      <c r="B890" t="s">
        <v>181</v>
      </c>
      <c r="C890" t="s">
        <v>184</v>
      </c>
      <c r="D890" t="s">
        <v>606</v>
      </c>
      <c r="F890" t="str">
        <f>"250542"</f>
        <v>250542</v>
      </c>
      <c r="G890" t="s">
        <v>49</v>
      </c>
      <c r="H890" t="s">
        <v>74</v>
      </c>
      <c r="K890" t="s">
        <v>51</v>
      </c>
      <c r="L890" t="s">
        <v>52</v>
      </c>
      <c r="M890">
        <v>136620.51</v>
      </c>
      <c r="N890">
        <v>472911.87</v>
      </c>
      <c r="O890" t="s">
        <v>53</v>
      </c>
      <c r="P890" t="s">
        <v>54</v>
      </c>
      <c r="Q890" t="s">
        <v>55</v>
      </c>
      <c r="T890" t="s">
        <v>239</v>
      </c>
      <c r="U890">
        <v>40</v>
      </c>
      <c r="V890" s="1">
        <v>30133</v>
      </c>
      <c r="W890" s="1">
        <v>30133</v>
      </c>
      <c r="X890" s="1">
        <v>30133</v>
      </c>
      <c r="Y890" s="1">
        <v>44743</v>
      </c>
      <c r="Z890" t="s">
        <v>51</v>
      </c>
      <c r="AB890" t="s">
        <v>54</v>
      </c>
      <c r="AC890">
        <v>1</v>
      </c>
      <c r="AE890" t="s">
        <v>222</v>
      </c>
      <c r="AF890">
        <v>20</v>
      </c>
      <c r="AG890" s="1">
        <v>36342</v>
      </c>
      <c r="AH890" s="1">
        <v>36342</v>
      </c>
      <c r="AI890" s="1">
        <v>36342</v>
      </c>
      <c r="AJ890" s="1">
        <v>43647</v>
      </c>
      <c r="AK890" t="s">
        <v>51</v>
      </c>
      <c r="AN890">
        <v>0</v>
      </c>
      <c r="AO890" t="s">
        <v>54</v>
      </c>
      <c r="AP890" t="s">
        <v>53</v>
      </c>
      <c r="AQ890">
        <v>0</v>
      </c>
      <c r="AR890" t="s">
        <v>53</v>
      </c>
      <c r="AS890">
        <v>0</v>
      </c>
      <c r="AT890">
        <v>0</v>
      </c>
      <c r="CC890" t="s">
        <v>432</v>
      </c>
      <c r="CD890">
        <v>85000</v>
      </c>
      <c r="CE890" s="1">
        <v>42552</v>
      </c>
      <c r="CF890" s="1">
        <v>42552</v>
      </c>
      <c r="CG890" s="1">
        <v>42552</v>
      </c>
      <c r="CH890" s="1">
        <v>49714</v>
      </c>
      <c r="CI890" t="s">
        <v>51</v>
      </c>
      <c r="CK890" t="s">
        <v>78</v>
      </c>
      <c r="CM890" t="s">
        <v>54</v>
      </c>
      <c r="CN890" t="s">
        <v>174</v>
      </c>
      <c r="CO890" t="s">
        <v>86</v>
      </c>
      <c r="CR890">
        <v>24</v>
      </c>
      <c r="CS890">
        <v>0</v>
      </c>
      <c r="CT890">
        <v>0</v>
      </c>
      <c r="CU890">
        <v>0</v>
      </c>
    </row>
    <row r="891" spans="1:99" x14ac:dyDescent="0.2">
      <c r="A891" t="s">
        <v>180</v>
      </c>
      <c r="B891" t="s">
        <v>181</v>
      </c>
      <c r="C891" t="s">
        <v>184</v>
      </c>
      <c r="D891" t="s">
        <v>606</v>
      </c>
      <c r="F891" t="str">
        <f>"250543"</f>
        <v>250543</v>
      </c>
      <c r="G891" t="s">
        <v>49</v>
      </c>
      <c r="H891" t="s">
        <v>616</v>
      </c>
      <c r="K891" t="s">
        <v>51</v>
      </c>
      <c r="L891" t="s">
        <v>52</v>
      </c>
      <c r="M891">
        <v>136617.38</v>
      </c>
      <c r="N891">
        <v>472874.8</v>
      </c>
      <c r="O891" t="s">
        <v>53</v>
      </c>
      <c r="P891" t="s">
        <v>54</v>
      </c>
      <c r="Q891" t="s">
        <v>55</v>
      </c>
      <c r="T891" t="s">
        <v>608</v>
      </c>
      <c r="U891">
        <v>40</v>
      </c>
      <c r="V891" s="1">
        <v>30133</v>
      </c>
      <c r="W891" s="1">
        <v>30133</v>
      </c>
      <c r="X891" s="1">
        <v>30133</v>
      </c>
      <c r="Y891" s="1">
        <v>44743</v>
      </c>
      <c r="Z891" t="s">
        <v>51</v>
      </c>
      <c r="AB891" t="s">
        <v>54</v>
      </c>
      <c r="AC891">
        <v>1</v>
      </c>
      <c r="AE891" t="s">
        <v>84</v>
      </c>
      <c r="AF891">
        <v>20</v>
      </c>
      <c r="AG891" s="1">
        <v>36342</v>
      </c>
      <c r="AH891" s="1">
        <v>36342</v>
      </c>
      <c r="AI891" s="1">
        <v>36342</v>
      </c>
      <c r="AJ891" s="1">
        <v>43647</v>
      </c>
      <c r="AK891" t="s">
        <v>51</v>
      </c>
      <c r="AN891">
        <v>0</v>
      </c>
      <c r="AO891" t="s">
        <v>54</v>
      </c>
      <c r="AP891" t="s">
        <v>53</v>
      </c>
      <c r="AQ891">
        <v>0</v>
      </c>
      <c r="AR891" t="s">
        <v>53</v>
      </c>
      <c r="AS891">
        <v>0</v>
      </c>
      <c r="AT891">
        <v>0</v>
      </c>
      <c r="CC891" t="s">
        <v>185</v>
      </c>
      <c r="CD891">
        <v>85000</v>
      </c>
      <c r="CE891" s="1">
        <v>42552</v>
      </c>
      <c r="CF891" s="1">
        <v>42552</v>
      </c>
      <c r="CG891" s="1">
        <v>42552</v>
      </c>
      <c r="CH891" s="1">
        <v>49714</v>
      </c>
      <c r="CI891" t="s">
        <v>51</v>
      </c>
      <c r="CK891" t="s">
        <v>78</v>
      </c>
      <c r="CM891" t="s">
        <v>54</v>
      </c>
      <c r="CN891" t="s">
        <v>174</v>
      </c>
      <c r="CO891" t="s">
        <v>86</v>
      </c>
      <c r="CR891">
        <v>15</v>
      </c>
      <c r="CS891">
        <v>0</v>
      </c>
      <c r="CT891">
        <v>0</v>
      </c>
      <c r="CU891">
        <v>0</v>
      </c>
    </row>
    <row r="892" spans="1:99" x14ac:dyDescent="0.2">
      <c r="A892" t="s">
        <v>180</v>
      </c>
      <c r="B892" t="s">
        <v>181</v>
      </c>
      <c r="C892" t="s">
        <v>184</v>
      </c>
      <c r="D892" t="s">
        <v>606</v>
      </c>
      <c r="F892" t="str">
        <f>"250544"</f>
        <v>250544</v>
      </c>
      <c r="G892" t="s">
        <v>49</v>
      </c>
      <c r="H892" t="s">
        <v>617</v>
      </c>
      <c r="K892" t="s">
        <v>51</v>
      </c>
      <c r="L892" t="s">
        <v>52</v>
      </c>
      <c r="M892">
        <v>136637.85999999999</v>
      </c>
      <c r="N892">
        <v>472870.72</v>
      </c>
      <c r="O892" t="s">
        <v>53</v>
      </c>
      <c r="P892" t="s">
        <v>54</v>
      </c>
      <c r="Q892" t="s">
        <v>55</v>
      </c>
      <c r="T892" t="s">
        <v>608</v>
      </c>
      <c r="U892">
        <v>40</v>
      </c>
      <c r="V892" s="1">
        <v>30133</v>
      </c>
      <c r="W892" s="1">
        <v>30133</v>
      </c>
      <c r="X892" s="1">
        <v>30133</v>
      </c>
      <c r="Y892" s="1">
        <v>44743</v>
      </c>
      <c r="Z892" t="s">
        <v>51</v>
      </c>
      <c r="AB892" t="s">
        <v>54</v>
      </c>
      <c r="AC892">
        <v>1</v>
      </c>
      <c r="AE892" t="s">
        <v>84</v>
      </c>
      <c r="AF892">
        <v>20</v>
      </c>
      <c r="AG892" s="1">
        <v>30133</v>
      </c>
      <c r="AH892" s="1">
        <v>30133</v>
      </c>
      <c r="AI892" s="1">
        <v>30133</v>
      </c>
      <c r="AJ892" s="1">
        <v>37438</v>
      </c>
      <c r="AK892" t="s">
        <v>51</v>
      </c>
      <c r="AN892">
        <v>0</v>
      </c>
      <c r="AO892" t="s">
        <v>54</v>
      </c>
      <c r="AP892" t="s">
        <v>53</v>
      </c>
      <c r="AQ892">
        <v>0</v>
      </c>
      <c r="AR892" t="s">
        <v>53</v>
      </c>
      <c r="AS892">
        <v>0</v>
      </c>
      <c r="AT892">
        <v>0</v>
      </c>
      <c r="CC892" t="s">
        <v>185</v>
      </c>
      <c r="CD892">
        <v>85000</v>
      </c>
      <c r="CE892" s="1">
        <v>42552</v>
      </c>
      <c r="CF892" s="1">
        <v>42552</v>
      </c>
      <c r="CG892" s="1">
        <v>42552</v>
      </c>
      <c r="CH892" s="1">
        <v>49714</v>
      </c>
      <c r="CI892" t="s">
        <v>51</v>
      </c>
      <c r="CK892" t="s">
        <v>78</v>
      </c>
      <c r="CM892" t="s">
        <v>54</v>
      </c>
      <c r="CN892" t="s">
        <v>174</v>
      </c>
      <c r="CO892" t="s">
        <v>86</v>
      </c>
      <c r="CR892">
        <v>15</v>
      </c>
      <c r="CS892">
        <v>0</v>
      </c>
      <c r="CT892">
        <v>0</v>
      </c>
      <c r="CU892">
        <v>0</v>
      </c>
    </row>
    <row r="893" spans="1:99" x14ac:dyDescent="0.2">
      <c r="A893" t="s">
        <v>180</v>
      </c>
      <c r="B893" t="s">
        <v>181</v>
      </c>
      <c r="C893" t="s">
        <v>184</v>
      </c>
      <c r="D893" t="s">
        <v>606</v>
      </c>
      <c r="F893" t="str">
        <f>"250545"</f>
        <v>250545</v>
      </c>
      <c r="G893" t="s">
        <v>49</v>
      </c>
      <c r="K893" t="s">
        <v>51</v>
      </c>
      <c r="L893" t="s">
        <v>52</v>
      </c>
      <c r="M893">
        <v>136658.51</v>
      </c>
      <c r="N893">
        <v>472861.28</v>
      </c>
      <c r="O893" t="s">
        <v>53</v>
      </c>
      <c r="P893" t="s">
        <v>54</v>
      </c>
      <c r="Q893" t="s">
        <v>55</v>
      </c>
      <c r="T893" t="s">
        <v>608</v>
      </c>
      <c r="U893">
        <v>40</v>
      </c>
      <c r="V893" s="1">
        <v>27576</v>
      </c>
      <c r="W893" s="1">
        <v>27576</v>
      </c>
      <c r="X893" s="1">
        <v>27576</v>
      </c>
      <c r="Y893" s="1">
        <v>42186</v>
      </c>
      <c r="Z893" t="s">
        <v>51</v>
      </c>
      <c r="AB893" t="s">
        <v>54</v>
      </c>
      <c r="AC893">
        <v>1</v>
      </c>
      <c r="AE893" t="s">
        <v>84</v>
      </c>
      <c r="AF893">
        <v>20</v>
      </c>
      <c r="AG893" s="1">
        <v>27576</v>
      </c>
      <c r="AH893" s="1">
        <v>27576</v>
      </c>
      <c r="AI893" s="1">
        <v>27576</v>
      </c>
      <c r="AJ893" s="1">
        <v>34881</v>
      </c>
      <c r="AK893" t="s">
        <v>51</v>
      </c>
      <c r="AN893">
        <v>0</v>
      </c>
      <c r="AO893" t="s">
        <v>54</v>
      </c>
      <c r="AP893" t="s">
        <v>53</v>
      </c>
      <c r="AQ893">
        <v>0</v>
      </c>
      <c r="AR893" t="s">
        <v>53</v>
      </c>
      <c r="AS893">
        <v>0</v>
      </c>
      <c r="AT893">
        <v>0</v>
      </c>
      <c r="CC893" t="s">
        <v>185</v>
      </c>
      <c r="CD893">
        <v>85000</v>
      </c>
      <c r="CE893" s="1">
        <v>42552</v>
      </c>
      <c r="CF893" s="1">
        <v>42552</v>
      </c>
      <c r="CG893" s="1">
        <v>42552</v>
      </c>
      <c r="CH893" s="1">
        <v>49714</v>
      </c>
      <c r="CI893" t="s">
        <v>51</v>
      </c>
      <c r="CK893" t="s">
        <v>78</v>
      </c>
      <c r="CM893" t="s">
        <v>54</v>
      </c>
      <c r="CN893" t="s">
        <v>174</v>
      </c>
      <c r="CO893" t="s">
        <v>86</v>
      </c>
      <c r="CR893">
        <v>15</v>
      </c>
      <c r="CS893">
        <v>0</v>
      </c>
      <c r="CT893">
        <v>0</v>
      </c>
      <c r="CU893">
        <v>0</v>
      </c>
    </row>
    <row r="894" spans="1:99" x14ac:dyDescent="0.2">
      <c r="A894" t="s">
        <v>180</v>
      </c>
      <c r="B894" t="s">
        <v>181</v>
      </c>
      <c r="C894" t="s">
        <v>184</v>
      </c>
      <c r="D894" t="s">
        <v>606</v>
      </c>
      <c r="F894" t="str">
        <f>"250546"</f>
        <v>250546</v>
      </c>
      <c r="G894" t="s">
        <v>49</v>
      </c>
      <c r="H894" t="s">
        <v>618</v>
      </c>
      <c r="K894" t="s">
        <v>51</v>
      </c>
      <c r="L894" t="s">
        <v>52</v>
      </c>
      <c r="M894">
        <v>136680.07999999999</v>
      </c>
      <c r="N894">
        <v>472851.63</v>
      </c>
      <c r="O894" t="s">
        <v>53</v>
      </c>
      <c r="P894" t="s">
        <v>54</v>
      </c>
      <c r="Q894" t="s">
        <v>55</v>
      </c>
      <c r="T894" t="s">
        <v>608</v>
      </c>
      <c r="U894">
        <v>40</v>
      </c>
      <c r="V894" s="1">
        <v>30133</v>
      </c>
      <c r="W894" s="1">
        <v>30133</v>
      </c>
      <c r="X894" s="1">
        <v>30133</v>
      </c>
      <c r="Y894" s="1">
        <v>44743</v>
      </c>
      <c r="Z894" t="s">
        <v>51</v>
      </c>
      <c r="AB894" t="s">
        <v>54</v>
      </c>
      <c r="AC894">
        <v>1</v>
      </c>
      <c r="AE894" t="s">
        <v>84</v>
      </c>
      <c r="AF894">
        <v>20</v>
      </c>
      <c r="AG894" s="1">
        <v>30133</v>
      </c>
      <c r="AH894" s="1">
        <v>30133</v>
      </c>
      <c r="AI894" s="1">
        <v>30133</v>
      </c>
      <c r="AJ894" s="1">
        <v>37438</v>
      </c>
      <c r="AK894" t="s">
        <v>51</v>
      </c>
      <c r="AN894">
        <v>0</v>
      </c>
      <c r="AO894" t="s">
        <v>54</v>
      </c>
      <c r="AP894" t="s">
        <v>53</v>
      </c>
      <c r="AQ894">
        <v>0</v>
      </c>
      <c r="AR894" t="s">
        <v>53</v>
      </c>
      <c r="AS894">
        <v>0</v>
      </c>
      <c r="AT894">
        <v>0</v>
      </c>
      <c r="CA894">
        <v>1</v>
      </c>
      <c r="CC894" t="s">
        <v>185</v>
      </c>
      <c r="CD894">
        <v>85000</v>
      </c>
      <c r="CE894" s="1">
        <v>42552</v>
      </c>
      <c r="CF894" s="1">
        <v>42552</v>
      </c>
      <c r="CG894" s="1">
        <v>42552</v>
      </c>
      <c r="CH894" s="1">
        <v>49714</v>
      </c>
      <c r="CI894" t="s">
        <v>51</v>
      </c>
      <c r="CK894" t="s">
        <v>78</v>
      </c>
      <c r="CM894" t="s">
        <v>54</v>
      </c>
      <c r="CN894" t="s">
        <v>174</v>
      </c>
      <c r="CO894" t="s">
        <v>86</v>
      </c>
      <c r="CR894">
        <v>15</v>
      </c>
      <c r="CS894">
        <v>0</v>
      </c>
      <c r="CT894">
        <v>0</v>
      </c>
      <c r="CU894">
        <v>0</v>
      </c>
    </row>
    <row r="895" spans="1:99" x14ac:dyDescent="0.2">
      <c r="A895" t="s">
        <v>180</v>
      </c>
      <c r="B895" t="s">
        <v>181</v>
      </c>
      <c r="C895" t="s">
        <v>184</v>
      </c>
      <c r="D895" t="s">
        <v>606</v>
      </c>
      <c r="F895" t="str">
        <f>"250547"</f>
        <v>250547</v>
      </c>
      <c r="G895" t="s">
        <v>49</v>
      </c>
      <c r="H895" t="s">
        <v>619</v>
      </c>
      <c r="K895" t="s">
        <v>51</v>
      </c>
      <c r="L895" t="s">
        <v>52</v>
      </c>
      <c r="M895">
        <v>136693.56</v>
      </c>
      <c r="N895">
        <v>472830.66</v>
      </c>
      <c r="O895" t="s">
        <v>53</v>
      </c>
      <c r="P895" t="s">
        <v>54</v>
      </c>
      <c r="Q895" t="s">
        <v>55</v>
      </c>
      <c r="T895" t="s">
        <v>608</v>
      </c>
      <c r="U895">
        <v>40</v>
      </c>
      <c r="V895" s="1">
        <v>27576</v>
      </c>
      <c r="W895" s="1">
        <v>27576</v>
      </c>
      <c r="X895" s="1">
        <v>27576</v>
      </c>
      <c r="Y895" s="1">
        <v>42186</v>
      </c>
      <c r="Z895" t="s">
        <v>51</v>
      </c>
      <c r="AB895" t="s">
        <v>54</v>
      </c>
      <c r="AC895">
        <v>1</v>
      </c>
      <c r="AE895" t="s">
        <v>84</v>
      </c>
      <c r="AF895">
        <v>20</v>
      </c>
      <c r="AG895" s="1">
        <v>27576</v>
      </c>
      <c r="AH895" s="1">
        <v>27576</v>
      </c>
      <c r="AI895" s="1">
        <v>27576</v>
      </c>
      <c r="AJ895" s="1">
        <v>34881</v>
      </c>
      <c r="AK895" t="s">
        <v>51</v>
      </c>
      <c r="AN895">
        <v>0</v>
      </c>
      <c r="AO895" t="s">
        <v>54</v>
      </c>
      <c r="AP895" t="s">
        <v>53</v>
      </c>
      <c r="AQ895">
        <v>0</v>
      </c>
      <c r="AR895" t="s">
        <v>53</v>
      </c>
      <c r="AS895">
        <v>0</v>
      </c>
      <c r="AT895">
        <v>0</v>
      </c>
      <c r="CC895" t="s">
        <v>185</v>
      </c>
      <c r="CD895">
        <v>85000</v>
      </c>
      <c r="CE895" s="1">
        <v>42552</v>
      </c>
      <c r="CF895" s="1">
        <v>42552</v>
      </c>
      <c r="CG895" s="1">
        <v>42552</v>
      </c>
      <c r="CH895" s="1">
        <v>49714</v>
      </c>
      <c r="CI895" t="s">
        <v>51</v>
      </c>
      <c r="CK895" t="s">
        <v>78</v>
      </c>
      <c r="CM895" t="s">
        <v>54</v>
      </c>
      <c r="CN895" t="s">
        <v>174</v>
      </c>
      <c r="CO895" t="s">
        <v>86</v>
      </c>
      <c r="CR895">
        <v>15</v>
      </c>
      <c r="CS895">
        <v>0</v>
      </c>
      <c r="CT895">
        <v>0</v>
      </c>
      <c r="CU895">
        <v>0</v>
      </c>
    </row>
    <row r="896" spans="1:99" x14ac:dyDescent="0.2">
      <c r="A896" t="s">
        <v>180</v>
      </c>
      <c r="B896" t="s">
        <v>181</v>
      </c>
      <c r="C896" t="s">
        <v>184</v>
      </c>
      <c r="D896" t="s">
        <v>606</v>
      </c>
      <c r="F896" t="str">
        <f>"250548"</f>
        <v>250548</v>
      </c>
      <c r="G896" t="s">
        <v>49</v>
      </c>
      <c r="H896" t="s">
        <v>620</v>
      </c>
      <c r="K896" t="s">
        <v>51</v>
      </c>
      <c r="L896" t="s">
        <v>52</v>
      </c>
      <c r="M896">
        <v>136720.24</v>
      </c>
      <c r="N896">
        <v>472820.11</v>
      </c>
      <c r="O896" t="s">
        <v>53</v>
      </c>
      <c r="P896" t="s">
        <v>54</v>
      </c>
      <c r="Q896" t="s">
        <v>55</v>
      </c>
      <c r="T896" t="s">
        <v>608</v>
      </c>
      <c r="U896">
        <v>40</v>
      </c>
      <c r="V896" s="1">
        <v>27576</v>
      </c>
      <c r="W896" s="1">
        <v>27576</v>
      </c>
      <c r="X896" s="1">
        <v>27576</v>
      </c>
      <c r="Y896" s="1">
        <v>42186</v>
      </c>
      <c r="Z896" t="s">
        <v>51</v>
      </c>
      <c r="AB896" t="s">
        <v>54</v>
      </c>
      <c r="AC896">
        <v>1</v>
      </c>
      <c r="AE896" t="s">
        <v>84</v>
      </c>
      <c r="AF896">
        <v>20</v>
      </c>
      <c r="AG896" s="1">
        <v>27576</v>
      </c>
      <c r="AH896" s="1">
        <v>27576</v>
      </c>
      <c r="AI896" s="1">
        <v>27576</v>
      </c>
      <c r="AJ896" s="1">
        <v>34881</v>
      </c>
      <c r="AK896" t="s">
        <v>51</v>
      </c>
      <c r="AN896">
        <v>0</v>
      </c>
      <c r="AO896" t="s">
        <v>54</v>
      </c>
      <c r="AP896" t="s">
        <v>53</v>
      </c>
      <c r="AQ896">
        <v>0</v>
      </c>
      <c r="AR896" t="s">
        <v>53</v>
      </c>
      <c r="AS896">
        <v>0</v>
      </c>
      <c r="AT896">
        <v>0</v>
      </c>
      <c r="CC896" t="s">
        <v>185</v>
      </c>
      <c r="CD896">
        <v>85000</v>
      </c>
      <c r="CE896" s="1">
        <v>42552</v>
      </c>
      <c r="CF896" s="1">
        <v>42552</v>
      </c>
      <c r="CG896" s="1">
        <v>42552</v>
      </c>
      <c r="CH896" s="1">
        <v>49714</v>
      </c>
      <c r="CI896" t="s">
        <v>51</v>
      </c>
      <c r="CK896" t="s">
        <v>78</v>
      </c>
      <c r="CM896" t="s">
        <v>54</v>
      </c>
      <c r="CN896" t="s">
        <v>174</v>
      </c>
      <c r="CO896" t="s">
        <v>86</v>
      </c>
      <c r="CR896">
        <v>15</v>
      </c>
      <c r="CS896">
        <v>0</v>
      </c>
      <c r="CT896">
        <v>0</v>
      </c>
      <c r="CU896">
        <v>0</v>
      </c>
    </row>
    <row r="897" spans="1:99" x14ac:dyDescent="0.2">
      <c r="A897" t="s">
        <v>180</v>
      </c>
      <c r="B897" t="s">
        <v>181</v>
      </c>
      <c r="C897" t="s">
        <v>184</v>
      </c>
      <c r="D897" t="s">
        <v>606</v>
      </c>
      <c r="F897" t="str">
        <f>"250549"</f>
        <v>250549</v>
      </c>
      <c r="G897" t="s">
        <v>49</v>
      </c>
      <c r="K897" t="s">
        <v>51</v>
      </c>
      <c r="L897" t="s">
        <v>52</v>
      </c>
      <c r="M897">
        <v>136739.93</v>
      </c>
      <c r="N897">
        <v>472811.65</v>
      </c>
      <c r="O897" t="s">
        <v>53</v>
      </c>
      <c r="P897" t="s">
        <v>54</v>
      </c>
      <c r="Q897" t="s">
        <v>55</v>
      </c>
      <c r="T897" t="s">
        <v>608</v>
      </c>
      <c r="U897">
        <v>40</v>
      </c>
      <c r="V897" s="1">
        <v>27576</v>
      </c>
      <c r="W897" s="1">
        <v>27576</v>
      </c>
      <c r="X897" s="1">
        <v>27576</v>
      </c>
      <c r="Y897" s="1">
        <v>42186</v>
      </c>
      <c r="Z897" t="s">
        <v>51</v>
      </c>
      <c r="AB897" t="s">
        <v>54</v>
      </c>
      <c r="AC897">
        <v>1</v>
      </c>
      <c r="AE897" t="s">
        <v>57</v>
      </c>
      <c r="AF897">
        <v>20</v>
      </c>
      <c r="AG897" s="1">
        <v>38169</v>
      </c>
      <c r="AH897" s="1">
        <v>38169</v>
      </c>
      <c r="AI897" s="1">
        <v>38169</v>
      </c>
      <c r="AJ897" s="1">
        <v>45474</v>
      </c>
      <c r="AK897" t="s">
        <v>51</v>
      </c>
      <c r="AN897">
        <v>0</v>
      </c>
      <c r="AO897" t="s">
        <v>54</v>
      </c>
      <c r="AP897" t="s">
        <v>53</v>
      </c>
      <c r="AQ897">
        <v>0</v>
      </c>
      <c r="AR897" t="s">
        <v>53</v>
      </c>
      <c r="AS897">
        <v>0</v>
      </c>
      <c r="AT897">
        <v>0</v>
      </c>
      <c r="CC897" t="s">
        <v>432</v>
      </c>
      <c r="CD897">
        <v>85000</v>
      </c>
      <c r="CE897" s="1">
        <v>42552</v>
      </c>
      <c r="CF897" s="1">
        <v>42552</v>
      </c>
      <c r="CG897" s="1">
        <v>42552</v>
      </c>
      <c r="CH897" s="1">
        <v>49714</v>
      </c>
      <c r="CI897" t="s">
        <v>51</v>
      </c>
      <c r="CK897" t="s">
        <v>78</v>
      </c>
      <c r="CM897" t="s">
        <v>54</v>
      </c>
      <c r="CN897" t="s">
        <v>174</v>
      </c>
      <c r="CO897" t="s">
        <v>86</v>
      </c>
      <c r="CR897">
        <v>24</v>
      </c>
      <c r="CS897">
        <v>0</v>
      </c>
      <c r="CT897">
        <v>0</v>
      </c>
      <c r="CU897">
        <v>0</v>
      </c>
    </row>
    <row r="898" spans="1:99" x14ac:dyDescent="0.2">
      <c r="A898" t="s">
        <v>180</v>
      </c>
      <c r="B898" t="s">
        <v>181</v>
      </c>
      <c r="C898" t="s">
        <v>184</v>
      </c>
      <c r="D898" t="s">
        <v>606</v>
      </c>
      <c r="F898" t="str">
        <f>"250550"</f>
        <v>250550</v>
      </c>
      <c r="G898" t="s">
        <v>49</v>
      </c>
      <c r="K898" t="s">
        <v>51</v>
      </c>
      <c r="L898" t="s">
        <v>52</v>
      </c>
      <c r="M898">
        <v>136767.16</v>
      </c>
      <c r="N898">
        <v>472807.46</v>
      </c>
      <c r="O898" t="s">
        <v>53</v>
      </c>
      <c r="P898" t="s">
        <v>54</v>
      </c>
      <c r="Q898" t="s">
        <v>55</v>
      </c>
      <c r="T898" t="s">
        <v>469</v>
      </c>
      <c r="U898">
        <v>40</v>
      </c>
      <c r="V898" s="1">
        <v>27576</v>
      </c>
      <c r="W898" s="1">
        <v>27576</v>
      </c>
      <c r="X898" s="1">
        <v>27576</v>
      </c>
      <c r="Y898" s="1">
        <v>42186</v>
      </c>
      <c r="Z898" t="s">
        <v>51</v>
      </c>
      <c r="AB898" t="s">
        <v>54</v>
      </c>
      <c r="AC898">
        <v>1</v>
      </c>
      <c r="AE898" t="s">
        <v>621</v>
      </c>
      <c r="AF898">
        <v>20</v>
      </c>
      <c r="AG898" s="1">
        <v>27576</v>
      </c>
      <c r="AH898" s="1">
        <v>27576</v>
      </c>
      <c r="AI898" s="1">
        <v>27576</v>
      </c>
      <c r="AJ898" s="1">
        <v>34881</v>
      </c>
      <c r="AK898" t="s">
        <v>51</v>
      </c>
      <c r="AN898">
        <v>0</v>
      </c>
      <c r="AO898" t="s">
        <v>54</v>
      </c>
      <c r="AP898" t="s">
        <v>53</v>
      </c>
      <c r="AQ898">
        <v>0</v>
      </c>
      <c r="AR898" t="s">
        <v>53</v>
      </c>
      <c r="AS898">
        <v>0</v>
      </c>
      <c r="AT898">
        <v>0</v>
      </c>
      <c r="CA898">
        <v>1</v>
      </c>
      <c r="CC898" t="s">
        <v>555</v>
      </c>
      <c r="CD898">
        <v>85000</v>
      </c>
      <c r="CE898" s="1">
        <v>42552</v>
      </c>
      <c r="CF898" s="1">
        <v>42552</v>
      </c>
      <c r="CG898" s="1">
        <v>42552</v>
      </c>
      <c r="CH898" s="1">
        <v>49714</v>
      </c>
      <c r="CI898" t="s">
        <v>51</v>
      </c>
      <c r="CK898" t="s">
        <v>78</v>
      </c>
      <c r="CM898" t="s">
        <v>54</v>
      </c>
      <c r="CN898" t="s">
        <v>174</v>
      </c>
      <c r="CO898" t="s">
        <v>86</v>
      </c>
      <c r="CR898">
        <v>20</v>
      </c>
      <c r="CS898">
        <v>0</v>
      </c>
      <c r="CT898">
        <v>0</v>
      </c>
      <c r="CU898">
        <v>0</v>
      </c>
    </row>
    <row r="899" spans="1:99" x14ac:dyDescent="0.2">
      <c r="A899" t="s">
        <v>180</v>
      </c>
      <c r="B899" t="s">
        <v>181</v>
      </c>
      <c r="C899" t="s">
        <v>184</v>
      </c>
      <c r="D899" t="s">
        <v>606</v>
      </c>
      <c r="F899" t="str">
        <f>"250551"</f>
        <v>250551</v>
      </c>
      <c r="G899" t="s">
        <v>49</v>
      </c>
      <c r="K899" t="s">
        <v>51</v>
      </c>
      <c r="L899" t="s">
        <v>52</v>
      </c>
      <c r="M899">
        <v>136789.42000000001</v>
      </c>
      <c r="N899">
        <v>472791.3</v>
      </c>
      <c r="O899" t="s">
        <v>53</v>
      </c>
      <c r="P899" t="s">
        <v>54</v>
      </c>
      <c r="Q899" t="s">
        <v>55</v>
      </c>
      <c r="T899" t="s">
        <v>608</v>
      </c>
      <c r="U899">
        <v>40</v>
      </c>
      <c r="V899" s="1">
        <v>27576</v>
      </c>
      <c r="W899" s="1">
        <v>27576</v>
      </c>
      <c r="X899" s="1">
        <v>27576</v>
      </c>
      <c r="Y899" s="1">
        <v>42186</v>
      </c>
      <c r="Z899" t="s">
        <v>51</v>
      </c>
      <c r="AB899" t="s">
        <v>54</v>
      </c>
      <c r="AC899">
        <v>1</v>
      </c>
      <c r="AE899" t="s">
        <v>84</v>
      </c>
      <c r="AF899">
        <v>20</v>
      </c>
      <c r="AG899" s="1">
        <v>27576</v>
      </c>
      <c r="AH899" s="1">
        <v>27576</v>
      </c>
      <c r="AI899" s="1">
        <v>27576</v>
      </c>
      <c r="AJ899" s="1">
        <v>34881</v>
      </c>
      <c r="AK899" t="s">
        <v>51</v>
      </c>
      <c r="AN899">
        <v>0</v>
      </c>
      <c r="AO899" t="s">
        <v>54</v>
      </c>
      <c r="AP899" t="s">
        <v>53</v>
      </c>
      <c r="AQ899">
        <v>0</v>
      </c>
      <c r="AR899" t="s">
        <v>53</v>
      </c>
      <c r="AS899">
        <v>0</v>
      </c>
      <c r="AT899">
        <v>0</v>
      </c>
      <c r="CC899" t="s">
        <v>185</v>
      </c>
      <c r="CD899">
        <v>85000</v>
      </c>
      <c r="CE899" s="1">
        <v>42552</v>
      </c>
      <c r="CF899" s="1">
        <v>42552</v>
      </c>
      <c r="CG899" s="1">
        <v>42552</v>
      </c>
      <c r="CH899" s="1">
        <v>49714</v>
      </c>
      <c r="CI899" t="s">
        <v>51</v>
      </c>
      <c r="CK899" t="s">
        <v>78</v>
      </c>
      <c r="CM899" t="s">
        <v>54</v>
      </c>
      <c r="CN899" t="s">
        <v>174</v>
      </c>
      <c r="CO899" t="s">
        <v>86</v>
      </c>
      <c r="CR899">
        <v>15</v>
      </c>
      <c r="CS899">
        <v>0</v>
      </c>
      <c r="CT899">
        <v>0</v>
      </c>
      <c r="CU899">
        <v>0</v>
      </c>
    </row>
    <row r="900" spans="1:99" x14ac:dyDescent="0.2">
      <c r="A900" t="s">
        <v>180</v>
      </c>
      <c r="B900" t="s">
        <v>181</v>
      </c>
      <c r="C900" t="s">
        <v>184</v>
      </c>
      <c r="D900" t="s">
        <v>606</v>
      </c>
      <c r="F900" t="str">
        <f>"250552"</f>
        <v>250552</v>
      </c>
      <c r="G900" t="s">
        <v>49</v>
      </c>
      <c r="H900" t="s">
        <v>622</v>
      </c>
      <c r="K900" t="s">
        <v>51</v>
      </c>
      <c r="L900" t="s">
        <v>52</v>
      </c>
      <c r="M900">
        <v>136669.9</v>
      </c>
      <c r="N900">
        <v>472831.4</v>
      </c>
      <c r="O900" t="s">
        <v>53</v>
      </c>
      <c r="P900" t="s">
        <v>54</v>
      </c>
      <c r="Q900" t="s">
        <v>55</v>
      </c>
      <c r="T900" t="s">
        <v>241</v>
      </c>
      <c r="U900">
        <v>40</v>
      </c>
      <c r="V900" s="1">
        <v>38169</v>
      </c>
      <c r="W900" s="1">
        <v>38169</v>
      </c>
      <c r="X900" s="1">
        <v>38169</v>
      </c>
      <c r="Y900" s="1">
        <v>52779</v>
      </c>
      <c r="Z900" t="s">
        <v>51</v>
      </c>
      <c r="AB900" t="s">
        <v>54</v>
      </c>
      <c r="AC900">
        <v>1</v>
      </c>
      <c r="AE900" t="s">
        <v>222</v>
      </c>
      <c r="AF900">
        <v>20</v>
      </c>
      <c r="AG900" s="1">
        <v>36342</v>
      </c>
      <c r="AH900" s="1">
        <v>36342</v>
      </c>
      <c r="AI900" s="1">
        <v>38169</v>
      </c>
      <c r="AJ900" s="1">
        <v>43647</v>
      </c>
      <c r="AK900" t="s">
        <v>51</v>
      </c>
      <c r="AN900">
        <v>0</v>
      </c>
      <c r="AO900" t="s">
        <v>54</v>
      </c>
      <c r="AP900" t="s">
        <v>53</v>
      </c>
      <c r="AQ900">
        <v>0</v>
      </c>
      <c r="AR900" t="s">
        <v>53</v>
      </c>
      <c r="AS900">
        <v>0</v>
      </c>
      <c r="AT900">
        <v>0</v>
      </c>
      <c r="CC900" t="s">
        <v>432</v>
      </c>
      <c r="CD900">
        <v>85000</v>
      </c>
      <c r="CE900" s="1">
        <v>42552</v>
      </c>
      <c r="CF900" s="1">
        <v>42552</v>
      </c>
      <c r="CG900" s="1">
        <v>42552</v>
      </c>
      <c r="CH900" s="1">
        <v>49714</v>
      </c>
      <c r="CI900" t="s">
        <v>51</v>
      </c>
      <c r="CK900" t="s">
        <v>78</v>
      </c>
      <c r="CM900" t="s">
        <v>54</v>
      </c>
      <c r="CN900" t="s">
        <v>174</v>
      </c>
      <c r="CO900" t="s">
        <v>86</v>
      </c>
      <c r="CR900">
        <v>24</v>
      </c>
      <c r="CS900">
        <v>0</v>
      </c>
      <c r="CT900">
        <v>0</v>
      </c>
      <c r="CU900">
        <v>0</v>
      </c>
    </row>
    <row r="901" spans="1:99" x14ac:dyDescent="0.2">
      <c r="A901" t="s">
        <v>180</v>
      </c>
      <c r="B901" t="s">
        <v>181</v>
      </c>
      <c r="C901" t="s">
        <v>184</v>
      </c>
      <c r="D901" t="s">
        <v>606</v>
      </c>
      <c r="F901" t="str">
        <f>"250553"</f>
        <v>250553</v>
      </c>
      <c r="G901" t="s">
        <v>49</v>
      </c>
      <c r="H901" t="s">
        <v>323</v>
      </c>
      <c r="K901" t="s">
        <v>51</v>
      </c>
      <c r="L901" t="s">
        <v>52</v>
      </c>
      <c r="M901">
        <v>136646.39000000001</v>
      </c>
      <c r="N901">
        <v>472822.65</v>
      </c>
      <c r="O901" t="s">
        <v>53</v>
      </c>
      <c r="P901" t="s">
        <v>54</v>
      </c>
      <c r="Q901" t="s">
        <v>55</v>
      </c>
      <c r="T901" t="s">
        <v>588</v>
      </c>
      <c r="U901">
        <v>40</v>
      </c>
      <c r="V901" s="1">
        <v>27576</v>
      </c>
      <c r="W901" s="1">
        <v>27576</v>
      </c>
      <c r="X901" s="1">
        <v>27576</v>
      </c>
      <c r="Y901" s="1">
        <v>42186</v>
      </c>
      <c r="Z901" t="s">
        <v>51</v>
      </c>
      <c r="AB901" t="s">
        <v>54</v>
      </c>
      <c r="AC901">
        <v>1</v>
      </c>
      <c r="AE901" t="s">
        <v>222</v>
      </c>
      <c r="AF901">
        <v>20</v>
      </c>
      <c r="AG901" s="1">
        <v>36342</v>
      </c>
      <c r="AH901" s="1">
        <v>36342</v>
      </c>
      <c r="AI901" s="1">
        <v>36342</v>
      </c>
      <c r="AJ901" s="1">
        <v>43647</v>
      </c>
      <c r="AK901" t="s">
        <v>51</v>
      </c>
      <c r="AN901">
        <v>0</v>
      </c>
      <c r="AO901" t="s">
        <v>54</v>
      </c>
      <c r="AP901" t="s">
        <v>53</v>
      </c>
      <c r="AQ901">
        <v>0</v>
      </c>
      <c r="AR901" t="s">
        <v>53</v>
      </c>
      <c r="AS901">
        <v>0</v>
      </c>
      <c r="AT901">
        <v>0</v>
      </c>
      <c r="CC901" t="s">
        <v>432</v>
      </c>
      <c r="CD901">
        <v>85000</v>
      </c>
      <c r="CE901" s="1">
        <v>42552</v>
      </c>
      <c r="CF901" s="1">
        <v>42552</v>
      </c>
      <c r="CG901" s="1">
        <v>42552</v>
      </c>
      <c r="CH901" s="1">
        <v>49714</v>
      </c>
      <c r="CI901" t="s">
        <v>51</v>
      </c>
      <c r="CK901" t="s">
        <v>78</v>
      </c>
      <c r="CM901" t="s">
        <v>54</v>
      </c>
      <c r="CN901" t="s">
        <v>174</v>
      </c>
      <c r="CO901" t="s">
        <v>86</v>
      </c>
      <c r="CR901">
        <v>24</v>
      </c>
      <c r="CS901">
        <v>0</v>
      </c>
      <c r="CT901">
        <v>0</v>
      </c>
      <c r="CU901">
        <v>0</v>
      </c>
    </row>
    <row r="902" spans="1:99" x14ac:dyDescent="0.2">
      <c r="A902" t="s">
        <v>180</v>
      </c>
      <c r="B902" t="s">
        <v>181</v>
      </c>
      <c r="C902" t="s">
        <v>184</v>
      </c>
      <c r="D902" t="s">
        <v>606</v>
      </c>
      <c r="F902" t="str">
        <f>"250554"</f>
        <v>250554</v>
      </c>
      <c r="G902" t="s">
        <v>49</v>
      </c>
      <c r="H902" t="s">
        <v>142</v>
      </c>
      <c r="K902" t="s">
        <v>51</v>
      </c>
      <c r="L902" t="s">
        <v>52</v>
      </c>
      <c r="M902">
        <v>136620.67000000001</v>
      </c>
      <c r="N902">
        <v>472833.95</v>
      </c>
      <c r="O902" t="s">
        <v>53</v>
      </c>
      <c r="P902" t="s">
        <v>54</v>
      </c>
      <c r="Q902" t="s">
        <v>55</v>
      </c>
      <c r="T902" t="s">
        <v>588</v>
      </c>
      <c r="U902">
        <v>40</v>
      </c>
      <c r="V902" s="1">
        <v>27576</v>
      </c>
      <c r="W902" s="1">
        <v>27576</v>
      </c>
      <c r="X902" s="1">
        <v>27576</v>
      </c>
      <c r="Y902" s="1">
        <v>42186</v>
      </c>
      <c r="Z902" t="s">
        <v>51</v>
      </c>
      <c r="AB902" t="s">
        <v>54</v>
      </c>
      <c r="AC902">
        <v>1</v>
      </c>
      <c r="AE902" t="s">
        <v>222</v>
      </c>
      <c r="AF902">
        <v>20</v>
      </c>
      <c r="AG902" s="1">
        <v>36342</v>
      </c>
      <c r="AH902" s="1">
        <v>36342</v>
      </c>
      <c r="AI902" s="1">
        <v>36342</v>
      </c>
      <c r="AJ902" s="1">
        <v>43647</v>
      </c>
      <c r="AK902" t="s">
        <v>51</v>
      </c>
      <c r="AN902">
        <v>0</v>
      </c>
      <c r="AO902" t="s">
        <v>54</v>
      </c>
      <c r="AP902" t="s">
        <v>53</v>
      </c>
      <c r="AQ902">
        <v>0</v>
      </c>
      <c r="AR902" t="s">
        <v>53</v>
      </c>
      <c r="AS902">
        <v>0</v>
      </c>
      <c r="AT902">
        <v>0</v>
      </c>
      <c r="CC902" t="s">
        <v>560</v>
      </c>
      <c r="CD902">
        <v>85000</v>
      </c>
      <c r="CE902" s="1">
        <v>42552</v>
      </c>
      <c r="CF902" s="1">
        <v>42552</v>
      </c>
      <c r="CG902" s="1">
        <v>42552</v>
      </c>
      <c r="CH902" s="1">
        <v>49714</v>
      </c>
      <c r="CI902" t="s">
        <v>51</v>
      </c>
      <c r="CK902" t="s">
        <v>78</v>
      </c>
      <c r="CM902" t="s">
        <v>54</v>
      </c>
      <c r="CN902" t="s">
        <v>174</v>
      </c>
      <c r="CO902" t="s">
        <v>86</v>
      </c>
      <c r="CR902">
        <v>36</v>
      </c>
      <c r="CS902">
        <v>0</v>
      </c>
      <c r="CT902">
        <v>0</v>
      </c>
      <c r="CU902">
        <v>0</v>
      </c>
    </row>
    <row r="903" spans="1:99" x14ac:dyDescent="0.2">
      <c r="A903" t="s">
        <v>180</v>
      </c>
      <c r="B903" t="s">
        <v>181</v>
      </c>
      <c r="C903" t="s">
        <v>184</v>
      </c>
      <c r="D903" t="s">
        <v>606</v>
      </c>
      <c r="F903" t="str">
        <f>"250555"</f>
        <v>250555</v>
      </c>
      <c r="G903" t="s">
        <v>49</v>
      </c>
      <c r="H903" t="s">
        <v>457</v>
      </c>
      <c r="K903" t="s">
        <v>51</v>
      </c>
      <c r="L903" t="s">
        <v>52</v>
      </c>
      <c r="M903">
        <v>136608.03</v>
      </c>
      <c r="N903">
        <v>472856.69</v>
      </c>
      <c r="O903" t="s">
        <v>53</v>
      </c>
      <c r="P903" t="s">
        <v>54</v>
      </c>
      <c r="Q903" t="s">
        <v>55</v>
      </c>
      <c r="T903" t="s">
        <v>239</v>
      </c>
      <c r="U903">
        <v>40</v>
      </c>
      <c r="V903" s="1">
        <v>30498</v>
      </c>
      <c r="W903" s="1">
        <v>30498</v>
      </c>
      <c r="X903" s="1">
        <v>30498</v>
      </c>
      <c r="Y903" s="1">
        <v>45108</v>
      </c>
      <c r="Z903" t="s">
        <v>51</v>
      </c>
      <c r="AB903" t="s">
        <v>54</v>
      </c>
      <c r="AC903">
        <v>1</v>
      </c>
      <c r="AE903" t="s">
        <v>552</v>
      </c>
      <c r="AF903">
        <v>20</v>
      </c>
      <c r="AG903" s="1">
        <v>44613</v>
      </c>
      <c r="AH903" s="1">
        <v>44613</v>
      </c>
      <c r="AI903" s="1">
        <v>44613</v>
      </c>
      <c r="AJ903" s="1">
        <v>51918</v>
      </c>
      <c r="AK903" t="s">
        <v>51</v>
      </c>
      <c r="AN903">
        <v>0</v>
      </c>
      <c r="AO903" t="s">
        <v>54</v>
      </c>
      <c r="AP903" t="s">
        <v>53</v>
      </c>
      <c r="AQ903">
        <v>0</v>
      </c>
      <c r="AR903" t="s">
        <v>145</v>
      </c>
      <c r="AS903">
        <v>0</v>
      </c>
      <c r="AT903">
        <v>0</v>
      </c>
      <c r="CC903" t="s">
        <v>432</v>
      </c>
      <c r="CD903">
        <v>85000</v>
      </c>
      <c r="CE903" s="1">
        <v>42552</v>
      </c>
      <c r="CF903" s="1">
        <v>42552</v>
      </c>
      <c r="CG903" s="1">
        <v>44613</v>
      </c>
      <c r="CH903" s="1">
        <v>49714</v>
      </c>
      <c r="CI903" t="s">
        <v>51</v>
      </c>
      <c r="CK903" t="s">
        <v>78</v>
      </c>
      <c r="CM903" t="s">
        <v>54</v>
      </c>
      <c r="CN903" t="s">
        <v>174</v>
      </c>
      <c r="CO903" t="s">
        <v>86</v>
      </c>
      <c r="CR903">
        <v>24</v>
      </c>
      <c r="CS903">
        <v>0</v>
      </c>
      <c r="CT903">
        <v>0</v>
      </c>
      <c r="CU903">
        <v>0</v>
      </c>
    </row>
    <row r="904" spans="1:99" x14ac:dyDescent="0.2">
      <c r="A904" t="s">
        <v>180</v>
      </c>
      <c r="B904" t="s">
        <v>181</v>
      </c>
      <c r="C904" t="s">
        <v>184</v>
      </c>
      <c r="D904" t="s">
        <v>606</v>
      </c>
      <c r="F904" t="str">
        <f>"250556"</f>
        <v>250556</v>
      </c>
      <c r="G904" t="s">
        <v>49</v>
      </c>
      <c r="H904" t="s">
        <v>623</v>
      </c>
      <c r="K904" t="s">
        <v>51</v>
      </c>
      <c r="L904" t="s">
        <v>52</v>
      </c>
      <c r="M904">
        <v>136631.01999999999</v>
      </c>
      <c r="N904">
        <v>472850.28</v>
      </c>
      <c r="O904" t="s">
        <v>53</v>
      </c>
      <c r="P904" t="s">
        <v>54</v>
      </c>
      <c r="Q904" t="s">
        <v>55</v>
      </c>
      <c r="T904" t="s">
        <v>239</v>
      </c>
      <c r="U904">
        <v>40</v>
      </c>
      <c r="V904" s="1">
        <v>30133</v>
      </c>
      <c r="W904" s="1">
        <v>30133</v>
      </c>
      <c r="X904" s="1">
        <v>30133</v>
      </c>
      <c r="Y904" s="1">
        <v>44743</v>
      </c>
      <c r="Z904" t="s">
        <v>51</v>
      </c>
      <c r="AB904" t="s">
        <v>54</v>
      </c>
      <c r="AC904">
        <v>1</v>
      </c>
      <c r="AE904" t="s">
        <v>222</v>
      </c>
      <c r="AF904">
        <v>20</v>
      </c>
      <c r="AG904" s="1">
        <v>36342</v>
      </c>
      <c r="AH904" s="1">
        <v>36342</v>
      </c>
      <c r="AI904" s="1">
        <v>36342</v>
      </c>
      <c r="AJ904" s="1">
        <v>43647</v>
      </c>
      <c r="AK904" t="s">
        <v>51</v>
      </c>
      <c r="AN904">
        <v>0</v>
      </c>
      <c r="AO904" t="s">
        <v>54</v>
      </c>
      <c r="AP904" t="s">
        <v>53</v>
      </c>
      <c r="AQ904">
        <v>0</v>
      </c>
      <c r="AR904" t="s">
        <v>53</v>
      </c>
      <c r="AS904">
        <v>0</v>
      </c>
      <c r="AT904">
        <v>0</v>
      </c>
      <c r="CC904" t="s">
        <v>432</v>
      </c>
      <c r="CD904">
        <v>85000</v>
      </c>
      <c r="CE904" s="1">
        <v>42552</v>
      </c>
      <c r="CF904" s="1">
        <v>42552</v>
      </c>
      <c r="CG904" s="1">
        <v>42552</v>
      </c>
      <c r="CH904" s="1">
        <v>49714</v>
      </c>
      <c r="CI904" t="s">
        <v>51</v>
      </c>
      <c r="CK904" t="s">
        <v>78</v>
      </c>
      <c r="CM904" t="s">
        <v>54</v>
      </c>
      <c r="CN904" t="s">
        <v>174</v>
      </c>
      <c r="CO904" t="s">
        <v>86</v>
      </c>
      <c r="CR904">
        <v>24</v>
      </c>
      <c r="CS904">
        <v>0</v>
      </c>
      <c r="CT904">
        <v>0</v>
      </c>
      <c r="CU904">
        <v>0</v>
      </c>
    </row>
    <row r="905" spans="1:99" x14ac:dyDescent="0.2">
      <c r="A905" t="s">
        <v>180</v>
      </c>
      <c r="B905" t="s">
        <v>181</v>
      </c>
      <c r="C905" t="s">
        <v>184</v>
      </c>
      <c r="D905" t="s">
        <v>606</v>
      </c>
      <c r="F905" t="str">
        <f>"250557"</f>
        <v>250557</v>
      </c>
      <c r="G905" t="s">
        <v>49</v>
      </c>
      <c r="H905" t="s">
        <v>532</v>
      </c>
      <c r="K905" t="s">
        <v>51</v>
      </c>
      <c r="L905" t="s">
        <v>52</v>
      </c>
      <c r="M905">
        <v>136654.91</v>
      </c>
      <c r="N905">
        <v>472838.51</v>
      </c>
      <c r="O905" t="s">
        <v>53</v>
      </c>
      <c r="P905" t="s">
        <v>54</v>
      </c>
      <c r="Q905" t="s">
        <v>55</v>
      </c>
      <c r="T905" t="s">
        <v>239</v>
      </c>
      <c r="U905">
        <v>40</v>
      </c>
      <c r="V905" s="1">
        <v>30133</v>
      </c>
      <c r="W905" s="1">
        <v>30133</v>
      </c>
      <c r="X905" s="1">
        <v>30133</v>
      </c>
      <c r="Y905" s="1">
        <v>44743</v>
      </c>
      <c r="Z905" t="s">
        <v>51</v>
      </c>
      <c r="AB905" t="s">
        <v>54</v>
      </c>
      <c r="AC905">
        <v>1</v>
      </c>
      <c r="AE905" t="s">
        <v>222</v>
      </c>
      <c r="AF905">
        <v>20</v>
      </c>
      <c r="AG905" s="1">
        <v>36342</v>
      </c>
      <c r="AH905" s="1">
        <v>36342</v>
      </c>
      <c r="AI905" s="1">
        <v>36342</v>
      </c>
      <c r="AJ905" s="1">
        <v>43647</v>
      </c>
      <c r="AK905" t="s">
        <v>51</v>
      </c>
      <c r="AN905">
        <v>0</v>
      </c>
      <c r="AO905" t="s">
        <v>54</v>
      </c>
      <c r="AP905" t="s">
        <v>53</v>
      </c>
      <c r="AQ905">
        <v>0</v>
      </c>
      <c r="AR905" t="s">
        <v>53</v>
      </c>
      <c r="AS905">
        <v>0</v>
      </c>
      <c r="AT905">
        <v>0</v>
      </c>
      <c r="CC905" t="s">
        <v>432</v>
      </c>
      <c r="CD905">
        <v>85000</v>
      </c>
      <c r="CE905" s="1">
        <v>42552</v>
      </c>
      <c r="CF905" s="1">
        <v>42552</v>
      </c>
      <c r="CG905" s="1">
        <v>42552</v>
      </c>
      <c r="CH905" s="1">
        <v>49714</v>
      </c>
      <c r="CI905" t="s">
        <v>51</v>
      </c>
      <c r="CK905" t="s">
        <v>78</v>
      </c>
      <c r="CM905" t="s">
        <v>54</v>
      </c>
      <c r="CN905" t="s">
        <v>174</v>
      </c>
      <c r="CO905" t="s">
        <v>86</v>
      </c>
      <c r="CR905">
        <v>24</v>
      </c>
      <c r="CS905">
        <v>0</v>
      </c>
      <c r="CT905">
        <v>0</v>
      </c>
      <c r="CU905">
        <v>0</v>
      </c>
    </row>
    <row r="906" spans="1:99" x14ac:dyDescent="0.2">
      <c r="A906" t="s">
        <v>180</v>
      </c>
      <c r="B906" t="s">
        <v>181</v>
      </c>
      <c r="C906" t="s">
        <v>184</v>
      </c>
      <c r="D906" t="s">
        <v>606</v>
      </c>
      <c r="F906" t="str">
        <f>"250558"</f>
        <v>250558</v>
      </c>
      <c r="G906" t="s">
        <v>49</v>
      </c>
      <c r="H906" t="s">
        <v>624</v>
      </c>
      <c r="K906" t="s">
        <v>51</v>
      </c>
      <c r="L906" t="s">
        <v>52</v>
      </c>
      <c r="M906">
        <v>136585.03</v>
      </c>
      <c r="N906">
        <v>472840.19</v>
      </c>
      <c r="O906" t="s">
        <v>53</v>
      </c>
      <c r="P906" t="s">
        <v>54</v>
      </c>
      <c r="Q906" t="s">
        <v>55</v>
      </c>
      <c r="T906" t="s">
        <v>588</v>
      </c>
      <c r="U906">
        <v>40</v>
      </c>
      <c r="V906" s="1">
        <v>27576</v>
      </c>
      <c r="W906" s="1">
        <v>27576</v>
      </c>
      <c r="X906" s="1">
        <v>27576</v>
      </c>
      <c r="Y906" s="1">
        <v>42186</v>
      </c>
      <c r="Z906" t="s">
        <v>51</v>
      </c>
      <c r="AB906" t="s">
        <v>54</v>
      </c>
      <c r="AC906">
        <v>1</v>
      </c>
      <c r="AE906" t="s">
        <v>222</v>
      </c>
      <c r="AF906">
        <v>20</v>
      </c>
      <c r="AG906" s="1">
        <v>36342</v>
      </c>
      <c r="AH906" s="1">
        <v>36342</v>
      </c>
      <c r="AI906" s="1">
        <v>36342</v>
      </c>
      <c r="AJ906" s="1">
        <v>43647</v>
      </c>
      <c r="AK906" t="s">
        <v>51</v>
      </c>
      <c r="AN906">
        <v>0</v>
      </c>
      <c r="AO906" t="s">
        <v>54</v>
      </c>
      <c r="AP906" t="s">
        <v>53</v>
      </c>
      <c r="AQ906">
        <v>0</v>
      </c>
      <c r="AR906" t="s">
        <v>53</v>
      </c>
      <c r="AS906">
        <v>0</v>
      </c>
      <c r="AT906">
        <v>0</v>
      </c>
      <c r="CC906" t="s">
        <v>432</v>
      </c>
      <c r="CD906">
        <v>85000</v>
      </c>
      <c r="CE906" s="1">
        <v>42552</v>
      </c>
      <c r="CF906" s="1">
        <v>42552</v>
      </c>
      <c r="CG906" s="1">
        <v>42552</v>
      </c>
      <c r="CH906" s="1">
        <v>49714</v>
      </c>
      <c r="CI906" t="s">
        <v>51</v>
      </c>
      <c r="CK906" t="s">
        <v>78</v>
      </c>
      <c r="CM906" t="s">
        <v>54</v>
      </c>
      <c r="CN906" t="s">
        <v>174</v>
      </c>
      <c r="CO906" t="s">
        <v>86</v>
      </c>
      <c r="CR906">
        <v>24</v>
      </c>
      <c r="CS906">
        <v>0</v>
      </c>
      <c r="CT906">
        <v>0</v>
      </c>
      <c r="CU906">
        <v>0</v>
      </c>
    </row>
    <row r="907" spans="1:99" x14ac:dyDescent="0.2">
      <c r="A907" t="s">
        <v>180</v>
      </c>
      <c r="B907" t="s">
        <v>181</v>
      </c>
      <c r="C907" t="s">
        <v>184</v>
      </c>
      <c r="D907" t="s">
        <v>606</v>
      </c>
      <c r="F907" t="str">
        <f>"250559"</f>
        <v>250559</v>
      </c>
      <c r="G907" t="s">
        <v>49</v>
      </c>
      <c r="H907" t="s">
        <v>625</v>
      </c>
      <c r="K907" t="s">
        <v>51</v>
      </c>
      <c r="L907" t="s">
        <v>52</v>
      </c>
      <c r="M907">
        <v>136563.60999999999</v>
      </c>
      <c r="N907">
        <v>472850.94</v>
      </c>
      <c r="O907" t="s">
        <v>53</v>
      </c>
      <c r="P907" t="s">
        <v>54</v>
      </c>
      <c r="Q907" t="s">
        <v>55</v>
      </c>
      <c r="T907" t="s">
        <v>588</v>
      </c>
      <c r="U907">
        <v>40</v>
      </c>
      <c r="V907" s="1">
        <v>27576</v>
      </c>
      <c r="W907" s="1">
        <v>27576</v>
      </c>
      <c r="X907" s="1">
        <v>27576</v>
      </c>
      <c r="Y907" s="1">
        <v>42186</v>
      </c>
      <c r="Z907" t="s">
        <v>51</v>
      </c>
      <c r="AB907" t="s">
        <v>54</v>
      </c>
      <c r="AC907">
        <v>1</v>
      </c>
      <c r="AE907" t="s">
        <v>222</v>
      </c>
      <c r="AF907">
        <v>20</v>
      </c>
      <c r="AG907" s="1">
        <v>36342</v>
      </c>
      <c r="AH907" s="1">
        <v>36342</v>
      </c>
      <c r="AI907" s="1">
        <v>36342</v>
      </c>
      <c r="AJ907" s="1">
        <v>43647</v>
      </c>
      <c r="AK907" t="s">
        <v>51</v>
      </c>
      <c r="AN907">
        <v>0</v>
      </c>
      <c r="AO907" t="s">
        <v>54</v>
      </c>
      <c r="AP907" t="s">
        <v>53</v>
      </c>
      <c r="AQ907">
        <v>0</v>
      </c>
      <c r="AR907" t="s">
        <v>53</v>
      </c>
      <c r="AS907">
        <v>0</v>
      </c>
      <c r="AT907">
        <v>0</v>
      </c>
      <c r="CC907" t="s">
        <v>432</v>
      </c>
      <c r="CD907">
        <v>85000</v>
      </c>
      <c r="CE907" s="1">
        <v>42552</v>
      </c>
      <c r="CF907" s="1">
        <v>42552</v>
      </c>
      <c r="CG907" s="1">
        <v>42552</v>
      </c>
      <c r="CH907" s="1">
        <v>49714</v>
      </c>
      <c r="CI907" t="s">
        <v>51</v>
      </c>
      <c r="CK907" t="s">
        <v>78</v>
      </c>
      <c r="CM907" t="s">
        <v>54</v>
      </c>
      <c r="CN907" t="s">
        <v>174</v>
      </c>
      <c r="CO907" t="s">
        <v>86</v>
      </c>
      <c r="CR907">
        <v>24</v>
      </c>
      <c r="CS907">
        <v>0</v>
      </c>
      <c r="CT907">
        <v>0</v>
      </c>
      <c r="CU907">
        <v>0</v>
      </c>
    </row>
    <row r="908" spans="1:99" x14ac:dyDescent="0.2">
      <c r="A908" t="s">
        <v>180</v>
      </c>
      <c r="B908" t="s">
        <v>181</v>
      </c>
      <c r="C908" t="s">
        <v>184</v>
      </c>
      <c r="D908" t="s">
        <v>606</v>
      </c>
      <c r="F908" t="str">
        <f>"250560"</f>
        <v>250560</v>
      </c>
      <c r="G908" t="s">
        <v>49</v>
      </c>
      <c r="H908" t="s">
        <v>626</v>
      </c>
      <c r="K908" t="s">
        <v>51</v>
      </c>
      <c r="L908" t="s">
        <v>52</v>
      </c>
      <c r="M908">
        <v>136544.88</v>
      </c>
      <c r="N908">
        <v>472862.84</v>
      </c>
      <c r="O908" t="s">
        <v>53</v>
      </c>
      <c r="P908" t="s">
        <v>54</v>
      </c>
      <c r="Q908" t="s">
        <v>55</v>
      </c>
      <c r="T908" t="s">
        <v>588</v>
      </c>
      <c r="U908">
        <v>40</v>
      </c>
      <c r="V908" s="1">
        <v>27576</v>
      </c>
      <c r="W908" s="1">
        <v>27576</v>
      </c>
      <c r="X908" s="1">
        <v>27576</v>
      </c>
      <c r="Y908" s="1">
        <v>42186</v>
      </c>
      <c r="Z908" t="s">
        <v>51</v>
      </c>
      <c r="AB908" t="s">
        <v>54</v>
      </c>
      <c r="AC908">
        <v>1</v>
      </c>
      <c r="AE908" t="s">
        <v>222</v>
      </c>
      <c r="AF908">
        <v>20</v>
      </c>
      <c r="AG908" s="1">
        <v>36342</v>
      </c>
      <c r="AH908" s="1">
        <v>36342</v>
      </c>
      <c r="AI908" s="1">
        <v>36342</v>
      </c>
      <c r="AJ908" s="1">
        <v>43647</v>
      </c>
      <c r="AK908" t="s">
        <v>51</v>
      </c>
      <c r="AN908">
        <v>0</v>
      </c>
      <c r="AO908" t="s">
        <v>54</v>
      </c>
      <c r="AP908" t="s">
        <v>53</v>
      </c>
      <c r="AQ908">
        <v>0</v>
      </c>
      <c r="AR908" t="s">
        <v>53</v>
      </c>
      <c r="AS908">
        <v>0</v>
      </c>
      <c r="AT908">
        <v>0</v>
      </c>
      <c r="CC908" t="s">
        <v>432</v>
      </c>
      <c r="CD908">
        <v>85000</v>
      </c>
      <c r="CE908" s="1">
        <v>42552</v>
      </c>
      <c r="CF908" s="1">
        <v>42552</v>
      </c>
      <c r="CG908" s="1">
        <v>42552</v>
      </c>
      <c r="CH908" s="1">
        <v>49714</v>
      </c>
      <c r="CI908" t="s">
        <v>51</v>
      </c>
      <c r="CK908" t="s">
        <v>78</v>
      </c>
      <c r="CM908" t="s">
        <v>54</v>
      </c>
      <c r="CN908" t="s">
        <v>174</v>
      </c>
      <c r="CO908" t="s">
        <v>86</v>
      </c>
      <c r="CR908">
        <v>24</v>
      </c>
      <c r="CS908">
        <v>0</v>
      </c>
      <c r="CT908">
        <v>0</v>
      </c>
      <c r="CU908">
        <v>0</v>
      </c>
    </row>
    <row r="909" spans="1:99" x14ac:dyDescent="0.2">
      <c r="A909" t="s">
        <v>180</v>
      </c>
      <c r="B909" t="s">
        <v>181</v>
      </c>
      <c r="C909" t="s">
        <v>184</v>
      </c>
      <c r="D909" t="s">
        <v>606</v>
      </c>
      <c r="F909" t="str">
        <f>"250561"</f>
        <v>250561</v>
      </c>
      <c r="G909" t="s">
        <v>49</v>
      </c>
      <c r="H909" t="s">
        <v>627</v>
      </c>
      <c r="K909" t="s">
        <v>51</v>
      </c>
      <c r="L909" t="s">
        <v>52</v>
      </c>
      <c r="M909">
        <v>136594.03</v>
      </c>
      <c r="N909">
        <v>472814.69</v>
      </c>
      <c r="O909" t="s">
        <v>53</v>
      </c>
      <c r="P909" t="s">
        <v>54</v>
      </c>
      <c r="Q909" t="s">
        <v>55</v>
      </c>
      <c r="T909" t="s">
        <v>588</v>
      </c>
      <c r="U909">
        <v>40</v>
      </c>
      <c r="V909" s="1">
        <v>27576</v>
      </c>
      <c r="W909" s="1">
        <v>27576</v>
      </c>
      <c r="X909" s="1">
        <v>27576</v>
      </c>
      <c r="Y909" s="1">
        <v>42186</v>
      </c>
      <c r="Z909" t="s">
        <v>51</v>
      </c>
      <c r="AB909" t="s">
        <v>54</v>
      </c>
      <c r="AC909">
        <v>1</v>
      </c>
      <c r="AE909" t="s">
        <v>222</v>
      </c>
      <c r="AF909">
        <v>20</v>
      </c>
      <c r="AG909" s="1">
        <v>36342</v>
      </c>
      <c r="AH909" s="1">
        <v>36342</v>
      </c>
      <c r="AI909" s="1">
        <v>36342</v>
      </c>
      <c r="AJ909" s="1">
        <v>43647</v>
      </c>
      <c r="AK909" t="s">
        <v>51</v>
      </c>
      <c r="AN909">
        <v>0</v>
      </c>
      <c r="AO909" t="s">
        <v>54</v>
      </c>
      <c r="AP909" t="s">
        <v>53</v>
      </c>
      <c r="AQ909">
        <v>0</v>
      </c>
      <c r="AR909" t="s">
        <v>53</v>
      </c>
      <c r="AS909">
        <v>0</v>
      </c>
      <c r="AT909">
        <v>0</v>
      </c>
      <c r="CC909" t="s">
        <v>432</v>
      </c>
      <c r="CD909">
        <v>85000</v>
      </c>
      <c r="CE909" s="1">
        <v>44095</v>
      </c>
      <c r="CF909" s="1">
        <v>44095</v>
      </c>
      <c r="CG909" s="1">
        <v>44095</v>
      </c>
      <c r="CH909" s="1">
        <v>51235</v>
      </c>
      <c r="CI909" t="s">
        <v>51</v>
      </c>
      <c r="CK909" t="s">
        <v>78</v>
      </c>
      <c r="CM909" t="s">
        <v>54</v>
      </c>
      <c r="CN909" t="s">
        <v>174</v>
      </c>
      <c r="CO909" t="s">
        <v>86</v>
      </c>
      <c r="CR909">
        <v>24</v>
      </c>
      <c r="CS909">
        <v>0</v>
      </c>
      <c r="CT909">
        <v>0</v>
      </c>
      <c r="CU909">
        <v>0</v>
      </c>
    </row>
    <row r="910" spans="1:99" x14ac:dyDescent="0.2">
      <c r="A910" t="s">
        <v>180</v>
      </c>
      <c r="B910" t="s">
        <v>181</v>
      </c>
      <c r="C910" t="s">
        <v>184</v>
      </c>
      <c r="D910" t="s">
        <v>606</v>
      </c>
      <c r="F910" t="str">
        <f>"250562"</f>
        <v>250562</v>
      </c>
      <c r="G910" t="s">
        <v>49</v>
      </c>
      <c r="H910" t="s">
        <v>574</v>
      </c>
      <c r="K910" t="s">
        <v>51</v>
      </c>
      <c r="L910" t="s">
        <v>52</v>
      </c>
      <c r="M910">
        <v>136402.67000000001</v>
      </c>
      <c r="N910">
        <v>472870.94</v>
      </c>
      <c r="O910" t="s">
        <v>53</v>
      </c>
      <c r="P910" t="s">
        <v>54</v>
      </c>
      <c r="Q910" t="s">
        <v>55</v>
      </c>
      <c r="T910" t="s">
        <v>588</v>
      </c>
      <c r="U910">
        <v>40</v>
      </c>
      <c r="V910" s="1">
        <v>27942</v>
      </c>
      <c r="W910" s="1">
        <v>27942</v>
      </c>
      <c r="X910" s="1">
        <v>27942</v>
      </c>
      <c r="Y910" s="1">
        <v>42552</v>
      </c>
      <c r="Z910" t="s">
        <v>51</v>
      </c>
      <c r="AB910" t="s">
        <v>54</v>
      </c>
      <c r="AC910">
        <v>1</v>
      </c>
      <c r="AE910" t="s">
        <v>222</v>
      </c>
      <c r="AF910">
        <v>20</v>
      </c>
      <c r="AG910" s="1">
        <v>36342</v>
      </c>
      <c r="AH910" s="1">
        <v>36342</v>
      </c>
      <c r="AI910" s="1">
        <v>36342</v>
      </c>
      <c r="AJ910" s="1">
        <v>43647</v>
      </c>
      <c r="AK910" t="s">
        <v>51</v>
      </c>
      <c r="AN910">
        <v>0</v>
      </c>
      <c r="AO910" t="s">
        <v>54</v>
      </c>
      <c r="AP910" t="s">
        <v>53</v>
      </c>
      <c r="AQ910">
        <v>0</v>
      </c>
      <c r="AR910" t="s">
        <v>53</v>
      </c>
      <c r="AS910">
        <v>0</v>
      </c>
      <c r="AT910">
        <v>0</v>
      </c>
      <c r="CC910" t="s">
        <v>432</v>
      </c>
      <c r="CD910">
        <v>85000</v>
      </c>
      <c r="CE910" s="1">
        <v>42552</v>
      </c>
      <c r="CF910" s="1">
        <v>42552</v>
      </c>
      <c r="CG910" s="1">
        <v>42552</v>
      </c>
      <c r="CH910" s="1">
        <v>49714</v>
      </c>
      <c r="CI910" t="s">
        <v>51</v>
      </c>
      <c r="CK910" t="s">
        <v>78</v>
      </c>
      <c r="CM910" t="s">
        <v>54</v>
      </c>
      <c r="CN910" t="s">
        <v>174</v>
      </c>
      <c r="CO910" t="s">
        <v>86</v>
      </c>
      <c r="CR910">
        <v>24</v>
      </c>
      <c r="CS910">
        <v>0</v>
      </c>
      <c r="CT910">
        <v>0</v>
      </c>
      <c r="CU910">
        <v>0</v>
      </c>
    </row>
    <row r="911" spans="1:99" x14ac:dyDescent="0.2">
      <c r="A911" t="s">
        <v>180</v>
      </c>
      <c r="B911" t="s">
        <v>181</v>
      </c>
      <c r="C911" t="s">
        <v>184</v>
      </c>
      <c r="D911" t="s">
        <v>606</v>
      </c>
      <c r="F911" t="str">
        <f>"250563"</f>
        <v>250563</v>
      </c>
      <c r="G911" t="s">
        <v>49</v>
      </c>
      <c r="K911" t="s">
        <v>51</v>
      </c>
      <c r="L911" t="s">
        <v>52</v>
      </c>
      <c r="M911">
        <v>136419.07</v>
      </c>
      <c r="N911">
        <v>472886.92</v>
      </c>
      <c r="O911" t="s">
        <v>53</v>
      </c>
      <c r="P911" t="s">
        <v>54</v>
      </c>
      <c r="Q911" t="s">
        <v>55</v>
      </c>
      <c r="T911" t="s">
        <v>241</v>
      </c>
      <c r="U911">
        <v>40</v>
      </c>
      <c r="V911" s="1">
        <v>32690</v>
      </c>
      <c r="W911" s="1">
        <v>32690</v>
      </c>
      <c r="X911" s="1">
        <v>32690</v>
      </c>
      <c r="Y911" s="1">
        <v>47300</v>
      </c>
      <c r="Z911" t="s">
        <v>51</v>
      </c>
      <c r="AB911" t="s">
        <v>54</v>
      </c>
      <c r="AC911">
        <v>1</v>
      </c>
      <c r="AE911" t="s">
        <v>222</v>
      </c>
      <c r="AF911">
        <v>20</v>
      </c>
      <c r="AG911" s="1">
        <v>38169</v>
      </c>
      <c r="AH911" s="1">
        <v>38169</v>
      </c>
      <c r="AI911" s="1">
        <v>38169</v>
      </c>
      <c r="AJ911" s="1">
        <v>45474</v>
      </c>
      <c r="AK911" t="s">
        <v>51</v>
      </c>
      <c r="AN911">
        <v>0</v>
      </c>
      <c r="AO911" t="s">
        <v>54</v>
      </c>
      <c r="AP911" t="s">
        <v>53</v>
      </c>
      <c r="AQ911">
        <v>0</v>
      </c>
      <c r="AR911" t="s">
        <v>53</v>
      </c>
      <c r="AS911">
        <v>0</v>
      </c>
      <c r="AT911">
        <v>0</v>
      </c>
      <c r="CC911" t="s">
        <v>432</v>
      </c>
      <c r="CD911">
        <v>85000</v>
      </c>
      <c r="CE911" s="1">
        <v>42552</v>
      </c>
      <c r="CF911" s="1">
        <v>42552</v>
      </c>
      <c r="CG911" s="1">
        <v>42552</v>
      </c>
      <c r="CH911" s="1">
        <v>49714</v>
      </c>
      <c r="CI911" t="s">
        <v>51</v>
      </c>
      <c r="CK911" t="s">
        <v>78</v>
      </c>
      <c r="CM911" t="s">
        <v>54</v>
      </c>
      <c r="CN911" t="s">
        <v>174</v>
      </c>
      <c r="CO911" t="s">
        <v>86</v>
      </c>
      <c r="CR911">
        <v>24</v>
      </c>
      <c r="CS911">
        <v>0</v>
      </c>
      <c r="CT911">
        <v>0</v>
      </c>
      <c r="CU911">
        <v>0</v>
      </c>
    </row>
    <row r="912" spans="1:99" x14ac:dyDescent="0.2">
      <c r="A912" t="s">
        <v>180</v>
      </c>
      <c r="B912" t="s">
        <v>181</v>
      </c>
      <c r="C912" t="s">
        <v>184</v>
      </c>
      <c r="D912" t="s">
        <v>606</v>
      </c>
      <c r="F912" t="str">
        <f>"250564"</f>
        <v>250564</v>
      </c>
      <c r="G912" t="s">
        <v>49</v>
      </c>
      <c r="H912" t="s">
        <v>628</v>
      </c>
      <c r="K912" t="s">
        <v>51</v>
      </c>
      <c r="L912" t="s">
        <v>52</v>
      </c>
      <c r="M912">
        <v>136676.15</v>
      </c>
      <c r="N912">
        <v>472888.85</v>
      </c>
      <c r="O912" t="s">
        <v>53</v>
      </c>
      <c r="P912" t="s">
        <v>54</v>
      </c>
      <c r="Q912" t="s">
        <v>55</v>
      </c>
      <c r="T912" t="s">
        <v>241</v>
      </c>
      <c r="U912">
        <v>40</v>
      </c>
      <c r="V912" s="1">
        <v>32690</v>
      </c>
      <c r="W912" s="1">
        <v>32690</v>
      </c>
      <c r="X912" s="1">
        <v>32690</v>
      </c>
      <c r="Y912" s="1">
        <v>47300</v>
      </c>
      <c r="Z912" t="s">
        <v>51</v>
      </c>
      <c r="AB912" t="s">
        <v>54</v>
      </c>
      <c r="AC912">
        <v>1</v>
      </c>
      <c r="AE912" t="s">
        <v>222</v>
      </c>
      <c r="AF912">
        <v>20</v>
      </c>
      <c r="AG912" s="1">
        <v>38169</v>
      </c>
      <c r="AH912" s="1">
        <v>38169</v>
      </c>
      <c r="AI912" s="1">
        <v>38169</v>
      </c>
      <c r="AJ912" s="1">
        <v>45474</v>
      </c>
      <c r="AK912" t="s">
        <v>51</v>
      </c>
      <c r="AN912">
        <v>0</v>
      </c>
      <c r="AO912" t="s">
        <v>54</v>
      </c>
      <c r="AP912" t="s">
        <v>53</v>
      </c>
      <c r="AQ912">
        <v>0</v>
      </c>
      <c r="AR912" t="s">
        <v>53</v>
      </c>
      <c r="AS912">
        <v>0</v>
      </c>
      <c r="AT912">
        <v>0</v>
      </c>
      <c r="CC912" t="s">
        <v>432</v>
      </c>
      <c r="CD912">
        <v>85000</v>
      </c>
      <c r="CE912" s="1">
        <v>42552</v>
      </c>
      <c r="CF912" s="1">
        <v>42552</v>
      </c>
      <c r="CG912" s="1">
        <v>42552</v>
      </c>
      <c r="CH912" s="1">
        <v>49714</v>
      </c>
      <c r="CI912" t="s">
        <v>51</v>
      </c>
      <c r="CK912" t="s">
        <v>78</v>
      </c>
      <c r="CM912" t="s">
        <v>54</v>
      </c>
      <c r="CN912" t="s">
        <v>174</v>
      </c>
      <c r="CO912" t="s">
        <v>86</v>
      </c>
      <c r="CR912">
        <v>24</v>
      </c>
      <c r="CS912">
        <v>0</v>
      </c>
      <c r="CT912">
        <v>0</v>
      </c>
      <c r="CU912">
        <v>0</v>
      </c>
    </row>
    <row r="913" spans="1:99" x14ac:dyDescent="0.2">
      <c r="A913" t="s">
        <v>180</v>
      </c>
      <c r="B913" t="s">
        <v>181</v>
      </c>
      <c r="C913" t="s">
        <v>184</v>
      </c>
      <c r="D913" t="s">
        <v>606</v>
      </c>
      <c r="F913" t="str">
        <f>"250565"</f>
        <v>250565</v>
      </c>
      <c r="G913" t="s">
        <v>49</v>
      </c>
      <c r="H913" t="s">
        <v>629</v>
      </c>
      <c r="K913" t="s">
        <v>51</v>
      </c>
      <c r="L913" t="s">
        <v>52</v>
      </c>
      <c r="M913">
        <v>136699.788</v>
      </c>
      <c r="N913">
        <v>472878.83600000001</v>
      </c>
      <c r="O913" t="s">
        <v>53</v>
      </c>
      <c r="P913" t="s">
        <v>54</v>
      </c>
      <c r="Q913" t="s">
        <v>55</v>
      </c>
      <c r="T913" t="s">
        <v>241</v>
      </c>
      <c r="U913">
        <v>40</v>
      </c>
      <c r="V913" s="1">
        <v>32690</v>
      </c>
      <c r="W913" s="1">
        <v>32690</v>
      </c>
      <c r="X913" s="1">
        <v>32690</v>
      </c>
      <c r="Y913" s="1">
        <v>47300</v>
      </c>
      <c r="Z913" t="s">
        <v>51</v>
      </c>
      <c r="AB913" t="s">
        <v>54</v>
      </c>
      <c r="AC913">
        <v>1</v>
      </c>
      <c r="AE913" t="s">
        <v>222</v>
      </c>
      <c r="AF913">
        <v>20</v>
      </c>
      <c r="AG913" s="1">
        <v>38169</v>
      </c>
      <c r="AH913" s="1">
        <v>38169</v>
      </c>
      <c r="AI913" s="1">
        <v>38169</v>
      </c>
      <c r="AJ913" s="1">
        <v>45474</v>
      </c>
      <c r="AK913" t="s">
        <v>51</v>
      </c>
      <c r="AN913">
        <v>0</v>
      </c>
      <c r="AO913" t="s">
        <v>54</v>
      </c>
      <c r="AP913" t="s">
        <v>53</v>
      </c>
      <c r="AQ913">
        <v>0</v>
      </c>
      <c r="AR913" t="s">
        <v>53</v>
      </c>
      <c r="AS913">
        <v>0</v>
      </c>
      <c r="AT913">
        <v>0</v>
      </c>
      <c r="CC913" t="s">
        <v>432</v>
      </c>
      <c r="CD913">
        <v>85000</v>
      </c>
      <c r="CE913" s="1">
        <v>42552</v>
      </c>
      <c r="CF913" s="1">
        <v>42552</v>
      </c>
      <c r="CG913" s="1">
        <v>42552</v>
      </c>
      <c r="CH913" s="1">
        <v>49714</v>
      </c>
      <c r="CI913" t="s">
        <v>51</v>
      </c>
      <c r="CK913" t="s">
        <v>78</v>
      </c>
      <c r="CM913" t="s">
        <v>54</v>
      </c>
      <c r="CN913" t="s">
        <v>174</v>
      </c>
      <c r="CO913" t="s">
        <v>86</v>
      </c>
      <c r="CR913">
        <v>24</v>
      </c>
      <c r="CS913">
        <v>0</v>
      </c>
      <c r="CT913">
        <v>0</v>
      </c>
      <c r="CU913">
        <v>0</v>
      </c>
    </row>
    <row r="914" spans="1:99" x14ac:dyDescent="0.2">
      <c r="A914" t="s">
        <v>180</v>
      </c>
      <c r="B914" t="s">
        <v>181</v>
      </c>
      <c r="C914" t="s">
        <v>184</v>
      </c>
      <c r="D914" t="s">
        <v>606</v>
      </c>
      <c r="F914" t="str">
        <f>"250566"</f>
        <v>250566</v>
      </c>
      <c r="G914" t="s">
        <v>49</v>
      </c>
      <c r="H914" t="s">
        <v>630</v>
      </c>
      <c r="K914" t="s">
        <v>51</v>
      </c>
      <c r="L914" t="s">
        <v>52</v>
      </c>
      <c r="M914">
        <v>136721.81200000001</v>
      </c>
      <c r="N914">
        <v>472868.9</v>
      </c>
      <c r="O914" t="s">
        <v>53</v>
      </c>
      <c r="P914" t="s">
        <v>54</v>
      </c>
      <c r="Q914" t="s">
        <v>55</v>
      </c>
      <c r="T914" t="s">
        <v>241</v>
      </c>
      <c r="U914">
        <v>40</v>
      </c>
      <c r="V914" s="1">
        <v>32690</v>
      </c>
      <c r="W914" s="1">
        <v>32690</v>
      </c>
      <c r="X914" s="1">
        <v>32690</v>
      </c>
      <c r="Y914" s="1">
        <v>47300</v>
      </c>
      <c r="Z914" t="s">
        <v>51</v>
      </c>
      <c r="AB914" t="s">
        <v>54</v>
      </c>
      <c r="AC914">
        <v>1</v>
      </c>
      <c r="AE914" t="s">
        <v>222</v>
      </c>
      <c r="AF914">
        <v>20</v>
      </c>
      <c r="AG914" s="1">
        <v>38169</v>
      </c>
      <c r="AH914" s="1">
        <v>38169</v>
      </c>
      <c r="AI914" s="1">
        <v>38169</v>
      </c>
      <c r="AJ914" s="1">
        <v>45474</v>
      </c>
      <c r="AK914" t="s">
        <v>51</v>
      </c>
      <c r="AN914">
        <v>0</v>
      </c>
      <c r="AO914" t="s">
        <v>54</v>
      </c>
      <c r="AP914" t="s">
        <v>53</v>
      </c>
      <c r="AQ914">
        <v>0</v>
      </c>
      <c r="AR914" t="s">
        <v>53</v>
      </c>
      <c r="AS914">
        <v>0</v>
      </c>
      <c r="AT914">
        <v>0</v>
      </c>
      <c r="CC914" t="s">
        <v>432</v>
      </c>
      <c r="CD914">
        <v>85000</v>
      </c>
      <c r="CE914" s="1">
        <v>42552</v>
      </c>
      <c r="CF914" s="1">
        <v>42552</v>
      </c>
      <c r="CG914" s="1">
        <v>42552</v>
      </c>
      <c r="CH914" s="1">
        <v>49714</v>
      </c>
      <c r="CI914" t="s">
        <v>51</v>
      </c>
      <c r="CK914" t="s">
        <v>78</v>
      </c>
      <c r="CM914" t="s">
        <v>54</v>
      </c>
      <c r="CN914" t="s">
        <v>174</v>
      </c>
      <c r="CO914" t="s">
        <v>86</v>
      </c>
      <c r="CR914">
        <v>24</v>
      </c>
      <c r="CS914">
        <v>0</v>
      </c>
      <c r="CT914">
        <v>0</v>
      </c>
      <c r="CU914">
        <v>0</v>
      </c>
    </row>
    <row r="915" spans="1:99" x14ac:dyDescent="0.2">
      <c r="A915" t="s">
        <v>180</v>
      </c>
      <c r="B915" t="s">
        <v>181</v>
      </c>
      <c r="C915" t="s">
        <v>184</v>
      </c>
      <c r="D915" t="s">
        <v>606</v>
      </c>
      <c r="F915" t="str">
        <f>"250567"</f>
        <v>250567</v>
      </c>
      <c r="G915" t="s">
        <v>49</v>
      </c>
      <c r="K915" t="s">
        <v>51</v>
      </c>
      <c r="L915" t="s">
        <v>52</v>
      </c>
      <c r="M915">
        <v>136753</v>
      </c>
      <c r="N915">
        <v>472855.77</v>
      </c>
      <c r="O915" t="s">
        <v>53</v>
      </c>
      <c r="P915" t="s">
        <v>54</v>
      </c>
      <c r="Q915" t="s">
        <v>55</v>
      </c>
      <c r="T915" t="s">
        <v>241</v>
      </c>
      <c r="U915">
        <v>40</v>
      </c>
      <c r="V915" s="1">
        <v>32690</v>
      </c>
      <c r="W915" s="1">
        <v>32690</v>
      </c>
      <c r="X915" s="1">
        <v>32690</v>
      </c>
      <c r="Y915" s="1">
        <v>47300</v>
      </c>
      <c r="Z915" t="s">
        <v>51</v>
      </c>
      <c r="AB915" t="s">
        <v>54</v>
      </c>
      <c r="AC915">
        <v>1</v>
      </c>
      <c r="AE915" t="s">
        <v>222</v>
      </c>
      <c r="AF915">
        <v>20</v>
      </c>
      <c r="AG915" s="1">
        <v>37987</v>
      </c>
      <c r="AH915" s="1">
        <v>37987</v>
      </c>
      <c r="AI915" s="1">
        <v>37987</v>
      </c>
      <c r="AJ915" s="1">
        <v>45292</v>
      </c>
      <c r="AK915" t="s">
        <v>51</v>
      </c>
      <c r="AN915">
        <v>0</v>
      </c>
      <c r="AO915" t="s">
        <v>54</v>
      </c>
      <c r="AP915" t="s">
        <v>53</v>
      </c>
      <c r="AQ915">
        <v>0</v>
      </c>
      <c r="AR915" t="s">
        <v>53</v>
      </c>
      <c r="AS915">
        <v>0</v>
      </c>
      <c r="AT915">
        <v>0</v>
      </c>
      <c r="CC915" t="s">
        <v>432</v>
      </c>
      <c r="CD915">
        <v>85000</v>
      </c>
      <c r="CE915" s="1">
        <v>42552</v>
      </c>
      <c r="CF915" s="1">
        <v>42552</v>
      </c>
      <c r="CG915" s="1">
        <v>42552</v>
      </c>
      <c r="CH915" s="1">
        <v>49714</v>
      </c>
      <c r="CI915" t="s">
        <v>51</v>
      </c>
      <c r="CK915" t="s">
        <v>78</v>
      </c>
      <c r="CM915" t="s">
        <v>54</v>
      </c>
      <c r="CN915" t="s">
        <v>174</v>
      </c>
      <c r="CO915" t="s">
        <v>86</v>
      </c>
      <c r="CR915">
        <v>24</v>
      </c>
      <c r="CS915">
        <v>0</v>
      </c>
      <c r="CT915">
        <v>0</v>
      </c>
      <c r="CU915">
        <v>0</v>
      </c>
    </row>
    <row r="916" spans="1:99" x14ac:dyDescent="0.2">
      <c r="A916" t="s">
        <v>180</v>
      </c>
      <c r="B916" t="s">
        <v>181</v>
      </c>
      <c r="C916" t="s">
        <v>184</v>
      </c>
      <c r="D916" t="s">
        <v>606</v>
      </c>
      <c r="F916" t="str">
        <f>"250568"</f>
        <v>250568</v>
      </c>
      <c r="G916" t="s">
        <v>49</v>
      </c>
      <c r="H916" t="s">
        <v>471</v>
      </c>
      <c r="K916" t="s">
        <v>51</v>
      </c>
      <c r="L916" t="s">
        <v>52</v>
      </c>
      <c r="M916">
        <v>136395.51999999999</v>
      </c>
      <c r="N916">
        <v>472845</v>
      </c>
      <c r="O916" t="s">
        <v>53</v>
      </c>
      <c r="P916" t="s">
        <v>54</v>
      </c>
      <c r="Q916" t="s">
        <v>55</v>
      </c>
      <c r="T916" t="s">
        <v>588</v>
      </c>
      <c r="U916">
        <v>40</v>
      </c>
      <c r="V916" s="1">
        <v>27576</v>
      </c>
      <c r="W916" s="1">
        <v>27576</v>
      </c>
      <c r="X916" s="1">
        <v>27576</v>
      </c>
      <c r="Y916" s="1">
        <v>42186</v>
      </c>
      <c r="Z916" t="s">
        <v>51</v>
      </c>
      <c r="AB916" t="s">
        <v>54</v>
      </c>
      <c r="AC916">
        <v>1</v>
      </c>
      <c r="AE916" t="s">
        <v>222</v>
      </c>
      <c r="AF916">
        <v>20</v>
      </c>
      <c r="AG916" s="1">
        <v>36342</v>
      </c>
      <c r="AH916" s="1">
        <v>36342</v>
      </c>
      <c r="AI916" s="1">
        <v>36342</v>
      </c>
      <c r="AJ916" s="1">
        <v>43647</v>
      </c>
      <c r="AK916" t="s">
        <v>51</v>
      </c>
      <c r="AN916">
        <v>0</v>
      </c>
      <c r="AO916" t="s">
        <v>54</v>
      </c>
      <c r="AP916" t="s">
        <v>53</v>
      </c>
      <c r="AQ916">
        <v>0</v>
      </c>
      <c r="AR916" t="s">
        <v>53</v>
      </c>
      <c r="AS916">
        <v>0</v>
      </c>
      <c r="AT916">
        <v>0</v>
      </c>
      <c r="CC916" t="s">
        <v>432</v>
      </c>
      <c r="CD916">
        <v>85000</v>
      </c>
      <c r="CE916" s="1">
        <v>42552</v>
      </c>
      <c r="CF916" s="1">
        <v>42552</v>
      </c>
      <c r="CG916" s="1">
        <v>42552</v>
      </c>
      <c r="CH916" s="1">
        <v>49714</v>
      </c>
      <c r="CI916" t="s">
        <v>51</v>
      </c>
      <c r="CK916" t="s">
        <v>78</v>
      </c>
      <c r="CM916" t="s">
        <v>54</v>
      </c>
      <c r="CN916" t="s">
        <v>174</v>
      </c>
      <c r="CO916" t="s">
        <v>86</v>
      </c>
      <c r="CR916">
        <v>24</v>
      </c>
      <c r="CS916">
        <v>0</v>
      </c>
      <c r="CT916">
        <v>0</v>
      </c>
      <c r="CU916">
        <v>0</v>
      </c>
    </row>
    <row r="917" spans="1:99" x14ac:dyDescent="0.2">
      <c r="A917" t="s">
        <v>180</v>
      </c>
      <c r="B917" t="s">
        <v>181</v>
      </c>
      <c r="C917" t="s">
        <v>184</v>
      </c>
      <c r="D917" t="s">
        <v>605</v>
      </c>
      <c r="F917" t="str">
        <f>"250569"</f>
        <v>250569</v>
      </c>
      <c r="G917" t="s">
        <v>49</v>
      </c>
      <c r="H917" t="s">
        <v>273</v>
      </c>
      <c r="K917" t="s">
        <v>51</v>
      </c>
      <c r="L917" t="s">
        <v>52</v>
      </c>
      <c r="M917">
        <v>136559.44</v>
      </c>
      <c r="N917">
        <v>472757.81</v>
      </c>
      <c r="O917" t="s">
        <v>53</v>
      </c>
      <c r="P917" t="s">
        <v>54</v>
      </c>
      <c r="Q917" t="s">
        <v>55</v>
      </c>
      <c r="T917" t="s">
        <v>588</v>
      </c>
      <c r="U917">
        <v>40</v>
      </c>
      <c r="V917" s="1">
        <v>27576</v>
      </c>
      <c r="W917" s="1">
        <v>27576</v>
      </c>
      <c r="X917" s="1">
        <v>27576</v>
      </c>
      <c r="Y917" s="1">
        <v>42186</v>
      </c>
      <c r="Z917" t="s">
        <v>51</v>
      </c>
      <c r="AB917" t="s">
        <v>54</v>
      </c>
      <c r="AC917">
        <v>1</v>
      </c>
      <c r="AE917" t="s">
        <v>222</v>
      </c>
      <c r="AF917">
        <v>20</v>
      </c>
      <c r="AG917" s="1">
        <v>36342</v>
      </c>
      <c r="AH917" s="1">
        <v>36342</v>
      </c>
      <c r="AI917" s="1">
        <v>36342</v>
      </c>
      <c r="AJ917" s="1">
        <v>43647</v>
      </c>
      <c r="AK917" t="s">
        <v>51</v>
      </c>
      <c r="AN917">
        <v>0</v>
      </c>
      <c r="AO917" t="s">
        <v>54</v>
      </c>
      <c r="AP917" t="s">
        <v>53</v>
      </c>
      <c r="AQ917">
        <v>0</v>
      </c>
      <c r="AR917" t="s">
        <v>53</v>
      </c>
      <c r="AS917">
        <v>0</v>
      </c>
      <c r="AT917">
        <v>0</v>
      </c>
      <c r="CC917" t="s">
        <v>432</v>
      </c>
      <c r="CD917">
        <v>85000</v>
      </c>
      <c r="CE917" s="1">
        <v>42552</v>
      </c>
      <c r="CF917" s="1">
        <v>42552</v>
      </c>
      <c r="CG917" s="1">
        <v>42552</v>
      </c>
      <c r="CH917" s="1">
        <v>49714</v>
      </c>
      <c r="CI917" t="s">
        <v>51</v>
      </c>
      <c r="CK917" t="s">
        <v>78</v>
      </c>
      <c r="CM917" t="s">
        <v>54</v>
      </c>
      <c r="CN917" t="s">
        <v>174</v>
      </c>
      <c r="CO917" t="s">
        <v>86</v>
      </c>
      <c r="CR917">
        <v>24</v>
      </c>
      <c r="CS917">
        <v>0</v>
      </c>
      <c r="CT917">
        <v>0</v>
      </c>
      <c r="CU917">
        <v>0</v>
      </c>
    </row>
    <row r="918" spans="1:99" x14ac:dyDescent="0.2">
      <c r="A918" t="s">
        <v>180</v>
      </c>
      <c r="B918" t="s">
        <v>181</v>
      </c>
      <c r="C918" t="s">
        <v>184</v>
      </c>
      <c r="D918" t="s">
        <v>605</v>
      </c>
      <c r="F918" t="str">
        <f>"250570"</f>
        <v>250570</v>
      </c>
      <c r="G918" t="s">
        <v>49</v>
      </c>
      <c r="H918" t="s">
        <v>219</v>
      </c>
      <c r="K918" t="s">
        <v>51</v>
      </c>
      <c r="L918" t="s">
        <v>52</v>
      </c>
      <c r="M918">
        <v>136574.04</v>
      </c>
      <c r="N918">
        <v>472774.63</v>
      </c>
      <c r="O918" t="s">
        <v>53</v>
      </c>
      <c r="P918" t="s">
        <v>54</v>
      </c>
      <c r="Q918" t="s">
        <v>55</v>
      </c>
      <c r="T918" t="s">
        <v>588</v>
      </c>
      <c r="U918">
        <v>40</v>
      </c>
      <c r="V918" s="1">
        <v>27576</v>
      </c>
      <c r="W918" s="1">
        <v>27576</v>
      </c>
      <c r="X918" s="1">
        <v>27576</v>
      </c>
      <c r="Y918" s="1">
        <v>42186</v>
      </c>
      <c r="Z918" t="s">
        <v>51</v>
      </c>
      <c r="AB918" t="s">
        <v>54</v>
      </c>
      <c r="AC918">
        <v>1</v>
      </c>
      <c r="AE918" t="s">
        <v>222</v>
      </c>
      <c r="AF918">
        <v>20</v>
      </c>
      <c r="AG918" s="1">
        <v>36342</v>
      </c>
      <c r="AH918" s="1">
        <v>36342</v>
      </c>
      <c r="AI918" s="1">
        <v>36342</v>
      </c>
      <c r="AJ918" s="1">
        <v>43647</v>
      </c>
      <c r="AK918" t="s">
        <v>51</v>
      </c>
      <c r="AN918">
        <v>0</v>
      </c>
      <c r="AO918" t="s">
        <v>54</v>
      </c>
      <c r="AP918" t="s">
        <v>53</v>
      </c>
      <c r="AQ918">
        <v>0</v>
      </c>
      <c r="AR918" t="s">
        <v>53</v>
      </c>
      <c r="AS918">
        <v>0</v>
      </c>
      <c r="AT918">
        <v>0</v>
      </c>
      <c r="CC918" t="s">
        <v>432</v>
      </c>
      <c r="CD918">
        <v>85000</v>
      </c>
      <c r="CE918" s="1">
        <v>42552</v>
      </c>
      <c r="CF918" s="1">
        <v>42552</v>
      </c>
      <c r="CG918" s="1">
        <v>42552</v>
      </c>
      <c r="CH918" s="1">
        <v>49714</v>
      </c>
      <c r="CI918" t="s">
        <v>51</v>
      </c>
      <c r="CK918" t="s">
        <v>78</v>
      </c>
      <c r="CM918" t="s">
        <v>54</v>
      </c>
      <c r="CN918" t="s">
        <v>174</v>
      </c>
      <c r="CO918" t="s">
        <v>86</v>
      </c>
      <c r="CR918">
        <v>24</v>
      </c>
      <c r="CS918">
        <v>0</v>
      </c>
      <c r="CT918">
        <v>0</v>
      </c>
      <c r="CU918">
        <v>0</v>
      </c>
    </row>
    <row r="919" spans="1:99" x14ac:dyDescent="0.2">
      <c r="A919" t="s">
        <v>180</v>
      </c>
      <c r="B919" t="s">
        <v>181</v>
      </c>
      <c r="C919" t="s">
        <v>184</v>
      </c>
      <c r="D919" t="s">
        <v>605</v>
      </c>
      <c r="F919" t="str">
        <f>"250571"</f>
        <v>250571</v>
      </c>
      <c r="G919" t="s">
        <v>49</v>
      </c>
      <c r="H919" t="s">
        <v>604</v>
      </c>
      <c r="K919" t="s">
        <v>51</v>
      </c>
      <c r="L919" t="s">
        <v>52</v>
      </c>
      <c r="M919">
        <v>136605.81</v>
      </c>
      <c r="N919">
        <v>472778.33</v>
      </c>
      <c r="O919" t="s">
        <v>53</v>
      </c>
      <c r="P919" t="s">
        <v>54</v>
      </c>
      <c r="Q919" t="s">
        <v>55</v>
      </c>
      <c r="T919" t="s">
        <v>588</v>
      </c>
      <c r="U919">
        <v>40</v>
      </c>
      <c r="V919" s="1">
        <v>27576</v>
      </c>
      <c r="W919" s="1">
        <v>27576</v>
      </c>
      <c r="X919" s="1">
        <v>27576</v>
      </c>
      <c r="Y919" s="1">
        <v>42186</v>
      </c>
      <c r="Z919" t="s">
        <v>51</v>
      </c>
      <c r="AB919" t="s">
        <v>54</v>
      </c>
      <c r="AC919">
        <v>1</v>
      </c>
      <c r="AE919" t="s">
        <v>222</v>
      </c>
      <c r="AF919">
        <v>20</v>
      </c>
      <c r="AG919" s="1">
        <v>36342</v>
      </c>
      <c r="AH919" s="1">
        <v>36342</v>
      </c>
      <c r="AI919" s="1">
        <v>36342</v>
      </c>
      <c r="AJ919" s="1">
        <v>43647</v>
      </c>
      <c r="AK919" t="s">
        <v>51</v>
      </c>
      <c r="AN919">
        <v>0</v>
      </c>
      <c r="AO919" t="s">
        <v>54</v>
      </c>
      <c r="AP919" t="s">
        <v>53</v>
      </c>
      <c r="AQ919">
        <v>0</v>
      </c>
      <c r="AR919" t="s">
        <v>53</v>
      </c>
      <c r="AS919">
        <v>0</v>
      </c>
      <c r="AT919">
        <v>0</v>
      </c>
      <c r="CC919" t="s">
        <v>432</v>
      </c>
      <c r="CD919">
        <v>85000</v>
      </c>
      <c r="CE919" s="1">
        <v>42552</v>
      </c>
      <c r="CF919" s="1">
        <v>42552</v>
      </c>
      <c r="CG919" s="1">
        <v>42552</v>
      </c>
      <c r="CH919" s="1">
        <v>49714</v>
      </c>
      <c r="CI919" t="s">
        <v>51</v>
      </c>
      <c r="CK919" t="s">
        <v>78</v>
      </c>
      <c r="CM919" t="s">
        <v>54</v>
      </c>
      <c r="CN919" t="s">
        <v>174</v>
      </c>
      <c r="CO919" t="s">
        <v>86</v>
      </c>
      <c r="CR919">
        <v>24</v>
      </c>
      <c r="CS919">
        <v>0</v>
      </c>
      <c r="CT919">
        <v>0</v>
      </c>
      <c r="CU919">
        <v>0</v>
      </c>
    </row>
    <row r="920" spans="1:99" x14ac:dyDescent="0.2">
      <c r="A920" t="s">
        <v>180</v>
      </c>
      <c r="B920" t="s">
        <v>181</v>
      </c>
      <c r="C920" t="s">
        <v>184</v>
      </c>
      <c r="D920" t="s">
        <v>605</v>
      </c>
      <c r="F920" t="str">
        <f>"250572"</f>
        <v>250572</v>
      </c>
      <c r="G920" t="s">
        <v>49</v>
      </c>
      <c r="K920" t="s">
        <v>51</v>
      </c>
      <c r="L920" t="s">
        <v>52</v>
      </c>
      <c r="M920">
        <v>136632.6</v>
      </c>
      <c r="N920">
        <v>472758.94</v>
      </c>
      <c r="O920" t="s">
        <v>53</v>
      </c>
      <c r="P920" t="s">
        <v>54</v>
      </c>
      <c r="Q920" t="s">
        <v>55</v>
      </c>
      <c r="T920" t="s">
        <v>588</v>
      </c>
      <c r="U920">
        <v>40</v>
      </c>
      <c r="V920" s="1">
        <v>27576</v>
      </c>
      <c r="W920" s="1">
        <v>27576</v>
      </c>
      <c r="X920" s="1">
        <v>27576</v>
      </c>
      <c r="Y920" s="1">
        <v>42186</v>
      </c>
      <c r="Z920" t="s">
        <v>51</v>
      </c>
      <c r="AB920" t="s">
        <v>54</v>
      </c>
      <c r="AC920">
        <v>1</v>
      </c>
      <c r="AE920" t="s">
        <v>222</v>
      </c>
      <c r="AF920">
        <v>20</v>
      </c>
      <c r="AG920" s="1">
        <v>36342</v>
      </c>
      <c r="AH920" s="1">
        <v>36342</v>
      </c>
      <c r="AI920" s="1">
        <v>36342</v>
      </c>
      <c r="AJ920" s="1">
        <v>43647</v>
      </c>
      <c r="AK920" t="s">
        <v>51</v>
      </c>
      <c r="AN920">
        <v>0</v>
      </c>
      <c r="AO920" t="s">
        <v>54</v>
      </c>
      <c r="AP920" t="s">
        <v>53</v>
      </c>
      <c r="AQ920">
        <v>0</v>
      </c>
      <c r="AR920" t="s">
        <v>53</v>
      </c>
      <c r="AS920">
        <v>0</v>
      </c>
      <c r="AT920">
        <v>0</v>
      </c>
      <c r="CC920" t="s">
        <v>560</v>
      </c>
      <c r="CD920">
        <v>85000</v>
      </c>
      <c r="CE920" s="1">
        <v>42552</v>
      </c>
      <c r="CF920" s="1">
        <v>42552</v>
      </c>
      <c r="CG920" s="1">
        <v>42552</v>
      </c>
      <c r="CH920" s="1">
        <v>49714</v>
      </c>
      <c r="CI920" t="s">
        <v>51</v>
      </c>
      <c r="CK920" t="s">
        <v>78</v>
      </c>
      <c r="CM920" t="s">
        <v>54</v>
      </c>
      <c r="CN920" t="s">
        <v>174</v>
      </c>
      <c r="CO920" t="s">
        <v>86</v>
      </c>
      <c r="CR920">
        <v>36</v>
      </c>
      <c r="CS920">
        <v>0</v>
      </c>
      <c r="CT920">
        <v>0</v>
      </c>
      <c r="CU920">
        <v>0</v>
      </c>
    </row>
    <row r="921" spans="1:99" x14ac:dyDescent="0.2">
      <c r="A921" t="s">
        <v>180</v>
      </c>
      <c r="B921" t="s">
        <v>181</v>
      </c>
      <c r="C921" t="s">
        <v>184</v>
      </c>
      <c r="D921" t="s">
        <v>605</v>
      </c>
      <c r="F921" t="str">
        <f>"250575"</f>
        <v>250575</v>
      </c>
      <c r="G921" t="s">
        <v>49</v>
      </c>
      <c r="H921" t="s">
        <v>581</v>
      </c>
      <c r="K921" t="s">
        <v>51</v>
      </c>
      <c r="L921" t="s">
        <v>52</v>
      </c>
      <c r="M921">
        <v>136619.41</v>
      </c>
      <c r="N921">
        <v>472725.13</v>
      </c>
      <c r="O921" t="s">
        <v>53</v>
      </c>
      <c r="P921" t="s">
        <v>54</v>
      </c>
      <c r="Q921" t="s">
        <v>55</v>
      </c>
      <c r="T921" t="s">
        <v>588</v>
      </c>
      <c r="U921">
        <v>40</v>
      </c>
      <c r="V921" s="1">
        <v>27576</v>
      </c>
      <c r="W921" s="1">
        <v>27576</v>
      </c>
      <c r="X921" s="1">
        <v>27576</v>
      </c>
      <c r="Y921" s="1">
        <v>42186</v>
      </c>
      <c r="Z921" t="s">
        <v>51</v>
      </c>
      <c r="AB921" t="s">
        <v>54</v>
      </c>
      <c r="AC921">
        <v>1</v>
      </c>
      <c r="AE921" t="s">
        <v>222</v>
      </c>
      <c r="AF921">
        <v>20</v>
      </c>
      <c r="AG921" s="1">
        <v>36342</v>
      </c>
      <c r="AH921" s="1">
        <v>36342</v>
      </c>
      <c r="AI921" s="1">
        <v>36342</v>
      </c>
      <c r="AJ921" s="1">
        <v>43647</v>
      </c>
      <c r="AK921" t="s">
        <v>51</v>
      </c>
      <c r="AN921">
        <v>0</v>
      </c>
      <c r="AO921" t="s">
        <v>54</v>
      </c>
      <c r="AP921" t="s">
        <v>53</v>
      </c>
      <c r="AQ921">
        <v>0</v>
      </c>
      <c r="AR921" t="s">
        <v>53</v>
      </c>
      <c r="AS921">
        <v>0</v>
      </c>
      <c r="AT921">
        <v>0</v>
      </c>
      <c r="AW921" t="s">
        <v>58</v>
      </c>
      <c r="AX921">
        <v>20</v>
      </c>
      <c r="AY921" s="1">
        <v>44320</v>
      </c>
      <c r="AZ921" s="1">
        <v>44320</v>
      </c>
      <c r="BA921" s="1">
        <v>44320</v>
      </c>
      <c r="BB921" s="1">
        <v>51625</v>
      </c>
      <c r="BC921" t="s">
        <v>51</v>
      </c>
      <c r="BE921" t="s">
        <v>54</v>
      </c>
      <c r="BF921">
        <v>2</v>
      </c>
      <c r="BG921">
        <v>0</v>
      </c>
      <c r="BH921" t="s">
        <v>53</v>
      </c>
      <c r="BK921" t="s">
        <v>59</v>
      </c>
      <c r="BL921">
        <v>14000</v>
      </c>
      <c r="BM921" s="1">
        <v>44320</v>
      </c>
      <c r="BN921" s="1">
        <v>44320</v>
      </c>
      <c r="BO921" s="1">
        <v>44320</v>
      </c>
      <c r="BP921" s="1">
        <v>45542</v>
      </c>
      <c r="BQ921" t="s">
        <v>51</v>
      </c>
      <c r="BS921" t="s">
        <v>60</v>
      </c>
      <c r="BT921" t="s">
        <v>54</v>
      </c>
      <c r="BU921" t="s">
        <v>61</v>
      </c>
      <c r="BV921" t="s">
        <v>62</v>
      </c>
      <c r="BX921">
        <v>24</v>
      </c>
      <c r="BY921">
        <v>0</v>
      </c>
      <c r="BZ921">
        <v>0</v>
      </c>
    </row>
    <row r="922" spans="1:99" x14ac:dyDescent="0.2">
      <c r="A922" t="s">
        <v>180</v>
      </c>
      <c r="B922" t="s">
        <v>181</v>
      </c>
      <c r="C922" t="s">
        <v>184</v>
      </c>
      <c r="D922" t="s">
        <v>605</v>
      </c>
      <c r="F922" t="str">
        <f>"250576"</f>
        <v>250576</v>
      </c>
      <c r="G922" t="s">
        <v>49</v>
      </c>
      <c r="K922" t="s">
        <v>51</v>
      </c>
      <c r="L922" t="s">
        <v>52</v>
      </c>
      <c r="M922">
        <v>136618.82</v>
      </c>
      <c r="N922">
        <v>472701.43</v>
      </c>
      <c r="O922" t="s">
        <v>53</v>
      </c>
      <c r="P922" t="s">
        <v>54</v>
      </c>
      <c r="Q922" t="s">
        <v>55</v>
      </c>
      <c r="T922" t="s">
        <v>431</v>
      </c>
      <c r="U922">
        <v>40</v>
      </c>
      <c r="V922" s="1">
        <v>27942</v>
      </c>
      <c r="W922" s="1">
        <v>27942</v>
      </c>
      <c r="X922" s="1">
        <v>27942</v>
      </c>
      <c r="Y922" s="1">
        <v>42552</v>
      </c>
      <c r="Z922" t="s">
        <v>51</v>
      </c>
      <c r="AB922" t="s">
        <v>54</v>
      </c>
      <c r="AC922">
        <v>1</v>
      </c>
      <c r="AE922" t="s">
        <v>79</v>
      </c>
      <c r="AF922">
        <v>20</v>
      </c>
      <c r="AG922" s="1">
        <v>36342</v>
      </c>
      <c r="AH922" s="1">
        <v>36342</v>
      </c>
      <c r="AI922" s="1">
        <v>36342</v>
      </c>
      <c r="AJ922" s="1">
        <v>43647</v>
      </c>
      <c r="AK922" t="s">
        <v>51</v>
      </c>
      <c r="AN922">
        <v>0</v>
      </c>
      <c r="AO922" t="s">
        <v>54</v>
      </c>
      <c r="AP922" t="s">
        <v>53</v>
      </c>
      <c r="AQ922">
        <v>0</v>
      </c>
      <c r="AR922" t="s">
        <v>145</v>
      </c>
      <c r="AS922">
        <v>0</v>
      </c>
      <c r="AT922">
        <v>0</v>
      </c>
      <c r="CC922" t="s">
        <v>560</v>
      </c>
      <c r="CD922">
        <v>85000</v>
      </c>
      <c r="CE922" s="1">
        <v>42552</v>
      </c>
      <c r="CF922" s="1">
        <v>42552</v>
      </c>
      <c r="CG922" s="1">
        <v>42552</v>
      </c>
      <c r="CH922" s="1">
        <v>49714</v>
      </c>
      <c r="CI922" t="s">
        <v>51</v>
      </c>
      <c r="CK922" t="s">
        <v>78</v>
      </c>
      <c r="CM922" t="s">
        <v>54</v>
      </c>
      <c r="CN922" t="s">
        <v>174</v>
      </c>
      <c r="CO922" t="s">
        <v>86</v>
      </c>
      <c r="CR922">
        <v>36</v>
      </c>
      <c r="CS922">
        <v>0</v>
      </c>
      <c r="CT922">
        <v>0</v>
      </c>
      <c r="CU922">
        <v>0</v>
      </c>
    </row>
    <row r="923" spans="1:99" x14ac:dyDescent="0.2">
      <c r="A923" t="s">
        <v>180</v>
      </c>
      <c r="B923" t="s">
        <v>181</v>
      </c>
      <c r="C923" t="s">
        <v>184</v>
      </c>
      <c r="D923" t="s">
        <v>605</v>
      </c>
      <c r="F923" t="str">
        <f>"250577"</f>
        <v>250577</v>
      </c>
      <c r="G923" t="s">
        <v>49</v>
      </c>
      <c r="K923" t="s">
        <v>51</v>
      </c>
      <c r="L923" t="s">
        <v>52</v>
      </c>
      <c r="M923">
        <v>136657.34</v>
      </c>
      <c r="N923">
        <v>472766.71999999997</v>
      </c>
      <c r="O923" t="s">
        <v>53</v>
      </c>
      <c r="P923" t="s">
        <v>54</v>
      </c>
      <c r="Q923" t="s">
        <v>55</v>
      </c>
      <c r="T923" t="s">
        <v>588</v>
      </c>
      <c r="U923">
        <v>40</v>
      </c>
      <c r="V923" s="1">
        <v>27576</v>
      </c>
      <c r="W923" s="1">
        <v>27576</v>
      </c>
      <c r="X923" s="1">
        <v>27576</v>
      </c>
      <c r="Y923" s="1">
        <v>42186</v>
      </c>
      <c r="Z923" t="s">
        <v>51</v>
      </c>
      <c r="AB923" t="s">
        <v>54</v>
      </c>
      <c r="AC923">
        <v>1</v>
      </c>
      <c r="AE923" t="s">
        <v>222</v>
      </c>
      <c r="AF923">
        <v>20</v>
      </c>
      <c r="AG923" s="1">
        <v>36342</v>
      </c>
      <c r="AH923" s="1">
        <v>36342</v>
      </c>
      <c r="AI923" s="1">
        <v>36342</v>
      </c>
      <c r="AJ923" s="1">
        <v>43647</v>
      </c>
      <c r="AK923" t="s">
        <v>51</v>
      </c>
      <c r="AN923">
        <v>0</v>
      </c>
      <c r="AO923" t="s">
        <v>54</v>
      </c>
      <c r="AP923" t="s">
        <v>53</v>
      </c>
      <c r="AQ923">
        <v>0</v>
      </c>
      <c r="AR923" t="s">
        <v>53</v>
      </c>
      <c r="AS923">
        <v>0</v>
      </c>
      <c r="AT923">
        <v>0</v>
      </c>
      <c r="CC923" t="s">
        <v>432</v>
      </c>
      <c r="CD923">
        <v>85000</v>
      </c>
      <c r="CE923" s="1">
        <v>42552</v>
      </c>
      <c r="CF923" s="1">
        <v>42552</v>
      </c>
      <c r="CG923" s="1">
        <v>42552</v>
      </c>
      <c r="CH923" s="1">
        <v>49714</v>
      </c>
      <c r="CI923" t="s">
        <v>51</v>
      </c>
      <c r="CK923" t="s">
        <v>78</v>
      </c>
      <c r="CM923" t="s">
        <v>54</v>
      </c>
      <c r="CN923" t="s">
        <v>174</v>
      </c>
      <c r="CO923" t="s">
        <v>86</v>
      </c>
      <c r="CR923">
        <v>24</v>
      </c>
      <c r="CS923">
        <v>0</v>
      </c>
      <c r="CT923">
        <v>0</v>
      </c>
      <c r="CU923">
        <v>0</v>
      </c>
    </row>
    <row r="924" spans="1:99" x14ac:dyDescent="0.2">
      <c r="A924" t="s">
        <v>180</v>
      </c>
      <c r="B924" t="s">
        <v>181</v>
      </c>
      <c r="C924" t="s">
        <v>184</v>
      </c>
      <c r="D924" t="s">
        <v>605</v>
      </c>
      <c r="F924" t="str">
        <f>"250578"</f>
        <v>250578</v>
      </c>
      <c r="G924" t="s">
        <v>49</v>
      </c>
      <c r="K924" t="s">
        <v>51</v>
      </c>
      <c r="L924" t="s">
        <v>52</v>
      </c>
      <c r="M924">
        <v>136669.72</v>
      </c>
      <c r="N924">
        <v>472797.29</v>
      </c>
      <c r="O924" t="s">
        <v>53</v>
      </c>
      <c r="P924" t="s">
        <v>54</v>
      </c>
      <c r="Q924" t="s">
        <v>55</v>
      </c>
      <c r="T924" t="s">
        <v>631</v>
      </c>
      <c r="U924">
        <v>40</v>
      </c>
      <c r="V924" s="1">
        <v>27576</v>
      </c>
      <c r="W924" s="1">
        <v>27576</v>
      </c>
      <c r="X924" s="1">
        <v>27576</v>
      </c>
      <c r="Y924" s="1">
        <v>42186</v>
      </c>
      <c r="Z924" t="s">
        <v>51</v>
      </c>
      <c r="AB924" t="s">
        <v>54</v>
      </c>
      <c r="AC924">
        <v>1</v>
      </c>
      <c r="AE924" t="s">
        <v>222</v>
      </c>
      <c r="AF924">
        <v>20</v>
      </c>
      <c r="AG924" s="1">
        <v>36342</v>
      </c>
      <c r="AH924" s="1">
        <v>36342</v>
      </c>
      <c r="AI924" s="1">
        <v>36342</v>
      </c>
      <c r="AJ924" s="1">
        <v>43647</v>
      </c>
      <c r="AK924" t="s">
        <v>51</v>
      </c>
      <c r="AN924">
        <v>0</v>
      </c>
      <c r="AO924" t="s">
        <v>54</v>
      </c>
      <c r="AP924" t="s">
        <v>53</v>
      </c>
      <c r="AQ924">
        <v>0</v>
      </c>
      <c r="AR924" t="s">
        <v>53</v>
      </c>
      <c r="AS924">
        <v>0</v>
      </c>
      <c r="AT924">
        <v>0</v>
      </c>
      <c r="CC924" t="s">
        <v>432</v>
      </c>
      <c r="CD924">
        <v>85000</v>
      </c>
      <c r="CE924" s="1">
        <v>42552</v>
      </c>
      <c r="CF924" s="1">
        <v>42552</v>
      </c>
      <c r="CG924" s="1">
        <v>42552</v>
      </c>
      <c r="CH924" s="1">
        <v>49714</v>
      </c>
      <c r="CI924" t="s">
        <v>51</v>
      </c>
      <c r="CK924" t="s">
        <v>78</v>
      </c>
      <c r="CM924" t="s">
        <v>54</v>
      </c>
      <c r="CN924" t="s">
        <v>174</v>
      </c>
      <c r="CO924" t="s">
        <v>86</v>
      </c>
      <c r="CR924">
        <v>24</v>
      </c>
      <c r="CS924">
        <v>0</v>
      </c>
      <c r="CT924">
        <v>0</v>
      </c>
      <c r="CU924">
        <v>0</v>
      </c>
    </row>
    <row r="925" spans="1:99" x14ac:dyDescent="0.2">
      <c r="A925" t="s">
        <v>180</v>
      </c>
      <c r="B925" t="s">
        <v>181</v>
      </c>
      <c r="C925" t="s">
        <v>184</v>
      </c>
      <c r="D925" t="s">
        <v>605</v>
      </c>
      <c r="F925" t="str">
        <f>"250579"</f>
        <v>250579</v>
      </c>
      <c r="G925" t="s">
        <v>49</v>
      </c>
      <c r="K925" t="s">
        <v>51</v>
      </c>
      <c r="L925" t="s">
        <v>52</v>
      </c>
      <c r="M925">
        <v>136641.82</v>
      </c>
      <c r="N925">
        <v>472791.78</v>
      </c>
      <c r="O925" t="s">
        <v>53</v>
      </c>
      <c r="P925" t="s">
        <v>54</v>
      </c>
      <c r="Q925" t="s">
        <v>55</v>
      </c>
      <c r="T925" t="s">
        <v>588</v>
      </c>
      <c r="U925">
        <v>40</v>
      </c>
      <c r="V925" s="1">
        <v>27576</v>
      </c>
      <c r="W925" s="1">
        <v>27576</v>
      </c>
      <c r="X925" s="1">
        <v>27576</v>
      </c>
      <c r="Y925" s="1">
        <v>42186</v>
      </c>
      <c r="Z925" t="s">
        <v>51</v>
      </c>
      <c r="AB925" t="s">
        <v>54</v>
      </c>
      <c r="AC925">
        <v>1</v>
      </c>
      <c r="AE925" t="s">
        <v>222</v>
      </c>
      <c r="AF925">
        <v>20</v>
      </c>
      <c r="AG925" s="1">
        <v>36342</v>
      </c>
      <c r="AH925" s="1">
        <v>36342</v>
      </c>
      <c r="AI925" s="1">
        <v>36342</v>
      </c>
      <c r="AJ925" s="1">
        <v>43647</v>
      </c>
      <c r="AK925" t="s">
        <v>51</v>
      </c>
      <c r="AN925">
        <v>0</v>
      </c>
      <c r="AO925" t="s">
        <v>54</v>
      </c>
      <c r="AP925" t="s">
        <v>53</v>
      </c>
      <c r="AQ925">
        <v>0</v>
      </c>
      <c r="AR925" t="s">
        <v>53</v>
      </c>
      <c r="AS925">
        <v>0</v>
      </c>
      <c r="AT925">
        <v>0</v>
      </c>
      <c r="CC925" t="s">
        <v>432</v>
      </c>
      <c r="CD925">
        <v>85000</v>
      </c>
      <c r="CE925" s="1">
        <v>42552</v>
      </c>
      <c r="CF925" s="1">
        <v>42552</v>
      </c>
      <c r="CG925" s="1">
        <v>42552</v>
      </c>
      <c r="CH925" s="1">
        <v>49714</v>
      </c>
      <c r="CI925" t="s">
        <v>51</v>
      </c>
      <c r="CK925" t="s">
        <v>78</v>
      </c>
      <c r="CM925" t="s">
        <v>54</v>
      </c>
      <c r="CN925" t="s">
        <v>174</v>
      </c>
      <c r="CO925" t="s">
        <v>86</v>
      </c>
      <c r="CR925">
        <v>24</v>
      </c>
      <c r="CS925">
        <v>0</v>
      </c>
      <c r="CT925">
        <v>0</v>
      </c>
      <c r="CU925">
        <v>0</v>
      </c>
    </row>
    <row r="926" spans="1:99" x14ac:dyDescent="0.2">
      <c r="A926" t="s">
        <v>180</v>
      </c>
      <c r="B926" t="s">
        <v>181</v>
      </c>
      <c r="C926" t="s">
        <v>184</v>
      </c>
      <c r="D926" t="s">
        <v>605</v>
      </c>
      <c r="F926" t="str">
        <f>"250580"</f>
        <v>250580</v>
      </c>
      <c r="G926" t="s">
        <v>49</v>
      </c>
      <c r="H926" t="s">
        <v>299</v>
      </c>
      <c r="K926" t="s">
        <v>51</v>
      </c>
      <c r="L926" t="s">
        <v>52</v>
      </c>
      <c r="M926">
        <v>136571.76999999999</v>
      </c>
      <c r="N926">
        <v>472799.91</v>
      </c>
      <c r="O926" t="s">
        <v>53</v>
      </c>
      <c r="P926" t="s">
        <v>54</v>
      </c>
      <c r="Q926" t="s">
        <v>55</v>
      </c>
      <c r="T926" t="s">
        <v>588</v>
      </c>
      <c r="U926">
        <v>40</v>
      </c>
      <c r="V926" s="1">
        <v>27576</v>
      </c>
      <c r="W926" s="1">
        <v>27576</v>
      </c>
      <c r="X926" s="1">
        <v>27576</v>
      </c>
      <c r="Y926" s="1">
        <v>42186</v>
      </c>
      <c r="Z926" t="s">
        <v>51</v>
      </c>
      <c r="AB926" t="s">
        <v>54</v>
      </c>
      <c r="AC926">
        <v>1</v>
      </c>
      <c r="AE926" t="s">
        <v>222</v>
      </c>
      <c r="AF926">
        <v>20</v>
      </c>
      <c r="AG926" s="1">
        <v>36342</v>
      </c>
      <c r="AH926" s="1">
        <v>36342</v>
      </c>
      <c r="AI926" s="1">
        <v>36342</v>
      </c>
      <c r="AJ926" s="1">
        <v>43647</v>
      </c>
      <c r="AK926" t="s">
        <v>51</v>
      </c>
      <c r="AN926">
        <v>0</v>
      </c>
      <c r="AO926" t="s">
        <v>54</v>
      </c>
      <c r="AP926" t="s">
        <v>53</v>
      </c>
      <c r="AQ926">
        <v>0</v>
      </c>
      <c r="AR926" t="s">
        <v>53</v>
      </c>
      <c r="AS926">
        <v>0</v>
      </c>
      <c r="AT926">
        <v>0</v>
      </c>
      <c r="CC926" t="s">
        <v>432</v>
      </c>
      <c r="CD926">
        <v>85000</v>
      </c>
      <c r="CE926" s="1">
        <v>42552</v>
      </c>
      <c r="CF926" s="1">
        <v>42552</v>
      </c>
      <c r="CG926" s="1">
        <v>42552</v>
      </c>
      <c r="CH926" s="1">
        <v>50139</v>
      </c>
      <c r="CI926" t="s">
        <v>51</v>
      </c>
      <c r="CK926" t="s">
        <v>78</v>
      </c>
      <c r="CM926" t="s">
        <v>54</v>
      </c>
      <c r="CN926" t="s">
        <v>174</v>
      </c>
      <c r="CO926" t="s">
        <v>86</v>
      </c>
      <c r="CR926">
        <v>24</v>
      </c>
      <c r="CS926">
        <v>0</v>
      </c>
      <c r="CT926">
        <v>0</v>
      </c>
      <c r="CU926">
        <v>0</v>
      </c>
    </row>
    <row r="927" spans="1:99" x14ac:dyDescent="0.2">
      <c r="A927" t="s">
        <v>180</v>
      </c>
      <c r="B927" t="s">
        <v>181</v>
      </c>
      <c r="C927" t="s">
        <v>184</v>
      </c>
      <c r="D927" t="s">
        <v>605</v>
      </c>
      <c r="F927" t="str">
        <f>"250581"</f>
        <v>250581</v>
      </c>
      <c r="G927" t="s">
        <v>49</v>
      </c>
      <c r="H927" t="s">
        <v>632</v>
      </c>
      <c r="K927" t="s">
        <v>51</v>
      </c>
      <c r="L927" t="s">
        <v>52</v>
      </c>
      <c r="M927">
        <v>136561.26999999999</v>
      </c>
      <c r="N927">
        <v>472821.34</v>
      </c>
      <c r="O927" t="s">
        <v>53</v>
      </c>
      <c r="P927" t="s">
        <v>54</v>
      </c>
      <c r="Q927" t="s">
        <v>55</v>
      </c>
      <c r="T927" t="s">
        <v>588</v>
      </c>
      <c r="U927">
        <v>40</v>
      </c>
      <c r="V927" s="1">
        <v>27576</v>
      </c>
      <c r="W927" s="1">
        <v>27576</v>
      </c>
      <c r="X927" s="1">
        <v>27576</v>
      </c>
      <c r="Y927" s="1">
        <v>42186</v>
      </c>
      <c r="Z927" t="s">
        <v>51</v>
      </c>
      <c r="AB927" t="s">
        <v>54</v>
      </c>
      <c r="AC927">
        <v>1</v>
      </c>
      <c r="AE927" t="s">
        <v>222</v>
      </c>
      <c r="AF927">
        <v>20</v>
      </c>
      <c r="AG927" s="1">
        <v>36342</v>
      </c>
      <c r="AH927" s="1">
        <v>36342</v>
      </c>
      <c r="AI927" s="1">
        <v>36342</v>
      </c>
      <c r="AJ927" s="1">
        <v>43647</v>
      </c>
      <c r="AK927" t="s">
        <v>51</v>
      </c>
      <c r="AN927">
        <v>0</v>
      </c>
      <c r="AO927" t="s">
        <v>54</v>
      </c>
      <c r="AP927" t="s">
        <v>53</v>
      </c>
      <c r="AQ927">
        <v>0</v>
      </c>
      <c r="AR927" t="s">
        <v>53</v>
      </c>
      <c r="AS927">
        <v>0</v>
      </c>
      <c r="AT927">
        <v>0</v>
      </c>
      <c r="CC927" t="s">
        <v>432</v>
      </c>
      <c r="CD927">
        <v>85000</v>
      </c>
      <c r="CE927" s="1">
        <v>42552</v>
      </c>
      <c r="CF927" s="1">
        <v>42552</v>
      </c>
      <c r="CG927" s="1">
        <v>42552</v>
      </c>
      <c r="CH927" s="1">
        <v>49714</v>
      </c>
      <c r="CI927" t="s">
        <v>51</v>
      </c>
      <c r="CK927" t="s">
        <v>78</v>
      </c>
      <c r="CM927" t="s">
        <v>54</v>
      </c>
      <c r="CN927" t="s">
        <v>174</v>
      </c>
      <c r="CO927" t="s">
        <v>86</v>
      </c>
      <c r="CR927">
        <v>24</v>
      </c>
      <c r="CS927">
        <v>0</v>
      </c>
      <c r="CT927">
        <v>0</v>
      </c>
      <c r="CU927">
        <v>0</v>
      </c>
    </row>
    <row r="928" spans="1:99" x14ac:dyDescent="0.2">
      <c r="A928" t="s">
        <v>180</v>
      </c>
      <c r="B928" t="s">
        <v>181</v>
      </c>
      <c r="C928" t="s">
        <v>184</v>
      </c>
      <c r="D928" t="s">
        <v>605</v>
      </c>
      <c r="F928" t="str">
        <f>"250582"</f>
        <v>250582</v>
      </c>
      <c r="G928" t="s">
        <v>49</v>
      </c>
      <c r="H928" t="s">
        <v>472</v>
      </c>
      <c r="K928" t="s">
        <v>51</v>
      </c>
      <c r="L928" t="s">
        <v>52</v>
      </c>
      <c r="M928">
        <v>136532.97</v>
      </c>
      <c r="N928">
        <v>472806.16</v>
      </c>
      <c r="O928" t="s">
        <v>53</v>
      </c>
      <c r="P928" t="s">
        <v>54</v>
      </c>
      <c r="Q928" t="s">
        <v>55</v>
      </c>
      <c r="T928" t="s">
        <v>588</v>
      </c>
      <c r="U928">
        <v>40</v>
      </c>
      <c r="V928" s="1">
        <v>27576</v>
      </c>
      <c r="W928" s="1">
        <v>27576</v>
      </c>
      <c r="X928" s="1">
        <v>27576</v>
      </c>
      <c r="Y928" s="1">
        <v>42186</v>
      </c>
      <c r="Z928" t="s">
        <v>51</v>
      </c>
      <c r="AB928" t="s">
        <v>54</v>
      </c>
      <c r="AC928">
        <v>1</v>
      </c>
      <c r="AE928" t="s">
        <v>222</v>
      </c>
      <c r="AF928">
        <v>20</v>
      </c>
      <c r="AG928" s="1">
        <v>36342</v>
      </c>
      <c r="AH928" s="1">
        <v>36342</v>
      </c>
      <c r="AI928" s="1">
        <v>36342</v>
      </c>
      <c r="AJ928" s="1">
        <v>43647</v>
      </c>
      <c r="AK928" t="s">
        <v>51</v>
      </c>
      <c r="AN928">
        <v>0</v>
      </c>
      <c r="AO928" t="s">
        <v>54</v>
      </c>
      <c r="AP928" t="s">
        <v>53</v>
      </c>
      <c r="AQ928">
        <v>0</v>
      </c>
      <c r="AR928" t="s">
        <v>53</v>
      </c>
      <c r="AS928">
        <v>0</v>
      </c>
      <c r="AT928">
        <v>0</v>
      </c>
      <c r="CC928" t="s">
        <v>432</v>
      </c>
      <c r="CD928">
        <v>85000</v>
      </c>
      <c r="CE928" s="1">
        <v>42552</v>
      </c>
      <c r="CF928" s="1">
        <v>42552</v>
      </c>
      <c r="CG928" s="1">
        <v>42552</v>
      </c>
      <c r="CH928" s="1">
        <v>49714</v>
      </c>
      <c r="CI928" t="s">
        <v>51</v>
      </c>
      <c r="CK928" t="s">
        <v>78</v>
      </c>
      <c r="CM928" t="s">
        <v>54</v>
      </c>
      <c r="CN928" t="s">
        <v>174</v>
      </c>
      <c r="CO928" t="s">
        <v>86</v>
      </c>
      <c r="CR928">
        <v>24</v>
      </c>
      <c r="CS928">
        <v>0</v>
      </c>
      <c r="CT928">
        <v>0</v>
      </c>
      <c r="CU928">
        <v>0</v>
      </c>
    </row>
    <row r="929" spans="1:99" x14ac:dyDescent="0.2">
      <c r="A929" t="s">
        <v>180</v>
      </c>
      <c r="B929" t="s">
        <v>181</v>
      </c>
      <c r="C929" t="s">
        <v>184</v>
      </c>
      <c r="D929" t="s">
        <v>605</v>
      </c>
      <c r="F929" t="str">
        <f>"250583"</f>
        <v>250583</v>
      </c>
      <c r="G929" t="s">
        <v>49</v>
      </c>
      <c r="H929" t="s">
        <v>221</v>
      </c>
      <c r="K929" t="s">
        <v>51</v>
      </c>
      <c r="L929" t="s">
        <v>52</v>
      </c>
      <c r="M929">
        <v>136550.89000000001</v>
      </c>
      <c r="N929">
        <v>472787.97</v>
      </c>
      <c r="O929" t="s">
        <v>53</v>
      </c>
      <c r="P929" t="s">
        <v>54</v>
      </c>
      <c r="Q929" t="s">
        <v>55</v>
      </c>
      <c r="T929" t="s">
        <v>588</v>
      </c>
      <c r="U929">
        <v>40</v>
      </c>
      <c r="V929" s="1">
        <v>27576</v>
      </c>
      <c r="W929" s="1">
        <v>27576</v>
      </c>
      <c r="X929" s="1">
        <v>27576</v>
      </c>
      <c r="Y929" s="1">
        <v>42186</v>
      </c>
      <c r="Z929" t="s">
        <v>51</v>
      </c>
      <c r="AB929" t="s">
        <v>54</v>
      </c>
      <c r="AC929">
        <v>1</v>
      </c>
      <c r="AE929" t="s">
        <v>222</v>
      </c>
      <c r="AF929">
        <v>20</v>
      </c>
      <c r="AG929" s="1">
        <v>36342</v>
      </c>
      <c r="AH929" s="1">
        <v>36342</v>
      </c>
      <c r="AI929" s="1">
        <v>36342</v>
      </c>
      <c r="AJ929" s="1">
        <v>43647</v>
      </c>
      <c r="AK929" t="s">
        <v>51</v>
      </c>
      <c r="AN929">
        <v>0</v>
      </c>
      <c r="AO929" t="s">
        <v>54</v>
      </c>
      <c r="AP929" t="s">
        <v>53</v>
      </c>
      <c r="AQ929">
        <v>0</v>
      </c>
      <c r="AR929" t="s">
        <v>53</v>
      </c>
      <c r="AS929">
        <v>0</v>
      </c>
      <c r="AT929">
        <v>0</v>
      </c>
      <c r="CC929" t="s">
        <v>432</v>
      </c>
      <c r="CD929">
        <v>85000</v>
      </c>
      <c r="CE929" s="1">
        <v>42552</v>
      </c>
      <c r="CF929" s="1">
        <v>42552</v>
      </c>
      <c r="CG929" s="1">
        <v>42552</v>
      </c>
      <c r="CH929" s="1">
        <v>49714</v>
      </c>
      <c r="CI929" t="s">
        <v>51</v>
      </c>
      <c r="CK929" t="s">
        <v>78</v>
      </c>
      <c r="CM929" t="s">
        <v>54</v>
      </c>
      <c r="CN929" t="s">
        <v>174</v>
      </c>
      <c r="CO929" t="s">
        <v>86</v>
      </c>
      <c r="CR929">
        <v>24</v>
      </c>
      <c r="CS929">
        <v>0</v>
      </c>
      <c r="CT929">
        <v>0</v>
      </c>
      <c r="CU929">
        <v>0</v>
      </c>
    </row>
    <row r="930" spans="1:99" x14ac:dyDescent="0.2">
      <c r="A930" t="s">
        <v>180</v>
      </c>
      <c r="B930" t="s">
        <v>181</v>
      </c>
      <c r="C930" t="s">
        <v>184</v>
      </c>
      <c r="D930" t="s">
        <v>605</v>
      </c>
      <c r="F930" t="str">
        <f>"250584"</f>
        <v>250584</v>
      </c>
      <c r="G930" t="s">
        <v>49</v>
      </c>
      <c r="H930" t="s">
        <v>332</v>
      </c>
      <c r="K930" t="s">
        <v>51</v>
      </c>
      <c r="L930" t="s">
        <v>52</v>
      </c>
      <c r="M930">
        <v>136535.96</v>
      </c>
      <c r="N930">
        <v>472832.71</v>
      </c>
      <c r="O930" t="s">
        <v>53</v>
      </c>
      <c r="P930" t="s">
        <v>54</v>
      </c>
      <c r="Q930" t="s">
        <v>55</v>
      </c>
      <c r="T930" t="s">
        <v>588</v>
      </c>
      <c r="U930">
        <v>40</v>
      </c>
      <c r="V930" s="1">
        <v>27576</v>
      </c>
      <c r="W930" s="1">
        <v>27576</v>
      </c>
      <c r="X930" s="1">
        <v>27576</v>
      </c>
      <c r="Y930" s="1">
        <v>42186</v>
      </c>
      <c r="Z930" t="s">
        <v>51</v>
      </c>
      <c r="AB930" t="s">
        <v>54</v>
      </c>
      <c r="AC930">
        <v>1</v>
      </c>
      <c r="AE930" t="s">
        <v>222</v>
      </c>
      <c r="AF930">
        <v>20</v>
      </c>
      <c r="AG930" s="1">
        <v>36342</v>
      </c>
      <c r="AH930" s="1">
        <v>36342</v>
      </c>
      <c r="AI930" s="1">
        <v>36342</v>
      </c>
      <c r="AJ930" s="1">
        <v>43647</v>
      </c>
      <c r="AK930" t="s">
        <v>51</v>
      </c>
      <c r="AN930">
        <v>0</v>
      </c>
      <c r="AO930" t="s">
        <v>54</v>
      </c>
      <c r="AP930" t="s">
        <v>53</v>
      </c>
      <c r="AQ930">
        <v>0</v>
      </c>
      <c r="AR930" t="s">
        <v>53</v>
      </c>
      <c r="AS930">
        <v>0</v>
      </c>
      <c r="AT930">
        <v>0</v>
      </c>
      <c r="CC930" t="s">
        <v>432</v>
      </c>
      <c r="CD930">
        <v>85000</v>
      </c>
      <c r="CE930" s="1">
        <v>42552</v>
      </c>
      <c r="CF930" s="1">
        <v>42552</v>
      </c>
      <c r="CG930" s="1">
        <v>42552</v>
      </c>
      <c r="CH930" s="1">
        <v>49714</v>
      </c>
      <c r="CI930" t="s">
        <v>51</v>
      </c>
      <c r="CK930" t="s">
        <v>78</v>
      </c>
      <c r="CM930" t="s">
        <v>54</v>
      </c>
      <c r="CN930" t="s">
        <v>174</v>
      </c>
      <c r="CO930" t="s">
        <v>86</v>
      </c>
      <c r="CR930">
        <v>24</v>
      </c>
      <c r="CS930">
        <v>0</v>
      </c>
      <c r="CT930">
        <v>0</v>
      </c>
      <c r="CU930">
        <v>0</v>
      </c>
    </row>
    <row r="931" spans="1:99" x14ac:dyDescent="0.2">
      <c r="A931" t="s">
        <v>180</v>
      </c>
      <c r="B931" t="s">
        <v>181</v>
      </c>
      <c r="C931" t="s">
        <v>184</v>
      </c>
      <c r="D931" t="s">
        <v>605</v>
      </c>
      <c r="F931" t="str">
        <f>"250585"</f>
        <v>250585</v>
      </c>
      <c r="G931" t="s">
        <v>49</v>
      </c>
      <c r="H931" t="s">
        <v>597</v>
      </c>
      <c r="K931" t="s">
        <v>51</v>
      </c>
      <c r="L931" t="s">
        <v>52</v>
      </c>
      <c r="M931">
        <v>136509.09</v>
      </c>
      <c r="N931">
        <v>472844.46</v>
      </c>
      <c r="O931" t="s">
        <v>53</v>
      </c>
      <c r="P931" t="s">
        <v>54</v>
      </c>
      <c r="Q931" t="s">
        <v>55</v>
      </c>
      <c r="T931" t="s">
        <v>588</v>
      </c>
      <c r="U931">
        <v>40</v>
      </c>
      <c r="V931" s="1">
        <v>27576</v>
      </c>
      <c r="W931" s="1">
        <v>27576</v>
      </c>
      <c r="X931" s="1">
        <v>27576</v>
      </c>
      <c r="Y931" s="1">
        <v>42186</v>
      </c>
      <c r="Z931" t="s">
        <v>51</v>
      </c>
      <c r="AB931" t="s">
        <v>54</v>
      </c>
      <c r="AC931">
        <v>1</v>
      </c>
      <c r="AE931" t="s">
        <v>222</v>
      </c>
      <c r="AF931">
        <v>20</v>
      </c>
      <c r="AG931" s="1">
        <v>36342</v>
      </c>
      <c r="AH931" s="1">
        <v>36342</v>
      </c>
      <c r="AI931" s="1">
        <v>36342</v>
      </c>
      <c r="AJ931" s="1">
        <v>43647</v>
      </c>
      <c r="AK931" t="s">
        <v>51</v>
      </c>
      <c r="AN931">
        <v>0</v>
      </c>
      <c r="AO931" t="s">
        <v>54</v>
      </c>
      <c r="AP931" t="s">
        <v>53</v>
      </c>
      <c r="AQ931">
        <v>0</v>
      </c>
      <c r="AR931" t="s">
        <v>53</v>
      </c>
      <c r="AS931">
        <v>0</v>
      </c>
      <c r="AT931">
        <v>0</v>
      </c>
      <c r="CC931" t="s">
        <v>432</v>
      </c>
      <c r="CD931">
        <v>85000</v>
      </c>
      <c r="CE931" s="1">
        <v>42552</v>
      </c>
      <c r="CF931" s="1">
        <v>42552</v>
      </c>
      <c r="CG931" s="1">
        <v>42552</v>
      </c>
      <c r="CH931" s="1">
        <v>49714</v>
      </c>
      <c r="CI931" t="s">
        <v>51</v>
      </c>
      <c r="CK931" t="s">
        <v>78</v>
      </c>
      <c r="CM931" t="s">
        <v>54</v>
      </c>
      <c r="CN931" t="s">
        <v>174</v>
      </c>
      <c r="CO931" t="s">
        <v>86</v>
      </c>
      <c r="CR931">
        <v>24</v>
      </c>
      <c r="CS931">
        <v>0</v>
      </c>
      <c r="CT931">
        <v>0</v>
      </c>
      <c r="CU931">
        <v>0</v>
      </c>
    </row>
    <row r="932" spans="1:99" x14ac:dyDescent="0.2">
      <c r="A932" t="s">
        <v>180</v>
      </c>
      <c r="B932" t="s">
        <v>181</v>
      </c>
      <c r="C932" t="s">
        <v>184</v>
      </c>
      <c r="D932" t="s">
        <v>605</v>
      </c>
      <c r="F932" t="str">
        <f>"250586"</f>
        <v>250586</v>
      </c>
      <c r="G932" t="s">
        <v>49</v>
      </c>
      <c r="H932" t="s">
        <v>80</v>
      </c>
      <c r="K932" t="s">
        <v>51</v>
      </c>
      <c r="L932" t="s">
        <v>52</v>
      </c>
      <c r="M932">
        <v>136481.64000000001</v>
      </c>
      <c r="N932">
        <v>472856.59</v>
      </c>
      <c r="O932" t="s">
        <v>53</v>
      </c>
      <c r="P932" t="s">
        <v>54</v>
      </c>
      <c r="Q932" t="s">
        <v>55</v>
      </c>
      <c r="T932" t="s">
        <v>588</v>
      </c>
      <c r="U932">
        <v>40</v>
      </c>
      <c r="V932" s="1">
        <v>27576</v>
      </c>
      <c r="W932" s="1">
        <v>27576</v>
      </c>
      <c r="X932" s="1">
        <v>27576</v>
      </c>
      <c r="Y932" s="1">
        <v>42186</v>
      </c>
      <c r="Z932" t="s">
        <v>51</v>
      </c>
      <c r="AB932" t="s">
        <v>54</v>
      </c>
      <c r="AC932">
        <v>1</v>
      </c>
      <c r="AE932" t="s">
        <v>222</v>
      </c>
      <c r="AF932">
        <v>20</v>
      </c>
      <c r="AG932" s="1">
        <v>36342</v>
      </c>
      <c r="AH932" s="1">
        <v>36342</v>
      </c>
      <c r="AI932" s="1">
        <v>36342</v>
      </c>
      <c r="AJ932" s="1">
        <v>43647</v>
      </c>
      <c r="AK932" t="s">
        <v>51</v>
      </c>
      <c r="AN932">
        <v>0</v>
      </c>
      <c r="AO932" t="s">
        <v>54</v>
      </c>
      <c r="AP932" t="s">
        <v>53</v>
      </c>
      <c r="AQ932">
        <v>0</v>
      </c>
      <c r="AR932" t="s">
        <v>53</v>
      </c>
      <c r="AS932">
        <v>0</v>
      </c>
      <c r="AT932">
        <v>0</v>
      </c>
      <c r="CC932" t="s">
        <v>432</v>
      </c>
      <c r="CD932">
        <v>85000</v>
      </c>
      <c r="CE932" s="1">
        <v>42552</v>
      </c>
      <c r="CF932" s="1">
        <v>42552</v>
      </c>
      <c r="CG932" s="1">
        <v>42552</v>
      </c>
      <c r="CH932" s="1">
        <v>49714</v>
      </c>
      <c r="CI932" t="s">
        <v>51</v>
      </c>
      <c r="CK932" t="s">
        <v>78</v>
      </c>
      <c r="CM932" t="s">
        <v>54</v>
      </c>
      <c r="CN932" t="s">
        <v>174</v>
      </c>
      <c r="CO932" t="s">
        <v>86</v>
      </c>
      <c r="CR932">
        <v>24</v>
      </c>
      <c r="CS932">
        <v>0</v>
      </c>
      <c r="CT932">
        <v>0</v>
      </c>
      <c r="CU932">
        <v>0</v>
      </c>
    </row>
    <row r="933" spans="1:99" x14ac:dyDescent="0.2">
      <c r="A933" t="s">
        <v>180</v>
      </c>
      <c r="B933" t="s">
        <v>181</v>
      </c>
      <c r="C933" t="s">
        <v>184</v>
      </c>
      <c r="D933" t="s">
        <v>605</v>
      </c>
      <c r="F933" t="str">
        <f>"250587"</f>
        <v>250587</v>
      </c>
      <c r="G933" t="s">
        <v>49</v>
      </c>
      <c r="K933" t="s">
        <v>51</v>
      </c>
      <c r="L933" t="s">
        <v>52</v>
      </c>
      <c r="M933">
        <v>136446.97</v>
      </c>
      <c r="N933">
        <v>472836.28</v>
      </c>
      <c r="O933" t="s">
        <v>53</v>
      </c>
      <c r="P933" t="s">
        <v>54</v>
      </c>
      <c r="Q933" t="s">
        <v>55</v>
      </c>
      <c r="T933" t="s">
        <v>239</v>
      </c>
      <c r="U933">
        <v>40</v>
      </c>
      <c r="V933" s="1">
        <v>27942</v>
      </c>
      <c r="W933" s="1">
        <v>27942</v>
      </c>
      <c r="X933" s="1">
        <v>27942</v>
      </c>
      <c r="Y933" s="1">
        <v>42552</v>
      </c>
      <c r="Z933" t="s">
        <v>51</v>
      </c>
      <c r="AB933" t="s">
        <v>54</v>
      </c>
      <c r="AC933">
        <v>1</v>
      </c>
      <c r="AE933" t="s">
        <v>222</v>
      </c>
      <c r="AF933">
        <v>20</v>
      </c>
      <c r="AG933" s="1">
        <v>36342</v>
      </c>
      <c r="AH933" s="1">
        <v>36342</v>
      </c>
      <c r="AI933" s="1">
        <v>36342</v>
      </c>
      <c r="AJ933" s="1">
        <v>43647</v>
      </c>
      <c r="AK933" t="s">
        <v>51</v>
      </c>
      <c r="AN933">
        <v>0</v>
      </c>
      <c r="AO933" t="s">
        <v>54</v>
      </c>
      <c r="AP933" t="s">
        <v>53</v>
      </c>
      <c r="AQ933">
        <v>0</v>
      </c>
      <c r="AR933" t="s">
        <v>53</v>
      </c>
      <c r="AS933">
        <v>0</v>
      </c>
      <c r="AT933">
        <v>0</v>
      </c>
      <c r="CC933" t="s">
        <v>432</v>
      </c>
      <c r="CD933">
        <v>85000</v>
      </c>
      <c r="CE933" s="1">
        <v>42552</v>
      </c>
      <c r="CF933" s="1">
        <v>42552</v>
      </c>
      <c r="CG933" s="1">
        <v>42552</v>
      </c>
      <c r="CH933" s="1">
        <v>49714</v>
      </c>
      <c r="CI933" t="s">
        <v>51</v>
      </c>
      <c r="CK933" t="s">
        <v>78</v>
      </c>
      <c r="CM933" t="s">
        <v>54</v>
      </c>
      <c r="CN933" t="s">
        <v>174</v>
      </c>
      <c r="CO933" t="s">
        <v>86</v>
      </c>
      <c r="CR933">
        <v>24</v>
      </c>
      <c r="CS933">
        <v>0</v>
      </c>
      <c r="CT933">
        <v>0</v>
      </c>
      <c r="CU933">
        <v>0</v>
      </c>
    </row>
    <row r="934" spans="1:99" x14ac:dyDescent="0.2">
      <c r="A934" t="s">
        <v>180</v>
      </c>
      <c r="B934" t="s">
        <v>181</v>
      </c>
      <c r="C934" t="s">
        <v>184</v>
      </c>
      <c r="D934" t="s">
        <v>605</v>
      </c>
      <c r="F934" t="str">
        <f>"250588"</f>
        <v>250588</v>
      </c>
      <c r="G934" t="s">
        <v>49</v>
      </c>
      <c r="H934" t="s">
        <v>633</v>
      </c>
      <c r="K934" t="s">
        <v>51</v>
      </c>
      <c r="L934" t="s">
        <v>52</v>
      </c>
      <c r="M934">
        <v>136489.51999999999</v>
      </c>
      <c r="N934">
        <v>472816.84</v>
      </c>
      <c r="O934" t="s">
        <v>53</v>
      </c>
      <c r="P934" t="s">
        <v>54</v>
      </c>
      <c r="Q934" t="s">
        <v>55</v>
      </c>
      <c r="T934" t="s">
        <v>239</v>
      </c>
      <c r="U934">
        <v>40</v>
      </c>
      <c r="V934" s="1">
        <v>36342</v>
      </c>
      <c r="W934" s="1">
        <v>36342</v>
      </c>
      <c r="X934" s="1">
        <v>36342</v>
      </c>
      <c r="Y934" s="1">
        <v>50952</v>
      </c>
      <c r="Z934" t="s">
        <v>51</v>
      </c>
      <c r="AB934" t="s">
        <v>54</v>
      </c>
      <c r="AC934">
        <v>1</v>
      </c>
      <c r="AE934" t="s">
        <v>222</v>
      </c>
      <c r="AF934">
        <v>20</v>
      </c>
      <c r="AG934" s="1">
        <v>36342</v>
      </c>
      <c r="AH934" s="1">
        <v>36342</v>
      </c>
      <c r="AI934" s="1">
        <v>36342</v>
      </c>
      <c r="AJ934" s="1">
        <v>43647</v>
      </c>
      <c r="AK934" t="s">
        <v>51</v>
      </c>
      <c r="AN934">
        <v>0</v>
      </c>
      <c r="AO934" t="s">
        <v>54</v>
      </c>
      <c r="AP934" t="s">
        <v>53</v>
      </c>
      <c r="AQ934">
        <v>0</v>
      </c>
      <c r="AR934" t="s">
        <v>53</v>
      </c>
      <c r="AS934">
        <v>0</v>
      </c>
      <c r="AT934">
        <v>0</v>
      </c>
      <c r="CC934" t="s">
        <v>432</v>
      </c>
      <c r="CD934">
        <v>85000</v>
      </c>
      <c r="CE934" s="1">
        <v>42552</v>
      </c>
      <c r="CF934" s="1">
        <v>42552</v>
      </c>
      <c r="CG934" s="1">
        <v>42552</v>
      </c>
      <c r="CH934" s="1">
        <v>49714</v>
      </c>
      <c r="CI934" t="s">
        <v>51</v>
      </c>
      <c r="CK934" t="s">
        <v>78</v>
      </c>
      <c r="CM934" t="s">
        <v>54</v>
      </c>
      <c r="CN934" t="s">
        <v>174</v>
      </c>
      <c r="CO934" t="s">
        <v>86</v>
      </c>
      <c r="CR934">
        <v>24</v>
      </c>
      <c r="CS934">
        <v>0</v>
      </c>
      <c r="CT934">
        <v>0</v>
      </c>
      <c r="CU934">
        <v>0</v>
      </c>
    </row>
    <row r="935" spans="1:99" x14ac:dyDescent="0.2">
      <c r="A935" t="s">
        <v>180</v>
      </c>
      <c r="B935" t="s">
        <v>181</v>
      </c>
      <c r="C935" t="s">
        <v>184</v>
      </c>
      <c r="D935" t="s">
        <v>605</v>
      </c>
      <c r="F935" t="str">
        <f>"250589"</f>
        <v>250589</v>
      </c>
      <c r="G935" t="s">
        <v>49</v>
      </c>
      <c r="K935" t="s">
        <v>51</v>
      </c>
      <c r="L935" t="s">
        <v>52</v>
      </c>
      <c r="M935">
        <v>136505.38</v>
      </c>
      <c r="N935">
        <v>472779.91</v>
      </c>
      <c r="O935" t="s">
        <v>53</v>
      </c>
      <c r="P935" t="s">
        <v>54</v>
      </c>
      <c r="Q935" t="s">
        <v>55</v>
      </c>
      <c r="T935" t="s">
        <v>588</v>
      </c>
      <c r="U935">
        <v>40</v>
      </c>
      <c r="V935" s="1">
        <v>27576</v>
      </c>
      <c r="W935" s="1">
        <v>27576</v>
      </c>
      <c r="X935" s="1">
        <v>27576</v>
      </c>
      <c r="Y935" s="1">
        <v>42186</v>
      </c>
      <c r="Z935" t="s">
        <v>51</v>
      </c>
      <c r="AB935" t="s">
        <v>54</v>
      </c>
      <c r="AC935">
        <v>1</v>
      </c>
      <c r="AE935" t="s">
        <v>222</v>
      </c>
      <c r="AF935">
        <v>20</v>
      </c>
      <c r="AG935" s="1">
        <v>36342</v>
      </c>
      <c r="AH935" s="1">
        <v>36342</v>
      </c>
      <c r="AI935" s="1">
        <v>36342</v>
      </c>
      <c r="AJ935" s="1">
        <v>43647</v>
      </c>
      <c r="AK935" t="s">
        <v>51</v>
      </c>
      <c r="AN935">
        <v>0</v>
      </c>
      <c r="AO935" t="s">
        <v>54</v>
      </c>
      <c r="AP935" t="s">
        <v>53</v>
      </c>
      <c r="AQ935">
        <v>0</v>
      </c>
      <c r="AR935" t="s">
        <v>53</v>
      </c>
      <c r="AS935">
        <v>0</v>
      </c>
      <c r="AT935">
        <v>0</v>
      </c>
      <c r="CC935" t="s">
        <v>432</v>
      </c>
      <c r="CD935">
        <v>85000</v>
      </c>
      <c r="CE935" s="1">
        <v>43500</v>
      </c>
      <c r="CF935" s="1">
        <v>43500</v>
      </c>
      <c r="CG935" s="1">
        <v>43500</v>
      </c>
      <c r="CH935" s="1">
        <v>50716</v>
      </c>
      <c r="CI935" t="s">
        <v>51</v>
      </c>
      <c r="CK935" t="s">
        <v>78</v>
      </c>
      <c r="CM935" t="s">
        <v>54</v>
      </c>
      <c r="CN935" t="s">
        <v>174</v>
      </c>
      <c r="CO935" t="s">
        <v>86</v>
      </c>
      <c r="CR935">
        <v>24</v>
      </c>
      <c r="CS935">
        <v>0</v>
      </c>
      <c r="CT935">
        <v>0</v>
      </c>
      <c r="CU935">
        <v>0</v>
      </c>
    </row>
    <row r="936" spans="1:99" x14ac:dyDescent="0.2">
      <c r="A936" t="s">
        <v>180</v>
      </c>
      <c r="B936" t="s">
        <v>181</v>
      </c>
      <c r="C936" t="s">
        <v>184</v>
      </c>
      <c r="D936" t="s">
        <v>634</v>
      </c>
      <c r="F936" t="str">
        <f>"250590"</f>
        <v>250590</v>
      </c>
      <c r="G936" t="s">
        <v>49</v>
      </c>
      <c r="K936" t="s">
        <v>51</v>
      </c>
      <c r="L936" t="s">
        <v>52</v>
      </c>
      <c r="M936">
        <v>136512.89000000001</v>
      </c>
      <c r="N936">
        <v>472719.71</v>
      </c>
      <c r="O936" t="s">
        <v>53</v>
      </c>
      <c r="P936" t="s">
        <v>54</v>
      </c>
      <c r="Q936" t="s">
        <v>55</v>
      </c>
      <c r="T936" t="s">
        <v>241</v>
      </c>
      <c r="U936">
        <v>40</v>
      </c>
      <c r="V936" s="1">
        <v>35247</v>
      </c>
      <c r="W936" s="1">
        <v>35247</v>
      </c>
      <c r="X936" s="1">
        <v>35247</v>
      </c>
      <c r="Y936" s="1">
        <v>49857</v>
      </c>
      <c r="Z936" t="s">
        <v>51</v>
      </c>
      <c r="AB936" t="s">
        <v>54</v>
      </c>
      <c r="AC936">
        <v>1</v>
      </c>
      <c r="AE936" t="s">
        <v>222</v>
      </c>
      <c r="AF936">
        <v>20</v>
      </c>
      <c r="AG936" s="1">
        <v>35247</v>
      </c>
      <c r="AH936" s="1">
        <v>35247</v>
      </c>
      <c r="AI936" s="1">
        <v>35247</v>
      </c>
      <c r="AJ936" s="1">
        <v>42552</v>
      </c>
      <c r="AK936" t="s">
        <v>51</v>
      </c>
      <c r="AN936">
        <v>0</v>
      </c>
      <c r="AO936" t="s">
        <v>54</v>
      </c>
      <c r="AP936" t="s">
        <v>53</v>
      </c>
      <c r="AQ936">
        <v>0</v>
      </c>
      <c r="AR936" t="s">
        <v>53</v>
      </c>
      <c r="AS936">
        <v>0</v>
      </c>
      <c r="AT936">
        <v>0</v>
      </c>
      <c r="AW936" t="s">
        <v>58</v>
      </c>
      <c r="AX936">
        <v>20</v>
      </c>
      <c r="AY936" s="1">
        <v>43885</v>
      </c>
      <c r="AZ936" s="1">
        <v>43885</v>
      </c>
      <c r="BA936" s="1">
        <v>43885</v>
      </c>
      <c r="BB936" s="1">
        <v>51190</v>
      </c>
      <c r="BC936" t="s">
        <v>51</v>
      </c>
      <c r="BE936" t="s">
        <v>54</v>
      </c>
      <c r="BF936">
        <v>2</v>
      </c>
      <c r="BG936">
        <v>0</v>
      </c>
      <c r="BH936" t="s">
        <v>53</v>
      </c>
      <c r="BK936" t="s">
        <v>65</v>
      </c>
      <c r="BL936">
        <v>14000</v>
      </c>
      <c r="BM936" s="1">
        <v>43885</v>
      </c>
      <c r="BN936" s="1">
        <v>43885</v>
      </c>
      <c r="BO936" s="1">
        <v>43885</v>
      </c>
      <c r="BP936" s="1">
        <v>45084</v>
      </c>
      <c r="BQ936" t="s">
        <v>51</v>
      </c>
      <c r="BS936" t="s">
        <v>60</v>
      </c>
      <c r="BT936" t="s">
        <v>54</v>
      </c>
      <c r="BU936" t="s">
        <v>61</v>
      </c>
      <c r="BV936" t="s">
        <v>62</v>
      </c>
      <c r="BX936">
        <v>36</v>
      </c>
      <c r="BY936">
        <v>0</v>
      </c>
      <c r="BZ936">
        <v>0</v>
      </c>
    </row>
    <row r="937" spans="1:99" x14ac:dyDescent="0.2">
      <c r="A937" t="s">
        <v>180</v>
      </c>
      <c r="B937" t="s">
        <v>181</v>
      </c>
      <c r="C937" t="s">
        <v>184</v>
      </c>
      <c r="D937" t="s">
        <v>634</v>
      </c>
      <c r="F937" t="str">
        <f>"250593"</f>
        <v>250593</v>
      </c>
      <c r="G937" t="s">
        <v>49</v>
      </c>
      <c r="K937" t="s">
        <v>51</v>
      </c>
      <c r="L937" t="s">
        <v>52</v>
      </c>
      <c r="M937">
        <v>136482.46599999999</v>
      </c>
      <c r="N937">
        <v>472639.995</v>
      </c>
      <c r="O937" t="s">
        <v>53</v>
      </c>
      <c r="P937" t="s">
        <v>54</v>
      </c>
      <c r="Q937" t="s">
        <v>55</v>
      </c>
      <c r="T937" t="s">
        <v>241</v>
      </c>
      <c r="U937">
        <v>40</v>
      </c>
      <c r="V937" s="1">
        <v>35247</v>
      </c>
      <c r="W937" s="1">
        <v>35247</v>
      </c>
      <c r="X937" s="1">
        <v>35247</v>
      </c>
      <c r="Y937" s="1">
        <v>49857</v>
      </c>
      <c r="Z937" t="s">
        <v>51</v>
      </c>
      <c r="AB937" t="s">
        <v>54</v>
      </c>
      <c r="AC937">
        <v>1</v>
      </c>
      <c r="AE937" t="s">
        <v>222</v>
      </c>
      <c r="AF937">
        <v>20</v>
      </c>
      <c r="AG937" s="1">
        <v>35247</v>
      </c>
      <c r="AH937" s="1">
        <v>35247</v>
      </c>
      <c r="AI937" s="1">
        <v>35247</v>
      </c>
      <c r="AJ937" s="1">
        <v>42552</v>
      </c>
      <c r="AK937" t="s">
        <v>51</v>
      </c>
      <c r="AN937">
        <v>0</v>
      </c>
      <c r="AO937" t="s">
        <v>54</v>
      </c>
      <c r="AP937" t="s">
        <v>53</v>
      </c>
      <c r="AQ937">
        <v>0</v>
      </c>
      <c r="AR937" t="s">
        <v>53</v>
      </c>
      <c r="AS937">
        <v>0</v>
      </c>
      <c r="AT937">
        <v>0</v>
      </c>
      <c r="AW937" t="s">
        <v>58</v>
      </c>
      <c r="AX937">
        <v>20</v>
      </c>
      <c r="AY937" s="1">
        <v>35247</v>
      </c>
      <c r="AZ937" s="1">
        <v>35247</v>
      </c>
      <c r="BA937" s="1">
        <v>35247</v>
      </c>
      <c r="BB937" s="1">
        <v>42552</v>
      </c>
      <c r="BC937" t="s">
        <v>51</v>
      </c>
      <c r="BE937" t="s">
        <v>54</v>
      </c>
      <c r="BF937">
        <v>2</v>
      </c>
      <c r="BG937">
        <v>0</v>
      </c>
      <c r="BH937" t="s">
        <v>53</v>
      </c>
      <c r="BK937" t="s">
        <v>65</v>
      </c>
      <c r="BL937">
        <v>14000</v>
      </c>
      <c r="BM937" s="1">
        <v>44760</v>
      </c>
      <c r="BN937" s="1">
        <v>44760</v>
      </c>
      <c r="BO937" s="1">
        <v>44760</v>
      </c>
      <c r="BP937" s="1">
        <v>45952</v>
      </c>
      <c r="BQ937" t="s">
        <v>51</v>
      </c>
      <c r="BS937" t="s">
        <v>60</v>
      </c>
      <c r="BT937" t="s">
        <v>54</v>
      </c>
      <c r="BU937" t="s">
        <v>61</v>
      </c>
      <c r="BV937" t="s">
        <v>62</v>
      </c>
      <c r="BX937">
        <v>36</v>
      </c>
      <c r="BY937">
        <v>0</v>
      </c>
      <c r="BZ937">
        <v>0</v>
      </c>
    </row>
    <row r="938" spans="1:99" x14ac:dyDescent="0.2">
      <c r="A938" t="s">
        <v>180</v>
      </c>
      <c r="B938" t="s">
        <v>181</v>
      </c>
      <c r="C938" t="s">
        <v>184</v>
      </c>
      <c r="D938" t="s">
        <v>634</v>
      </c>
      <c r="F938" t="str">
        <f>"250594"</f>
        <v>250594</v>
      </c>
      <c r="G938" t="s">
        <v>49</v>
      </c>
      <c r="K938" t="s">
        <v>51</v>
      </c>
      <c r="L938" t="s">
        <v>52</v>
      </c>
      <c r="M938">
        <v>136462.91899999999</v>
      </c>
      <c r="N938">
        <v>472614.72200000001</v>
      </c>
      <c r="O938" t="s">
        <v>53</v>
      </c>
      <c r="P938" t="s">
        <v>54</v>
      </c>
      <c r="Q938" t="s">
        <v>55</v>
      </c>
      <c r="T938" t="s">
        <v>241</v>
      </c>
      <c r="U938">
        <v>40</v>
      </c>
      <c r="V938" s="1">
        <v>35247</v>
      </c>
      <c r="W938" s="1">
        <v>35247</v>
      </c>
      <c r="X938" s="1">
        <v>35247</v>
      </c>
      <c r="Y938" s="1">
        <v>49857</v>
      </c>
      <c r="Z938" t="s">
        <v>51</v>
      </c>
      <c r="AB938" t="s">
        <v>54</v>
      </c>
      <c r="AC938">
        <v>1</v>
      </c>
      <c r="AE938" t="s">
        <v>222</v>
      </c>
      <c r="AF938">
        <v>20</v>
      </c>
      <c r="AG938" s="1">
        <v>35247</v>
      </c>
      <c r="AH938" s="1">
        <v>35247</v>
      </c>
      <c r="AI938" s="1">
        <v>35247</v>
      </c>
      <c r="AJ938" s="1">
        <v>42552</v>
      </c>
      <c r="AK938" t="s">
        <v>51</v>
      </c>
      <c r="AN938">
        <v>0</v>
      </c>
      <c r="AO938" t="s">
        <v>54</v>
      </c>
      <c r="AP938" t="s">
        <v>53</v>
      </c>
      <c r="AQ938">
        <v>0</v>
      </c>
      <c r="AR938" t="s">
        <v>53</v>
      </c>
      <c r="AS938">
        <v>0</v>
      </c>
      <c r="AT938">
        <v>0</v>
      </c>
      <c r="AW938" t="s">
        <v>58</v>
      </c>
      <c r="AX938">
        <v>20</v>
      </c>
      <c r="AY938" s="1">
        <v>35247</v>
      </c>
      <c r="AZ938" s="1">
        <v>35247</v>
      </c>
      <c r="BA938" s="1">
        <v>35247</v>
      </c>
      <c r="BB938" s="1">
        <v>42552</v>
      </c>
      <c r="BC938" t="s">
        <v>51</v>
      </c>
      <c r="BE938" t="s">
        <v>54</v>
      </c>
      <c r="BF938">
        <v>2</v>
      </c>
      <c r="BG938">
        <v>0</v>
      </c>
      <c r="BH938" t="s">
        <v>53</v>
      </c>
      <c r="BK938" t="s">
        <v>65</v>
      </c>
      <c r="BL938">
        <v>14000</v>
      </c>
      <c r="BM938" s="1">
        <v>41091</v>
      </c>
      <c r="BN938" s="1">
        <v>41091</v>
      </c>
      <c r="BO938" s="1">
        <v>41091</v>
      </c>
      <c r="BP938" s="1">
        <v>42291</v>
      </c>
      <c r="BQ938" t="s">
        <v>51</v>
      </c>
      <c r="BS938" t="s">
        <v>60</v>
      </c>
      <c r="BT938" t="s">
        <v>54</v>
      </c>
      <c r="BU938" t="s">
        <v>61</v>
      </c>
      <c r="BV938" t="s">
        <v>62</v>
      </c>
      <c r="BX938">
        <v>36</v>
      </c>
      <c r="BY938">
        <v>0</v>
      </c>
      <c r="BZ938">
        <v>0</v>
      </c>
    </row>
    <row r="939" spans="1:99" x14ac:dyDescent="0.2">
      <c r="A939" t="s">
        <v>180</v>
      </c>
      <c r="B939" t="s">
        <v>181</v>
      </c>
      <c r="C939" t="s">
        <v>184</v>
      </c>
      <c r="D939" t="s">
        <v>634</v>
      </c>
      <c r="F939" t="str">
        <f>"250595"</f>
        <v>250595</v>
      </c>
      <c r="G939" t="s">
        <v>49</v>
      </c>
      <c r="K939" t="s">
        <v>51</v>
      </c>
      <c r="L939" t="s">
        <v>52</v>
      </c>
      <c r="M939">
        <v>136458.04399999999</v>
      </c>
      <c r="N939">
        <v>472587.73499999999</v>
      </c>
      <c r="O939" t="s">
        <v>53</v>
      </c>
      <c r="P939" t="s">
        <v>54</v>
      </c>
      <c r="Q939" t="s">
        <v>55</v>
      </c>
      <c r="T939" t="s">
        <v>241</v>
      </c>
      <c r="U939">
        <v>40</v>
      </c>
      <c r="V939" s="1">
        <v>35247</v>
      </c>
      <c r="W939" s="1">
        <v>35247</v>
      </c>
      <c r="X939" s="1">
        <v>35247</v>
      </c>
      <c r="Y939" s="1">
        <v>49857</v>
      </c>
      <c r="Z939" t="s">
        <v>51</v>
      </c>
      <c r="AB939" t="s">
        <v>54</v>
      </c>
      <c r="AC939">
        <v>1</v>
      </c>
      <c r="AE939" t="s">
        <v>222</v>
      </c>
      <c r="AF939">
        <v>20</v>
      </c>
      <c r="AG939" s="1">
        <v>35247</v>
      </c>
      <c r="AH939" s="1">
        <v>35247</v>
      </c>
      <c r="AI939" s="1">
        <v>35247</v>
      </c>
      <c r="AJ939" s="1">
        <v>42552</v>
      </c>
      <c r="AK939" t="s">
        <v>51</v>
      </c>
      <c r="AN939">
        <v>0</v>
      </c>
      <c r="AO939" t="s">
        <v>54</v>
      </c>
      <c r="AP939" t="s">
        <v>53</v>
      </c>
      <c r="AQ939">
        <v>0</v>
      </c>
      <c r="AR939" t="s">
        <v>53</v>
      </c>
      <c r="AS939">
        <v>0</v>
      </c>
      <c r="AT939">
        <v>0</v>
      </c>
      <c r="AW939" t="s">
        <v>58</v>
      </c>
      <c r="AX939">
        <v>20</v>
      </c>
      <c r="AY939" s="1">
        <v>35247</v>
      </c>
      <c r="AZ939" s="1">
        <v>35247</v>
      </c>
      <c r="BA939" s="1">
        <v>35247</v>
      </c>
      <c r="BB939" s="1">
        <v>42552</v>
      </c>
      <c r="BC939" t="s">
        <v>51</v>
      </c>
      <c r="BE939" t="s">
        <v>54</v>
      </c>
      <c r="BF939">
        <v>2</v>
      </c>
      <c r="BG939">
        <v>0</v>
      </c>
      <c r="BH939" t="s">
        <v>53</v>
      </c>
      <c r="BK939" t="s">
        <v>65</v>
      </c>
      <c r="BL939">
        <v>14000</v>
      </c>
      <c r="BM939" s="1">
        <v>41091</v>
      </c>
      <c r="BN939" s="1">
        <v>41091</v>
      </c>
      <c r="BO939" s="1">
        <v>41091</v>
      </c>
      <c r="BP939" s="1">
        <v>42291</v>
      </c>
      <c r="BQ939" t="s">
        <v>51</v>
      </c>
      <c r="BS939" t="s">
        <v>60</v>
      </c>
      <c r="BT939" t="s">
        <v>54</v>
      </c>
      <c r="BU939" t="s">
        <v>61</v>
      </c>
      <c r="BV939" t="s">
        <v>62</v>
      </c>
      <c r="BX939">
        <v>36</v>
      </c>
      <c r="BY939">
        <v>0</v>
      </c>
      <c r="BZ939">
        <v>0</v>
      </c>
    </row>
    <row r="940" spans="1:99" x14ac:dyDescent="0.2">
      <c r="A940" t="s">
        <v>180</v>
      </c>
      <c r="B940" t="s">
        <v>181</v>
      </c>
      <c r="C940" t="s">
        <v>184</v>
      </c>
      <c r="D940" t="s">
        <v>635</v>
      </c>
      <c r="F940" t="str">
        <f>"250596"</f>
        <v>250596</v>
      </c>
      <c r="G940" t="s">
        <v>49</v>
      </c>
      <c r="K940" t="s">
        <v>51</v>
      </c>
      <c r="L940" t="s">
        <v>52</v>
      </c>
      <c r="M940">
        <v>136527.16</v>
      </c>
      <c r="N940">
        <v>472532.85</v>
      </c>
      <c r="O940" t="s">
        <v>53</v>
      </c>
      <c r="P940" t="s">
        <v>54</v>
      </c>
      <c r="Q940" t="s">
        <v>55</v>
      </c>
      <c r="T940" t="s">
        <v>241</v>
      </c>
      <c r="U940">
        <v>40</v>
      </c>
      <c r="V940" s="1">
        <v>34151</v>
      </c>
      <c r="W940" s="1">
        <v>34151</v>
      </c>
      <c r="X940" s="1">
        <v>34151</v>
      </c>
      <c r="Y940" s="1">
        <v>48761</v>
      </c>
      <c r="Z940" t="s">
        <v>51</v>
      </c>
      <c r="AB940" t="s">
        <v>54</v>
      </c>
      <c r="AC940">
        <v>1</v>
      </c>
      <c r="AE940" t="s">
        <v>222</v>
      </c>
      <c r="AF940">
        <v>20</v>
      </c>
      <c r="AG940" s="1">
        <v>34151</v>
      </c>
      <c r="AH940" s="1">
        <v>34151</v>
      </c>
      <c r="AI940" s="1">
        <v>34151</v>
      </c>
      <c r="AJ940" s="1">
        <v>41456</v>
      </c>
      <c r="AK940" t="s">
        <v>51</v>
      </c>
      <c r="AN940">
        <v>0</v>
      </c>
      <c r="AO940" t="s">
        <v>54</v>
      </c>
      <c r="AP940" t="s">
        <v>53</v>
      </c>
      <c r="AQ940">
        <v>0</v>
      </c>
      <c r="AR940" t="s">
        <v>53</v>
      </c>
      <c r="AS940">
        <v>0</v>
      </c>
      <c r="AT940">
        <v>0</v>
      </c>
      <c r="AW940" t="s">
        <v>58</v>
      </c>
      <c r="AX940">
        <v>20</v>
      </c>
      <c r="AY940" s="1">
        <v>34151</v>
      </c>
      <c r="AZ940" s="1">
        <v>34151</v>
      </c>
      <c r="BA940" s="1">
        <v>34151</v>
      </c>
      <c r="BB940" s="1">
        <v>41456</v>
      </c>
      <c r="BC940" t="s">
        <v>51</v>
      </c>
      <c r="BE940" t="s">
        <v>54</v>
      </c>
      <c r="BF940">
        <v>2</v>
      </c>
      <c r="BG940">
        <v>0</v>
      </c>
      <c r="BH940" t="s">
        <v>53</v>
      </c>
      <c r="BK940" t="s">
        <v>65</v>
      </c>
      <c r="BL940">
        <v>14000</v>
      </c>
      <c r="BM940" s="1">
        <v>41091</v>
      </c>
      <c r="BN940" s="1">
        <v>41091</v>
      </c>
      <c r="BO940" s="1">
        <v>41091</v>
      </c>
      <c r="BP940" s="1">
        <v>42291</v>
      </c>
      <c r="BQ940" t="s">
        <v>51</v>
      </c>
      <c r="BS940" t="s">
        <v>60</v>
      </c>
      <c r="BT940" t="s">
        <v>54</v>
      </c>
      <c r="BU940" t="s">
        <v>61</v>
      </c>
      <c r="BV940" t="s">
        <v>62</v>
      </c>
      <c r="BX940">
        <v>36</v>
      </c>
      <c r="BY940">
        <v>0</v>
      </c>
      <c r="BZ940">
        <v>0</v>
      </c>
    </row>
    <row r="941" spans="1:99" x14ac:dyDescent="0.2">
      <c r="A941" t="s">
        <v>180</v>
      </c>
      <c r="B941" t="s">
        <v>181</v>
      </c>
      <c r="C941" t="s">
        <v>184</v>
      </c>
      <c r="D941" t="s">
        <v>635</v>
      </c>
      <c r="F941" t="str">
        <f>"250597"</f>
        <v>250597</v>
      </c>
      <c r="G941" t="s">
        <v>49</v>
      </c>
      <c r="K941" t="s">
        <v>51</v>
      </c>
      <c r="L941" t="s">
        <v>52</v>
      </c>
      <c r="M941">
        <v>136495.23000000001</v>
      </c>
      <c r="N941">
        <v>472540.76</v>
      </c>
      <c r="O941" t="s">
        <v>53</v>
      </c>
      <c r="P941" t="s">
        <v>54</v>
      </c>
      <c r="Q941" t="s">
        <v>55</v>
      </c>
      <c r="T941" t="s">
        <v>241</v>
      </c>
      <c r="U941">
        <v>40</v>
      </c>
      <c r="V941" s="1">
        <v>34151</v>
      </c>
      <c r="W941" s="1">
        <v>34151</v>
      </c>
      <c r="X941" s="1">
        <v>34151</v>
      </c>
      <c r="Y941" s="1">
        <v>48761</v>
      </c>
      <c r="Z941" t="s">
        <v>51</v>
      </c>
      <c r="AB941" t="s">
        <v>54</v>
      </c>
      <c r="AC941">
        <v>1</v>
      </c>
      <c r="AE941" t="s">
        <v>222</v>
      </c>
      <c r="AF941">
        <v>20</v>
      </c>
      <c r="AG941" s="1">
        <v>34151</v>
      </c>
      <c r="AH941" s="1">
        <v>34151</v>
      </c>
      <c r="AI941" s="1">
        <v>34151</v>
      </c>
      <c r="AJ941" s="1">
        <v>41456</v>
      </c>
      <c r="AK941" t="s">
        <v>51</v>
      </c>
      <c r="AN941">
        <v>0</v>
      </c>
      <c r="AO941" t="s">
        <v>54</v>
      </c>
      <c r="AP941" t="s">
        <v>53</v>
      </c>
      <c r="AQ941">
        <v>0</v>
      </c>
      <c r="AR941" t="s">
        <v>53</v>
      </c>
      <c r="AS941">
        <v>0</v>
      </c>
      <c r="AT941">
        <v>0</v>
      </c>
      <c r="AW941" t="s">
        <v>58</v>
      </c>
      <c r="AX941">
        <v>20</v>
      </c>
      <c r="AY941" s="1">
        <v>34151</v>
      </c>
      <c r="AZ941" s="1">
        <v>34151</v>
      </c>
      <c r="BA941" s="1">
        <v>34151</v>
      </c>
      <c r="BB941" s="1">
        <v>41456</v>
      </c>
      <c r="BC941" t="s">
        <v>51</v>
      </c>
      <c r="BE941" t="s">
        <v>54</v>
      </c>
      <c r="BF941">
        <v>2</v>
      </c>
      <c r="BG941">
        <v>0</v>
      </c>
      <c r="BH941" t="s">
        <v>53</v>
      </c>
      <c r="BK941" t="s">
        <v>65</v>
      </c>
      <c r="BL941">
        <v>14000</v>
      </c>
      <c r="BM941" s="1">
        <v>41091</v>
      </c>
      <c r="BN941" s="1">
        <v>41091</v>
      </c>
      <c r="BO941" s="1">
        <v>41091</v>
      </c>
      <c r="BP941" s="1">
        <v>42291</v>
      </c>
      <c r="BQ941" t="s">
        <v>51</v>
      </c>
      <c r="BS941" t="s">
        <v>60</v>
      </c>
      <c r="BT941" t="s">
        <v>54</v>
      </c>
      <c r="BU941" t="s">
        <v>61</v>
      </c>
      <c r="BV941" t="s">
        <v>62</v>
      </c>
      <c r="BX941">
        <v>36</v>
      </c>
      <c r="BY941">
        <v>0</v>
      </c>
      <c r="BZ941">
        <v>0</v>
      </c>
    </row>
    <row r="942" spans="1:99" x14ac:dyDescent="0.2">
      <c r="A942" t="s">
        <v>180</v>
      </c>
      <c r="B942" t="s">
        <v>181</v>
      </c>
      <c r="C942" t="s">
        <v>184</v>
      </c>
      <c r="D942" t="s">
        <v>635</v>
      </c>
      <c r="F942" t="str">
        <f>"250598"</f>
        <v>250598</v>
      </c>
      <c r="G942" t="s">
        <v>49</v>
      </c>
      <c r="K942" t="s">
        <v>51</v>
      </c>
      <c r="L942" t="s">
        <v>52</v>
      </c>
      <c r="M942">
        <v>136473.88</v>
      </c>
      <c r="N942">
        <v>472557.47</v>
      </c>
      <c r="O942" t="s">
        <v>53</v>
      </c>
      <c r="P942" t="s">
        <v>54</v>
      </c>
      <c r="Q942" t="s">
        <v>55</v>
      </c>
      <c r="T942" t="s">
        <v>241</v>
      </c>
      <c r="U942">
        <v>40</v>
      </c>
      <c r="V942" s="1">
        <v>34151</v>
      </c>
      <c r="W942" s="1">
        <v>34151</v>
      </c>
      <c r="X942" s="1">
        <v>34151</v>
      </c>
      <c r="Y942" s="1">
        <v>48761</v>
      </c>
      <c r="Z942" t="s">
        <v>51</v>
      </c>
      <c r="AB942" t="s">
        <v>54</v>
      </c>
      <c r="AC942">
        <v>1</v>
      </c>
      <c r="AE942" t="s">
        <v>222</v>
      </c>
      <c r="AF942">
        <v>20</v>
      </c>
      <c r="AG942" s="1">
        <v>34151</v>
      </c>
      <c r="AH942" s="1">
        <v>34151</v>
      </c>
      <c r="AI942" s="1">
        <v>34151</v>
      </c>
      <c r="AJ942" s="1">
        <v>41456</v>
      </c>
      <c r="AK942" t="s">
        <v>51</v>
      </c>
      <c r="AN942">
        <v>0</v>
      </c>
      <c r="AO942" t="s">
        <v>54</v>
      </c>
      <c r="AP942" t="s">
        <v>53</v>
      </c>
      <c r="AQ942">
        <v>0</v>
      </c>
      <c r="AR942" t="s">
        <v>53</v>
      </c>
      <c r="AS942">
        <v>0</v>
      </c>
      <c r="AT942">
        <v>0</v>
      </c>
      <c r="AW942" t="s">
        <v>58</v>
      </c>
      <c r="AX942">
        <v>20</v>
      </c>
      <c r="AY942" s="1">
        <v>34151</v>
      </c>
      <c r="AZ942" s="1">
        <v>34151</v>
      </c>
      <c r="BA942" s="1">
        <v>34151</v>
      </c>
      <c r="BB942" s="1">
        <v>41456</v>
      </c>
      <c r="BC942" t="s">
        <v>51</v>
      </c>
      <c r="BE942" t="s">
        <v>54</v>
      </c>
      <c r="BF942">
        <v>2</v>
      </c>
      <c r="BG942">
        <v>0</v>
      </c>
      <c r="BH942" t="s">
        <v>53</v>
      </c>
      <c r="BK942" t="s">
        <v>65</v>
      </c>
      <c r="BL942">
        <v>14000</v>
      </c>
      <c r="BM942" s="1">
        <v>41091</v>
      </c>
      <c r="BN942" s="1">
        <v>41091</v>
      </c>
      <c r="BO942" s="1">
        <v>41091</v>
      </c>
      <c r="BP942" s="1">
        <v>42291</v>
      </c>
      <c r="BQ942" t="s">
        <v>51</v>
      </c>
      <c r="BS942" t="s">
        <v>60</v>
      </c>
      <c r="BT942" t="s">
        <v>54</v>
      </c>
      <c r="BU942" t="s">
        <v>61</v>
      </c>
      <c r="BV942" t="s">
        <v>62</v>
      </c>
      <c r="BX942">
        <v>36</v>
      </c>
      <c r="BY942">
        <v>0</v>
      </c>
      <c r="BZ942">
        <v>0</v>
      </c>
    </row>
    <row r="943" spans="1:99" x14ac:dyDescent="0.2">
      <c r="A943" t="s">
        <v>180</v>
      </c>
      <c r="B943" t="s">
        <v>181</v>
      </c>
      <c r="C943" t="s">
        <v>184</v>
      </c>
      <c r="D943" t="s">
        <v>635</v>
      </c>
      <c r="F943" t="str">
        <f>"250599"</f>
        <v>250599</v>
      </c>
      <c r="G943" t="s">
        <v>49</v>
      </c>
      <c r="K943" t="s">
        <v>51</v>
      </c>
      <c r="L943" t="s">
        <v>52</v>
      </c>
      <c r="M943">
        <v>136442.84</v>
      </c>
      <c r="N943">
        <v>472565.36</v>
      </c>
      <c r="O943" t="s">
        <v>53</v>
      </c>
      <c r="P943" t="s">
        <v>54</v>
      </c>
      <c r="Q943" t="s">
        <v>55</v>
      </c>
      <c r="T943" t="s">
        <v>241</v>
      </c>
      <c r="U943">
        <v>40</v>
      </c>
      <c r="V943" s="1">
        <v>34151</v>
      </c>
      <c r="W943" s="1">
        <v>34151</v>
      </c>
      <c r="X943" s="1">
        <v>34151</v>
      </c>
      <c r="Y943" s="1">
        <v>48761</v>
      </c>
      <c r="Z943" t="s">
        <v>51</v>
      </c>
      <c r="AB943" t="s">
        <v>54</v>
      </c>
      <c r="AC943">
        <v>1</v>
      </c>
      <c r="AE943" t="s">
        <v>222</v>
      </c>
      <c r="AF943">
        <v>20</v>
      </c>
      <c r="AG943" s="1">
        <v>34151</v>
      </c>
      <c r="AH943" s="1">
        <v>34151</v>
      </c>
      <c r="AI943" s="1">
        <v>34151</v>
      </c>
      <c r="AJ943" s="1">
        <v>41456</v>
      </c>
      <c r="AK943" t="s">
        <v>51</v>
      </c>
      <c r="AN943">
        <v>0</v>
      </c>
      <c r="AO943" t="s">
        <v>54</v>
      </c>
      <c r="AP943" t="s">
        <v>53</v>
      </c>
      <c r="AQ943">
        <v>0</v>
      </c>
      <c r="AR943" t="s">
        <v>53</v>
      </c>
      <c r="AS943">
        <v>0</v>
      </c>
      <c r="AT943">
        <v>0</v>
      </c>
      <c r="AW943" t="s">
        <v>58</v>
      </c>
      <c r="AX943">
        <v>20</v>
      </c>
      <c r="AY943" s="1">
        <v>34151</v>
      </c>
      <c r="AZ943" s="1">
        <v>34151</v>
      </c>
      <c r="BA943" s="1">
        <v>34151</v>
      </c>
      <c r="BB943" s="1">
        <v>41456</v>
      </c>
      <c r="BC943" t="s">
        <v>51</v>
      </c>
      <c r="BE943" t="s">
        <v>54</v>
      </c>
      <c r="BF943">
        <v>2</v>
      </c>
      <c r="BG943">
        <v>0</v>
      </c>
      <c r="BH943" t="s">
        <v>53</v>
      </c>
      <c r="BK943" t="s">
        <v>65</v>
      </c>
      <c r="BL943">
        <v>14000</v>
      </c>
      <c r="BM943" s="1">
        <v>41091</v>
      </c>
      <c r="BN943" s="1">
        <v>41091</v>
      </c>
      <c r="BO943" s="1">
        <v>41091</v>
      </c>
      <c r="BP943" s="1">
        <v>42291</v>
      </c>
      <c r="BQ943" t="s">
        <v>51</v>
      </c>
      <c r="BS943" t="s">
        <v>60</v>
      </c>
      <c r="BT943" t="s">
        <v>54</v>
      </c>
      <c r="BU943" t="s">
        <v>61</v>
      </c>
      <c r="BV943" t="s">
        <v>62</v>
      </c>
      <c r="BX943">
        <v>36</v>
      </c>
      <c r="BY943">
        <v>0</v>
      </c>
      <c r="BZ943">
        <v>0</v>
      </c>
    </row>
    <row r="944" spans="1:99" x14ac:dyDescent="0.2">
      <c r="A944" t="s">
        <v>180</v>
      </c>
      <c r="B944" t="s">
        <v>181</v>
      </c>
      <c r="C944" t="s">
        <v>184</v>
      </c>
      <c r="D944" t="s">
        <v>635</v>
      </c>
      <c r="F944" t="str">
        <f>"250600"</f>
        <v>250600</v>
      </c>
      <c r="G944" t="s">
        <v>49</v>
      </c>
      <c r="H944" t="s">
        <v>175</v>
      </c>
      <c r="K944" t="s">
        <v>51</v>
      </c>
      <c r="L944" t="s">
        <v>52</v>
      </c>
      <c r="M944">
        <v>136421.57999999999</v>
      </c>
      <c r="N944">
        <v>472582.34</v>
      </c>
      <c r="O944" t="s">
        <v>53</v>
      </c>
      <c r="P944" t="s">
        <v>54</v>
      </c>
      <c r="Q944" t="s">
        <v>55</v>
      </c>
      <c r="T944" t="s">
        <v>241</v>
      </c>
      <c r="U944">
        <v>40</v>
      </c>
      <c r="V944" s="1">
        <v>34151</v>
      </c>
      <c r="W944" s="1">
        <v>34151</v>
      </c>
      <c r="X944" s="1">
        <v>34151</v>
      </c>
      <c r="Y944" s="1">
        <v>48761</v>
      </c>
      <c r="Z944" t="s">
        <v>51</v>
      </c>
      <c r="AB944" t="s">
        <v>54</v>
      </c>
      <c r="AC944">
        <v>1</v>
      </c>
      <c r="AE944" t="s">
        <v>222</v>
      </c>
      <c r="AF944">
        <v>20</v>
      </c>
      <c r="AG944" s="1">
        <v>34151</v>
      </c>
      <c r="AH944" s="1">
        <v>34151</v>
      </c>
      <c r="AI944" s="1">
        <v>34151</v>
      </c>
      <c r="AJ944" s="1">
        <v>41456</v>
      </c>
      <c r="AK944" t="s">
        <v>51</v>
      </c>
      <c r="AN944">
        <v>0</v>
      </c>
      <c r="AO944" t="s">
        <v>54</v>
      </c>
      <c r="AP944" t="s">
        <v>53</v>
      </c>
      <c r="AQ944">
        <v>0</v>
      </c>
      <c r="AR944" t="s">
        <v>53</v>
      </c>
      <c r="AS944">
        <v>0</v>
      </c>
      <c r="AT944">
        <v>0</v>
      </c>
      <c r="AW944" t="s">
        <v>58</v>
      </c>
      <c r="AX944">
        <v>20</v>
      </c>
      <c r="AY944" s="1">
        <v>44130</v>
      </c>
      <c r="AZ944" s="1">
        <v>44130</v>
      </c>
      <c r="BA944" s="1">
        <v>44130</v>
      </c>
      <c r="BB944" s="1">
        <v>51435</v>
      </c>
      <c r="BC944" t="s">
        <v>51</v>
      </c>
      <c r="BE944" t="s">
        <v>54</v>
      </c>
      <c r="BF944">
        <v>2</v>
      </c>
      <c r="BG944">
        <v>0</v>
      </c>
      <c r="BH944" t="s">
        <v>53</v>
      </c>
      <c r="BK944" t="s">
        <v>65</v>
      </c>
      <c r="BL944">
        <v>14000</v>
      </c>
      <c r="BM944" s="1">
        <v>44130</v>
      </c>
      <c r="BN944" s="1">
        <v>44130</v>
      </c>
      <c r="BO944" s="1">
        <v>44130</v>
      </c>
      <c r="BP944" s="1">
        <v>45289</v>
      </c>
      <c r="BQ944" t="s">
        <v>51</v>
      </c>
      <c r="BS944" t="s">
        <v>60</v>
      </c>
      <c r="BT944" t="s">
        <v>54</v>
      </c>
      <c r="BU944" t="s">
        <v>61</v>
      </c>
      <c r="BV944" t="s">
        <v>62</v>
      </c>
      <c r="BX944">
        <v>36</v>
      </c>
      <c r="BY944">
        <v>0</v>
      </c>
      <c r="BZ944">
        <v>0</v>
      </c>
    </row>
    <row r="945" spans="1:78" x14ac:dyDescent="0.2">
      <c r="A945" t="s">
        <v>180</v>
      </c>
      <c r="B945" t="s">
        <v>181</v>
      </c>
      <c r="C945" t="s">
        <v>184</v>
      </c>
      <c r="D945" t="s">
        <v>635</v>
      </c>
      <c r="F945" t="str">
        <f>"250601"</f>
        <v>250601</v>
      </c>
      <c r="G945" t="s">
        <v>49</v>
      </c>
      <c r="H945" t="s">
        <v>143</v>
      </c>
      <c r="K945" t="s">
        <v>51</v>
      </c>
      <c r="L945" t="s">
        <v>52</v>
      </c>
      <c r="M945">
        <v>136389.57999999999</v>
      </c>
      <c r="N945">
        <v>472590.29</v>
      </c>
      <c r="O945" t="s">
        <v>53</v>
      </c>
      <c r="P945" t="s">
        <v>54</v>
      </c>
      <c r="Q945" t="s">
        <v>55</v>
      </c>
      <c r="T945" t="s">
        <v>241</v>
      </c>
      <c r="U945">
        <v>40</v>
      </c>
      <c r="V945" s="1">
        <v>34151</v>
      </c>
      <c r="W945" s="1">
        <v>34151</v>
      </c>
      <c r="X945" s="1">
        <v>34151</v>
      </c>
      <c r="Y945" s="1">
        <v>48761</v>
      </c>
      <c r="Z945" t="s">
        <v>51</v>
      </c>
      <c r="AB945" t="s">
        <v>54</v>
      </c>
      <c r="AC945">
        <v>1</v>
      </c>
      <c r="AE945" t="s">
        <v>222</v>
      </c>
      <c r="AF945">
        <v>20</v>
      </c>
      <c r="AG945" s="1">
        <v>34151</v>
      </c>
      <c r="AH945" s="1">
        <v>34151</v>
      </c>
      <c r="AI945" s="1">
        <v>34151</v>
      </c>
      <c r="AJ945" s="1">
        <v>41456</v>
      </c>
      <c r="AK945" t="s">
        <v>51</v>
      </c>
      <c r="AN945">
        <v>0</v>
      </c>
      <c r="AO945" t="s">
        <v>54</v>
      </c>
      <c r="AP945" t="s">
        <v>53</v>
      </c>
      <c r="AQ945">
        <v>0</v>
      </c>
      <c r="AR945" t="s">
        <v>53</v>
      </c>
      <c r="AS945">
        <v>0</v>
      </c>
      <c r="AT945">
        <v>0</v>
      </c>
      <c r="AW945" t="s">
        <v>58</v>
      </c>
      <c r="AX945">
        <v>20</v>
      </c>
      <c r="AY945" s="1">
        <v>34151</v>
      </c>
      <c r="AZ945" s="1">
        <v>34151</v>
      </c>
      <c r="BA945" s="1">
        <v>34151</v>
      </c>
      <c r="BB945" s="1">
        <v>41456</v>
      </c>
      <c r="BC945" t="s">
        <v>51</v>
      </c>
      <c r="BE945" t="s">
        <v>54</v>
      </c>
      <c r="BF945">
        <v>2</v>
      </c>
      <c r="BG945">
        <v>0</v>
      </c>
      <c r="BH945" t="s">
        <v>53</v>
      </c>
      <c r="BK945" t="s">
        <v>65</v>
      </c>
      <c r="BL945">
        <v>14000</v>
      </c>
      <c r="BM945" s="1">
        <v>41091</v>
      </c>
      <c r="BN945" s="1">
        <v>41091</v>
      </c>
      <c r="BO945" s="1">
        <v>41091</v>
      </c>
      <c r="BP945" s="1">
        <v>42291</v>
      </c>
      <c r="BQ945" t="s">
        <v>51</v>
      </c>
      <c r="BS945" t="s">
        <v>60</v>
      </c>
      <c r="BT945" t="s">
        <v>54</v>
      </c>
      <c r="BU945" t="s">
        <v>61</v>
      </c>
      <c r="BV945" t="s">
        <v>62</v>
      </c>
      <c r="BX945">
        <v>36</v>
      </c>
      <c r="BY945">
        <v>0</v>
      </c>
      <c r="BZ945">
        <v>0</v>
      </c>
    </row>
    <row r="946" spans="1:78" x14ac:dyDescent="0.2">
      <c r="A946" t="s">
        <v>180</v>
      </c>
      <c r="B946" t="s">
        <v>181</v>
      </c>
      <c r="C946" t="s">
        <v>184</v>
      </c>
      <c r="D946" t="s">
        <v>635</v>
      </c>
      <c r="F946" t="str">
        <f>"250602"</f>
        <v>250602</v>
      </c>
      <c r="G946" t="s">
        <v>49</v>
      </c>
      <c r="H946" t="s">
        <v>576</v>
      </c>
      <c r="K946" t="s">
        <v>51</v>
      </c>
      <c r="L946" t="s">
        <v>52</v>
      </c>
      <c r="M946">
        <v>136365.63</v>
      </c>
      <c r="N946">
        <v>472609.5</v>
      </c>
      <c r="O946" t="s">
        <v>53</v>
      </c>
      <c r="P946" t="s">
        <v>54</v>
      </c>
      <c r="Q946" t="s">
        <v>55</v>
      </c>
      <c r="T946" t="s">
        <v>241</v>
      </c>
      <c r="U946">
        <v>40</v>
      </c>
      <c r="V946" s="1">
        <v>34151</v>
      </c>
      <c r="W946" s="1">
        <v>34151</v>
      </c>
      <c r="X946" s="1">
        <v>34151</v>
      </c>
      <c r="Y946" s="1">
        <v>48761</v>
      </c>
      <c r="Z946" t="s">
        <v>51</v>
      </c>
      <c r="AB946" t="s">
        <v>54</v>
      </c>
      <c r="AC946">
        <v>1</v>
      </c>
      <c r="AE946" t="s">
        <v>222</v>
      </c>
      <c r="AF946">
        <v>20</v>
      </c>
      <c r="AG946" s="1">
        <v>34151</v>
      </c>
      <c r="AH946" s="1">
        <v>34151</v>
      </c>
      <c r="AI946" s="1">
        <v>34151</v>
      </c>
      <c r="AJ946" s="1">
        <v>41456</v>
      </c>
      <c r="AK946" t="s">
        <v>51</v>
      </c>
      <c r="AN946">
        <v>0</v>
      </c>
      <c r="AO946" t="s">
        <v>54</v>
      </c>
      <c r="AP946" t="s">
        <v>53</v>
      </c>
      <c r="AQ946">
        <v>0</v>
      </c>
      <c r="AR946" t="s">
        <v>53</v>
      </c>
      <c r="AS946">
        <v>0</v>
      </c>
      <c r="AT946">
        <v>0</v>
      </c>
      <c r="AW946" t="s">
        <v>58</v>
      </c>
      <c r="AX946">
        <v>20</v>
      </c>
      <c r="AY946" s="1">
        <v>34151</v>
      </c>
      <c r="AZ946" s="1">
        <v>34151</v>
      </c>
      <c r="BA946" s="1">
        <v>34151</v>
      </c>
      <c r="BB946" s="1">
        <v>41456</v>
      </c>
      <c r="BC946" t="s">
        <v>51</v>
      </c>
      <c r="BE946" t="s">
        <v>54</v>
      </c>
      <c r="BF946">
        <v>2</v>
      </c>
      <c r="BG946">
        <v>0</v>
      </c>
      <c r="BH946" t="s">
        <v>53</v>
      </c>
      <c r="BK946" t="s">
        <v>65</v>
      </c>
      <c r="BL946">
        <v>14000</v>
      </c>
      <c r="BM946" s="1">
        <v>44908</v>
      </c>
      <c r="BN946" s="1">
        <v>44908</v>
      </c>
      <c r="BO946" s="1">
        <v>44908</v>
      </c>
      <c r="BP946" s="1">
        <v>46068</v>
      </c>
      <c r="BQ946" t="s">
        <v>51</v>
      </c>
      <c r="BS946" t="s">
        <v>60</v>
      </c>
      <c r="BT946" t="s">
        <v>54</v>
      </c>
      <c r="BU946" t="s">
        <v>61</v>
      </c>
      <c r="BV946" t="s">
        <v>62</v>
      </c>
      <c r="BX946">
        <v>36</v>
      </c>
      <c r="BY946">
        <v>0</v>
      </c>
      <c r="BZ946">
        <v>0</v>
      </c>
    </row>
    <row r="947" spans="1:78" x14ac:dyDescent="0.2">
      <c r="A947" t="s">
        <v>180</v>
      </c>
      <c r="B947" t="s">
        <v>181</v>
      </c>
      <c r="C947" t="s">
        <v>184</v>
      </c>
      <c r="D947" t="s">
        <v>635</v>
      </c>
      <c r="F947" t="str">
        <f>"250603"</f>
        <v>250603</v>
      </c>
      <c r="G947" t="s">
        <v>49</v>
      </c>
      <c r="H947" t="s">
        <v>582</v>
      </c>
      <c r="K947" t="s">
        <v>51</v>
      </c>
      <c r="L947" t="s">
        <v>52</v>
      </c>
      <c r="M947">
        <v>136338.23999999999</v>
      </c>
      <c r="N947">
        <v>472614.62</v>
      </c>
      <c r="O947" t="s">
        <v>53</v>
      </c>
      <c r="P947" t="s">
        <v>54</v>
      </c>
      <c r="Q947" t="s">
        <v>55</v>
      </c>
      <c r="T947" t="s">
        <v>241</v>
      </c>
      <c r="U947">
        <v>40</v>
      </c>
      <c r="V947" s="1">
        <v>34151</v>
      </c>
      <c r="W947" s="1">
        <v>34151</v>
      </c>
      <c r="X947" s="1">
        <v>34151</v>
      </c>
      <c r="Y947" s="1">
        <v>48761</v>
      </c>
      <c r="Z947" t="s">
        <v>51</v>
      </c>
      <c r="AB947" t="s">
        <v>54</v>
      </c>
      <c r="AC947">
        <v>1</v>
      </c>
      <c r="AE947" t="s">
        <v>222</v>
      </c>
      <c r="AF947">
        <v>20</v>
      </c>
      <c r="AG947" s="1">
        <v>34151</v>
      </c>
      <c r="AH947" s="1">
        <v>34151</v>
      </c>
      <c r="AI947" s="1">
        <v>34151</v>
      </c>
      <c r="AJ947" s="1">
        <v>41456</v>
      </c>
      <c r="AK947" t="s">
        <v>51</v>
      </c>
      <c r="AN947">
        <v>0</v>
      </c>
      <c r="AO947" t="s">
        <v>54</v>
      </c>
      <c r="AP947" t="s">
        <v>53</v>
      </c>
      <c r="AQ947">
        <v>0</v>
      </c>
      <c r="AR947" t="s">
        <v>53</v>
      </c>
      <c r="AS947">
        <v>0</v>
      </c>
      <c r="AT947">
        <v>0</v>
      </c>
      <c r="AW947" t="s">
        <v>58</v>
      </c>
      <c r="AX947">
        <v>20</v>
      </c>
      <c r="AY947" s="1">
        <v>44655</v>
      </c>
      <c r="AZ947" s="1">
        <v>44655</v>
      </c>
      <c r="BA947" s="1">
        <v>44655</v>
      </c>
      <c r="BB947" s="1">
        <v>51960</v>
      </c>
      <c r="BC947" t="s">
        <v>51</v>
      </c>
      <c r="BE947" t="s">
        <v>54</v>
      </c>
      <c r="BF947">
        <v>2</v>
      </c>
      <c r="BG947">
        <v>0</v>
      </c>
      <c r="BH947" t="s">
        <v>53</v>
      </c>
      <c r="BK947" t="s">
        <v>65</v>
      </c>
      <c r="BL947">
        <v>14000</v>
      </c>
      <c r="BM947" s="1">
        <v>44655</v>
      </c>
      <c r="BN947" s="1">
        <v>44655</v>
      </c>
      <c r="BO947" s="1">
        <v>44655</v>
      </c>
      <c r="BP947" s="1">
        <v>45877</v>
      </c>
      <c r="BQ947" t="s">
        <v>51</v>
      </c>
      <c r="BS947" t="s">
        <v>60</v>
      </c>
      <c r="BT947" t="s">
        <v>54</v>
      </c>
      <c r="BU947" t="s">
        <v>61</v>
      </c>
      <c r="BV947" t="s">
        <v>62</v>
      </c>
      <c r="BX947">
        <v>36</v>
      </c>
      <c r="BY947">
        <v>0</v>
      </c>
      <c r="BZ947">
        <v>0</v>
      </c>
    </row>
    <row r="948" spans="1:78" x14ac:dyDescent="0.2">
      <c r="A948" t="s">
        <v>180</v>
      </c>
      <c r="B948" t="s">
        <v>181</v>
      </c>
      <c r="C948" t="s">
        <v>184</v>
      </c>
      <c r="D948" t="s">
        <v>635</v>
      </c>
      <c r="F948" t="str">
        <f>"250604"</f>
        <v>250604</v>
      </c>
      <c r="G948" t="s">
        <v>49</v>
      </c>
      <c r="K948" t="s">
        <v>51</v>
      </c>
      <c r="L948" t="s">
        <v>52</v>
      </c>
      <c r="M948">
        <v>136310.59</v>
      </c>
      <c r="N948">
        <v>472626.56</v>
      </c>
      <c r="O948" t="s">
        <v>53</v>
      </c>
      <c r="P948" t="s">
        <v>54</v>
      </c>
      <c r="Q948" t="s">
        <v>55</v>
      </c>
      <c r="T948" t="s">
        <v>241</v>
      </c>
      <c r="U948">
        <v>40</v>
      </c>
      <c r="V948" s="1">
        <v>34151</v>
      </c>
      <c r="W948" s="1">
        <v>34151</v>
      </c>
      <c r="X948" s="1">
        <v>34151</v>
      </c>
      <c r="Y948" s="1">
        <v>48761</v>
      </c>
      <c r="Z948" t="s">
        <v>51</v>
      </c>
      <c r="AB948" t="s">
        <v>54</v>
      </c>
      <c r="AC948">
        <v>1</v>
      </c>
      <c r="AE948" t="s">
        <v>222</v>
      </c>
      <c r="AF948">
        <v>20</v>
      </c>
      <c r="AG948" s="1">
        <v>34151</v>
      </c>
      <c r="AH948" s="1">
        <v>34151</v>
      </c>
      <c r="AI948" s="1">
        <v>34151</v>
      </c>
      <c r="AJ948" s="1">
        <v>41456</v>
      </c>
      <c r="AK948" t="s">
        <v>51</v>
      </c>
      <c r="AN948">
        <v>0</v>
      </c>
      <c r="AO948" t="s">
        <v>54</v>
      </c>
      <c r="AP948" t="s">
        <v>53</v>
      </c>
      <c r="AQ948">
        <v>0</v>
      </c>
      <c r="AR948" t="s">
        <v>53</v>
      </c>
      <c r="AS948">
        <v>0</v>
      </c>
      <c r="AT948">
        <v>0</v>
      </c>
      <c r="AW948" t="s">
        <v>58</v>
      </c>
      <c r="AX948">
        <v>20</v>
      </c>
      <c r="AY948" s="1">
        <v>34151</v>
      </c>
      <c r="AZ948" s="1">
        <v>34151</v>
      </c>
      <c r="BA948" s="1">
        <v>34151</v>
      </c>
      <c r="BB948" s="1">
        <v>41456</v>
      </c>
      <c r="BC948" t="s">
        <v>51</v>
      </c>
      <c r="BE948" t="s">
        <v>54</v>
      </c>
      <c r="BF948">
        <v>2</v>
      </c>
      <c r="BG948">
        <v>0</v>
      </c>
      <c r="BH948" t="s">
        <v>53</v>
      </c>
      <c r="BK948" t="s">
        <v>65</v>
      </c>
      <c r="BL948">
        <v>14000</v>
      </c>
      <c r="BM948" s="1">
        <v>41091</v>
      </c>
      <c r="BN948" s="1">
        <v>41091</v>
      </c>
      <c r="BO948" s="1">
        <v>41091</v>
      </c>
      <c r="BP948" s="1">
        <v>42291</v>
      </c>
      <c r="BQ948" t="s">
        <v>51</v>
      </c>
      <c r="BS948" t="s">
        <v>60</v>
      </c>
      <c r="BT948" t="s">
        <v>54</v>
      </c>
      <c r="BU948" t="s">
        <v>61</v>
      </c>
      <c r="BV948" t="s">
        <v>62</v>
      </c>
      <c r="BX948">
        <v>36</v>
      </c>
      <c r="BY948">
        <v>0</v>
      </c>
      <c r="BZ948">
        <v>0</v>
      </c>
    </row>
    <row r="949" spans="1:78" x14ac:dyDescent="0.2">
      <c r="A949" t="s">
        <v>180</v>
      </c>
      <c r="B949" t="s">
        <v>181</v>
      </c>
      <c r="C949" t="s">
        <v>184</v>
      </c>
      <c r="D949" t="s">
        <v>636</v>
      </c>
      <c r="F949" t="str">
        <f>"250605"</f>
        <v>250605</v>
      </c>
      <c r="G949" t="s">
        <v>49</v>
      </c>
      <c r="H949" t="s">
        <v>481</v>
      </c>
      <c r="K949" t="s">
        <v>51</v>
      </c>
      <c r="L949" t="s">
        <v>52</v>
      </c>
      <c r="M949">
        <v>136476.96</v>
      </c>
      <c r="N949">
        <v>472675.01</v>
      </c>
      <c r="O949" t="s">
        <v>53</v>
      </c>
      <c r="P949" t="s">
        <v>54</v>
      </c>
      <c r="Q949" t="s">
        <v>55</v>
      </c>
      <c r="T949" t="s">
        <v>241</v>
      </c>
      <c r="U949">
        <v>40</v>
      </c>
      <c r="V949" s="1">
        <v>35247</v>
      </c>
      <c r="W949" s="1">
        <v>35247</v>
      </c>
      <c r="X949" s="1">
        <v>35247</v>
      </c>
      <c r="Y949" s="1">
        <v>49857</v>
      </c>
      <c r="Z949" t="s">
        <v>51</v>
      </c>
      <c r="AB949" t="s">
        <v>54</v>
      </c>
      <c r="AC949">
        <v>1</v>
      </c>
      <c r="AE949" t="s">
        <v>222</v>
      </c>
      <c r="AF949">
        <v>20</v>
      </c>
      <c r="AG949" s="1">
        <v>35247</v>
      </c>
      <c r="AH949" s="1">
        <v>35247</v>
      </c>
      <c r="AI949" s="1">
        <v>35247</v>
      </c>
      <c r="AJ949" s="1">
        <v>42552</v>
      </c>
      <c r="AK949" t="s">
        <v>51</v>
      </c>
      <c r="AN949">
        <v>0</v>
      </c>
      <c r="AO949" t="s">
        <v>54</v>
      </c>
      <c r="AP949" t="s">
        <v>53</v>
      </c>
      <c r="AQ949">
        <v>0</v>
      </c>
      <c r="AR949" t="s">
        <v>53</v>
      </c>
      <c r="AS949">
        <v>0</v>
      </c>
      <c r="AT949">
        <v>0</v>
      </c>
      <c r="AW949" t="s">
        <v>58</v>
      </c>
      <c r="AX949">
        <v>20</v>
      </c>
      <c r="AY949" s="1">
        <v>35247</v>
      </c>
      <c r="AZ949" s="1">
        <v>35247</v>
      </c>
      <c r="BA949" s="1">
        <v>35247</v>
      </c>
      <c r="BB949" s="1">
        <v>42552</v>
      </c>
      <c r="BC949" t="s">
        <v>51</v>
      </c>
      <c r="BE949" t="s">
        <v>54</v>
      </c>
      <c r="BF949">
        <v>2</v>
      </c>
      <c r="BG949">
        <v>0</v>
      </c>
      <c r="BH949" t="s">
        <v>53</v>
      </c>
      <c r="BK949" t="s">
        <v>59</v>
      </c>
      <c r="BL949">
        <v>14000</v>
      </c>
      <c r="BM949" s="1">
        <v>41091</v>
      </c>
      <c r="BN949" s="1">
        <v>41091</v>
      </c>
      <c r="BO949" s="1">
        <v>41091</v>
      </c>
      <c r="BP949" s="1">
        <v>42291</v>
      </c>
      <c r="BQ949" t="s">
        <v>51</v>
      </c>
      <c r="BS949" t="s">
        <v>60</v>
      </c>
      <c r="BT949" t="s">
        <v>54</v>
      </c>
      <c r="BU949" t="s">
        <v>61</v>
      </c>
      <c r="BV949" t="s">
        <v>62</v>
      </c>
      <c r="BX949">
        <v>24</v>
      </c>
      <c r="BY949">
        <v>0</v>
      </c>
      <c r="BZ949">
        <v>0</v>
      </c>
    </row>
    <row r="950" spans="1:78" x14ac:dyDescent="0.2">
      <c r="A950" t="s">
        <v>180</v>
      </c>
      <c r="B950" t="s">
        <v>181</v>
      </c>
      <c r="C950" t="s">
        <v>184</v>
      </c>
      <c r="D950" t="s">
        <v>636</v>
      </c>
      <c r="F950" t="str">
        <f>"250606"</f>
        <v>250606</v>
      </c>
      <c r="G950" t="s">
        <v>49</v>
      </c>
      <c r="H950" t="s">
        <v>507</v>
      </c>
      <c r="K950" t="s">
        <v>51</v>
      </c>
      <c r="L950" t="s">
        <v>52</v>
      </c>
      <c r="M950">
        <v>136458.74</v>
      </c>
      <c r="N950">
        <v>472683.6</v>
      </c>
      <c r="O950" t="s">
        <v>53</v>
      </c>
      <c r="P950" t="s">
        <v>54</v>
      </c>
      <c r="Q950" t="s">
        <v>55</v>
      </c>
      <c r="T950" t="s">
        <v>241</v>
      </c>
      <c r="U950">
        <v>40</v>
      </c>
      <c r="V950" s="1">
        <v>35247</v>
      </c>
      <c r="W950" s="1">
        <v>35247</v>
      </c>
      <c r="X950" s="1">
        <v>35247</v>
      </c>
      <c r="Y950" s="1">
        <v>49857</v>
      </c>
      <c r="Z950" t="s">
        <v>51</v>
      </c>
      <c r="AB950" t="s">
        <v>54</v>
      </c>
      <c r="AC950">
        <v>1</v>
      </c>
      <c r="AE950" t="s">
        <v>222</v>
      </c>
      <c r="AF950">
        <v>20</v>
      </c>
      <c r="AG950" s="1">
        <v>35247</v>
      </c>
      <c r="AH950" s="1">
        <v>35247</v>
      </c>
      <c r="AI950" s="1">
        <v>35247</v>
      </c>
      <c r="AJ950" s="1">
        <v>42552</v>
      </c>
      <c r="AK950" t="s">
        <v>51</v>
      </c>
      <c r="AN950">
        <v>0</v>
      </c>
      <c r="AO950" t="s">
        <v>54</v>
      </c>
      <c r="AP950" t="s">
        <v>53</v>
      </c>
      <c r="AQ950">
        <v>0</v>
      </c>
      <c r="AR950" t="s">
        <v>53</v>
      </c>
      <c r="AS950">
        <v>0</v>
      </c>
      <c r="AT950">
        <v>0</v>
      </c>
      <c r="AW950" t="s">
        <v>58</v>
      </c>
      <c r="AX950">
        <v>20</v>
      </c>
      <c r="AY950" s="1">
        <v>35247</v>
      </c>
      <c r="AZ950" s="1">
        <v>35247</v>
      </c>
      <c r="BA950" s="1">
        <v>35247</v>
      </c>
      <c r="BB950" s="1">
        <v>42552</v>
      </c>
      <c r="BC950" t="s">
        <v>51</v>
      </c>
      <c r="BE950" t="s">
        <v>54</v>
      </c>
      <c r="BF950">
        <v>2</v>
      </c>
      <c r="BG950">
        <v>0</v>
      </c>
      <c r="BH950" t="s">
        <v>53</v>
      </c>
      <c r="BK950" t="s">
        <v>59</v>
      </c>
      <c r="BL950">
        <v>14000</v>
      </c>
      <c r="BM950" s="1">
        <v>44487</v>
      </c>
      <c r="BN950" s="1">
        <v>44487</v>
      </c>
      <c r="BO950" s="1">
        <v>44487</v>
      </c>
      <c r="BP950" s="1">
        <v>45648</v>
      </c>
      <c r="BQ950" t="s">
        <v>51</v>
      </c>
      <c r="BS950" t="s">
        <v>60</v>
      </c>
      <c r="BT950" t="s">
        <v>54</v>
      </c>
      <c r="BU950" t="s">
        <v>61</v>
      </c>
      <c r="BV950" t="s">
        <v>62</v>
      </c>
      <c r="BX950">
        <v>24</v>
      </c>
      <c r="BY950">
        <v>0</v>
      </c>
      <c r="BZ950">
        <v>0</v>
      </c>
    </row>
    <row r="951" spans="1:78" x14ac:dyDescent="0.2">
      <c r="A951" t="s">
        <v>180</v>
      </c>
      <c r="B951" t="s">
        <v>181</v>
      </c>
      <c r="C951" t="s">
        <v>184</v>
      </c>
      <c r="D951" t="s">
        <v>636</v>
      </c>
      <c r="F951" t="str">
        <f>"250607"</f>
        <v>250607</v>
      </c>
      <c r="G951" t="s">
        <v>49</v>
      </c>
      <c r="H951" t="s">
        <v>637</v>
      </c>
      <c r="K951" t="s">
        <v>51</v>
      </c>
      <c r="L951" t="s">
        <v>52</v>
      </c>
      <c r="M951">
        <v>136436.54999999999</v>
      </c>
      <c r="N951">
        <v>472693.91</v>
      </c>
      <c r="O951" t="s">
        <v>53</v>
      </c>
      <c r="P951" t="s">
        <v>54</v>
      </c>
      <c r="Q951" t="s">
        <v>55</v>
      </c>
      <c r="T951" t="s">
        <v>241</v>
      </c>
      <c r="U951">
        <v>40</v>
      </c>
      <c r="V951" s="1">
        <v>35247</v>
      </c>
      <c r="W951" s="1">
        <v>35247</v>
      </c>
      <c r="X951" s="1">
        <v>35247</v>
      </c>
      <c r="Y951" s="1">
        <v>49857</v>
      </c>
      <c r="Z951" t="s">
        <v>51</v>
      </c>
      <c r="AB951" t="s">
        <v>54</v>
      </c>
      <c r="AC951">
        <v>1</v>
      </c>
      <c r="AE951" t="s">
        <v>222</v>
      </c>
      <c r="AF951">
        <v>20</v>
      </c>
      <c r="AG951" s="1">
        <v>35247</v>
      </c>
      <c r="AH951" s="1">
        <v>35247</v>
      </c>
      <c r="AI951" s="1">
        <v>35247</v>
      </c>
      <c r="AJ951" s="1">
        <v>42552</v>
      </c>
      <c r="AK951" t="s">
        <v>51</v>
      </c>
      <c r="AN951">
        <v>0</v>
      </c>
      <c r="AO951" t="s">
        <v>54</v>
      </c>
      <c r="AP951" t="s">
        <v>53</v>
      </c>
      <c r="AQ951">
        <v>0</v>
      </c>
      <c r="AR951" t="s">
        <v>53</v>
      </c>
      <c r="AS951">
        <v>0</v>
      </c>
      <c r="AT951">
        <v>0</v>
      </c>
      <c r="AW951" t="s">
        <v>58</v>
      </c>
      <c r="AX951">
        <v>20</v>
      </c>
      <c r="AY951" s="1">
        <v>44487</v>
      </c>
      <c r="AZ951" s="1">
        <v>44487</v>
      </c>
      <c r="BA951" s="1">
        <v>44487</v>
      </c>
      <c r="BB951" s="1">
        <v>51792</v>
      </c>
      <c r="BC951" t="s">
        <v>51</v>
      </c>
      <c r="BE951" t="s">
        <v>54</v>
      </c>
      <c r="BF951">
        <v>2</v>
      </c>
      <c r="BG951">
        <v>0</v>
      </c>
      <c r="BH951" t="s">
        <v>53</v>
      </c>
      <c r="BK951" t="s">
        <v>59</v>
      </c>
      <c r="BL951">
        <v>14000</v>
      </c>
      <c r="BM951" s="1">
        <v>44487</v>
      </c>
      <c r="BN951" s="1">
        <v>44487</v>
      </c>
      <c r="BO951" s="1">
        <v>44487</v>
      </c>
      <c r="BP951" s="1">
        <v>45648</v>
      </c>
      <c r="BQ951" t="s">
        <v>51</v>
      </c>
      <c r="BS951" t="s">
        <v>60</v>
      </c>
      <c r="BT951" t="s">
        <v>54</v>
      </c>
      <c r="BU951" t="s">
        <v>61</v>
      </c>
      <c r="BV951" t="s">
        <v>62</v>
      </c>
      <c r="BX951">
        <v>24</v>
      </c>
      <c r="BY951">
        <v>0</v>
      </c>
      <c r="BZ951">
        <v>0</v>
      </c>
    </row>
    <row r="952" spans="1:78" x14ac:dyDescent="0.2">
      <c r="A952" t="s">
        <v>180</v>
      </c>
      <c r="B952" t="s">
        <v>181</v>
      </c>
      <c r="C952" t="s">
        <v>184</v>
      </c>
      <c r="D952" t="s">
        <v>636</v>
      </c>
      <c r="F952" t="str">
        <f>"250608"</f>
        <v>250608</v>
      </c>
      <c r="G952" t="s">
        <v>49</v>
      </c>
      <c r="H952" t="s">
        <v>143</v>
      </c>
      <c r="K952" t="s">
        <v>51</v>
      </c>
      <c r="L952" t="s">
        <v>52</v>
      </c>
      <c r="M952">
        <v>136434.72</v>
      </c>
      <c r="N952">
        <v>472668.89</v>
      </c>
      <c r="O952" t="s">
        <v>53</v>
      </c>
      <c r="P952" t="s">
        <v>54</v>
      </c>
      <c r="Q952" t="s">
        <v>55</v>
      </c>
      <c r="T952" t="s">
        <v>241</v>
      </c>
      <c r="U952">
        <v>40</v>
      </c>
      <c r="V952" s="1">
        <v>35247</v>
      </c>
      <c r="W952" s="1">
        <v>35247</v>
      </c>
      <c r="X952" s="1">
        <v>35247</v>
      </c>
      <c r="Y952" s="1">
        <v>49857</v>
      </c>
      <c r="Z952" t="s">
        <v>51</v>
      </c>
      <c r="AB952" t="s">
        <v>54</v>
      </c>
      <c r="AC952">
        <v>1</v>
      </c>
      <c r="AE952" t="s">
        <v>222</v>
      </c>
      <c r="AF952">
        <v>20</v>
      </c>
      <c r="AG952" s="1">
        <v>35247</v>
      </c>
      <c r="AH952" s="1">
        <v>35247</v>
      </c>
      <c r="AI952" s="1">
        <v>35247</v>
      </c>
      <c r="AJ952" s="1">
        <v>42552</v>
      </c>
      <c r="AK952" t="s">
        <v>51</v>
      </c>
      <c r="AN952">
        <v>0</v>
      </c>
      <c r="AO952" t="s">
        <v>54</v>
      </c>
      <c r="AP952" t="s">
        <v>53</v>
      </c>
      <c r="AQ952">
        <v>0</v>
      </c>
      <c r="AR952" t="s">
        <v>53</v>
      </c>
      <c r="AS952">
        <v>0</v>
      </c>
      <c r="AT952">
        <v>0</v>
      </c>
      <c r="AW952" t="s">
        <v>58</v>
      </c>
      <c r="AX952">
        <v>20</v>
      </c>
      <c r="AY952" s="1">
        <v>35247</v>
      </c>
      <c r="AZ952" s="1">
        <v>35247</v>
      </c>
      <c r="BA952" s="1">
        <v>35247</v>
      </c>
      <c r="BB952" s="1">
        <v>42552</v>
      </c>
      <c r="BC952" t="s">
        <v>51</v>
      </c>
      <c r="BE952" t="s">
        <v>54</v>
      </c>
      <c r="BF952">
        <v>2</v>
      </c>
      <c r="BG952">
        <v>0</v>
      </c>
      <c r="BH952" t="s">
        <v>53</v>
      </c>
      <c r="BK952" t="s">
        <v>59</v>
      </c>
      <c r="BL952">
        <v>14000</v>
      </c>
      <c r="BM952" s="1">
        <v>41091</v>
      </c>
      <c r="BN952" s="1">
        <v>41091</v>
      </c>
      <c r="BO952" s="1">
        <v>41091</v>
      </c>
      <c r="BP952" s="1">
        <v>42291</v>
      </c>
      <c r="BQ952" t="s">
        <v>51</v>
      </c>
      <c r="BS952" t="s">
        <v>60</v>
      </c>
      <c r="BT952" t="s">
        <v>54</v>
      </c>
      <c r="BU952" t="s">
        <v>61</v>
      </c>
      <c r="BV952" t="s">
        <v>62</v>
      </c>
      <c r="BX952">
        <v>24</v>
      </c>
      <c r="BY952">
        <v>0</v>
      </c>
      <c r="BZ952">
        <v>0</v>
      </c>
    </row>
    <row r="953" spans="1:78" x14ac:dyDescent="0.2">
      <c r="A953" t="s">
        <v>180</v>
      </c>
      <c r="B953" t="s">
        <v>181</v>
      </c>
      <c r="C953" t="s">
        <v>184</v>
      </c>
      <c r="D953" t="s">
        <v>636</v>
      </c>
      <c r="F953" t="str">
        <f>"250609"</f>
        <v>250609</v>
      </c>
      <c r="G953" t="s">
        <v>49</v>
      </c>
      <c r="H953" t="s">
        <v>576</v>
      </c>
      <c r="K953" t="s">
        <v>51</v>
      </c>
      <c r="L953" t="s">
        <v>52</v>
      </c>
      <c r="M953">
        <v>136424.71</v>
      </c>
      <c r="N953">
        <v>472646.92</v>
      </c>
      <c r="O953" t="s">
        <v>53</v>
      </c>
      <c r="P953" t="s">
        <v>54</v>
      </c>
      <c r="Q953" t="s">
        <v>55</v>
      </c>
      <c r="T953" t="s">
        <v>241</v>
      </c>
      <c r="U953">
        <v>40</v>
      </c>
      <c r="V953" s="1">
        <v>35247</v>
      </c>
      <c r="W953" s="1">
        <v>35247</v>
      </c>
      <c r="X953" s="1">
        <v>35247</v>
      </c>
      <c r="Y953" s="1">
        <v>49857</v>
      </c>
      <c r="Z953" t="s">
        <v>51</v>
      </c>
      <c r="AB953" t="s">
        <v>54</v>
      </c>
      <c r="AC953">
        <v>1</v>
      </c>
      <c r="AE953" t="s">
        <v>222</v>
      </c>
      <c r="AF953">
        <v>20</v>
      </c>
      <c r="AG953" s="1">
        <v>35247</v>
      </c>
      <c r="AH953" s="1">
        <v>35247</v>
      </c>
      <c r="AI953" s="1">
        <v>35247</v>
      </c>
      <c r="AJ953" s="1">
        <v>42552</v>
      </c>
      <c r="AK953" t="s">
        <v>51</v>
      </c>
      <c r="AN953">
        <v>0</v>
      </c>
      <c r="AO953" t="s">
        <v>54</v>
      </c>
      <c r="AP953" t="s">
        <v>53</v>
      </c>
      <c r="AQ953">
        <v>0</v>
      </c>
      <c r="AR953" t="s">
        <v>53</v>
      </c>
      <c r="AS953">
        <v>0</v>
      </c>
      <c r="AT953">
        <v>0</v>
      </c>
      <c r="AW953" t="s">
        <v>58</v>
      </c>
      <c r="AX953">
        <v>20</v>
      </c>
      <c r="AY953" s="1">
        <v>35247</v>
      </c>
      <c r="AZ953" s="1">
        <v>35247</v>
      </c>
      <c r="BA953" s="1">
        <v>35247</v>
      </c>
      <c r="BB953" s="1">
        <v>42552</v>
      </c>
      <c r="BC953" t="s">
        <v>51</v>
      </c>
      <c r="BE953" t="s">
        <v>54</v>
      </c>
      <c r="BF953">
        <v>2</v>
      </c>
      <c r="BG953">
        <v>0</v>
      </c>
      <c r="BH953" t="s">
        <v>53</v>
      </c>
      <c r="BK953" t="s">
        <v>59</v>
      </c>
      <c r="BL953">
        <v>14000</v>
      </c>
      <c r="BM953" s="1">
        <v>41091</v>
      </c>
      <c r="BN953" s="1">
        <v>41091</v>
      </c>
      <c r="BO953" s="1">
        <v>41091</v>
      </c>
      <c r="BP953" s="1">
        <v>42291</v>
      </c>
      <c r="BQ953" t="s">
        <v>51</v>
      </c>
      <c r="BS953" t="s">
        <v>60</v>
      </c>
      <c r="BT953" t="s">
        <v>54</v>
      </c>
      <c r="BU953" t="s">
        <v>61</v>
      </c>
      <c r="BV953" t="s">
        <v>62</v>
      </c>
      <c r="BX953">
        <v>24</v>
      </c>
      <c r="BY953">
        <v>0</v>
      </c>
      <c r="BZ953">
        <v>0</v>
      </c>
    </row>
    <row r="954" spans="1:78" x14ac:dyDescent="0.2">
      <c r="A954" t="s">
        <v>180</v>
      </c>
      <c r="B954" t="s">
        <v>181</v>
      </c>
      <c r="C954" t="s">
        <v>184</v>
      </c>
      <c r="D954" t="s">
        <v>636</v>
      </c>
      <c r="F954" t="str">
        <f>"250610"</f>
        <v>250610</v>
      </c>
      <c r="G954" t="s">
        <v>49</v>
      </c>
      <c r="H954" t="s">
        <v>262</v>
      </c>
      <c r="K954" t="s">
        <v>51</v>
      </c>
      <c r="L954" t="s">
        <v>52</v>
      </c>
      <c r="M954">
        <v>136427.10999999999</v>
      </c>
      <c r="N954">
        <v>472631.56</v>
      </c>
      <c r="O954" t="s">
        <v>53</v>
      </c>
      <c r="P954" t="s">
        <v>54</v>
      </c>
      <c r="Q954" t="s">
        <v>55</v>
      </c>
      <c r="T954" t="s">
        <v>241</v>
      </c>
      <c r="U954">
        <v>40</v>
      </c>
      <c r="V954" s="1">
        <v>35247</v>
      </c>
      <c r="W954" s="1">
        <v>35247</v>
      </c>
      <c r="X954" s="1">
        <v>35247</v>
      </c>
      <c r="Y954" s="1">
        <v>49857</v>
      </c>
      <c r="Z954" t="s">
        <v>51</v>
      </c>
      <c r="AB954" t="s">
        <v>54</v>
      </c>
      <c r="AC954">
        <v>1</v>
      </c>
      <c r="AE954" t="s">
        <v>222</v>
      </c>
      <c r="AF954">
        <v>20</v>
      </c>
      <c r="AG954" s="1">
        <v>35247</v>
      </c>
      <c r="AH954" s="1">
        <v>35247</v>
      </c>
      <c r="AI954" s="1">
        <v>35247</v>
      </c>
      <c r="AJ954" s="1">
        <v>42552</v>
      </c>
      <c r="AK954" t="s">
        <v>51</v>
      </c>
      <c r="AN954">
        <v>0</v>
      </c>
      <c r="AO954" t="s">
        <v>54</v>
      </c>
      <c r="AP954" t="s">
        <v>53</v>
      </c>
      <c r="AQ954">
        <v>0</v>
      </c>
      <c r="AR954" t="s">
        <v>53</v>
      </c>
      <c r="AS954">
        <v>0</v>
      </c>
      <c r="AT954">
        <v>0</v>
      </c>
      <c r="AW954" t="s">
        <v>58</v>
      </c>
      <c r="AX954">
        <v>20</v>
      </c>
      <c r="AY954" s="1">
        <v>35247</v>
      </c>
      <c r="AZ954" s="1">
        <v>35247</v>
      </c>
      <c r="BA954" s="1">
        <v>35247</v>
      </c>
      <c r="BB954" s="1">
        <v>42552</v>
      </c>
      <c r="BC954" t="s">
        <v>51</v>
      </c>
      <c r="BE954" t="s">
        <v>54</v>
      </c>
      <c r="BF954">
        <v>2</v>
      </c>
      <c r="BG954">
        <v>0</v>
      </c>
      <c r="BH954" t="s">
        <v>53</v>
      </c>
      <c r="BK954" t="s">
        <v>59</v>
      </c>
      <c r="BL954">
        <v>14000</v>
      </c>
      <c r="BM954" s="1">
        <v>41091</v>
      </c>
      <c r="BN954" s="1">
        <v>41091</v>
      </c>
      <c r="BO954" s="1">
        <v>41091</v>
      </c>
      <c r="BP954" s="1">
        <v>42291</v>
      </c>
      <c r="BQ954" t="s">
        <v>51</v>
      </c>
      <c r="BS954" t="s">
        <v>60</v>
      </c>
      <c r="BT954" t="s">
        <v>54</v>
      </c>
      <c r="BU954" t="s">
        <v>61</v>
      </c>
      <c r="BV954" t="s">
        <v>62</v>
      </c>
      <c r="BX954">
        <v>24</v>
      </c>
      <c r="BY954">
        <v>0</v>
      </c>
      <c r="BZ954">
        <v>0</v>
      </c>
    </row>
    <row r="955" spans="1:78" x14ac:dyDescent="0.2">
      <c r="A955" t="s">
        <v>180</v>
      </c>
      <c r="B955" t="s">
        <v>181</v>
      </c>
      <c r="C955" t="s">
        <v>184</v>
      </c>
      <c r="D955" t="s">
        <v>636</v>
      </c>
      <c r="F955" t="str">
        <f>"250611"</f>
        <v>250611</v>
      </c>
      <c r="G955" t="s">
        <v>49</v>
      </c>
      <c r="H955" t="s">
        <v>163</v>
      </c>
      <c r="K955" t="s">
        <v>51</v>
      </c>
      <c r="L955" t="s">
        <v>52</v>
      </c>
      <c r="M955">
        <v>136406.87</v>
      </c>
      <c r="N955">
        <v>472652.18</v>
      </c>
      <c r="O955" t="s">
        <v>53</v>
      </c>
      <c r="P955" t="s">
        <v>54</v>
      </c>
      <c r="Q955" t="s">
        <v>55</v>
      </c>
      <c r="T955" t="s">
        <v>241</v>
      </c>
      <c r="U955">
        <v>40</v>
      </c>
      <c r="V955" s="1">
        <v>35247</v>
      </c>
      <c r="W955" s="1">
        <v>35247</v>
      </c>
      <c r="X955" s="1">
        <v>35247</v>
      </c>
      <c r="Y955" s="1">
        <v>49857</v>
      </c>
      <c r="Z955" t="s">
        <v>51</v>
      </c>
      <c r="AB955" t="s">
        <v>54</v>
      </c>
      <c r="AC955">
        <v>1</v>
      </c>
      <c r="AE955" t="s">
        <v>222</v>
      </c>
      <c r="AF955">
        <v>20</v>
      </c>
      <c r="AG955" s="1">
        <v>35247</v>
      </c>
      <c r="AH955" s="1">
        <v>35247</v>
      </c>
      <c r="AI955" s="1">
        <v>35247</v>
      </c>
      <c r="AJ955" s="1">
        <v>42552</v>
      </c>
      <c r="AK955" t="s">
        <v>51</v>
      </c>
      <c r="AN955">
        <v>0</v>
      </c>
      <c r="AO955" t="s">
        <v>54</v>
      </c>
      <c r="AP955" t="s">
        <v>53</v>
      </c>
      <c r="AQ955">
        <v>0</v>
      </c>
      <c r="AR955" t="s">
        <v>53</v>
      </c>
      <c r="AS955">
        <v>0</v>
      </c>
      <c r="AT955">
        <v>0</v>
      </c>
      <c r="AW955" t="s">
        <v>58</v>
      </c>
      <c r="AX955">
        <v>20</v>
      </c>
      <c r="AY955" s="1">
        <v>35247</v>
      </c>
      <c r="AZ955" s="1">
        <v>35247</v>
      </c>
      <c r="BA955" s="1">
        <v>35247</v>
      </c>
      <c r="BB955" s="1">
        <v>42552</v>
      </c>
      <c r="BC955" t="s">
        <v>51</v>
      </c>
      <c r="BE955" t="s">
        <v>54</v>
      </c>
      <c r="BF955">
        <v>2</v>
      </c>
      <c r="BG955">
        <v>0</v>
      </c>
      <c r="BH955" t="s">
        <v>53</v>
      </c>
      <c r="BK955" t="s">
        <v>59</v>
      </c>
      <c r="BL955">
        <v>14000</v>
      </c>
      <c r="BM955" s="1">
        <v>41091</v>
      </c>
      <c r="BN955" s="1">
        <v>41091</v>
      </c>
      <c r="BO955" s="1">
        <v>41091</v>
      </c>
      <c r="BP955" s="1">
        <v>42291</v>
      </c>
      <c r="BQ955" t="s">
        <v>51</v>
      </c>
      <c r="BS955" t="s">
        <v>60</v>
      </c>
      <c r="BT955" t="s">
        <v>54</v>
      </c>
      <c r="BU955" t="s">
        <v>61</v>
      </c>
      <c r="BV955" t="s">
        <v>62</v>
      </c>
      <c r="BX955">
        <v>24</v>
      </c>
      <c r="BY955">
        <v>0</v>
      </c>
      <c r="BZ955">
        <v>0</v>
      </c>
    </row>
    <row r="956" spans="1:78" x14ac:dyDescent="0.2">
      <c r="A956" t="s">
        <v>180</v>
      </c>
      <c r="B956" t="s">
        <v>181</v>
      </c>
      <c r="C956" t="s">
        <v>184</v>
      </c>
      <c r="D956" t="s">
        <v>636</v>
      </c>
      <c r="F956" t="str">
        <f>"250612"</f>
        <v>250612</v>
      </c>
      <c r="G956" t="s">
        <v>49</v>
      </c>
      <c r="H956" t="s">
        <v>236</v>
      </c>
      <c r="K956" t="s">
        <v>51</v>
      </c>
      <c r="L956" t="s">
        <v>52</v>
      </c>
      <c r="M956">
        <v>136389.39000000001</v>
      </c>
      <c r="N956">
        <v>472660.19</v>
      </c>
      <c r="O956" t="s">
        <v>53</v>
      </c>
      <c r="P956" t="s">
        <v>54</v>
      </c>
      <c r="Q956" t="s">
        <v>55</v>
      </c>
      <c r="T956" t="s">
        <v>241</v>
      </c>
      <c r="U956">
        <v>40</v>
      </c>
      <c r="V956" s="1">
        <v>35247</v>
      </c>
      <c r="W956" s="1">
        <v>35247</v>
      </c>
      <c r="X956" s="1">
        <v>35247</v>
      </c>
      <c r="Y956" s="1">
        <v>49857</v>
      </c>
      <c r="Z956" t="s">
        <v>51</v>
      </c>
      <c r="AB956" t="s">
        <v>54</v>
      </c>
      <c r="AC956">
        <v>1</v>
      </c>
      <c r="AE956" t="s">
        <v>222</v>
      </c>
      <c r="AF956">
        <v>20</v>
      </c>
      <c r="AG956" s="1">
        <v>35247</v>
      </c>
      <c r="AH956" s="1">
        <v>35247</v>
      </c>
      <c r="AI956" s="1">
        <v>35247</v>
      </c>
      <c r="AJ956" s="1">
        <v>42552</v>
      </c>
      <c r="AK956" t="s">
        <v>51</v>
      </c>
      <c r="AN956">
        <v>0</v>
      </c>
      <c r="AO956" t="s">
        <v>54</v>
      </c>
      <c r="AP956" t="s">
        <v>53</v>
      </c>
      <c r="AQ956">
        <v>0</v>
      </c>
      <c r="AR956" t="s">
        <v>53</v>
      </c>
      <c r="AS956">
        <v>0</v>
      </c>
      <c r="AT956">
        <v>0</v>
      </c>
      <c r="AW956" t="s">
        <v>58</v>
      </c>
      <c r="AX956">
        <v>20</v>
      </c>
      <c r="AY956" s="1">
        <v>35247</v>
      </c>
      <c r="AZ956" s="1">
        <v>35247</v>
      </c>
      <c r="BA956" s="1">
        <v>35247</v>
      </c>
      <c r="BB956" s="1">
        <v>42552</v>
      </c>
      <c r="BC956" t="s">
        <v>51</v>
      </c>
      <c r="BE956" t="s">
        <v>54</v>
      </c>
      <c r="BF956">
        <v>2</v>
      </c>
      <c r="BG956">
        <v>0</v>
      </c>
      <c r="BH956" t="s">
        <v>53</v>
      </c>
      <c r="BK956" t="s">
        <v>59</v>
      </c>
      <c r="BL956">
        <v>14000</v>
      </c>
      <c r="BM956" s="1">
        <v>41091</v>
      </c>
      <c r="BN956" s="1">
        <v>41091</v>
      </c>
      <c r="BO956" s="1">
        <v>41091</v>
      </c>
      <c r="BP956" s="1">
        <v>42291</v>
      </c>
      <c r="BQ956" t="s">
        <v>51</v>
      </c>
      <c r="BS956" t="s">
        <v>60</v>
      </c>
      <c r="BT956" t="s">
        <v>54</v>
      </c>
      <c r="BU956" t="s">
        <v>61</v>
      </c>
      <c r="BV956" t="s">
        <v>62</v>
      </c>
      <c r="BX956">
        <v>24</v>
      </c>
      <c r="BY956">
        <v>0</v>
      </c>
      <c r="BZ956">
        <v>0</v>
      </c>
    </row>
    <row r="957" spans="1:78" x14ac:dyDescent="0.2">
      <c r="A957" t="s">
        <v>180</v>
      </c>
      <c r="B957" t="s">
        <v>181</v>
      </c>
      <c r="C957" t="s">
        <v>184</v>
      </c>
      <c r="D957" t="s">
        <v>636</v>
      </c>
      <c r="F957" t="str">
        <f>"250613"</f>
        <v>250613</v>
      </c>
      <c r="G957" t="s">
        <v>49</v>
      </c>
      <c r="H957" t="s">
        <v>219</v>
      </c>
      <c r="K957" t="s">
        <v>51</v>
      </c>
      <c r="L957" t="s">
        <v>52</v>
      </c>
      <c r="M957">
        <v>136365.92000000001</v>
      </c>
      <c r="N957">
        <v>472671.09</v>
      </c>
      <c r="O957" t="s">
        <v>53</v>
      </c>
      <c r="P957" t="s">
        <v>54</v>
      </c>
      <c r="Q957" t="s">
        <v>55</v>
      </c>
      <c r="T957" t="s">
        <v>241</v>
      </c>
      <c r="U957">
        <v>40</v>
      </c>
      <c r="V957" s="1">
        <v>35247</v>
      </c>
      <c r="W957" s="1">
        <v>35247</v>
      </c>
      <c r="X957" s="1">
        <v>35247</v>
      </c>
      <c r="Y957" s="1">
        <v>49857</v>
      </c>
      <c r="Z957" t="s">
        <v>51</v>
      </c>
      <c r="AB957" t="s">
        <v>54</v>
      </c>
      <c r="AC957">
        <v>1</v>
      </c>
      <c r="AE957" t="s">
        <v>222</v>
      </c>
      <c r="AF957">
        <v>20</v>
      </c>
      <c r="AG957" s="1">
        <v>24289</v>
      </c>
      <c r="AH957" s="1">
        <v>24289</v>
      </c>
      <c r="AI957" s="1">
        <v>35247</v>
      </c>
      <c r="AJ957" s="1">
        <v>31594</v>
      </c>
      <c r="AK957" t="s">
        <v>51</v>
      </c>
      <c r="AN957">
        <v>0</v>
      </c>
      <c r="AO957" t="s">
        <v>54</v>
      </c>
      <c r="AP957" t="s">
        <v>53</v>
      </c>
      <c r="AQ957">
        <v>0</v>
      </c>
      <c r="AR957" t="s">
        <v>53</v>
      </c>
      <c r="AS957">
        <v>0</v>
      </c>
      <c r="AT957">
        <v>0</v>
      </c>
      <c r="AW957" t="s">
        <v>58</v>
      </c>
      <c r="AX957">
        <v>20</v>
      </c>
      <c r="AY957" s="1">
        <v>24289</v>
      </c>
      <c r="AZ957" s="1">
        <v>24289</v>
      </c>
      <c r="BA957" s="1">
        <v>35247</v>
      </c>
      <c r="BB957" s="1">
        <v>31594</v>
      </c>
      <c r="BC957" t="s">
        <v>51</v>
      </c>
      <c r="BE957" t="s">
        <v>54</v>
      </c>
      <c r="BF957">
        <v>2</v>
      </c>
      <c r="BG957">
        <v>0</v>
      </c>
      <c r="BH957" t="s">
        <v>53</v>
      </c>
      <c r="BK957" t="s">
        <v>59</v>
      </c>
      <c r="BL957">
        <v>14000</v>
      </c>
      <c r="BM957" s="1">
        <v>41091</v>
      </c>
      <c r="BN957" s="1">
        <v>41091</v>
      </c>
      <c r="BO957" s="1">
        <v>41091</v>
      </c>
      <c r="BP957" s="1">
        <v>42291</v>
      </c>
      <c r="BQ957" t="s">
        <v>51</v>
      </c>
      <c r="BS957" t="s">
        <v>60</v>
      </c>
      <c r="BT957" t="s">
        <v>54</v>
      </c>
      <c r="BU957" t="s">
        <v>61</v>
      </c>
      <c r="BV957" t="s">
        <v>62</v>
      </c>
      <c r="BX957">
        <v>24</v>
      </c>
      <c r="BY957">
        <v>0</v>
      </c>
      <c r="BZ957">
        <v>0</v>
      </c>
    </row>
    <row r="958" spans="1:78" x14ac:dyDescent="0.2">
      <c r="A958" t="s">
        <v>180</v>
      </c>
      <c r="B958" t="s">
        <v>181</v>
      </c>
      <c r="C958" t="s">
        <v>184</v>
      </c>
      <c r="D958" t="s">
        <v>636</v>
      </c>
      <c r="F958" t="str">
        <f>"250614"</f>
        <v>250614</v>
      </c>
      <c r="G958" t="s">
        <v>49</v>
      </c>
      <c r="H958" t="s">
        <v>219</v>
      </c>
      <c r="K958" t="s">
        <v>51</v>
      </c>
      <c r="L958" t="s">
        <v>52</v>
      </c>
      <c r="M958">
        <v>136348.19</v>
      </c>
      <c r="N958">
        <v>472679.79</v>
      </c>
      <c r="O958" t="s">
        <v>53</v>
      </c>
      <c r="P958" t="s">
        <v>54</v>
      </c>
      <c r="Q958" t="s">
        <v>55</v>
      </c>
      <c r="T958" t="s">
        <v>241</v>
      </c>
      <c r="U958">
        <v>40</v>
      </c>
      <c r="V958" s="1">
        <v>35247</v>
      </c>
      <c r="W958" s="1">
        <v>35247</v>
      </c>
      <c r="X958" s="1">
        <v>35247</v>
      </c>
      <c r="Y958" s="1">
        <v>49857</v>
      </c>
      <c r="Z958" t="s">
        <v>51</v>
      </c>
      <c r="AB958" t="s">
        <v>54</v>
      </c>
      <c r="AC958">
        <v>1</v>
      </c>
      <c r="AE958" t="s">
        <v>222</v>
      </c>
      <c r="AF958">
        <v>20</v>
      </c>
      <c r="AG958" s="1">
        <v>35247</v>
      </c>
      <c r="AH958" s="1">
        <v>35247</v>
      </c>
      <c r="AI958" s="1">
        <v>35247</v>
      </c>
      <c r="AJ958" s="1">
        <v>42552</v>
      </c>
      <c r="AK958" t="s">
        <v>51</v>
      </c>
      <c r="AN958">
        <v>0</v>
      </c>
      <c r="AO958" t="s">
        <v>54</v>
      </c>
      <c r="AP958" t="s">
        <v>53</v>
      </c>
      <c r="AQ958">
        <v>0</v>
      </c>
      <c r="AR958" t="s">
        <v>53</v>
      </c>
      <c r="AS958">
        <v>0</v>
      </c>
      <c r="AT958">
        <v>0</v>
      </c>
      <c r="AW958" t="s">
        <v>58</v>
      </c>
      <c r="AX958">
        <v>20</v>
      </c>
      <c r="AY958" s="1">
        <v>35247</v>
      </c>
      <c r="AZ958" s="1">
        <v>35247</v>
      </c>
      <c r="BA958" s="1">
        <v>35247</v>
      </c>
      <c r="BB958" s="1">
        <v>42552</v>
      </c>
      <c r="BC958" t="s">
        <v>51</v>
      </c>
      <c r="BE958" t="s">
        <v>54</v>
      </c>
      <c r="BF958">
        <v>2</v>
      </c>
      <c r="BG958">
        <v>0</v>
      </c>
      <c r="BH958" t="s">
        <v>53</v>
      </c>
      <c r="BK958" t="s">
        <v>59</v>
      </c>
      <c r="BL958">
        <v>14000</v>
      </c>
      <c r="BM958" s="1">
        <v>41091</v>
      </c>
      <c r="BN958" s="1">
        <v>41091</v>
      </c>
      <c r="BO958" s="1">
        <v>41091</v>
      </c>
      <c r="BP958" s="1">
        <v>42291</v>
      </c>
      <c r="BQ958" t="s">
        <v>51</v>
      </c>
      <c r="BS958" t="s">
        <v>60</v>
      </c>
      <c r="BT958" t="s">
        <v>54</v>
      </c>
      <c r="BU958" t="s">
        <v>61</v>
      </c>
      <c r="BV958" t="s">
        <v>62</v>
      </c>
      <c r="BX958">
        <v>24</v>
      </c>
      <c r="BY958">
        <v>0</v>
      </c>
      <c r="BZ958">
        <v>0</v>
      </c>
    </row>
    <row r="959" spans="1:78" x14ac:dyDescent="0.2">
      <c r="A959" t="s">
        <v>180</v>
      </c>
      <c r="B959" t="s">
        <v>181</v>
      </c>
      <c r="C959" t="s">
        <v>184</v>
      </c>
      <c r="D959" t="s">
        <v>636</v>
      </c>
      <c r="F959" t="str">
        <f>"250615"</f>
        <v>250615</v>
      </c>
      <c r="G959" t="s">
        <v>49</v>
      </c>
      <c r="H959" t="s">
        <v>638</v>
      </c>
      <c r="K959" t="s">
        <v>51</v>
      </c>
      <c r="L959" t="s">
        <v>52</v>
      </c>
      <c r="M959">
        <v>136397.54</v>
      </c>
      <c r="N959">
        <v>472685.6</v>
      </c>
      <c r="O959" t="s">
        <v>53</v>
      </c>
      <c r="P959" t="s">
        <v>54</v>
      </c>
      <c r="Q959" t="s">
        <v>55</v>
      </c>
      <c r="T959" t="s">
        <v>241</v>
      </c>
      <c r="U959">
        <v>40</v>
      </c>
      <c r="V959" s="1">
        <v>35247</v>
      </c>
      <c r="W959" s="1">
        <v>35247</v>
      </c>
      <c r="X959" s="1">
        <v>35247</v>
      </c>
      <c r="Y959" s="1">
        <v>49857</v>
      </c>
      <c r="Z959" t="s">
        <v>51</v>
      </c>
      <c r="AB959" t="s">
        <v>54</v>
      </c>
      <c r="AC959">
        <v>1</v>
      </c>
      <c r="AE959" t="s">
        <v>222</v>
      </c>
      <c r="AF959">
        <v>20</v>
      </c>
      <c r="AG959" s="1">
        <v>35247</v>
      </c>
      <c r="AH959" s="1">
        <v>35247</v>
      </c>
      <c r="AI959" s="1">
        <v>35247</v>
      </c>
      <c r="AJ959" s="1">
        <v>42552</v>
      </c>
      <c r="AK959" t="s">
        <v>51</v>
      </c>
      <c r="AN959">
        <v>0</v>
      </c>
      <c r="AO959" t="s">
        <v>54</v>
      </c>
      <c r="AP959" t="s">
        <v>53</v>
      </c>
      <c r="AQ959">
        <v>0</v>
      </c>
      <c r="AR959" t="s">
        <v>53</v>
      </c>
      <c r="AS959">
        <v>0</v>
      </c>
      <c r="AT959">
        <v>0</v>
      </c>
      <c r="AW959" t="s">
        <v>58</v>
      </c>
      <c r="AX959">
        <v>20</v>
      </c>
      <c r="AY959" s="1">
        <v>35247</v>
      </c>
      <c r="AZ959" s="1">
        <v>35247</v>
      </c>
      <c r="BA959" s="1">
        <v>35247</v>
      </c>
      <c r="BB959" s="1">
        <v>42552</v>
      </c>
      <c r="BC959" t="s">
        <v>51</v>
      </c>
      <c r="BE959" t="s">
        <v>54</v>
      </c>
      <c r="BF959">
        <v>2</v>
      </c>
      <c r="BG959">
        <v>0</v>
      </c>
      <c r="BH959" t="s">
        <v>53</v>
      </c>
      <c r="BK959" t="s">
        <v>59</v>
      </c>
      <c r="BL959">
        <v>14000</v>
      </c>
      <c r="BM959" s="1">
        <v>41091</v>
      </c>
      <c r="BN959" s="1">
        <v>41091</v>
      </c>
      <c r="BO959" s="1">
        <v>41091</v>
      </c>
      <c r="BP959" s="1">
        <v>42291</v>
      </c>
      <c r="BQ959" t="s">
        <v>51</v>
      </c>
      <c r="BS959" t="s">
        <v>60</v>
      </c>
      <c r="BT959" t="s">
        <v>54</v>
      </c>
      <c r="BU959" t="s">
        <v>61</v>
      </c>
      <c r="BV959" t="s">
        <v>62</v>
      </c>
      <c r="BX959">
        <v>24</v>
      </c>
      <c r="BY959">
        <v>0</v>
      </c>
      <c r="BZ959">
        <v>0</v>
      </c>
    </row>
    <row r="960" spans="1:78" x14ac:dyDescent="0.2">
      <c r="A960" t="s">
        <v>180</v>
      </c>
      <c r="B960" t="s">
        <v>181</v>
      </c>
      <c r="C960" t="s">
        <v>184</v>
      </c>
      <c r="D960" t="s">
        <v>636</v>
      </c>
      <c r="F960" t="str">
        <f>"250616"</f>
        <v>250616</v>
      </c>
      <c r="G960" t="s">
        <v>49</v>
      </c>
      <c r="H960" t="s">
        <v>260</v>
      </c>
      <c r="K960" t="s">
        <v>51</v>
      </c>
      <c r="L960" t="s">
        <v>52</v>
      </c>
      <c r="M960">
        <v>136403.41</v>
      </c>
      <c r="N960">
        <v>472698.31</v>
      </c>
      <c r="O960" t="s">
        <v>53</v>
      </c>
      <c r="P960" t="s">
        <v>54</v>
      </c>
      <c r="Q960" t="s">
        <v>55</v>
      </c>
      <c r="T960" t="s">
        <v>241</v>
      </c>
      <c r="U960">
        <v>40</v>
      </c>
      <c r="V960" s="1">
        <v>35247</v>
      </c>
      <c r="W960" s="1">
        <v>35247</v>
      </c>
      <c r="X960" s="1">
        <v>35247</v>
      </c>
      <c r="Y960" s="1">
        <v>49857</v>
      </c>
      <c r="Z960" t="s">
        <v>51</v>
      </c>
      <c r="AB960" t="s">
        <v>54</v>
      </c>
      <c r="AC960">
        <v>1</v>
      </c>
      <c r="AE960" t="s">
        <v>222</v>
      </c>
      <c r="AF960">
        <v>20</v>
      </c>
      <c r="AG960" s="1">
        <v>35247</v>
      </c>
      <c r="AH960" s="1">
        <v>35247</v>
      </c>
      <c r="AI960" s="1">
        <v>35247</v>
      </c>
      <c r="AJ960" s="1">
        <v>42552</v>
      </c>
      <c r="AK960" t="s">
        <v>51</v>
      </c>
      <c r="AN960">
        <v>0</v>
      </c>
      <c r="AO960" t="s">
        <v>54</v>
      </c>
      <c r="AP960" t="s">
        <v>53</v>
      </c>
      <c r="AQ960">
        <v>0</v>
      </c>
      <c r="AR960" t="s">
        <v>53</v>
      </c>
      <c r="AS960">
        <v>0</v>
      </c>
      <c r="AT960">
        <v>0</v>
      </c>
      <c r="AW960" t="s">
        <v>58</v>
      </c>
      <c r="AX960">
        <v>20</v>
      </c>
      <c r="AY960" s="1">
        <v>43514</v>
      </c>
      <c r="AZ960" s="1">
        <v>43514</v>
      </c>
      <c r="BA960" s="1">
        <v>43514</v>
      </c>
      <c r="BB960" s="1">
        <v>50819</v>
      </c>
      <c r="BC960" t="s">
        <v>51</v>
      </c>
      <c r="BE960" t="s">
        <v>54</v>
      </c>
      <c r="BF960">
        <v>2</v>
      </c>
      <c r="BG960">
        <v>0</v>
      </c>
      <c r="BH960" t="s">
        <v>53</v>
      </c>
      <c r="BK960" t="s">
        <v>59</v>
      </c>
      <c r="BL960">
        <v>14000</v>
      </c>
      <c r="BM960" s="1">
        <v>43514</v>
      </c>
      <c r="BN960" s="1">
        <v>43514</v>
      </c>
      <c r="BO960" s="1">
        <v>43514</v>
      </c>
      <c r="BP960" s="1">
        <v>44708</v>
      </c>
      <c r="BQ960" t="s">
        <v>51</v>
      </c>
      <c r="BS960" t="s">
        <v>60</v>
      </c>
      <c r="BT960" t="s">
        <v>54</v>
      </c>
      <c r="BU960" t="s">
        <v>61</v>
      </c>
      <c r="BV960" t="s">
        <v>62</v>
      </c>
      <c r="BX960">
        <v>24</v>
      </c>
      <c r="BY960">
        <v>0</v>
      </c>
      <c r="BZ960">
        <v>0</v>
      </c>
    </row>
    <row r="961" spans="1:78" x14ac:dyDescent="0.2">
      <c r="A961" t="s">
        <v>180</v>
      </c>
      <c r="B961" t="s">
        <v>181</v>
      </c>
      <c r="C961" t="s">
        <v>184</v>
      </c>
      <c r="D961" t="s">
        <v>636</v>
      </c>
      <c r="F961" t="str">
        <f>"250617"</f>
        <v>250617</v>
      </c>
      <c r="G961" t="s">
        <v>49</v>
      </c>
      <c r="K961" t="s">
        <v>51</v>
      </c>
      <c r="L961" t="s">
        <v>52</v>
      </c>
      <c r="M961">
        <v>136410.6</v>
      </c>
      <c r="N961">
        <v>472713.5</v>
      </c>
      <c r="O961" t="s">
        <v>53</v>
      </c>
      <c r="P961" t="s">
        <v>54</v>
      </c>
      <c r="Q961" t="s">
        <v>55</v>
      </c>
      <c r="T961" t="s">
        <v>241</v>
      </c>
      <c r="U961">
        <v>40</v>
      </c>
      <c r="V961" s="1">
        <v>35247</v>
      </c>
      <c r="W961" s="1">
        <v>35247</v>
      </c>
      <c r="X961" s="1">
        <v>35247</v>
      </c>
      <c r="Y961" s="1">
        <v>49857</v>
      </c>
      <c r="Z961" t="s">
        <v>51</v>
      </c>
      <c r="AB961" t="s">
        <v>54</v>
      </c>
      <c r="AC961">
        <v>1</v>
      </c>
      <c r="AE961" t="s">
        <v>222</v>
      </c>
      <c r="AF961">
        <v>20</v>
      </c>
      <c r="AG961" s="1">
        <v>35247</v>
      </c>
      <c r="AH961" s="1">
        <v>35247</v>
      </c>
      <c r="AI961" s="1">
        <v>35247</v>
      </c>
      <c r="AJ961" s="1">
        <v>42552</v>
      </c>
      <c r="AK961" t="s">
        <v>51</v>
      </c>
      <c r="AN961">
        <v>0</v>
      </c>
      <c r="AO961" t="s">
        <v>54</v>
      </c>
      <c r="AP961" t="s">
        <v>53</v>
      </c>
      <c r="AQ961">
        <v>0</v>
      </c>
      <c r="AR961" t="s">
        <v>53</v>
      </c>
      <c r="AS961">
        <v>0</v>
      </c>
      <c r="AT961">
        <v>0</v>
      </c>
      <c r="AW961" t="s">
        <v>58</v>
      </c>
      <c r="AX961">
        <v>20</v>
      </c>
      <c r="AY961" s="1">
        <v>35247</v>
      </c>
      <c r="AZ961" s="1">
        <v>35247</v>
      </c>
      <c r="BA961" s="1">
        <v>35247</v>
      </c>
      <c r="BB961" s="1">
        <v>42552</v>
      </c>
      <c r="BC961" t="s">
        <v>51</v>
      </c>
      <c r="BE961" t="s">
        <v>54</v>
      </c>
      <c r="BF961">
        <v>2</v>
      </c>
      <c r="BG961">
        <v>0</v>
      </c>
      <c r="BH961" t="s">
        <v>53</v>
      </c>
      <c r="BK961" t="s">
        <v>59</v>
      </c>
      <c r="BL961">
        <v>14000</v>
      </c>
      <c r="BM961" s="1">
        <v>41091</v>
      </c>
      <c r="BN961" s="1">
        <v>41091</v>
      </c>
      <c r="BO961" s="1">
        <v>41091</v>
      </c>
      <c r="BP961" s="1">
        <v>42291</v>
      </c>
      <c r="BQ961" t="s">
        <v>51</v>
      </c>
      <c r="BS961" t="s">
        <v>60</v>
      </c>
      <c r="BT961" t="s">
        <v>54</v>
      </c>
      <c r="BU961" t="s">
        <v>61</v>
      </c>
      <c r="BV961" t="s">
        <v>62</v>
      </c>
      <c r="BX961">
        <v>24</v>
      </c>
      <c r="BY961">
        <v>0</v>
      </c>
      <c r="BZ961">
        <v>0</v>
      </c>
    </row>
    <row r="962" spans="1:78" x14ac:dyDescent="0.2">
      <c r="A962" t="s">
        <v>180</v>
      </c>
      <c r="B962" t="s">
        <v>181</v>
      </c>
      <c r="C962" t="s">
        <v>184</v>
      </c>
      <c r="D962" t="s">
        <v>636</v>
      </c>
      <c r="F962" t="str">
        <f>"250618"</f>
        <v>250618</v>
      </c>
      <c r="G962" t="s">
        <v>49</v>
      </c>
      <c r="H962" t="s">
        <v>575</v>
      </c>
      <c r="K962" t="s">
        <v>51</v>
      </c>
      <c r="L962" t="s">
        <v>52</v>
      </c>
      <c r="M962">
        <v>136391.51999999999</v>
      </c>
      <c r="N962">
        <v>472734.44</v>
      </c>
      <c r="O962" t="s">
        <v>53</v>
      </c>
      <c r="P962" t="s">
        <v>54</v>
      </c>
      <c r="Q962" t="s">
        <v>55</v>
      </c>
      <c r="T962" t="s">
        <v>241</v>
      </c>
      <c r="U962">
        <v>40</v>
      </c>
      <c r="V962" s="1">
        <v>35247</v>
      </c>
      <c r="W962" s="1">
        <v>35247</v>
      </c>
      <c r="X962" s="1">
        <v>35247</v>
      </c>
      <c r="Y962" s="1">
        <v>49857</v>
      </c>
      <c r="Z962" t="s">
        <v>51</v>
      </c>
      <c r="AB962" t="s">
        <v>54</v>
      </c>
      <c r="AC962">
        <v>1</v>
      </c>
      <c r="AE962" t="s">
        <v>222</v>
      </c>
      <c r="AF962">
        <v>20</v>
      </c>
      <c r="AG962" s="1">
        <v>35247</v>
      </c>
      <c r="AH962" s="1">
        <v>35247</v>
      </c>
      <c r="AI962" s="1">
        <v>35247</v>
      </c>
      <c r="AJ962" s="1">
        <v>42552</v>
      </c>
      <c r="AK962" t="s">
        <v>51</v>
      </c>
      <c r="AN962">
        <v>0</v>
      </c>
      <c r="AO962" t="s">
        <v>54</v>
      </c>
      <c r="AP962" t="s">
        <v>53</v>
      </c>
      <c r="AQ962">
        <v>0</v>
      </c>
      <c r="AR962" t="s">
        <v>53</v>
      </c>
      <c r="AS962">
        <v>0</v>
      </c>
      <c r="AT962">
        <v>0</v>
      </c>
      <c r="AW962" t="s">
        <v>58</v>
      </c>
      <c r="AX962">
        <v>20</v>
      </c>
      <c r="AY962" s="1">
        <v>35247</v>
      </c>
      <c r="AZ962" s="1">
        <v>35247</v>
      </c>
      <c r="BA962" s="1">
        <v>35247</v>
      </c>
      <c r="BB962" s="1">
        <v>42552</v>
      </c>
      <c r="BC962" t="s">
        <v>51</v>
      </c>
      <c r="BE962" t="s">
        <v>54</v>
      </c>
      <c r="BF962">
        <v>2</v>
      </c>
      <c r="BG962">
        <v>0</v>
      </c>
      <c r="BH962" t="s">
        <v>53</v>
      </c>
      <c r="BK962" t="s">
        <v>59</v>
      </c>
      <c r="BL962">
        <v>14000</v>
      </c>
      <c r="BM962" s="1">
        <v>41091</v>
      </c>
      <c r="BN962" s="1">
        <v>41091</v>
      </c>
      <c r="BO962" s="1">
        <v>41091</v>
      </c>
      <c r="BP962" s="1">
        <v>42291</v>
      </c>
      <c r="BQ962" t="s">
        <v>51</v>
      </c>
      <c r="BS962" t="s">
        <v>60</v>
      </c>
      <c r="BT962" t="s">
        <v>54</v>
      </c>
      <c r="BU962" t="s">
        <v>61</v>
      </c>
      <c r="BV962" t="s">
        <v>62</v>
      </c>
      <c r="BX962">
        <v>24</v>
      </c>
      <c r="BY962">
        <v>0</v>
      </c>
      <c r="BZ962">
        <v>0</v>
      </c>
    </row>
    <row r="963" spans="1:78" x14ac:dyDescent="0.2">
      <c r="A963" t="s">
        <v>180</v>
      </c>
      <c r="B963" t="s">
        <v>181</v>
      </c>
      <c r="C963" t="s">
        <v>184</v>
      </c>
      <c r="D963" t="s">
        <v>636</v>
      </c>
      <c r="F963" t="str">
        <f>"250619"</f>
        <v>250619</v>
      </c>
      <c r="G963" t="s">
        <v>49</v>
      </c>
      <c r="K963" t="s">
        <v>51</v>
      </c>
      <c r="L963" t="s">
        <v>52</v>
      </c>
      <c r="M963">
        <v>136393.51999999999</v>
      </c>
      <c r="N963">
        <v>472736.44</v>
      </c>
      <c r="O963" t="s">
        <v>53</v>
      </c>
      <c r="P963" t="s">
        <v>54</v>
      </c>
      <c r="Q963" t="s">
        <v>55</v>
      </c>
      <c r="T963" t="s">
        <v>241</v>
      </c>
      <c r="U963">
        <v>40</v>
      </c>
      <c r="V963" s="1">
        <v>35247</v>
      </c>
      <c r="W963" s="1">
        <v>35247</v>
      </c>
      <c r="X963" s="1">
        <v>35247</v>
      </c>
      <c r="Y963" s="1">
        <v>49857</v>
      </c>
      <c r="Z963" t="s">
        <v>51</v>
      </c>
      <c r="AB963" t="s">
        <v>54</v>
      </c>
      <c r="AC963">
        <v>1</v>
      </c>
      <c r="AE963" t="s">
        <v>222</v>
      </c>
      <c r="AF963">
        <v>20</v>
      </c>
      <c r="AG963" s="1">
        <v>35247</v>
      </c>
      <c r="AH963" s="1">
        <v>35247</v>
      </c>
      <c r="AI963" s="1">
        <v>35247</v>
      </c>
      <c r="AJ963" s="1">
        <v>42552</v>
      </c>
      <c r="AK963" t="s">
        <v>51</v>
      </c>
      <c r="AN963">
        <v>0</v>
      </c>
      <c r="AO963" t="s">
        <v>54</v>
      </c>
      <c r="AP963" t="s">
        <v>53</v>
      </c>
      <c r="AQ963">
        <v>0</v>
      </c>
      <c r="AR963" t="s">
        <v>53</v>
      </c>
      <c r="AS963">
        <v>0</v>
      </c>
      <c r="AT963">
        <v>0</v>
      </c>
      <c r="AW963" t="s">
        <v>58</v>
      </c>
      <c r="AX963">
        <v>20</v>
      </c>
      <c r="AY963" s="1">
        <v>44298</v>
      </c>
      <c r="AZ963" s="1">
        <v>44298</v>
      </c>
      <c r="BA963" s="1">
        <v>44298</v>
      </c>
      <c r="BB963" s="1">
        <v>51603</v>
      </c>
      <c r="BC963" t="s">
        <v>51</v>
      </c>
      <c r="BE963" t="s">
        <v>54</v>
      </c>
      <c r="BF963">
        <v>2</v>
      </c>
      <c r="BG963">
        <v>0</v>
      </c>
      <c r="BH963" t="s">
        <v>53</v>
      </c>
      <c r="BK963" t="s">
        <v>59</v>
      </c>
      <c r="BL963">
        <v>14000</v>
      </c>
      <c r="BM963" s="1">
        <v>44487</v>
      </c>
      <c r="BN963" s="1">
        <v>44487</v>
      </c>
      <c r="BO963" s="1">
        <v>44487</v>
      </c>
      <c r="BP963" s="1">
        <v>45648</v>
      </c>
      <c r="BQ963" t="s">
        <v>51</v>
      </c>
      <c r="BS963" t="s">
        <v>60</v>
      </c>
      <c r="BT963" t="s">
        <v>54</v>
      </c>
      <c r="BU963" t="s">
        <v>61</v>
      </c>
      <c r="BV963" t="s">
        <v>62</v>
      </c>
      <c r="BX963">
        <v>24</v>
      </c>
      <c r="BY963">
        <v>0</v>
      </c>
      <c r="BZ963">
        <v>0</v>
      </c>
    </row>
    <row r="964" spans="1:78" x14ac:dyDescent="0.2">
      <c r="A964" t="s">
        <v>180</v>
      </c>
      <c r="B964" t="s">
        <v>181</v>
      </c>
      <c r="C964" t="s">
        <v>184</v>
      </c>
      <c r="D964" t="s">
        <v>639</v>
      </c>
      <c r="F964" t="str">
        <f>"250620"</f>
        <v>250620</v>
      </c>
      <c r="G964" t="s">
        <v>49</v>
      </c>
      <c r="K964" t="s">
        <v>51</v>
      </c>
      <c r="L964" t="s">
        <v>52</v>
      </c>
      <c r="M964">
        <v>136503.03</v>
      </c>
      <c r="N964">
        <v>472465.47</v>
      </c>
      <c r="O964" t="s">
        <v>53</v>
      </c>
      <c r="P964" t="s">
        <v>54</v>
      </c>
      <c r="Q964" t="s">
        <v>55</v>
      </c>
      <c r="T964" t="s">
        <v>241</v>
      </c>
      <c r="U964">
        <v>40</v>
      </c>
      <c r="V964" s="1">
        <v>35247</v>
      </c>
      <c r="W964" s="1">
        <v>35247</v>
      </c>
      <c r="X964" s="1">
        <v>35247</v>
      </c>
      <c r="Y964" s="1">
        <v>49857</v>
      </c>
      <c r="Z964" t="s">
        <v>51</v>
      </c>
      <c r="AB964" t="s">
        <v>54</v>
      </c>
      <c r="AC964">
        <v>1</v>
      </c>
      <c r="AE964" t="s">
        <v>222</v>
      </c>
      <c r="AF964">
        <v>20</v>
      </c>
      <c r="AG964" s="1">
        <v>35247</v>
      </c>
      <c r="AH964" s="1">
        <v>35247</v>
      </c>
      <c r="AI964" s="1">
        <v>35247</v>
      </c>
      <c r="AJ964" s="1">
        <v>42552</v>
      </c>
      <c r="AK964" t="s">
        <v>51</v>
      </c>
      <c r="AN964">
        <v>0</v>
      </c>
      <c r="AO964" t="s">
        <v>54</v>
      </c>
      <c r="AP964" t="s">
        <v>53</v>
      </c>
      <c r="AQ964">
        <v>0</v>
      </c>
      <c r="AR964" t="s">
        <v>53</v>
      </c>
      <c r="AS964">
        <v>0</v>
      </c>
      <c r="AT964">
        <v>0</v>
      </c>
      <c r="AW964" t="s">
        <v>58</v>
      </c>
      <c r="AX964">
        <v>20</v>
      </c>
      <c r="AY964" s="1">
        <v>45145</v>
      </c>
      <c r="AZ964" s="1">
        <v>45145</v>
      </c>
      <c r="BA964" s="1">
        <v>45145</v>
      </c>
      <c r="BB964" s="1">
        <v>52450</v>
      </c>
      <c r="BC964" t="s">
        <v>51</v>
      </c>
      <c r="BE964" t="s">
        <v>54</v>
      </c>
      <c r="BF964">
        <v>2</v>
      </c>
      <c r="BG964">
        <v>0</v>
      </c>
      <c r="BH964" t="s">
        <v>53</v>
      </c>
      <c r="BK964" t="s">
        <v>65</v>
      </c>
      <c r="BL964">
        <v>14000</v>
      </c>
      <c r="BM964" s="1">
        <v>45145</v>
      </c>
      <c r="BN964" s="1">
        <v>45145</v>
      </c>
      <c r="BO964" s="1">
        <v>45145</v>
      </c>
      <c r="BP964" s="1">
        <v>46327</v>
      </c>
      <c r="BQ964" t="s">
        <v>51</v>
      </c>
      <c r="BS964" t="s">
        <v>60</v>
      </c>
      <c r="BT964" t="s">
        <v>54</v>
      </c>
      <c r="BU964" t="s">
        <v>61</v>
      </c>
      <c r="BV964" t="s">
        <v>62</v>
      </c>
      <c r="BX964">
        <v>36</v>
      </c>
      <c r="BY964">
        <v>0</v>
      </c>
      <c r="BZ964">
        <v>0</v>
      </c>
    </row>
    <row r="965" spans="1:78" x14ac:dyDescent="0.2">
      <c r="A965" t="s">
        <v>180</v>
      </c>
      <c r="B965" t="s">
        <v>181</v>
      </c>
      <c r="C965" t="s">
        <v>184</v>
      </c>
      <c r="D965" t="s">
        <v>639</v>
      </c>
      <c r="F965" t="str">
        <f>"250621"</f>
        <v>250621</v>
      </c>
      <c r="G965" t="s">
        <v>49</v>
      </c>
      <c r="K965" t="s">
        <v>51</v>
      </c>
      <c r="L965" t="s">
        <v>52</v>
      </c>
      <c r="M965">
        <v>136514.29999999999</v>
      </c>
      <c r="N965">
        <v>472491.31</v>
      </c>
      <c r="O965" t="s">
        <v>53</v>
      </c>
      <c r="P965" t="s">
        <v>54</v>
      </c>
      <c r="Q965" t="s">
        <v>55</v>
      </c>
      <c r="T965" t="s">
        <v>241</v>
      </c>
      <c r="U965">
        <v>40</v>
      </c>
      <c r="V965" s="1">
        <v>35247</v>
      </c>
      <c r="W965" s="1">
        <v>35247</v>
      </c>
      <c r="X965" s="1">
        <v>35247</v>
      </c>
      <c r="Y965" s="1">
        <v>49857</v>
      </c>
      <c r="Z965" t="s">
        <v>51</v>
      </c>
      <c r="AB965" t="s">
        <v>54</v>
      </c>
      <c r="AC965">
        <v>1</v>
      </c>
      <c r="AE965" t="s">
        <v>222</v>
      </c>
      <c r="AF965">
        <v>20</v>
      </c>
      <c r="AG965" s="1">
        <v>35247</v>
      </c>
      <c r="AH965" s="1">
        <v>35247</v>
      </c>
      <c r="AI965" s="1">
        <v>35247</v>
      </c>
      <c r="AJ965" s="1">
        <v>42552</v>
      </c>
      <c r="AK965" t="s">
        <v>51</v>
      </c>
      <c r="AN965">
        <v>0</v>
      </c>
      <c r="AO965" t="s">
        <v>54</v>
      </c>
      <c r="AP965" t="s">
        <v>53</v>
      </c>
      <c r="AQ965">
        <v>0</v>
      </c>
      <c r="AR965" t="s">
        <v>53</v>
      </c>
      <c r="AS965">
        <v>0</v>
      </c>
      <c r="AT965">
        <v>0</v>
      </c>
      <c r="AW965" t="s">
        <v>58</v>
      </c>
      <c r="AX965">
        <v>20</v>
      </c>
      <c r="AY965" s="1">
        <v>35247</v>
      </c>
      <c r="AZ965" s="1">
        <v>35247</v>
      </c>
      <c r="BA965" s="1">
        <v>35247</v>
      </c>
      <c r="BB965" s="1">
        <v>42552</v>
      </c>
      <c r="BC965" t="s">
        <v>51</v>
      </c>
      <c r="BE965" t="s">
        <v>54</v>
      </c>
      <c r="BF965">
        <v>2</v>
      </c>
      <c r="BG965">
        <v>0</v>
      </c>
      <c r="BH965" t="s">
        <v>53</v>
      </c>
      <c r="BK965" t="s">
        <v>65</v>
      </c>
      <c r="BL965">
        <v>14000</v>
      </c>
      <c r="BM965" s="1">
        <v>43409</v>
      </c>
      <c r="BN965" s="1">
        <v>43409</v>
      </c>
      <c r="BO965" s="1">
        <v>43409</v>
      </c>
      <c r="BP965" s="1">
        <v>44569</v>
      </c>
      <c r="BQ965" t="s">
        <v>51</v>
      </c>
      <c r="BS965" t="s">
        <v>60</v>
      </c>
      <c r="BT965" t="s">
        <v>54</v>
      </c>
      <c r="BU965" t="s">
        <v>61</v>
      </c>
      <c r="BV965" t="s">
        <v>62</v>
      </c>
      <c r="BX965">
        <v>36</v>
      </c>
      <c r="BY965">
        <v>0</v>
      </c>
      <c r="BZ965">
        <v>0</v>
      </c>
    </row>
    <row r="966" spans="1:78" x14ac:dyDescent="0.2">
      <c r="A966" t="s">
        <v>180</v>
      </c>
      <c r="B966" t="s">
        <v>181</v>
      </c>
      <c r="C966" t="s">
        <v>184</v>
      </c>
      <c r="D966" t="s">
        <v>639</v>
      </c>
      <c r="F966" t="str">
        <f>"250622"</f>
        <v>250622</v>
      </c>
      <c r="G966" t="s">
        <v>49</v>
      </c>
      <c r="H966" t="s">
        <v>640</v>
      </c>
      <c r="K966" t="s">
        <v>51</v>
      </c>
      <c r="L966" t="s">
        <v>52</v>
      </c>
      <c r="M966">
        <v>136526.23000000001</v>
      </c>
      <c r="N966">
        <v>472516.81</v>
      </c>
      <c r="O966" t="s">
        <v>53</v>
      </c>
      <c r="P966" t="s">
        <v>54</v>
      </c>
      <c r="Q966" t="s">
        <v>55</v>
      </c>
      <c r="T966" t="s">
        <v>241</v>
      </c>
      <c r="U966">
        <v>40</v>
      </c>
      <c r="V966" s="1">
        <v>35247</v>
      </c>
      <c r="W966" s="1">
        <v>35247</v>
      </c>
      <c r="X966" s="1">
        <v>35247</v>
      </c>
      <c r="Y966" s="1">
        <v>49857</v>
      </c>
      <c r="Z966" t="s">
        <v>51</v>
      </c>
      <c r="AB966" t="s">
        <v>54</v>
      </c>
      <c r="AC966">
        <v>1</v>
      </c>
      <c r="AE966" t="s">
        <v>222</v>
      </c>
      <c r="AF966">
        <v>20</v>
      </c>
      <c r="AG966" s="1">
        <v>35247</v>
      </c>
      <c r="AH966" s="1">
        <v>35247</v>
      </c>
      <c r="AI966" s="1">
        <v>35247</v>
      </c>
      <c r="AJ966" s="1">
        <v>42552</v>
      </c>
      <c r="AK966" t="s">
        <v>51</v>
      </c>
      <c r="AN966">
        <v>0</v>
      </c>
      <c r="AO966" t="s">
        <v>54</v>
      </c>
      <c r="AP966" t="s">
        <v>53</v>
      </c>
      <c r="AQ966">
        <v>0</v>
      </c>
      <c r="AR966" t="s">
        <v>53</v>
      </c>
      <c r="AS966">
        <v>0</v>
      </c>
      <c r="AT966">
        <v>0</v>
      </c>
      <c r="AW966" t="s">
        <v>58</v>
      </c>
      <c r="AX966">
        <v>20</v>
      </c>
      <c r="AY966" s="1">
        <v>43913</v>
      </c>
      <c r="AZ966" s="1">
        <v>43913</v>
      </c>
      <c r="BA966" s="1">
        <v>43913</v>
      </c>
      <c r="BB966" s="1">
        <v>51218</v>
      </c>
      <c r="BC966" t="s">
        <v>51</v>
      </c>
      <c r="BE966" t="s">
        <v>54</v>
      </c>
      <c r="BF966">
        <v>2</v>
      </c>
      <c r="BG966">
        <v>0</v>
      </c>
      <c r="BH966" t="s">
        <v>53</v>
      </c>
      <c r="BK966" t="s">
        <v>65</v>
      </c>
      <c r="BL966">
        <v>14000</v>
      </c>
      <c r="BM966" s="1">
        <v>43913</v>
      </c>
      <c r="BN966" s="1">
        <v>43913</v>
      </c>
      <c r="BO966" s="1">
        <v>43913</v>
      </c>
      <c r="BP966" s="1">
        <v>45131</v>
      </c>
      <c r="BQ966" t="s">
        <v>51</v>
      </c>
      <c r="BS966" t="s">
        <v>60</v>
      </c>
      <c r="BT966" t="s">
        <v>54</v>
      </c>
      <c r="BU966" t="s">
        <v>61</v>
      </c>
      <c r="BV966" t="s">
        <v>62</v>
      </c>
      <c r="BX966">
        <v>36</v>
      </c>
      <c r="BY966">
        <v>0</v>
      </c>
      <c r="BZ966">
        <v>0</v>
      </c>
    </row>
    <row r="967" spans="1:78" x14ac:dyDescent="0.2">
      <c r="A967" t="s">
        <v>180</v>
      </c>
      <c r="B967" t="s">
        <v>181</v>
      </c>
      <c r="C967" t="s">
        <v>184</v>
      </c>
      <c r="D967" t="s">
        <v>639</v>
      </c>
      <c r="F967" t="str">
        <f>"250623"</f>
        <v>250623</v>
      </c>
      <c r="G967" t="s">
        <v>49</v>
      </c>
      <c r="H967" t="s">
        <v>607</v>
      </c>
      <c r="K967" t="s">
        <v>51</v>
      </c>
      <c r="L967" t="s">
        <v>52</v>
      </c>
      <c r="M967">
        <v>136547.81</v>
      </c>
      <c r="N967">
        <v>472546.15</v>
      </c>
      <c r="O967" t="s">
        <v>53</v>
      </c>
      <c r="P967" t="s">
        <v>54</v>
      </c>
      <c r="Q967" t="s">
        <v>55</v>
      </c>
      <c r="T967" t="s">
        <v>241</v>
      </c>
      <c r="U967">
        <v>40</v>
      </c>
      <c r="V967" s="1">
        <v>35247</v>
      </c>
      <c r="W967" s="1">
        <v>35247</v>
      </c>
      <c r="X967" s="1">
        <v>35247</v>
      </c>
      <c r="Y967" s="1">
        <v>49857</v>
      </c>
      <c r="Z967" t="s">
        <v>51</v>
      </c>
      <c r="AB967" t="s">
        <v>54</v>
      </c>
      <c r="AC967">
        <v>1</v>
      </c>
      <c r="AE967" t="s">
        <v>222</v>
      </c>
      <c r="AF967">
        <v>20</v>
      </c>
      <c r="AG967" s="1">
        <v>35247</v>
      </c>
      <c r="AH967" s="1">
        <v>35247</v>
      </c>
      <c r="AI967" s="1">
        <v>35247</v>
      </c>
      <c r="AJ967" s="1">
        <v>42552</v>
      </c>
      <c r="AK967" t="s">
        <v>51</v>
      </c>
      <c r="AN967">
        <v>0</v>
      </c>
      <c r="AO967" t="s">
        <v>54</v>
      </c>
      <c r="AP967" t="s">
        <v>53</v>
      </c>
      <c r="AQ967">
        <v>0</v>
      </c>
      <c r="AR967" t="s">
        <v>53</v>
      </c>
      <c r="AS967">
        <v>0</v>
      </c>
      <c r="AT967">
        <v>0</v>
      </c>
      <c r="AW967" t="s">
        <v>58</v>
      </c>
      <c r="AX967">
        <v>20</v>
      </c>
      <c r="AY967" s="1">
        <v>35247</v>
      </c>
      <c r="AZ967" s="1">
        <v>35247</v>
      </c>
      <c r="BA967" s="1">
        <v>35247</v>
      </c>
      <c r="BB967" s="1">
        <v>42552</v>
      </c>
      <c r="BC967" t="s">
        <v>51</v>
      </c>
      <c r="BE967" t="s">
        <v>54</v>
      </c>
      <c r="BF967">
        <v>2</v>
      </c>
      <c r="BG967">
        <v>0</v>
      </c>
      <c r="BH967" t="s">
        <v>53</v>
      </c>
      <c r="BK967" t="s">
        <v>65</v>
      </c>
      <c r="BL967">
        <v>14000</v>
      </c>
      <c r="BM967" s="1">
        <v>41091</v>
      </c>
      <c r="BN967" s="1">
        <v>41091</v>
      </c>
      <c r="BO967" s="1">
        <v>41091</v>
      </c>
      <c r="BP967" s="1">
        <v>42291</v>
      </c>
      <c r="BQ967" t="s">
        <v>51</v>
      </c>
      <c r="BS967" t="s">
        <v>60</v>
      </c>
      <c r="BT967" t="s">
        <v>54</v>
      </c>
      <c r="BU967" t="s">
        <v>61</v>
      </c>
      <c r="BV967" t="s">
        <v>62</v>
      </c>
      <c r="BX967">
        <v>36</v>
      </c>
      <c r="BY967">
        <v>0</v>
      </c>
      <c r="BZ967">
        <v>0</v>
      </c>
    </row>
    <row r="968" spans="1:78" x14ac:dyDescent="0.2">
      <c r="A968" t="s">
        <v>180</v>
      </c>
      <c r="B968" t="s">
        <v>181</v>
      </c>
      <c r="C968" t="s">
        <v>184</v>
      </c>
      <c r="D968" t="s">
        <v>639</v>
      </c>
      <c r="F968" t="str">
        <f>"250624"</f>
        <v>250624</v>
      </c>
      <c r="G968" t="s">
        <v>49</v>
      </c>
      <c r="K968" t="s">
        <v>51</v>
      </c>
      <c r="L968" t="s">
        <v>52</v>
      </c>
      <c r="M968">
        <v>136503.39000000001</v>
      </c>
      <c r="N968">
        <v>472559.49</v>
      </c>
      <c r="O968" t="s">
        <v>53</v>
      </c>
      <c r="P968" t="s">
        <v>54</v>
      </c>
      <c r="Q968" t="s">
        <v>55</v>
      </c>
      <c r="T968" t="s">
        <v>241</v>
      </c>
      <c r="U968">
        <v>40</v>
      </c>
      <c r="V968" s="1">
        <v>35247</v>
      </c>
      <c r="W968" s="1">
        <v>35247</v>
      </c>
      <c r="X968" s="1">
        <v>35247</v>
      </c>
      <c r="Y968" s="1">
        <v>49857</v>
      </c>
      <c r="Z968" t="s">
        <v>51</v>
      </c>
      <c r="AB968" t="s">
        <v>54</v>
      </c>
      <c r="AC968">
        <v>1</v>
      </c>
      <c r="AE968" t="s">
        <v>222</v>
      </c>
      <c r="AF968">
        <v>20</v>
      </c>
      <c r="AG968" s="1">
        <v>35247</v>
      </c>
      <c r="AH968" s="1">
        <v>35247</v>
      </c>
      <c r="AI968" s="1">
        <v>35247</v>
      </c>
      <c r="AJ968" s="1">
        <v>42552</v>
      </c>
      <c r="AK968" t="s">
        <v>51</v>
      </c>
      <c r="AN968">
        <v>0</v>
      </c>
      <c r="AO968" t="s">
        <v>54</v>
      </c>
      <c r="AP968" t="s">
        <v>53</v>
      </c>
      <c r="AQ968">
        <v>0</v>
      </c>
      <c r="AR968" t="s">
        <v>53</v>
      </c>
      <c r="AS968">
        <v>0</v>
      </c>
      <c r="AT968">
        <v>0</v>
      </c>
      <c r="AW968" t="s">
        <v>58</v>
      </c>
      <c r="AX968">
        <v>20</v>
      </c>
      <c r="AY968" s="1">
        <v>35247</v>
      </c>
      <c r="AZ968" s="1">
        <v>35247</v>
      </c>
      <c r="BA968" s="1">
        <v>35247</v>
      </c>
      <c r="BB968" s="1">
        <v>42552</v>
      </c>
      <c r="BC968" t="s">
        <v>51</v>
      </c>
      <c r="BE968" t="s">
        <v>54</v>
      </c>
      <c r="BF968">
        <v>2</v>
      </c>
      <c r="BG968">
        <v>0</v>
      </c>
      <c r="BH968" t="s">
        <v>53</v>
      </c>
      <c r="BK968" t="s">
        <v>59</v>
      </c>
      <c r="BL968">
        <v>14000</v>
      </c>
      <c r="BM968" s="1">
        <v>43270</v>
      </c>
      <c r="BN968" s="1">
        <v>43270</v>
      </c>
      <c r="BO968" s="1">
        <v>43270</v>
      </c>
      <c r="BP968" s="1">
        <v>44475</v>
      </c>
      <c r="BQ968" t="s">
        <v>51</v>
      </c>
      <c r="BS968" t="s">
        <v>60</v>
      </c>
      <c r="BT968" t="s">
        <v>54</v>
      </c>
      <c r="BU968" t="s">
        <v>61</v>
      </c>
      <c r="BV968" t="s">
        <v>62</v>
      </c>
      <c r="BX968">
        <v>24</v>
      </c>
      <c r="BY968">
        <v>0</v>
      </c>
      <c r="BZ968">
        <v>0</v>
      </c>
    </row>
    <row r="969" spans="1:78" x14ac:dyDescent="0.2">
      <c r="A969" t="s">
        <v>180</v>
      </c>
      <c r="B969" t="s">
        <v>181</v>
      </c>
      <c r="C969" t="s">
        <v>184</v>
      </c>
      <c r="D969" t="s">
        <v>639</v>
      </c>
      <c r="F969" t="str">
        <f>"250625"</f>
        <v>250625</v>
      </c>
      <c r="G969" t="s">
        <v>49</v>
      </c>
      <c r="K969" t="s">
        <v>51</v>
      </c>
      <c r="L969" t="s">
        <v>52</v>
      </c>
      <c r="M969">
        <v>136519.29</v>
      </c>
      <c r="N969">
        <v>472574.38</v>
      </c>
      <c r="O969" t="s">
        <v>53</v>
      </c>
      <c r="P969" t="s">
        <v>54</v>
      </c>
      <c r="Q969" t="s">
        <v>55</v>
      </c>
      <c r="T969" t="s">
        <v>241</v>
      </c>
      <c r="U969">
        <v>40</v>
      </c>
      <c r="V969" s="1">
        <v>35247</v>
      </c>
      <c r="W969" s="1">
        <v>35247</v>
      </c>
      <c r="X969" s="1">
        <v>35247</v>
      </c>
      <c r="Y969" s="1">
        <v>49857</v>
      </c>
      <c r="Z969" t="s">
        <v>51</v>
      </c>
      <c r="AB969" t="s">
        <v>54</v>
      </c>
      <c r="AC969">
        <v>1</v>
      </c>
      <c r="AE969" t="s">
        <v>222</v>
      </c>
      <c r="AF969">
        <v>20</v>
      </c>
      <c r="AG969" s="1">
        <v>35247</v>
      </c>
      <c r="AH969" s="1">
        <v>35247</v>
      </c>
      <c r="AI969" s="1">
        <v>35247</v>
      </c>
      <c r="AJ969" s="1">
        <v>42552</v>
      </c>
      <c r="AK969" t="s">
        <v>51</v>
      </c>
      <c r="AN969">
        <v>0</v>
      </c>
      <c r="AO969" t="s">
        <v>54</v>
      </c>
      <c r="AP969" t="s">
        <v>53</v>
      </c>
      <c r="AQ969">
        <v>0</v>
      </c>
      <c r="AR969" t="s">
        <v>53</v>
      </c>
      <c r="AS969">
        <v>0</v>
      </c>
      <c r="AT969">
        <v>0</v>
      </c>
      <c r="AW969" t="s">
        <v>58</v>
      </c>
      <c r="AX969">
        <v>20</v>
      </c>
      <c r="AY969" s="1">
        <v>44599</v>
      </c>
      <c r="AZ969" s="1">
        <v>44599</v>
      </c>
      <c r="BA969" s="1">
        <v>44599</v>
      </c>
      <c r="BB969" s="1">
        <v>51904</v>
      </c>
      <c r="BC969" t="s">
        <v>51</v>
      </c>
      <c r="BE969" t="s">
        <v>54</v>
      </c>
      <c r="BF969">
        <v>2</v>
      </c>
      <c r="BG969">
        <v>0</v>
      </c>
      <c r="BH969" t="s">
        <v>53</v>
      </c>
      <c r="BK969" t="s">
        <v>59</v>
      </c>
      <c r="BL969">
        <v>14000</v>
      </c>
      <c r="BM969" s="1">
        <v>44599</v>
      </c>
      <c r="BN969" s="1">
        <v>44599</v>
      </c>
      <c r="BO969" s="1">
        <v>44599</v>
      </c>
      <c r="BP969" s="1">
        <v>45783</v>
      </c>
      <c r="BQ969" t="s">
        <v>51</v>
      </c>
      <c r="BS969" t="s">
        <v>60</v>
      </c>
      <c r="BT969" t="s">
        <v>54</v>
      </c>
      <c r="BU969" t="s">
        <v>61</v>
      </c>
      <c r="BV969" t="s">
        <v>62</v>
      </c>
      <c r="BX969">
        <v>24</v>
      </c>
      <c r="BY969">
        <v>0</v>
      </c>
      <c r="BZ969">
        <v>0</v>
      </c>
    </row>
    <row r="970" spans="1:78" x14ac:dyDescent="0.2">
      <c r="A970" t="s">
        <v>180</v>
      </c>
      <c r="B970" t="s">
        <v>181</v>
      </c>
      <c r="C970" t="s">
        <v>184</v>
      </c>
      <c r="D970" t="s">
        <v>639</v>
      </c>
      <c r="F970" t="str">
        <f>"250626"</f>
        <v>250626</v>
      </c>
      <c r="G970" t="s">
        <v>49</v>
      </c>
      <c r="K970" t="s">
        <v>51</v>
      </c>
      <c r="L970" t="s">
        <v>52</v>
      </c>
      <c r="M970">
        <v>136553.87</v>
      </c>
      <c r="N970">
        <v>472581.51</v>
      </c>
      <c r="O970" t="s">
        <v>53</v>
      </c>
      <c r="P970" t="s">
        <v>54</v>
      </c>
      <c r="Q970" t="s">
        <v>55</v>
      </c>
      <c r="T970" t="s">
        <v>241</v>
      </c>
      <c r="U970">
        <v>40</v>
      </c>
      <c r="V970" s="1">
        <v>35247</v>
      </c>
      <c r="W970" s="1">
        <v>35247</v>
      </c>
      <c r="X970" s="1">
        <v>35247</v>
      </c>
      <c r="Y970" s="1">
        <v>49857</v>
      </c>
      <c r="Z970" t="s">
        <v>51</v>
      </c>
      <c r="AB970" t="s">
        <v>54</v>
      </c>
      <c r="AC970">
        <v>1</v>
      </c>
      <c r="AE970" t="s">
        <v>222</v>
      </c>
      <c r="AF970">
        <v>20</v>
      </c>
      <c r="AG970" s="1">
        <v>35247</v>
      </c>
      <c r="AH970" s="1">
        <v>35247</v>
      </c>
      <c r="AI970" s="1">
        <v>35247</v>
      </c>
      <c r="AJ970" s="1">
        <v>42552</v>
      </c>
      <c r="AK970" t="s">
        <v>51</v>
      </c>
      <c r="AN970">
        <v>0</v>
      </c>
      <c r="AO970" t="s">
        <v>54</v>
      </c>
      <c r="AP970" t="s">
        <v>53</v>
      </c>
      <c r="AQ970">
        <v>0</v>
      </c>
      <c r="AR970" t="s">
        <v>53</v>
      </c>
      <c r="AS970">
        <v>0</v>
      </c>
      <c r="AT970">
        <v>0</v>
      </c>
      <c r="AW970" t="s">
        <v>58</v>
      </c>
      <c r="AX970">
        <v>20</v>
      </c>
      <c r="AY970" s="1">
        <v>35247</v>
      </c>
      <c r="AZ970" s="1">
        <v>35247</v>
      </c>
      <c r="BA970" s="1">
        <v>35247</v>
      </c>
      <c r="BB970" s="1">
        <v>42552</v>
      </c>
      <c r="BC970" t="s">
        <v>51</v>
      </c>
      <c r="BE970" t="s">
        <v>54</v>
      </c>
      <c r="BF970">
        <v>2</v>
      </c>
      <c r="BG970">
        <v>0</v>
      </c>
      <c r="BH970" t="s">
        <v>53</v>
      </c>
      <c r="BK970" t="s">
        <v>65</v>
      </c>
      <c r="BL970">
        <v>14000</v>
      </c>
      <c r="BM970" s="1">
        <v>41091</v>
      </c>
      <c r="BN970" s="1">
        <v>41091</v>
      </c>
      <c r="BO970" s="1">
        <v>41091</v>
      </c>
      <c r="BP970" s="1">
        <v>42291</v>
      </c>
      <c r="BQ970" t="s">
        <v>51</v>
      </c>
      <c r="BS970" t="s">
        <v>60</v>
      </c>
      <c r="BT970" t="s">
        <v>54</v>
      </c>
      <c r="BU970" t="s">
        <v>61</v>
      </c>
      <c r="BV970" t="s">
        <v>62</v>
      </c>
      <c r="BX970">
        <v>36</v>
      </c>
      <c r="BY970">
        <v>0</v>
      </c>
      <c r="BZ970">
        <v>0</v>
      </c>
    </row>
    <row r="971" spans="1:78" x14ac:dyDescent="0.2">
      <c r="A971" t="s">
        <v>180</v>
      </c>
      <c r="B971" t="s">
        <v>181</v>
      </c>
      <c r="C971" t="s">
        <v>184</v>
      </c>
      <c r="D971" t="s">
        <v>639</v>
      </c>
      <c r="F971" t="str">
        <f>"250627"</f>
        <v>250627</v>
      </c>
      <c r="G971" t="s">
        <v>49</v>
      </c>
      <c r="H971" t="s">
        <v>641</v>
      </c>
      <c r="K971" t="s">
        <v>51</v>
      </c>
      <c r="L971" t="s">
        <v>52</v>
      </c>
      <c r="M971">
        <v>136574</v>
      </c>
      <c r="N971">
        <v>472602.43</v>
      </c>
      <c r="O971" t="s">
        <v>53</v>
      </c>
      <c r="P971" t="s">
        <v>54</v>
      </c>
      <c r="Q971" t="s">
        <v>55</v>
      </c>
      <c r="T971" t="s">
        <v>241</v>
      </c>
      <c r="U971">
        <v>40</v>
      </c>
      <c r="V971" s="1">
        <v>35247</v>
      </c>
      <c r="W971" s="1">
        <v>35247</v>
      </c>
      <c r="X971" s="1">
        <v>35247</v>
      </c>
      <c r="Y971" s="1">
        <v>49857</v>
      </c>
      <c r="Z971" t="s">
        <v>51</v>
      </c>
      <c r="AB971" t="s">
        <v>54</v>
      </c>
      <c r="AC971">
        <v>1</v>
      </c>
      <c r="AE971" t="s">
        <v>222</v>
      </c>
      <c r="AF971">
        <v>20</v>
      </c>
      <c r="AG971" s="1">
        <v>35247</v>
      </c>
      <c r="AH971" s="1">
        <v>35247</v>
      </c>
      <c r="AI971" s="1">
        <v>35247</v>
      </c>
      <c r="AJ971" s="1">
        <v>42552</v>
      </c>
      <c r="AK971" t="s">
        <v>51</v>
      </c>
      <c r="AN971">
        <v>0</v>
      </c>
      <c r="AO971" t="s">
        <v>54</v>
      </c>
      <c r="AP971" t="s">
        <v>53</v>
      </c>
      <c r="AQ971">
        <v>0</v>
      </c>
      <c r="AR971" t="s">
        <v>53</v>
      </c>
      <c r="AS971">
        <v>0</v>
      </c>
      <c r="AT971">
        <v>0</v>
      </c>
      <c r="AW971" t="s">
        <v>58</v>
      </c>
      <c r="AX971">
        <v>20</v>
      </c>
      <c r="AY971" s="1">
        <v>35247</v>
      </c>
      <c r="AZ971" s="1">
        <v>35247</v>
      </c>
      <c r="BA971" s="1">
        <v>35247</v>
      </c>
      <c r="BB971" s="1">
        <v>42552</v>
      </c>
      <c r="BC971" t="s">
        <v>51</v>
      </c>
      <c r="BE971" t="s">
        <v>54</v>
      </c>
      <c r="BF971">
        <v>2</v>
      </c>
      <c r="BG971">
        <v>0</v>
      </c>
      <c r="BH971" t="s">
        <v>53</v>
      </c>
      <c r="BK971" t="s">
        <v>65</v>
      </c>
      <c r="BL971">
        <v>14000</v>
      </c>
      <c r="BM971" s="1">
        <v>41091</v>
      </c>
      <c r="BN971" s="1">
        <v>41091</v>
      </c>
      <c r="BO971" s="1">
        <v>41091</v>
      </c>
      <c r="BP971" s="1">
        <v>42291</v>
      </c>
      <c r="BQ971" t="s">
        <v>51</v>
      </c>
      <c r="BS971" t="s">
        <v>60</v>
      </c>
      <c r="BT971" t="s">
        <v>54</v>
      </c>
      <c r="BU971" t="s">
        <v>61</v>
      </c>
      <c r="BV971" t="s">
        <v>62</v>
      </c>
      <c r="BX971">
        <v>36</v>
      </c>
      <c r="BY971">
        <v>0</v>
      </c>
      <c r="BZ971">
        <v>0</v>
      </c>
    </row>
    <row r="972" spans="1:78" x14ac:dyDescent="0.2">
      <c r="A972" t="s">
        <v>180</v>
      </c>
      <c r="B972" t="s">
        <v>181</v>
      </c>
      <c r="C972" t="s">
        <v>184</v>
      </c>
      <c r="D972" t="s">
        <v>639</v>
      </c>
      <c r="F972" t="str">
        <f>"250628"</f>
        <v>250628</v>
      </c>
      <c r="G972" t="s">
        <v>49</v>
      </c>
      <c r="H972" t="s">
        <v>212</v>
      </c>
      <c r="K972" t="s">
        <v>51</v>
      </c>
      <c r="L972" t="s">
        <v>52</v>
      </c>
      <c r="M972">
        <v>136550.91</v>
      </c>
      <c r="N972">
        <v>472622.97</v>
      </c>
      <c r="O972" t="s">
        <v>53</v>
      </c>
      <c r="P972" t="s">
        <v>54</v>
      </c>
      <c r="Q972" t="s">
        <v>55</v>
      </c>
      <c r="T972" t="s">
        <v>241</v>
      </c>
      <c r="U972">
        <v>40</v>
      </c>
      <c r="V972" s="1">
        <v>35247</v>
      </c>
      <c r="W972" s="1">
        <v>35247</v>
      </c>
      <c r="X972" s="1">
        <v>35247</v>
      </c>
      <c r="Y972" s="1">
        <v>49857</v>
      </c>
      <c r="Z972" t="s">
        <v>51</v>
      </c>
      <c r="AB972" t="s">
        <v>54</v>
      </c>
      <c r="AC972">
        <v>1</v>
      </c>
      <c r="AE972" t="s">
        <v>222</v>
      </c>
      <c r="AF972">
        <v>20</v>
      </c>
      <c r="AG972" s="1">
        <v>35247</v>
      </c>
      <c r="AH972" s="1">
        <v>35247</v>
      </c>
      <c r="AI972" s="1">
        <v>35247</v>
      </c>
      <c r="AJ972" s="1">
        <v>42552</v>
      </c>
      <c r="AK972" t="s">
        <v>51</v>
      </c>
      <c r="AN972">
        <v>0</v>
      </c>
      <c r="AO972" t="s">
        <v>54</v>
      </c>
      <c r="AP972" t="s">
        <v>53</v>
      </c>
      <c r="AQ972">
        <v>0</v>
      </c>
      <c r="AR972" t="s">
        <v>53</v>
      </c>
      <c r="AS972">
        <v>0</v>
      </c>
      <c r="AT972">
        <v>0</v>
      </c>
      <c r="AW972" t="s">
        <v>58</v>
      </c>
      <c r="AX972">
        <v>20</v>
      </c>
      <c r="AY972" s="1">
        <v>35247</v>
      </c>
      <c r="AZ972" s="1">
        <v>35247</v>
      </c>
      <c r="BA972" s="1">
        <v>35247</v>
      </c>
      <c r="BB972" s="1">
        <v>42552</v>
      </c>
      <c r="BC972" t="s">
        <v>51</v>
      </c>
      <c r="BE972" t="s">
        <v>54</v>
      </c>
      <c r="BF972">
        <v>2</v>
      </c>
      <c r="BG972">
        <v>0</v>
      </c>
      <c r="BH972" t="s">
        <v>53</v>
      </c>
      <c r="BK972" t="s">
        <v>59</v>
      </c>
      <c r="BL972">
        <v>14000</v>
      </c>
      <c r="BM972" s="1">
        <v>41091</v>
      </c>
      <c r="BN972" s="1">
        <v>41091</v>
      </c>
      <c r="BO972" s="1">
        <v>41091</v>
      </c>
      <c r="BP972" s="1">
        <v>42291</v>
      </c>
      <c r="BQ972" t="s">
        <v>51</v>
      </c>
      <c r="BS972" t="s">
        <v>60</v>
      </c>
      <c r="BT972" t="s">
        <v>54</v>
      </c>
      <c r="BU972" t="s">
        <v>61</v>
      </c>
      <c r="BV972" t="s">
        <v>62</v>
      </c>
      <c r="BX972">
        <v>24</v>
      </c>
      <c r="BY972">
        <v>0</v>
      </c>
      <c r="BZ972">
        <v>0</v>
      </c>
    </row>
    <row r="973" spans="1:78" x14ac:dyDescent="0.2">
      <c r="A973" t="s">
        <v>180</v>
      </c>
      <c r="B973" t="s">
        <v>181</v>
      </c>
      <c r="C973" t="s">
        <v>184</v>
      </c>
      <c r="D973" t="s">
        <v>639</v>
      </c>
      <c r="F973" t="str">
        <f>"250629"</f>
        <v>250629</v>
      </c>
      <c r="G973" t="s">
        <v>49</v>
      </c>
      <c r="K973" t="s">
        <v>51</v>
      </c>
      <c r="L973" t="s">
        <v>52</v>
      </c>
      <c r="M973">
        <v>136514.63500000001</v>
      </c>
      <c r="N973">
        <v>472633.11599999998</v>
      </c>
      <c r="O973" t="s">
        <v>53</v>
      </c>
      <c r="P973" t="s">
        <v>54</v>
      </c>
      <c r="Q973" t="s">
        <v>55</v>
      </c>
      <c r="T973" t="s">
        <v>241</v>
      </c>
      <c r="U973">
        <v>40</v>
      </c>
      <c r="V973" s="1">
        <v>35247</v>
      </c>
      <c r="W973" s="1">
        <v>35247</v>
      </c>
      <c r="X973" s="1">
        <v>35247</v>
      </c>
      <c r="Y973" s="1">
        <v>49857</v>
      </c>
      <c r="Z973" t="s">
        <v>51</v>
      </c>
      <c r="AB973" t="s">
        <v>54</v>
      </c>
      <c r="AC973">
        <v>1</v>
      </c>
      <c r="AE973" t="s">
        <v>222</v>
      </c>
      <c r="AF973">
        <v>20</v>
      </c>
      <c r="AG973" s="1">
        <v>35247</v>
      </c>
      <c r="AH973" s="1">
        <v>35247</v>
      </c>
      <c r="AI973" s="1">
        <v>35247</v>
      </c>
      <c r="AJ973" s="1">
        <v>42552</v>
      </c>
      <c r="AK973" t="s">
        <v>51</v>
      </c>
      <c r="AN973">
        <v>0</v>
      </c>
      <c r="AO973" t="s">
        <v>54</v>
      </c>
      <c r="AP973" t="s">
        <v>53</v>
      </c>
      <c r="AQ973">
        <v>0</v>
      </c>
      <c r="AR973" t="s">
        <v>53</v>
      </c>
      <c r="AS973">
        <v>0</v>
      </c>
      <c r="AT973">
        <v>0</v>
      </c>
      <c r="AW973" t="s">
        <v>58</v>
      </c>
      <c r="AX973">
        <v>20</v>
      </c>
      <c r="AY973" s="1">
        <v>44872</v>
      </c>
      <c r="AZ973" s="1">
        <v>44872</v>
      </c>
      <c r="BA973" s="1">
        <v>44872</v>
      </c>
      <c r="BB973" s="1">
        <v>52177</v>
      </c>
      <c r="BC973" t="s">
        <v>51</v>
      </c>
      <c r="BE973" t="s">
        <v>54</v>
      </c>
      <c r="BF973">
        <v>2</v>
      </c>
      <c r="BG973">
        <v>0</v>
      </c>
      <c r="BH973" t="s">
        <v>53</v>
      </c>
      <c r="BK973" t="s">
        <v>59</v>
      </c>
      <c r="BL973">
        <v>14000</v>
      </c>
      <c r="BM973" s="1">
        <v>44872</v>
      </c>
      <c r="BN973" s="1">
        <v>44872</v>
      </c>
      <c r="BO973" s="1">
        <v>44872</v>
      </c>
      <c r="BP973" s="1">
        <v>46031</v>
      </c>
      <c r="BQ973" t="s">
        <v>51</v>
      </c>
      <c r="BS973" t="s">
        <v>60</v>
      </c>
      <c r="BT973" t="s">
        <v>54</v>
      </c>
      <c r="BU973" t="s">
        <v>61</v>
      </c>
      <c r="BV973" t="s">
        <v>62</v>
      </c>
      <c r="BX973">
        <v>24</v>
      </c>
      <c r="BY973">
        <v>0</v>
      </c>
      <c r="BZ973">
        <v>0</v>
      </c>
    </row>
    <row r="974" spans="1:78" x14ac:dyDescent="0.2">
      <c r="A974" t="s">
        <v>180</v>
      </c>
      <c r="B974" t="s">
        <v>181</v>
      </c>
      <c r="C974" t="s">
        <v>184</v>
      </c>
      <c r="D974" t="s">
        <v>639</v>
      </c>
      <c r="F974" t="str">
        <f>"250630"</f>
        <v>250630</v>
      </c>
      <c r="G974" t="s">
        <v>49</v>
      </c>
      <c r="H974" t="s">
        <v>129</v>
      </c>
      <c r="K974" t="s">
        <v>51</v>
      </c>
      <c r="L974" t="s">
        <v>52</v>
      </c>
      <c r="M974">
        <v>136542.25099999999</v>
      </c>
      <c r="N974">
        <v>472644.27100000001</v>
      </c>
      <c r="O974" t="s">
        <v>53</v>
      </c>
      <c r="P974" t="s">
        <v>54</v>
      </c>
      <c r="Q974" t="s">
        <v>55</v>
      </c>
      <c r="T974" t="s">
        <v>241</v>
      </c>
      <c r="U974">
        <v>40</v>
      </c>
      <c r="V974" s="1">
        <v>35247</v>
      </c>
      <c r="W974" s="1">
        <v>35247</v>
      </c>
      <c r="X974" s="1">
        <v>35247</v>
      </c>
      <c r="Y974" s="1">
        <v>49857</v>
      </c>
      <c r="Z974" t="s">
        <v>51</v>
      </c>
      <c r="AB974" t="s">
        <v>54</v>
      </c>
      <c r="AC974">
        <v>1</v>
      </c>
      <c r="AE974" t="s">
        <v>222</v>
      </c>
      <c r="AF974">
        <v>20</v>
      </c>
      <c r="AG974" s="1">
        <v>35247</v>
      </c>
      <c r="AH974" s="1">
        <v>35247</v>
      </c>
      <c r="AI974" s="1">
        <v>35247</v>
      </c>
      <c r="AJ974" s="1">
        <v>42552</v>
      </c>
      <c r="AK974" t="s">
        <v>51</v>
      </c>
      <c r="AN974">
        <v>0</v>
      </c>
      <c r="AO974" t="s">
        <v>54</v>
      </c>
      <c r="AP974" t="s">
        <v>53</v>
      </c>
      <c r="AQ974">
        <v>0</v>
      </c>
      <c r="AR974" t="s">
        <v>53</v>
      </c>
      <c r="AS974">
        <v>0</v>
      </c>
      <c r="AT974">
        <v>0</v>
      </c>
      <c r="AW974" t="s">
        <v>58</v>
      </c>
      <c r="AX974">
        <v>20</v>
      </c>
      <c r="AY974" s="1">
        <v>35247</v>
      </c>
      <c r="AZ974" s="1">
        <v>35247</v>
      </c>
      <c r="BA974" s="1">
        <v>35247</v>
      </c>
      <c r="BB974" s="1">
        <v>42552</v>
      </c>
      <c r="BC974" t="s">
        <v>51</v>
      </c>
      <c r="BE974" t="s">
        <v>54</v>
      </c>
      <c r="BF974">
        <v>2</v>
      </c>
      <c r="BG974">
        <v>0</v>
      </c>
      <c r="BH974" t="s">
        <v>53</v>
      </c>
      <c r="BK974" t="s">
        <v>59</v>
      </c>
      <c r="BL974">
        <v>14000</v>
      </c>
      <c r="BM974" s="1">
        <v>41091</v>
      </c>
      <c r="BN974" s="1">
        <v>41091</v>
      </c>
      <c r="BO974" s="1">
        <v>41091</v>
      </c>
      <c r="BP974" s="1">
        <v>42291</v>
      </c>
      <c r="BQ974" t="s">
        <v>51</v>
      </c>
      <c r="BS974" t="s">
        <v>60</v>
      </c>
      <c r="BT974" t="s">
        <v>54</v>
      </c>
      <c r="BU974" t="s">
        <v>61</v>
      </c>
      <c r="BV974" t="s">
        <v>62</v>
      </c>
      <c r="BX974">
        <v>24</v>
      </c>
      <c r="BY974">
        <v>0</v>
      </c>
      <c r="BZ974">
        <v>0</v>
      </c>
    </row>
    <row r="975" spans="1:78" x14ac:dyDescent="0.2">
      <c r="A975" t="s">
        <v>180</v>
      </c>
      <c r="B975" t="s">
        <v>181</v>
      </c>
      <c r="C975" t="s">
        <v>184</v>
      </c>
      <c r="D975" t="s">
        <v>639</v>
      </c>
      <c r="F975" t="str">
        <f>"250631"</f>
        <v>250631</v>
      </c>
      <c r="G975" t="s">
        <v>49</v>
      </c>
      <c r="K975" t="s">
        <v>51</v>
      </c>
      <c r="L975" t="s">
        <v>52</v>
      </c>
      <c r="M975">
        <v>136556.51999999999</v>
      </c>
      <c r="N975">
        <v>472652.72</v>
      </c>
      <c r="O975" t="s">
        <v>53</v>
      </c>
      <c r="P975" t="s">
        <v>54</v>
      </c>
      <c r="Q975" t="s">
        <v>55</v>
      </c>
      <c r="T975" t="s">
        <v>431</v>
      </c>
      <c r="U975">
        <v>40</v>
      </c>
      <c r="V975" s="1">
        <v>35065</v>
      </c>
      <c r="W975" s="1">
        <v>35065</v>
      </c>
      <c r="X975" s="1">
        <v>35065</v>
      </c>
      <c r="Y975" s="1">
        <v>49675</v>
      </c>
      <c r="Z975" t="s">
        <v>51</v>
      </c>
      <c r="AB975" t="s">
        <v>54</v>
      </c>
      <c r="AC975">
        <v>1</v>
      </c>
      <c r="AE975" t="s">
        <v>79</v>
      </c>
      <c r="AF975">
        <v>20</v>
      </c>
      <c r="AG975" s="1">
        <v>35065</v>
      </c>
      <c r="AH975" s="1">
        <v>35065</v>
      </c>
      <c r="AI975" s="1">
        <v>35065</v>
      </c>
      <c r="AJ975" s="1">
        <v>42370</v>
      </c>
      <c r="AK975" t="s">
        <v>51</v>
      </c>
      <c r="AN975">
        <v>0</v>
      </c>
      <c r="AO975" t="s">
        <v>54</v>
      </c>
      <c r="AP975" t="s">
        <v>53</v>
      </c>
      <c r="AQ975">
        <v>0</v>
      </c>
      <c r="AR975" t="s">
        <v>145</v>
      </c>
      <c r="AS975">
        <v>0</v>
      </c>
      <c r="AT975">
        <v>0</v>
      </c>
      <c r="AW975" t="s">
        <v>58</v>
      </c>
      <c r="AX975">
        <v>20</v>
      </c>
      <c r="AY975" s="1">
        <v>45110</v>
      </c>
      <c r="AZ975" s="1">
        <v>45110</v>
      </c>
      <c r="BA975" s="1">
        <v>45110</v>
      </c>
      <c r="BB975" s="1">
        <v>52415</v>
      </c>
      <c r="BC975" t="s">
        <v>51</v>
      </c>
      <c r="BE975" t="s">
        <v>54</v>
      </c>
      <c r="BF975">
        <v>2</v>
      </c>
      <c r="BG975">
        <v>0</v>
      </c>
      <c r="BH975" t="s">
        <v>53</v>
      </c>
      <c r="BK975" t="s">
        <v>59</v>
      </c>
      <c r="BL975">
        <v>14000</v>
      </c>
      <c r="BM975" s="1">
        <v>45110</v>
      </c>
      <c r="BN975" s="1">
        <v>45110</v>
      </c>
      <c r="BO975" s="1">
        <v>45110</v>
      </c>
      <c r="BP975" s="1">
        <v>46309</v>
      </c>
      <c r="BQ975" t="s">
        <v>51</v>
      </c>
      <c r="BS975" t="s">
        <v>60</v>
      </c>
      <c r="BT975" t="s">
        <v>54</v>
      </c>
      <c r="BU975" t="s">
        <v>61</v>
      </c>
      <c r="BV975" t="s">
        <v>62</v>
      </c>
      <c r="BX975">
        <v>24</v>
      </c>
      <c r="BY975">
        <v>0</v>
      </c>
      <c r="BZ975">
        <v>0</v>
      </c>
    </row>
    <row r="976" spans="1:78" x14ac:dyDescent="0.2">
      <c r="A976" t="s">
        <v>180</v>
      </c>
      <c r="B976" t="s">
        <v>181</v>
      </c>
      <c r="C976" t="s">
        <v>184</v>
      </c>
      <c r="D976" t="s">
        <v>639</v>
      </c>
      <c r="F976" t="str">
        <f>"250632"</f>
        <v>250632</v>
      </c>
      <c r="G976" t="s">
        <v>49</v>
      </c>
      <c r="K976" t="s">
        <v>51</v>
      </c>
      <c r="L976" t="s">
        <v>52</v>
      </c>
      <c r="M976">
        <v>136573.23000000001</v>
      </c>
      <c r="N976">
        <v>472631.69</v>
      </c>
      <c r="O976" t="s">
        <v>53</v>
      </c>
      <c r="P976" t="s">
        <v>54</v>
      </c>
      <c r="Q976" t="s">
        <v>55</v>
      </c>
      <c r="T976" t="s">
        <v>241</v>
      </c>
      <c r="U976">
        <v>40</v>
      </c>
      <c r="V976" s="1">
        <v>35247</v>
      </c>
      <c r="W976" s="1">
        <v>35247</v>
      </c>
      <c r="X976" s="1">
        <v>35247</v>
      </c>
      <c r="Y976" s="1">
        <v>49857</v>
      </c>
      <c r="Z976" t="s">
        <v>51</v>
      </c>
      <c r="AB976" t="s">
        <v>54</v>
      </c>
      <c r="AC976">
        <v>1</v>
      </c>
      <c r="AE976" t="s">
        <v>222</v>
      </c>
      <c r="AF976">
        <v>20</v>
      </c>
      <c r="AG976" s="1">
        <v>35247</v>
      </c>
      <c r="AH976" s="1">
        <v>35247</v>
      </c>
      <c r="AI976" s="1">
        <v>35247</v>
      </c>
      <c r="AJ976" s="1">
        <v>42552</v>
      </c>
      <c r="AK976" t="s">
        <v>51</v>
      </c>
      <c r="AN976">
        <v>0</v>
      </c>
      <c r="AO976" t="s">
        <v>54</v>
      </c>
      <c r="AP976" t="s">
        <v>53</v>
      </c>
      <c r="AQ976">
        <v>0</v>
      </c>
      <c r="AR976" t="s">
        <v>53</v>
      </c>
      <c r="AS976">
        <v>0</v>
      </c>
      <c r="AT976">
        <v>0</v>
      </c>
      <c r="AW976" t="s">
        <v>58</v>
      </c>
      <c r="AX976">
        <v>20</v>
      </c>
      <c r="AY976" s="1">
        <v>35247</v>
      </c>
      <c r="AZ976" s="1">
        <v>35247</v>
      </c>
      <c r="BA976" s="1">
        <v>35247</v>
      </c>
      <c r="BB976" s="1">
        <v>42552</v>
      </c>
      <c r="BC976" t="s">
        <v>51</v>
      </c>
      <c r="BE976" t="s">
        <v>54</v>
      </c>
      <c r="BF976">
        <v>2</v>
      </c>
      <c r="BG976">
        <v>0</v>
      </c>
      <c r="BH976" t="s">
        <v>53</v>
      </c>
      <c r="BK976" t="s">
        <v>65</v>
      </c>
      <c r="BL976">
        <v>14000</v>
      </c>
      <c r="BM976" s="1">
        <v>41091</v>
      </c>
      <c r="BN976" s="1">
        <v>41091</v>
      </c>
      <c r="BO976" s="1">
        <v>41091</v>
      </c>
      <c r="BP976" s="1">
        <v>42291</v>
      </c>
      <c r="BQ976" t="s">
        <v>51</v>
      </c>
      <c r="BS976" t="s">
        <v>60</v>
      </c>
      <c r="BT976" t="s">
        <v>54</v>
      </c>
      <c r="BU976" t="s">
        <v>61</v>
      </c>
      <c r="BV976" t="s">
        <v>62</v>
      </c>
      <c r="BX976">
        <v>36</v>
      </c>
      <c r="BY976">
        <v>0</v>
      </c>
      <c r="BZ976">
        <v>0</v>
      </c>
    </row>
    <row r="977" spans="1:78" x14ac:dyDescent="0.2">
      <c r="A977" t="s">
        <v>180</v>
      </c>
      <c r="B977" t="s">
        <v>181</v>
      </c>
      <c r="C977" t="s">
        <v>184</v>
      </c>
      <c r="D977" t="s">
        <v>639</v>
      </c>
      <c r="F977" t="str">
        <f>"250633"</f>
        <v>250633</v>
      </c>
      <c r="G977" t="s">
        <v>49</v>
      </c>
      <c r="H977" t="s">
        <v>642</v>
      </c>
      <c r="K977" t="s">
        <v>51</v>
      </c>
      <c r="L977" t="s">
        <v>52</v>
      </c>
      <c r="M977">
        <v>136595.28</v>
      </c>
      <c r="N977">
        <v>472651.66</v>
      </c>
      <c r="O977" t="s">
        <v>53</v>
      </c>
      <c r="P977" t="s">
        <v>54</v>
      </c>
      <c r="Q977" t="s">
        <v>55</v>
      </c>
      <c r="T977" t="s">
        <v>241</v>
      </c>
      <c r="U977">
        <v>40</v>
      </c>
      <c r="V977" s="1">
        <v>35247</v>
      </c>
      <c r="W977" s="1">
        <v>35247</v>
      </c>
      <c r="X977" s="1">
        <v>35247</v>
      </c>
      <c r="Y977" s="1">
        <v>49857</v>
      </c>
      <c r="Z977" t="s">
        <v>51</v>
      </c>
      <c r="AB977" t="s">
        <v>54</v>
      </c>
      <c r="AC977">
        <v>1</v>
      </c>
      <c r="AE977" t="s">
        <v>222</v>
      </c>
      <c r="AF977">
        <v>20</v>
      </c>
      <c r="AG977" s="1">
        <v>35247</v>
      </c>
      <c r="AH977" s="1">
        <v>35247</v>
      </c>
      <c r="AI977" s="1">
        <v>35247</v>
      </c>
      <c r="AJ977" s="1">
        <v>42552</v>
      </c>
      <c r="AK977" t="s">
        <v>51</v>
      </c>
      <c r="AN977">
        <v>0</v>
      </c>
      <c r="AO977" t="s">
        <v>54</v>
      </c>
      <c r="AP977" t="s">
        <v>53</v>
      </c>
      <c r="AQ977">
        <v>0</v>
      </c>
      <c r="AR977" t="s">
        <v>53</v>
      </c>
      <c r="AS977">
        <v>0</v>
      </c>
      <c r="AT977">
        <v>0</v>
      </c>
      <c r="AW977" t="s">
        <v>58</v>
      </c>
      <c r="AX977">
        <v>20</v>
      </c>
      <c r="AY977" s="1">
        <v>35247</v>
      </c>
      <c r="AZ977" s="1">
        <v>35247</v>
      </c>
      <c r="BA977" s="1">
        <v>35247</v>
      </c>
      <c r="BB977" s="1">
        <v>42552</v>
      </c>
      <c r="BC977" t="s">
        <v>51</v>
      </c>
      <c r="BE977" t="s">
        <v>54</v>
      </c>
      <c r="BF977">
        <v>2</v>
      </c>
      <c r="BG977">
        <v>0</v>
      </c>
      <c r="BH977" t="s">
        <v>53</v>
      </c>
      <c r="BK977" t="s">
        <v>65</v>
      </c>
      <c r="BL977">
        <v>14000</v>
      </c>
      <c r="BM977" s="1">
        <v>41091</v>
      </c>
      <c r="BN977" s="1">
        <v>41091</v>
      </c>
      <c r="BO977" s="1">
        <v>41091</v>
      </c>
      <c r="BP977" s="1">
        <v>42291</v>
      </c>
      <c r="BQ977" t="s">
        <v>51</v>
      </c>
      <c r="BS977" t="s">
        <v>60</v>
      </c>
      <c r="BT977" t="s">
        <v>54</v>
      </c>
      <c r="BU977" t="s">
        <v>61</v>
      </c>
      <c r="BV977" t="s">
        <v>62</v>
      </c>
      <c r="BX977">
        <v>36</v>
      </c>
      <c r="BY977">
        <v>0</v>
      </c>
      <c r="BZ977">
        <v>0</v>
      </c>
    </row>
    <row r="978" spans="1:78" x14ac:dyDescent="0.2">
      <c r="A978" t="s">
        <v>180</v>
      </c>
      <c r="B978" t="s">
        <v>181</v>
      </c>
      <c r="C978" t="s">
        <v>184</v>
      </c>
      <c r="D978" t="s">
        <v>639</v>
      </c>
      <c r="F978" t="str">
        <f>"250634"</f>
        <v>250634</v>
      </c>
      <c r="G978" t="s">
        <v>49</v>
      </c>
      <c r="K978" t="s">
        <v>51</v>
      </c>
      <c r="L978" t="s">
        <v>52</v>
      </c>
      <c r="M978">
        <v>136597.91</v>
      </c>
      <c r="N978">
        <v>472676.94</v>
      </c>
      <c r="O978" t="s">
        <v>53</v>
      </c>
      <c r="P978" t="s">
        <v>54</v>
      </c>
      <c r="Q978" t="s">
        <v>55</v>
      </c>
      <c r="T978" t="s">
        <v>241</v>
      </c>
      <c r="U978">
        <v>40</v>
      </c>
      <c r="V978" s="1">
        <v>35065</v>
      </c>
      <c r="W978" s="1">
        <v>35065</v>
      </c>
      <c r="X978" s="1">
        <v>35065</v>
      </c>
      <c r="Y978" s="1">
        <v>49675</v>
      </c>
      <c r="Z978" t="s">
        <v>51</v>
      </c>
      <c r="AB978" t="s">
        <v>54</v>
      </c>
      <c r="AC978">
        <v>1</v>
      </c>
      <c r="AE978" t="s">
        <v>222</v>
      </c>
      <c r="AF978">
        <v>20</v>
      </c>
      <c r="AG978" s="1">
        <v>35065</v>
      </c>
      <c r="AH978" s="1">
        <v>35065</v>
      </c>
      <c r="AI978" s="1">
        <v>35065</v>
      </c>
      <c r="AJ978" s="1">
        <v>42370</v>
      </c>
      <c r="AK978" t="s">
        <v>51</v>
      </c>
      <c r="AN978">
        <v>0</v>
      </c>
      <c r="AO978" t="s">
        <v>54</v>
      </c>
      <c r="AP978" t="s">
        <v>53</v>
      </c>
      <c r="AQ978">
        <v>0</v>
      </c>
      <c r="AR978" t="s">
        <v>53</v>
      </c>
      <c r="AS978">
        <v>0</v>
      </c>
      <c r="AT978">
        <v>0</v>
      </c>
      <c r="AW978" t="s">
        <v>58</v>
      </c>
      <c r="AX978">
        <v>20</v>
      </c>
      <c r="AY978" s="1">
        <v>35065</v>
      </c>
      <c r="AZ978" s="1">
        <v>35065</v>
      </c>
      <c r="BA978" s="1">
        <v>35065</v>
      </c>
      <c r="BB978" s="1">
        <v>42370</v>
      </c>
      <c r="BC978" t="s">
        <v>51</v>
      </c>
      <c r="BE978" t="s">
        <v>54</v>
      </c>
      <c r="BF978">
        <v>2</v>
      </c>
      <c r="BG978">
        <v>0</v>
      </c>
      <c r="BH978" t="s">
        <v>53</v>
      </c>
      <c r="BK978" t="s">
        <v>65</v>
      </c>
      <c r="BL978">
        <v>14000</v>
      </c>
      <c r="BM978" s="1">
        <v>41091</v>
      </c>
      <c r="BN978" s="1">
        <v>41091</v>
      </c>
      <c r="BO978" s="1">
        <v>41091</v>
      </c>
      <c r="BP978" s="1">
        <v>42291</v>
      </c>
      <c r="BQ978" t="s">
        <v>51</v>
      </c>
      <c r="BS978" t="s">
        <v>60</v>
      </c>
      <c r="BT978" t="s">
        <v>54</v>
      </c>
      <c r="BU978" t="s">
        <v>61</v>
      </c>
      <c r="BV978" t="s">
        <v>62</v>
      </c>
      <c r="BX978">
        <v>36</v>
      </c>
      <c r="BY978">
        <v>0</v>
      </c>
      <c r="BZ978">
        <v>0</v>
      </c>
    </row>
    <row r="979" spans="1:78" x14ac:dyDescent="0.2">
      <c r="A979" t="s">
        <v>180</v>
      </c>
      <c r="B979" t="s">
        <v>181</v>
      </c>
      <c r="C979" t="s">
        <v>184</v>
      </c>
      <c r="D979" t="s">
        <v>643</v>
      </c>
      <c r="F979" t="str">
        <f>"250635"</f>
        <v>250635</v>
      </c>
      <c r="G979" t="s">
        <v>49</v>
      </c>
      <c r="H979" t="s">
        <v>259</v>
      </c>
      <c r="K979" t="s">
        <v>51</v>
      </c>
      <c r="L979" t="s">
        <v>52</v>
      </c>
      <c r="M979">
        <v>136555.31</v>
      </c>
      <c r="N979">
        <v>472520.49</v>
      </c>
      <c r="O979" t="s">
        <v>53</v>
      </c>
      <c r="P979" t="s">
        <v>54</v>
      </c>
      <c r="Q979" t="s">
        <v>55</v>
      </c>
      <c r="T979" t="s">
        <v>241</v>
      </c>
      <c r="U979">
        <v>40</v>
      </c>
      <c r="V979" s="1">
        <v>31594</v>
      </c>
      <c r="W979" s="1">
        <v>31594</v>
      </c>
      <c r="X979" s="1">
        <v>31594</v>
      </c>
      <c r="Y979" s="1">
        <v>46204</v>
      </c>
      <c r="Z979" t="s">
        <v>51</v>
      </c>
      <c r="AB979" t="s">
        <v>54</v>
      </c>
      <c r="AC979">
        <v>1</v>
      </c>
      <c r="AE979" t="s">
        <v>222</v>
      </c>
      <c r="AF979">
        <v>20</v>
      </c>
      <c r="AG979" s="1">
        <v>31594</v>
      </c>
      <c r="AH979" s="1">
        <v>31594</v>
      </c>
      <c r="AI979" s="1">
        <v>31594</v>
      </c>
      <c r="AJ979" s="1">
        <v>38899</v>
      </c>
      <c r="AK979" t="s">
        <v>51</v>
      </c>
      <c r="AN979">
        <v>0</v>
      </c>
      <c r="AO979" t="s">
        <v>54</v>
      </c>
      <c r="AP979" t="s">
        <v>53</v>
      </c>
      <c r="AQ979">
        <v>0</v>
      </c>
      <c r="AR979" t="s">
        <v>53</v>
      </c>
      <c r="AS979">
        <v>0</v>
      </c>
      <c r="AT979">
        <v>0</v>
      </c>
      <c r="AW979" t="s">
        <v>58</v>
      </c>
      <c r="AX979">
        <v>20</v>
      </c>
      <c r="AY979" s="1">
        <v>31594</v>
      </c>
      <c r="AZ979" s="1">
        <v>31594</v>
      </c>
      <c r="BA979" s="1">
        <v>31594</v>
      </c>
      <c r="BB979" s="1">
        <v>38899</v>
      </c>
      <c r="BC979" t="s">
        <v>51</v>
      </c>
      <c r="BE979" t="s">
        <v>54</v>
      </c>
      <c r="BF979">
        <v>2</v>
      </c>
      <c r="BG979">
        <v>0</v>
      </c>
      <c r="BH979" t="s">
        <v>53</v>
      </c>
      <c r="BK979" t="s">
        <v>65</v>
      </c>
      <c r="BL979">
        <v>14000</v>
      </c>
      <c r="BM979" s="1">
        <v>41091</v>
      </c>
      <c r="BN979" s="1">
        <v>41091</v>
      </c>
      <c r="BO979" s="1">
        <v>41091</v>
      </c>
      <c r="BP979" s="1">
        <v>42291</v>
      </c>
      <c r="BQ979" t="s">
        <v>51</v>
      </c>
      <c r="BS979" t="s">
        <v>60</v>
      </c>
      <c r="BT979" t="s">
        <v>54</v>
      </c>
      <c r="BU979" t="s">
        <v>61</v>
      </c>
      <c r="BV979" t="s">
        <v>62</v>
      </c>
      <c r="BX979">
        <v>36</v>
      </c>
      <c r="BY979">
        <v>0</v>
      </c>
      <c r="BZ979">
        <v>0</v>
      </c>
    </row>
    <row r="980" spans="1:78" x14ac:dyDescent="0.2">
      <c r="A980" t="s">
        <v>180</v>
      </c>
      <c r="B980" t="s">
        <v>181</v>
      </c>
      <c r="C980" t="s">
        <v>184</v>
      </c>
      <c r="D980" t="s">
        <v>643</v>
      </c>
      <c r="F980" t="str">
        <f>"250636"</f>
        <v>250636</v>
      </c>
      <c r="G980" t="s">
        <v>49</v>
      </c>
      <c r="H980" t="s">
        <v>644</v>
      </c>
      <c r="K980" t="s">
        <v>51</v>
      </c>
      <c r="L980" t="s">
        <v>52</v>
      </c>
      <c r="M980">
        <v>136584.79999999999</v>
      </c>
      <c r="N980">
        <v>472507.29</v>
      </c>
      <c r="O980" t="s">
        <v>53</v>
      </c>
      <c r="P980" t="s">
        <v>54</v>
      </c>
      <c r="Q980" t="s">
        <v>55</v>
      </c>
      <c r="T980" t="s">
        <v>241</v>
      </c>
      <c r="U980">
        <v>40</v>
      </c>
      <c r="V980" s="1">
        <v>31594</v>
      </c>
      <c r="W980" s="1">
        <v>31594</v>
      </c>
      <c r="X980" s="1">
        <v>31594</v>
      </c>
      <c r="Y980" s="1">
        <v>46204</v>
      </c>
      <c r="Z980" t="s">
        <v>51</v>
      </c>
      <c r="AB980" t="s">
        <v>54</v>
      </c>
      <c r="AC980">
        <v>1</v>
      </c>
      <c r="AE980" t="s">
        <v>222</v>
      </c>
      <c r="AF980">
        <v>20</v>
      </c>
      <c r="AG980" s="1">
        <v>31594</v>
      </c>
      <c r="AH980" s="1">
        <v>31594</v>
      </c>
      <c r="AI980" s="1">
        <v>31594</v>
      </c>
      <c r="AJ980" s="1">
        <v>38899</v>
      </c>
      <c r="AK980" t="s">
        <v>51</v>
      </c>
      <c r="AN980">
        <v>0</v>
      </c>
      <c r="AO980" t="s">
        <v>54</v>
      </c>
      <c r="AP980" t="s">
        <v>53</v>
      </c>
      <c r="AQ980">
        <v>0</v>
      </c>
      <c r="AR980" t="s">
        <v>53</v>
      </c>
      <c r="AS980">
        <v>0</v>
      </c>
      <c r="AT980">
        <v>0</v>
      </c>
      <c r="AW980" t="s">
        <v>58</v>
      </c>
      <c r="AX980">
        <v>20</v>
      </c>
      <c r="AY980" s="1">
        <v>31594</v>
      </c>
      <c r="AZ980" s="1">
        <v>31594</v>
      </c>
      <c r="BA980" s="1">
        <v>31594</v>
      </c>
      <c r="BB980" s="1">
        <v>38899</v>
      </c>
      <c r="BC980" t="s">
        <v>51</v>
      </c>
      <c r="BE980" t="s">
        <v>54</v>
      </c>
      <c r="BF980">
        <v>2</v>
      </c>
      <c r="BG980">
        <v>0</v>
      </c>
      <c r="BH980" t="s">
        <v>53</v>
      </c>
      <c r="BK980" t="s">
        <v>65</v>
      </c>
      <c r="BL980">
        <v>14000</v>
      </c>
      <c r="BM980" s="1">
        <v>41091</v>
      </c>
      <c r="BN980" s="1">
        <v>41091</v>
      </c>
      <c r="BO980" s="1">
        <v>41091</v>
      </c>
      <c r="BP980" s="1">
        <v>42291</v>
      </c>
      <c r="BQ980" t="s">
        <v>51</v>
      </c>
      <c r="BS980" t="s">
        <v>60</v>
      </c>
      <c r="BT980" t="s">
        <v>54</v>
      </c>
      <c r="BU980" t="s">
        <v>61</v>
      </c>
      <c r="BV980" t="s">
        <v>62</v>
      </c>
      <c r="BX980">
        <v>36</v>
      </c>
      <c r="BY980">
        <v>0</v>
      </c>
      <c r="BZ980">
        <v>0</v>
      </c>
    </row>
    <row r="981" spans="1:78" x14ac:dyDescent="0.2">
      <c r="A981" t="s">
        <v>180</v>
      </c>
      <c r="B981" t="s">
        <v>181</v>
      </c>
      <c r="C981" t="s">
        <v>184</v>
      </c>
      <c r="D981" t="s">
        <v>643</v>
      </c>
      <c r="F981" t="str">
        <f>"250637"</f>
        <v>250637</v>
      </c>
      <c r="G981" t="s">
        <v>49</v>
      </c>
      <c r="H981" t="s">
        <v>97</v>
      </c>
      <c r="K981" t="s">
        <v>51</v>
      </c>
      <c r="L981" t="s">
        <v>52</v>
      </c>
      <c r="M981">
        <v>136618.66</v>
      </c>
      <c r="N981">
        <v>472492.28</v>
      </c>
      <c r="O981" t="s">
        <v>53</v>
      </c>
      <c r="P981" t="s">
        <v>54</v>
      </c>
      <c r="Q981" t="s">
        <v>55</v>
      </c>
      <c r="T981" t="s">
        <v>241</v>
      </c>
      <c r="U981">
        <v>40</v>
      </c>
      <c r="V981" s="1">
        <v>31594</v>
      </c>
      <c r="W981" s="1">
        <v>31594</v>
      </c>
      <c r="X981" s="1">
        <v>31594</v>
      </c>
      <c r="Y981" s="1">
        <v>46204</v>
      </c>
      <c r="Z981" t="s">
        <v>51</v>
      </c>
      <c r="AB981" t="s">
        <v>54</v>
      </c>
      <c r="AC981">
        <v>1</v>
      </c>
      <c r="AE981" t="s">
        <v>222</v>
      </c>
      <c r="AF981">
        <v>20</v>
      </c>
      <c r="AG981" s="1">
        <v>31594</v>
      </c>
      <c r="AH981" s="1">
        <v>31594</v>
      </c>
      <c r="AI981" s="1">
        <v>31594</v>
      </c>
      <c r="AJ981" s="1">
        <v>38899</v>
      </c>
      <c r="AK981" t="s">
        <v>51</v>
      </c>
      <c r="AN981">
        <v>0</v>
      </c>
      <c r="AO981" t="s">
        <v>54</v>
      </c>
      <c r="AP981" t="s">
        <v>53</v>
      </c>
      <c r="AQ981">
        <v>0</v>
      </c>
      <c r="AR981" t="s">
        <v>53</v>
      </c>
      <c r="AS981">
        <v>0</v>
      </c>
      <c r="AT981">
        <v>0</v>
      </c>
      <c r="AW981" t="s">
        <v>58</v>
      </c>
      <c r="AX981">
        <v>20</v>
      </c>
      <c r="AY981" s="1">
        <v>31594</v>
      </c>
      <c r="AZ981" s="1">
        <v>31594</v>
      </c>
      <c r="BA981" s="1">
        <v>31594</v>
      </c>
      <c r="BB981" s="1">
        <v>38899</v>
      </c>
      <c r="BC981" t="s">
        <v>51</v>
      </c>
      <c r="BE981" t="s">
        <v>54</v>
      </c>
      <c r="BF981">
        <v>2</v>
      </c>
      <c r="BG981">
        <v>0</v>
      </c>
      <c r="BH981" t="s">
        <v>53</v>
      </c>
      <c r="BK981" t="s">
        <v>65</v>
      </c>
      <c r="BL981">
        <v>14000</v>
      </c>
      <c r="BM981" s="1">
        <v>41091</v>
      </c>
      <c r="BN981" s="1">
        <v>41091</v>
      </c>
      <c r="BO981" s="1">
        <v>41091</v>
      </c>
      <c r="BP981" s="1">
        <v>42291</v>
      </c>
      <c r="BQ981" t="s">
        <v>51</v>
      </c>
      <c r="BS981" t="s">
        <v>60</v>
      </c>
      <c r="BT981" t="s">
        <v>54</v>
      </c>
      <c r="BU981" t="s">
        <v>61</v>
      </c>
      <c r="BV981" t="s">
        <v>62</v>
      </c>
      <c r="BX981">
        <v>36</v>
      </c>
      <c r="BY981">
        <v>0</v>
      </c>
      <c r="BZ981">
        <v>0</v>
      </c>
    </row>
    <row r="982" spans="1:78" x14ac:dyDescent="0.2">
      <c r="A982" t="s">
        <v>180</v>
      </c>
      <c r="B982" t="s">
        <v>181</v>
      </c>
      <c r="C982" t="s">
        <v>184</v>
      </c>
      <c r="D982" t="s">
        <v>643</v>
      </c>
      <c r="F982" t="str">
        <f>"250638"</f>
        <v>250638</v>
      </c>
      <c r="G982" t="s">
        <v>49</v>
      </c>
      <c r="K982" t="s">
        <v>51</v>
      </c>
      <c r="L982" t="s">
        <v>52</v>
      </c>
      <c r="M982">
        <v>136635.04999999999</v>
      </c>
      <c r="N982">
        <v>472484.66</v>
      </c>
      <c r="O982" t="s">
        <v>53</v>
      </c>
      <c r="P982" t="s">
        <v>54</v>
      </c>
      <c r="Q982" t="s">
        <v>55</v>
      </c>
      <c r="T982" t="s">
        <v>241</v>
      </c>
      <c r="U982">
        <v>40</v>
      </c>
      <c r="V982" s="1">
        <v>31594</v>
      </c>
      <c r="W982" s="1">
        <v>31594</v>
      </c>
      <c r="X982" s="1">
        <v>31594</v>
      </c>
      <c r="Y982" s="1">
        <v>46204</v>
      </c>
      <c r="Z982" t="s">
        <v>51</v>
      </c>
      <c r="AB982" t="s">
        <v>54</v>
      </c>
      <c r="AC982">
        <v>1</v>
      </c>
      <c r="AE982" t="s">
        <v>222</v>
      </c>
      <c r="AF982">
        <v>20</v>
      </c>
      <c r="AG982" s="1">
        <v>31594</v>
      </c>
      <c r="AH982" s="1">
        <v>31594</v>
      </c>
      <c r="AI982" s="1">
        <v>31594</v>
      </c>
      <c r="AJ982" s="1">
        <v>38899</v>
      </c>
      <c r="AK982" t="s">
        <v>51</v>
      </c>
      <c r="AN982">
        <v>0</v>
      </c>
      <c r="AO982" t="s">
        <v>54</v>
      </c>
      <c r="AP982" t="s">
        <v>53</v>
      </c>
      <c r="AQ982">
        <v>0</v>
      </c>
      <c r="AR982" t="s">
        <v>53</v>
      </c>
      <c r="AS982">
        <v>0</v>
      </c>
      <c r="AT982">
        <v>0</v>
      </c>
      <c r="AW982" t="s">
        <v>58</v>
      </c>
      <c r="AX982">
        <v>20</v>
      </c>
      <c r="AY982" s="1">
        <v>31594</v>
      </c>
      <c r="AZ982" s="1">
        <v>31594</v>
      </c>
      <c r="BA982" s="1">
        <v>31594</v>
      </c>
      <c r="BB982" s="1">
        <v>38899</v>
      </c>
      <c r="BC982" t="s">
        <v>51</v>
      </c>
      <c r="BE982" t="s">
        <v>54</v>
      </c>
      <c r="BF982">
        <v>2</v>
      </c>
      <c r="BG982">
        <v>0</v>
      </c>
      <c r="BH982" t="s">
        <v>53</v>
      </c>
      <c r="BK982" t="s">
        <v>65</v>
      </c>
      <c r="BL982">
        <v>14000</v>
      </c>
      <c r="BM982" s="1">
        <v>41091</v>
      </c>
      <c r="BN982" s="1">
        <v>41091</v>
      </c>
      <c r="BO982" s="1">
        <v>41091</v>
      </c>
      <c r="BP982" s="1">
        <v>42291</v>
      </c>
      <c r="BQ982" t="s">
        <v>51</v>
      </c>
      <c r="BS982" t="s">
        <v>60</v>
      </c>
      <c r="BT982" t="s">
        <v>54</v>
      </c>
      <c r="BU982" t="s">
        <v>61</v>
      </c>
      <c r="BV982" t="s">
        <v>62</v>
      </c>
      <c r="BX982">
        <v>36</v>
      </c>
      <c r="BY982">
        <v>0</v>
      </c>
      <c r="BZ982">
        <v>0</v>
      </c>
    </row>
    <row r="983" spans="1:78" x14ac:dyDescent="0.2">
      <c r="A983" t="s">
        <v>180</v>
      </c>
      <c r="B983" t="s">
        <v>181</v>
      </c>
      <c r="C983" t="s">
        <v>184</v>
      </c>
      <c r="D983" t="s">
        <v>643</v>
      </c>
      <c r="F983" t="str">
        <f>"250639"</f>
        <v>250639</v>
      </c>
      <c r="G983" t="s">
        <v>49</v>
      </c>
      <c r="K983" t="s">
        <v>51</v>
      </c>
      <c r="L983" t="s">
        <v>52</v>
      </c>
      <c r="M983">
        <v>136666.21</v>
      </c>
      <c r="N983">
        <v>472471.88</v>
      </c>
      <c r="O983" t="s">
        <v>53</v>
      </c>
      <c r="P983" t="s">
        <v>54</v>
      </c>
      <c r="Q983" t="s">
        <v>55</v>
      </c>
      <c r="T983" t="s">
        <v>241</v>
      </c>
      <c r="U983">
        <v>40</v>
      </c>
      <c r="V983" s="1">
        <v>31594</v>
      </c>
      <c r="W983" s="1">
        <v>31594</v>
      </c>
      <c r="X983" s="1">
        <v>31594</v>
      </c>
      <c r="Y983" s="1">
        <v>46204</v>
      </c>
      <c r="Z983" t="s">
        <v>51</v>
      </c>
      <c r="AB983" t="s">
        <v>54</v>
      </c>
      <c r="AC983">
        <v>1</v>
      </c>
      <c r="AE983" t="s">
        <v>222</v>
      </c>
      <c r="AF983">
        <v>20</v>
      </c>
      <c r="AG983" s="1">
        <v>31594</v>
      </c>
      <c r="AH983" s="1">
        <v>31594</v>
      </c>
      <c r="AI983" s="1">
        <v>31594</v>
      </c>
      <c r="AJ983" s="1">
        <v>38899</v>
      </c>
      <c r="AK983" t="s">
        <v>51</v>
      </c>
      <c r="AN983">
        <v>0</v>
      </c>
      <c r="AO983" t="s">
        <v>54</v>
      </c>
      <c r="AP983" t="s">
        <v>53</v>
      </c>
      <c r="AQ983">
        <v>0</v>
      </c>
      <c r="AR983" t="s">
        <v>53</v>
      </c>
      <c r="AS983">
        <v>0</v>
      </c>
      <c r="AT983">
        <v>0</v>
      </c>
      <c r="AW983" t="s">
        <v>58</v>
      </c>
      <c r="AX983">
        <v>20</v>
      </c>
      <c r="AY983" s="1">
        <v>31594</v>
      </c>
      <c r="AZ983" s="1">
        <v>31594</v>
      </c>
      <c r="BA983" s="1">
        <v>31594</v>
      </c>
      <c r="BB983" s="1">
        <v>38899</v>
      </c>
      <c r="BC983" t="s">
        <v>51</v>
      </c>
      <c r="BE983" t="s">
        <v>54</v>
      </c>
      <c r="BF983">
        <v>2</v>
      </c>
      <c r="BG983">
        <v>0</v>
      </c>
      <c r="BH983" t="s">
        <v>53</v>
      </c>
      <c r="BK983" t="s">
        <v>65</v>
      </c>
      <c r="BL983">
        <v>14000</v>
      </c>
      <c r="BM983" s="1">
        <v>44837</v>
      </c>
      <c r="BN983" s="1">
        <v>44837</v>
      </c>
      <c r="BO983" s="1">
        <v>44837</v>
      </c>
      <c r="BP983" s="1">
        <v>46000</v>
      </c>
      <c r="BQ983" t="s">
        <v>51</v>
      </c>
      <c r="BS983" t="s">
        <v>60</v>
      </c>
      <c r="BT983" t="s">
        <v>54</v>
      </c>
      <c r="BU983" t="s">
        <v>61</v>
      </c>
      <c r="BV983" t="s">
        <v>62</v>
      </c>
      <c r="BX983">
        <v>36</v>
      </c>
      <c r="BY983">
        <v>0</v>
      </c>
      <c r="BZ983">
        <v>0</v>
      </c>
    </row>
    <row r="984" spans="1:78" x14ac:dyDescent="0.2">
      <c r="A984" t="s">
        <v>180</v>
      </c>
      <c r="B984" t="s">
        <v>181</v>
      </c>
      <c r="C984" t="s">
        <v>184</v>
      </c>
      <c r="D984" t="s">
        <v>643</v>
      </c>
      <c r="F984" t="str">
        <f>"250640"</f>
        <v>250640</v>
      </c>
      <c r="G984" t="s">
        <v>49</v>
      </c>
      <c r="K984" t="s">
        <v>51</v>
      </c>
      <c r="L984" t="s">
        <v>52</v>
      </c>
      <c r="M984">
        <v>136682.31</v>
      </c>
      <c r="N984">
        <v>472464.07</v>
      </c>
      <c r="O984" t="s">
        <v>53</v>
      </c>
      <c r="P984" t="s">
        <v>54</v>
      </c>
      <c r="Q984" t="s">
        <v>55</v>
      </c>
      <c r="T984" t="s">
        <v>241</v>
      </c>
      <c r="U984">
        <v>40</v>
      </c>
      <c r="V984" s="1">
        <v>31594</v>
      </c>
      <c r="W984" s="1">
        <v>31594</v>
      </c>
      <c r="X984" s="1">
        <v>31594</v>
      </c>
      <c r="Y984" s="1">
        <v>46204</v>
      </c>
      <c r="Z984" t="s">
        <v>51</v>
      </c>
      <c r="AB984" t="s">
        <v>54</v>
      </c>
      <c r="AC984">
        <v>1</v>
      </c>
      <c r="AE984" t="s">
        <v>222</v>
      </c>
      <c r="AF984">
        <v>20</v>
      </c>
      <c r="AG984" s="1">
        <v>31594</v>
      </c>
      <c r="AH984" s="1">
        <v>31594</v>
      </c>
      <c r="AI984" s="1">
        <v>31594</v>
      </c>
      <c r="AJ984" s="1">
        <v>38899</v>
      </c>
      <c r="AK984" t="s">
        <v>51</v>
      </c>
      <c r="AN984">
        <v>0</v>
      </c>
      <c r="AO984" t="s">
        <v>54</v>
      </c>
      <c r="AP984" t="s">
        <v>53</v>
      </c>
      <c r="AQ984">
        <v>0</v>
      </c>
      <c r="AR984" t="s">
        <v>53</v>
      </c>
      <c r="AS984">
        <v>0</v>
      </c>
      <c r="AT984">
        <v>0</v>
      </c>
      <c r="AW984" t="s">
        <v>58</v>
      </c>
      <c r="AX984">
        <v>20</v>
      </c>
      <c r="AY984" s="1">
        <v>31594</v>
      </c>
      <c r="AZ984" s="1">
        <v>31594</v>
      </c>
      <c r="BA984" s="1">
        <v>31594</v>
      </c>
      <c r="BB984" s="1">
        <v>38899</v>
      </c>
      <c r="BC984" t="s">
        <v>51</v>
      </c>
      <c r="BE984" t="s">
        <v>54</v>
      </c>
      <c r="BF984">
        <v>2</v>
      </c>
      <c r="BG984">
        <v>0</v>
      </c>
      <c r="BH984" t="s">
        <v>53</v>
      </c>
      <c r="BK984" t="s">
        <v>65</v>
      </c>
      <c r="BL984">
        <v>14000</v>
      </c>
      <c r="BM984" s="1">
        <v>41091</v>
      </c>
      <c r="BN984" s="1">
        <v>41091</v>
      </c>
      <c r="BO984" s="1">
        <v>41091</v>
      </c>
      <c r="BP984" s="1">
        <v>42291</v>
      </c>
      <c r="BQ984" t="s">
        <v>51</v>
      </c>
      <c r="BS984" t="s">
        <v>60</v>
      </c>
      <c r="BT984" t="s">
        <v>54</v>
      </c>
      <c r="BU984" t="s">
        <v>61</v>
      </c>
      <c r="BV984" t="s">
        <v>62</v>
      </c>
      <c r="BX984">
        <v>36</v>
      </c>
      <c r="BY984">
        <v>0</v>
      </c>
      <c r="BZ984">
        <v>0</v>
      </c>
    </row>
    <row r="985" spans="1:78" x14ac:dyDescent="0.2">
      <c r="A985" t="s">
        <v>180</v>
      </c>
      <c r="B985" t="s">
        <v>181</v>
      </c>
      <c r="C985" t="s">
        <v>184</v>
      </c>
      <c r="D985" t="s">
        <v>643</v>
      </c>
      <c r="F985" t="str">
        <f>"250641"</f>
        <v>250641</v>
      </c>
      <c r="G985" t="s">
        <v>49</v>
      </c>
      <c r="K985" t="s">
        <v>51</v>
      </c>
      <c r="L985" t="s">
        <v>52</v>
      </c>
      <c r="M985">
        <v>136700.57999999999</v>
      </c>
      <c r="N985">
        <v>472455.85</v>
      </c>
      <c r="O985" t="s">
        <v>53</v>
      </c>
      <c r="P985" t="s">
        <v>54</v>
      </c>
      <c r="Q985" t="s">
        <v>55</v>
      </c>
      <c r="T985" t="s">
        <v>241</v>
      </c>
      <c r="U985">
        <v>40</v>
      </c>
      <c r="V985" s="1">
        <v>31594</v>
      </c>
      <c r="W985" s="1">
        <v>31594</v>
      </c>
      <c r="X985" s="1">
        <v>31594</v>
      </c>
      <c r="Y985" s="1">
        <v>46204</v>
      </c>
      <c r="Z985" t="s">
        <v>51</v>
      </c>
      <c r="AB985" t="s">
        <v>54</v>
      </c>
      <c r="AC985">
        <v>1</v>
      </c>
      <c r="AE985" t="s">
        <v>222</v>
      </c>
      <c r="AF985">
        <v>20</v>
      </c>
      <c r="AG985" s="1">
        <v>31594</v>
      </c>
      <c r="AH985" s="1">
        <v>31594</v>
      </c>
      <c r="AI985" s="1">
        <v>31594</v>
      </c>
      <c r="AJ985" s="1">
        <v>38899</v>
      </c>
      <c r="AK985" t="s">
        <v>51</v>
      </c>
      <c r="AN985">
        <v>0</v>
      </c>
      <c r="AO985" t="s">
        <v>54</v>
      </c>
      <c r="AP985" t="s">
        <v>53</v>
      </c>
      <c r="AQ985">
        <v>0</v>
      </c>
      <c r="AR985" t="s">
        <v>53</v>
      </c>
      <c r="AS985">
        <v>0</v>
      </c>
      <c r="AT985">
        <v>0</v>
      </c>
      <c r="AW985" t="s">
        <v>58</v>
      </c>
      <c r="AX985">
        <v>20</v>
      </c>
      <c r="AY985" s="1">
        <v>31594</v>
      </c>
      <c r="AZ985" s="1">
        <v>31594</v>
      </c>
      <c r="BA985" s="1">
        <v>31594</v>
      </c>
      <c r="BB985" s="1">
        <v>38899</v>
      </c>
      <c r="BC985" t="s">
        <v>51</v>
      </c>
      <c r="BE985" t="s">
        <v>54</v>
      </c>
      <c r="BF985">
        <v>2</v>
      </c>
      <c r="BG985">
        <v>0</v>
      </c>
      <c r="BH985" t="s">
        <v>53</v>
      </c>
      <c r="BK985" t="s">
        <v>65</v>
      </c>
      <c r="BL985">
        <v>14000</v>
      </c>
      <c r="BM985" s="1">
        <v>43221</v>
      </c>
      <c r="BN985" s="1">
        <v>43221</v>
      </c>
      <c r="BO985" s="1">
        <v>43221</v>
      </c>
      <c r="BP985" s="1">
        <v>44444</v>
      </c>
      <c r="BQ985" t="s">
        <v>51</v>
      </c>
      <c r="BS985" t="s">
        <v>60</v>
      </c>
      <c r="BT985" t="s">
        <v>54</v>
      </c>
      <c r="BU985" t="s">
        <v>61</v>
      </c>
      <c r="BV985" t="s">
        <v>62</v>
      </c>
      <c r="BX985">
        <v>36</v>
      </c>
      <c r="BY985">
        <v>0</v>
      </c>
      <c r="BZ985">
        <v>0</v>
      </c>
    </row>
    <row r="986" spans="1:78" x14ac:dyDescent="0.2">
      <c r="A986" t="s">
        <v>180</v>
      </c>
      <c r="B986" t="s">
        <v>181</v>
      </c>
      <c r="C986" t="s">
        <v>184</v>
      </c>
      <c r="D986" t="s">
        <v>643</v>
      </c>
      <c r="F986" t="str">
        <f>"250642"</f>
        <v>250642</v>
      </c>
      <c r="G986" t="s">
        <v>49</v>
      </c>
      <c r="K986" t="s">
        <v>51</v>
      </c>
      <c r="L986" t="s">
        <v>52</v>
      </c>
      <c r="M986">
        <v>136717.82</v>
      </c>
      <c r="N986">
        <v>472448.41</v>
      </c>
      <c r="O986" t="s">
        <v>53</v>
      </c>
      <c r="P986" t="s">
        <v>54</v>
      </c>
      <c r="Q986" t="s">
        <v>55</v>
      </c>
      <c r="T986" t="s">
        <v>241</v>
      </c>
      <c r="U986">
        <v>40</v>
      </c>
      <c r="V986" s="1">
        <v>31594</v>
      </c>
      <c r="W986" s="1">
        <v>31594</v>
      </c>
      <c r="X986" s="1">
        <v>31594</v>
      </c>
      <c r="Y986" s="1">
        <v>46204</v>
      </c>
      <c r="Z986" t="s">
        <v>51</v>
      </c>
      <c r="AB986" t="s">
        <v>54</v>
      </c>
      <c r="AC986">
        <v>1</v>
      </c>
      <c r="AE986" t="s">
        <v>222</v>
      </c>
      <c r="AF986">
        <v>20</v>
      </c>
      <c r="AG986" s="1">
        <v>31594</v>
      </c>
      <c r="AH986" s="1">
        <v>31594</v>
      </c>
      <c r="AI986" s="1">
        <v>31594</v>
      </c>
      <c r="AJ986" s="1">
        <v>38899</v>
      </c>
      <c r="AK986" t="s">
        <v>51</v>
      </c>
      <c r="AN986">
        <v>0</v>
      </c>
      <c r="AO986" t="s">
        <v>54</v>
      </c>
      <c r="AP986" t="s">
        <v>53</v>
      </c>
      <c r="AQ986">
        <v>0</v>
      </c>
      <c r="AR986" t="s">
        <v>53</v>
      </c>
      <c r="AS986">
        <v>0</v>
      </c>
      <c r="AT986">
        <v>0</v>
      </c>
      <c r="AW986" t="s">
        <v>58</v>
      </c>
      <c r="AX986">
        <v>20</v>
      </c>
      <c r="AY986" s="1">
        <v>31594</v>
      </c>
      <c r="AZ986" s="1">
        <v>31594</v>
      </c>
      <c r="BA986" s="1">
        <v>31594</v>
      </c>
      <c r="BB986" s="1">
        <v>38899</v>
      </c>
      <c r="BC986" t="s">
        <v>51</v>
      </c>
      <c r="BE986" t="s">
        <v>54</v>
      </c>
      <c r="BF986">
        <v>2</v>
      </c>
      <c r="BG986">
        <v>0</v>
      </c>
      <c r="BH986" t="s">
        <v>53</v>
      </c>
      <c r="BK986" t="s">
        <v>65</v>
      </c>
      <c r="BL986">
        <v>14000</v>
      </c>
      <c r="BM986" s="1">
        <v>43221</v>
      </c>
      <c r="BN986" s="1">
        <v>43221</v>
      </c>
      <c r="BO986" s="1">
        <v>43221</v>
      </c>
      <c r="BP986" s="1">
        <v>44444</v>
      </c>
      <c r="BQ986" t="s">
        <v>51</v>
      </c>
      <c r="BS986" t="s">
        <v>60</v>
      </c>
      <c r="BT986" t="s">
        <v>54</v>
      </c>
      <c r="BU986" t="s">
        <v>61</v>
      </c>
      <c r="BV986" t="s">
        <v>62</v>
      </c>
      <c r="BX986">
        <v>36</v>
      </c>
      <c r="BY986">
        <v>0</v>
      </c>
      <c r="BZ986">
        <v>0</v>
      </c>
    </row>
    <row r="987" spans="1:78" x14ac:dyDescent="0.2">
      <c r="A987" t="s">
        <v>180</v>
      </c>
      <c r="B987" t="s">
        <v>181</v>
      </c>
      <c r="C987" t="s">
        <v>184</v>
      </c>
      <c r="D987" t="s">
        <v>643</v>
      </c>
      <c r="F987" t="str">
        <f>"250643"</f>
        <v>250643</v>
      </c>
      <c r="G987" t="s">
        <v>49</v>
      </c>
      <c r="K987" t="s">
        <v>51</v>
      </c>
      <c r="L987" t="s">
        <v>52</v>
      </c>
      <c r="M987">
        <v>136743.74</v>
      </c>
      <c r="N987">
        <v>472436.37</v>
      </c>
      <c r="O987" t="s">
        <v>53</v>
      </c>
      <c r="P987" t="s">
        <v>54</v>
      </c>
      <c r="Q987" t="s">
        <v>55</v>
      </c>
      <c r="T987" t="s">
        <v>241</v>
      </c>
      <c r="U987">
        <v>40</v>
      </c>
      <c r="V987" s="1">
        <v>31594</v>
      </c>
      <c r="W987" s="1">
        <v>31594</v>
      </c>
      <c r="X987" s="1">
        <v>31594</v>
      </c>
      <c r="Y987" s="1">
        <v>46204</v>
      </c>
      <c r="Z987" t="s">
        <v>51</v>
      </c>
      <c r="AB987" t="s">
        <v>54</v>
      </c>
      <c r="AC987">
        <v>1</v>
      </c>
      <c r="AE987" t="s">
        <v>222</v>
      </c>
      <c r="AF987">
        <v>20</v>
      </c>
      <c r="AG987" s="1">
        <v>31594</v>
      </c>
      <c r="AH987" s="1">
        <v>31594</v>
      </c>
      <c r="AI987" s="1">
        <v>31594</v>
      </c>
      <c r="AJ987" s="1">
        <v>38899</v>
      </c>
      <c r="AK987" t="s">
        <v>51</v>
      </c>
      <c r="AN987">
        <v>0</v>
      </c>
      <c r="AO987" t="s">
        <v>54</v>
      </c>
      <c r="AP987" t="s">
        <v>53</v>
      </c>
      <c r="AQ987">
        <v>0</v>
      </c>
      <c r="AR987" t="s">
        <v>53</v>
      </c>
      <c r="AS987">
        <v>0</v>
      </c>
      <c r="AT987">
        <v>0</v>
      </c>
      <c r="AW987" t="s">
        <v>58</v>
      </c>
      <c r="AX987">
        <v>20</v>
      </c>
      <c r="AY987" s="1">
        <v>31594</v>
      </c>
      <c r="AZ987" s="1">
        <v>31594</v>
      </c>
      <c r="BA987" s="1">
        <v>31594</v>
      </c>
      <c r="BB987" s="1">
        <v>38899</v>
      </c>
      <c r="BC987" t="s">
        <v>51</v>
      </c>
      <c r="BE987" t="s">
        <v>54</v>
      </c>
      <c r="BF987">
        <v>2</v>
      </c>
      <c r="BG987">
        <v>0</v>
      </c>
      <c r="BH987" t="s">
        <v>53</v>
      </c>
      <c r="BK987" t="s">
        <v>65</v>
      </c>
      <c r="BL987">
        <v>14000</v>
      </c>
      <c r="BM987" s="1">
        <v>41091</v>
      </c>
      <c r="BN987" s="1">
        <v>41091</v>
      </c>
      <c r="BO987" s="1">
        <v>41091</v>
      </c>
      <c r="BP987" s="1">
        <v>42291</v>
      </c>
      <c r="BQ987" t="s">
        <v>51</v>
      </c>
      <c r="BS987" t="s">
        <v>60</v>
      </c>
      <c r="BT987" t="s">
        <v>54</v>
      </c>
      <c r="BU987" t="s">
        <v>61</v>
      </c>
      <c r="BV987" t="s">
        <v>62</v>
      </c>
      <c r="BX987">
        <v>36</v>
      </c>
      <c r="BY987">
        <v>0</v>
      </c>
      <c r="BZ987">
        <v>0</v>
      </c>
    </row>
    <row r="988" spans="1:78" x14ac:dyDescent="0.2">
      <c r="A988" t="s">
        <v>180</v>
      </c>
      <c r="B988" t="s">
        <v>181</v>
      </c>
      <c r="C988" t="s">
        <v>184</v>
      </c>
      <c r="D988" t="s">
        <v>645</v>
      </c>
      <c r="F988" t="str">
        <f>"250644"</f>
        <v>250644</v>
      </c>
      <c r="G988" t="s">
        <v>49</v>
      </c>
      <c r="H988" t="s">
        <v>646</v>
      </c>
      <c r="K988" t="s">
        <v>51</v>
      </c>
      <c r="L988" t="s">
        <v>52</v>
      </c>
      <c r="M988">
        <v>136668.10999999999</v>
      </c>
      <c r="N988">
        <v>472500.5</v>
      </c>
      <c r="O988" t="s">
        <v>53</v>
      </c>
      <c r="P988" t="s">
        <v>54</v>
      </c>
      <c r="Q988" t="s">
        <v>55</v>
      </c>
      <c r="T988" t="s">
        <v>241</v>
      </c>
      <c r="U988">
        <v>40</v>
      </c>
      <c r="V988" s="1">
        <v>35247</v>
      </c>
      <c r="W988" s="1">
        <v>35247</v>
      </c>
      <c r="X988" s="1">
        <v>35247</v>
      </c>
      <c r="Y988" s="1">
        <v>49857</v>
      </c>
      <c r="Z988" t="s">
        <v>51</v>
      </c>
      <c r="AB988" t="s">
        <v>54</v>
      </c>
      <c r="AC988">
        <v>1</v>
      </c>
      <c r="AE988" t="s">
        <v>222</v>
      </c>
      <c r="AF988">
        <v>20</v>
      </c>
      <c r="AG988" s="1">
        <v>35247</v>
      </c>
      <c r="AH988" s="1">
        <v>35247</v>
      </c>
      <c r="AI988" s="1">
        <v>35247</v>
      </c>
      <c r="AJ988" s="1">
        <v>42552</v>
      </c>
      <c r="AK988" t="s">
        <v>51</v>
      </c>
      <c r="AN988">
        <v>0</v>
      </c>
      <c r="AO988" t="s">
        <v>54</v>
      </c>
      <c r="AP988" t="s">
        <v>53</v>
      </c>
      <c r="AQ988">
        <v>0</v>
      </c>
      <c r="AR988" t="s">
        <v>53</v>
      </c>
      <c r="AS988">
        <v>0</v>
      </c>
      <c r="AT988">
        <v>0</v>
      </c>
      <c r="AW988" t="s">
        <v>58</v>
      </c>
      <c r="AX988">
        <v>20</v>
      </c>
      <c r="AY988" s="1">
        <v>35247</v>
      </c>
      <c r="AZ988" s="1">
        <v>35247</v>
      </c>
      <c r="BA988" s="1">
        <v>35247</v>
      </c>
      <c r="BB988" s="1">
        <v>42552</v>
      </c>
      <c r="BC988" t="s">
        <v>51</v>
      </c>
      <c r="BE988" t="s">
        <v>54</v>
      </c>
      <c r="BF988">
        <v>2</v>
      </c>
      <c r="BG988">
        <v>0</v>
      </c>
      <c r="BH988" t="s">
        <v>53</v>
      </c>
      <c r="BK988" t="s">
        <v>65</v>
      </c>
      <c r="BL988">
        <v>14000</v>
      </c>
      <c r="BM988" s="1">
        <v>41091</v>
      </c>
      <c r="BN988" s="1">
        <v>41091</v>
      </c>
      <c r="BO988" s="1">
        <v>41091</v>
      </c>
      <c r="BP988" s="1">
        <v>42291</v>
      </c>
      <c r="BQ988" t="s">
        <v>51</v>
      </c>
      <c r="BS988" t="s">
        <v>60</v>
      </c>
      <c r="BT988" t="s">
        <v>54</v>
      </c>
      <c r="BU988" t="s">
        <v>61</v>
      </c>
      <c r="BV988" t="s">
        <v>62</v>
      </c>
      <c r="BX988">
        <v>36</v>
      </c>
      <c r="BY988">
        <v>0</v>
      </c>
      <c r="BZ988">
        <v>0</v>
      </c>
    </row>
    <row r="989" spans="1:78" x14ac:dyDescent="0.2">
      <c r="A989" t="s">
        <v>180</v>
      </c>
      <c r="B989" t="s">
        <v>181</v>
      </c>
      <c r="C989" t="s">
        <v>184</v>
      </c>
      <c r="D989" t="s">
        <v>645</v>
      </c>
      <c r="F989" t="str">
        <f>"250645"</f>
        <v>250645</v>
      </c>
      <c r="G989" t="s">
        <v>49</v>
      </c>
      <c r="K989" t="s">
        <v>51</v>
      </c>
      <c r="L989" t="s">
        <v>52</v>
      </c>
      <c r="M989">
        <v>136687.23000000001</v>
      </c>
      <c r="N989">
        <v>472521.5</v>
      </c>
      <c r="O989" t="s">
        <v>53</v>
      </c>
      <c r="P989" t="s">
        <v>54</v>
      </c>
      <c r="Q989" t="s">
        <v>55</v>
      </c>
      <c r="T989" t="s">
        <v>241</v>
      </c>
      <c r="U989">
        <v>40</v>
      </c>
      <c r="V989" s="1">
        <v>35247</v>
      </c>
      <c r="W989" s="1">
        <v>35247</v>
      </c>
      <c r="X989" s="1">
        <v>35247</v>
      </c>
      <c r="Y989" s="1">
        <v>49857</v>
      </c>
      <c r="Z989" t="s">
        <v>51</v>
      </c>
      <c r="AB989" t="s">
        <v>54</v>
      </c>
      <c r="AC989">
        <v>1</v>
      </c>
      <c r="AE989" t="s">
        <v>222</v>
      </c>
      <c r="AF989">
        <v>20</v>
      </c>
      <c r="AG989" s="1">
        <v>35247</v>
      </c>
      <c r="AH989" s="1">
        <v>35247</v>
      </c>
      <c r="AI989" s="1">
        <v>35247</v>
      </c>
      <c r="AJ989" s="1">
        <v>42552</v>
      </c>
      <c r="AK989" t="s">
        <v>51</v>
      </c>
      <c r="AN989">
        <v>0</v>
      </c>
      <c r="AO989" t="s">
        <v>54</v>
      </c>
      <c r="AP989" t="s">
        <v>53</v>
      </c>
      <c r="AQ989">
        <v>0</v>
      </c>
      <c r="AR989" t="s">
        <v>53</v>
      </c>
      <c r="AS989">
        <v>0</v>
      </c>
      <c r="AT989">
        <v>0</v>
      </c>
      <c r="AW989" t="s">
        <v>58</v>
      </c>
      <c r="AX989">
        <v>20</v>
      </c>
      <c r="AY989" s="1">
        <v>35247</v>
      </c>
      <c r="AZ989" s="1">
        <v>35247</v>
      </c>
      <c r="BA989" s="1">
        <v>35247</v>
      </c>
      <c r="BB989" s="1">
        <v>42552</v>
      </c>
      <c r="BC989" t="s">
        <v>51</v>
      </c>
      <c r="BE989" t="s">
        <v>54</v>
      </c>
      <c r="BF989">
        <v>2</v>
      </c>
      <c r="BG989">
        <v>0</v>
      </c>
      <c r="BH989" t="s">
        <v>53</v>
      </c>
      <c r="BK989" t="s">
        <v>65</v>
      </c>
      <c r="BL989">
        <v>14000</v>
      </c>
      <c r="BM989" s="1">
        <v>41091</v>
      </c>
      <c r="BN989" s="1">
        <v>41091</v>
      </c>
      <c r="BO989" s="1">
        <v>41091</v>
      </c>
      <c r="BP989" s="1">
        <v>42291</v>
      </c>
      <c r="BQ989" t="s">
        <v>51</v>
      </c>
      <c r="BS989" t="s">
        <v>60</v>
      </c>
      <c r="BT989" t="s">
        <v>54</v>
      </c>
      <c r="BU989" t="s">
        <v>61</v>
      </c>
      <c r="BV989" t="s">
        <v>62</v>
      </c>
      <c r="BX989">
        <v>36</v>
      </c>
      <c r="BY989">
        <v>0</v>
      </c>
      <c r="BZ989">
        <v>0</v>
      </c>
    </row>
    <row r="990" spans="1:78" x14ac:dyDescent="0.2">
      <c r="A990" t="s">
        <v>180</v>
      </c>
      <c r="B990" t="s">
        <v>181</v>
      </c>
      <c r="C990" t="s">
        <v>184</v>
      </c>
      <c r="D990" t="s">
        <v>645</v>
      </c>
      <c r="F990" t="str">
        <f>"250646"</f>
        <v>250646</v>
      </c>
      <c r="G990" t="s">
        <v>49</v>
      </c>
      <c r="H990" t="s">
        <v>647</v>
      </c>
      <c r="K990" t="s">
        <v>51</v>
      </c>
      <c r="L990" t="s">
        <v>52</v>
      </c>
      <c r="M990">
        <v>136690.16</v>
      </c>
      <c r="N990">
        <v>472548.59</v>
      </c>
      <c r="O990" t="s">
        <v>53</v>
      </c>
      <c r="P990" t="s">
        <v>54</v>
      </c>
      <c r="Q990" t="s">
        <v>55</v>
      </c>
      <c r="T990" t="s">
        <v>241</v>
      </c>
      <c r="U990">
        <v>40</v>
      </c>
      <c r="V990" s="1">
        <v>35247</v>
      </c>
      <c r="W990" s="1">
        <v>35247</v>
      </c>
      <c r="X990" s="1">
        <v>35247</v>
      </c>
      <c r="Y990" s="1">
        <v>49857</v>
      </c>
      <c r="Z990" t="s">
        <v>51</v>
      </c>
      <c r="AB990" t="s">
        <v>54</v>
      </c>
      <c r="AC990">
        <v>1</v>
      </c>
      <c r="AE990" t="s">
        <v>222</v>
      </c>
      <c r="AF990">
        <v>20</v>
      </c>
      <c r="AG990" s="1">
        <v>35247</v>
      </c>
      <c r="AH990" s="1">
        <v>35247</v>
      </c>
      <c r="AI990" s="1">
        <v>35247</v>
      </c>
      <c r="AJ990" s="1">
        <v>42552</v>
      </c>
      <c r="AK990" t="s">
        <v>51</v>
      </c>
      <c r="AN990">
        <v>0</v>
      </c>
      <c r="AO990" t="s">
        <v>54</v>
      </c>
      <c r="AP990" t="s">
        <v>53</v>
      </c>
      <c r="AQ990">
        <v>0</v>
      </c>
      <c r="AR990" t="s">
        <v>53</v>
      </c>
      <c r="AS990">
        <v>0</v>
      </c>
      <c r="AT990">
        <v>0</v>
      </c>
      <c r="AW990" t="s">
        <v>58</v>
      </c>
      <c r="AX990">
        <v>20</v>
      </c>
      <c r="AY990" s="1">
        <v>35247</v>
      </c>
      <c r="AZ990" s="1">
        <v>35247</v>
      </c>
      <c r="BA990" s="1">
        <v>35247</v>
      </c>
      <c r="BB990" s="1">
        <v>42552</v>
      </c>
      <c r="BC990" t="s">
        <v>51</v>
      </c>
      <c r="BE990" t="s">
        <v>54</v>
      </c>
      <c r="BF990">
        <v>2</v>
      </c>
      <c r="BG990">
        <v>0</v>
      </c>
      <c r="BH990" t="s">
        <v>53</v>
      </c>
      <c r="BK990" t="s">
        <v>65</v>
      </c>
      <c r="BL990">
        <v>14000</v>
      </c>
      <c r="BM990" s="1">
        <v>41091</v>
      </c>
      <c r="BN990" s="1">
        <v>41091</v>
      </c>
      <c r="BO990" s="1">
        <v>41091</v>
      </c>
      <c r="BP990" s="1">
        <v>42291</v>
      </c>
      <c r="BQ990" t="s">
        <v>51</v>
      </c>
      <c r="BS990" t="s">
        <v>60</v>
      </c>
      <c r="BT990" t="s">
        <v>54</v>
      </c>
      <c r="BU990" t="s">
        <v>61</v>
      </c>
      <c r="BV990" t="s">
        <v>62</v>
      </c>
      <c r="BX990">
        <v>36</v>
      </c>
      <c r="BY990">
        <v>0</v>
      </c>
      <c r="BZ990">
        <v>0</v>
      </c>
    </row>
    <row r="991" spans="1:78" x14ac:dyDescent="0.2">
      <c r="A991" t="s">
        <v>180</v>
      </c>
      <c r="B991" t="s">
        <v>181</v>
      </c>
      <c r="C991" t="s">
        <v>184</v>
      </c>
      <c r="D991" t="s">
        <v>645</v>
      </c>
      <c r="F991" t="str">
        <f>"250647"</f>
        <v>250647</v>
      </c>
      <c r="G991" t="s">
        <v>49</v>
      </c>
      <c r="K991" t="s">
        <v>51</v>
      </c>
      <c r="L991" t="s">
        <v>52</v>
      </c>
      <c r="M991">
        <v>136710.73000000001</v>
      </c>
      <c r="N991">
        <v>472573.03</v>
      </c>
      <c r="O991" t="s">
        <v>53</v>
      </c>
      <c r="P991" t="s">
        <v>54</v>
      </c>
      <c r="Q991" t="s">
        <v>55</v>
      </c>
      <c r="T991" t="s">
        <v>241</v>
      </c>
      <c r="U991">
        <v>40</v>
      </c>
      <c r="V991" s="1">
        <v>35247</v>
      </c>
      <c r="W991" s="1">
        <v>35247</v>
      </c>
      <c r="X991" s="1">
        <v>35247</v>
      </c>
      <c r="Y991" s="1">
        <v>49857</v>
      </c>
      <c r="Z991" t="s">
        <v>51</v>
      </c>
      <c r="AB991" t="s">
        <v>54</v>
      </c>
      <c r="AC991">
        <v>1</v>
      </c>
      <c r="AE991" t="s">
        <v>222</v>
      </c>
      <c r="AF991">
        <v>20</v>
      </c>
      <c r="AG991" s="1">
        <v>35247</v>
      </c>
      <c r="AH991" s="1">
        <v>35247</v>
      </c>
      <c r="AI991" s="1">
        <v>35247</v>
      </c>
      <c r="AJ991" s="1">
        <v>42552</v>
      </c>
      <c r="AK991" t="s">
        <v>51</v>
      </c>
      <c r="AN991">
        <v>0</v>
      </c>
      <c r="AO991" t="s">
        <v>54</v>
      </c>
      <c r="AP991" t="s">
        <v>53</v>
      </c>
      <c r="AQ991">
        <v>0</v>
      </c>
      <c r="AR991" t="s">
        <v>53</v>
      </c>
      <c r="AS991">
        <v>0</v>
      </c>
      <c r="AT991">
        <v>0</v>
      </c>
      <c r="AW991" t="s">
        <v>58</v>
      </c>
      <c r="AX991">
        <v>20</v>
      </c>
      <c r="AY991" s="1">
        <v>35247</v>
      </c>
      <c r="AZ991" s="1">
        <v>35247</v>
      </c>
      <c r="BA991" s="1">
        <v>35247</v>
      </c>
      <c r="BB991" s="1">
        <v>42552</v>
      </c>
      <c r="BC991" t="s">
        <v>51</v>
      </c>
      <c r="BE991" t="s">
        <v>54</v>
      </c>
      <c r="BF991">
        <v>2</v>
      </c>
      <c r="BG991">
        <v>0</v>
      </c>
      <c r="BH991" t="s">
        <v>53</v>
      </c>
      <c r="BK991" t="s">
        <v>65</v>
      </c>
      <c r="BL991">
        <v>14000</v>
      </c>
      <c r="BM991" s="1">
        <v>44900</v>
      </c>
      <c r="BN991" s="1">
        <v>44900</v>
      </c>
      <c r="BO991" s="1">
        <v>44900</v>
      </c>
      <c r="BP991" s="1">
        <v>46059</v>
      </c>
      <c r="BQ991" t="s">
        <v>51</v>
      </c>
      <c r="BS991" t="s">
        <v>60</v>
      </c>
      <c r="BT991" t="s">
        <v>54</v>
      </c>
      <c r="BU991" t="s">
        <v>61</v>
      </c>
      <c r="BV991" t="s">
        <v>62</v>
      </c>
      <c r="BX991">
        <v>36</v>
      </c>
      <c r="BY991">
        <v>0</v>
      </c>
      <c r="BZ991">
        <v>0</v>
      </c>
    </row>
    <row r="992" spans="1:78" x14ac:dyDescent="0.2">
      <c r="A992" t="s">
        <v>180</v>
      </c>
      <c r="B992" t="s">
        <v>181</v>
      </c>
      <c r="C992" t="s">
        <v>184</v>
      </c>
      <c r="D992" t="s">
        <v>645</v>
      </c>
      <c r="F992" t="str">
        <f>"250648"</f>
        <v>250648</v>
      </c>
      <c r="G992" t="s">
        <v>49</v>
      </c>
      <c r="H992" t="s">
        <v>648</v>
      </c>
      <c r="K992" t="s">
        <v>51</v>
      </c>
      <c r="L992" t="s">
        <v>52</v>
      </c>
      <c r="M992">
        <v>136712.42000000001</v>
      </c>
      <c r="N992">
        <v>472601.47</v>
      </c>
      <c r="O992" t="s">
        <v>53</v>
      </c>
      <c r="P992" t="s">
        <v>54</v>
      </c>
      <c r="Q992" t="s">
        <v>55</v>
      </c>
      <c r="T992" t="s">
        <v>241</v>
      </c>
      <c r="U992">
        <v>40</v>
      </c>
      <c r="V992" s="1">
        <v>35247</v>
      </c>
      <c r="W992" s="1">
        <v>35247</v>
      </c>
      <c r="X992" s="1">
        <v>35247</v>
      </c>
      <c r="Y992" s="1">
        <v>49857</v>
      </c>
      <c r="Z992" t="s">
        <v>51</v>
      </c>
      <c r="AB992" t="s">
        <v>54</v>
      </c>
      <c r="AC992">
        <v>1</v>
      </c>
      <c r="AE992" t="s">
        <v>222</v>
      </c>
      <c r="AF992">
        <v>20</v>
      </c>
      <c r="AG992" s="1">
        <v>35247</v>
      </c>
      <c r="AH992" s="1">
        <v>35247</v>
      </c>
      <c r="AI992" s="1">
        <v>35247</v>
      </c>
      <c r="AJ992" s="1">
        <v>42552</v>
      </c>
      <c r="AK992" t="s">
        <v>51</v>
      </c>
      <c r="AN992">
        <v>0</v>
      </c>
      <c r="AO992" t="s">
        <v>54</v>
      </c>
      <c r="AP992" t="s">
        <v>53</v>
      </c>
      <c r="AQ992">
        <v>0</v>
      </c>
      <c r="AR992" t="s">
        <v>53</v>
      </c>
      <c r="AS992">
        <v>0</v>
      </c>
      <c r="AT992">
        <v>0</v>
      </c>
      <c r="AW992" t="s">
        <v>58</v>
      </c>
      <c r="AX992">
        <v>20</v>
      </c>
      <c r="AY992" s="1">
        <v>35247</v>
      </c>
      <c r="AZ992" s="1">
        <v>35247</v>
      </c>
      <c r="BA992" s="1">
        <v>35247</v>
      </c>
      <c r="BB992" s="1">
        <v>42552</v>
      </c>
      <c r="BC992" t="s">
        <v>51</v>
      </c>
      <c r="BE992" t="s">
        <v>54</v>
      </c>
      <c r="BF992">
        <v>2</v>
      </c>
      <c r="BG992">
        <v>0</v>
      </c>
      <c r="BH992" t="s">
        <v>53</v>
      </c>
      <c r="BK992" t="s">
        <v>65</v>
      </c>
      <c r="BL992">
        <v>14000</v>
      </c>
      <c r="BM992" s="1">
        <v>41091</v>
      </c>
      <c r="BN992" s="1">
        <v>41091</v>
      </c>
      <c r="BO992" s="1">
        <v>41091</v>
      </c>
      <c r="BP992" s="1">
        <v>42291</v>
      </c>
      <c r="BQ992" t="s">
        <v>51</v>
      </c>
      <c r="BS992" t="s">
        <v>60</v>
      </c>
      <c r="BT992" t="s">
        <v>54</v>
      </c>
      <c r="BU992" t="s">
        <v>61</v>
      </c>
      <c r="BV992" t="s">
        <v>62</v>
      </c>
      <c r="BX992">
        <v>36</v>
      </c>
      <c r="BY992">
        <v>0</v>
      </c>
      <c r="BZ992">
        <v>0</v>
      </c>
    </row>
    <row r="993" spans="1:78" x14ac:dyDescent="0.2">
      <c r="A993" t="s">
        <v>180</v>
      </c>
      <c r="B993" t="s">
        <v>181</v>
      </c>
      <c r="C993" t="s">
        <v>184</v>
      </c>
      <c r="D993" t="s">
        <v>645</v>
      </c>
      <c r="F993" t="str">
        <f>"250649"</f>
        <v>250649</v>
      </c>
      <c r="G993" t="s">
        <v>49</v>
      </c>
      <c r="K993" t="s">
        <v>51</v>
      </c>
      <c r="L993" t="s">
        <v>52</v>
      </c>
      <c r="M993">
        <v>136731.99900000001</v>
      </c>
      <c r="N993">
        <v>472618.91100000002</v>
      </c>
      <c r="O993" t="s">
        <v>53</v>
      </c>
      <c r="P993" t="s">
        <v>54</v>
      </c>
      <c r="Q993" t="s">
        <v>55</v>
      </c>
      <c r="T993" t="s">
        <v>241</v>
      </c>
      <c r="U993">
        <v>40</v>
      </c>
      <c r="V993" s="1">
        <v>35247</v>
      </c>
      <c r="W993" s="1">
        <v>35247</v>
      </c>
      <c r="X993" s="1">
        <v>35247</v>
      </c>
      <c r="Y993" s="1">
        <v>49857</v>
      </c>
      <c r="Z993" t="s">
        <v>51</v>
      </c>
      <c r="AB993" t="s">
        <v>54</v>
      </c>
      <c r="AC993">
        <v>1</v>
      </c>
      <c r="AE993" t="s">
        <v>222</v>
      </c>
      <c r="AF993">
        <v>20</v>
      </c>
      <c r="AG993" s="1">
        <v>35247</v>
      </c>
      <c r="AH993" s="1">
        <v>35247</v>
      </c>
      <c r="AI993" s="1">
        <v>35247</v>
      </c>
      <c r="AJ993" s="1">
        <v>42552</v>
      </c>
      <c r="AK993" t="s">
        <v>51</v>
      </c>
      <c r="AN993">
        <v>0</v>
      </c>
      <c r="AO993" t="s">
        <v>54</v>
      </c>
      <c r="AP993" t="s">
        <v>53</v>
      </c>
      <c r="AQ993">
        <v>0</v>
      </c>
      <c r="AR993" t="s">
        <v>53</v>
      </c>
      <c r="AS993">
        <v>0</v>
      </c>
      <c r="AT993">
        <v>0</v>
      </c>
      <c r="AW993" t="s">
        <v>58</v>
      </c>
      <c r="AX993">
        <v>20</v>
      </c>
      <c r="AY993" s="1">
        <v>35247</v>
      </c>
      <c r="AZ993" s="1">
        <v>35247</v>
      </c>
      <c r="BA993" s="1">
        <v>35247</v>
      </c>
      <c r="BB993" s="1">
        <v>42552</v>
      </c>
      <c r="BC993" t="s">
        <v>51</v>
      </c>
      <c r="BE993" t="s">
        <v>54</v>
      </c>
      <c r="BF993">
        <v>2</v>
      </c>
      <c r="BG993">
        <v>0</v>
      </c>
      <c r="BH993" t="s">
        <v>53</v>
      </c>
      <c r="BK993" t="s">
        <v>65</v>
      </c>
      <c r="BL993">
        <v>14000</v>
      </c>
      <c r="BM993" s="1">
        <v>41091</v>
      </c>
      <c r="BN993" s="1">
        <v>41091</v>
      </c>
      <c r="BO993" s="1">
        <v>41091</v>
      </c>
      <c r="BP993" s="1">
        <v>42291</v>
      </c>
      <c r="BQ993" t="s">
        <v>51</v>
      </c>
      <c r="BS993" t="s">
        <v>60</v>
      </c>
      <c r="BT993" t="s">
        <v>54</v>
      </c>
      <c r="BU993" t="s">
        <v>61</v>
      </c>
      <c r="BV993" t="s">
        <v>62</v>
      </c>
      <c r="BX993">
        <v>36</v>
      </c>
      <c r="BY993">
        <v>0</v>
      </c>
      <c r="BZ993">
        <v>0</v>
      </c>
    </row>
    <row r="994" spans="1:78" x14ac:dyDescent="0.2">
      <c r="A994" t="s">
        <v>180</v>
      </c>
      <c r="B994" t="s">
        <v>181</v>
      </c>
      <c r="C994" t="s">
        <v>184</v>
      </c>
      <c r="D994" t="s">
        <v>645</v>
      </c>
      <c r="F994" t="str">
        <f>"250650"</f>
        <v>250650</v>
      </c>
      <c r="G994" t="s">
        <v>49</v>
      </c>
      <c r="H994" t="s">
        <v>649</v>
      </c>
      <c r="K994" t="s">
        <v>51</v>
      </c>
      <c r="L994" t="s">
        <v>52</v>
      </c>
      <c r="M994">
        <v>136755.04800000001</v>
      </c>
      <c r="N994">
        <v>472602.57199999999</v>
      </c>
      <c r="O994" t="s">
        <v>53</v>
      </c>
      <c r="P994" t="s">
        <v>54</v>
      </c>
      <c r="Q994" t="s">
        <v>55</v>
      </c>
      <c r="T994" t="s">
        <v>241</v>
      </c>
      <c r="U994">
        <v>40</v>
      </c>
      <c r="V994" s="1">
        <v>35247</v>
      </c>
      <c r="W994" s="1">
        <v>35247</v>
      </c>
      <c r="X994" s="1">
        <v>35247</v>
      </c>
      <c r="Y994" s="1">
        <v>49857</v>
      </c>
      <c r="Z994" t="s">
        <v>51</v>
      </c>
      <c r="AB994" t="s">
        <v>54</v>
      </c>
      <c r="AC994">
        <v>1</v>
      </c>
      <c r="AE994" t="s">
        <v>222</v>
      </c>
      <c r="AF994">
        <v>20</v>
      </c>
      <c r="AG994" s="1">
        <v>35247</v>
      </c>
      <c r="AH994" s="1">
        <v>35247</v>
      </c>
      <c r="AI994" s="1">
        <v>35247</v>
      </c>
      <c r="AJ994" s="1">
        <v>42552</v>
      </c>
      <c r="AK994" t="s">
        <v>51</v>
      </c>
      <c r="AN994">
        <v>0</v>
      </c>
      <c r="AO994" t="s">
        <v>54</v>
      </c>
      <c r="AP994" t="s">
        <v>53</v>
      </c>
      <c r="AQ994">
        <v>0</v>
      </c>
      <c r="AR994" t="s">
        <v>53</v>
      </c>
      <c r="AS994">
        <v>0</v>
      </c>
      <c r="AT994">
        <v>0</v>
      </c>
      <c r="AW994" t="s">
        <v>58</v>
      </c>
      <c r="AX994">
        <v>20</v>
      </c>
      <c r="AY994" s="1">
        <v>44305</v>
      </c>
      <c r="AZ994" s="1">
        <v>44305</v>
      </c>
      <c r="BA994" s="1">
        <v>44305</v>
      </c>
      <c r="BB994" s="1">
        <v>51610</v>
      </c>
      <c r="BC994" t="s">
        <v>51</v>
      </c>
      <c r="BE994" t="s">
        <v>54</v>
      </c>
      <c r="BF994">
        <v>2</v>
      </c>
      <c r="BG994">
        <v>0</v>
      </c>
      <c r="BH994" t="s">
        <v>53</v>
      </c>
      <c r="BK994" t="s">
        <v>59</v>
      </c>
      <c r="BL994">
        <v>14000</v>
      </c>
      <c r="BM994" s="1">
        <v>44305</v>
      </c>
      <c r="BN994" s="1">
        <v>44305</v>
      </c>
      <c r="BO994" s="1">
        <v>44305</v>
      </c>
      <c r="BP994" s="1">
        <v>45529</v>
      </c>
      <c r="BQ994" t="s">
        <v>51</v>
      </c>
      <c r="BS994" t="s">
        <v>60</v>
      </c>
      <c r="BT994" t="s">
        <v>54</v>
      </c>
      <c r="BU994" t="s">
        <v>61</v>
      </c>
      <c r="BV994" t="s">
        <v>62</v>
      </c>
      <c r="BX994">
        <v>24</v>
      </c>
      <c r="BY994">
        <v>0</v>
      </c>
      <c r="BZ994">
        <v>0</v>
      </c>
    </row>
    <row r="995" spans="1:78" x14ac:dyDescent="0.2">
      <c r="A995" t="s">
        <v>180</v>
      </c>
      <c r="B995" t="s">
        <v>181</v>
      </c>
      <c r="C995" t="s">
        <v>184</v>
      </c>
      <c r="D995" t="s">
        <v>645</v>
      </c>
      <c r="F995" t="str">
        <f>"250651"</f>
        <v>250651</v>
      </c>
      <c r="G995" t="s">
        <v>49</v>
      </c>
      <c r="K995" t="s">
        <v>51</v>
      </c>
      <c r="L995" t="s">
        <v>52</v>
      </c>
      <c r="M995">
        <v>136748.71299999999</v>
      </c>
      <c r="N995">
        <v>472587.304</v>
      </c>
      <c r="O995" t="s">
        <v>53</v>
      </c>
      <c r="P995" t="s">
        <v>54</v>
      </c>
      <c r="Q995" t="s">
        <v>55</v>
      </c>
      <c r="T995" t="s">
        <v>241</v>
      </c>
      <c r="U995">
        <v>40</v>
      </c>
      <c r="V995" s="1">
        <v>35247</v>
      </c>
      <c r="W995" s="1">
        <v>35247</v>
      </c>
      <c r="X995" s="1">
        <v>35247</v>
      </c>
      <c r="Y995" s="1">
        <v>49857</v>
      </c>
      <c r="Z995" t="s">
        <v>51</v>
      </c>
      <c r="AB995" t="s">
        <v>54</v>
      </c>
      <c r="AC995">
        <v>1</v>
      </c>
      <c r="AE995" t="s">
        <v>222</v>
      </c>
      <c r="AF995">
        <v>20</v>
      </c>
      <c r="AG995" s="1">
        <v>43119</v>
      </c>
      <c r="AH995" s="1">
        <v>43119</v>
      </c>
      <c r="AI995" s="1">
        <v>43119</v>
      </c>
      <c r="AJ995" s="1">
        <v>50424</v>
      </c>
      <c r="AK995" t="s">
        <v>51</v>
      </c>
      <c r="AN995">
        <v>0</v>
      </c>
      <c r="AO995" t="s">
        <v>54</v>
      </c>
      <c r="AP995" t="s">
        <v>53</v>
      </c>
      <c r="AQ995">
        <v>0</v>
      </c>
      <c r="AR995" t="s">
        <v>53</v>
      </c>
      <c r="AS995">
        <v>0</v>
      </c>
      <c r="AT995">
        <v>0</v>
      </c>
      <c r="AW995" t="s">
        <v>58</v>
      </c>
      <c r="AX995">
        <v>20</v>
      </c>
      <c r="AY995" s="1">
        <v>35247</v>
      </c>
      <c r="AZ995" s="1">
        <v>35247</v>
      </c>
      <c r="BA995" s="1">
        <v>43119</v>
      </c>
      <c r="BB995" s="1">
        <v>42552</v>
      </c>
      <c r="BC995" t="s">
        <v>51</v>
      </c>
      <c r="BE995" t="s">
        <v>54</v>
      </c>
      <c r="BF995">
        <v>2</v>
      </c>
      <c r="BG995">
        <v>0</v>
      </c>
      <c r="BH995" t="s">
        <v>53</v>
      </c>
      <c r="BK995" t="s">
        <v>65</v>
      </c>
      <c r="BL995">
        <v>14000</v>
      </c>
      <c r="BM995" s="1">
        <v>41091</v>
      </c>
      <c r="BN995" s="1">
        <v>41091</v>
      </c>
      <c r="BO995" s="1">
        <v>43119</v>
      </c>
      <c r="BP995" s="1">
        <v>42291</v>
      </c>
      <c r="BQ995" t="s">
        <v>51</v>
      </c>
      <c r="BS995" t="s">
        <v>60</v>
      </c>
      <c r="BT995" t="s">
        <v>54</v>
      </c>
      <c r="BU995" t="s">
        <v>61</v>
      </c>
      <c r="BV995" t="s">
        <v>62</v>
      </c>
      <c r="BX995">
        <v>36</v>
      </c>
      <c r="BY995">
        <v>0</v>
      </c>
      <c r="BZ995">
        <v>0</v>
      </c>
    </row>
    <row r="996" spans="1:78" x14ac:dyDescent="0.2">
      <c r="A996" t="s">
        <v>180</v>
      </c>
      <c r="B996" t="s">
        <v>181</v>
      </c>
      <c r="C996" t="s">
        <v>184</v>
      </c>
      <c r="D996" t="s">
        <v>645</v>
      </c>
      <c r="F996" t="str">
        <f>"250652"</f>
        <v>250652</v>
      </c>
      <c r="G996" t="s">
        <v>49</v>
      </c>
      <c r="H996" t="s">
        <v>236</v>
      </c>
      <c r="K996" t="s">
        <v>51</v>
      </c>
      <c r="L996" t="s">
        <v>52</v>
      </c>
      <c r="M996">
        <v>136741.57999999999</v>
      </c>
      <c r="N996">
        <v>472571.59</v>
      </c>
      <c r="O996" t="s">
        <v>53</v>
      </c>
      <c r="P996" t="s">
        <v>54</v>
      </c>
      <c r="Q996" t="s">
        <v>55</v>
      </c>
      <c r="T996" t="s">
        <v>241</v>
      </c>
      <c r="U996">
        <v>40</v>
      </c>
      <c r="V996" s="1">
        <v>35247</v>
      </c>
      <c r="W996" s="1">
        <v>35247</v>
      </c>
      <c r="X996" s="1">
        <v>35247</v>
      </c>
      <c r="Y996" s="1">
        <v>49857</v>
      </c>
      <c r="Z996" t="s">
        <v>51</v>
      </c>
      <c r="AB996" t="s">
        <v>54</v>
      </c>
      <c r="AC996">
        <v>1</v>
      </c>
      <c r="AE996" t="s">
        <v>222</v>
      </c>
      <c r="AF996">
        <v>20</v>
      </c>
      <c r="AG996" s="1">
        <v>35247</v>
      </c>
      <c r="AH996" s="1">
        <v>35247</v>
      </c>
      <c r="AI996" s="1">
        <v>35247</v>
      </c>
      <c r="AJ996" s="1">
        <v>42552</v>
      </c>
      <c r="AK996" t="s">
        <v>51</v>
      </c>
      <c r="AN996">
        <v>0</v>
      </c>
      <c r="AO996" t="s">
        <v>54</v>
      </c>
      <c r="AP996" t="s">
        <v>53</v>
      </c>
      <c r="AQ996">
        <v>0</v>
      </c>
      <c r="AR996" t="s">
        <v>53</v>
      </c>
      <c r="AS996">
        <v>0</v>
      </c>
      <c r="AT996">
        <v>0</v>
      </c>
      <c r="AW996" t="s">
        <v>58</v>
      </c>
      <c r="AX996">
        <v>20</v>
      </c>
      <c r="AY996" s="1">
        <v>35247</v>
      </c>
      <c r="AZ996" s="1">
        <v>35247</v>
      </c>
      <c r="BA996" s="1">
        <v>35247</v>
      </c>
      <c r="BB996" s="1">
        <v>42552</v>
      </c>
      <c r="BC996" t="s">
        <v>51</v>
      </c>
      <c r="BE996" t="s">
        <v>54</v>
      </c>
      <c r="BF996">
        <v>2</v>
      </c>
      <c r="BG996">
        <v>0</v>
      </c>
      <c r="BH996" t="s">
        <v>53</v>
      </c>
      <c r="BK996" t="s">
        <v>59</v>
      </c>
      <c r="BL996">
        <v>14000</v>
      </c>
      <c r="BM996" s="1">
        <v>43997</v>
      </c>
      <c r="BN996" s="1">
        <v>43997</v>
      </c>
      <c r="BO996" s="1">
        <v>43997</v>
      </c>
      <c r="BP996" s="1">
        <v>45203</v>
      </c>
      <c r="BQ996" t="s">
        <v>51</v>
      </c>
      <c r="BS996" t="s">
        <v>60</v>
      </c>
      <c r="BT996" t="s">
        <v>54</v>
      </c>
      <c r="BU996" t="s">
        <v>61</v>
      </c>
      <c r="BV996" t="s">
        <v>62</v>
      </c>
      <c r="BX996">
        <v>24</v>
      </c>
      <c r="BY996">
        <v>0</v>
      </c>
      <c r="BZ996">
        <v>0</v>
      </c>
    </row>
    <row r="997" spans="1:78" x14ac:dyDescent="0.2">
      <c r="A997" t="s">
        <v>180</v>
      </c>
      <c r="B997" t="s">
        <v>181</v>
      </c>
      <c r="C997" t="s">
        <v>184</v>
      </c>
      <c r="D997" t="s">
        <v>645</v>
      </c>
      <c r="F997" t="str">
        <f>"250653"</f>
        <v>250653</v>
      </c>
      <c r="G997" t="s">
        <v>49</v>
      </c>
      <c r="H997" t="s">
        <v>297</v>
      </c>
      <c r="K997" t="s">
        <v>51</v>
      </c>
      <c r="L997" t="s">
        <v>52</v>
      </c>
      <c r="M997">
        <v>136723.633</v>
      </c>
      <c r="N997">
        <v>472578.77799999999</v>
      </c>
      <c r="O997" t="s">
        <v>53</v>
      </c>
      <c r="P997" t="s">
        <v>54</v>
      </c>
      <c r="Q997" t="s">
        <v>55</v>
      </c>
      <c r="T997" t="s">
        <v>241</v>
      </c>
      <c r="U997">
        <v>40</v>
      </c>
      <c r="V997" s="1">
        <v>35247</v>
      </c>
      <c r="W997" s="1">
        <v>35247</v>
      </c>
      <c r="X997" s="1">
        <v>35247</v>
      </c>
      <c r="Y997" s="1">
        <v>49857</v>
      </c>
      <c r="Z997" t="s">
        <v>51</v>
      </c>
      <c r="AB997" t="s">
        <v>54</v>
      </c>
      <c r="AC997">
        <v>1</v>
      </c>
      <c r="AE997" t="s">
        <v>222</v>
      </c>
      <c r="AF997">
        <v>20</v>
      </c>
      <c r="AG997" s="1">
        <v>35247</v>
      </c>
      <c r="AH997" s="1">
        <v>35247</v>
      </c>
      <c r="AI997" s="1">
        <v>35247</v>
      </c>
      <c r="AJ997" s="1">
        <v>42552</v>
      </c>
      <c r="AK997" t="s">
        <v>51</v>
      </c>
      <c r="AN997">
        <v>0</v>
      </c>
      <c r="AO997" t="s">
        <v>54</v>
      </c>
      <c r="AP997" t="s">
        <v>53</v>
      </c>
      <c r="AQ997">
        <v>0</v>
      </c>
      <c r="AR997" t="s">
        <v>53</v>
      </c>
      <c r="AS997">
        <v>0</v>
      </c>
      <c r="AT997">
        <v>0</v>
      </c>
      <c r="AW997" t="s">
        <v>58</v>
      </c>
      <c r="AX997">
        <v>20</v>
      </c>
      <c r="AY997" s="1">
        <v>35247</v>
      </c>
      <c r="AZ997" s="1">
        <v>35247</v>
      </c>
      <c r="BA997" s="1">
        <v>35247</v>
      </c>
      <c r="BB997" s="1">
        <v>42552</v>
      </c>
      <c r="BC997" t="s">
        <v>51</v>
      </c>
      <c r="BE997" t="s">
        <v>54</v>
      </c>
      <c r="BF997">
        <v>2</v>
      </c>
      <c r="BG997">
        <v>0</v>
      </c>
      <c r="BH997" t="s">
        <v>53</v>
      </c>
      <c r="BK997" t="s">
        <v>59</v>
      </c>
      <c r="BL997">
        <v>14000</v>
      </c>
      <c r="BM997" s="1">
        <v>41091</v>
      </c>
      <c r="BN997" s="1">
        <v>41091</v>
      </c>
      <c r="BO997" s="1">
        <v>41091</v>
      </c>
      <c r="BP997" s="1">
        <v>42291</v>
      </c>
      <c r="BQ997" t="s">
        <v>51</v>
      </c>
      <c r="BS997" t="s">
        <v>60</v>
      </c>
      <c r="BT997" t="s">
        <v>54</v>
      </c>
      <c r="BU997" t="s">
        <v>61</v>
      </c>
      <c r="BV997" t="s">
        <v>62</v>
      </c>
      <c r="BX997">
        <v>24</v>
      </c>
      <c r="BY997">
        <v>0</v>
      </c>
      <c r="BZ997">
        <v>0</v>
      </c>
    </row>
    <row r="998" spans="1:78" x14ac:dyDescent="0.2">
      <c r="A998" t="s">
        <v>180</v>
      </c>
      <c r="B998" t="s">
        <v>181</v>
      </c>
      <c r="C998" t="s">
        <v>184</v>
      </c>
      <c r="D998" t="s">
        <v>650</v>
      </c>
      <c r="F998" t="str">
        <f>"250654"</f>
        <v>250654</v>
      </c>
      <c r="G998" t="s">
        <v>49</v>
      </c>
      <c r="K998" t="s">
        <v>51</v>
      </c>
      <c r="L998" t="s">
        <v>52</v>
      </c>
      <c r="M998">
        <v>136694.19</v>
      </c>
      <c r="N998">
        <v>472585.26</v>
      </c>
      <c r="O998" t="s">
        <v>53</v>
      </c>
      <c r="P998" t="s">
        <v>54</v>
      </c>
      <c r="Q998" t="s">
        <v>55</v>
      </c>
      <c r="T998" t="s">
        <v>241</v>
      </c>
      <c r="U998">
        <v>40</v>
      </c>
      <c r="V998" s="1">
        <v>35247</v>
      </c>
      <c r="W998" s="1">
        <v>35247</v>
      </c>
      <c r="X998" s="1">
        <v>35247</v>
      </c>
      <c r="Y998" s="1">
        <v>49857</v>
      </c>
      <c r="Z998" t="s">
        <v>51</v>
      </c>
      <c r="AB998" t="s">
        <v>54</v>
      </c>
      <c r="AC998">
        <v>1</v>
      </c>
      <c r="AE998" t="s">
        <v>222</v>
      </c>
      <c r="AF998">
        <v>20</v>
      </c>
      <c r="AG998" s="1">
        <v>35247</v>
      </c>
      <c r="AH998" s="1">
        <v>35247</v>
      </c>
      <c r="AI998" s="1">
        <v>35247</v>
      </c>
      <c r="AJ998" s="1">
        <v>42552</v>
      </c>
      <c r="AK998" t="s">
        <v>51</v>
      </c>
      <c r="AN998">
        <v>0</v>
      </c>
      <c r="AO998" t="s">
        <v>54</v>
      </c>
      <c r="AP998" t="s">
        <v>53</v>
      </c>
      <c r="AQ998">
        <v>0</v>
      </c>
      <c r="AR998" t="s">
        <v>53</v>
      </c>
      <c r="AS998">
        <v>0</v>
      </c>
      <c r="AT998">
        <v>0</v>
      </c>
      <c r="AW998" t="s">
        <v>58</v>
      </c>
      <c r="AX998">
        <v>20</v>
      </c>
      <c r="AY998" s="1">
        <v>35247</v>
      </c>
      <c r="AZ998" s="1">
        <v>35247</v>
      </c>
      <c r="BA998" s="1">
        <v>35247</v>
      </c>
      <c r="BB998" s="1">
        <v>42552</v>
      </c>
      <c r="BC998" t="s">
        <v>51</v>
      </c>
      <c r="BE998" t="s">
        <v>54</v>
      </c>
      <c r="BF998">
        <v>2</v>
      </c>
      <c r="BG998">
        <v>0</v>
      </c>
      <c r="BH998" t="s">
        <v>53</v>
      </c>
      <c r="BK998" t="s">
        <v>59</v>
      </c>
      <c r="BL998">
        <v>14000</v>
      </c>
      <c r="BM998" s="1">
        <v>43119</v>
      </c>
      <c r="BN998" s="1">
        <v>43119</v>
      </c>
      <c r="BO998" s="1">
        <v>43119</v>
      </c>
      <c r="BP998" s="1">
        <v>44291</v>
      </c>
      <c r="BQ998" t="s">
        <v>51</v>
      </c>
      <c r="BS998" t="s">
        <v>60</v>
      </c>
      <c r="BT998" t="s">
        <v>54</v>
      </c>
      <c r="BU998" t="s">
        <v>61</v>
      </c>
      <c r="BV998" t="s">
        <v>62</v>
      </c>
      <c r="BX998">
        <v>24</v>
      </c>
      <c r="BY998">
        <v>0</v>
      </c>
      <c r="BZ998">
        <v>0</v>
      </c>
    </row>
    <row r="999" spans="1:78" x14ac:dyDescent="0.2">
      <c r="A999" t="s">
        <v>180</v>
      </c>
      <c r="B999" t="s">
        <v>181</v>
      </c>
      <c r="C999" t="s">
        <v>184</v>
      </c>
      <c r="D999" t="s">
        <v>650</v>
      </c>
      <c r="F999" t="str">
        <f>"250655"</f>
        <v>250655</v>
      </c>
      <c r="G999" t="s">
        <v>49</v>
      </c>
      <c r="H999" t="s">
        <v>240</v>
      </c>
      <c r="K999" t="s">
        <v>51</v>
      </c>
      <c r="L999" t="s">
        <v>52</v>
      </c>
      <c r="M999">
        <v>136675.5</v>
      </c>
      <c r="N999">
        <v>472593.28</v>
      </c>
      <c r="O999" t="s">
        <v>53</v>
      </c>
      <c r="P999" t="s">
        <v>54</v>
      </c>
      <c r="Q999" t="s">
        <v>55</v>
      </c>
      <c r="T999" t="s">
        <v>241</v>
      </c>
      <c r="U999">
        <v>40</v>
      </c>
      <c r="V999" s="1">
        <v>35247</v>
      </c>
      <c r="W999" s="1">
        <v>35247</v>
      </c>
      <c r="X999" s="1">
        <v>35247</v>
      </c>
      <c r="Y999" s="1">
        <v>49857</v>
      </c>
      <c r="Z999" t="s">
        <v>51</v>
      </c>
      <c r="AB999" t="s">
        <v>54</v>
      </c>
      <c r="AC999">
        <v>1</v>
      </c>
      <c r="AE999" t="s">
        <v>222</v>
      </c>
      <c r="AF999">
        <v>20</v>
      </c>
      <c r="AG999" s="1">
        <v>35247</v>
      </c>
      <c r="AH999" s="1">
        <v>35247</v>
      </c>
      <c r="AI999" s="1">
        <v>35247</v>
      </c>
      <c r="AJ999" s="1">
        <v>42552</v>
      </c>
      <c r="AK999" t="s">
        <v>51</v>
      </c>
      <c r="AN999">
        <v>0</v>
      </c>
      <c r="AO999" t="s">
        <v>54</v>
      </c>
      <c r="AP999" t="s">
        <v>53</v>
      </c>
      <c r="AQ999">
        <v>0</v>
      </c>
      <c r="AR999" t="s">
        <v>53</v>
      </c>
      <c r="AS999">
        <v>0</v>
      </c>
      <c r="AT999">
        <v>0</v>
      </c>
      <c r="AW999" t="s">
        <v>58</v>
      </c>
      <c r="AX999">
        <v>20</v>
      </c>
      <c r="AY999" s="1">
        <v>35247</v>
      </c>
      <c r="AZ999" s="1">
        <v>35247</v>
      </c>
      <c r="BA999" s="1">
        <v>35247</v>
      </c>
      <c r="BB999" s="1">
        <v>42552</v>
      </c>
      <c r="BC999" t="s">
        <v>51</v>
      </c>
      <c r="BE999" t="s">
        <v>54</v>
      </c>
      <c r="BF999">
        <v>2</v>
      </c>
      <c r="BG999">
        <v>0</v>
      </c>
      <c r="BH999" t="s">
        <v>53</v>
      </c>
      <c r="BK999" t="s">
        <v>59</v>
      </c>
      <c r="BL999">
        <v>14000</v>
      </c>
      <c r="BM999" s="1">
        <v>41091</v>
      </c>
      <c r="BN999" s="1">
        <v>41091</v>
      </c>
      <c r="BO999" s="1">
        <v>41091</v>
      </c>
      <c r="BP999" s="1">
        <v>42291</v>
      </c>
      <c r="BQ999" t="s">
        <v>51</v>
      </c>
      <c r="BS999" t="s">
        <v>60</v>
      </c>
      <c r="BT999" t="s">
        <v>54</v>
      </c>
      <c r="BU999" t="s">
        <v>61</v>
      </c>
      <c r="BV999" t="s">
        <v>62</v>
      </c>
      <c r="BX999">
        <v>24</v>
      </c>
      <c r="BY999">
        <v>0</v>
      </c>
      <c r="BZ999">
        <v>0</v>
      </c>
    </row>
    <row r="1000" spans="1:78" x14ac:dyDescent="0.2">
      <c r="A1000" t="s">
        <v>180</v>
      </c>
      <c r="B1000" t="s">
        <v>181</v>
      </c>
      <c r="C1000" t="s">
        <v>184</v>
      </c>
      <c r="D1000" t="s">
        <v>650</v>
      </c>
      <c r="F1000" t="str">
        <f>"250656"</f>
        <v>250656</v>
      </c>
      <c r="G1000" t="s">
        <v>49</v>
      </c>
      <c r="H1000" t="s">
        <v>544</v>
      </c>
      <c r="K1000" t="s">
        <v>51</v>
      </c>
      <c r="L1000" t="s">
        <v>52</v>
      </c>
      <c r="M1000">
        <v>136654.67000000001</v>
      </c>
      <c r="N1000">
        <v>472602.47</v>
      </c>
      <c r="O1000" t="s">
        <v>53</v>
      </c>
      <c r="P1000" t="s">
        <v>54</v>
      </c>
      <c r="Q1000" t="s">
        <v>55</v>
      </c>
      <c r="T1000" t="s">
        <v>241</v>
      </c>
      <c r="U1000">
        <v>40</v>
      </c>
      <c r="V1000" s="1">
        <v>35247</v>
      </c>
      <c r="W1000" s="1">
        <v>35247</v>
      </c>
      <c r="X1000" s="1">
        <v>35247</v>
      </c>
      <c r="Y1000" s="1">
        <v>49857</v>
      </c>
      <c r="Z1000" t="s">
        <v>51</v>
      </c>
      <c r="AB1000" t="s">
        <v>54</v>
      </c>
      <c r="AC1000">
        <v>1</v>
      </c>
      <c r="AE1000" t="s">
        <v>222</v>
      </c>
      <c r="AF1000">
        <v>20</v>
      </c>
      <c r="AG1000" s="1">
        <v>35247</v>
      </c>
      <c r="AH1000" s="1">
        <v>35247</v>
      </c>
      <c r="AI1000" s="1">
        <v>35247</v>
      </c>
      <c r="AJ1000" s="1">
        <v>42552</v>
      </c>
      <c r="AK1000" t="s">
        <v>51</v>
      </c>
      <c r="AN1000">
        <v>0</v>
      </c>
      <c r="AO1000" t="s">
        <v>54</v>
      </c>
      <c r="AP1000" t="s">
        <v>53</v>
      </c>
      <c r="AQ1000">
        <v>0</v>
      </c>
      <c r="AR1000" t="s">
        <v>53</v>
      </c>
      <c r="AS1000">
        <v>0</v>
      </c>
      <c r="AT1000">
        <v>0</v>
      </c>
      <c r="AW1000" t="s">
        <v>58</v>
      </c>
      <c r="AX1000">
        <v>20</v>
      </c>
      <c r="AY1000" s="1">
        <v>43774</v>
      </c>
      <c r="AZ1000" s="1">
        <v>43774</v>
      </c>
      <c r="BA1000" s="1">
        <v>43774</v>
      </c>
      <c r="BB1000" s="1">
        <v>51079</v>
      </c>
      <c r="BC1000" t="s">
        <v>51</v>
      </c>
      <c r="BE1000" t="s">
        <v>54</v>
      </c>
      <c r="BF1000">
        <v>2</v>
      </c>
      <c r="BG1000">
        <v>0</v>
      </c>
      <c r="BH1000" t="s">
        <v>53</v>
      </c>
      <c r="BK1000" t="s">
        <v>59</v>
      </c>
      <c r="BL1000">
        <v>14000</v>
      </c>
      <c r="BM1000" s="1">
        <v>43767</v>
      </c>
      <c r="BN1000" s="1">
        <v>43767</v>
      </c>
      <c r="BO1000" s="1">
        <v>43774</v>
      </c>
      <c r="BP1000" s="1">
        <v>44927</v>
      </c>
      <c r="BQ1000" t="s">
        <v>51</v>
      </c>
      <c r="BS1000" t="s">
        <v>60</v>
      </c>
      <c r="BT1000" t="s">
        <v>54</v>
      </c>
      <c r="BU1000" t="s">
        <v>61</v>
      </c>
      <c r="BV1000" t="s">
        <v>62</v>
      </c>
      <c r="BX1000">
        <v>24</v>
      </c>
      <c r="BY1000">
        <v>0</v>
      </c>
      <c r="BZ1000">
        <v>0</v>
      </c>
    </row>
    <row r="1001" spans="1:78" x14ac:dyDescent="0.2">
      <c r="A1001" t="s">
        <v>180</v>
      </c>
      <c r="B1001" t="s">
        <v>181</v>
      </c>
      <c r="C1001" t="s">
        <v>184</v>
      </c>
      <c r="D1001" t="s">
        <v>650</v>
      </c>
      <c r="F1001" t="str">
        <f>"250657"</f>
        <v>250657</v>
      </c>
      <c r="G1001" t="s">
        <v>49</v>
      </c>
      <c r="H1001" t="s">
        <v>166</v>
      </c>
      <c r="K1001" t="s">
        <v>51</v>
      </c>
      <c r="L1001" t="s">
        <v>52</v>
      </c>
      <c r="M1001">
        <v>136629.54999999999</v>
      </c>
      <c r="N1001">
        <v>472604.15999999997</v>
      </c>
      <c r="O1001" t="s">
        <v>53</v>
      </c>
      <c r="P1001" t="s">
        <v>54</v>
      </c>
      <c r="Q1001" t="s">
        <v>55</v>
      </c>
      <c r="T1001" t="s">
        <v>241</v>
      </c>
      <c r="U1001">
        <v>40</v>
      </c>
      <c r="V1001" s="1">
        <v>35247</v>
      </c>
      <c r="W1001" s="1">
        <v>35247</v>
      </c>
      <c r="X1001" s="1">
        <v>35247</v>
      </c>
      <c r="Y1001" s="1">
        <v>49857</v>
      </c>
      <c r="Z1001" t="s">
        <v>51</v>
      </c>
      <c r="AB1001" t="s">
        <v>54</v>
      </c>
      <c r="AC1001">
        <v>1</v>
      </c>
      <c r="AE1001" t="s">
        <v>222</v>
      </c>
      <c r="AF1001">
        <v>20</v>
      </c>
      <c r="AG1001" s="1">
        <v>35247</v>
      </c>
      <c r="AH1001" s="1">
        <v>35247</v>
      </c>
      <c r="AI1001" s="1">
        <v>35247</v>
      </c>
      <c r="AJ1001" s="1">
        <v>42552</v>
      </c>
      <c r="AK1001" t="s">
        <v>51</v>
      </c>
      <c r="AN1001">
        <v>0</v>
      </c>
      <c r="AO1001" t="s">
        <v>54</v>
      </c>
      <c r="AP1001" t="s">
        <v>53</v>
      </c>
      <c r="AQ1001">
        <v>0</v>
      </c>
      <c r="AR1001" t="s">
        <v>53</v>
      </c>
      <c r="AS1001">
        <v>0</v>
      </c>
      <c r="AT1001">
        <v>0</v>
      </c>
      <c r="AW1001" t="s">
        <v>58</v>
      </c>
      <c r="AX1001">
        <v>20</v>
      </c>
      <c r="AY1001" s="1">
        <v>35247</v>
      </c>
      <c r="AZ1001" s="1">
        <v>35247</v>
      </c>
      <c r="BA1001" s="1">
        <v>35247</v>
      </c>
      <c r="BB1001" s="1">
        <v>42552</v>
      </c>
      <c r="BC1001" t="s">
        <v>51</v>
      </c>
      <c r="BE1001" t="s">
        <v>54</v>
      </c>
      <c r="BF1001">
        <v>2</v>
      </c>
      <c r="BG1001">
        <v>0</v>
      </c>
      <c r="BH1001" t="s">
        <v>53</v>
      </c>
      <c r="BK1001" t="s">
        <v>59</v>
      </c>
      <c r="BL1001">
        <v>14000</v>
      </c>
      <c r="BM1001" s="1">
        <v>41091</v>
      </c>
      <c r="BN1001" s="1">
        <v>41091</v>
      </c>
      <c r="BO1001" s="1">
        <v>41091</v>
      </c>
      <c r="BP1001" s="1">
        <v>42291</v>
      </c>
      <c r="BQ1001" t="s">
        <v>51</v>
      </c>
      <c r="BS1001" t="s">
        <v>60</v>
      </c>
      <c r="BT1001" t="s">
        <v>54</v>
      </c>
      <c r="BU1001" t="s">
        <v>61</v>
      </c>
      <c r="BV1001" t="s">
        <v>62</v>
      </c>
      <c r="BX1001">
        <v>24</v>
      </c>
      <c r="BY1001">
        <v>0</v>
      </c>
      <c r="BZ1001">
        <v>0</v>
      </c>
    </row>
    <row r="1002" spans="1:78" x14ac:dyDescent="0.2">
      <c r="A1002" t="s">
        <v>180</v>
      </c>
      <c r="B1002" t="s">
        <v>181</v>
      </c>
      <c r="C1002" t="s">
        <v>184</v>
      </c>
      <c r="D1002" t="s">
        <v>650</v>
      </c>
      <c r="F1002" t="str">
        <f>"250658"</f>
        <v>250658</v>
      </c>
      <c r="G1002" t="s">
        <v>49</v>
      </c>
      <c r="H1002" t="s">
        <v>297</v>
      </c>
      <c r="K1002" t="s">
        <v>51</v>
      </c>
      <c r="L1002" t="s">
        <v>52</v>
      </c>
      <c r="M1002">
        <v>136612.38</v>
      </c>
      <c r="N1002">
        <v>472611.38</v>
      </c>
      <c r="O1002" t="s">
        <v>53</v>
      </c>
      <c r="P1002" t="s">
        <v>54</v>
      </c>
      <c r="Q1002" t="s">
        <v>55</v>
      </c>
      <c r="T1002" t="s">
        <v>241</v>
      </c>
      <c r="U1002">
        <v>40</v>
      </c>
      <c r="V1002" s="1">
        <v>35247</v>
      </c>
      <c r="W1002" s="1">
        <v>35247</v>
      </c>
      <c r="X1002" s="1">
        <v>35247</v>
      </c>
      <c r="Y1002" s="1">
        <v>49857</v>
      </c>
      <c r="Z1002" t="s">
        <v>51</v>
      </c>
      <c r="AB1002" t="s">
        <v>54</v>
      </c>
      <c r="AC1002">
        <v>1</v>
      </c>
      <c r="AE1002" t="s">
        <v>222</v>
      </c>
      <c r="AF1002">
        <v>20</v>
      </c>
      <c r="AG1002" s="1">
        <v>35247</v>
      </c>
      <c r="AH1002" s="1">
        <v>35247</v>
      </c>
      <c r="AI1002" s="1">
        <v>35247</v>
      </c>
      <c r="AJ1002" s="1">
        <v>42552</v>
      </c>
      <c r="AK1002" t="s">
        <v>51</v>
      </c>
      <c r="AN1002">
        <v>0</v>
      </c>
      <c r="AO1002" t="s">
        <v>54</v>
      </c>
      <c r="AP1002" t="s">
        <v>53</v>
      </c>
      <c r="AQ1002">
        <v>0</v>
      </c>
      <c r="AR1002" t="s">
        <v>53</v>
      </c>
      <c r="AS1002">
        <v>0</v>
      </c>
      <c r="AT1002">
        <v>0</v>
      </c>
      <c r="AW1002" t="s">
        <v>58</v>
      </c>
      <c r="AX1002">
        <v>20</v>
      </c>
      <c r="AY1002" s="1">
        <v>35247</v>
      </c>
      <c r="AZ1002" s="1">
        <v>35247</v>
      </c>
      <c r="BA1002" s="1">
        <v>35247</v>
      </c>
      <c r="BB1002" s="1">
        <v>42552</v>
      </c>
      <c r="BC1002" t="s">
        <v>51</v>
      </c>
      <c r="BE1002" t="s">
        <v>54</v>
      </c>
      <c r="BF1002">
        <v>2</v>
      </c>
      <c r="BG1002">
        <v>0</v>
      </c>
      <c r="BH1002" t="s">
        <v>53</v>
      </c>
      <c r="BK1002" t="s">
        <v>59</v>
      </c>
      <c r="BL1002">
        <v>14000</v>
      </c>
      <c r="BM1002" s="1">
        <v>41091</v>
      </c>
      <c r="BN1002" s="1">
        <v>41091</v>
      </c>
      <c r="BO1002" s="1">
        <v>41091</v>
      </c>
      <c r="BP1002" s="1">
        <v>42291</v>
      </c>
      <c r="BQ1002" t="s">
        <v>51</v>
      </c>
      <c r="BS1002" t="s">
        <v>60</v>
      </c>
      <c r="BT1002" t="s">
        <v>54</v>
      </c>
      <c r="BU1002" t="s">
        <v>61</v>
      </c>
      <c r="BV1002" t="s">
        <v>62</v>
      </c>
      <c r="BX1002">
        <v>24</v>
      </c>
      <c r="BY1002">
        <v>0</v>
      </c>
      <c r="BZ1002">
        <v>0</v>
      </c>
    </row>
    <row r="1003" spans="1:78" x14ac:dyDescent="0.2">
      <c r="A1003" t="s">
        <v>180</v>
      </c>
      <c r="B1003" t="s">
        <v>181</v>
      </c>
      <c r="C1003" t="s">
        <v>184</v>
      </c>
      <c r="D1003" t="s">
        <v>650</v>
      </c>
      <c r="F1003" t="str">
        <f>"250659"</f>
        <v>250659</v>
      </c>
      <c r="G1003" t="s">
        <v>49</v>
      </c>
      <c r="K1003" t="s">
        <v>51</v>
      </c>
      <c r="L1003" t="s">
        <v>52</v>
      </c>
      <c r="M1003">
        <v>136600.51999999999</v>
      </c>
      <c r="N1003">
        <v>472626.78</v>
      </c>
      <c r="O1003" t="s">
        <v>53</v>
      </c>
      <c r="P1003" t="s">
        <v>54</v>
      </c>
      <c r="Q1003" t="s">
        <v>55</v>
      </c>
      <c r="T1003" t="s">
        <v>241</v>
      </c>
      <c r="U1003">
        <v>40</v>
      </c>
      <c r="V1003" s="1">
        <v>35247</v>
      </c>
      <c r="W1003" s="1">
        <v>35247</v>
      </c>
      <c r="X1003" s="1">
        <v>35247</v>
      </c>
      <c r="Y1003" s="1">
        <v>49857</v>
      </c>
      <c r="Z1003" t="s">
        <v>51</v>
      </c>
      <c r="AB1003" t="s">
        <v>54</v>
      </c>
      <c r="AC1003">
        <v>1</v>
      </c>
      <c r="AE1003" t="s">
        <v>222</v>
      </c>
      <c r="AF1003">
        <v>20</v>
      </c>
      <c r="AG1003" s="1">
        <v>35247</v>
      </c>
      <c r="AH1003" s="1">
        <v>35247</v>
      </c>
      <c r="AI1003" s="1">
        <v>35247</v>
      </c>
      <c r="AJ1003" s="1">
        <v>42552</v>
      </c>
      <c r="AK1003" t="s">
        <v>51</v>
      </c>
      <c r="AN1003">
        <v>0</v>
      </c>
      <c r="AO1003" t="s">
        <v>54</v>
      </c>
      <c r="AP1003" t="s">
        <v>53</v>
      </c>
      <c r="AQ1003">
        <v>0</v>
      </c>
      <c r="AR1003" t="s">
        <v>53</v>
      </c>
      <c r="AS1003">
        <v>0</v>
      </c>
      <c r="AT1003">
        <v>0</v>
      </c>
      <c r="AW1003" t="s">
        <v>58</v>
      </c>
      <c r="AX1003">
        <v>20</v>
      </c>
      <c r="AY1003" s="1">
        <v>35247</v>
      </c>
      <c r="AZ1003" s="1">
        <v>35247</v>
      </c>
      <c r="BA1003" s="1">
        <v>35247</v>
      </c>
      <c r="BB1003" s="1">
        <v>42552</v>
      </c>
      <c r="BC1003" t="s">
        <v>51</v>
      </c>
      <c r="BE1003" t="s">
        <v>54</v>
      </c>
      <c r="BF1003">
        <v>2</v>
      </c>
      <c r="BG1003">
        <v>0</v>
      </c>
      <c r="BH1003" t="s">
        <v>53</v>
      </c>
      <c r="BK1003" t="s">
        <v>59</v>
      </c>
      <c r="BL1003">
        <v>14000</v>
      </c>
      <c r="BM1003" s="1">
        <v>41091</v>
      </c>
      <c r="BN1003" s="1">
        <v>41091</v>
      </c>
      <c r="BO1003" s="1">
        <v>41091</v>
      </c>
      <c r="BP1003" s="1">
        <v>42291</v>
      </c>
      <c r="BQ1003" t="s">
        <v>51</v>
      </c>
      <c r="BS1003" t="s">
        <v>60</v>
      </c>
      <c r="BT1003" t="s">
        <v>54</v>
      </c>
      <c r="BU1003" t="s">
        <v>61</v>
      </c>
      <c r="BV1003" t="s">
        <v>62</v>
      </c>
      <c r="BX1003">
        <v>24</v>
      </c>
      <c r="BY1003">
        <v>0</v>
      </c>
      <c r="BZ1003">
        <v>0</v>
      </c>
    </row>
    <row r="1004" spans="1:78" x14ac:dyDescent="0.2">
      <c r="A1004" t="s">
        <v>180</v>
      </c>
      <c r="B1004" t="s">
        <v>181</v>
      </c>
      <c r="C1004" t="s">
        <v>184</v>
      </c>
      <c r="D1004" t="s">
        <v>651</v>
      </c>
      <c r="F1004" t="str">
        <f>"250660"</f>
        <v>250660</v>
      </c>
      <c r="G1004" t="s">
        <v>49</v>
      </c>
      <c r="H1004" t="s">
        <v>652</v>
      </c>
      <c r="K1004" t="s">
        <v>51</v>
      </c>
      <c r="L1004" t="s">
        <v>52</v>
      </c>
      <c r="M1004">
        <v>136667.51999999999</v>
      </c>
      <c r="N1004">
        <v>472524.53</v>
      </c>
      <c r="O1004" t="s">
        <v>53</v>
      </c>
      <c r="P1004" t="s">
        <v>54</v>
      </c>
      <c r="Q1004" t="s">
        <v>55</v>
      </c>
      <c r="T1004" t="s">
        <v>241</v>
      </c>
      <c r="U1004">
        <v>40</v>
      </c>
      <c r="V1004" s="1">
        <v>35247</v>
      </c>
      <c r="W1004" s="1">
        <v>35247</v>
      </c>
      <c r="X1004" s="1">
        <v>35247</v>
      </c>
      <c r="Y1004" s="1">
        <v>49857</v>
      </c>
      <c r="Z1004" t="s">
        <v>51</v>
      </c>
      <c r="AB1004" t="s">
        <v>54</v>
      </c>
      <c r="AC1004">
        <v>1</v>
      </c>
      <c r="AE1004" t="s">
        <v>222</v>
      </c>
      <c r="AF1004">
        <v>20</v>
      </c>
      <c r="AG1004" s="1">
        <v>35247</v>
      </c>
      <c r="AH1004" s="1">
        <v>35247</v>
      </c>
      <c r="AI1004" s="1">
        <v>35247</v>
      </c>
      <c r="AJ1004" s="1">
        <v>42552</v>
      </c>
      <c r="AK1004" t="s">
        <v>51</v>
      </c>
      <c r="AN1004">
        <v>0</v>
      </c>
      <c r="AO1004" t="s">
        <v>54</v>
      </c>
      <c r="AP1004" t="s">
        <v>53</v>
      </c>
      <c r="AQ1004">
        <v>0</v>
      </c>
      <c r="AR1004" t="s">
        <v>53</v>
      </c>
      <c r="AS1004">
        <v>0</v>
      </c>
      <c r="AT1004">
        <v>0</v>
      </c>
      <c r="AW1004" t="s">
        <v>58</v>
      </c>
      <c r="AX1004">
        <v>20</v>
      </c>
      <c r="AY1004" s="1">
        <v>43473</v>
      </c>
      <c r="AZ1004" s="1">
        <v>43473</v>
      </c>
      <c r="BA1004" s="1">
        <v>43473</v>
      </c>
      <c r="BB1004" s="1">
        <v>50778</v>
      </c>
      <c r="BC1004" t="s">
        <v>51</v>
      </c>
      <c r="BE1004" t="s">
        <v>54</v>
      </c>
      <c r="BF1004">
        <v>2</v>
      </c>
      <c r="BG1004">
        <v>0</v>
      </c>
      <c r="BH1004" t="s">
        <v>53</v>
      </c>
      <c r="BK1004" t="s">
        <v>59</v>
      </c>
      <c r="BL1004">
        <v>14000</v>
      </c>
      <c r="BM1004" s="1">
        <v>41091</v>
      </c>
      <c r="BN1004" s="1">
        <v>41091</v>
      </c>
      <c r="BO1004" s="1">
        <v>43473</v>
      </c>
      <c r="BP1004" s="1">
        <v>42291</v>
      </c>
      <c r="BQ1004" t="s">
        <v>51</v>
      </c>
      <c r="BS1004" t="s">
        <v>60</v>
      </c>
      <c r="BT1004" t="s">
        <v>54</v>
      </c>
      <c r="BU1004" t="s">
        <v>61</v>
      </c>
      <c r="BV1004" t="s">
        <v>62</v>
      </c>
      <c r="BX1004">
        <v>24</v>
      </c>
      <c r="BY1004">
        <v>0</v>
      </c>
      <c r="BZ1004">
        <v>0</v>
      </c>
    </row>
    <row r="1005" spans="1:78" x14ac:dyDescent="0.2">
      <c r="A1005" t="s">
        <v>180</v>
      </c>
      <c r="B1005" t="s">
        <v>181</v>
      </c>
      <c r="C1005" t="s">
        <v>184</v>
      </c>
      <c r="D1005" t="s">
        <v>651</v>
      </c>
      <c r="F1005" t="str">
        <f>"250661"</f>
        <v>250661</v>
      </c>
      <c r="G1005" t="s">
        <v>49</v>
      </c>
      <c r="H1005" t="s">
        <v>653</v>
      </c>
      <c r="K1005" t="s">
        <v>51</v>
      </c>
      <c r="L1005" t="s">
        <v>52</v>
      </c>
      <c r="M1005">
        <v>136646.5</v>
      </c>
      <c r="N1005">
        <v>472544.03</v>
      </c>
      <c r="O1005" t="s">
        <v>53</v>
      </c>
      <c r="P1005" t="s">
        <v>54</v>
      </c>
      <c r="Q1005" t="s">
        <v>55</v>
      </c>
      <c r="T1005" t="s">
        <v>241</v>
      </c>
      <c r="U1005">
        <v>40</v>
      </c>
      <c r="V1005" s="1">
        <v>35247</v>
      </c>
      <c r="W1005" s="1">
        <v>35247</v>
      </c>
      <c r="X1005" s="1">
        <v>35247</v>
      </c>
      <c r="Y1005" s="1">
        <v>49857</v>
      </c>
      <c r="Z1005" t="s">
        <v>51</v>
      </c>
      <c r="AB1005" t="s">
        <v>54</v>
      </c>
      <c r="AC1005">
        <v>1</v>
      </c>
      <c r="AE1005" t="s">
        <v>222</v>
      </c>
      <c r="AF1005">
        <v>20</v>
      </c>
      <c r="AG1005" s="1">
        <v>35247</v>
      </c>
      <c r="AH1005" s="1">
        <v>35247</v>
      </c>
      <c r="AI1005" s="1">
        <v>35247</v>
      </c>
      <c r="AJ1005" s="1">
        <v>42552</v>
      </c>
      <c r="AK1005" t="s">
        <v>51</v>
      </c>
      <c r="AN1005">
        <v>0</v>
      </c>
      <c r="AO1005" t="s">
        <v>54</v>
      </c>
      <c r="AP1005" t="s">
        <v>53</v>
      </c>
      <c r="AQ1005">
        <v>0</v>
      </c>
      <c r="AR1005" t="s">
        <v>53</v>
      </c>
      <c r="AS1005">
        <v>0</v>
      </c>
      <c r="AT1005">
        <v>0</v>
      </c>
      <c r="AW1005" t="s">
        <v>58</v>
      </c>
      <c r="AX1005">
        <v>20</v>
      </c>
      <c r="AY1005" s="1">
        <v>35247</v>
      </c>
      <c r="AZ1005" s="1">
        <v>35247</v>
      </c>
      <c r="BA1005" s="1">
        <v>35247</v>
      </c>
      <c r="BB1005" s="1">
        <v>42552</v>
      </c>
      <c r="BC1005" t="s">
        <v>51</v>
      </c>
      <c r="BE1005" t="s">
        <v>54</v>
      </c>
      <c r="BF1005">
        <v>2</v>
      </c>
      <c r="BG1005">
        <v>0</v>
      </c>
      <c r="BH1005" t="s">
        <v>53</v>
      </c>
      <c r="BK1005" t="s">
        <v>59</v>
      </c>
      <c r="BL1005">
        <v>14000</v>
      </c>
      <c r="BM1005" s="1">
        <v>41091</v>
      </c>
      <c r="BN1005" s="1">
        <v>41091</v>
      </c>
      <c r="BO1005" s="1">
        <v>41091</v>
      </c>
      <c r="BP1005" s="1">
        <v>42291</v>
      </c>
      <c r="BQ1005" t="s">
        <v>51</v>
      </c>
      <c r="BS1005" t="s">
        <v>60</v>
      </c>
      <c r="BT1005" t="s">
        <v>54</v>
      </c>
      <c r="BU1005" t="s">
        <v>61</v>
      </c>
      <c r="BV1005" t="s">
        <v>62</v>
      </c>
      <c r="BX1005">
        <v>24</v>
      </c>
      <c r="BY1005">
        <v>0</v>
      </c>
      <c r="BZ1005">
        <v>0</v>
      </c>
    </row>
    <row r="1006" spans="1:78" x14ac:dyDescent="0.2">
      <c r="A1006" t="s">
        <v>180</v>
      </c>
      <c r="B1006" t="s">
        <v>181</v>
      </c>
      <c r="C1006" t="s">
        <v>184</v>
      </c>
      <c r="D1006" t="s">
        <v>651</v>
      </c>
      <c r="F1006" t="str">
        <f>"250662"</f>
        <v>250662</v>
      </c>
      <c r="G1006" t="s">
        <v>49</v>
      </c>
      <c r="H1006" t="s">
        <v>298</v>
      </c>
      <c r="K1006" t="s">
        <v>51</v>
      </c>
      <c r="L1006" t="s">
        <v>52</v>
      </c>
      <c r="M1006">
        <v>136631.35999999999</v>
      </c>
      <c r="N1006">
        <v>472551.61</v>
      </c>
      <c r="O1006" t="s">
        <v>53</v>
      </c>
      <c r="P1006" t="s">
        <v>54</v>
      </c>
      <c r="Q1006" t="s">
        <v>55</v>
      </c>
      <c r="T1006" t="s">
        <v>241</v>
      </c>
      <c r="U1006">
        <v>40</v>
      </c>
      <c r="V1006" s="1">
        <v>35247</v>
      </c>
      <c r="W1006" s="1">
        <v>35247</v>
      </c>
      <c r="X1006" s="1">
        <v>35247</v>
      </c>
      <c r="Y1006" s="1">
        <v>49857</v>
      </c>
      <c r="Z1006" t="s">
        <v>51</v>
      </c>
      <c r="AB1006" t="s">
        <v>54</v>
      </c>
      <c r="AC1006">
        <v>1</v>
      </c>
      <c r="AE1006" t="s">
        <v>222</v>
      </c>
      <c r="AF1006">
        <v>20</v>
      </c>
      <c r="AG1006" s="1">
        <v>35247</v>
      </c>
      <c r="AH1006" s="1">
        <v>35247</v>
      </c>
      <c r="AI1006" s="1">
        <v>35247</v>
      </c>
      <c r="AJ1006" s="1">
        <v>42552</v>
      </c>
      <c r="AK1006" t="s">
        <v>51</v>
      </c>
      <c r="AN1006">
        <v>0</v>
      </c>
      <c r="AO1006" t="s">
        <v>54</v>
      </c>
      <c r="AP1006" t="s">
        <v>53</v>
      </c>
      <c r="AQ1006">
        <v>0</v>
      </c>
      <c r="AR1006" t="s">
        <v>53</v>
      </c>
      <c r="AS1006">
        <v>0</v>
      </c>
      <c r="AT1006">
        <v>0</v>
      </c>
      <c r="AW1006" t="s">
        <v>58</v>
      </c>
      <c r="AX1006">
        <v>20</v>
      </c>
      <c r="AY1006" s="1">
        <v>35247</v>
      </c>
      <c r="AZ1006" s="1">
        <v>35247</v>
      </c>
      <c r="BA1006" s="1">
        <v>35247</v>
      </c>
      <c r="BB1006" s="1">
        <v>42552</v>
      </c>
      <c r="BC1006" t="s">
        <v>51</v>
      </c>
      <c r="BE1006" t="s">
        <v>54</v>
      </c>
      <c r="BF1006">
        <v>2</v>
      </c>
      <c r="BG1006">
        <v>0</v>
      </c>
      <c r="BH1006" t="s">
        <v>53</v>
      </c>
      <c r="BK1006" t="s">
        <v>59</v>
      </c>
      <c r="BL1006">
        <v>14000</v>
      </c>
      <c r="BM1006" s="1">
        <v>43473</v>
      </c>
      <c r="BN1006" s="1">
        <v>43473</v>
      </c>
      <c r="BO1006" s="1">
        <v>43473</v>
      </c>
      <c r="BP1006" s="1">
        <v>44640</v>
      </c>
      <c r="BQ1006" t="s">
        <v>51</v>
      </c>
      <c r="BS1006" t="s">
        <v>60</v>
      </c>
      <c r="BT1006" t="s">
        <v>54</v>
      </c>
      <c r="BU1006" t="s">
        <v>61</v>
      </c>
      <c r="BV1006" t="s">
        <v>62</v>
      </c>
      <c r="BX1006">
        <v>24</v>
      </c>
      <c r="BY1006">
        <v>0</v>
      </c>
      <c r="BZ1006">
        <v>0</v>
      </c>
    </row>
    <row r="1007" spans="1:78" x14ac:dyDescent="0.2">
      <c r="A1007" t="s">
        <v>180</v>
      </c>
      <c r="B1007" t="s">
        <v>181</v>
      </c>
      <c r="C1007" t="s">
        <v>184</v>
      </c>
      <c r="D1007" t="s">
        <v>651</v>
      </c>
      <c r="F1007" t="str">
        <f>"250663"</f>
        <v>250663</v>
      </c>
      <c r="G1007" t="s">
        <v>49</v>
      </c>
      <c r="H1007" t="s">
        <v>654</v>
      </c>
      <c r="K1007" t="s">
        <v>51</v>
      </c>
      <c r="L1007" t="s">
        <v>52</v>
      </c>
      <c r="M1007">
        <v>136610.56</v>
      </c>
      <c r="N1007">
        <v>472550.16</v>
      </c>
      <c r="O1007" t="s">
        <v>53</v>
      </c>
      <c r="P1007" t="s">
        <v>54</v>
      </c>
      <c r="Q1007" t="s">
        <v>55</v>
      </c>
      <c r="T1007" t="s">
        <v>241</v>
      </c>
      <c r="U1007">
        <v>40</v>
      </c>
      <c r="V1007" s="1">
        <v>35247</v>
      </c>
      <c r="W1007" s="1">
        <v>35247</v>
      </c>
      <c r="X1007" s="1">
        <v>35247</v>
      </c>
      <c r="Y1007" s="1">
        <v>49857</v>
      </c>
      <c r="Z1007" t="s">
        <v>51</v>
      </c>
      <c r="AB1007" t="s">
        <v>54</v>
      </c>
      <c r="AC1007">
        <v>1</v>
      </c>
      <c r="AE1007" t="s">
        <v>222</v>
      </c>
      <c r="AF1007">
        <v>20</v>
      </c>
      <c r="AG1007" s="1">
        <v>35247</v>
      </c>
      <c r="AH1007" s="1">
        <v>35247</v>
      </c>
      <c r="AI1007" s="1">
        <v>35247</v>
      </c>
      <c r="AJ1007" s="1">
        <v>42552</v>
      </c>
      <c r="AK1007" t="s">
        <v>51</v>
      </c>
      <c r="AN1007">
        <v>0</v>
      </c>
      <c r="AO1007" t="s">
        <v>54</v>
      </c>
      <c r="AP1007" t="s">
        <v>53</v>
      </c>
      <c r="AQ1007">
        <v>0</v>
      </c>
      <c r="AR1007" t="s">
        <v>53</v>
      </c>
      <c r="AS1007">
        <v>0</v>
      </c>
      <c r="AT1007">
        <v>0</v>
      </c>
      <c r="AW1007" t="s">
        <v>58</v>
      </c>
      <c r="AX1007">
        <v>20</v>
      </c>
      <c r="AY1007" s="1">
        <v>35247</v>
      </c>
      <c r="AZ1007" s="1">
        <v>35247</v>
      </c>
      <c r="BA1007" s="1">
        <v>35247</v>
      </c>
      <c r="BB1007" s="1">
        <v>42552</v>
      </c>
      <c r="BC1007" t="s">
        <v>51</v>
      </c>
      <c r="BE1007" t="s">
        <v>54</v>
      </c>
      <c r="BF1007">
        <v>2</v>
      </c>
      <c r="BG1007">
        <v>0</v>
      </c>
      <c r="BH1007" t="s">
        <v>53</v>
      </c>
      <c r="BK1007" t="s">
        <v>59</v>
      </c>
      <c r="BL1007">
        <v>14000</v>
      </c>
      <c r="BM1007" s="1">
        <v>43409</v>
      </c>
      <c r="BN1007" s="1">
        <v>43409</v>
      </c>
      <c r="BO1007" s="1">
        <v>43409</v>
      </c>
      <c r="BP1007" s="1">
        <v>44569</v>
      </c>
      <c r="BQ1007" t="s">
        <v>51</v>
      </c>
      <c r="BS1007" t="s">
        <v>60</v>
      </c>
      <c r="BT1007" t="s">
        <v>54</v>
      </c>
      <c r="BU1007" t="s">
        <v>61</v>
      </c>
      <c r="BV1007" t="s">
        <v>62</v>
      </c>
      <c r="BX1007">
        <v>24</v>
      </c>
      <c r="BY1007">
        <v>0</v>
      </c>
      <c r="BZ1007">
        <v>0</v>
      </c>
    </row>
    <row r="1008" spans="1:78" x14ac:dyDescent="0.2">
      <c r="A1008" t="s">
        <v>180</v>
      </c>
      <c r="B1008" t="s">
        <v>181</v>
      </c>
      <c r="C1008" t="s">
        <v>184</v>
      </c>
      <c r="D1008" t="s">
        <v>651</v>
      </c>
      <c r="F1008" t="str">
        <f>"250664"</f>
        <v>250664</v>
      </c>
      <c r="G1008" t="s">
        <v>49</v>
      </c>
      <c r="H1008" t="s">
        <v>297</v>
      </c>
      <c r="K1008" t="s">
        <v>51</v>
      </c>
      <c r="L1008" t="s">
        <v>52</v>
      </c>
      <c r="M1008">
        <v>136588.88</v>
      </c>
      <c r="N1008">
        <v>472559.71</v>
      </c>
      <c r="O1008" t="s">
        <v>53</v>
      </c>
      <c r="P1008" t="s">
        <v>54</v>
      </c>
      <c r="Q1008" t="s">
        <v>55</v>
      </c>
      <c r="T1008" t="s">
        <v>241</v>
      </c>
      <c r="U1008">
        <v>40</v>
      </c>
      <c r="V1008" s="1">
        <v>35247</v>
      </c>
      <c r="W1008" s="1">
        <v>35247</v>
      </c>
      <c r="X1008" s="1">
        <v>35247</v>
      </c>
      <c r="Y1008" s="1">
        <v>49857</v>
      </c>
      <c r="Z1008" t="s">
        <v>51</v>
      </c>
      <c r="AB1008" t="s">
        <v>54</v>
      </c>
      <c r="AC1008">
        <v>1</v>
      </c>
      <c r="AE1008" t="s">
        <v>222</v>
      </c>
      <c r="AF1008">
        <v>20</v>
      </c>
      <c r="AG1008" s="1">
        <v>35247</v>
      </c>
      <c r="AH1008" s="1">
        <v>35247</v>
      </c>
      <c r="AI1008" s="1">
        <v>35247</v>
      </c>
      <c r="AJ1008" s="1">
        <v>42552</v>
      </c>
      <c r="AK1008" t="s">
        <v>51</v>
      </c>
      <c r="AN1008">
        <v>0</v>
      </c>
      <c r="AO1008" t="s">
        <v>54</v>
      </c>
      <c r="AP1008" t="s">
        <v>53</v>
      </c>
      <c r="AQ1008">
        <v>0</v>
      </c>
      <c r="AR1008" t="s">
        <v>53</v>
      </c>
      <c r="AS1008">
        <v>0</v>
      </c>
      <c r="AT1008">
        <v>0</v>
      </c>
      <c r="AW1008" t="s">
        <v>58</v>
      </c>
      <c r="AX1008">
        <v>20</v>
      </c>
      <c r="AY1008" s="1">
        <v>43767</v>
      </c>
      <c r="AZ1008" s="1">
        <v>43767</v>
      </c>
      <c r="BA1008" s="1">
        <v>43767</v>
      </c>
      <c r="BB1008" s="1">
        <v>51072</v>
      </c>
      <c r="BC1008" t="s">
        <v>51</v>
      </c>
      <c r="BE1008" t="s">
        <v>54</v>
      </c>
      <c r="BF1008">
        <v>2</v>
      </c>
      <c r="BG1008">
        <v>0</v>
      </c>
      <c r="BH1008" t="s">
        <v>53</v>
      </c>
      <c r="BK1008" t="s">
        <v>59</v>
      </c>
      <c r="BL1008">
        <v>14000</v>
      </c>
      <c r="BM1008" s="1">
        <v>43767</v>
      </c>
      <c r="BN1008" s="1">
        <v>43767</v>
      </c>
      <c r="BO1008" s="1">
        <v>43767</v>
      </c>
      <c r="BP1008" s="1">
        <v>44927</v>
      </c>
      <c r="BQ1008" t="s">
        <v>51</v>
      </c>
      <c r="BS1008" t="s">
        <v>60</v>
      </c>
      <c r="BT1008" t="s">
        <v>54</v>
      </c>
      <c r="BU1008" t="s">
        <v>61</v>
      </c>
      <c r="BV1008" t="s">
        <v>62</v>
      </c>
      <c r="BX1008">
        <v>24</v>
      </c>
      <c r="BY1008">
        <v>0</v>
      </c>
      <c r="BZ1008">
        <v>0</v>
      </c>
    </row>
    <row r="1009" spans="1:78" x14ac:dyDescent="0.2">
      <c r="A1009" t="s">
        <v>180</v>
      </c>
      <c r="B1009" t="s">
        <v>181</v>
      </c>
      <c r="C1009" t="s">
        <v>184</v>
      </c>
      <c r="D1009" t="s">
        <v>651</v>
      </c>
      <c r="F1009" t="str">
        <f>"250665"</f>
        <v>250665</v>
      </c>
      <c r="G1009" t="s">
        <v>49</v>
      </c>
      <c r="H1009" t="s">
        <v>471</v>
      </c>
      <c r="K1009" t="s">
        <v>51</v>
      </c>
      <c r="L1009" t="s">
        <v>52</v>
      </c>
      <c r="M1009">
        <v>136574.79999999999</v>
      </c>
      <c r="N1009">
        <v>472576.81</v>
      </c>
      <c r="O1009" t="s">
        <v>53</v>
      </c>
      <c r="P1009" t="s">
        <v>54</v>
      </c>
      <c r="Q1009" t="s">
        <v>55</v>
      </c>
      <c r="T1009" t="s">
        <v>241</v>
      </c>
      <c r="U1009">
        <v>40</v>
      </c>
      <c r="V1009" s="1">
        <v>35247</v>
      </c>
      <c r="W1009" s="1">
        <v>35247</v>
      </c>
      <c r="X1009" s="1">
        <v>35247</v>
      </c>
      <c r="Y1009" s="1">
        <v>49857</v>
      </c>
      <c r="Z1009" t="s">
        <v>51</v>
      </c>
      <c r="AB1009" t="s">
        <v>54</v>
      </c>
      <c r="AC1009">
        <v>1</v>
      </c>
      <c r="AE1009" t="s">
        <v>222</v>
      </c>
      <c r="AF1009">
        <v>20</v>
      </c>
      <c r="AG1009" s="1">
        <v>35247</v>
      </c>
      <c r="AH1009" s="1">
        <v>35247</v>
      </c>
      <c r="AI1009" s="1">
        <v>35247</v>
      </c>
      <c r="AJ1009" s="1">
        <v>42552</v>
      </c>
      <c r="AK1009" t="s">
        <v>51</v>
      </c>
      <c r="AN1009">
        <v>0</v>
      </c>
      <c r="AO1009" t="s">
        <v>54</v>
      </c>
      <c r="AP1009" t="s">
        <v>53</v>
      </c>
      <c r="AQ1009">
        <v>0</v>
      </c>
      <c r="AR1009" t="s">
        <v>53</v>
      </c>
      <c r="AS1009">
        <v>0</v>
      </c>
      <c r="AT1009">
        <v>0</v>
      </c>
      <c r="AW1009" t="s">
        <v>58</v>
      </c>
      <c r="AX1009">
        <v>20</v>
      </c>
      <c r="AY1009" s="1">
        <v>35247</v>
      </c>
      <c r="AZ1009" s="1">
        <v>35247</v>
      </c>
      <c r="BA1009" s="1">
        <v>35247</v>
      </c>
      <c r="BB1009" s="1">
        <v>42552</v>
      </c>
      <c r="BC1009" t="s">
        <v>51</v>
      </c>
      <c r="BE1009" t="s">
        <v>54</v>
      </c>
      <c r="BF1009">
        <v>2</v>
      </c>
      <c r="BG1009">
        <v>0</v>
      </c>
      <c r="BH1009" t="s">
        <v>53</v>
      </c>
      <c r="BK1009" t="s">
        <v>59</v>
      </c>
      <c r="BL1009">
        <v>14000</v>
      </c>
      <c r="BM1009" s="1">
        <v>43767</v>
      </c>
      <c r="BN1009" s="1">
        <v>43767</v>
      </c>
      <c r="BO1009" s="1">
        <v>43767</v>
      </c>
      <c r="BP1009" s="1">
        <v>44927</v>
      </c>
      <c r="BQ1009" t="s">
        <v>51</v>
      </c>
      <c r="BS1009" t="s">
        <v>60</v>
      </c>
      <c r="BT1009" t="s">
        <v>54</v>
      </c>
      <c r="BU1009" t="s">
        <v>61</v>
      </c>
      <c r="BV1009" t="s">
        <v>62</v>
      </c>
      <c r="BX1009">
        <v>24</v>
      </c>
      <c r="BY1009">
        <v>0</v>
      </c>
      <c r="BZ1009">
        <v>0</v>
      </c>
    </row>
    <row r="1010" spans="1:78" x14ac:dyDescent="0.2">
      <c r="A1010" t="s">
        <v>180</v>
      </c>
      <c r="B1010" t="s">
        <v>181</v>
      </c>
      <c r="C1010" t="s">
        <v>184</v>
      </c>
      <c r="D1010" t="s">
        <v>655</v>
      </c>
      <c r="F1010" t="str">
        <f>"250666"</f>
        <v>250666</v>
      </c>
      <c r="G1010" t="s">
        <v>49</v>
      </c>
      <c r="H1010" t="s">
        <v>261</v>
      </c>
      <c r="K1010" t="s">
        <v>51</v>
      </c>
      <c r="L1010" t="s">
        <v>52</v>
      </c>
      <c r="M1010">
        <v>136766.06</v>
      </c>
      <c r="N1010">
        <v>472559.19</v>
      </c>
      <c r="O1010" t="s">
        <v>53</v>
      </c>
      <c r="P1010" t="s">
        <v>54</v>
      </c>
      <c r="Q1010" t="s">
        <v>55</v>
      </c>
      <c r="T1010" t="s">
        <v>241</v>
      </c>
      <c r="U1010">
        <v>40</v>
      </c>
      <c r="V1010" s="1">
        <v>35247</v>
      </c>
      <c r="W1010" s="1">
        <v>35247</v>
      </c>
      <c r="X1010" s="1">
        <v>35247</v>
      </c>
      <c r="Y1010" s="1">
        <v>49857</v>
      </c>
      <c r="Z1010" t="s">
        <v>51</v>
      </c>
      <c r="AB1010" t="s">
        <v>54</v>
      </c>
      <c r="AC1010">
        <v>1</v>
      </c>
      <c r="AE1010" t="s">
        <v>222</v>
      </c>
      <c r="AF1010">
        <v>20</v>
      </c>
      <c r="AG1010" s="1">
        <v>35247</v>
      </c>
      <c r="AH1010" s="1">
        <v>35247</v>
      </c>
      <c r="AI1010" s="1">
        <v>35247</v>
      </c>
      <c r="AJ1010" s="1">
        <v>42552</v>
      </c>
      <c r="AK1010" t="s">
        <v>51</v>
      </c>
      <c r="AN1010">
        <v>0</v>
      </c>
      <c r="AO1010" t="s">
        <v>54</v>
      </c>
      <c r="AP1010" t="s">
        <v>53</v>
      </c>
      <c r="AQ1010">
        <v>0</v>
      </c>
      <c r="AR1010" t="s">
        <v>53</v>
      </c>
      <c r="AS1010">
        <v>0</v>
      </c>
      <c r="AT1010">
        <v>0</v>
      </c>
      <c r="AW1010" t="s">
        <v>58</v>
      </c>
      <c r="AX1010">
        <v>20</v>
      </c>
      <c r="AY1010" s="1">
        <v>35247</v>
      </c>
      <c r="AZ1010" s="1">
        <v>35247</v>
      </c>
      <c r="BA1010" s="1">
        <v>35247</v>
      </c>
      <c r="BB1010" s="1">
        <v>42552</v>
      </c>
      <c r="BC1010" t="s">
        <v>51</v>
      </c>
      <c r="BE1010" t="s">
        <v>54</v>
      </c>
      <c r="BF1010">
        <v>2</v>
      </c>
      <c r="BG1010">
        <v>0</v>
      </c>
      <c r="BH1010" t="s">
        <v>53</v>
      </c>
      <c r="BK1010" t="s">
        <v>59</v>
      </c>
      <c r="BL1010">
        <v>14000</v>
      </c>
      <c r="BM1010" s="1">
        <v>41091</v>
      </c>
      <c r="BN1010" s="1">
        <v>41091</v>
      </c>
      <c r="BO1010" s="1">
        <v>41091</v>
      </c>
      <c r="BP1010" s="1">
        <v>42291</v>
      </c>
      <c r="BQ1010" t="s">
        <v>51</v>
      </c>
      <c r="BS1010" t="s">
        <v>60</v>
      </c>
      <c r="BT1010" t="s">
        <v>54</v>
      </c>
      <c r="BU1010" t="s">
        <v>61</v>
      </c>
      <c r="BV1010" t="s">
        <v>62</v>
      </c>
      <c r="BX1010">
        <v>24</v>
      </c>
      <c r="BY1010">
        <v>0</v>
      </c>
      <c r="BZ1010">
        <v>0</v>
      </c>
    </row>
    <row r="1011" spans="1:78" x14ac:dyDescent="0.2">
      <c r="A1011" t="s">
        <v>180</v>
      </c>
      <c r="B1011" t="s">
        <v>181</v>
      </c>
      <c r="C1011" t="s">
        <v>184</v>
      </c>
      <c r="D1011" t="s">
        <v>655</v>
      </c>
      <c r="F1011" t="str">
        <f>"250667"</f>
        <v>250667</v>
      </c>
      <c r="G1011" t="s">
        <v>49</v>
      </c>
      <c r="H1011" t="s">
        <v>93</v>
      </c>
      <c r="K1011" t="s">
        <v>51</v>
      </c>
      <c r="L1011" t="s">
        <v>52</v>
      </c>
      <c r="M1011">
        <v>136762.26999999999</v>
      </c>
      <c r="N1011">
        <v>472547</v>
      </c>
      <c r="O1011" t="s">
        <v>53</v>
      </c>
      <c r="P1011" t="s">
        <v>54</v>
      </c>
      <c r="Q1011" t="s">
        <v>55</v>
      </c>
      <c r="T1011" t="s">
        <v>241</v>
      </c>
      <c r="U1011">
        <v>40</v>
      </c>
      <c r="V1011" s="1">
        <v>35247</v>
      </c>
      <c r="W1011" s="1">
        <v>35247</v>
      </c>
      <c r="X1011" s="1">
        <v>35247</v>
      </c>
      <c r="Y1011" s="1">
        <v>49857</v>
      </c>
      <c r="Z1011" t="s">
        <v>51</v>
      </c>
      <c r="AB1011" t="s">
        <v>54</v>
      </c>
      <c r="AC1011">
        <v>1</v>
      </c>
      <c r="AE1011" t="s">
        <v>222</v>
      </c>
      <c r="AF1011">
        <v>20</v>
      </c>
      <c r="AG1011" s="1">
        <v>35247</v>
      </c>
      <c r="AH1011" s="1">
        <v>35247</v>
      </c>
      <c r="AI1011" s="1">
        <v>35247</v>
      </c>
      <c r="AJ1011" s="1">
        <v>42552</v>
      </c>
      <c r="AK1011" t="s">
        <v>51</v>
      </c>
      <c r="AN1011">
        <v>0</v>
      </c>
      <c r="AO1011" t="s">
        <v>54</v>
      </c>
      <c r="AP1011" t="s">
        <v>53</v>
      </c>
      <c r="AQ1011">
        <v>0</v>
      </c>
      <c r="AR1011" t="s">
        <v>53</v>
      </c>
      <c r="AS1011">
        <v>0</v>
      </c>
      <c r="AT1011">
        <v>0</v>
      </c>
      <c r="AW1011" t="s">
        <v>58</v>
      </c>
      <c r="AX1011">
        <v>20</v>
      </c>
      <c r="AY1011" s="1">
        <v>35247</v>
      </c>
      <c r="AZ1011" s="1">
        <v>35247</v>
      </c>
      <c r="BA1011" s="1">
        <v>35247</v>
      </c>
      <c r="BB1011" s="1">
        <v>42552</v>
      </c>
      <c r="BC1011" t="s">
        <v>51</v>
      </c>
      <c r="BE1011" t="s">
        <v>54</v>
      </c>
      <c r="BF1011">
        <v>2</v>
      </c>
      <c r="BG1011">
        <v>0</v>
      </c>
      <c r="BH1011" t="s">
        <v>53</v>
      </c>
      <c r="BK1011" t="s">
        <v>59</v>
      </c>
      <c r="BL1011">
        <v>14000</v>
      </c>
      <c r="BM1011" s="1">
        <v>41091</v>
      </c>
      <c r="BN1011" s="1">
        <v>41091</v>
      </c>
      <c r="BO1011" s="1">
        <v>41091</v>
      </c>
      <c r="BP1011" s="1">
        <v>42291</v>
      </c>
      <c r="BQ1011" t="s">
        <v>51</v>
      </c>
      <c r="BS1011" t="s">
        <v>60</v>
      </c>
      <c r="BT1011" t="s">
        <v>54</v>
      </c>
      <c r="BU1011" t="s">
        <v>61</v>
      </c>
      <c r="BV1011" t="s">
        <v>62</v>
      </c>
      <c r="BX1011">
        <v>24</v>
      </c>
      <c r="BY1011">
        <v>0</v>
      </c>
      <c r="BZ1011">
        <v>0</v>
      </c>
    </row>
    <row r="1012" spans="1:78" x14ac:dyDescent="0.2">
      <c r="A1012" t="s">
        <v>180</v>
      </c>
      <c r="B1012" t="s">
        <v>181</v>
      </c>
      <c r="C1012" t="s">
        <v>184</v>
      </c>
      <c r="D1012" t="s">
        <v>655</v>
      </c>
      <c r="F1012" t="str">
        <f>"250668"</f>
        <v>250668</v>
      </c>
      <c r="G1012" t="s">
        <v>49</v>
      </c>
      <c r="K1012" t="s">
        <v>51</v>
      </c>
      <c r="L1012" t="s">
        <v>52</v>
      </c>
      <c r="M1012">
        <v>136746.114</v>
      </c>
      <c r="N1012">
        <v>472555.11900000001</v>
      </c>
      <c r="O1012" t="s">
        <v>53</v>
      </c>
      <c r="P1012" t="s">
        <v>54</v>
      </c>
      <c r="Q1012" t="s">
        <v>55</v>
      </c>
      <c r="T1012" t="s">
        <v>241</v>
      </c>
      <c r="U1012">
        <v>40</v>
      </c>
      <c r="V1012" s="1">
        <v>35247</v>
      </c>
      <c r="W1012" s="1">
        <v>35247</v>
      </c>
      <c r="X1012" s="1">
        <v>35247</v>
      </c>
      <c r="Y1012" s="1">
        <v>49857</v>
      </c>
      <c r="Z1012" t="s">
        <v>51</v>
      </c>
      <c r="AB1012" t="s">
        <v>54</v>
      </c>
      <c r="AC1012">
        <v>1</v>
      </c>
      <c r="AE1012" t="s">
        <v>222</v>
      </c>
      <c r="AF1012">
        <v>20</v>
      </c>
      <c r="AG1012" s="1">
        <v>35247</v>
      </c>
      <c r="AH1012" s="1">
        <v>35247</v>
      </c>
      <c r="AI1012" s="1">
        <v>35247</v>
      </c>
      <c r="AJ1012" s="1">
        <v>42552</v>
      </c>
      <c r="AK1012" t="s">
        <v>51</v>
      </c>
      <c r="AN1012">
        <v>0</v>
      </c>
      <c r="AO1012" t="s">
        <v>54</v>
      </c>
      <c r="AP1012" t="s">
        <v>53</v>
      </c>
      <c r="AQ1012">
        <v>0</v>
      </c>
      <c r="AR1012" t="s">
        <v>53</v>
      </c>
      <c r="AS1012">
        <v>0</v>
      </c>
      <c r="AT1012">
        <v>0</v>
      </c>
      <c r="AW1012" t="s">
        <v>58</v>
      </c>
      <c r="AX1012">
        <v>20</v>
      </c>
      <c r="AY1012" s="1">
        <v>35247</v>
      </c>
      <c r="AZ1012" s="1">
        <v>35247</v>
      </c>
      <c r="BA1012" s="1">
        <v>35247</v>
      </c>
      <c r="BB1012" s="1">
        <v>42552</v>
      </c>
      <c r="BC1012" t="s">
        <v>51</v>
      </c>
      <c r="BE1012" t="s">
        <v>54</v>
      </c>
      <c r="BF1012">
        <v>2</v>
      </c>
      <c r="BG1012">
        <v>0</v>
      </c>
      <c r="BH1012" t="s">
        <v>53</v>
      </c>
      <c r="BK1012" t="s">
        <v>59</v>
      </c>
      <c r="BL1012">
        <v>14000</v>
      </c>
      <c r="BM1012" s="1">
        <v>41091</v>
      </c>
      <c r="BN1012" s="1">
        <v>41091</v>
      </c>
      <c r="BO1012" s="1">
        <v>41091</v>
      </c>
      <c r="BP1012" s="1">
        <v>42291</v>
      </c>
      <c r="BQ1012" t="s">
        <v>51</v>
      </c>
      <c r="BS1012" t="s">
        <v>60</v>
      </c>
      <c r="BT1012" t="s">
        <v>54</v>
      </c>
      <c r="BU1012" t="s">
        <v>61</v>
      </c>
      <c r="BV1012" t="s">
        <v>62</v>
      </c>
      <c r="BX1012">
        <v>24</v>
      </c>
      <c r="BY1012">
        <v>0</v>
      </c>
      <c r="BZ1012">
        <v>0</v>
      </c>
    </row>
    <row r="1013" spans="1:78" x14ac:dyDescent="0.2">
      <c r="A1013" t="s">
        <v>180</v>
      </c>
      <c r="B1013" t="s">
        <v>181</v>
      </c>
      <c r="C1013" t="s">
        <v>184</v>
      </c>
      <c r="D1013" t="s">
        <v>655</v>
      </c>
      <c r="F1013" t="str">
        <f>"250669"</f>
        <v>250669</v>
      </c>
      <c r="G1013" t="s">
        <v>49</v>
      </c>
      <c r="H1013" t="s">
        <v>262</v>
      </c>
      <c r="K1013" t="s">
        <v>51</v>
      </c>
      <c r="L1013" t="s">
        <v>52</v>
      </c>
      <c r="M1013">
        <v>136750.10999999999</v>
      </c>
      <c r="N1013">
        <v>472533.25</v>
      </c>
      <c r="O1013" t="s">
        <v>53</v>
      </c>
      <c r="P1013" t="s">
        <v>54</v>
      </c>
      <c r="Q1013" t="s">
        <v>55</v>
      </c>
      <c r="T1013" t="s">
        <v>241</v>
      </c>
      <c r="U1013">
        <v>40</v>
      </c>
      <c r="V1013" s="1">
        <v>35247</v>
      </c>
      <c r="W1013" s="1">
        <v>35247</v>
      </c>
      <c r="X1013" s="1">
        <v>35247</v>
      </c>
      <c r="Y1013" s="1">
        <v>49857</v>
      </c>
      <c r="Z1013" t="s">
        <v>51</v>
      </c>
      <c r="AB1013" t="s">
        <v>54</v>
      </c>
      <c r="AC1013">
        <v>1</v>
      </c>
      <c r="AE1013" t="s">
        <v>222</v>
      </c>
      <c r="AF1013">
        <v>20</v>
      </c>
      <c r="AG1013" s="1">
        <v>35247</v>
      </c>
      <c r="AH1013" s="1">
        <v>35247</v>
      </c>
      <c r="AI1013" s="1">
        <v>35247</v>
      </c>
      <c r="AJ1013" s="1">
        <v>42552</v>
      </c>
      <c r="AK1013" t="s">
        <v>51</v>
      </c>
      <c r="AN1013">
        <v>0</v>
      </c>
      <c r="AO1013" t="s">
        <v>54</v>
      </c>
      <c r="AP1013" t="s">
        <v>53</v>
      </c>
      <c r="AQ1013">
        <v>0</v>
      </c>
      <c r="AR1013" t="s">
        <v>53</v>
      </c>
      <c r="AS1013">
        <v>0</v>
      </c>
      <c r="AT1013">
        <v>0</v>
      </c>
      <c r="AW1013" t="s">
        <v>58</v>
      </c>
      <c r="AX1013">
        <v>20</v>
      </c>
      <c r="AY1013" s="1">
        <v>35247</v>
      </c>
      <c r="AZ1013" s="1">
        <v>35247</v>
      </c>
      <c r="BA1013" s="1">
        <v>35247</v>
      </c>
      <c r="BB1013" s="1">
        <v>42552</v>
      </c>
      <c r="BC1013" t="s">
        <v>51</v>
      </c>
      <c r="BE1013" t="s">
        <v>54</v>
      </c>
      <c r="BF1013">
        <v>2</v>
      </c>
      <c r="BG1013">
        <v>0</v>
      </c>
      <c r="BH1013" t="s">
        <v>53</v>
      </c>
      <c r="BK1013" t="s">
        <v>59</v>
      </c>
      <c r="BL1013">
        <v>14000</v>
      </c>
      <c r="BM1013" s="1">
        <v>41091</v>
      </c>
      <c r="BN1013" s="1">
        <v>41091</v>
      </c>
      <c r="BO1013" s="1">
        <v>41091</v>
      </c>
      <c r="BP1013" s="1">
        <v>42291</v>
      </c>
      <c r="BQ1013" t="s">
        <v>51</v>
      </c>
      <c r="BS1013" t="s">
        <v>60</v>
      </c>
      <c r="BT1013" t="s">
        <v>54</v>
      </c>
      <c r="BU1013" t="s">
        <v>61</v>
      </c>
      <c r="BV1013" t="s">
        <v>62</v>
      </c>
      <c r="BX1013">
        <v>24</v>
      </c>
      <c r="BY1013">
        <v>0</v>
      </c>
      <c r="BZ1013">
        <v>0</v>
      </c>
    </row>
    <row r="1014" spans="1:78" x14ac:dyDescent="0.2">
      <c r="A1014" t="s">
        <v>180</v>
      </c>
      <c r="B1014" t="s">
        <v>181</v>
      </c>
      <c r="C1014" t="s">
        <v>184</v>
      </c>
      <c r="D1014" t="s">
        <v>655</v>
      </c>
      <c r="F1014" t="str">
        <f>"250670"</f>
        <v>250670</v>
      </c>
      <c r="G1014" t="s">
        <v>49</v>
      </c>
      <c r="K1014" t="s">
        <v>51</v>
      </c>
      <c r="L1014" t="s">
        <v>52</v>
      </c>
      <c r="M1014">
        <v>136738.769</v>
      </c>
      <c r="N1014">
        <v>472518.63699999999</v>
      </c>
      <c r="O1014" t="s">
        <v>53</v>
      </c>
      <c r="P1014" t="s">
        <v>54</v>
      </c>
      <c r="Q1014" t="s">
        <v>55</v>
      </c>
      <c r="T1014" t="s">
        <v>241</v>
      </c>
      <c r="U1014">
        <v>40</v>
      </c>
      <c r="V1014" s="1">
        <v>35247</v>
      </c>
      <c r="W1014" s="1">
        <v>35247</v>
      </c>
      <c r="X1014" s="1">
        <v>35247</v>
      </c>
      <c r="Y1014" s="1">
        <v>49857</v>
      </c>
      <c r="Z1014" t="s">
        <v>51</v>
      </c>
      <c r="AB1014" t="s">
        <v>54</v>
      </c>
      <c r="AC1014">
        <v>1</v>
      </c>
      <c r="AE1014" t="s">
        <v>222</v>
      </c>
      <c r="AF1014">
        <v>20</v>
      </c>
      <c r="AG1014" s="1">
        <v>35247</v>
      </c>
      <c r="AH1014" s="1">
        <v>35247</v>
      </c>
      <c r="AI1014" s="1">
        <v>35247</v>
      </c>
      <c r="AJ1014" s="1">
        <v>42552</v>
      </c>
      <c r="AK1014" t="s">
        <v>51</v>
      </c>
      <c r="AN1014">
        <v>0</v>
      </c>
      <c r="AO1014" t="s">
        <v>54</v>
      </c>
      <c r="AP1014" t="s">
        <v>53</v>
      </c>
      <c r="AQ1014">
        <v>0</v>
      </c>
      <c r="AR1014" t="s">
        <v>53</v>
      </c>
      <c r="AS1014">
        <v>0</v>
      </c>
      <c r="AT1014">
        <v>0</v>
      </c>
      <c r="AW1014" t="s">
        <v>58</v>
      </c>
      <c r="AX1014">
        <v>20</v>
      </c>
      <c r="AY1014" s="1">
        <v>35247</v>
      </c>
      <c r="AZ1014" s="1">
        <v>35247</v>
      </c>
      <c r="BA1014" s="1">
        <v>35247</v>
      </c>
      <c r="BB1014" s="1">
        <v>42552</v>
      </c>
      <c r="BC1014" t="s">
        <v>51</v>
      </c>
      <c r="BE1014" t="s">
        <v>54</v>
      </c>
      <c r="BF1014">
        <v>2</v>
      </c>
      <c r="BG1014">
        <v>0</v>
      </c>
      <c r="BH1014" t="s">
        <v>53</v>
      </c>
      <c r="BK1014" t="s">
        <v>65</v>
      </c>
      <c r="BL1014">
        <v>14000</v>
      </c>
      <c r="BM1014" s="1">
        <v>41091</v>
      </c>
      <c r="BN1014" s="1">
        <v>41091</v>
      </c>
      <c r="BO1014" s="1">
        <v>41091</v>
      </c>
      <c r="BP1014" s="1">
        <v>42291</v>
      </c>
      <c r="BQ1014" t="s">
        <v>51</v>
      </c>
      <c r="BS1014" t="s">
        <v>60</v>
      </c>
      <c r="BT1014" t="s">
        <v>54</v>
      </c>
      <c r="BU1014" t="s">
        <v>61</v>
      </c>
      <c r="BV1014" t="s">
        <v>62</v>
      </c>
      <c r="BX1014">
        <v>36</v>
      </c>
      <c r="BY1014">
        <v>0</v>
      </c>
      <c r="BZ1014">
        <v>0</v>
      </c>
    </row>
    <row r="1015" spans="1:78" x14ac:dyDescent="0.2">
      <c r="A1015" t="s">
        <v>180</v>
      </c>
      <c r="B1015" t="s">
        <v>181</v>
      </c>
      <c r="C1015" t="s">
        <v>184</v>
      </c>
      <c r="D1015" t="s">
        <v>655</v>
      </c>
      <c r="F1015" t="str">
        <f>"250671"</f>
        <v>250671</v>
      </c>
      <c r="G1015" t="s">
        <v>49</v>
      </c>
      <c r="H1015" t="s">
        <v>304</v>
      </c>
      <c r="K1015" t="s">
        <v>51</v>
      </c>
      <c r="L1015" t="s">
        <v>52</v>
      </c>
      <c r="M1015">
        <v>136718.69</v>
      </c>
      <c r="N1015">
        <v>472527.56</v>
      </c>
      <c r="O1015" t="s">
        <v>53</v>
      </c>
      <c r="P1015" t="s">
        <v>54</v>
      </c>
      <c r="Q1015" t="s">
        <v>55</v>
      </c>
      <c r="T1015" t="s">
        <v>241</v>
      </c>
      <c r="U1015">
        <v>40</v>
      </c>
      <c r="V1015" s="1">
        <v>35247</v>
      </c>
      <c r="W1015" s="1">
        <v>35247</v>
      </c>
      <c r="X1015" s="1">
        <v>35247</v>
      </c>
      <c r="Y1015" s="1">
        <v>49857</v>
      </c>
      <c r="Z1015" t="s">
        <v>51</v>
      </c>
      <c r="AB1015" t="s">
        <v>54</v>
      </c>
      <c r="AC1015">
        <v>1</v>
      </c>
      <c r="AE1015" t="s">
        <v>222</v>
      </c>
      <c r="AF1015">
        <v>20</v>
      </c>
      <c r="AG1015" s="1">
        <v>35247</v>
      </c>
      <c r="AH1015" s="1">
        <v>35247</v>
      </c>
      <c r="AI1015" s="1">
        <v>35247</v>
      </c>
      <c r="AJ1015" s="1">
        <v>42552</v>
      </c>
      <c r="AK1015" t="s">
        <v>51</v>
      </c>
      <c r="AN1015">
        <v>0</v>
      </c>
      <c r="AO1015" t="s">
        <v>54</v>
      </c>
      <c r="AP1015" t="s">
        <v>53</v>
      </c>
      <c r="AQ1015">
        <v>0</v>
      </c>
      <c r="AR1015" t="s">
        <v>53</v>
      </c>
      <c r="AS1015">
        <v>0</v>
      </c>
      <c r="AT1015">
        <v>0</v>
      </c>
      <c r="AW1015" t="s">
        <v>58</v>
      </c>
      <c r="AX1015">
        <v>20</v>
      </c>
      <c r="AY1015" s="1">
        <v>44228</v>
      </c>
      <c r="AZ1015" s="1">
        <v>44228</v>
      </c>
      <c r="BA1015" s="1">
        <v>44228</v>
      </c>
      <c r="BB1015" s="1">
        <v>51533</v>
      </c>
      <c r="BC1015" t="s">
        <v>51</v>
      </c>
      <c r="BE1015" t="s">
        <v>54</v>
      </c>
      <c r="BF1015">
        <v>2</v>
      </c>
      <c r="BG1015">
        <v>0</v>
      </c>
      <c r="BH1015" t="s">
        <v>53</v>
      </c>
      <c r="BK1015" t="s">
        <v>59</v>
      </c>
      <c r="BL1015">
        <v>14000</v>
      </c>
      <c r="BM1015" s="1">
        <v>44228</v>
      </c>
      <c r="BN1015" s="1">
        <v>44228</v>
      </c>
      <c r="BO1015" s="1">
        <v>44228</v>
      </c>
      <c r="BP1015" s="1">
        <v>45408</v>
      </c>
      <c r="BQ1015" t="s">
        <v>51</v>
      </c>
      <c r="BS1015" t="s">
        <v>60</v>
      </c>
      <c r="BT1015" t="s">
        <v>54</v>
      </c>
      <c r="BU1015" t="s">
        <v>61</v>
      </c>
      <c r="BV1015" t="s">
        <v>62</v>
      </c>
      <c r="BX1015">
        <v>24</v>
      </c>
      <c r="BY1015">
        <v>0</v>
      </c>
      <c r="BZ1015">
        <v>0</v>
      </c>
    </row>
    <row r="1016" spans="1:78" x14ac:dyDescent="0.2">
      <c r="A1016" t="s">
        <v>180</v>
      </c>
      <c r="B1016" t="s">
        <v>181</v>
      </c>
      <c r="C1016" t="s">
        <v>184</v>
      </c>
      <c r="D1016" t="s">
        <v>655</v>
      </c>
      <c r="F1016" t="str">
        <f>"250672"</f>
        <v>250672</v>
      </c>
      <c r="G1016" t="s">
        <v>49</v>
      </c>
      <c r="H1016" t="s">
        <v>656</v>
      </c>
      <c r="K1016" t="s">
        <v>51</v>
      </c>
      <c r="L1016" t="s">
        <v>52</v>
      </c>
      <c r="M1016">
        <v>136697.41</v>
      </c>
      <c r="N1016">
        <v>472537.56</v>
      </c>
      <c r="O1016" t="s">
        <v>53</v>
      </c>
      <c r="P1016" t="s">
        <v>54</v>
      </c>
      <c r="Q1016" t="s">
        <v>55</v>
      </c>
      <c r="T1016" t="s">
        <v>241</v>
      </c>
      <c r="U1016">
        <v>40</v>
      </c>
      <c r="V1016" s="1">
        <v>35247</v>
      </c>
      <c r="W1016" s="1">
        <v>35247</v>
      </c>
      <c r="X1016" s="1">
        <v>35247</v>
      </c>
      <c r="Y1016" s="1">
        <v>49857</v>
      </c>
      <c r="Z1016" t="s">
        <v>51</v>
      </c>
      <c r="AB1016" t="s">
        <v>54</v>
      </c>
      <c r="AC1016">
        <v>1</v>
      </c>
      <c r="AE1016" t="s">
        <v>222</v>
      </c>
      <c r="AF1016">
        <v>20</v>
      </c>
      <c r="AG1016" s="1">
        <v>35247</v>
      </c>
      <c r="AH1016" s="1">
        <v>35247</v>
      </c>
      <c r="AI1016" s="1">
        <v>35247</v>
      </c>
      <c r="AJ1016" s="1">
        <v>42552</v>
      </c>
      <c r="AK1016" t="s">
        <v>51</v>
      </c>
      <c r="AN1016">
        <v>0</v>
      </c>
      <c r="AO1016" t="s">
        <v>54</v>
      </c>
      <c r="AP1016" t="s">
        <v>53</v>
      </c>
      <c r="AQ1016">
        <v>0</v>
      </c>
      <c r="AR1016" t="s">
        <v>53</v>
      </c>
      <c r="AS1016">
        <v>0</v>
      </c>
      <c r="AT1016">
        <v>0</v>
      </c>
      <c r="AW1016" t="s">
        <v>58</v>
      </c>
      <c r="AX1016">
        <v>20</v>
      </c>
      <c r="AY1016" s="1">
        <v>35247</v>
      </c>
      <c r="AZ1016" s="1">
        <v>35247</v>
      </c>
      <c r="BA1016" s="1">
        <v>35247</v>
      </c>
      <c r="BB1016" s="1">
        <v>42552</v>
      </c>
      <c r="BC1016" t="s">
        <v>51</v>
      </c>
      <c r="BE1016" t="s">
        <v>54</v>
      </c>
      <c r="BF1016">
        <v>2</v>
      </c>
      <c r="BG1016">
        <v>0</v>
      </c>
      <c r="BH1016" t="s">
        <v>53</v>
      </c>
      <c r="BK1016" t="s">
        <v>59</v>
      </c>
      <c r="BL1016">
        <v>14000</v>
      </c>
      <c r="BM1016" s="1">
        <v>41091</v>
      </c>
      <c r="BN1016" s="1">
        <v>41091</v>
      </c>
      <c r="BO1016" s="1">
        <v>41091</v>
      </c>
      <c r="BP1016" s="1">
        <v>42291</v>
      </c>
      <c r="BQ1016" t="s">
        <v>51</v>
      </c>
      <c r="BS1016" t="s">
        <v>60</v>
      </c>
      <c r="BT1016" t="s">
        <v>54</v>
      </c>
      <c r="BU1016" t="s">
        <v>61</v>
      </c>
      <c r="BV1016" t="s">
        <v>62</v>
      </c>
      <c r="BX1016">
        <v>24</v>
      </c>
      <c r="BY1016">
        <v>0</v>
      </c>
      <c r="BZ1016">
        <v>0</v>
      </c>
    </row>
    <row r="1017" spans="1:78" x14ac:dyDescent="0.2">
      <c r="A1017" t="s">
        <v>180</v>
      </c>
      <c r="B1017" t="s">
        <v>181</v>
      </c>
      <c r="C1017" t="s">
        <v>184</v>
      </c>
      <c r="D1017" t="s">
        <v>657</v>
      </c>
      <c r="F1017" t="str">
        <f>"254272"</f>
        <v>254272</v>
      </c>
      <c r="G1017" t="s">
        <v>49</v>
      </c>
      <c r="H1017" t="s">
        <v>492</v>
      </c>
      <c r="K1017" t="s">
        <v>51</v>
      </c>
      <c r="L1017" t="s">
        <v>52</v>
      </c>
      <c r="M1017">
        <v>136032.19</v>
      </c>
      <c r="N1017">
        <v>472654.87</v>
      </c>
      <c r="O1017" t="s">
        <v>53</v>
      </c>
      <c r="P1017" t="s">
        <v>54</v>
      </c>
      <c r="Q1017" t="s">
        <v>55</v>
      </c>
      <c r="T1017" t="s">
        <v>466</v>
      </c>
      <c r="U1017">
        <v>40</v>
      </c>
      <c r="V1017" s="1">
        <v>36342</v>
      </c>
      <c r="W1017" s="1">
        <v>36342</v>
      </c>
      <c r="X1017" s="1">
        <v>36342</v>
      </c>
      <c r="Y1017" s="1">
        <v>50952</v>
      </c>
      <c r="Z1017" t="s">
        <v>51</v>
      </c>
      <c r="AB1017" t="s">
        <v>54</v>
      </c>
      <c r="AC1017">
        <v>1</v>
      </c>
      <c r="AE1017" t="s">
        <v>116</v>
      </c>
      <c r="AF1017">
        <v>20</v>
      </c>
      <c r="AG1017" s="1">
        <v>36342</v>
      </c>
      <c r="AH1017" s="1">
        <v>36342</v>
      </c>
      <c r="AI1017" s="1">
        <v>36342</v>
      </c>
      <c r="AJ1017" s="1">
        <v>43647</v>
      </c>
      <c r="AK1017" t="s">
        <v>51</v>
      </c>
      <c r="AN1017">
        <v>0</v>
      </c>
      <c r="AO1017" t="s">
        <v>54</v>
      </c>
      <c r="AP1017" t="s">
        <v>53</v>
      </c>
      <c r="AQ1017">
        <v>0</v>
      </c>
      <c r="AR1017" t="s">
        <v>53</v>
      </c>
      <c r="AS1017">
        <v>0</v>
      </c>
      <c r="AT1017">
        <v>0</v>
      </c>
      <c r="AW1017" t="s">
        <v>58</v>
      </c>
      <c r="AX1017">
        <v>20</v>
      </c>
      <c r="AY1017" s="1">
        <v>36342</v>
      </c>
      <c r="AZ1017" s="1">
        <v>36342</v>
      </c>
      <c r="BA1017" s="1">
        <v>36342</v>
      </c>
      <c r="BB1017" s="1">
        <v>43647</v>
      </c>
      <c r="BC1017" t="s">
        <v>51</v>
      </c>
      <c r="BE1017" t="s">
        <v>54</v>
      </c>
      <c r="BF1017">
        <v>2</v>
      </c>
      <c r="BG1017">
        <v>0</v>
      </c>
      <c r="BH1017" t="s">
        <v>53</v>
      </c>
      <c r="BK1017" t="s">
        <v>65</v>
      </c>
      <c r="BL1017">
        <v>14000</v>
      </c>
      <c r="BM1017" s="1">
        <v>44956</v>
      </c>
      <c r="BN1017" s="1">
        <v>44956</v>
      </c>
      <c r="BO1017" s="1">
        <v>44956</v>
      </c>
      <c r="BP1017" s="1">
        <v>46134</v>
      </c>
      <c r="BQ1017" t="s">
        <v>51</v>
      </c>
      <c r="BS1017" t="s">
        <v>60</v>
      </c>
      <c r="BT1017" t="s">
        <v>54</v>
      </c>
      <c r="BU1017" t="s">
        <v>61</v>
      </c>
      <c r="BV1017" t="s">
        <v>62</v>
      </c>
      <c r="BX1017">
        <v>36</v>
      </c>
      <c r="BY1017">
        <v>0</v>
      </c>
      <c r="BZ1017">
        <v>0</v>
      </c>
    </row>
    <row r="1018" spans="1:78" x14ac:dyDescent="0.2">
      <c r="A1018" t="s">
        <v>180</v>
      </c>
      <c r="B1018" t="s">
        <v>181</v>
      </c>
      <c r="C1018" t="s">
        <v>184</v>
      </c>
      <c r="D1018" t="s">
        <v>657</v>
      </c>
      <c r="F1018" t="str">
        <f>"250674"</f>
        <v>250674</v>
      </c>
      <c r="G1018" t="s">
        <v>49</v>
      </c>
      <c r="H1018" t="s">
        <v>492</v>
      </c>
      <c r="K1018" t="s">
        <v>51</v>
      </c>
      <c r="L1018" t="s">
        <v>52</v>
      </c>
      <c r="M1018">
        <v>136052.1</v>
      </c>
      <c r="N1018">
        <v>472644.23</v>
      </c>
      <c r="O1018" t="s">
        <v>53</v>
      </c>
      <c r="P1018" t="s">
        <v>54</v>
      </c>
      <c r="Q1018" t="s">
        <v>55</v>
      </c>
      <c r="T1018" t="s">
        <v>466</v>
      </c>
      <c r="U1018">
        <v>40</v>
      </c>
      <c r="V1018" s="1">
        <v>36342</v>
      </c>
      <c r="W1018" s="1">
        <v>36342</v>
      </c>
      <c r="X1018" s="1">
        <v>36342</v>
      </c>
      <c r="Y1018" s="1">
        <v>50952</v>
      </c>
      <c r="Z1018" t="s">
        <v>51</v>
      </c>
      <c r="AB1018" t="s">
        <v>54</v>
      </c>
      <c r="AC1018">
        <v>1</v>
      </c>
      <c r="AE1018" t="s">
        <v>116</v>
      </c>
      <c r="AF1018">
        <v>20</v>
      </c>
      <c r="AG1018" s="1">
        <v>36342</v>
      </c>
      <c r="AH1018" s="1">
        <v>36342</v>
      </c>
      <c r="AI1018" s="1">
        <v>36342</v>
      </c>
      <c r="AJ1018" s="1">
        <v>43647</v>
      </c>
      <c r="AK1018" t="s">
        <v>51</v>
      </c>
      <c r="AN1018">
        <v>0</v>
      </c>
      <c r="AO1018" t="s">
        <v>54</v>
      </c>
      <c r="AP1018" t="s">
        <v>53</v>
      </c>
      <c r="AQ1018">
        <v>0</v>
      </c>
      <c r="AR1018" t="s">
        <v>53</v>
      </c>
      <c r="AS1018">
        <v>0</v>
      </c>
      <c r="AT1018">
        <v>0</v>
      </c>
      <c r="AW1018" t="s">
        <v>58</v>
      </c>
      <c r="AX1018">
        <v>20</v>
      </c>
      <c r="AY1018" s="1">
        <v>36342</v>
      </c>
      <c r="AZ1018" s="1">
        <v>36342</v>
      </c>
      <c r="BA1018" s="1">
        <v>36342</v>
      </c>
      <c r="BB1018" s="1">
        <v>43647</v>
      </c>
      <c r="BC1018" t="s">
        <v>51</v>
      </c>
      <c r="BE1018" t="s">
        <v>54</v>
      </c>
      <c r="BF1018">
        <v>2</v>
      </c>
      <c r="BG1018">
        <v>0</v>
      </c>
      <c r="BH1018" t="s">
        <v>53</v>
      </c>
      <c r="BK1018" t="s">
        <v>59</v>
      </c>
      <c r="BL1018">
        <v>14000</v>
      </c>
      <c r="BM1018" s="1">
        <v>44942</v>
      </c>
      <c r="BN1018" s="1">
        <v>44942</v>
      </c>
      <c r="BO1018" s="1">
        <v>44942</v>
      </c>
      <c r="BP1018" s="1">
        <v>46112</v>
      </c>
      <c r="BQ1018" t="s">
        <v>51</v>
      </c>
      <c r="BS1018" t="s">
        <v>60</v>
      </c>
      <c r="BT1018" t="s">
        <v>54</v>
      </c>
      <c r="BU1018" t="s">
        <v>61</v>
      </c>
      <c r="BV1018" t="s">
        <v>62</v>
      </c>
      <c r="BX1018">
        <v>24</v>
      </c>
      <c r="BY1018">
        <v>0</v>
      </c>
      <c r="BZ1018">
        <v>0</v>
      </c>
    </row>
    <row r="1019" spans="1:78" x14ac:dyDescent="0.2">
      <c r="A1019" t="s">
        <v>180</v>
      </c>
      <c r="B1019" t="s">
        <v>181</v>
      </c>
      <c r="C1019" t="s">
        <v>184</v>
      </c>
      <c r="D1019" t="s">
        <v>657</v>
      </c>
      <c r="F1019" t="str">
        <f>"250675"</f>
        <v>250675</v>
      </c>
      <c r="G1019" t="s">
        <v>49</v>
      </c>
      <c r="H1019" t="s">
        <v>658</v>
      </c>
      <c r="K1019" t="s">
        <v>51</v>
      </c>
      <c r="L1019" t="s">
        <v>52</v>
      </c>
      <c r="M1019">
        <v>136078.81</v>
      </c>
      <c r="N1019">
        <v>472644.23</v>
      </c>
      <c r="O1019" t="s">
        <v>53</v>
      </c>
      <c r="P1019" t="s">
        <v>54</v>
      </c>
      <c r="Q1019" t="s">
        <v>55</v>
      </c>
      <c r="T1019" t="s">
        <v>466</v>
      </c>
      <c r="U1019">
        <v>40</v>
      </c>
      <c r="V1019" s="1">
        <v>36342</v>
      </c>
      <c r="W1019" s="1">
        <v>36342</v>
      </c>
      <c r="X1019" s="1">
        <v>36342</v>
      </c>
      <c r="Y1019" s="1">
        <v>50952</v>
      </c>
      <c r="Z1019" t="s">
        <v>51</v>
      </c>
      <c r="AB1019" t="s">
        <v>54</v>
      </c>
      <c r="AC1019">
        <v>1</v>
      </c>
      <c r="AE1019" t="s">
        <v>116</v>
      </c>
      <c r="AF1019">
        <v>20</v>
      </c>
      <c r="AG1019" s="1">
        <v>36342</v>
      </c>
      <c r="AH1019" s="1">
        <v>36342</v>
      </c>
      <c r="AI1019" s="1">
        <v>36342</v>
      </c>
      <c r="AJ1019" s="1">
        <v>43647</v>
      </c>
      <c r="AK1019" t="s">
        <v>51</v>
      </c>
      <c r="AN1019">
        <v>0</v>
      </c>
      <c r="AO1019" t="s">
        <v>54</v>
      </c>
      <c r="AP1019" t="s">
        <v>53</v>
      </c>
      <c r="AQ1019">
        <v>0</v>
      </c>
      <c r="AR1019" t="s">
        <v>53</v>
      </c>
      <c r="AS1019">
        <v>0</v>
      </c>
      <c r="AT1019">
        <v>0</v>
      </c>
      <c r="AW1019" t="s">
        <v>58</v>
      </c>
      <c r="AX1019">
        <v>20</v>
      </c>
      <c r="AY1019" s="1">
        <v>43843</v>
      </c>
      <c r="AZ1019" s="1">
        <v>43843</v>
      </c>
      <c r="BA1019" s="1">
        <v>43843</v>
      </c>
      <c r="BB1019" s="1">
        <v>51148</v>
      </c>
      <c r="BC1019" t="s">
        <v>51</v>
      </c>
      <c r="BE1019" t="s">
        <v>54</v>
      </c>
      <c r="BF1019">
        <v>2</v>
      </c>
      <c r="BG1019">
        <v>0</v>
      </c>
      <c r="BH1019" t="s">
        <v>53</v>
      </c>
      <c r="BK1019" t="s">
        <v>65</v>
      </c>
      <c r="BL1019">
        <v>14000</v>
      </c>
      <c r="BM1019" s="1">
        <v>43843</v>
      </c>
      <c r="BN1019" s="1">
        <v>43843</v>
      </c>
      <c r="BO1019" s="1">
        <v>43843</v>
      </c>
      <c r="BP1019" s="1">
        <v>45012</v>
      </c>
      <c r="BQ1019" t="s">
        <v>51</v>
      </c>
      <c r="BS1019" t="s">
        <v>60</v>
      </c>
      <c r="BT1019" t="s">
        <v>54</v>
      </c>
      <c r="BU1019" t="s">
        <v>61</v>
      </c>
      <c r="BV1019" t="s">
        <v>62</v>
      </c>
      <c r="BX1019">
        <v>36</v>
      </c>
      <c r="BY1019">
        <v>0</v>
      </c>
      <c r="BZ1019">
        <v>0</v>
      </c>
    </row>
    <row r="1020" spans="1:78" x14ac:dyDescent="0.2">
      <c r="A1020" t="s">
        <v>180</v>
      </c>
      <c r="B1020" t="s">
        <v>181</v>
      </c>
      <c r="C1020" t="s">
        <v>184</v>
      </c>
      <c r="D1020" t="s">
        <v>657</v>
      </c>
      <c r="F1020" t="str">
        <f>"250676"</f>
        <v>250676</v>
      </c>
      <c r="G1020" t="s">
        <v>49</v>
      </c>
      <c r="H1020" t="s">
        <v>658</v>
      </c>
      <c r="K1020" t="s">
        <v>51</v>
      </c>
      <c r="L1020" t="s">
        <v>52</v>
      </c>
      <c r="M1020">
        <v>136094.85999999999</v>
      </c>
      <c r="N1020">
        <v>472624.46</v>
      </c>
      <c r="O1020" t="s">
        <v>53</v>
      </c>
      <c r="P1020" t="s">
        <v>54</v>
      </c>
      <c r="Q1020" t="s">
        <v>55</v>
      </c>
      <c r="T1020" t="s">
        <v>466</v>
      </c>
      <c r="U1020">
        <v>40</v>
      </c>
      <c r="V1020" s="1">
        <v>36342</v>
      </c>
      <c r="W1020" s="1">
        <v>36342</v>
      </c>
      <c r="X1020" s="1">
        <v>36342</v>
      </c>
      <c r="Y1020" s="1">
        <v>50952</v>
      </c>
      <c r="Z1020" t="s">
        <v>51</v>
      </c>
      <c r="AB1020" t="s">
        <v>54</v>
      </c>
      <c r="AC1020">
        <v>1</v>
      </c>
      <c r="AE1020" t="s">
        <v>116</v>
      </c>
      <c r="AF1020">
        <v>20</v>
      </c>
      <c r="AG1020" s="1">
        <v>36342</v>
      </c>
      <c r="AH1020" s="1">
        <v>36342</v>
      </c>
      <c r="AI1020" s="1">
        <v>36342</v>
      </c>
      <c r="AJ1020" s="1">
        <v>43647</v>
      </c>
      <c r="AK1020" t="s">
        <v>51</v>
      </c>
      <c r="AN1020">
        <v>0</v>
      </c>
      <c r="AO1020" t="s">
        <v>54</v>
      </c>
      <c r="AP1020" t="s">
        <v>53</v>
      </c>
      <c r="AQ1020">
        <v>0</v>
      </c>
      <c r="AR1020" t="s">
        <v>53</v>
      </c>
      <c r="AS1020">
        <v>0</v>
      </c>
      <c r="AT1020">
        <v>0</v>
      </c>
      <c r="AW1020" t="s">
        <v>58</v>
      </c>
      <c r="AX1020">
        <v>20</v>
      </c>
      <c r="AY1020" s="1">
        <v>36342</v>
      </c>
      <c r="AZ1020" s="1">
        <v>36342</v>
      </c>
      <c r="BA1020" s="1">
        <v>36342</v>
      </c>
      <c r="BB1020" s="1">
        <v>43647</v>
      </c>
      <c r="BC1020" t="s">
        <v>51</v>
      </c>
      <c r="BE1020" t="s">
        <v>54</v>
      </c>
      <c r="BF1020">
        <v>2</v>
      </c>
      <c r="BG1020">
        <v>0</v>
      </c>
      <c r="BH1020" t="s">
        <v>53</v>
      </c>
      <c r="BK1020" t="s">
        <v>65</v>
      </c>
      <c r="BL1020">
        <v>14000</v>
      </c>
      <c r="BM1020" s="1">
        <v>44480</v>
      </c>
      <c r="BN1020" s="1">
        <v>44480</v>
      </c>
      <c r="BO1020" s="1">
        <v>44480</v>
      </c>
      <c r="BP1020" s="1">
        <v>45643</v>
      </c>
      <c r="BQ1020" t="s">
        <v>51</v>
      </c>
      <c r="BS1020" t="s">
        <v>60</v>
      </c>
      <c r="BT1020" t="s">
        <v>54</v>
      </c>
      <c r="BU1020" t="s">
        <v>61</v>
      </c>
      <c r="BV1020" t="s">
        <v>62</v>
      </c>
      <c r="BX1020">
        <v>36</v>
      </c>
      <c r="BY1020">
        <v>0</v>
      </c>
      <c r="BZ1020">
        <v>0</v>
      </c>
    </row>
    <row r="1021" spans="1:78" x14ac:dyDescent="0.2">
      <c r="A1021" t="s">
        <v>180</v>
      </c>
      <c r="B1021" t="s">
        <v>181</v>
      </c>
      <c r="C1021" t="s">
        <v>184</v>
      </c>
      <c r="D1021" t="s">
        <v>657</v>
      </c>
      <c r="F1021" t="str">
        <f>"250677"</f>
        <v>250677</v>
      </c>
      <c r="G1021" t="s">
        <v>49</v>
      </c>
      <c r="H1021" t="s">
        <v>658</v>
      </c>
      <c r="K1021" t="s">
        <v>51</v>
      </c>
      <c r="L1021" t="s">
        <v>52</v>
      </c>
      <c r="M1021">
        <v>136120.46</v>
      </c>
      <c r="N1021">
        <v>472625.04</v>
      </c>
      <c r="O1021" t="s">
        <v>53</v>
      </c>
      <c r="P1021" t="s">
        <v>54</v>
      </c>
      <c r="Q1021" t="s">
        <v>55</v>
      </c>
      <c r="T1021" t="s">
        <v>466</v>
      </c>
      <c r="U1021">
        <v>40</v>
      </c>
      <c r="V1021" s="1">
        <v>36342</v>
      </c>
      <c r="W1021" s="1">
        <v>36342</v>
      </c>
      <c r="X1021" s="1">
        <v>36342</v>
      </c>
      <c r="Y1021" s="1">
        <v>50952</v>
      </c>
      <c r="Z1021" t="s">
        <v>51</v>
      </c>
      <c r="AB1021" t="s">
        <v>54</v>
      </c>
      <c r="AC1021">
        <v>1</v>
      </c>
      <c r="AE1021" t="s">
        <v>116</v>
      </c>
      <c r="AF1021">
        <v>20</v>
      </c>
      <c r="AG1021" s="1">
        <v>36342</v>
      </c>
      <c r="AH1021" s="1">
        <v>36342</v>
      </c>
      <c r="AI1021" s="1">
        <v>36342</v>
      </c>
      <c r="AJ1021" s="1">
        <v>43647</v>
      </c>
      <c r="AK1021" t="s">
        <v>51</v>
      </c>
      <c r="AN1021">
        <v>0</v>
      </c>
      <c r="AO1021" t="s">
        <v>54</v>
      </c>
      <c r="AP1021" t="s">
        <v>53</v>
      </c>
      <c r="AQ1021">
        <v>0</v>
      </c>
      <c r="AR1021" t="s">
        <v>53</v>
      </c>
      <c r="AS1021">
        <v>0</v>
      </c>
      <c r="AT1021">
        <v>0</v>
      </c>
      <c r="AW1021" t="s">
        <v>58</v>
      </c>
      <c r="AX1021">
        <v>20</v>
      </c>
      <c r="AY1021" s="1">
        <v>36342</v>
      </c>
      <c r="AZ1021" s="1">
        <v>36342</v>
      </c>
      <c r="BA1021" s="1">
        <v>36342</v>
      </c>
      <c r="BB1021" s="1">
        <v>43647</v>
      </c>
      <c r="BC1021" t="s">
        <v>51</v>
      </c>
      <c r="BE1021" t="s">
        <v>54</v>
      </c>
      <c r="BF1021">
        <v>2</v>
      </c>
      <c r="BG1021">
        <v>0</v>
      </c>
      <c r="BH1021" t="s">
        <v>53</v>
      </c>
      <c r="BK1021" t="s">
        <v>65</v>
      </c>
      <c r="BL1021">
        <v>14000</v>
      </c>
      <c r="BM1021" s="1">
        <v>44949</v>
      </c>
      <c r="BN1021" s="1">
        <v>44949</v>
      </c>
      <c r="BO1021" s="1">
        <v>44949</v>
      </c>
      <c r="BP1021" s="1">
        <v>46123</v>
      </c>
      <c r="BQ1021" t="s">
        <v>51</v>
      </c>
      <c r="BS1021" t="s">
        <v>60</v>
      </c>
      <c r="BT1021" t="s">
        <v>54</v>
      </c>
      <c r="BU1021" t="s">
        <v>61</v>
      </c>
      <c r="BV1021" t="s">
        <v>62</v>
      </c>
      <c r="BX1021">
        <v>36</v>
      </c>
      <c r="BY1021">
        <v>0</v>
      </c>
      <c r="BZ1021">
        <v>0</v>
      </c>
    </row>
    <row r="1022" spans="1:78" x14ac:dyDescent="0.2">
      <c r="A1022" t="s">
        <v>180</v>
      </c>
      <c r="B1022" t="s">
        <v>181</v>
      </c>
      <c r="C1022" t="s">
        <v>184</v>
      </c>
      <c r="D1022" t="s">
        <v>657</v>
      </c>
      <c r="F1022" t="str">
        <f>"250678"</f>
        <v>250678</v>
      </c>
      <c r="G1022" t="s">
        <v>49</v>
      </c>
      <c r="H1022" t="s">
        <v>658</v>
      </c>
      <c r="K1022" t="s">
        <v>51</v>
      </c>
      <c r="L1022" t="s">
        <v>52</v>
      </c>
      <c r="M1022">
        <v>136140.51999999999</v>
      </c>
      <c r="N1022">
        <v>472603.36</v>
      </c>
      <c r="O1022" t="s">
        <v>53</v>
      </c>
      <c r="P1022" t="s">
        <v>54</v>
      </c>
      <c r="Q1022" t="s">
        <v>55</v>
      </c>
      <c r="T1022" t="s">
        <v>466</v>
      </c>
      <c r="U1022">
        <v>40</v>
      </c>
      <c r="V1022" s="1">
        <v>36342</v>
      </c>
      <c r="W1022" s="1">
        <v>36342</v>
      </c>
      <c r="X1022" s="1">
        <v>36342</v>
      </c>
      <c r="Y1022" s="1">
        <v>50952</v>
      </c>
      <c r="Z1022" t="s">
        <v>51</v>
      </c>
      <c r="AB1022" t="s">
        <v>54</v>
      </c>
      <c r="AC1022">
        <v>1</v>
      </c>
      <c r="AE1022" t="s">
        <v>116</v>
      </c>
      <c r="AF1022">
        <v>20</v>
      </c>
      <c r="AG1022" s="1">
        <v>36342</v>
      </c>
      <c r="AH1022" s="1">
        <v>36342</v>
      </c>
      <c r="AI1022" s="1">
        <v>36342</v>
      </c>
      <c r="AJ1022" s="1">
        <v>43647</v>
      </c>
      <c r="AK1022" t="s">
        <v>51</v>
      </c>
      <c r="AN1022">
        <v>0</v>
      </c>
      <c r="AO1022" t="s">
        <v>54</v>
      </c>
      <c r="AP1022" t="s">
        <v>53</v>
      </c>
      <c r="AQ1022">
        <v>0</v>
      </c>
      <c r="AR1022" t="s">
        <v>53</v>
      </c>
      <c r="AS1022">
        <v>0</v>
      </c>
      <c r="AT1022">
        <v>0</v>
      </c>
      <c r="AW1022" t="s">
        <v>58</v>
      </c>
      <c r="AX1022">
        <v>20</v>
      </c>
      <c r="AY1022" s="1">
        <v>36342</v>
      </c>
      <c r="AZ1022" s="1">
        <v>36342</v>
      </c>
      <c r="BA1022" s="1">
        <v>36342</v>
      </c>
      <c r="BB1022" s="1">
        <v>43647</v>
      </c>
      <c r="BC1022" t="s">
        <v>51</v>
      </c>
      <c r="BE1022" t="s">
        <v>54</v>
      </c>
      <c r="BF1022">
        <v>2</v>
      </c>
      <c r="BG1022">
        <v>0</v>
      </c>
      <c r="BH1022" t="s">
        <v>53</v>
      </c>
      <c r="BK1022" t="s">
        <v>65</v>
      </c>
      <c r="BL1022">
        <v>14000</v>
      </c>
      <c r="BM1022" s="1">
        <v>43759</v>
      </c>
      <c r="BN1022" s="1">
        <v>43759</v>
      </c>
      <c r="BO1022" s="1">
        <v>43759</v>
      </c>
      <c r="BP1022" s="1">
        <v>44919</v>
      </c>
      <c r="BQ1022" t="s">
        <v>51</v>
      </c>
      <c r="BS1022" t="s">
        <v>60</v>
      </c>
      <c r="BT1022" t="s">
        <v>54</v>
      </c>
      <c r="BU1022" t="s">
        <v>61</v>
      </c>
      <c r="BV1022" t="s">
        <v>62</v>
      </c>
      <c r="BX1022">
        <v>36</v>
      </c>
      <c r="BY1022">
        <v>0</v>
      </c>
      <c r="BZ1022">
        <v>0</v>
      </c>
    </row>
    <row r="1023" spans="1:78" x14ac:dyDescent="0.2">
      <c r="A1023" t="s">
        <v>180</v>
      </c>
      <c r="B1023" t="s">
        <v>181</v>
      </c>
      <c r="C1023" t="s">
        <v>184</v>
      </c>
      <c r="D1023" t="s">
        <v>657</v>
      </c>
      <c r="F1023" t="str">
        <f>"250679"</f>
        <v>250679</v>
      </c>
      <c r="G1023" t="s">
        <v>49</v>
      </c>
      <c r="H1023" t="s">
        <v>658</v>
      </c>
      <c r="K1023" t="s">
        <v>51</v>
      </c>
      <c r="L1023" t="s">
        <v>52</v>
      </c>
      <c r="M1023">
        <v>136171.01</v>
      </c>
      <c r="N1023">
        <v>472601.16</v>
      </c>
      <c r="O1023" t="s">
        <v>53</v>
      </c>
      <c r="P1023" t="s">
        <v>54</v>
      </c>
      <c r="Q1023" t="s">
        <v>55</v>
      </c>
      <c r="T1023" t="s">
        <v>466</v>
      </c>
      <c r="U1023">
        <v>40</v>
      </c>
      <c r="V1023" s="1">
        <v>36342</v>
      </c>
      <c r="W1023" s="1">
        <v>36342</v>
      </c>
      <c r="X1023" s="1">
        <v>36342</v>
      </c>
      <c r="Y1023" s="1">
        <v>50952</v>
      </c>
      <c r="Z1023" t="s">
        <v>51</v>
      </c>
      <c r="AB1023" t="s">
        <v>54</v>
      </c>
      <c r="AC1023">
        <v>1</v>
      </c>
      <c r="AE1023" t="s">
        <v>116</v>
      </c>
      <c r="AF1023">
        <v>20</v>
      </c>
      <c r="AG1023" s="1">
        <v>36342</v>
      </c>
      <c r="AH1023" s="1">
        <v>36342</v>
      </c>
      <c r="AI1023" s="1">
        <v>36342</v>
      </c>
      <c r="AJ1023" s="1">
        <v>43647</v>
      </c>
      <c r="AK1023" t="s">
        <v>51</v>
      </c>
      <c r="AN1023">
        <v>0</v>
      </c>
      <c r="AO1023" t="s">
        <v>54</v>
      </c>
      <c r="AP1023" t="s">
        <v>53</v>
      </c>
      <c r="AQ1023">
        <v>0</v>
      </c>
      <c r="AR1023" t="s">
        <v>53</v>
      </c>
      <c r="AS1023">
        <v>0</v>
      </c>
      <c r="AT1023">
        <v>0</v>
      </c>
      <c r="AW1023" t="s">
        <v>58</v>
      </c>
      <c r="AX1023">
        <v>20</v>
      </c>
      <c r="AY1023" s="1">
        <v>36342</v>
      </c>
      <c r="AZ1023" s="1">
        <v>36342</v>
      </c>
      <c r="BA1023" s="1">
        <v>36342</v>
      </c>
      <c r="BB1023" s="1">
        <v>43647</v>
      </c>
      <c r="BC1023" t="s">
        <v>51</v>
      </c>
      <c r="BE1023" t="s">
        <v>54</v>
      </c>
      <c r="BF1023">
        <v>2</v>
      </c>
      <c r="BG1023">
        <v>0</v>
      </c>
      <c r="BH1023" t="s">
        <v>53</v>
      </c>
      <c r="BK1023" t="s">
        <v>65</v>
      </c>
      <c r="BL1023">
        <v>14000</v>
      </c>
      <c r="BM1023" s="1">
        <v>41091</v>
      </c>
      <c r="BN1023" s="1">
        <v>41091</v>
      </c>
      <c r="BO1023" s="1">
        <v>41091</v>
      </c>
      <c r="BP1023" s="1">
        <v>42291</v>
      </c>
      <c r="BQ1023" t="s">
        <v>51</v>
      </c>
      <c r="BS1023" t="s">
        <v>60</v>
      </c>
      <c r="BT1023" t="s">
        <v>54</v>
      </c>
      <c r="BU1023" t="s">
        <v>61</v>
      </c>
      <c r="BV1023" t="s">
        <v>62</v>
      </c>
      <c r="BX1023">
        <v>36</v>
      </c>
      <c r="BY1023">
        <v>0</v>
      </c>
      <c r="BZ1023">
        <v>0</v>
      </c>
    </row>
    <row r="1024" spans="1:78" x14ac:dyDescent="0.2">
      <c r="A1024" t="s">
        <v>180</v>
      </c>
      <c r="B1024" t="s">
        <v>181</v>
      </c>
      <c r="C1024" t="s">
        <v>184</v>
      </c>
      <c r="D1024" t="s">
        <v>657</v>
      </c>
      <c r="F1024" t="str">
        <f>"250680"</f>
        <v>250680</v>
      </c>
      <c r="G1024" t="s">
        <v>49</v>
      </c>
      <c r="K1024" t="s">
        <v>51</v>
      </c>
      <c r="L1024" t="s">
        <v>52</v>
      </c>
      <c r="M1024">
        <v>136181.07</v>
      </c>
      <c r="N1024">
        <v>472585.96</v>
      </c>
      <c r="O1024" t="s">
        <v>53</v>
      </c>
      <c r="P1024" t="s">
        <v>54</v>
      </c>
      <c r="Q1024" t="s">
        <v>55</v>
      </c>
      <c r="T1024" t="s">
        <v>466</v>
      </c>
      <c r="U1024">
        <v>40</v>
      </c>
      <c r="V1024" s="1">
        <v>36342</v>
      </c>
      <c r="W1024" s="1">
        <v>36342</v>
      </c>
      <c r="X1024" s="1">
        <v>36342</v>
      </c>
      <c r="Y1024" s="1">
        <v>50952</v>
      </c>
      <c r="Z1024" t="s">
        <v>51</v>
      </c>
      <c r="AB1024" t="s">
        <v>54</v>
      </c>
      <c r="AC1024">
        <v>1</v>
      </c>
      <c r="AE1024" t="s">
        <v>116</v>
      </c>
      <c r="AF1024">
        <v>20</v>
      </c>
      <c r="AG1024" s="1">
        <v>36342</v>
      </c>
      <c r="AH1024" s="1">
        <v>36342</v>
      </c>
      <c r="AI1024" s="1">
        <v>36342</v>
      </c>
      <c r="AJ1024" s="1">
        <v>43647</v>
      </c>
      <c r="AK1024" t="s">
        <v>51</v>
      </c>
      <c r="AN1024">
        <v>0</v>
      </c>
      <c r="AO1024" t="s">
        <v>54</v>
      </c>
      <c r="AP1024" t="s">
        <v>53</v>
      </c>
      <c r="AQ1024">
        <v>0</v>
      </c>
      <c r="AR1024" t="s">
        <v>53</v>
      </c>
      <c r="AS1024">
        <v>0</v>
      </c>
      <c r="AT1024">
        <v>0</v>
      </c>
      <c r="AW1024" t="s">
        <v>58</v>
      </c>
      <c r="AX1024">
        <v>20</v>
      </c>
      <c r="AY1024" s="1">
        <v>36342</v>
      </c>
      <c r="AZ1024" s="1">
        <v>36342</v>
      </c>
      <c r="BA1024" s="1">
        <v>36342</v>
      </c>
      <c r="BB1024" s="1">
        <v>43647</v>
      </c>
      <c r="BC1024" t="s">
        <v>51</v>
      </c>
      <c r="BE1024" t="s">
        <v>54</v>
      </c>
      <c r="BF1024">
        <v>2</v>
      </c>
      <c r="BG1024">
        <v>0</v>
      </c>
      <c r="BH1024" t="s">
        <v>53</v>
      </c>
      <c r="BK1024" t="s">
        <v>65</v>
      </c>
      <c r="BL1024">
        <v>14000</v>
      </c>
      <c r="BM1024" s="1">
        <v>43913</v>
      </c>
      <c r="BN1024" s="1">
        <v>43913</v>
      </c>
      <c r="BO1024" s="1">
        <v>43913</v>
      </c>
      <c r="BP1024" s="1">
        <v>45131</v>
      </c>
      <c r="BQ1024" t="s">
        <v>51</v>
      </c>
      <c r="BS1024" t="s">
        <v>60</v>
      </c>
      <c r="BT1024" t="s">
        <v>54</v>
      </c>
      <c r="BU1024" t="s">
        <v>61</v>
      </c>
      <c r="BV1024" t="s">
        <v>62</v>
      </c>
      <c r="BX1024">
        <v>36</v>
      </c>
      <c r="BY1024">
        <v>0</v>
      </c>
      <c r="BZ1024">
        <v>0</v>
      </c>
    </row>
    <row r="1025" spans="1:78" x14ac:dyDescent="0.2">
      <c r="A1025" t="s">
        <v>180</v>
      </c>
      <c r="B1025" t="s">
        <v>181</v>
      </c>
      <c r="C1025" t="s">
        <v>184</v>
      </c>
      <c r="D1025" t="s">
        <v>657</v>
      </c>
      <c r="F1025" t="str">
        <f>"250681"</f>
        <v>250681</v>
      </c>
      <c r="G1025" t="s">
        <v>49</v>
      </c>
      <c r="H1025" t="s">
        <v>656</v>
      </c>
      <c r="K1025" t="s">
        <v>51</v>
      </c>
      <c r="L1025" t="s">
        <v>52</v>
      </c>
      <c r="M1025">
        <v>136208.21</v>
      </c>
      <c r="N1025">
        <v>472583.53</v>
      </c>
      <c r="O1025" t="s">
        <v>53</v>
      </c>
      <c r="P1025" t="s">
        <v>54</v>
      </c>
      <c r="Q1025" t="s">
        <v>55</v>
      </c>
      <c r="T1025" t="s">
        <v>466</v>
      </c>
      <c r="U1025">
        <v>40</v>
      </c>
      <c r="V1025" s="1">
        <v>36342</v>
      </c>
      <c r="W1025" s="1">
        <v>36342</v>
      </c>
      <c r="X1025" s="1">
        <v>36342</v>
      </c>
      <c r="Y1025" s="1">
        <v>50952</v>
      </c>
      <c r="Z1025" t="s">
        <v>51</v>
      </c>
      <c r="AB1025" t="s">
        <v>54</v>
      </c>
      <c r="AC1025">
        <v>1</v>
      </c>
      <c r="AE1025" t="s">
        <v>116</v>
      </c>
      <c r="AF1025">
        <v>20</v>
      </c>
      <c r="AG1025" s="1">
        <v>36342</v>
      </c>
      <c r="AH1025" s="1">
        <v>36342</v>
      </c>
      <c r="AI1025" s="1">
        <v>36342</v>
      </c>
      <c r="AJ1025" s="1">
        <v>43647</v>
      </c>
      <c r="AK1025" t="s">
        <v>51</v>
      </c>
      <c r="AN1025">
        <v>0</v>
      </c>
      <c r="AO1025" t="s">
        <v>54</v>
      </c>
      <c r="AP1025" t="s">
        <v>53</v>
      </c>
      <c r="AQ1025">
        <v>0</v>
      </c>
      <c r="AR1025" t="s">
        <v>53</v>
      </c>
      <c r="AS1025">
        <v>0</v>
      </c>
      <c r="AT1025">
        <v>0</v>
      </c>
      <c r="AW1025" t="s">
        <v>58</v>
      </c>
      <c r="AX1025">
        <v>20</v>
      </c>
      <c r="AY1025" s="1">
        <v>36342</v>
      </c>
      <c r="AZ1025" s="1">
        <v>36342</v>
      </c>
      <c r="BA1025" s="1">
        <v>36342</v>
      </c>
      <c r="BB1025" s="1">
        <v>43647</v>
      </c>
      <c r="BC1025" t="s">
        <v>51</v>
      </c>
      <c r="BE1025" t="s">
        <v>54</v>
      </c>
      <c r="BF1025">
        <v>2</v>
      </c>
      <c r="BG1025">
        <v>0</v>
      </c>
      <c r="BH1025" t="s">
        <v>53</v>
      </c>
      <c r="BK1025" t="s">
        <v>65</v>
      </c>
      <c r="BL1025">
        <v>14000</v>
      </c>
      <c r="BM1025" s="1">
        <v>44249</v>
      </c>
      <c r="BN1025" s="1">
        <v>44249</v>
      </c>
      <c r="BO1025" s="1">
        <v>44249</v>
      </c>
      <c r="BP1025" s="1">
        <v>45446</v>
      </c>
      <c r="BQ1025" t="s">
        <v>51</v>
      </c>
      <c r="BS1025" t="s">
        <v>60</v>
      </c>
      <c r="BT1025" t="s">
        <v>54</v>
      </c>
      <c r="BU1025" t="s">
        <v>61</v>
      </c>
      <c r="BV1025" t="s">
        <v>62</v>
      </c>
      <c r="BX1025">
        <v>36</v>
      </c>
      <c r="BY1025">
        <v>0</v>
      </c>
      <c r="BZ1025">
        <v>0</v>
      </c>
    </row>
    <row r="1026" spans="1:78" x14ac:dyDescent="0.2">
      <c r="A1026" t="s">
        <v>180</v>
      </c>
      <c r="B1026" t="s">
        <v>181</v>
      </c>
      <c r="C1026" t="s">
        <v>184</v>
      </c>
      <c r="D1026" t="s">
        <v>657</v>
      </c>
      <c r="F1026" t="str">
        <f>"250682"</f>
        <v>250682</v>
      </c>
      <c r="G1026" t="s">
        <v>49</v>
      </c>
      <c r="H1026" t="s">
        <v>304</v>
      </c>
      <c r="K1026" t="s">
        <v>51</v>
      </c>
      <c r="L1026" t="s">
        <v>52</v>
      </c>
      <c r="M1026">
        <v>136234.07999999999</v>
      </c>
      <c r="N1026">
        <v>472571.15</v>
      </c>
      <c r="O1026" t="s">
        <v>53</v>
      </c>
      <c r="P1026" t="s">
        <v>54</v>
      </c>
      <c r="Q1026" t="s">
        <v>55</v>
      </c>
      <c r="T1026" t="s">
        <v>466</v>
      </c>
      <c r="U1026">
        <v>40</v>
      </c>
      <c r="V1026" s="1">
        <v>36342</v>
      </c>
      <c r="W1026" s="1">
        <v>36342</v>
      </c>
      <c r="X1026" s="1">
        <v>36342</v>
      </c>
      <c r="Y1026" s="1">
        <v>50952</v>
      </c>
      <c r="Z1026" t="s">
        <v>51</v>
      </c>
      <c r="AB1026" t="s">
        <v>54</v>
      </c>
      <c r="AC1026">
        <v>1</v>
      </c>
      <c r="AE1026" t="s">
        <v>116</v>
      </c>
      <c r="AF1026">
        <v>20</v>
      </c>
      <c r="AG1026" s="1">
        <v>36342</v>
      </c>
      <c r="AH1026" s="1">
        <v>36342</v>
      </c>
      <c r="AI1026" s="1">
        <v>36342</v>
      </c>
      <c r="AJ1026" s="1">
        <v>43647</v>
      </c>
      <c r="AK1026" t="s">
        <v>51</v>
      </c>
      <c r="AN1026">
        <v>0</v>
      </c>
      <c r="AO1026" t="s">
        <v>54</v>
      </c>
      <c r="AP1026" t="s">
        <v>53</v>
      </c>
      <c r="AQ1026">
        <v>0</v>
      </c>
      <c r="AR1026" t="s">
        <v>53</v>
      </c>
      <c r="AS1026">
        <v>0</v>
      </c>
      <c r="AT1026">
        <v>0</v>
      </c>
      <c r="AW1026" t="s">
        <v>58</v>
      </c>
      <c r="AX1026">
        <v>20</v>
      </c>
      <c r="AY1026" s="1">
        <v>36342</v>
      </c>
      <c r="AZ1026" s="1">
        <v>36342</v>
      </c>
      <c r="BA1026" s="1">
        <v>36342</v>
      </c>
      <c r="BB1026" s="1">
        <v>43647</v>
      </c>
      <c r="BC1026" t="s">
        <v>51</v>
      </c>
      <c r="BE1026" t="s">
        <v>54</v>
      </c>
      <c r="BF1026">
        <v>2</v>
      </c>
      <c r="BG1026">
        <v>0</v>
      </c>
      <c r="BH1026" t="s">
        <v>53</v>
      </c>
      <c r="BK1026" t="s">
        <v>65</v>
      </c>
      <c r="BL1026">
        <v>14000</v>
      </c>
      <c r="BM1026" s="1">
        <v>44504</v>
      </c>
      <c r="BN1026" s="1">
        <v>44504</v>
      </c>
      <c r="BO1026" s="1">
        <v>44504</v>
      </c>
      <c r="BP1026" s="1">
        <v>45664</v>
      </c>
      <c r="BQ1026" t="s">
        <v>51</v>
      </c>
      <c r="BS1026" t="s">
        <v>60</v>
      </c>
      <c r="BT1026" t="s">
        <v>54</v>
      </c>
      <c r="BU1026" t="s">
        <v>61</v>
      </c>
      <c r="BV1026" t="s">
        <v>62</v>
      </c>
      <c r="BX1026">
        <v>36</v>
      </c>
      <c r="BY1026">
        <v>0</v>
      </c>
      <c r="BZ1026">
        <v>0</v>
      </c>
    </row>
    <row r="1027" spans="1:78" x14ac:dyDescent="0.2">
      <c r="A1027" t="s">
        <v>180</v>
      </c>
      <c r="B1027" t="s">
        <v>181</v>
      </c>
      <c r="C1027" t="s">
        <v>184</v>
      </c>
      <c r="D1027" t="s">
        <v>657</v>
      </c>
      <c r="F1027" t="str">
        <f>"250683"</f>
        <v>250683</v>
      </c>
      <c r="G1027" t="s">
        <v>49</v>
      </c>
      <c r="H1027" t="s">
        <v>598</v>
      </c>
      <c r="K1027" t="s">
        <v>51</v>
      </c>
      <c r="L1027" t="s">
        <v>52</v>
      </c>
      <c r="M1027">
        <v>136254.67000000001</v>
      </c>
      <c r="N1027">
        <v>472549.63</v>
      </c>
      <c r="O1027" t="s">
        <v>53</v>
      </c>
      <c r="P1027" t="s">
        <v>54</v>
      </c>
      <c r="Q1027" t="s">
        <v>55</v>
      </c>
      <c r="T1027" t="s">
        <v>466</v>
      </c>
      <c r="U1027">
        <v>40</v>
      </c>
      <c r="V1027" s="1">
        <v>36342</v>
      </c>
      <c r="W1027" s="1">
        <v>36342</v>
      </c>
      <c r="X1027" s="1">
        <v>36342</v>
      </c>
      <c r="Y1027" s="1">
        <v>50952</v>
      </c>
      <c r="Z1027" t="s">
        <v>51</v>
      </c>
      <c r="AB1027" t="s">
        <v>54</v>
      </c>
      <c r="AC1027">
        <v>1</v>
      </c>
      <c r="AE1027" t="s">
        <v>116</v>
      </c>
      <c r="AF1027">
        <v>20</v>
      </c>
      <c r="AG1027" s="1">
        <v>36342</v>
      </c>
      <c r="AH1027" s="1">
        <v>36342</v>
      </c>
      <c r="AI1027" s="1">
        <v>36342</v>
      </c>
      <c r="AJ1027" s="1">
        <v>43647</v>
      </c>
      <c r="AK1027" t="s">
        <v>51</v>
      </c>
      <c r="AN1027">
        <v>0</v>
      </c>
      <c r="AO1027" t="s">
        <v>54</v>
      </c>
      <c r="AP1027" t="s">
        <v>53</v>
      </c>
      <c r="AQ1027">
        <v>0</v>
      </c>
      <c r="AR1027" t="s">
        <v>53</v>
      </c>
      <c r="AS1027">
        <v>0</v>
      </c>
      <c r="AT1027">
        <v>0</v>
      </c>
      <c r="AW1027" t="s">
        <v>58</v>
      </c>
      <c r="AX1027">
        <v>20</v>
      </c>
      <c r="AY1027" s="1">
        <v>36342</v>
      </c>
      <c r="AZ1027" s="1">
        <v>36342</v>
      </c>
      <c r="BA1027" s="1">
        <v>36342</v>
      </c>
      <c r="BB1027" s="1">
        <v>43647</v>
      </c>
      <c r="BC1027" t="s">
        <v>51</v>
      </c>
      <c r="BE1027" t="s">
        <v>54</v>
      </c>
      <c r="BF1027">
        <v>2</v>
      </c>
      <c r="BG1027">
        <v>0</v>
      </c>
      <c r="BH1027" t="s">
        <v>53</v>
      </c>
      <c r="BK1027" t="s">
        <v>65</v>
      </c>
      <c r="BL1027">
        <v>14000</v>
      </c>
      <c r="BM1027" s="1">
        <v>44865</v>
      </c>
      <c r="BN1027" s="1">
        <v>44865</v>
      </c>
      <c r="BO1027" s="1">
        <v>44865</v>
      </c>
      <c r="BP1027" s="1">
        <v>46025</v>
      </c>
      <c r="BQ1027" t="s">
        <v>51</v>
      </c>
      <c r="BS1027" t="s">
        <v>60</v>
      </c>
      <c r="BT1027" t="s">
        <v>54</v>
      </c>
      <c r="BU1027" t="s">
        <v>61</v>
      </c>
      <c r="BV1027" t="s">
        <v>62</v>
      </c>
      <c r="BX1027">
        <v>36</v>
      </c>
      <c r="BY1027">
        <v>0</v>
      </c>
      <c r="BZ1027">
        <v>0</v>
      </c>
    </row>
    <row r="1028" spans="1:78" x14ac:dyDescent="0.2">
      <c r="A1028" t="s">
        <v>180</v>
      </c>
      <c r="B1028" t="s">
        <v>181</v>
      </c>
      <c r="C1028" t="s">
        <v>184</v>
      </c>
      <c r="D1028" t="s">
        <v>657</v>
      </c>
      <c r="F1028" t="str">
        <f>"250684"</f>
        <v>250684</v>
      </c>
      <c r="G1028" t="s">
        <v>49</v>
      </c>
      <c r="H1028" t="s">
        <v>464</v>
      </c>
      <c r="K1028" t="s">
        <v>51</v>
      </c>
      <c r="L1028" t="s">
        <v>52</v>
      </c>
      <c r="M1028">
        <v>136278.18</v>
      </c>
      <c r="N1028">
        <v>472549.75</v>
      </c>
      <c r="O1028" t="s">
        <v>53</v>
      </c>
      <c r="P1028" t="s">
        <v>54</v>
      </c>
      <c r="Q1028" t="s">
        <v>55</v>
      </c>
      <c r="T1028" t="s">
        <v>466</v>
      </c>
      <c r="U1028">
        <v>40</v>
      </c>
      <c r="V1028" s="1">
        <v>36342</v>
      </c>
      <c r="W1028" s="1">
        <v>36342</v>
      </c>
      <c r="X1028" s="1">
        <v>36342</v>
      </c>
      <c r="Y1028" s="1">
        <v>50952</v>
      </c>
      <c r="Z1028" t="s">
        <v>51</v>
      </c>
      <c r="AB1028" t="s">
        <v>54</v>
      </c>
      <c r="AC1028">
        <v>1</v>
      </c>
      <c r="AE1028" t="s">
        <v>64</v>
      </c>
      <c r="AF1028">
        <v>20</v>
      </c>
      <c r="AG1028" s="1">
        <v>36342</v>
      </c>
      <c r="AH1028" s="1">
        <v>36342</v>
      </c>
      <c r="AI1028" s="1">
        <v>36342</v>
      </c>
      <c r="AJ1028" s="1">
        <v>43647</v>
      </c>
      <c r="AK1028" t="s">
        <v>51</v>
      </c>
      <c r="AN1028">
        <v>0</v>
      </c>
      <c r="AO1028" t="s">
        <v>54</v>
      </c>
      <c r="AP1028" t="s">
        <v>53</v>
      </c>
      <c r="AQ1028">
        <v>0</v>
      </c>
      <c r="AR1028" t="s">
        <v>53</v>
      </c>
      <c r="AS1028">
        <v>0</v>
      </c>
      <c r="AT1028">
        <v>0</v>
      </c>
      <c r="AW1028" t="s">
        <v>58</v>
      </c>
      <c r="AX1028">
        <v>20</v>
      </c>
      <c r="AY1028" s="1">
        <v>36342</v>
      </c>
      <c r="AZ1028" s="1">
        <v>36342</v>
      </c>
      <c r="BA1028" s="1">
        <v>36342</v>
      </c>
      <c r="BB1028" s="1">
        <v>43647</v>
      </c>
      <c r="BC1028" t="s">
        <v>51</v>
      </c>
      <c r="BE1028" t="s">
        <v>54</v>
      </c>
      <c r="BF1028">
        <v>2</v>
      </c>
      <c r="BG1028">
        <v>0</v>
      </c>
      <c r="BH1028" t="s">
        <v>53</v>
      </c>
      <c r="BK1028" t="s">
        <v>65</v>
      </c>
      <c r="BL1028">
        <v>14000</v>
      </c>
      <c r="BM1028" s="1">
        <v>44249</v>
      </c>
      <c r="BN1028" s="1">
        <v>44249</v>
      </c>
      <c r="BO1028" s="1">
        <v>44249</v>
      </c>
      <c r="BP1028" s="1">
        <v>45446</v>
      </c>
      <c r="BQ1028" t="s">
        <v>51</v>
      </c>
      <c r="BS1028" t="s">
        <v>60</v>
      </c>
      <c r="BT1028" t="s">
        <v>54</v>
      </c>
      <c r="BU1028" t="s">
        <v>61</v>
      </c>
      <c r="BV1028" t="s">
        <v>62</v>
      </c>
      <c r="BX1028">
        <v>36</v>
      </c>
      <c r="BY1028">
        <v>0</v>
      </c>
      <c r="BZ1028">
        <v>0</v>
      </c>
    </row>
    <row r="1029" spans="1:78" x14ac:dyDescent="0.2">
      <c r="A1029" t="s">
        <v>180</v>
      </c>
      <c r="B1029" t="s">
        <v>181</v>
      </c>
      <c r="C1029" t="s">
        <v>184</v>
      </c>
      <c r="D1029" t="s">
        <v>657</v>
      </c>
      <c r="F1029" t="str">
        <f>"250685"</f>
        <v>250685</v>
      </c>
      <c r="G1029" t="s">
        <v>49</v>
      </c>
      <c r="H1029" t="s">
        <v>659</v>
      </c>
      <c r="K1029" t="s">
        <v>51</v>
      </c>
      <c r="L1029" t="s">
        <v>52</v>
      </c>
      <c r="M1029">
        <v>136300.26999999999</v>
      </c>
      <c r="N1029">
        <v>472529.93</v>
      </c>
      <c r="O1029" t="s">
        <v>53</v>
      </c>
      <c r="P1029" t="s">
        <v>54</v>
      </c>
      <c r="Q1029" t="s">
        <v>55</v>
      </c>
      <c r="T1029" t="s">
        <v>466</v>
      </c>
      <c r="U1029">
        <v>40</v>
      </c>
      <c r="V1029" s="1">
        <v>36342</v>
      </c>
      <c r="W1029" s="1">
        <v>36342</v>
      </c>
      <c r="X1029" s="1">
        <v>36342</v>
      </c>
      <c r="Y1029" s="1">
        <v>50952</v>
      </c>
      <c r="Z1029" t="s">
        <v>51</v>
      </c>
      <c r="AB1029" t="s">
        <v>54</v>
      </c>
      <c r="AC1029">
        <v>1</v>
      </c>
      <c r="AE1029" t="s">
        <v>116</v>
      </c>
      <c r="AF1029">
        <v>20</v>
      </c>
      <c r="AG1029" s="1">
        <v>36342</v>
      </c>
      <c r="AH1029" s="1">
        <v>36342</v>
      </c>
      <c r="AI1029" s="1">
        <v>36342</v>
      </c>
      <c r="AJ1029" s="1">
        <v>43647</v>
      </c>
      <c r="AK1029" t="s">
        <v>51</v>
      </c>
      <c r="AN1029">
        <v>0</v>
      </c>
      <c r="AO1029" t="s">
        <v>54</v>
      </c>
      <c r="AP1029" t="s">
        <v>53</v>
      </c>
      <c r="AQ1029">
        <v>0</v>
      </c>
      <c r="AR1029" t="s">
        <v>53</v>
      </c>
      <c r="AS1029">
        <v>0</v>
      </c>
      <c r="AT1029">
        <v>0</v>
      </c>
      <c r="AW1029" t="s">
        <v>58</v>
      </c>
      <c r="AX1029">
        <v>20</v>
      </c>
      <c r="AY1029" s="1">
        <v>36342</v>
      </c>
      <c r="AZ1029" s="1">
        <v>36342</v>
      </c>
      <c r="BA1029" s="1">
        <v>36342</v>
      </c>
      <c r="BB1029" s="1">
        <v>43647</v>
      </c>
      <c r="BC1029" t="s">
        <v>51</v>
      </c>
      <c r="BE1029" t="s">
        <v>54</v>
      </c>
      <c r="BF1029">
        <v>2</v>
      </c>
      <c r="BG1029">
        <v>0</v>
      </c>
      <c r="BH1029" t="s">
        <v>53</v>
      </c>
      <c r="BK1029" t="s">
        <v>65</v>
      </c>
      <c r="BL1029">
        <v>14000</v>
      </c>
      <c r="BM1029" s="1">
        <v>44221</v>
      </c>
      <c r="BN1029" s="1">
        <v>44221</v>
      </c>
      <c r="BO1029" s="1">
        <v>44221</v>
      </c>
      <c r="BP1029" s="1">
        <v>45396</v>
      </c>
      <c r="BQ1029" t="s">
        <v>51</v>
      </c>
      <c r="BS1029" t="s">
        <v>60</v>
      </c>
      <c r="BT1029" t="s">
        <v>54</v>
      </c>
      <c r="BU1029" t="s">
        <v>61</v>
      </c>
      <c r="BV1029" t="s">
        <v>62</v>
      </c>
      <c r="BX1029">
        <v>36</v>
      </c>
      <c r="BY1029">
        <v>0</v>
      </c>
      <c r="BZ1029">
        <v>0</v>
      </c>
    </row>
    <row r="1030" spans="1:78" x14ac:dyDescent="0.2">
      <c r="A1030" t="s">
        <v>180</v>
      </c>
      <c r="B1030" t="s">
        <v>181</v>
      </c>
      <c r="C1030" t="s">
        <v>184</v>
      </c>
      <c r="D1030" t="s">
        <v>657</v>
      </c>
      <c r="F1030" t="str">
        <f>"250686"</f>
        <v>250686</v>
      </c>
      <c r="G1030" t="s">
        <v>49</v>
      </c>
      <c r="H1030" t="s">
        <v>659</v>
      </c>
      <c r="K1030" t="s">
        <v>51</v>
      </c>
      <c r="L1030" t="s">
        <v>52</v>
      </c>
      <c r="M1030">
        <v>136327.54</v>
      </c>
      <c r="N1030">
        <v>472527.12</v>
      </c>
      <c r="O1030" t="s">
        <v>53</v>
      </c>
      <c r="P1030" t="s">
        <v>54</v>
      </c>
      <c r="Q1030" t="s">
        <v>55</v>
      </c>
      <c r="T1030" t="s">
        <v>466</v>
      </c>
      <c r="U1030">
        <v>40</v>
      </c>
      <c r="V1030" s="1">
        <v>36342</v>
      </c>
      <c r="W1030" s="1">
        <v>36342</v>
      </c>
      <c r="X1030" s="1">
        <v>36342</v>
      </c>
      <c r="Y1030" s="1">
        <v>50952</v>
      </c>
      <c r="Z1030" t="s">
        <v>51</v>
      </c>
      <c r="AB1030" t="s">
        <v>54</v>
      </c>
      <c r="AC1030">
        <v>1</v>
      </c>
      <c r="AE1030" t="s">
        <v>116</v>
      </c>
      <c r="AF1030">
        <v>20</v>
      </c>
      <c r="AG1030" s="1">
        <v>36342</v>
      </c>
      <c r="AH1030" s="1">
        <v>36342</v>
      </c>
      <c r="AI1030" s="1">
        <v>36342</v>
      </c>
      <c r="AJ1030" s="1">
        <v>43647</v>
      </c>
      <c r="AK1030" t="s">
        <v>51</v>
      </c>
      <c r="AN1030">
        <v>0</v>
      </c>
      <c r="AO1030" t="s">
        <v>54</v>
      </c>
      <c r="AP1030" t="s">
        <v>53</v>
      </c>
      <c r="AQ1030">
        <v>0</v>
      </c>
      <c r="AR1030" t="s">
        <v>53</v>
      </c>
      <c r="AS1030">
        <v>0</v>
      </c>
      <c r="AT1030">
        <v>0</v>
      </c>
      <c r="AW1030" t="s">
        <v>58</v>
      </c>
      <c r="AX1030">
        <v>20</v>
      </c>
      <c r="AY1030" s="1">
        <v>36342</v>
      </c>
      <c r="AZ1030" s="1">
        <v>36342</v>
      </c>
      <c r="BA1030" s="1">
        <v>36342</v>
      </c>
      <c r="BB1030" s="1">
        <v>43647</v>
      </c>
      <c r="BC1030" t="s">
        <v>51</v>
      </c>
      <c r="BE1030" t="s">
        <v>54</v>
      </c>
      <c r="BF1030">
        <v>2</v>
      </c>
      <c r="BG1030">
        <v>0</v>
      </c>
      <c r="BH1030" t="s">
        <v>53</v>
      </c>
      <c r="BK1030" t="s">
        <v>65</v>
      </c>
      <c r="BL1030">
        <v>14000</v>
      </c>
      <c r="BM1030" s="1">
        <v>44228</v>
      </c>
      <c r="BN1030" s="1">
        <v>44228</v>
      </c>
      <c r="BO1030" s="1">
        <v>44228</v>
      </c>
      <c r="BP1030" s="1">
        <v>45408</v>
      </c>
      <c r="BQ1030" t="s">
        <v>51</v>
      </c>
      <c r="BS1030" t="s">
        <v>60</v>
      </c>
      <c r="BT1030" t="s">
        <v>54</v>
      </c>
      <c r="BU1030" t="s">
        <v>61</v>
      </c>
      <c r="BV1030" t="s">
        <v>62</v>
      </c>
      <c r="BX1030">
        <v>36</v>
      </c>
      <c r="BY1030">
        <v>0</v>
      </c>
      <c r="BZ1030">
        <v>0</v>
      </c>
    </row>
    <row r="1031" spans="1:78" x14ac:dyDescent="0.2">
      <c r="A1031" t="s">
        <v>180</v>
      </c>
      <c r="B1031" t="s">
        <v>181</v>
      </c>
      <c r="C1031" t="s">
        <v>184</v>
      </c>
      <c r="D1031" t="s">
        <v>657</v>
      </c>
      <c r="F1031" t="str">
        <f>"250687"</f>
        <v>250687</v>
      </c>
      <c r="G1031" t="s">
        <v>49</v>
      </c>
      <c r="H1031" t="s">
        <v>467</v>
      </c>
      <c r="K1031" t="s">
        <v>51</v>
      </c>
      <c r="L1031" t="s">
        <v>52</v>
      </c>
      <c r="M1031">
        <v>136346.74</v>
      </c>
      <c r="N1031">
        <v>472508.18</v>
      </c>
      <c r="O1031" t="s">
        <v>53</v>
      </c>
      <c r="P1031" t="s">
        <v>54</v>
      </c>
      <c r="Q1031" t="s">
        <v>55</v>
      </c>
      <c r="T1031" t="s">
        <v>466</v>
      </c>
      <c r="U1031">
        <v>40</v>
      </c>
      <c r="V1031" s="1">
        <v>36342</v>
      </c>
      <c r="W1031" s="1">
        <v>36342</v>
      </c>
      <c r="X1031" s="1">
        <v>36342</v>
      </c>
      <c r="Y1031" s="1">
        <v>50952</v>
      </c>
      <c r="Z1031" t="s">
        <v>51</v>
      </c>
      <c r="AB1031" t="s">
        <v>54</v>
      </c>
      <c r="AC1031">
        <v>1</v>
      </c>
      <c r="AE1031" t="s">
        <v>116</v>
      </c>
      <c r="AF1031">
        <v>20</v>
      </c>
      <c r="AG1031" s="1">
        <v>36342</v>
      </c>
      <c r="AH1031" s="1">
        <v>36342</v>
      </c>
      <c r="AI1031" s="1">
        <v>36342</v>
      </c>
      <c r="AJ1031" s="1">
        <v>43647</v>
      </c>
      <c r="AK1031" t="s">
        <v>51</v>
      </c>
      <c r="AN1031">
        <v>0</v>
      </c>
      <c r="AO1031" t="s">
        <v>54</v>
      </c>
      <c r="AP1031" t="s">
        <v>53</v>
      </c>
      <c r="AQ1031">
        <v>0</v>
      </c>
      <c r="AR1031" t="s">
        <v>53</v>
      </c>
      <c r="AS1031">
        <v>0</v>
      </c>
      <c r="AT1031">
        <v>0</v>
      </c>
      <c r="AW1031" t="s">
        <v>58</v>
      </c>
      <c r="AX1031">
        <v>20</v>
      </c>
      <c r="AY1031" s="1">
        <v>36342</v>
      </c>
      <c r="AZ1031" s="1">
        <v>36342</v>
      </c>
      <c r="BA1031" s="1">
        <v>36342</v>
      </c>
      <c r="BB1031" s="1">
        <v>43647</v>
      </c>
      <c r="BC1031" t="s">
        <v>51</v>
      </c>
      <c r="BE1031" t="s">
        <v>54</v>
      </c>
      <c r="BF1031">
        <v>2</v>
      </c>
      <c r="BG1031">
        <v>0</v>
      </c>
      <c r="BH1031" t="s">
        <v>53</v>
      </c>
      <c r="BK1031" t="s">
        <v>65</v>
      </c>
      <c r="BL1031">
        <v>14000</v>
      </c>
      <c r="BM1031" s="1">
        <v>44543</v>
      </c>
      <c r="BN1031" s="1">
        <v>44543</v>
      </c>
      <c r="BO1031" s="1">
        <v>44543</v>
      </c>
      <c r="BP1031" s="1">
        <v>45703</v>
      </c>
      <c r="BQ1031" t="s">
        <v>51</v>
      </c>
      <c r="BS1031" t="s">
        <v>60</v>
      </c>
      <c r="BT1031" t="s">
        <v>54</v>
      </c>
      <c r="BU1031" t="s">
        <v>61</v>
      </c>
      <c r="BV1031" t="s">
        <v>62</v>
      </c>
      <c r="BX1031">
        <v>36</v>
      </c>
      <c r="BY1031">
        <v>0</v>
      </c>
      <c r="BZ1031">
        <v>0</v>
      </c>
    </row>
    <row r="1032" spans="1:78" x14ac:dyDescent="0.2">
      <c r="A1032" t="s">
        <v>180</v>
      </c>
      <c r="B1032" t="s">
        <v>181</v>
      </c>
      <c r="C1032" t="s">
        <v>184</v>
      </c>
      <c r="D1032" t="s">
        <v>657</v>
      </c>
      <c r="F1032" t="str">
        <f>"250688"</f>
        <v>250688</v>
      </c>
      <c r="G1032" t="s">
        <v>49</v>
      </c>
      <c r="H1032" t="s">
        <v>121</v>
      </c>
      <c r="K1032" t="s">
        <v>51</v>
      </c>
      <c r="L1032" t="s">
        <v>52</v>
      </c>
      <c r="M1032">
        <v>136372.78</v>
      </c>
      <c r="N1032">
        <v>472505.1</v>
      </c>
      <c r="O1032" t="s">
        <v>53</v>
      </c>
      <c r="P1032" t="s">
        <v>54</v>
      </c>
      <c r="Q1032" t="s">
        <v>55</v>
      </c>
      <c r="T1032" t="s">
        <v>466</v>
      </c>
      <c r="U1032">
        <v>40</v>
      </c>
      <c r="V1032" s="1">
        <v>36342</v>
      </c>
      <c r="W1032" s="1">
        <v>36342</v>
      </c>
      <c r="X1032" s="1">
        <v>36342</v>
      </c>
      <c r="Y1032" s="1">
        <v>50952</v>
      </c>
      <c r="Z1032" t="s">
        <v>51</v>
      </c>
      <c r="AB1032" t="s">
        <v>54</v>
      </c>
      <c r="AC1032">
        <v>1</v>
      </c>
      <c r="AE1032" t="s">
        <v>116</v>
      </c>
      <c r="AF1032">
        <v>20</v>
      </c>
      <c r="AG1032" s="1">
        <v>36342</v>
      </c>
      <c r="AH1032" s="1">
        <v>36342</v>
      </c>
      <c r="AI1032" s="1">
        <v>36342</v>
      </c>
      <c r="AJ1032" s="1">
        <v>43647</v>
      </c>
      <c r="AK1032" t="s">
        <v>51</v>
      </c>
      <c r="AN1032">
        <v>0</v>
      </c>
      <c r="AO1032" t="s">
        <v>54</v>
      </c>
      <c r="AP1032" t="s">
        <v>53</v>
      </c>
      <c r="AQ1032">
        <v>0</v>
      </c>
      <c r="AR1032" t="s">
        <v>53</v>
      </c>
      <c r="AS1032">
        <v>0</v>
      </c>
      <c r="AT1032">
        <v>0</v>
      </c>
      <c r="AW1032" t="s">
        <v>58</v>
      </c>
      <c r="AX1032">
        <v>20</v>
      </c>
      <c r="AY1032" s="1">
        <v>36342</v>
      </c>
      <c r="AZ1032" s="1">
        <v>36342</v>
      </c>
      <c r="BA1032" s="1">
        <v>36342</v>
      </c>
      <c r="BB1032" s="1">
        <v>43647</v>
      </c>
      <c r="BC1032" t="s">
        <v>51</v>
      </c>
      <c r="BE1032" t="s">
        <v>54</v>
      </c>
      <c r="BF1032">
        <v>2</v>
      </c>
      <c r="BG1032">
        <v>0</v>
      </c>
      <c r="BH1032" t="s">
        <v>53</v>
      </c>
      <c r="BK1032" t="s">
        <v>65</v>
      </c>
      <c r="BL1032">
        <v>14000</v>
      </c>
      <c r="BM1032" s="1">
        <v>44333</v>
      </c>
      <c r="BN1032" s="1">
        <v>44333</v>
      </c>
      <c r="BO1032" s="1">
        <v>44333</v>
      </c>
      <c r="BP1032" s="1">
        <v>45552</v>
      </c>
      <c r="BQ1032" t="s">
        <v>51</v>
      </c>
      <c r="BS1032" t="s">
        <v>60</v>
      </c>
      <c r="BT1032" t="s">
        <v>54</v>
      </c>
      <c r="BU1032" t="s">
        <v>61</v>
      </c>
      <c r="BV1032" t="s">
        <v>62</v>
      </c>
      <c r="BX1032">
        <v>36</v>
      </c>
      <c r="BY1032">
        <v>0</v>
      </c>
      <c r="BZ1032">
        <v>0</v>
      </c>
    </row>
    <row r="1033" spans="1:78" x14ac:dyDescent="0.2">
      <c r="A1033" t="s">
        <v>180</v>
      </c>
      <c r="B1033" t="s">
        <v>181</v>
      </c>
      <c r="C1033" t="s">
        <v>184</v>
      </c>
      <c r="D1033" t="s">
        <v>657</v>
      </c>
      <c r="F1033" t="str">
        <f>"250689"</f>
        <v>250689</v>
      </c>
      <c r="G1033" t="s">
        <v>49</v>
      </c>
      <c r="H1033" t="s">
        <v>141</v>
      </c>
      <c r="K1033" t="s">
        <v>51</v>
      </c>
      <c r="L1033" t="s">
        <v>52</v>
      </c>
      <c r="M1033">
        <v>136387.47</v>
      </c>
      <c r="N1033">
        <v>472486.97</v>
      </c>
      <c r="O1033" t="s">
        <v>53</v>
      </c>
      <c r="P1033" t="s">
        <v>54</v>
      </c>
      <c r="Q1033" t="s">
        <v>55</v>
      </c>
      <c r="T1033" t="s">
        <v>466</v>
      </c>
      <c r="U1033">
        <v>40</v>
      </c>
      <c r="V1033" s="1">
        <v>36342</v>
      </c>
      <c r="W1033" s="1">
        <v>36342</v>
      </c>
      <c r="X1033" s="1">
        <v>36342</v>
      </c>
      <c r="Y1033" s="1">
        <v>50952</v>
      </c>
      <c r="Z1033" t="s">
        <v>51</v>
      </c>
      <c r="AB1033" t="s">
        <v>54</v>
      </c>
      <c r="AC1033">
        <v>1</v>
      </c>
      <c r="AE1033" t="s">
        <v>116</v>
      </c>
      <c r="AF1033">
        <v>20</v>
      </c>
      <c r="AG1033" s="1">
        <v>36342</v>
      </c>
      <c r="AH1033" s="1">
        <v>36342</v>
      </c>
      <c r="AI1033" s="1">
        <v>36342</v>
      </c>
      <c r="AJ1033" s="1">
        <v>43647</v>
      </c>
      <c r="AK1033" t="s">
        <v>51</v>
      </c>
      <c r="AN1033">
        <v>0</v>
      </c>
      <c r="AO1033" t="s">
        <v>54</v>
      </c>
      <c r="AP1033" t="s">
        <v>53</v>
      </c>
      <c r="AQ1033">
        <v>0</v>
      </c>
      <c r="AR1033" t="s">
        <v>53</v>
      </c>
      <c r="AS1033">
        <v>0</v>
      </c>
      <c r="AT1033">
        <v>0</v>
      </c>
      <c r="AW1033" t="s">
        <v>58</v>
      </c>
      <c r="AX1033">
        <v>20</v>
      </c>
      <c r="AY1033" s="1">
        <v>36342</v>
      </c>
      <c r="AZ1033" s="1">
        <v>36342</v>
      </c>
      <c r="BA1033" s="1">
        <v>36342</v>
      </c>
      <c r="BB1033" s="1">
        <v>43647</v>
      </c>
      <c r="BC1033" t="s">
        <v>51</v>
      </c>
      <c r="BE1033" t="s">
        <v>54</v>
      </c>
      <c r="BF1033">
        <v>2</v>
      </c>
      <c r="BG1033">
        <v>0</v>
      </c>
      <c r="BH1033" t="s">
        <v>53</v>
      </c>
      <c r="BK1033" t="s">
        <v>65</v>
      </c>
      <c r="BL1033">
        <v>14000</v>
      </c>
      <c r="BM1033" s="1">
        <v>44886</v>
      </c>
      <c r="BN1033" s="1">
        <v>44886</v>
      </c>
      <c r="BO1033" s="1">
        <v>44886</v>
      </c>
      <c r="BP1033" s="1">
        <v>46045</v>
      </c>
      <c r="BQ1033" t="s">
        <v>51</v>
      </c>
      <c r="BS1033" t="s">
        <v>60</v>
      </c>
      <c r="BT1033" t="s">
        <v>54</v>
      </c>
      <c r="BU1033" t="s">
        <v>61</v>
      </c>
      <c r="BV1033" t="s">
        <v>62</v>
      </c>
      <c r="BX1033">
        <v>36</v>
      </c>
      <c r="BY1033">
        <v>0</v>
      </c>
      <c r="BZ1033">
        <v>0</v>
      </c>
    </row>
    <row r="1034" spans="1:78" x14ac:dyDescent="0.2">
      <c r="A1034" t="s">
        <v>180</v>
      </c>
      <c r="B1034" t="s">
        <v>181</v>
      </c>
      <c r="C1034" t="s">
        <v>184</v>
      </c>
      <c r="D1034" t="s">
        <v>657</v>
      </c>
      <c r="F1034" t="str">
        <f>"250690"</f>
        <v>250690</v>
      </c>
      <c r="G1034" t="s">
        <v>49</v>
      </c>
      <c r="H1034" t="s">
        <v>483</v>
      </c>
      <c r="K1034" t="s">
        <v>51</v>
      </c>
      <c r="L1034" t="s">
        <v>52</v>
      </c>
      <c r="M1034">
        <v>136410.9</v>
      </c>
      <c r="N1034">
        <v>472487.84</v>
      </c>
      <c r="O1034" t="s">
        <v>53</v>
      </c>
      <c r="P1034" t="s">
        <v>54</v>
      </c>
      <c r="Q1034" t="s">
        <v>55</v>
      </c>
      <c r="T1034" t="s">
        <v>466</v>
      </c>
      <c r="U1034">
        <v>40</v>
      </c>
      <c r="V1034" s="1">
        <v>36342</v>
      </c>
      <c r="W1034" s="1">
        <v>36342</v>
      </c>
      <c r="X1034" s="1">
        <v>36342</v>
      </c>
      <c r="Y1034" s="1">
        <v>50952</v>
      </c>
      <c r="Z1034" t="s">
        <v>51</v>
      </c>
      <c r="AB1034" t="s">
        <v>54</v>
      </c>
      <c r="AC1034">
        <v>1</v>
      </c>
      <c r="AE1034" t="s">
        <v>116</v>
      </c>
      <c r="AF1034">
        <v>20</v>
      </c>
      <c r="AG1034" s="1">
        <v>36342</v>
      </c>
      <c r="AH1034" s="1">
        <v>36342</v>
      </c>
      <c r="AI1034" s="1">
        <v>36342</v>
      </c>
      <c r="AJ1034" s="1">
        <v>43647</v>
      </c>
      <c r="AK1034" t="s">
        <v>51</v>
      </c>
      <c r="AN1034">
        <v>0</v>
      </c>
      <c r="AO1034" t="s">
        <v>54</v>
      </c>
      <c r="AP1034" t="s">
        <v>53</v>
      </c>
      <c r="AQ1034">
        <v>0</v>
      </c>
      <c r="AR1034" t="s">
        <v>53</v>
      </c>
      <c r="AS1034">
        <v>0</v>
      </c>
      <c r="AT1034">
        <v>0</v>
      </c>
      <c r="AW1034" t="s">
        <v>58</v>
      </c>
      <c r="AX1034">
        <v>20</v>
      </c>
      <c r="AY1034" s="1">
        <v>36342</v>
      </c>
      <c r="AZ1034" s="1">
        <v>36342</v>
      </c>
      <c r="BA1034" s="1">
        <v>36342</v>
      </c>
      <c r="BB1034" s="1">
        <v>43647</v>
      </c>
      <c r="BC1034" t="s">
        <v>51</v>
      </c>
      <c r="BE1034" t="s">
        <v>54</v>
      </c>
      <c r="BF1034">
        <v>2</v>
      </c>
      <c r="BG1034">
        <v>0</v>
      </c>
      <c r="BH1034" t="s">
        <v>53</v>
      </c>
      <c r="BK1034" t="s">
        <v>65</v>
      </c>
      <c r="BL1034">
        <v>14000</v>
      </c>
      <c r="BM1034" s="1">
        <v>44886</v>
      </c>
      <c r="BN1034" s="1">
        <v>44886</v>
      </c>
      <c r="BO1034" s="1">
        <v>44886</v>
      </c>
      <c r="BP1034" s="1">
        <v>46045</v>
      </c>
      <c r="BQ1034" t="s">
        <v>51</v>
      </c>
      <c r="BS1034" t="s">
        <v>60</v>
      </c>
      <c r="BT1034" t="s">
        <v>54</v>
      </c>
      <c r="BU1034" t="s">
        <v>61</v>
      </c>
      <c r="BV1034" t="s">
        <v>62</v>
      </c>
      <c r="BX1034">
        <v>36</v>
      </c>
      <c r="BY1034">
        <v>0</v>
      </c>
      <c r="BZ1034">
        <v>0</v>
      </c>
    </row>
    <row r="1035" spans="1:78" x14ac:dyDescent="0.2">
      <c r="A1035" t="s">
        <v>180</v>
      </c>
      <c r="B1035" t="s">
        <v>181</v>
      </c>
      <c r="C1035" t="s">
        <v>184</v>
      </c>
      <c r="D1035" t="s">
        <v>657</v>
      </c>
      <c r="F1035" t="str">
        <f>"250691"</f>
        <v>250691</v>
      </c>
      <c r="G1035" t="s">
        <v>49</v>
      </c>
      <c r="H1035" t="s">
        <v>457</v>
      </c>
      <c r="K1035" t="s">
        <v>51</v>
      </c>
      <c r="L1035" t="s">
        <v>52</v>
      </c>
      <c r="M1035">
        <v>136428.19</v>
      </c>
      <c r="N1035">
        <v>472467.85</v>
      </c>
      <c r="O1035" t="s">
        <v>53</v>
      </c>
      <c r="P1035" t="s">
        <v>54</v>
      </c>
      <c r="Q1035" t="s">
        <v>55</v>
      </c>
      <c r="T1035" t="s">
        <v>466</v>
      </c>
      <c r="U1035">
        <v>40</v>
      </c>
      <c r="V1035" s="1">
        <v>36342</v>
      </c>
      <c r="W1035" s="1">
        <v>36342</v>
      </c>
      <c r="X1035" s="1">
        <v>36342</v>
      </c>
      <c r="Y1035" s="1">
        <v>50952</v>
      </c>
      <c r="Z1035" t="s">
        <v>51</v>
      </c>
      <c r="AB1035" t="s">
        <v>54</v>
      </c>
      <c r="AC1035">
        <v>1</v>
      </c>
      <c r="AE1035" t="s">
        <v>116</v>
      </c>
      <c r="AF1035">
        <v>20</v>
      </c>
      <c r="AG1035" s="1">
        <v>36342</v>
      </c>
      <c r="AH1035" s="1">
        <v>36342</v>
      </c>
      <c r="AI1035" s="1">
        <v>36342</v>
      </c>
      <c r="AJ1035" s="1">
        <v>43647</v>
      </c>
      <c r="AK1035" t="s">
        <v>51</v>
      </c>
      <c r="AN1035">
        <v>0</v>
      </c>
      <c r="AO1035" t="s">
        <v>54</v>
      </c>
      <c r="AP1035" t="s">
        <v>53</v>
      </c>
      <c r="AQ1035">
        <v>0</v>
      </c>
      <c r="AR1035" t="s">
        <v>53</v>
      </c>
      <c r="AS1035">
        <v>0</v>
      </c>
      <c r="AT1035">
        <v>0</v>
      </c>
      <c r="AW1035" t="s">
        <v>58</v>
      </c>
      <c r="AX1035">
        <v>20</v>
      </c>
      <c r="AY1035" s="1">
        <v>36342</v>
      </c>
      <c r="AZ1035" s="1">
        <v>36342</v>
      </c>
      <c r="BA1035" s="1">
        <v>36342</v>
      </c>
      <c r="BB1035" s="1">
        <v>43647</v>
      </c>
      <c r="BC1035" t="s">
        <v>51</v>
      </c>
      <c r="BE1035" t="s">
        <v>54</v>
      </c>
      <c r="BF1035">
        <v>2</v>
      </c>
      <c r="BG1035">
        <v>0</v>
      </c>
      <c r="BH1035" t="s">
        <v>53</v>
      </c>
      <c r="BK1035" t="s">
        <v>65</v>
      </c>
      <c r="BL1035">
        <v>14000</v>
      </c>
      <c r="BM1035" s="1">
        <v>41091</v>
      </c>
      <c r="BN1035" s="1">
        <v>41091</v>
      </c>
      <c r="BO1035" s="1">
        <v>41091</v>
      </c>
      <c r="BP1035" s="1">
        <v>42291</v>
      </c>
      <c r="BQ1035" t="s">
        <v>51</v>
      </c>
      <c r="BS1035" t="s">
        <v>60</v>
      </c>
      <c r="BT1035" t="s">
        <v>54</v>
      </c>
      <c r="BU1035" t="s">
        <v>61</v>
      </c>
      <c r="BV1035" t="s">
        <v>62</v>
      </c>
      <c r="BX1035">
        <v>36</v>
      </c>
      <c r="BY1035">
        <v>0</v>
      </c>
      <c r="BZ1035">
        <v>0</v>
      </c>
    </row>
    <row r="1036" spans="1:78" x14ac:dyDescent="0.2">
      <c r="A1036" t="s">
        <v>180</v>
      </c>
      <c r="B1036" t="s">
        <v>181</v>
      </c>
      <c r="C1036" t="s">
        <v>184</v>
      </c>
      <c r="D1036" t="s">
        <v>657</v>
      </c>
      <c r="F1036" t="str">
        <f>"250692"</f>
        <v>250692</v>
      </c>
      <c r="G1036" t="s">
        <v>49</v>
      </c>
      <c r="H1036" t="s">
        <v>276</v>
      </c>
      <c r="K1036" t="s">
        <v>51</v>
      </c>
      <c r="L1036" t="s">
        <v>52</v>
      </c>
      <c r="M1036">
        <v>136453.89000000001</v>
      </c>
      <c r="N1036">
        <v>472467.56</v>
      </c>
      <c r="O1036" t="s">
        <v>53</v>
      </c>
      <c r="P1036" t="s">
        <v>54</v>
      </c>
      <c r="Q1036" t="s">
        <v>55</v>
      </c>
      <c r="T1036" t="s">
        <v>466</v>
      </c>
      <c r="U1036">
        <v>40</v>
      </c>
      <c r="V1036" s="1">
        <v>36342</v>
      </c>
      <c r="W1036" s="1">
        <v>36342</v>
      </c>
      <c r="X1036" s="1">
        <v>36342</v>
      </c>
      <c r="Y1036" s="1">
        <v>50952</v>
      </c>
      <c r="Z1036" t="s">
        <v>51</v>
      </c>
      <c r="AB1036" t="s">
        <v>54</v>
      </c>
      <c r="AC1036">
        <v>1</v>
      </c>
      <c r="AE1036" t="s">
        <v>116</v>
      </c>
      <c r="AF1036">
        <v>20</v>
      </c>
      <c r="AG1036" s="1">
        <v>36342</v>
      </c>
      <c r="AH1036" s="1">
        <v>36342</v>
      </c>
      <c r="AI1036" s="1">
        <v>36342</v>
      </c>
      <c r="AJ1036" s="1">
        <v>43647</v>
      </c>
      <c r="AK1036" t="s">
        <v>51</v>
      </c>
      <c r="AN1036">
        <v>0</v>
      </c>
      <c r="AO1036" t="s">
        <v>54</v>
      </c>
      <c r="AP1036" t="s">
        <v>53</v>
      </c>
      <c r="AQ1036">
        <v>0</v>
      </c>
      <c r="AR1036" t="s">
        <v>53</v>
      </c>
      <c r="AS1036">
        <v>0</v>
      </c>
      <c r="AT1036">
        <v>0</v>
      </c>
      <c r="AW1036" t="s">
        <v>58</v>
      </c>
      <c r="AX1036">
        <v>20</v>
      </c>
      <c r="AY1036" s="1">
        <v>36342</v>
      </c>
      <c r="AZ1036" s="1">
        <v>36342</v>
      </c>
      <c r="BA1036" s="1">
        <v>36342</v>
      </c>
      <c r="BB1036" s="1">
        <v>43647</v>
      </c>
      <c r="BC1036" t="s">
        <v>51</v>
      </c>
      <c r="BE1036" t="s">
        <v>54</v>
      </c>
      <c r="BF1036">
        <v>2</v>
      </c>
      <c r="BG1036">
        <v>0</v>
      </c>
      <c r="BH1036" t="s">
        <v>53</v>
      </c>
      <c r="BK1036" t="s">
        <v>65</v>
      </c>
      <c r="BL1036">
        <v>14000</v>
      </c>
      <c r="BM1036" s="1">
        <v>43493</v>
      </c>
      <c r="BN1036" s="1">
        <v>43493</v>
      </c>
      <c r="BO1036" s="1">
        <v>43493</v>
      </c>
      <c r="BP1036" s="1">
        <v>44670</v>
      </c>
      <c r="BQ1036" t="s">
        <v>51</v>
      </c>
      <c r="BS1036" t="s">
        <v>60</v>
      </c>
      <c r="BT1036" t="s">
        <v>54</v>
      </c>
      <c r="BU1036" t="s">
        <v>61</v>
      </c>
      <c r="BV1036" t="s">
        <v>62</v>
      </c>
      <c r="BX1036">
        <v>36</v>
      </c>
      <c r="BY1036">
        <v>0</v>
      </c>
      <c r="BZ1036">
        <v>0</v>
      </c>
    </row>
    <row r="1037" spans="1:78" x14ac:dyDescent="0.2">
      <c r="A1037" t="s">
        <v>180</v>
      </c>
      <c r="B1037" t="s">
        <v>181</v>
      </c>
      <c r="C1037" t="s">
        <v>184</v>
      </c>
      <c r="D1037" t="s">
        <v>657</v>
      </c>
      <c r="F1037" t="str">
        <f>"250693"</f>
        <v>250693</v>
      </c>
      <c r="G1037" t="s">
        <v>49</v>
      </c>
      <c r="H1037" t="s">
        <v>507</v>
      </c>
      <c r="K1037" t="s">
        <v>51</v>
      </c>
      <c r="L1037" t="s">
        <v>52</v>
      </c>
      <c r="M1037">
        <v>136465.76999999999</v>
      </c>
      <c r="N1037">
        <v>472450.12</v>
      </c>
      <c r="O1037" t="s">
        <v>53</v>
      </c>
      <c r="P1037" t="s">
        <v>54</v>
      </c>
      <c r="Q1037" t="s">
        <v>55</v>
      </c>
      <c r="T1037" t="s">
        <v>466</v>
      </c>
      <c r="U1037">
        <v>40</v>
      </c>
      <c r="V1037" s="1">
        <v>36342</v>
      </c>
      <c r="W1037" s="1">
        <v>36342</v>
      </c>
      <c r="X1037" s="1">
        <v>36342</v>
      </c>
      <c r="Y1037" s="1">
        <v>50952</v>
      </c>
      <c r="Z1037" t="s">
        <v>51</v>
      </c>
      <c r="AB1037" t="s">
        <v>54</v>
      </c>
      <c r="AC1037">
        <v>1</v>
      </c>
      <c r="AE1037" t="s">
        <v>116</v>
      </c>
      <c r="AF1037">
        <v>20</v>
      </c>
      <c r="AG1037" s="1">
        <v>36342</v>
      </c>
      <c r="AH1037" s="1">
        <v>36342</v>
      </c>
      <c r="AI1037" s="1">
        <v>36342</v>
      </c>
      <c r="AJ1037" s="1">
        <v>43647</v>
      </c>
      <c r="AK1037" t="s">
        <v>51</v>
      </c>
      <c r="AN1037">
        <v>0</v>
      </c>
      <c r="AO1037" t="s">
        <v>54</v>
      </c>
      <c r="AP1037" t="s">
        <v>53</v>
      </c>
      <c r="AQ1037">
        <v>0</v>
      </c>
      <c r="AR1037" t="s">
        <v>53</v>
      </c>
      <c r="AS1037">
        <v>0</v>
      </c>
      <c r="AT1037">
        <v>0</v>
      </c>
      <c r="AW1037" t="s">
        <v>58</v>
      </c>
      <c r="AX1037">
        <v>20</v>
      </c>
      <c r="AY1037" s="1">
        <v>36342</v>
      </c>
      <c r="AZ1037" s="1">
        <v>36342</v>
      </c>
      <c r="BA1037" s="1">
        <v>36342</v>
      </c>
      <c r="BB1037" s="1">
        <v>43647</v>
      </c>
      <c r="BC1037" t="s">
        <v>51</v>
      </c>
      <c r="BE1037" t="s">
        <v>54</v>
      </c>
      <c r="BF1037">
        <v>2</v>
      </c>
      <c r="BG1037">
        <v>0</v>
      </c>
      <c r="BH1037" t="s">
        <v>53</v>
      </c>
      <c r="BK1037" t="s">
        <v>65</v>
      </c>
      <c r="BL1037">
        <v>14000</v>
      </c>
      <c r="BM1037" s="1">
        <v>45028</v>
      </c>
      <c r="BN1037" s="1">
        <v>45028</v>
      </c>
      <c r="BO1037" s="1">
        <v>45028</v>
      </c>
      <c r="BP1037" s="1">
        <v>46251</v>
      </c>
      <c r="BQ1037" t="s">
        <v>51</v>
      </c>
      <c r="BS1037" t="s">
        <v>60</v>
      </c>
      <c r="BT1037" t="s">
        <v>54</v>
      </c>
      <c r="BU1037" t="s">
        <v>61</v>
      </c>
      <c r="BV1037" t="s">
        <v>62</v>
      </c>
      <c r="BX1037">
        <v>36</v>
      </c>
      <c r="BY1037">
        <v>0</v>
      </c>
      <c r="BZ1037">
        <v>0</v>
      </c>
    </row>
    <row r="1038" spans="1:78" x14ac:dyDescent="0.2">
      <c r="A1038" t="s">
        <v>180</v>
      </c>
      <c r="B1038" t="s">
        <v>181</v>
      </c>
      <c r="C1038" t="s">
        <v>184</v>
      </c>
      <c r="D1038" t="s">
        <v>657</v>
      </c>
      <c r="F1038" t="str">
        <f>"250694"</f>
        <v>250694</v>
      </c>
      <c r="G1038" t="s">
        <v>49</v>
      </c>
      <c r="H1038" t="s">
        <v>136</v>
      </c>
      <c r="K1038" t="s">
        <v>51</v>
      </c>
      <c r="L1038" t="s">
        <v>52</v>
      </c>
      <c r="M1038">
        <v>136492.51999999999</v>
      </c>
      <c r="N1038">
        <v>472449.65</v>
      </c>
      <c r="O1038" t="s">
        <v>53</v>
      </c>
      <c r="P1038" t="s">
        <v>54</v>
      </c>
      <c r="Q1038" t="s">
        <v>55</v>
      </c>
      <c r="T1038" t="s">
        <v>466</v>
      </c>
      <c r="U1038">
        <v>40</v>
      </c>
      <c r="V1038" s="1">
        <v>36342</v>
      </c>
      <c r="W1038" s="1">
        <v>36342</v>
      </c>
      <c r="X1038" s="1">
        <v>36342</v>
      </c>
      <c r="Y1038" s="1">
        <v>50952</v>
      </c>
      <c r="Z1038" t="s">
        <v>51</v>
      </c>
      <c r="AB1038" t="s">
        <v>54</v>
      </c>
      <c r="AC1038">
        <v>1</v>
      </c>
      <c r="AE1038" t="s">
        <v>116</v>
      </c>
      <c r="AF1038">
        <v>20</v>
      </c>
      <c r="AG1038" s="1">
        <v>36342</v>
      </c>
      <c r="AH1038" s="1">
        <v>36342</v>
      </c>
      <c r="AI1038" s="1">
        <v>36342</v>
      </c>
      <c r="AJ1038" s="1">
        <v>43647</v>
      </c>
      <c r="AK1038" t="s">
        <v>51</v>
      </c>
      <c r="AN1038">
        <v>0</v>
      </c>
      <c r="AO1038" t="s">
        <v>54</v>
      </c>
      <c r="AP1038" t="s">
        <v>53</v>
      </c>
      <c r="AQ1038">
        <v>0</v>
      </c>
      <c r="AR1038" t="s">
        <v>53</v>
      </c>
      <c r="AS1038">
        <v>0</v>
      </c>
      <c r="AT1038">
        <v>0</v>
      </c>
      <c r="AW1038" t="s">
        <v>58</v>
      </c>
      <c r="AX1038">
        <v>20</v>
      </c>
      <c r="AY1038" s="1">
        <v>36342</v>
      </c>
      <c r="AZ1038" s="1">
        <v>36342</v>
      </c>
      <c r="BA1038" s="1">
        <v>36342</v>
      </c>
      <c r="BB1038" s="1">
        <v>43647</v>
      </c>
      <c r="BC1038" t="s">
        <v>51</v>
      </c>
      <c r="BE1038" t="s">
        <v>54</v>
      </c>
      <c r="BF1038">
        <v>2</v>
      </c>
      <c r="BG1038">
        <v>0</v>
      </c>
      <c r="BH1038" t="s">
        <v>53</v>
      </c>
      <c r="BK1038" t="s">
        <v>65</v>
      </c>
      <c r="BL1038">
        <v>14000</v>
      </c>
      <c r="BM1038" s="1">
        <v>44326</v>
      </c>
      <c r="BN1038" s="1">
        <v>44326</v>
      </c>
      <c r="BO1038" s="1">
        <v>44326</v>
      </c>
      <c r="BP1038" s="1">
        <v>45546</v>
      </c>
      <c r="BQ1038" t="s">
        <v>51</v>
      </c>
      <c r="BS1038" t="s">
        <v>60</v>
      </c>
      <c r="BT1038" t="s">
        <v>54</v>
      </c>
      <c r="BU1038" t="s">
        <v>61</v>
      </c>
      <c r="BV1038" t="s">
        <v>62</v>
      </c>
      <c r="BX1038">
        <v>36</v>
      </c>
      <c r="BY1038">
        <v>0</v>
      </c>
      <c r="BZ1038">
        <v>0</v>
      </c>
    </row>
    <row r="1039" spans="1:78" x14ac:dyDescent="0.2">
      <c r="A1039" t="s">
        <v>180</v>
      </c>
      <c r="B1039" t="s">
        <v>181</v>
      </c>
      <c r="C1039" t="s">
        <v>184</v>
      </c>
      <c r="D1039" t="s">
        <v>657</v>
      </c>
      <c r="F1039" t="str">
        <f>"250695"</f>
        <v>250695</v>
      </c>
      <c r="G1039" t="s">
        <v>49</v>
      </c>
      <c r="H1039" t="s">
        <v>95</v>
      </c>
      <c r="K1039" t="s">
        <v>51</v>
      </c>
      <c r="L1039" t="s">
        <v>52</v>
      </c>
      <c r="M1039">
        <v>136528.9</v>
      </c>
      <c r="N1039">
        <v>472432.41</v>
      </c>
      <c r="O1039" t="s">
        <v>53</v>
      </c>
      <c r="P1039" t="s">
        <v>54</v>
      </c>
      <c r="Q1039" t="s">
        <v>55</v>
      </c>
      <c r="T1039" t="s">
        <v>466</v>
      </c>
      <c r="U1039">
        <v>40</v>
      </c>
      <c r="V1039" s="1">
        <v>36342</v>
      </c>
      <c r="W1039" s="1">
        <v>36342</v>
      </c>
      <c r="X1039" s="1">
        <v>36342</v>
      </c>
      <c r="Y1039" s="1">
        <v>50952</v>
      </c>
      <c r="Z1039" t="s">
        <v>51</v>
      </c>
      <c r="AB1039" t="s">
        <v>54</v>
      </c>
      <c r="AC1039">
        <v>1</v>
      </c>
      <c r="AE1039" t="s">
        <v>116</v>
      </c>
      <c r="AF1039">
        <v>20</v>
      </c>
      <c r="AG1039" s="1">
        <v>36342</v>
      </c>
      <c r="AH1039" s="1">
        <v>36342</v>
      </c>
      <c r="AI1039" s="1">
        <v>36342</v>
      </c>
      <c r="AJ1039" s="1">
        <v>43647</v>
      </c>
      <c r="AK1039" t="s">
        <v>51</v>
      </c>
      <c r="AN1039">
        <v>0</v>
      </c>
      <c r="AO1039" t="s">
        <v>54</v>
      </c>
      <c r="AP1039" t="s">
        <v>53</v>
      </c>
      <c r="AQ1039">
        <v>0</v>
      </c>
      <c r="AR1039" t="s">
        <v>53</v>
      </c>
      <c r="AS1039">
        <v>0</v>
      </c>
      <c r="AT1039">
        <v>0</v>
      </c>
      <c r="AW1039" t="s">
        <v>58</v>
      </c>
      <c r="AX1039">
        <v>20</v>
      </c>
      <c r="AY1039" s="1">
        <v>36342</v>
      </c>
      <c r="AZ1039" s="1">
        <v>36342</v>
      </c>
      <c r="BA1039" s="1">
        <v>36342</v>
      </c>
      <c r="BB1039" s="1">
        <v>43647</v>
      </c>
      <c r="BC1039" t="s">
        <v>51</v>
      </c>
      <c r="BE1039" t="s">
        <v>54</v>
      </c>
      <c r="BF1039">
        <v>2</v>
      </c>
      <c r="BG1039">
        <v>0</v>
      </c>
      <c r="BH1039" t="s">
        <v>53</v>
      </c>
      <c r="BK1039" t="s">
        <v>65</v>
      </c>
      <c r="BL1039">
        <v>14000</v>
      </c>
      <c r="BM1039" s="1">
        <v>41091</v>
      </c>
      <c r="BN1039" s="1">
        <v>41091</v>
      </c>
      <c r="BO1039" s="1">
        <v>41091</v>
      </c>
      <c r="BP1039" s="1">
        <v>42291</v>
      </c>
      <c r="BQ1039" t="s">
        <v>51</v>
      </c>
      <c r="BS1039" t="s">
        <v>60</v>
      </c>
      <c r="BT1039" t="s">
        <v>54</v>
      </c>
      <c r="BU1039" t="s">
        <v>61</v>
      </c>
      <c r="BV1039" t="s">
        <v>62</v>
      </c>
      <c r="BX1039">
        <v>36</v>
      </c>
      <c r="BY1039">
        <v>0</v>
      </c>
      <c r="BZ1039">
        <v>0</v>
      </c>
    </row>
    <row r="1040" spans="1:78" x14ac:dyDescent="0.2">
      <c r="A1040" t="s">
        <v>180</v>
      </c>
      <c r="B1040" t="s">
        <v>181</v>
      </c>
      <c r="C1040" t="s">
        <v>184</v>
      </c>
      <c r="D1040" t="s">
        <v>657</v>
      </c>
      <c r="F1040" t="str">
        <f>"250696"</f>
        <v>250696</v>
      </c>
      <c r="G1040" t="s">
        <v>49</v>
      </c>
      <c r="H1040" t="s">
        <v>537</v>
      </c>
      <c r="K1040" t="s">
        <v>51</v>
      </c>
      <c r="L1040" t="s">
        <v>52</v>
      </c>
      <c r="M1040">
        <v>136549.88</v>
      </c>
      <c r="N1040">
        <v>472410.55</v>
      </c>
      <c r="O1040" t="s">
        <v>53</v>
      </c>
      <c r="P1040" t="s">
        <v>54</v>
      </c>
      <c r="Q1040" t="s">
        <v>55</v>
      </c>
      <c r="T1040" t="s">
        <v>466</v>
      </c>
      <c r="U1040">
        <v>40</v>
      </c>
      <c r="V1040" s="1">
        <v>36342</v>
      </c>
      <c r="W1040" s="1">
        <v>36342</v>
      </c>
      <c r="X1040" s="1">
        <v>36342</v>
      </c>
      <c r="Y1040" s="1">
        <v>50952</v>
      </c>
      <c r="Z1040" t="s">
        <v>51</v>
      </c>
      <c r="AB1040" t="s">
        <v>54</v>
      </c>
      <c r="AC1040">
        <v>1</v>
      </c>
      <c r="AE1040" t="s">
        <v>116</v>
      </c>
      <c r="AF1040">
        <v>20</v>
      </c>
      <c r="AG1040" s="1">
        <v>36342</v>
      </c>
      <c r="AH1040" s="1">
        <v>36342</v>
      </c>
      <c r="AI1040" s="1">
        <v>36342</v>
      </c>
      <c r="AJ1040" s="1">
        <v>43647</v>
      </c>
      <c r="AK1040" t="s">
        <v>51</v>
      </c>
      <c r="AN1040">
        <v>0</v>
      </c>
      <c r="AO1040" t="s">
        <v>54</v>
      </c>
      <c r="AP1040" t="s">
        <v>53</v>
      </c>
      <c r="AQ1040">
        <v>0</v>
      </c>
      <c r="AR1040" t="s">
        <v>53</v>
      </c>
      <c r="AS1040">
        <v>0</v>
      </c>
      <c r="AT1040">
        <v>0</v>
      </c>
      <c r="AW1040" t="s">
        <v>58</v>
      </c>
      <c r="AX1040">
        <v>20</v>
      </c>
      <c r="AY1040" s="1">
        <v>36342</v>
      </c>
      <c r="AZ1040" s="1">
        <v>36342</v>
      </c>
      <c r="BA1040" s="1">
        <v>36342</v>
      </c>
      <c r="BB1040" s="1">
        <v>43647</v>
      </c>
      <c r="BC1040" t="s">
        <v>51</v>
      </c>
      <c r="BE1040" t="s">
        <v>54</v>
      </c>
      <c r="BF1040">
        <v>2</v>
      </c>
      <c r="BG1040">
        <v>0</v>
      </c>
      <c r="BH1040" t="s">
        <v>53</v>
      </c>
      <c r="BK1040" t="s">
        <v>65</v>
      </c>
      <c r="BL1040">
        <v>14000</v>
      </c>
      <c r="BM1040" s="1">
        <v>44810</v>
      </c>
      <c r="BN1040" s="1">
        <v>44810</v>
      </c>
      <c r="BO1040" s="1">
        <v>44810</v>
      </c>
      <c r="BP1040" s="1">
        <v>45981</v>
      </c>
      <c r="BQ1040" t="s">
        <v>51</v>
      </c>
      <c r="BS1040" t="s">
        <v>60</v>
      </c>
      <c r="BT1040" t="s">
        <v>54</v>
      </c>
      <c r="BU1040" t="s">
        <v>61</v>
      </c>
      <c r="BV1040" t="s">
        <v>62</v>
      </c>
      <c r="BX1040">
        <v>36</v>
      </c>
      <c r="BY1040">
        <v>0</v>
      </c>
      <c r="BZ1040">
        <v>0</v>
      </c>
    </row>
    <row r="1041" spans="1:99" x14ac:dyDescent="0.2">
      <c r="A1041" t="s">
        <v>180</v>
      </c>
      <c r="B1041" t="s">
        <v>181</v>
      </c>
      <c r="C1041" t="s">
        <v>184</v>
      </c>
      <c r="D1041" t="s">
        <v>657</v>
      </c>
      <c r="F1041" t="str">
        <f>"250697"</f>
        <v>250697</v>
      </c>
      <c r="G1041" t="s">
        <v>49</v>
      </c>
      <c r="H1041" t="s">
        <v>604</v>
      </c>
      <c r="K1041" t="s">
        <v>51</v>
      </c>
      <c r="L1041" t="s">
        <v>52</v>
      </c>
      <c r="M1041">
        <v>136576.60999999999</v>
      </c>
      <c r="N1041">
        <v>472409.59999999998</v>
      </c>
      <c r="O1041" t="s">
        <v>53</v>
      </c>
      <c r="P1041" t="s">
        <v>54</v>
      </c>
      <c r="Q1041" t="s">
        <v>55</v>
      </c>
      <c r="T1041" t="s">
        <v>466</v>
      </c>
      <c r="U1041">
        <v>40</v>
      </c>
      <c r="V1041" s="1">
        <v>36342</v>
      </c>
      <c r="W1041" s="1">
        <v>36342</v>
      </c>
      <c r="X1041" s="1">
        <v>36342</v>
      </c>
      <c r="Y1041" s="1">
        <v>50952</v>
      </c>
      <c r="Z1041" t="s">
        <v>51</v>
      </c>
      <c r="AB1041" t="s">
        <v>54</v>
      </c>
      <c r="AC1041">
        <v>1</v>
      </c>
      <c r="AE1041" t="s">
        <v>116</v>
      </c>
      <c r="AF1041">
        <v>20</v>
      </c>
      <c r="AG1041" s="1">
        <v>36342</v>
      </c>
      <c r="AH1041" s="1">
        <v>36342</v>
      </c>
      <c r="AI1041" s="1">
        <v>36342</v>
      </c>
      <c r="AJ1041" s="1">
        <v>43647</v>
      </c>
      <c r="AK1041" t="s">
        <v>51</v>
      </c>
      <c r="AN1041">
        <v>0</v>
      </c>
      <c r="AO1041" t="s">
        <v>54</v>
      </c>
      <c r="AP1041" t="s">
        <v>53</v>
      </c>
      <c r="AQ1041">
        <v>0</v>
      </c>
      <c r="AR1041" t="s">
        <v>53</v>
      </c>
      <c r="AS1041">
        <v>0</v>
      </c>
      <c r="AT1041">
        <v>0</v>
      </c>
      <c r="AW1041" t="s">
        <v>58</v>
      </c>
      <c r="AX1041">
        <v>20</v>
      </c>
      <c r="AY1041" s="1">
        <v>36342</v>
      </c>
      <c r="AZ1041" s="1">
        <v>36342</v>
      </c>
      <c r="BA1041" s="1">
        <v>36342</v>
      </c>
      <c r="BB1041" s="1">
        <v>43647</v>
      </c>
      <c r="BC1041" t="s">
        <v>51</v>
      </c>
      <c r="BE1041" t="s">
        <v>54</v>
      </c>
      <c r="BF1041">
        <v>2</v>
      </c>
      <c r="BG1041">
        <v>0</v>
      </c>
      <c r="BH1041" t="s">
        <v>53</v>
      </c>
      <c r="BK1041" t="s">
        <v>65</v>
      </c>
      <c r="BL1041">
        <v>14000</v>
      </c>
      <c r="BM1041" s="1">
        <v>44466</v>
      </c>
      <c r="BN1041" s="1">
        <v>44466</v>
      </c>
      <c r="BO1041" s="1">
        <v>44466</v>
      </c>
      <c r="BP1041" s="1">
        <v>45632</v>
      </c>
      <c r="BQ1041" t="s">
        <v>51</v>
      </c>
      <c r="BS1041" t="s">
        <v>60</v>
      </c>
      <c r="BT1041" t="s">
        <v>54</v>
      </c>
      <c r="BU1041" t="s">
        <v>61</v>
      </c>
      <c r="BV1041" t="s">
        <v>62</v>
      </c>
      <c r="BX1041">
        <v>36</v>
      </c>
      <c r="BY1041">
        <v>0</v>
      </c>
      <c r="BZ1041">
        <v>0</v>
      </c>
    </row>
    <row r="1042" spans="1:99" x14ac:dyDescent="0.2">
      <c r="A1042" t="s">
        <v>180</v>
      </c>
      <c r="B1042" t="s">
        <v>181</v>
      </c>
      <c r="C1042" t="s">
        <v>184</v>
      </c>
      <c r="D1042" t="s">
        <v>657</v>
      </c>
      <c r="F1042" t="str">
        <f>"250698"</f>
        <v>250698</v>
      </c>
      <c r="G1042" t="s">
        <v>49</v>
      </c>
      <c r="H1042" t="s">
        <v>468</v>
      </c>
      <c r="K1042" t="s">
        <v>51</v>
      </c>
      <c r="L1042" t="s">
        <v>52</v>
      </c>
      <c r="M1042">
        <v>136592.91</v>
      </c>
      <c r="N1042">
        <v>472390.07</v>
      </c>
      <c r="O1042" t="s">
        <v>53</v>
      </c>
      <c r="P1042" t="s">
        <v>54</v>
      </c>
      <c r="Q1042" t="s">
        <v>55</v>
      </c>
      <c r="T1042" t="s">
        <v>466</v>
      </c>
      <c r="U1042">
        <v>40</v>
      </c>
      <c r="V1042" s="1">
        <v>36342</v>
      </c>
      <c r="W1042" s="1">
        <v>36342</v>
      </c>
      <c r="X1042" s="1">
        <v>36342</v>
      </c>
      <c r="Y1042" s="1">
        <v>50952</v>
      </c>
      <c r="Z1042" t="s">
        <v>51</v>
      </c>
      <c r="AB1042" t="s">
        <v>54</v>
      </c>
      <c r="AC1042">
        <v>1</v>
      </c>
      <c r="AE1042" t="s">
        <v>116</v>
      </c>
      <c r="AF1042">
        <v>20</v>
      </c>
      <c r="AG1042" s="1">
        <v>36342</v>
      </c>
      <c r="AH1042" s="1">
        <v>36342</v>
      </c>
      <c r="AI1042" s="1">
        <v>36342</v>
      </c>
      <c r="AJ1042" s="1">
        <v>43647</v>
      </c>
      <c r="AK1042" t="s">
        <v>51</v>
      </c>
      <c r="AN1042">
        <v>0</v>
      </c>
      <c r="AO1042" t="s">
        <v>54</v>
      </c>
      <c r="AP1042" t="s">
        <v>53</v>
      </c>
      <c r="AQ1042">
        <v>0</v>
      </c>
      <c r="AR1042" t="s">
        <v>53</v>
      </c>
      <c r="AS1042">
        <v>0</v>
      </c>
      <c r="AT1042">
        <v>0</v>
      </c>
      <c r="AW1042" t="s">
        <v>58</v>
      </c>
      <c r="AX1042">
        <v>20</v>
      </c>
      <c r="AY1042" s="1">
        <v>36342</v>
      </c>
      <c r="AZ1042" s="1">
        <v>36342</v>
      </c>
      <c r="BA1042" s="1">
        <v>36342</v>
      </c>
      <c r="BB1042" s="1">
        <v>43647</v>
      </c>
      <c r="BC1042" t="s">
        <v>51</v>
      </c>
      <c r="BE1042" t="s">
        <v>54</v>
      </c>
      <c r="BF1042">
        <v>2</v>
      </c>
      <c r="BG1042">
        <v>0</v>
      </c>
      <c r="BH1042" t="s">
        <v>53</v>
      </c>
      <c r="BK1042" t="s">
        <v>65</v>
      </c>
      <c r="BL1042">
        <v>14000</v>
      </c>
      <c r="BM1042" s="1">
        <v>44768</v>
      </c>
      <c r="BN1042" s="1">
        <v>44768</v>
      </c>
      <c r="BO1042" s="1">
        <v>44768</v>
      </c>
      <c r="BP1042" s="1">
        <v>45955</v>
      </c>
      <c r="BQ1042" t="s">
        <v>51</v>
      </c>
      <c r="BS1042" t="s">
        <v>60</v>
      </c>
      <c r="BT1042" t="s">
        <v>54</v>
      </c>
      <c r="BU1042" t="s">
        <v>61</v>
      </c>
      <c r="BV1042" t="s">
        <v>62</v>
      </c>
      <c r="BX1042">
        <v>36</v>
      </c>
      <c r="BY1042">
        <v>0</v>
      </c>
      <c r="BZ1042">
        <v>0</v>
      </c>
    </row>
    <row r="1043" spans="1:99" x14ac:dyDescent="0.2">
      <c r="A1043" t="s">
        <v>180</v>
      </c>
      <c r="B1043" t="s">
        <v>181</v>
      </c>
      <c r="C1043" t="s">
        <v>184</v>
      </c>
      <c r="D1043" t="s">
        <v>657</v>
      </c>
      <c r="F1043" t="str">
        <f>"250700"</f>
        <v>250700</v>
      </c>
      <c r="G1043" t="s">
        <v>49</v>
      </c>
      <c r="H1043" t="s">
        <v>324</v>
      </c>
      <c r="K1043" t="s">
        <v>51</v>
      </c>
      <c r="L1043" t="s">
        <v>52</v>
      </c>
      <c r="M1043">
        <v>136620.29</v>
      </c>
      <c r="N1043">
        <v>472388.7</v>
      </c>
      <c r="O1043" t="s">
        <v>53</v>
      </c>
      <c r="P1043" t="s">
        <v>54</v>
      </c>
      <c r="Q1043" t="s">
        <v>55</v>
      </c>
      <c r="T1043" t="s">
        <v>466</v>
      </c>
      <c r="U1043">
        <v>40</v>
      </c>
      <c r="V1043" s="1">
        <v>36342</v>
      </c>
      <c r="W1043" s="1">
        <v>36342</v>
      </c>
      <c r="X1043" s="1">
        <v>36342</v>
      </c>
      <c r="Y1043" s="1">
        <v>50952</v>
      </c>
      <c r="Z1043" t="s">
        <v>51</v>
      </c>
      <c r="AB1043" t="s">
        <v>54</v>
      </c>
      <c r="AC1043">
        <v>1</v>
      </c>
      <c r="AE1043" t="s">
        <v>116</v>
      </c>
      <c r="AF1043">
        <v>20</v>
      </c>
      <c r="AG1043" s="1">
        <v>36342</v>
      </c>
      <c r="AH1043" s="1">
        <v>36342</v>
      </c>
      <c r="AI1043" s="1">
        <v>36342</v>
      </c>
      <c r="AJ1043" s="1">
        <v>43647</v>
      </c>
      <c r="AK1043" t="s">
        <v>51</v>
      </c>
      <c r="AN1043">
        <v>0</v>
      </c>
      <c r="AO1043" t="s">
        <v>54</v>
      </c>
      <c r="AP1043" t="s">
        <v>53</v>
      </c>
      <c r="AQ1043">
        <v>0</v>
      </c>
      <c r="AR1043" t="s">
        <v>53</v>
      </c>
      <c r="AS1043">
        <v>0</v>
      </c>
      <c r="AT1043">
        <v>0</v>
      </c>
      <c r="AW1043" t="s">
        <v>58</v>
      </c>
      <c r="AX1043">
        <v>20</v>
      </c>
      <c r="AY1043" s="1">
        <v>36342</v>
      </c>
      <c r="AZ1043" s="1">
        <v>36342</v>
      </c>
      <c r="BA1043" s="1">
        <v>36342</v>
      </c>
      <c r="BB1043" s="1">
        <v>43647</v>
      </c>
      <c r="BC1043" t="s">
        <v>51</v>
      </c>
      <c r="BE1043" t="s">
        <v>54</v>
      </c>
      <c r="BF1043">
        <v>2</v>
      </c>
      <c r="BG1043">
        <v>0</v>
      </c>
      <c r="BH1043" t="s">
        <v>53</v>
      </c>
      <c r="BK1043" t="s">
        <v>65</v>
      </c>
      <c r="BL1043">
        <v>14000</v>
      </c>
      <c r="BM1043" s="1">
        <v>44551</v>
      </c>
      <c r="BN1043" s="1">
        <v>44551</v>
      </c>
      <c r="BO1043" s="1">
        <v>44551</v>
      </c>
      <c r="BP1043" s="1">
        <v>45712</v>
      </c>
      <c r="BQ1043" t="s">
        <v>51</v>
      </c>
      <c r="BS1043" t="s">
        <v>60</v>
      </c>
      <c r="BT1043" t="s">
        <v>54</v>
      </c>
      <c r="BU1043" t="s">
        <v>61</v>
      </c>
      <c r="BV1043" t="s">
        <v>62</v>
      </c>
      <c r="BX1043">
        <v>36</v>
      </c>
      <c r="BY1043">
        <v>0</v>
      </c>
      <c r="BZ1043">
        <v>0</v>
      </c>
    </row>
    <row r="1044" spans="1:99" x14ac:dyDescent="0.2">
      <c r="A1044" t="s">
        <v>180</v>
      </c>
      <c r="B1044" t="s">
        <v>181</v>
      </c>
      <c r="C1044" t="s">
        <v>184</v>
      </c>
      <c r="D1044" t="s">
        <v>657</v>
      </c>
      <c r="F1044" t="str">
        <f>"250699"</f>
        <v>250699</v>
      </c>
      <c r="G1044" t="s">
        <v>49</v>
      </c>
      <c r="H1044" t="s">
        <v>582</v>
      </c>
      <c r="K1044" t="s">
        <v>51</v>
      </c>
      <c r="L1044" t="s">
        <v>52</v>
      </c>
      <c r="M1044">
        <v>136635.04999999999</v>
      </c>
      <c r="N1044">
        <v>472370.17</v>
      </c>
      <c r="O1044" t="s">
        <v>53</v>
      </c>
      <c r="P1044" t="s">
        <v>54</v>
      </c>
      <c r="Q1044" t="s">
        <v>55</v>
      </c>
      <c r="T1044" t="s">
        <v>81</v>
      </c>
      <c r="U1044">
        <v>40</v>
      </c>
      <c r="V1044" s="1">
        <v>44914</v>
      </c>
      <c r="W1044" s="1">
        <v>44914</v>
      </c>
      <c r="X1044" s="1">
        <v>44914</v>
      </c>
      <c r="Y1044" s="1">
        <v>59524</v>
      </c>
      <c r="Z1044" t="s">
        <v>51</v>
      </c>
      <c r="AB1044" t="s">
        <v>54</v>
      </c>
      <c r="AC1044">
        <v>1</v>
      </c>
      <c r="AE1044" t="s">
        <v>64</v>
      </c>
      <c r="AF1044">
        <v>20</v>
      </c>
      <c r="AG1044" s="1">
        <v>44914</v>
      </c>
      <c r="AH1044" s="1">
        <v>44914</v>
      </c>
      <c r="AI1044" s="1">
        <v>44914</v>
      </c>
      <c r="AJ1044" s="1">
        <v>52219</v>
      </c>
      <c r="AK1044" t="s">
        <v>51</v>
      </c>
      <c r="AN1044">
        <v>0</v>
      </c>
      <c r="AO1044" t="s">
        <v>54</v>
      </c>
      <c r="AP1044" t="s">
        <v>53</v>
      </c>
      <c r="AQ1044">
        <v>0</v>
      </c>
      <c r="AR1044" t="s">
        <v>53</v>
      </c>
      <c r="AS1044">
        <v>0</v>
      </c>
      <c r="AT1044">
        <v>0</v>
      </c>
      <c r="AW1044" t="s">
        <v>58</v>
      </c>
      <c r="AX1044">
        <v>20</v>
      </c>
      <c r="AY1044" s="1">
        <v>36342</v>
      </c>
      <c r="AZ1044" s="1">
        <v>36342</v>
      </c>
      <c r="BA1044" s="1">
        <v>44914</v>
      </c>
      <c r="BB1044" s="1">
        <v>43647</v>
      </c>
      <c r="BC1044" t="s">
        <v>51</v>
      </c>
      <c r="BE1044" t="s">
        <v>54</v>
      </c>
      <c r="BF1044">
        <v>2</v>
      </c>
      <c r="BG1044">
        <v>0</v>
      </c>
      <c r="BH1044" t="s">
        <v>53</v>
      </c>
      <c r="BK1044" t="s">
        <v>65</v>
      </c>
      <c r="BL1044">
        <v>14000</v>
      </c>
      <c r="BM1044" s="1">
        <v>41091</v>
      </c>
      <c r="BN1044" s="1">
        <v>41091</v>
      </c>
      <c r="BO1044" s="1">
        <v>44914</v>
      </c>
      <c r="BP1044" s="1">
        <v>42291</v>
      </c>
      <c r="BQ1044" t="s">
        <v>51</v>
      </c>
      <c r="BS1044" t="s">
        <v>60</v>
      </c>
      <c r="BT1044" t="s">
        <v>54</v>
      </c>
      <c r="BU1044" t="s">
        <v>61</v>
      </c>
      <c r="BV1044" t="s">
        <v>62</v>
      </c>
      <c r="BX1044">
        <v>36</v>
      </c>
      <c r="BY1044">
        <v>0</v>
      </c>
      <c r="BZ1044">
        <v>0</v>
      </c>
    </row>
    <row r="1045" spans="1:99" x14ac:dyDescent="0.2">
      <c r="A1045" t="s">
        <v>180</v>
      </c>
      <c r="B1045" t="s">
        <v>181</v>
      </c>
      <c r="C1045" t="s">
        <v>184</v>
      </c>
      <c r="D1045" t="s">
        <v>657</v>
      </c>
      <c r="F1045" t="str">
        <f>"250701"</f>
        <v>250701</v>
      </c>
      <c r="G1045" t="s">
        <v>49</v>
      </c>
      <c r="H1045" t="s">
        <v>212</v>
      </c>
      <c r="K1045" t="s">
        <v>51</v>
      </c>
      <c r="L1045" t="s">
        <v>52</v>
      </c>
      <c r="M1045">
        <v>136661.73000000001</v>
      </c>
      <c r="N1045">
        <v>472369.79</v>
      </c>
      <c r="O1045" t="s">
        <v>53</v>
      </c>
      <c r="P1045" t="s">
        <v>54</v>
      </c>
      <c r="Q1045" t="s">
        <v>55</v>
      </c>
      <c r="T1045" t="s">
        <v>466</v>
      </c>
      <c r="U1045">
        <v>40</v>
      </c>
      <c r="V1045" s="1">
        <v>36342</v>
      </c>
      <c r="W1045" s="1">
        <v>36342</v>
      </c>
      <c r="X1045" s="1">
        <v>36342</v>
      </c>
      <c r="Y1045" s="1">
        <v>50952</v>
      </c>
      <c r="Z1045" t="s">
        <v>51</v>
      </c>
      <c r="AB1045" t="s">
        <v>54</v>
      </c>
      <c r="AC1045">
        <v>1</v>
      </c>
      <c r="AE1045" t="s">
        <v>116</v>
      </c>
      <c r="AF1045">
        <v>20</v>
      </c>
      <c r="AG1045" s="1">
        <v>36342</v>
      </c>
      <c r="AH1045" s="1">
        <v>36342</v>
      </c>
      <c r="AI1045" s="1">
        <v>36342</v>
      </c>
      <c r="AJ1045" s="1">
        <v>43647</v>
      </c>
      <c r="AK1045" t="s">
        <v>51</v>
      </c>
      <c r="AN1045">
        <v>0</v>
      </c>
      <c r="AO1045" t="s">
        <v>54</v>
      </c>
      <c r="AP1045" t="s">
        <v>53</v>
      </c>
      <c r="AQ1045">
        <v>0</v>
      </c>
      <c r="AR1045" t="s">
        <v>53</v>
      </c>
      <c r="AS1045">
        <v>0</v>
      </c>
      <c r="AT1045">
        <v>0</v>
      </c>
      <c r="AW1045" t="s">
        <v>58</v>
      </c>
      <c r="AX1045">
        <v>20</v>
      </c>
      <c r="AY1045" s="1">
        <v>36342</v>
      </c>
      <c r="AZ1045" s="1">
        <v>36342</v>
      </c>
      <c r="BA1045" s="1">
        <v>36342</v>
      </c>
      <c r="BB1045" s="1">
        <v>43647</v>
      </c>
      <c r="BC1045" t="s">
        <v>51</v>
      </c>
      <c r="BE1045" t="s">
        <v>54</v>
      </c>
      <c r="BF1045">
        <v>2</v>
      </c>
      <c r="BG1045">
        <v>0</v>
      </c>
      <c r="BH1045" t="s">
        <v>53</v>
      </c>
      <c r="BK1045" t="s">
        <v>65</v>
      </c>
      <c r="BL1045">
        <v>14000</v>
      </c>
      <c r="BM1045" s="1">
        <v>41091</v>
      </c>
      <c r="BN1045" s="1">
        <v>41091</v>
      </c>
      <c r="BO1045" s="1">
        <v>41091</v>
      </c>
      <c r="BP1045" s="1">
        <v>42291</v>
      </c>
      <c r="BQ1045" t="s">
        <v>51</v>
      </c>
      <c r="BS1045" t="s">
        <v>60</v>
      </c>
      <c r="BT1045" t="s">
        <v>54</v>
      </c>
      <c r="BU1045" t="s">
        <v>61</v>
      </c>
      <c r="BV1045" t="s">
        <v>62</v>
      </c>
      <c r="BX1045">
        <v>36</v>
      </c>
      <c r="BY1045">
        <v>0</v>
      </c>
      <c r="BZ1045">
        <v>0</v>
      </c>
    </row>
    <row r="1046" spans="1:99" x14ac:dyDescent="0.2">
      <c r="A1046" t="s">
        <v>180</v>
      </c>
      <c r="B1046" t="s">
        <v>181</v>
      </c>
      <c r="C1046" t="s">
        <v>184</v>
      </c>
      <c r="D1046" t="s">
        <v>657</v>
      </c>
      <c r="F1046" t="str">
        <f>"250702"</f>
        <v>250702</v>
      </c>
      <c r="G1046" t="s">
        <v>49</v>
      </c>
      <c r="H1046" t="s">
        <v>582</v>
      </c>
      <c r="K1046" t="s">
        <v>51</v>
      </c>
      <c r="L1046" t="s">
        <v>52</v>
      </c>
      <c r="M1046">
        <v>136682.22</v>
      </c>
      <c r="N1046">
        <v>472359.85</v>
      </c>
      <c r="O1046" t="s">
        <v>53</v>
      </c>
      <c r="P1046" t="s">
        <v>54</v>
      </c>
      <c r="Q1046" t="s">
        <v>55</v>
      </c>
      <c r="T1046" t="s">
        <v>466</v>
      </c>
      <c r="U1046">
        <v>40</v>
      </c>
      <c r="V1046" s="1">
        <v>36342</v>
      </c>
      <c r="W1046" s="1">
        <v>36342</v>
      </c>
      <c r="X1046" s="1">
        <v>36342</v>
      </c>
      <c r="Y1046" s="1">
        <v>50952</v>
      </c>
      <c r="Z1046" t="s">
        <v>51</v>
      </c>
      <c r="AB1046" t="s">
        <v>54</v>
      </c>
      <c r="AC1046">
        <v>1</v>
      </c>
      <c r="AE1046" t="s">
        <v>116</v>
      </c>
      <c r="AF1046">
        <v>20</v>
      </c>
      <c r="AG1046" s="1">
        <v>36342</v>
      </c>
      <c r="AH1046" s="1">
        <v>36342</v>
      </c>
      <c r="AI1046" s="1">
        <v>36342</v>
      </c>
      <c r="AJ1046" s="1">
        <v>43647</v>
      </c>
      <c r="AK1046" t="s">
        <v>51</v>
      </c>
      <c r="AN1046">
        <v>0</v>
      </c>
      <c r="AO1046" t="s">
        <v>54</v>
      </c>
      <c r="AP1046" t="s">
        <v>53</v>
      </c>
      <c r="AQ1046">
        <v>0</v>
      </c>
      <c r="AR1046" t="s">
        <v>53</v>
      </c>
      <c r="AS1046">
        <v>0</v>
      </c>
      <c r="AT1046">
        <v>0</v>
      </c>
      <c r="AW1046" t="s">
        <v>58</v>
      </c>
      <c r="AX1046">
        <v>20</v>
      </c>
      <c r="AY1046" s="1">
        <v>36342</v>
      </c>
      <c r="AZ1046" s="1">
        <v>36342</v>
      </c>
      <c r="BA1046" s="1">
        <v>36342</v>
      </c>
      <c r="BB1046" s="1">
        <v>43647</v>
      </c>
      <c r="BC1046" t="s">
        <v>51</v>
      </c>
      <c r="BE1046" t="s">
        <v>54</v>
      </c>
      <c r="BF1046">
        <v>2</v>
      </c>
      <c r="BG1046">
        <v>0</v>
      </c>
      <c r="BH1046" t="s">
        <v>53</v>
      </c>
      <c r="BK1046" t="s">
        <v>65</v>
      </c>
      <c r="BL1046">
        <v>14000</v>
      </c>
      <c r="BM1046" s="1">
        <v>44949</v>
      </c>
      <c r="BN1046" s="1">
        <v>44949</v>
      </c>
      <c r="BO1046" s="1">
        <v>44949</v>
      </c>
      <c r="BP1046" s="1">
        <v>46123</v>
      </c>
      <c r="BQ1046" t="s">
        <v>51</v>
      </c>
      <c r="BS1046" t="s">
        <v>60</v>
      </c>
      <c r="BT1046" t="s">
        <v>54</v>
      </c>
      <c r="BU1046" t="s">
        <v>61</v>
      </c>
      <c r="BV1046" t="s">
        <v>62</v>
      </c>
      <c r="BX1046">
        <v>36</v>
      </c>
      <c r="BY1046">
        <v>0</v>
      </c>
      <c r="BZ1046">
        <v>0</v>
      </c>
    </row>
    <row r="1047" spans="1:99" x14ac:dyDescent="0.2">
      <c r="A1047" t="s">
        <v>180</v>
      </c>
      <c r="B1047" t="s">
        <v>181</v>
      </c>
      <c r="C1047" t="s">
        <v>184</v>
      </c>
      <c r="D1047" t="s">
        <v>657</v>
      </c>
      <c r="F1047" t="str">
        <f>"250703"</f>
        <v>250703</v>
      </c>
      <c r="G1047" t="s">
        <v>49</v>
      </c>
      <c r="H1047" t="s">
        <v>281</v>
      </c>
      <c r="K1047" t="s">
        <v>51</v>
      </c>
      <c r="L1047" t="s">
        <v>52</v>
      </c>
      <c r="M1047">
        <v>136698.13</v>
      </c>
      <c r="N1047">
        <v>472340</v>
      </c>
      <c r="O1047" t="s">
        <v>53</v>
      </c>
      <c r="P1047" t="s">
        <v>54</v>
      </c>
      <c r="Q1047" t="s">
        <v>55</v>
      </c>
      <c r="T1047" t="s">
        <v>466</v>
      </c>
      <c r="U1047">
        <v>40</v>
      </c>
      <c r="V1047" s="1">
        <v>36342</v>
      </c>
      <c r="W1047" s="1">
        <v>36342</v>
      </c>
      <c r="X1047" s="1">
        <v>36342</v>
      </c>
      <c r="Y1047" s="1">
        <v>50952</v>
      </c>
      <c r="Z1047" t="s">
        <v>51</v>
      </c>
      <c r="AB1047" t="s">
        <v>54</v>
      </c>
      <c r="AC1047">
        <v>1</v>
      </c>
      <c r="AE1047" t="s">
        <v>116</v>
      </c>
      <c r="AF1047">
        <v>20</v>
      </c>
      <c r="AG1047" s="1">
        <v>36342</v>
      </c>
      <c r="AH1047" s="1">
        <v>36342</v>
      </c>
      <c r="AI1047" s="1">
        <v>36342</v>
      </c>
      <c r="AJ1047" s="1">
        <v>43647</v>
      </c>
      <c r="AK1047" t="s">
        <v>51</v>
      </c>
      <c r="AN1047">
        <v>0</v>
      </c>
      <c r="AO1047" t="s">
        <v>54</v>
      </c>
      <c r="AP1047" t="s">
        <v>53</v>
      </c>
      <c r="AQ1047">
        <v>0</v>
      </c>
      <c r="AR1047" t="s">
        <v>53</v>
      </c>
      <c r="AS1047">
        <v>0</v>
      </c>
      <c r="AT1047">
        <v>0</v>
      </c>
      <c r="AW1047" t="s">
        <v>58</v>
      </c>
      <c r="AX1047">
        <v>20</v>
      </c>
      <c r="AY1047" s="1">
        <v>36342</v>
      </c>
      <c r="AZ1047" s="1">
        <v>36342</v>
      </c>
      <c r="BA1047" s="1">
        <v>36342</v>
      </c>
      <c r="BB1047" s="1">
        <v>43647</v>
      </c>
      <c r="BC1047" t="s">
        <v>51</v>
      </c>
      <c r="BE1047" t="s">
        <v>54</v>
      </c>
      <c r="BF1047">
        <v>2</v>
      </c>
      <c r="BG1047">
        <v>0</v>
      </c>
      <c r="BH1047" t="s">
        <v>53</v>
      </c>
      <c r="BK1047" t="s">
        <v>65</v>
      </c>
      <c r="BL1047">
        <v>14000</v>
      </c>
      <c r="BM1047" s="1">
        <v>44844</v>
      </c>
      <c r="BN1047" s="1">
        <v>44844</v>
      </c>
      <c r="BO1047" s="1">
        <v>44844</v>
      </c>
      <c r="BP1047" s="1">
        <v>46006</v>
      </c>
      <c r="BQ1047" t="s">
        <v>51</v>
      </c>
      <c r="BS1047" t="s">
        <v>60</v>
      </c>
      <c r="BT1047" t="s">
        <v>54</v>
      </c>
      <c r="BU1047" t="s">
        <v>61</v>
      </c>
      <c r="BV1047" t="s">
        <v>62</v>
      </c>
      <c r="BX1047">
        <v>36</v>
      </c>
      <c r="BY1047">
        <v>0</v>
      </c>
      <c r="BZ1047">
        <v>0</v>
      </c>
    </row>
    <row r="1048" spans="1:99" x14ac:dyDescent="0.2">
      <c r="A1048" t="s">
        <v>180</v>
      </c>
      <c r="B1048" t="s">
        <v>181</v>
      </c>
      <c r="C1048" t="s">
        <v>184</v>
      </c>
      <c r="D1048" t="s">
        <v>657</v>
      </c>
      <c r="F1048" t="str">
        <f>"250704"</f>
        <v>250704</v>
      </c>
      <c r="G1048" t="s">
        <v>49</v>
      </c>
      <c r="H1048" t="s">
        <v>262</v>
      </c>
      <c r="K1048" t="s">
        <v>51</v>
      </c>
      <c r="L1048" t="s">
        <v>52</v>
      </c>
      <c r="M1048">
        <v>136722.94</v>
      </c>
      <c r="N1048">
        <v>472339.95</v>
      </c>
      <c r="O1048" t="s">
        <v>53</v>
      </c>
      <c r="P1048" t="s">
        <v>54</v>
      </c>
      <c r="Q1048" t="s">
        <v>55</v>
      </c>
      <c r="T1048" t="s">
        <v>466</v>
      </c>
      <c r="U1048">
        <v>40</v>
      </c>
      <c r="V1048" s="1">
        <v>36342</v>
      </c>
      <c r="W1048" s="1">
        <v>36342</v>
      </c>
      <c r="X1048" s="1">
        <v>36342</v>
      </c>
      <c r="Y1048" s="1">
        <v>50952</v>
      </c>
      <c r="Z1048" t="s">
        <v>51</v>
      </c>
      <c r="AB1048" t="s">
        <v>54</v>
      </c>
      <c r="AC1048">
        <v>1</v>
      </c>
      <c r="AE1048" t="s">
        <v>116</v>
      </c>
      <c r="AF1048">
        <v>20</v>
      </c>
      <c r="AG1048" s="1">
        <v>36342</v>
      </c>
      <c r="AH1048" s="1">
        <v>36342</v>
      </c>
      <c r="AI1048" s="1">
        <v>36342</v>
      </c>
      <c r="AJ1048" s="1">
        <v>43647</v>
      </c>
      <c r="AK1048" t="s">
        <v>51</v>
      </c>
      <c r="AN1048">
        <v>0</v>
      </c>
      <c r="AO1048" t="s">
        <v>54</v>
      </c>
      <c r="AP1048" t="s">
        <v>53</v>
      </c>
      <c r="AQ1048">
        <v>0</v>
      </c>
      <c r="AR1048" t="s">
        <v>53</v>
      </c>
      <c r="AS1048">
        <v>0</v>
      </c>
      <c r="AT1048">
        <v>0</v>
      </c>
      <c r="AW1048" t="s">
        <v>58</v>
      </c>
      <c r="AX1048">
        <v>20</v>
      </c>
      <c r="AY1048" s="1">
        <v>36342</v>
      </c>
      <c r="AZ1048" s="1">
        <v>36342</v>
      </c>
      <c r="BA1048" s="1">
        <v>36342</v>
      </c>
      <c r="BB1048" s="1">
        <v>43647</v>
      </c>
      <c r="BC1048" t="s">
        <v>51</v>
      </c>
      <c r="BE1048" t="s">
        <v>54</v>
      </c>
      <c r="BF1048">
        <v>2</v>
      </c>
      <c r="BG1048">
        <v>0</v>
      </c>
      <c r="BH1048" t="s">
        <v>53</v>
      </c>
      <c r="BK1048" t="s">
        <v>65</v>
      </c>
      <c r="BL1048">
        <v>14000</v>
      </c>
      <c r="BM1048" s="1">
        <v>41091</v>
      </c>
      <c r="BN1048" s="1">
        <v>41091</v>
      </c>
      <c r="BO1048" s="1">
        <v>41091</v>
      </c>
      <c r="BP1048" s="1">
        <v>42291</v>
      </c>
      <c r="BQ1048" t="s">
        <v>51</v>
      </c>
      <c r="BS1048" t="s">
        <v>60</v>
      </c>
      <c r="BT1048" t="s">
        <v>54</v>
      </c>
      <c r="BU1048" t="s">
        <v>61</v>
      </c>
      <c r="BV1048" t="s">
        <v>62</v>
      </c>
      <c r="BX1048">
        <v>36</v>
      </c>
      <c r="BY1048">
        <v>0</v>
      </c>
      <c r="BZ1048">
        <v>0</v>
      </c>
    </row>
    <row r="1049" spans="1:99" x14ac:dyDescent="0.2">
      <c r="A1049" t="s">
        <v>180</v>
      </c>
      <c r="B1049" t="s">
        <v>181</v>
      </c>
      <c r="C1049" t="s">
        <v>184</v>
      </c>
      <c r="D1049" t="s">
        <v>657</v>
      </c>
      <c r="F1049" t="str">
        <f>"250705"</f>
        <v>250705</v>
      </c>
      <c r="G1049" t="s">
        <v>49</v>
      </c>
      <c r="H1049" t="s">
        <v>312</v>
      </c>
      <c r="K1049" t="s">
        <v>51</v>
      </c>
      <c r="L1049" t="s">
        <v>52</v>
      </c>
      <c r="M1049">
        <v>136743.98000000001</v>
      </c>
      <c r="N1049">
        <v>472318.29</v>
      </c>
      <c r="O1049" t="s">
        <v>53</v>
      </c>
      <c r="P1049" t="s">
        <v>54</v>
      </c>
      <c r="Q1049" t="s">
        <v>55</v>
      </c>
      <c r="T1049" t="s">
        <v>466</v>
      </c>
      <c r="U1049">
        <v>40</v>
      </c>
      <c r="V1049" s="1">
        <v>36342</v>
      </c>
      <c r="W1049" s="1">
        <v>36342</v>
      </c>
      <c r="X1049" s="1">
        <v>36342</v>
      </c>
      <c r="Y1049" s="1">
        <v>50952</v>
      </c>
      <c r="Z1049" t="s">
        <v>51</v>
      </c>
      <c r="AB1049" t="s">
        <v>54</v>
      </c>
      <c r="AC1049">
        <v>1</v>
      </c>
      <c r="AE1049" t="s">
        <v>116</v>
      </c>
      <c r="AF1049">
        <v>20</v>
      </c>
      <c r="AG1049" s="1">
        <v>36342</v>
      </c>
      <c r="AH1049" s="1">
        <v>36342</v>
      </c>
      <c r="AI1049" s="1">
        <v>36342</v>
      </c>
      <c r="AJ1049" s="1">
        <v>43647</v>
      </c>
      <c r="AK1049" t="s">
        <v>51</v>
      </c>
      <c r="AN1049">
        <v>0</v>
      </c>
      <c r="AO1049" t="s">
        <v>54</v>
      </c>
      <c r="AP1049" t="s">
        <v>53</v>
      </c>
      <c r="AQ1049">
        <v>0</v>
      </c>
      <c r="AR1049" t="s">
        <v>53</v>
      </c>
      <c r="AS1049">
        <v>0</v>
      </c>
      <c r="AT1049">
        <v>0</v>
      </c>
      <c r="AW1049" t="s">
        <v>58</v>
      </c>
      <c r="AX1049">
        <v>20</v>
      </c>
      <c r="AY1049" s="1">
        <v>36342</v>
      </c>
      <c r="AZ1049" s="1">
        <v>36342</v>
      </c>
      <c r="BA1049" s="1">
        <v>36342</v>
      </c>
      <c r="BB1049" s="1">
        <v>43647</v>
      </c>
      <c r="BC1049" t="s">
        <v>51</v>
      </c>
      <c r="BE1049" t="s">
        <v>54</v>
      </c>
      <c r="BF1049">
        <v>2</v>
      </c>
      <c r="BG1049">
        <v>0</v>
      </c>
      <c r="BH1049" t="s">
        <v>53</v>
      </c>
      <c r="BK1049" t="s">
        <v>65</v>
      </c>
      <c r="BL1049">
        <v>14000</v>
      </c>
      <c r="BM1049" s="1">
        <v>44810</v>
      </c>
      <c r="BN1049" s="1">
        <v>44810</v>
      </c>
      <c r="BO1049" s="1">
        <v>44810</v>
      </c>
      <c r="BP1049" s="1">
        <v>45981</v>
      </c>
      <c r="BQ1049" t="s">
        <v>51</v>
      </c>
      <c r="BS1049" t="s">
        <v>60</v>
      </c>
      <c r="BT1049" t="s">
        <v>54</v>
      </c>
      <c r="BU1049" t="s">
        <v>61</v>
      </c>
      <c r="BV1049" t="s">
        <v>62</v>
      </c>
      <c r="BX1049">
        <v>36</v>
      </c>
      <c r="BY1049">
        <v>0</v>
      </c>
      <c r="BZ1049">
        <v>0</v>
      </c>
    </row>
    <row r="1050" spans="1:99" x14ac:dyDescent="0.2">
      <c r="A1050" t="s">
        <v>180</v>
      </c>
      <c r="B1050" t="s">
        <v>181</v>
      </c>
      <c r="C1050" t="s">
        <v>184</v>
      </c>
      <c r="D1050" t="s">
        <v>657</v>
      </c>
      <c r="F1050" t="str">
        <f>"250707"</f>
        <v>250707</v>
      </c>
      <c r="G1050" t="s">
        <v>49</v>
      </c>
      <c r="H1050" t="s">
        <v>236</v>
      </c>
      <c r="K1050" t="s">
        <v>51</v>
      </c>
      <c r="L1050" t="s">
        <v>52</v>
      </c>
      <c r="M1050">
        <v>136769.41</v>
      </c>
      <c r="N1050">
        <v>472318.75</v>
      </c>
      <c r="O1050" t="s">
        <v>53</v>
      </c>
      <c r="P1050" t="s">
        <v>54</v>
      </c>
      <c r="Q1050" t="s">
        <v>55</v>
      </c>
      <c r="T1050" t="s">
        <v>660</v>
      </c>
      <c r="U1050">
        <v>40</v>
      </c>
      <c r="V1050" s="1">
        <v>36342</v>
      </c>
      <c r="W1050" s="1">
        <v>36342</v>
      </c>
      <c r="X1050" s="1">
        <v>36342</v>
      </c>
      <c r="Y1050" s="1">
        <v>50952</v>
      </c>
      <c r="Z1050" t="s">
        <v>51</v>
      </c>
      <c r="AB1050" t="s">
        <v>54</v>
      </c>
      <c r="AC1050">
        <v>1</v>
      </c>
      <c r="AE1050" t="s">
        <v>116</v>
      </c>
      <c r="AF1050">
        <v>20</v>
      </c>
      <c r="AG1050" s="1">
        <v>36342</v>
      </c>
      <c r="AH1050" s="1">
        <v>36342</v>
      </c>
      <c r="AI1050" s="1">
        <v>36342</v>
      </c>
      <c r="AJ1050" s="1">
        <v>43647</v>
      </c>
      <c r="AK1050" t="s">
        <v>51</v>
      </c>
      <c r="AN1050">
        <v>0</v>
      </c>
      <c r="AO1050" t="s">
        <v>54</v>
      </c>
      <c r="AP1050" t="s">
        <v>53</v>
      </c>
      <c r="AQ1050">
        <v>0</v>
      </c>
      <c r="AR1050" t="s">
        <v>53</v>
      </c>
      <c r="AS1050">
        <v>0</v>
      </c>
      <c r="AT1050">
        <v>0</v>
      </c>
      <c r="AW1050" t="s">
        <v>58</v>
      </c>
      <c r="AX1050">
        <v>20</v>
      </c>
      <c r="AY1050" s="1">
        <v>36342</v>
      </c>
      <c r="AZ1050" s="1">
        <v>36342</v>
      </c>
      <c r="BA1050" s="1">
        <v>36342</v>
      </c>
      <c r="BB1050" s="1">
        <v>43647</v>
      </c>
      <c r="BC1050" t="s">
        <v>51</v>
      </c>
      <c r="BE1050" t="s">
        <v>54</v>
      </c>
      <c r="BF1050">
        <v>2</v>
      </c>
      <c r="BG1050">
        <v>0</v>
      </c>
      <c r="BH1050" t="s">
        <v>53</v>
      </c>
      <c r="BK1050" t="s">
        <v>65</v>
      </c>
      <c r="BL1050">
        <v>14000</v>
      </c>
      <c r="BM1050" s="1">
        <v>44956</v>
      </c>
      <c r="BN1050" s="1">
        <v>44956</v>
      </c>
      <c r="BO1050" s="1">
        <v>44956</v>
      </c>
      <c r="BP1050" s="1">
        <v>46134</v>
      </c>
      <c r="BQ1050" t="s">
        <v>51</v>
      </c>
      <c r="BS1050" t="s">
        <v>60</v>
      </c>
      <c r="BT1050" t="s">
        <v>54</v>
      </c>
      <c r="BU1050" t="s">
        <v>61</v>
      </c>
      <c r="BV1050" t="s">
        <v>62</v>
      </c>
      <c r="BX1050">
        <v>36</v>
      </c>
      <c r="BY1050">
        <v>0</v>
      </c>
      <c r="BZ1050">
        <v>0</v>
      </c>
    </row>
    <row r="1051" spans="1:99" x14ac:dyDescent="0.2">
      <c r="A1051" t="s">
        <v>180</v>
      </c>
      <c r="B1051" t="s">
        <v>181</v>
      </c>
      <c r="C1051" t="s">
        <v>184</v>
      </c>
      <c r="D1051" t="s">
        <v>657</v>
      </c>
      <c r="F1051" t="str">
        <f>"250708"</f>
        <v>250708</v>
      </c>
      <c r="G1051" t="s">
        <v>49</v>
      </c>
      <c r="H1051" t="s">
        <v>175</v>
      </c>
      <c r="K1051" t="s">
        <v>51</v>
      </c>
      <c r="L1051" t="s">
        <v>52</v>
      </c>
      <c r="M1051">
        <v>136791.53</v>
      </c>
      <c r="N1051">
        <v>472307.63</v>
      </c>
      <c r="O1051" t="s">
        <v>53</v>
      </c>
      <c r="P1051" t="s">
        <v>54</v>
      </c>
      <c r="Q1051" t="s">
        <v>55</v>
      </c>
      <c r="T1051" t="s">
        <v>466</v>
      </c>
      <c r="U1051">
        <v>40</v>
      </c>
      <c r="V1051" s="1">
        <v>36342</v>
      </c>
      <c r="W1051" s="1">
        <v>36342</v>
      </c>
      <c r="X1051" s="1">
        <v>36342</v>
      </c>
      <c r="Y1051" s="1">
        <v>50952</v>
      </c>
      <c r="Z1051" t="s">
        <v>51</v>
      </c>
      <c r="AB1051" t="s">
        <v>54</v>
      </c>
      <c r="AC1051">
        <v>1</v>
      </c>
      <c r="AE1051" t="s">
        <v>116</v>
      </c>
      <c r="AF1051">
        <v>20</v>
      </c>
      <c r="AG1051" s="1">
        <v>36342</v>
      </c>
      <c r="AH1051" s="1">
        <v>36342</v>
      </c>
      <c r="AI1051" s="1">
        <v>36342</v>
      </c>
      <c r="AJ1051" s="1">
        <v>43647</v>
      </c>
      <c r="AK1051" t="s">
        <v>51</v>
      </c>
      <c r="AN1051">
        <v>0</v>
      </c>
      <c r="AO1051" t="s">
        <v>54</v>
      </c>
      <c r="AP1051" t="s">
        <v>53</v>
      </c>
      <c r="AQ1051">
        <v>0</v>
      </c>
      <c r="AR1051" t="s">
        <v>53</v>
      </c>
      <c r="AS1051">
        <v>0</v>
      </c>
      <c r="AT1051">
        <v>0</v>
      </c>
      <c r="AW1051" t="s">
        <v>58</v>
      </c>
      <c r="AX1051">
        <v>20</v>
      </c>
      <c r="AY1051" s="1">
        <v>36342</v>
      </c>
      <c r="AZ1051" s="1">
        <v>36342</v>
      </c>
      <c r="BA1051" s="1">
        <v>36342</v>
      </c>
      <c r="BB1051" s="1">
        <v>43647</v>
      </c>
      <c r="BC1051" t="s">
        <v>51</v>
      </c>
      <c r="BE1051" t="s">
        <v>54</v>
      </c>
      <c r="BF1051">
        <v>2</v>
      </c>
      <c r="BG1051">
        <v>0</v>
      </c>
      <c r="BH1051" t="s">
        <v>53</v>
      </c>
      <c r="BK1051" t="s">
        <v>65</v>
      </c>
      <c r="BL1051">
        <v>14000</v>
      </c>
      <c r="BM1051" s="1">
        <v>44949</v>
      </c>
      <c r="BN1051" s="1">
        <v>44949</v>
      </c>
      <c r="BO1051" s="1">
        <v>44949</v>
      </c>
      <c r="BP1051" s="1">
        <v>46123</v>
      </c>
      <c r="BQ1051" t="s">
        <v>51</v>
      </c>
      <c r="BS1051" t="s">
        <v>60</v>
      </c>
      <c r="BT1051" t="s">
        <v>54</v>
      </c>
      <c r="BU1051" t="s">
        <v>61</v>
      </c>
      <c r="BV1051" t="s">
        <v>62</v>
      </c>
      <c r="BX1051">
        <v>36</v>
      </c>
      <c r="BY1051">
        <v>0</v>
      </c>
      <c r="BZ1051">
        <v>0</v>
      </c>
    </row>
    <row r="1052" spans="1:99" x14ac:dyDescent="0.2">
      <c r="A1052" t="s">
        <v>180</v>
      </c>
      <c r="B1052" t="s">
        <v>181</v>
      </c>
      <c r="C1052" t="s">
        <v>184</v>
      </c>
      <c r="D1052" t="s">
        <v>657</v>
      </c>
      <c r="F1052" t="str">
        <f>"250709"</f>
        <v>250709</v>
      </c>
      <c r="G1052" t="s">
        <v>49</v>
      </c>
      <c r="H1052" t="s">
        <v>275</v>
      </c>
      <c r="K1052" t="s">
        <v>51</v>
      </c>
      <c r="L1052" t="s">
        <v>52</v>
      </c>
      <c r="M1052">
        <v>136765.75</v>
      </c>
      <c r="N1052">
        <v>472304.72</v>
      </c>
      <c r="O1052" t="s">
        <v>53</v>
      </c>
      <c r="P1052" t="s">
        <v>54</v>
      </c>
      <c r="Q1052" t="s">
        <v>55</v>
      </c>
      <c r="T1052" t="s">
        <v>661</v>
      </c>
      <c r="U1052">
        <v>40</v>
      </c>
      <c r="V1052" s="1">
        <v>36342</v>
      </c>
      <c r="W1052" s="1">
        <v>36342</v>
      </c>
      <c r="X1052" s="1">
        <v>36342</v>
      </c>
      <c r="Y1052" s="1">
        <v>50952</v>
      </c>
      <c r="Z1052" t="s">
        <v>51</v>
      </c>
      <c r="AB1052" t="s">
        <v>54</v>
      </c>
      <c r="AC1052">
        <v>1</v>
      </c>
      <c r="AE1052" t="s">
        <v>222</v>
      </c>
      <c r="AF1052">
        <v>20</v>
      </c>
      <c r="AG1052" s="1">
        <v>36342</v>
      </c>
      <c r="AH1052" s="1">
        <v>36342</v>
      </c>
      <c r="AI1052" s="1">
        <v>36342</v>
      </c>
      <c r="AJ1052" s="1">
        <v>43647</v>
      </c>
      <c r="AK1052" t="s">
        <v>51</v>
      </c>
      <c r="AN1052">
        <v>0</v>
      </c>
      <c r="AO1052" t="s">
        <v>54</v>
      </c>
      <c r="AP1052" t="s">
        <v>53</v>
      </c>
      <c r="AQ1052">
        <v>0</v>
      </c>
      <c r="AR1052" t="s">
        <v>53</v>
      </c>
      <c r="AS1052">
        <v>0</v>
      </c>
      <c r="AT1052">
        <v>0</v>
      </c>
      <c r="AW1052" t="s">
        <v>58</v>
      </c>
      <c r="AX1052">
        <v>20</v>
      </c>
      <c r="AY1052" s="1">
        <v>43838</v>
      </c>
      <c r="AZ1052" s="1">
        <v>43838</v>
      </c>
      <c r="BA1052" s="1">
        <v>43838</v>
      </c>
      <c r="BB1052" s="1">
        <v>51143</v>
      </c>
      <c r="BC1052" t="s">
        <v>51</v>
      </c>
      <c r="BE1052" t="s">
        <v>54</v>
      </c>
      <c r="BF1052">
        <v>2</v>
      </c>
      <c r="BG1052">
        <v>0</v>
      </c>
      <c r="BH1052" t="s">
        <v>53</v>
      </c>
      <c r="BK1052" t="s">
        <v>59</v>
      </c>
      <c r="BL1052">
        <v>14000</v>
      </c>
      <c r="BM1052" s="1">
        <v>43473</v>
      </c>
      <c r="BN1052" s="1">
        <v>43473</v>
      </c>
      <c r="BO1052" s="1">
        <v>43838</v>
      </c>
      <c r="BP1052" s="1">
        <v>44640</v>
      </c>
      <c r="BQ1052" t="s">
        <v>51</v>
      </c>
      <c r="BS1052" t="s">
        <v>60</v>
      </c>
      <c r="BT1052" t="s">
        <v>54</v>
      </c>
      <c r="BU1052" t="s">
        <v>61</v>
      </c>
      <c r="BV1052" t="s">
        <v>62</v>
      </c>
      <c r="BX1052">
        <v>24</v>
      </c>
      <c r="BY1052">
        <v>0</v>
      </c>
      <c r="BZ1052">
        <v>0</v>
      </c>
    </row>
    <row r="1053" spans="1:99" x14ac:dyDescent="0.2">
      <c r="A1053" t="s">
        <v>180</v>
      </c>
      <c r="B1053" t="s">
        <v>181</v>
      </c>
      <c r="C1053" t="s">
        <v>184</v>
      </c>
      <c r="D1053" t="s">
        <v>657</v>
      </c>
      <c r="F1053" t="str">
        <f>"250710"</f>
        <v>250710</v>
      </c>
      <c r="G1053" t="s">
        <v>49</v>
      </c>
      <c r="K1053" t="s">
        <v>51</v>
      </c>
      <c r="L1053" t="s">
        <v>52</v>
      </c>
      <c r="M1053">
        <v>136794.68</v>
      </c>
      <c r="N1053">
        <v>472287.83</v>
      </c>
      <c r="O1053" t="s">
        <v>53</v>
      </c>
      <c r="P1053" t="s">
        <v>54</v>
      </c>
      <c r="Q1053" t="s">
        <v>55</v>
      </c>
      <c r="T1053" t="s">
        <v>661</v>
      </c>
      <c r="U1053">
        <v>40</v>
      </c>
      <c r="V1053" s="1">
        <v>36342</v>
      </c>
      <c r="W1053" s="1">
        <v>36342</v>
      </c>
      <c r="X1053" s="1">
        <v>36342</v>
      </c>
      <c r="Y1053" s="1">
        <v>50952</v>
      </c>
      <c r="Z1053" t="s">
        <v>51</v>
      </c>
      <c r="AB1053" t="s">
        <v>54</v>
      </c>
      <c r="AC1053">
        <v>1</v>
      </c>
      <c r="AE1053" t="s">
        <v>222</v>
      </c>
      <c r="AF1053">
        <v>20</v>
      </c>
      <c r="AG1053" s="1">
        <v>36342</v>
      </c>
      <c r="AH1053" s="1">
        <v>36342</v>
      </c>
      <c r="AI1053" s="1">
        <v>36342</v>
      </c>
      <c r="AJ1053" s="1">
        <v>43647</v>
      </c>
      <c r="AK1053" t="s">
        <v>51</v>
      </c>
      <c r="AN1053">
        <v>0</v>
      </c>
      <c r="AO1053" t="s">
        <v>54</v>
      </c>
      <c r="AP1053" t="s">
        <v>53</v>
      </c>
      <c r="AQ1053">
        <v>0</v>
      </c>
      <c r="AR1053" t="s">
        <v>53</v>
      </c>
      <c r="AS1053">
        <v>0</v>
      </c>
      <c r="AT1053">
        <v>0</v>
      </c>
      <c r="AW1053" t="s">
        <v>58</v>
      </c>
      <c r="AX1053">
        <v>20</v>
      </c>
      <c r="AY1053" s="1">
        <v>36342</v>
      </c>
      <c r="AZ1053" s="1">
        <v>36342</v>
      </c>
      <c r="BA1053" s="1">
        <v>36342</v>
      </c>
      <c r="BB1053" s="1">
        <v>43647</v>
      </c>
      <c r="BC1053" t="s">
        <v>51</v>
      </c>
      <c r="BE1053" t="s">
        <v>54</v>
      </c>
      <c r="BF1053">
        <v>2</v>
      </c>
      <c r="BG1053">
        <v>0</v>
      </c>
      <c r="BH1053" t="s">
        <v>53</v>
      </c>
      <c r="BK1053" t="s">
        <v>59</v>
      </c>
      <c r="BL1053">
        <v>14000</v>
      </c>
      <c r="BM1053" s="1">
        <v>42917</v>
      </c>
      <c r="BN1053" s="1">
        <v>42917</v>
      </c>
      <c r="BO1053" s="1">
        <v>42917</v>
      </c>
      <c r="BP1053" s="1">
        <v>44117</v>
      </c>
      <c r="BQ1053" t="s">
        <v>51</v>
      </c>
      <c r="BS1053" t="s">
        <v>60</v>
      </c>
      <c r="BT1053" t="s">
        <v>54</v>
      </c>
      <c r="BU1053" t="s">
        <v>61</v>
      </c>
      <c r="BV1053" t="s">
        <v>62</v>
      </c>
      <c r="BX1053">
        <v>24</v>
      </c>
      <c r="BY1053">
        <v>0</v>
      </c>
      <c r="BZ1053">
        <v>0</v>
      </c>
    </row>
    <row r="1054" spans="1:99" x14ac:dyDescent="0.2">
      <c r="A1054" t="s">
        <v>180</v>
      </c>
      <c r="B1054" t="s">
        <v>181</v>
      </c>
      <c r="C1054" t="s">
        <v>184</v>
      </c>
      <c r="D1054" t="s">
        <v>662</v>
      </c>
      <c r="F1054" t="str">
        <f>"250712"</f>
        <v>250712</v>
      </c>
      <c r="G1054" t="s">
        <v>49</v>
      </c>
      <c r="H1054">
        <v>2</v>
      </c>
      <c r="K1054" t="s">
        <v>51</v>
      </c>
      <c r="L1054" t="s">
        <v>52</v>
      </c>
      <c r="M1054">
        <v>136073.42000000001</v>
      </c>
      <c r="N1054">
        <v>472618.87</v>
      </c>
      <c r="O1054" t="s">
        <v>53</v>
      </c>
      <c r="P1054" t="s">
        <v>54</v>
      </c>
      <c r="Q1054" t="s">
        <v>55</v>
      </c>
      <c r="T1054" t="s">
        <v>466</v>
      </c>
      <c r="U1054">
        <v>40</v>
      </c>
      <c r="V1054" s="1">
        <v>30133</v>
      </c>
      <c r="W1054" s="1">
        <v>30133</v>
      </c>
      <c r="X1054" s="1">
        <v>30133</v>
      </c>
      <c r="Y1054" s="1">
        <v>44743</v>
      </c>
      <c r="Z1054" t="s">
        <v>51</v>
      </c>
      <c r="AB1054" t="s">
        <v>54</v>
      </c>
      <c r="AC1054">
        <v>1</v>
      </c>
      <c r="AE1054" t="s">
        <v>84</v>
      </c>
      <c r="AF1054">
        <v>20</v>
      </c>
      <c r="AG1054" s="1">
        <v>30133</v>
      </c>
      <c r="AH1054" s="1">
        <v>30133</v>
      </c>
      <c r="AI1054" s="1">
        <v>30133</v>
      </c>
      <c r="AJ1054" s="1">
        <v>37438</v>
      </c>
      <c r="AK1054" t="s">
        <v>51</v>
      </c>
      <c r="AN1054">
        <v>0</v>
      </c>
      <c r="AO1054" t="s">
        <v>54</v>
      </c>
      <c r="AP1054" t="s">
        <v>53</v>
      </c>
      <c r="AQ1054">
        <v>0</v>
      </c>
      <c r="AR1054" t="s">
        <v>53</v>
      </c>
      <c r="AS1054">
        <v>0</v>
      </c>
      <c r="AT1054">
        <v>0</v>
      </c>
      <c r="CA1054">
        <v>1</v>
      </c>
      <c r="CC1054" t="s">
        <v>185</v>
      </c>
      <c r="CD1054">
        <v>85000</v>
      </c>
      <c r="CE1054" s="1">
        <v>42552</v>
      </c>
      <c r="CF1054" s="1">
        <v>42552</v>
      </c>
      <c r="CG1054" s="1">
        <v>42552</v>
      </c>
      <c r="CH1054" s="1">
        <v>49714</v>
      </c>
      <c r="CI1054" t="s">
        <v>51</v>
      </c>
      <c r="CK1054" t="s">
        <v>78</v>
      </c>
      <c r="CM1054" t="s">
        <v>54</v>
      </c>
      <c r="CN1054" t="s">
        <v>174</v>
      </c>
      <c r="CO1054" t="s">
        <v>86</v>
      </c>
      <c r="CR1054">
        <v>15</v>
      </c>
      <c r="CS1054">
        <v>0</v>
      </c>
      <c r="CT1054">
        <v>0</v>
      </c>
      <c r="CU1054">
        <v>0</v>
      </c>
    </row>
    <row r="1055" spans="1:99" x14ac:dyDescent="0.2">
      <c r="A1055" t="s">
        <v>180</v>
      </c>
      <c r="B1055" t="s">
        <v>181</v>
      </c>
      <c r="C1055" t="s">
        <v>184</v>
      </c>
      <c r="D1055" t="s">
        <v>662</v>
      </c>
      <c r="F1055" t="str">
        <f>"250713"</f>
        <v>250713</v>
      </c>
      <c r="G1055" t="s">
        <v>49</v>
      </c>
      <c r="H1055">
        <v>3</v>
      </c>
      <c r="K1055" t="s">
        <v>51</v>
      </c>
      <c r="L1055" t="s">
        <v>52</v>
      </c>
      <c r="M1055">
        <v>136068.1</v>
      </c>
      <c r="N1055">
        <v>472591.35</v>
      </c>
      <c r="O1055" t="s">
        <v>53</v>
      </c>
      <c r="P1055" t="s">
        <v>54</v>
      </c>
      <c r="Q1055" t="s">
        <v>55</v>
      </c>
      <c r="T1055" t="s">
        <v>466</v>
      </c>
      <c r="U1055">
        <v>40</v>
      </c>
      <c r="V1055" s="1">
        <v>30133</v>
      </c>
      <c r="W1055" s="1">
        <v>30133</v>
      </c>
      <c r="X1055" s="1">
        <v>30133</v>
      </c>
      <c r="Y1055" s="1">
        <v>44743</v>
      </c>
      <c r="Z1055" t="s">
        <v>51</v>
      </c>
      <c r="AB1055" t="s">
        <v>54</v>
      </c>
      <c r="AC1055">
        <v>1</v>
      </c>
      <c r="AE1055" t="s">
        <v>84</v>
      </c>
      <c r="AF1055">
        <v>20</v>
      </c>
      <c r="AG1055" s="1">
        <v>30133</v>
      </c>
      <c r="AH1055" s="1">
        <v>30133</v>
      </c>
      <c r="AI1055" s="1">
        <v>30133</v>
      </c>
      <c r="AJ1055" s="1">
        <v>37438</v>
      </c>
      <c r="AK1055" t="s">
        <v>51</v>
      </c>
      <c r="AN1055">
        <v>0</v>
      </c>
      <c r="AO1055" t="s">
        <v>54</v>
      </c>
      <c r="AP1055" t="s">
        <v>53</v>
      </c>
      <c r="AQ1055">
        <v>0</v>
      </c>
      <c r="AR1055" t="s">
        <v>53</v>
      </c>
      <c r="AS1055">
        <v>0</v>
      </c>
      <c r="AT1055">
        <v>0</v>
      </c>
      <c r="CA1055">
        <v>1</v>
      </c>
      <c r="CC1055" t="s">
        <v>185</v>
      </c>
      <c r="CD1055">
        <v>85000</v>
      </c>
      <c r="CE1055" s="1">
        <v>42552</v>
      </c>
      <c r="CF1055" s="1">
        <v>42552</v>
      </c>
      <c r="CG1055" s="1">
        <v>42552</v>
      </c>
      <c r="CH1055" s="1">
        <v>49714</v>
      </c>
      <c r="CI1055" t="s">
        <v>51</v>
      </c>
      <c r="CK1055" t="s">
        <v>78</v>
      </c>
      <c r="CM1055" t="s">
        <v>54</v>
      </c>
      <c r="CN1055" t="s">
        <v>174</v>
      </c>
      <c r="CO1055" t="s">
        <v>86</v>
      </c>
      <c r="CR1055">
        <v>15</v>
      </c>
      <c r="CS1055">
        <v>0</v>
      </c>
      <c r="CT1055">
        <v>0</v>
      </c>
      <c r="CU1055">
        <v>0</v>
      </c>
    </row>
    <row r="1056" spans="1:99" x14ac:dyDescent="0.2">
      <c r="A1056" t="s">
        <v>180</v>
      </c>
      <c r="B1056" t="s">
        <v>181</v>
      </c>
      <c r="C1056" t="s">
        <v>184</v>
      </c>
      <c r="D1056" t="s">
        <v>662</v>
      </c>
      <c r="F1056" t="str">
        <f>"250714"</f>
        <v>250714</v>
      </c>
      <c r="G1056" t="s">
        <v>49</v>
      </c>
      <c r="H1056">
        <v>20</v>
      </c>
      <c r="K1056" t="s">
        <v>51</v>
      </c>
      <c r="L1056" t="s">
        <v>52</v>
      </c>
      <c r="M1056">
        <v>136052.01</v>
      </c>
      <c r="N1056">
        <v>472566.91</v>
      </c>
      <c r="O1056" t="s">
        <v>53</v>
      </c>
      <c r="P1056" t="s">
        <v>54</v>
      </c>
      <c r="Q1056" t="s">
        <v>55</v>
      </c>
      <c r="T1056" t="s">
        <v>466</v>
      </c>
      <c r="U1056">
        <v>40</v>
      </c>
      <c r="V1056" s="1">
        <v>30133</v>
      </c>
      <c r="W1056" s="1">
        <v>30133</v>
      </c>
      <c r="X1056" s="1">
        <v>30133</v>
      </c>
      <c r="Y1056" s="1">
        <v>44743</v>
      </c>
      <c r="Z1056" t="s">
        <v>51</v>
      </c>
      <c r="AB1056" t="s">
        <v>54</v>
      </c>
      <c r="AC1056">
        <v>1</v>
      </c>
      <c r="AE1056" t="s">
        <v>621</v>
      </c>
      <c r="AF1056">
        <v>20</v>
      </c>
      <c r="AG1056" s="1">
        <v>30133</v>
      </c>
      <c r="AH1056" s="1">
        <v>30133</v>
      </c>
      <c r="AI1056" s="1">
        <v>30133</v>
      </c>
      <c r="AJ1056" s="1">
        <v>37438</v>
      </c>
      <c r="AK1056" t="s">
        <v>51</v>
      </c>
      <c r="AN1056">
        <v>0</v>
      </c>
      <c r="AO1056" t="s">
        <v>54</v>
      </c>
      <c r="AP1056" t="s">
        <v>53</v>
      </c>
      <c r="AQ1056">
        <v>0</v>
      </c>
      <c r="AR1056" t="s">
        <v>53</v>
      </c>
      <c r="AS1056">
        <v>0</v>
      </c>
      <c r="AT1056">
        <v>0</v>
      </c>
      <c r="CA1056">
        <v>1</v>
      </c>
      <c r="CC1056" t="s">
        <v>555</v>
      </c>
      <c r="CD1056">
        <v>85000</v>
      </c>
      <c r="CE1056" s="1">
        <v>42552</v>
      </c>
      <c r="CF1056" s="1">
        <v>42552</v>
      </c>
      <c r="CG1056" s="1">
        <v>42552</v>
      </c>
      <c r="CH1056" s="1">
        <v>49714</v>
      </c>
      <c r="CI1056" t="s">
        <v>51</v>
      </c>
      <c r="CK1056" t="s">
        <v>78</v>
      </c>
      <c r="CM1056" t="s">
        <v>54</v>
      </c>
      <c r="CN1056" t="s">
        <v>174</v>
      </c>
      <c r="CO1056" t="s">
        <v>86</v>
      </c>
      <c r="CR1056">
        <v>20</v>
      </c>
      <c r="CS1056">
        <v>0</v>
      </c>
      <c r="CT1056">
        <v>0</v>
      </c>
      <c r="CU1056">
        <v>0</v>
      </c>
    </row>
    <row r="1057" spans="1:99" x14ac:dyDescent="0.2">
      <c r="A1057" t="s">
        <v>180</v>
      </c>
      <c r="B1057" t="s">
        <v>181</v>
      </c>
      <c r="C1057" t="s">
        <v>184</v>
      </c>
      <c r="D1057" t="s">
        <v>662</v>
      </c>
      <c r="F1057" t="str">
        <f>"250715"</f>
        <v>250715</v>
      </c>
      <c r="G1057" t="s">
        <v>49</v>
      </c>
      <c r="H1057" t="s">
        <v>663</v>
      </c>
      <c r="K1057" t="s">
        <v>51</v>
      </c>
      <c r="L1057" t="s">
        <v>52</v>
      </c>
      <c r="M1057">
        <v>136060.92000000001</v>
      </c>
      <c r="N1057">
        <v>472542.81</v>
      </c>
      <c r="O1057" t="s">
        <v>53</v>
      </c>
      <c r="P1057" t="s">
        <v>54</v>
      </c>
      <c r="Q1057" t="s">
        <v>55</v>
      </c>
      <c r="T1057" t="s">
        <v>466</v>
      </c>
      <c r="U1057">
        <v>40</v>
      </c>
      <c r="V1057" s="1">
        <v>30133</v>
      </c>
      <c r="W1057" s="1">
        <v>30133</v>
      </c>
      <c r="X1057" s="1">
        <v>30133</v>
      </c>
      <c r="Y1057" s="1">
        <v>44743</v>
      </c>
      <c r="Z1057" t="s">
        <v>51</v>
      </c>
      <c r="AB1057" t="s">
        <v>54</v>
      </c>
      <c r="AC1057">
        <v>1</v>
      </c>
      <c r="AE1057" t="s">
        <v>84</v>
      </c>
      <c r="AF1057">
        <v>20</v>
      </c>
      <c r="AG1057" s="1">
        <v>30133</v>
      </c>
      <c r="AH1057" s="1">
        <v>30133</v>
      </c>
      <c r="AI1057" s="1">
        <v>30133</v>
      </c>
      <c r="AJ1057" s="1">
        <v>37438</v>
      </c>
      <c r="AK1057" t="s">
        <v>51</v>
      </c>
      <c r="AN1057">
        <v>0</v>
      </c>
      <c r="AO1057" t="s">
        <v>54</v>
      </c>
      <c r="AP1057" t="s">
        <v>53</v>
      </c>
      <c r="AQ1057">
        <v>0</v>
      </c>
      <c r="AR1057" t="s">
        <v>53</v>
      </c>
      <c r="AS1057">
        <v>0</v>
      </c>
      <c r="AT1057">
        <v>0</v>
      </c>
      <c r="CA1057">
        <v>1</v>
      </c>
      <c r="CC1057" t="s">
        <v>185</v>
      </c>
      <c r="CD1057">
        <v>85000</v>
      </c>
      <c r="CE1057" s="1">
        <v>44574</v>
      </c>
      <c r="CF1057" s="1">
        <v>44574</v>
      </c>
      <c r="CG1057" s="1">
        <v>44574</v>
      </c>
      <c r="CH1057" s="1">
        <v>51788</v>
      </c>
      <c r="CI1057" t="s">
        <v>51</v>
      </c>
      <c r="CK1057" t="s">
        <v>78</v>
      </c>
      <c r="CM1057" t="s">
        <v>54</v>
      </c>
      <c r="CN1057" t="s">
        <v>174</v>
      </c>
      <c r="CO1057" t="s">
        <v>86</v>
      </c>
      <c r="CR1057">
        <v>15</v>
      </c>
      <c r="CS1057">
        <v>0</v>
      </c>
      <c r="CT1057">
        <v>0</v>
      </c>
      <c r="CU1057">
        <v>0</v>
      </c>
    </row>
    <row r="1058" spans="1:99" x14ac:dyDescent="0.2">
      <c r="A1058" t="s">
        <v>180</v>
      </c>
      <c r="B1058" t="s">
        <v>181</v>
      </c>
      <c r="C1058" t="s">
        <v>184</v>
      </c>
      <c r="D1058" t="s">
        <v>662</v>
      </c>
      <c r="F1058" t="str">
        <f>"250716"</f>
        <v>250716</v>
      </c>
      <c r="G1058" t="s">
        <v>49</v>
      </c>
      <c r="K1058" t="s">
        <v>51</v>
      </c>
      <c r="L1058" t="s">
        <v>52</v>
      </c>
      <c r="M1058">
        <v>136062.57999999999</v>
      </c>
      <c r="N1058">
        <v>472545.03</v>
      </c>
      <c r="O1058" t="s">
        <v>53</v>
      </c>
      <c r="P1058" t="s">
        <v>54</v>
      </c>
      <c r="Q1058" t="s">
        <v>55</v>
      </c>
      <c r="T1058" t="s">
        <v>466</v>
      </c>
      <c r="U1058">
        <v>40</v>
      </c>
      <c r="V1058" s="1">
        <v>30133</v>
      </c>
      <c r="W1058" s="1">
        <v>30133</v>
      </c>
      <c r="X1058" s="1">
        <v>30133</v>
      </c>
      <c r="Y1058" s="1">
        <v>44743</v>
      </c>
      <c r="Z1058" t="s">
        <v>51</v>
      </c>
      <c r="AB1058" t="s">
        <v>54</v>
      </c>
      <c r="AC1058">
        <v>1</v>
      </c>
      <c r="AE1058" t="s">
        <v>84</v>
      </c>
      <c r="AF1058">
        <v>20</v>
      </c>
      <c r="AG1058" s="1">
        <v>30133</v>
      </c>
      <c r="AH1058" s="1">
        <v>30133</v>
      </c>
      <c r="AI1058" s="1">
        <v>30133</v>
      </c>
      <c r="AJ1058" s="1">
        <v>37438</v>
      </c>
      <c r="AK1058" t="s">
        <v>51</v>
      </c>
      <c r="AN1058">
        <v>0</v>
      </c>
      <c r="AO1058" t="s">
        <v>54</v>
      </c>
      <c r="AP1058" t="s">
        <v>53</v>
      </c>
      <c r="AQ1058">
        <v>0</v>
      </c>
      <c r="AR1058" t="s">
        <v>53</v>
      </c>
      <c r="AS1058">
        <v>0</v>
      </c>
      <c r="AT1058">
        <v>0</v>
      </c>
      <c r="CA1058">
        <v>1</v>
      </c>
      <c r="CC1058" t="s">
        <v>185</v>
      </c>
      <c r="CD1058">
        <v>85000</v>
      </c>
      <c r="CE1058" s="1">
        <v>42552</v>
      </c>
      <c r="CF1058" s="1">
        <v>42552</v>
      </c>
      <c r="CG1058" s="1">
        <v>42552</v>
      </c>
      <c r="CH1058" s="1">
        <v>49714</v>
      </c>
      <c r="CI1058" t="s">
        <v>51</v>
      </c>
      <c r="CK1058" t="s">
        <v>78</v>
      </c>
      <c r="CM1058" t="s">
        <v>54</v>
      </c>
      <c r="CN1058" t="s">
        <v>174</v>
      </c>
      <c r="CO1058" t="s">
        <v>86</v>
      </c>
      <c r="CR1058">
        <v>15</v>
      </c>
      <c r="CS1058">
        <v>0</v>
      </c>
      <c r="CT1058">
        <v>0</v>
      </c>
      <c r="CU1058">
        <v>0</v>
      </c>
    </row>
    <row r="1059" spans="1:99" x14ac:dyDescent="0.2">
      <c r="A1059" t="s">
        <v>180</v>
      </c>
      <c r="B1059" t="s">
        <v>181</v>
      </c>
      <c r="C1059" t="s">
        <v>184</v>
      </c>
      <c r="D1059" t="s">
        <v>662</v>
      </c>
      <c r="F1059" t="str">
        <f>"250717"</f>
        <v>250717</v>
      </c>
      <c r="G1059" t="s">
        <v>49</v>
      </c>
      <c r="H1059" t="s">
        <v>664</v>
      </c>
      <c r="K1059" t="s">
        <v>51</v>
      </c>
      <c r="L1059" t="s">
        <v>52</v>
      </c>
      <c r="M1059">
        <v>136059.57999999999</v>
      </c>
      <c r="N1059">
        <v>472518.13</v>
      </c>
      <c r="O1059" t="s">
        <v>53</v>
      </c>
      <c r="P1059" t="s">
        <v>54</v>
      </c>
      <c r="Q1059" t="s">
        <v>55</v>
      </c>
      <c r="T1059" t="s">
        <v>466</v>
      </c>
      <c r="U1059">
        <v>40</v>
      </c>
      <c r="V1059" s="1">
        <v>29952</v>
      </c>
      <c r="W1059" s="1">
        <v>29952</v>
      </c>
      <c r="X1059" s="1">
        <v>29952</v>
      </c>
      <c r="Y1059" s="1">
        <v>44562</v>
      </c>
      <c r="Z1059" t="s">
        <v>51</v>
      </c>
      <c r="AB1059" t="s">
        <v>54</v>
      </c>
      <c r="AC1059">
        <v>1</v>
      </c>
      <c r="AE1059" t="s">
        <v>84</v>
      </c>
      <c r="AF1059">
        <v>20</v>
      </c>
      <c r="AG1059" s="1">
        <v>29952</v>
      </c>
      <c r="AH1059" s="1">
        <v>29952</v>
      </c>
      <c r="AI1059" s="1">
        <v>29952</v>
      </c>
      <c r="AJ1059" s="1">
        <v>37257</v>
      </c>
      <c r="AK1059" t="s">
        <v>51</v>
      </c>
      <c r="AN1059">
        <v>0</v>
      </c>
      <c r="AO1059" t="s">
        <v>54</v>
      </c>
      <c r="AP1059" t="s">
        <v>53</v>
      </c>
      <c r="AQ1059">
        <v>0</v>
      </c>
      <c r="AR1059" t="s">
        <v>53</v>
      </c>
      <c r="AS1059">
        <v>0</v>
      </c>
      <c r="AT1059">
        <v>0</v>
      </c>
      <c r="CA1059">
        <v>1</v>
      </c>
      <c r="CC1059" t="s">
        <v>185</v>
      </c>
      <c r="CD1059">
        <v>85000</v>
      </c>
      <c r="CE1059" s="1">
        <v>42552</v>
      </c>
      <c r="CF1059" s="1">
        <v>42552</v>
      </c>
      <c r="CG1059" s="1">
        <v>42552</v>
      </c>
      <c r="CH1059" s="1">
        <v>49714</v>
      </c>
      <c r="CI1059" t="s">
        <v>51</v>
      </c>
      <c r="CK1059" t="s">
        <v>78</v>
      </c>
      <c r="CM1059" t="s">
        <v>54</v>
      </c>
      <c r="CN1059" t="s">
        <v>174</v>
      </c>
      <c r="CO1059" t="s">
        <v>86</v>
      </c>
      <c r="CR1059">
        <v>15</v>
      </c>
      <c r="CS1059">
        <v>0</v>
      </c>
      <c r="CT1059">
        <v>0</v>
      </c>
      <c r="CU1059">
        <v>0</v>
      </c>
    </row>
    <row r="1060" spans="1:99" x14ac:dyDescent="0.2">
      <c r="A1060" t="s">
        <v>180</v>
      </c>
      <c r="B1060" t="s">
        <v>181</v>
      </c>
      <c r="C1060" t="s">
        <v>184</v>
      </c>
      <c r="D1060" t="s">
        <v>662</v>
      </c>
      <c r="F1060" t="str">
        <f>"250718"</f>
        <v>250718</v>
      </c>
      <c r="G1060" t="s">
        <v>49</v>
      </c>
      <c r="K1060" t="s">
        <v>51</v>
      </c>
      <c r="L1060" t="s">
        <v>52</v>
      </c>
      <c r="M1060">
        <v>136082.416</v>
      </c>
      <c r="N1060">
        <v>472516.989</v>
      </c>
      <c r="O1060" t="s">
        <v>53</v>
      </c>
      <c r="P1060" t="s">
        <v>54</v>
      </c>
      <c r="Q1060" t="s">
        <v>55</v>
      </c>
      <c r="T1060" t="s">
        <v>466</v>
      </c>
      <c r="U1060">
        <v>40</v>
      </c>
      <c r="V1060" s="1">
        <v>31229</v>
      </c>
      <c r="W1060" s="1">
        <v>31229</v>
      </c>
      <c r="X1060" s="1">
        <v>31229</v>
      </c>
      <c r="Y1060" s="1">
        <v>45839</v>
      </c>
      <c r="Z1060" t="s">
        <v>51</v>
      </c>
      <c r="AB1060" t="s">
        <v>54</v>
      </c>
      <c r="AC1060">
        <v>1</v>
      </c>
      <c r="AE1060" t="s">
        <v>84</v>
      </c>
      <c r="AF1060">
        <v>20</v>
      </c>
      <c r="AG1060" s="1">
        <v>31229</v>
      </c>
      <c r="AH1060" s="1">
        <v>31229</v>
      </c>
      <c r="AI1060" s="1">
        <v>31229</v>
      </c>
      <c r="AJ1060" s="1">
        <v>38534</v>
      </c>
      <c r="AK1060" t="s">
        <v>51</v>
      </c>
      <c r="AN1060">
        <v>0</v>
      </c>
      <c r="AO1060" t="s">
        <v>54</v>
      </c>
      <c r="AP1060" t="s">
        <v>53</v>
      </c>
      <c r="AQ1060">
        <v>0</v>
      </c>
      <c r="AR1060" t="s">
        <v>53</v>
      </c>
      <c r="AS1060">
        <v>0</v>
      </c>
      <c r="AT1060">
        <v>0</v>
      </c>
      <c r="CA1060">
        <v>1</v>
      </c>
      <c r="CC1060" t="s">
        <v>185</v>
      </c>
      <c r="CD1060">
        <v>85000</v>
      </c>
      <c r="CE1060" s="1">
        <v>42552</v>
      </c>
      <c r="CF1060" s="1">
        <v>42552</v>
      </c>
      <c r="CG1060" s="1">
        <v>42552</v>
      </c>
      <c r="CH1060" s="1">
        <v>49714</v>
      </c>
      <c r="CI1060" t="s">
        <v>51</v>
      </c>
      <c r="CK1060" t="s">
        <v>78</v>
      </c>
      <c r="CM1060" t="s">
        <v>54</v>
      </c>
      <c r="CN1060" t="s">
        <v>174</v>
      </c>
      <c r="CO1060" t="s">
        <v>86</v>
      </c>
      <c r="CR1060">
        <v>15</v>
      </c>
      <c r="CS1060">
        <v>0</v>
      </c>
      <c r="CT1060">
        <v>0</v>
      </c>
      <c r="CU1060">
        <v>0</v>
      </c>
    </row>
    <row r="1061" spans="1:99" x14ac:dyDescent="0.2">
      <c r="A1061" t="s">
        <v>180</v>
      </c>
      <c r="B1061" t="s">
        <v>181</v>
      </c>
      <c r="C1061" t="s">
        <v>184</v>
      </c>
      <c r="D1061" t="s">
        <v>662</v>
      </c>
      <c r="F1061" t="str">
        <f>"250719"</f>
        <v>250719</v>
      </c>
      <c r="G1061" t="s">
        <v>49</v>
      </c>
      <c r="H1061" t="s">
        <v>544</v>
      </c>
      <c r="K1061" t="s">
        <v>51</v>
      </c>
      <c r="L1061" t="s">
        <v>52</v>
      </c>
      <c r="M1061">
        <v>136086.98000000001</v>
      </c>
      <c r="N1061">
        <v>472546.57</v>
      </c>
      <c r="O1061" t="s">
        <v>53</v>
      </c>
      <c r="P1061" t="s">
        <v>54</v>
      </c>
      <c r="Q1061" t="s">
        <v>55</v>
      </c>
      <c r="T1061" t="s">
        <v>466</v>
      </c>
      <c r="U1061">
        <v>40</v>
      </c>
      <c r="V1061" s="1">
        <v>29768</v>
      </c>
      <c r="W1061" s="1">
        <v>29768</v>
      </c>
      <c r="X1061" s="1">
        <v>29768</v>
      </c>
      <c r="Y1061" s="1">
        <v>44378</v>
      </c>
      <c r="Z1061" t="s">
        <v>51</v>
      </c>
      <c r="AB1061" t="s">
        <v>54</v>
      </c>
      <c r="AC1061">
        <v>1</v>
      </c>
      <c r="AE1061" t="s">
        <v>84</v>
      </c>
      <c r="AF1061">
        <v>20</v>
      </c>
      <c r="AG1061" s="1">
        <v>29768</v>
      </c>
      <c r="AH1061" s="1">
        <v>29768</v>
      </c>
      <c r="AI1061" s="1">
        <v>29768</v>
      </c>
      <c r="AJ1061" s="1">
        <v>37073</v>
      </c>
      <c r="AK1061" t="s">
        <v>51</v>
      </c>
      <c r="AN1061">
        <v>0</v>
      </c>
      <c r="AO1061" t="s">
        <v>54</v>
      </c>
      <c r="AP1061" t="s">
        <v>53</v>
      </c>
      <c r="AQ1061">
        <v>0</v>
      </c>
      <c r="AR1061" t="s">
        <v>53</v>
      </c>
      <c r="AS1061">
        <v>0</v>
      </c>
      <c r="AT1061">
        <v>0</v>
      </c>
      <c r="CA1061">
        <v>1</v>
      </c>
      <c r="CC1061" t="s">
        <v>185</v>
      </c>
      <c r="CD1061">
        <v>85000</v>
      </c>
      <c r="CE1061" s="1">
        <v>42552</v>
      </c>
      <c r="CF1061" s="1">
        <v>42552</v>
      </c>
      <c r="CG1061" s="1">
        <v>42552</v>
      </c>
      <c r="CH1061" s="1">
        <v>49714</v>
      </c>
      <c r="CI1061" t="s">
        <v>51</v>
      </c>
      <c r="CK1061" t="s">
        <v>78</v>
      </c>
      <c r="CM1061" t="s">
        <v>54</v>
      </c>
      <c r="CN1061" t="s">
        <v>174</v>
      </c>
      <c r="CO1061" t="s">
        <v>86</v>
      </c>
      <c r="CR1061">
        <v>15</v>
      </c>
      <c r="CS1061">
        <v>0</v>
      </c>
      <c r="CT1061">
        <v>0</v>
      </c>
      <c r="CU1061">
        <v>0</v>
      </c>
    </row>
    <row r="1062" spans="1:99" x14ac:dyDescent="0.2">
      <c r="A1062" t="s">
        <v>180</v>
      </c>
      <c r="B1062" t="s">
        <v>181</v>
      </c>
      <c r="C1062" t="s">
        <v>184</v>
      </c>
      <c r="D1062" t="s">
        <v>662</v>
      </c>
      <c r="F1062" t="str">
        <f>"250720"</f>
        <v>250720</v>
      </c>
      <c r="G1062" t="s">
        <v>49</v>
      </c>
      <c r="H1062" t="s">
        <v>665</v>
      </c>
      <c r="K1062" t="s">
        <v>51</v>
      </c>
      <c r="L1062" t="s">
        <v>52</v>
      </c>
      <c r="M1062">
        <v>136102.64000000001</v>
      </c>
      <c r="N1062">
        <v>472559.82</v>
      </c>
      <c r="O1062" t="s">
        <v>53</v>
      </c>
      <c r="P1062" t="s">
        <v>54</v>
      </c>
      <c r="Q1062" t="s">
        <v>55</v>
      </c>
      <c r="T1062" t="s">
        <v>466</v>
      </c>
      <c r="U1062">
        <v>40</v>
      </c>
      <c r="V1062" s="1">
        <v>29768</v>
      </c>
      <c r="W1062" s="1">
        <v>29768</v>
      </c>
      <c r="X1062" s="1">
        <v>29768</v>
      </c>
      <c r="Y1062" s="1">
        <v>44378</v>
      </c>
      <c r="Z1062" t="s">
        <v>51</v>
      </c>
      <c r="AB1062" t="s">
        <v>54</v>
      </c>
      <c r="AC1062">
        <v>1</v>
      </c>
      <c r="AE1062" t="s">
        <v>84</v>
      </c>
      <c r="AF1062">
        <v>20</v>
      </c>
      <c r="AG1062" s="1">
        <v>38169</v>
      </c>
      <c r="AH1062" s="1">
        <v>38169</v>
      </c>
      <c r="AI1062" s="1">
        <v>38169</v>
      </c>
      <c r="AJ1062" s="1">
        <v>45474</v>
      </c>
      <c r="AK1062" t="s">
        <v>51</v>
      </c>
      <c r="AN1062">
        <v>0</v>
      </c>
      <c r="AO1062" t="s">
        <v>54</v>
      </c>
      <c r="AP1062" t="s">
        <v>53</v>
      </c>
      <c r="AQ1062">
        <v>0</v>
      </c>
      <c r="AR1062" t="s">
        <v>53</v>
      </c>
      <c r="AS1062">
        <v>0</v>
      </c>
      <c r="AT1062">
        <v>0</v>
      </c>
      <c r="CC1062" t="s">
        <v>185</v>
      </c>
      <c r="CD1062">
        <v>85000</v>
      </c>
      <c r="CE1062" s="1">
        <v>43514</v>
      </c>
      <c r="CF1062" s="1">
        <v>43514</v>
      </c>
      <c r="CG1062" s="1">
        <v>43514</v>
      </c>
      <c r="CH1062" s="1">
        <v>50729</v>
      </c>
      <c r="CI1062" t="s">
        <v>51</v>
      </c>
      <c r="CK1062" t="s">
        <v>78</v>
      </c>
      <c r="CM1062" t="s">
        <v>54</v>
      </c>
      <c r="CN1062" t="s">
        <v>174</v>
      </c>
      <c r="CO1062" t="s">
        <v>86</v>
      </c>
      <c r="CR1062">
        <v>15</v>
      </c>
      <c r="CS1062">
        <v>0</v>
      </c>
      <c r="CT1062">
        <v>0</v>
      </c>
      <c r="CU1062">
        <v>0</v>
      </c>
    </row>
    <row r="1063" spans="1:99" x14ac:dyDescent="0.2">
      <c r="A1063" t="s">
        <v>180</v>
      </c>
      <c r="B1063" t="s">
        <v>181</v>
      </c>
      <c r="C1063" t="s">
        <v>184</v>
      </c>
      <c r="D1063" t="s">
        <v>662</v>
      </c>
      <c r="F1063" t="str">
        <f>"250721"</f>
        <v>250721</v>
      </c>
      <c r="G1063" t="s">
        <v>49</v>
      </c>
      <c r="H1063" t="s">
        <v>666</v>
      </c>
      <c r="K1063" t="s">
        <v>51</v>
      </c>
      <c r="L1063" t="s">
        <v>52</v>
      </c>
      <c r="M1063">
        <v>136121.21799999999</v>
      </c>
      <c r="N1063">
        <v>472562.61499999999</v>
      </c>
      <c r="O1063" t="s">
        <v>53</v>
      </c>
      <c r="P1063" t="s">
        <v>54</v>
      </c>
      <c r="Q1063" t="s">
        <v>55</v>
      </c>
      <c r="T1063" t="s">
        <v>241</v>
      </c>
      <c r="U1063">
        <v>40</v>
      </c>
      <c r="V1063" s="1">
        <v>29768</v>
      </c>
      <c r="W1063" s="1">
        <v>29768</v>
      </c>
      <c r="X1063" s="1">
        <v>29768</v>
      </c>
      <c r="Y1063" s="1">
        <v>44378</v>
      </c>
      <c r="Z1063" t="s">
        <v>51</v>
      </c>
      <c r="AB1063" t="s">
        <v>54</v>
      </c>
      <c r="AC1063">
        <v>1</v>
      </c>
      <c r="AE1063" t="s">
        <v>222</v>
      </c>
      <c r="AF1063">
        <v>20</v>
      </c>
      <c r="AG1063" s="1">
        <v>38169</v>
      </c>
      <c r="AH1063" s="1">
        <v>38169</v>
      </c>
      <c r="AI1063" s="1">
        <v>38169</v>
      </c>
      <c r="AJ1063" s="1">
        <v>45474</v>
      </c>
      <c r="AK1063" t="s">
        <v>51</v>
      </c>
      <c r="AN1063">
        <v>0</v>
      </c>
      <c r="AO1063" t="s">
        <v>54</v>
      </c>
      <c r="AP1063" t="s">
        <v>53</v>
      </c>
      <c r="AQ1063">
        <v>0</v>
      </c>
      <c r="AR1063" t="s">
        <v>53</v>
      </c>
      <c r="AS1063">
        <v>0</v>
      </c>
      <c r="AT1063">
        <v>0</v>
      </c>
      <c r="CC1063" t="s">
        <v>432</v>
      </c>
      <c r="CD1063">
        <v>85000</v>
      </c>
      <c r="CE1063" s="1">
        <v>42552</v>
      </c>
      <c r="CF1063" s="1">
        <v>42552</v>
      </c>
      <c r="CG1063" s="1">
        <v>42552</v>
      </c>
      <c r="CH1063" s="1">
        <v>49714</v>
      </c>
      <c r="CI1063" t="s">
        <v>51</v>
      </c>
      <c r="CK1063" t="s">
        <v>78</v>
      </c>
      <c r="CM1063" t="s">
        <v>54</v>
      </c>
      <c r="CN1063" t="s">
        <v>174</v>
      </c>
      <c r="CO1063" t="s">
        <v>86</v>
      </c>
      <c r="CR1063">
        <v>24</v>
      </c>
      <c r="CS1063">
        <v>0</v>
      </c>
      <c r="CT1063">
        <v>0</v>
      </c>
      <c r="CU1063">
        <v>0</v>
      </c>
    </row>
    <row r="1064" spans="1:99" x14ac:dyDescent="0.2">
      <c r="A1064" t="s">
        <v>180</v>
      </c>
      <c r="B1064" t="s">
        <v>181</v>
      </c>
      <c r="C1064" t="s">
        <v>184</v>
      </c>
      <c r="D1064" t="s">
        <v>662</v>
      </c>
      <c r="F1064" t="str">
        <f>"250722"</f>
        <v>250722</v>
      </c>
      <c r="G1064" t="s">
        <v>49</v>
      </c>
      <c r="H1064" t="s">
        <v>667</v>
      </c>
      <c r="K1064" t="s">
        <v>51</v>
      </c>
      <c r="L1064" t="s">
        <v>52</v>
      </c>
      <c r="M1064">
        <v>136107.79999999999</v>
      </c>
      <c r="N1064">
        <v>472582.37</v>
      </c>
      <c r="O1064" t="s">
        <v>53</v>
      </c>
      <c r="P1064" t="s">
        <v>54</v>
      </c>
      <c r="Q1064" t="s">
        <v>55</v>
      </c>
      <c r="T1064" t="s">
        <v>241</v>
      </c>
      <c r="U1064">
        <v>40</v>
      </c>
      <c r="V1064" s="1">
        <v>29768</v>
      </c>
      <c r="W1064" s="1">
        <v>29768</v>
      </c>
      <c r="X1064" s="1">
        <v>29768</v>
      </c>
      <c r="Y1064" s="1">
        <v>44378</v>
      </c>
      <c r="Z1064" t="s">
        <v>51</v>
      </c>
      <c r="AB1064" t="s">
        <v>54</v>
      </c>
      <c r="AC1064">
        <v>1</v>
      </c>
      <c r="AE1064" t="s">
        <v>222</v>
      </c>
      <c r="AF1064">
        <v>20</v>
      </c>
      <c r="AG1064" s="1">
        <v>29768</v>
      </c>
      <c r="AH1064" s="1">
        <v>29768</v>
      </c>
      <c r="AI1064" s="1">
        <v>29768</v>
      </c>
      <c r="AJ1064" s="1">
        <v>37073</v>
      </c>
      <c r="AK1064" t="s">
        <v>51</v>
      </c>
      <c r="AN1064">
        <v>0</v>
      </c>
      <c r="AO1064" t="s">
        <v>54</v>
      </c>
      <c r="AP1064" t="s">
        <v>53</v>
      </c>
      <c r="AQ1064">
        <v>0</v>
      </c>
      <c r="AR1064" t="s">
        <v>53</v>
      </c>
      <c r="AS1064">
        <v>0</v>
      </c>
      <c r="AT1064">
        <v>0</v>
      </c>
      <c r="CC1064" t="s">
        <v>432</v>
      </c>
      <c r="CD1064">
        <v>85000</v>
      </c>
      <c r="CE1064" s="1">
        <v>43244</v>
      </c>
      <c r="CF1064" s="1">
        <v>43244</v>
      </c>
      <c r="CG1064" s="1">
        <v>43244</v>
      </c>
      <c r="CH1064" s="1">
        <v>50427</v>
      </c>
      <c r="CI1064" t="s">
        <v>51</v>
      </c>
      <c r="CK1064" t="s">
        <v>78</v>
      </c>
      <c r="CM1064" t="s">
        <v>54</v>
      </c>
      <c r="CN1064" t="s">
        <v>174</v>
      </c>
      <c r="CO1064" t="s">
        <v>86</v>
      </c>
      <c r="CR1064">
        <v>24</v>
      </c>
      <c r="CS1064">
        <v>0</v>
      </c>
      <c r="CT1064">
        <v>0</v>
      </c>
      <c r="CU1064">
        <v>0</v>
      </c>
    </row>
    <row r="1065" spans="1:99" x14ac:dyDescent="0.2">
      <c r="A1065" t="s">
        <v>180</v>
      </c>
      <c r="B1065" t="s">
        <v>181</v>
      </c>
      <c r="C1065" t="s">
        <v>184</v>
      </c>
      <c r="D1065" t="s">
        <v>668</v>
      </c>
      <c r="F1065" t="str">
        <f>"250724"</f>
        <v>250724</v>
      </c>
      <c r="G1065" t="s">
        <v>49</v>
      </c>
      <c r="K1065" t="s">
        <v>51</v>
      </c>
      <c r="L1065" t="s">
        <v>52</v>
      </c>
      <c r="M1065">
        <v>136023.704</v>
      </c>
      <c r="N1065">
        <v>472631.05800000002</v>
      </c>
      <c r="O1065" t="s">
        <v>53</v>
      </c>
      <c r="P1065" t="s">
        <v>54</v>
      </c>
      <c r="Q1065" t="s">
        <v>55</v>
      </c>
      <c r="T1065" t="s">
        <v>241</v>
      </c>
      <c r="U1065">
        <v>40</v>
      </c>
      <c r="V1065" s="1">
        <v>31229</v>
      </c>
      <c r="W1065" s="1">
        <v>31229</v>
      </c>
      <c r="X1065" s="1">
        <v>31229</v>
      </c>
      <c r="Y1065" s="1">
        <v>45839</v>
      </c>
      <c r="Z1065" t="s">
        <v>51</v>
      </c>
      <c r="AB1065" t="s">
        <v>54</v>
      </c>
      <c r="AC1065">
        <v>1</v>
      </c>
      <c r="AE1065" t="s">
        <v>222</v>
      </c>
      <c r="AF1065">
        <v>20</v>
      </c>
      <c r="AG1065" s="1">
        <v>38169</v>
      </c>
      <c r="AH1065" s="1">
        <v>38169</v>
      </c>
      <c r="AI1065" s="1">
        <v>38169</v>
      </c>
      <c r="AJ1065" s="1">
        <v>45474</v>
      </c>
      <c r="AK1065" t="s">
        <v>51</v>
      </c>
      <c r="AN1065">
        <v>0</v>
      </c>
      <c r="AO1065" t="s">
        <v>54</v>
      </c>
      <c r="AP1065" t="s">
        <v>53</v>
      </c>
      <c r="AQ1065">
        <v>0</v>
      </c>
      <c r="AR1065" t="s">
        <v>53</v>
      </c>
      <c r="AS1065">
        <v>0</v>
      </c>
      <c r="AT1065">
        <v>0</v>
      </c>
      <c r="CC1065" t="s">
        <v>432</v>
      </c>
      <c r="CD1065">
        <v>85000</v>
      </c>
      <c r="CE1065" s="1">
        <v>42552</v>
      </c>
      <c r="CF1065" s="1">
        <v>42552</v>
      </c>
      <c r="CG1065" s="1">
        <v>42552</v>
      </c>
      <c r="CH1065" s="1">
        <v>49714</v>
      </c>
      <c r="CI1065" t="s">
        <v>51</v>
      </c>
      <c r="CK1065" t="s">
        <v>78</v>
      </c>
      <c r="CM1065" t="s">
        <v>54</v>
      </c>
      <c r="CN1065" t="s">
        <v>174</v>
      </c>
      <c r="CO1065" t="s">
        <v>86</v>
      </c>
      <c r="CR1065">
        <v>24</v>
      </c>
      <c r="CS1065">
        <v>0</v>
      </c>
      <c r="CT1065">
        <v>0</v>
      </c>
      <c r="CU1065">
        <v>0</v>
      </c>
    </row>
    <row r="1066" spans="1:99" x14ac:dyDescent="0.2">
      <c r="A1066" t="s">
        <v>180</v>
      </c>
      <c r="B1066" t="s">
        <v>181</v>
      </c>
      <c r="C1066" t="s">
        <v>184</v>
      </c>
      <c r="D1066" t="s">
        <v>668</v>
      </c>
      <c r="F1066" t="str">
        <f>"250725"</f>
        <v>250725</v>
      </c>
      <c r="G1066" t="s">
        <v>49</v>
      </c>
      <c r="K1066" t="s">
        <v>51</v>
      </c>
      <c r="L1066" t="s">
        <v>52</v>
      </c>
      <c r="M1066">
        <v>136012.005</v>
      </c>
      <c r="N1066">
        <v>472606.511</v>
      </c>
      <c r="O1066" t="s">
        <v>53</v>
      </c>
      <c r="P1066" t="s">
        <v>54</v>
      </c>
      <c r="Q1066" t="s">
        <v>55</v>
      </c>
      <c r="T1066" t="s">
        <v>241</v>
      </c>
      <c r="U1066">
        <v>40</v>
      </c>
      <c r="V1066" s="1">
        <v>31229</v>
      </c>
      <c r="W1066" s="1">
        <v>31229</v>
      </c>
      <c r="X1066" s="1">
        <v>31229</v>
      </c>
      <c r="Y1066" s="1">
        <v>45839</v>
      </c>
      <c r="Z1066" t="s">
        <v>51</v>
      </c>
      <c r="AB1066" t="s">
        <v>54</v>
      </c>
      <c r="AC1066">
        <v>1</v>
      </c>
      <c r="AE1066" t="s">
        <v>222</v>
      </c>
      <c r="AF1066">
        <v>20</v>
      </c>
      <c r="AG1066" s="1">
        <v>38169</v>
      </c>
      <c r="AH1066" s="1">
        <v>38169</v>
      </c>
      <c r="AI1066" s="1">
        <v>38169</v>
      </c>
      <c r="AJ1066" s="1">
        <v>45474</v>
      </c>
      <c r="AK1066" t="s">
        <v>51</v>
      </c>
      <c r="AN1066">
        <v>0</v>
      </c>
      <c r="AO1066" t="s">
        <v>54</v>
      </c>
      <c r="AP1066" t="s">
        <v>53</v>
      </c>
      <c r="AQ1066">
        <v>0</v>
      </c>
      <c r="AR1066" t="s">
        <v>53</v>
      </c>
      <c r="AS1066">
        <v>0</v>
      </c>
      <c r="AT1066">
        <v>0</v>
      </c>
      <c r="CC1066" t="s">
        <v>432</v>
      </c>
      <c r="CD1066">
        <v>85000</v>
      </c>
      <c r="CE1066" s="1">
        <v>42552</v>
      </c>
      <c r="CF1066" s="1">
        <v>42552</v>
      </c>
      <c r="CG1066" s="1">
        <v>42552</v>
      </c>
      <c r="CH1066" s="1">
        <v>49714</v>
      </c>
      <c r="CI1066" t="s">
        <v>51</v>
      </c>
      <c r="CK1066" t="s">
        <v>78</v>
      </c>
      <c r="CM1066" t="s">
        <v>54</v>
      </c>
      <c r="CN1066" t="s">
        <v>174</v>
      </c>
      <c r="CO1066" t="s">
        <v>86</v>
      </c>
      <c r="CR1066">
        <v>24</v>
      </c>
      <c r="CS1066">
        <v>0</v>
      </c>
      <c r="CT1066">
        <v>0</v>
      </c>
      <c r="CU1066">
        <v>0</v>
      </c>
    </row>
    <row r="1067" spans="1:99" x14ac:dyDescent="0.2">
      <c r="A1067" t="s">
        <v>180</v>
      </c>
      <c r="B1067" t="s">
        <v>181</v>
      </c>
      <c r="C1067" t="s">
        <v>184</v>
      </c>
      <c r="D1067" t="s">
        <v>668</v>
      </c>
      <c r="F1067" t="str">
        <f>"250726"</f>
        <v>250726</v>
      </c>
      <c r="G1067" t="s">
        <v>49</v>
      </c>
      <c r="H1067" t="s">
        <v>589</v>
      </c>
      <c r="K1067" t="s">
        <v>51</v>
      </c>
      <c r="L1067" t="s">
        <v>52</v>
      </c>
      <c r="M1067">
        <v>136010.99</v>
      </c>
      <c r="N1067">
        <v>472577.97</v>
      </c>
      <c r="O1067" t="s">
        <v>53</v>
      </c>
      <c r="P1067" t="s">
        <v>54</v>
      </c>
      <c r="Q1067" t="s">
        <v>55</v>
      </c>
      <c r="T1067" t="s">
        <v>241</v>
      </c>
      <c r="U1067">
        <v>40</v>
      </c>
      <c r="V1067" s="1">
        <v>31229</v>
      </c>
      <c r="W1067" s="1">
        <v>31229</v>
      </c>
      <c r="X1067" s="1">
        <v>31229</v>
      </c>
      <c r="Y1067" s="1">
        <v>45839</v>
      </c>
      <c r="Z1067" t="s">
        <v>51</v>
      </c>
      <c r="AB1067" t="s">
        <v>54</v>
      </c>
      <c r="AC1067">
        <v>1</v>
      </c>
      <c r="AE1067" t="s">
        <v>222</v>
      </c>
      <c r="AF1067">
        <v>20</v>
      </c>
      <c r="AG1067" s="1">
        <v>38169</v>
      </c>
      <c r="AH1067" s="1">
        <v>38169</v>
      </c>
      <c r="AI1067" s="1">
        <v>38169</v>
      </c>
      <c r="AJ1067" s="1">
        <v>45474</v>
      </c>
      <c r="AK1067" t="s">
        <v>51</v>
      </c>
      <c r="AN1067">
        <v>0</v>
      </c>
      <c r="AO1067" t="s">
        <v>54</v>
      </c>
      <c r="AP1067" t="s">
        <v>53</v>
      </c>
      <c r="AQ1067">
        <v>0</v>
      </c>
      <c r="AR1067" t="s">
        <v>53</v>
      </c>
      <c r="AS1067">
        <v>0</v>
      </c>
      <c r="AT1067">
        <v>0</v>
      </c>
      <c r="CC1067" t="s">
        <v>432</v>
      </c>
      <c r="CD1067">
        <v>85000</v>
      </c>
      <c r="CE1067" s="1">
        <v>42552</v>
      </c>
      <c r="CF1067" s="1">
        <v>42552</v>
      </c>
      <c r="CG1067" s="1">
        <v>42552</v>
      </c>
      <c r="CH1067" s="1">
        <v>49714</v>
      </c>
      <c r="CI1067" t="s">
        <v>51</v>
      </c>
      <c r="CK1067" t="s">
        <v>78</v>
      </c>
      <c r="CM1067" t="s">
        <v>54</v>
      </c>
      <c r="CN1067" t="s">
        <v>174</v>
      </c>
      <c r="CO1067" t="s">
        <v>86</v>
      </c>
      <c r="CR1067">
        <v>24</v>
      </c>
      <c r="CS1067">
        <v>0</v>
      </c>
      <c r="CT1067">
        <v>0</v>
      </c>
      <c r="CU1067">
        <v>0</v>
      </c>
    </row>
    <row r="1068" spans="1:99" x14ac:dyDescent="0.2">
      <c r="A1068" t="s">
        <v>180</v>
      </c>
      <c r="B1068" t="s">
        <v>181</v>
      </c>
      <c r="C1068" t="s">
        <v>184</v>
      </c>
      <c r="D1068" t="s">
        <v>668</v>
      </c>
      <c r="F1068" t="str">
        <f>"250727"</f>
        <v>250727</v>
      </c>
      <c r="G1068" t="s">
        <v>49</v>
      </c>
      <c r="H1068" t="s">
        <v>236</v>
      </c>
      <c r="K1068" t="s">
        <v>51</v>
      </c>
      <c r="L1068" t="s">
        <v>52</v>
      </c>
      <c r="M1068">
        <v>136033.23000000001</v>
      </c>
      <c r="N1068">
        <v>472563.94</v>
      </c>
      <c r="O1068" t="s">
        <v>53</v>
      </c>
      <c r="P1068" t="s">
        <v>54</v>
      </c>
      <c r="Q1068" t="s">
        <v>55</v>
      </c>
      <c r="T1068" t="s">
        <v>241</v>
      </c>
      <c r="U1068">
        <v>40</v>
      </c>
      <c r="V1068" s="1">
        <v>31229</v>
      </c>
      <c r="W1068" s="1">
        <v>31229</v>
      </c>
      <c r="X1068" s="1">
        <v>31229</v>
      </c>
      <c r="Y1068" s="1">
        <v>45839</v>
      </c>
      <c r="Z1068" t="s">
        <v>51</v>
      </c>
      <c r="AB1068" t="s">
        <v>54</v>
      </c>
      <c r="AC1068">
        <v>1</v>
      </c>
      <c r="AE1068" t="s">
        <v>222</v>
      </c>
      <c r="AF1068">
        <v>20</v>
      </c>
      <c r="AG1068" s="1">
        <v>38169</v>
      </c>
      <c r="AH1068" s="1">
        <v>38169</v>
      </c>
      <c r="AI1068" s="1">
        <v>38169</v>
      </c>
      <c r="AJ1068" s="1">
        <v>45474</v>
      </c>
      <c r="AK1068" t="s">
        <v>51</v>
      </c>
      <c r="AN1068">
        <v>0</v>
      </c>
      <c r="AO1068" t="s">
        <v>54</v>
      </c>
      <c r="AP1068" t="s">
        <v>53</v>
      </c>
      <c r="AQ1068">
        <v>0</v>
      </c>
      <c r="AR1068" t="s">
        <v>53</v>
      </c>
      <c r="AS1068">
        <v>0</v>
      </c>
      <c r="AT1068">
        <v>0</v>
      </c>
      <c r="CC1068" t="s">
        <v>432</v>
      </c>
      <c r="CD1068">
        <v>85000</v>
      </c>
      <c r="CE1068" s="1">
        <v>42552</v>
      </c>
      <c r="CF1068" s="1">
        <v>42552</v>
      </c>
      <c r="CG1068" s="1">
        <v>42552</v>
      </c>
      <c r="CH1068" s="1">
        <v>49714</v>
      </c>
      <c r="CI1068" t="s">
        <v>51</v>
      </c>
      <c r="CK1068" t="s">
        <v>78</v>
      </c>
      <c r="CM1068" t="s">
        <v>54</v>
      </c>
      <c r="CN1068" t="s">
        <v>174</v>
      </c>
      <c r="CO1068" t="s">
        <v>86</v>
      </c>
      <c r="CR1068">
        <v>24</v>
      </c>
      <c r="CS1068">
        <v>0</v>
      </c>
      <c r="CT1068">
        <v>0</v>
      </c>
      <c r="CU1068">
        <v>0</v>
      </c>
    </row>
    <row r="1069" spans="1:99" x14ac:dyDescent="0.2">
      <c r="A1069" t="s">
        <v>180</v>
      </c>
      <c r="B1069" t="s">
        <v>181</v>
      </c>
      <c r="C1069" t="s">
        <v>184</v>
      </c>
      <c r="D1069" t="s">
        <v>668</v>
      </c>
      <c r="F1069" t="str">
        <f>"250728"</f>
        <v>250728</v>
      </c>
      <c r="G1069" t="s">
        <v>49</v>
      </c>
      <c r="H1069" t="s">
        <v>575</v>
      </c>
      <c r="K1069" t="s">
        <v>51</v>
      </c>
      <c r="L1069" t="s">
        <v>52</v>
      </c>
      <c r="M1069">
        <v>136032.04</v>
      </c>
      <c r="N1069">
        <v>472590.9</v>
      </c>
      <c r="O1069" t="s">
        <v>53</v>
      </c>
      <c r="P1069" t="s">
        <v>54</v>
      </c>
      <c r="Q1069" t="s">
        <v>55</v>
      </c>
      <c r="T1069" t="s">
        <v>241</v>
      </c>
      <c r="U1069">
        <v>40</v>
      </c>
      <c r="V1069" s="1">
        <v>31229</v>
      </c>
      <c r="W1069" s="1">
        <v>31229</v>
      </c>
      <c r="X1069" s="1">
        <v>31229</v>
      </c>
      <c r="Y1069" s="1">
        <v>45839</v>
      </c>
      <c r="Z1069" t="s">
        <v>51</v>
      </c>
      <c r="AB1069" t="s">
        <v>54</v>
      </c>
      <c r="AC1069">
        <v>1</v>
      </c>
      <c r="AE1069" t="s">
        <v>222</v>
      </c>
      <c r="AF1069">
        <v>20</v>
      </c>
      <c r="AG1069" s="1">
        <v>38169</v>
      </c>
      <c r="AH1069" s="1">
        <v>38169</v>
      </c>
      <c r="AI1069" s="1">
        <v>38169</v>
      </c>
      <c r="AJ1069" s="1">
        <v>45474</v>
      </c>
      <c r="AK1069" t="s">
        <v>51</v>
      </c>
      <c r="AN1069">
        <v>0</v>
      </c>
      <c r="AO1069" t="s">
        <v>54</v>
      </c>
      <c r="AP1069" t="s">
        <v>53</v>
      </c>
      <c r="AQ1069">
        <v>0</v>
      </c>
      <c r="AR1069" t="s">
        <v>53</v>
      </c>
      <c r="AS1069">
        <v>0</v>
      </c>
      <c r="AT1069">
        <v>0</v>
      </c>
      <c r="CC1069" t="s">
        <v>432</v>
      </c>
      <c r="CD1069">
        <v>85000</v>
      </c>
      <c r="CE1069" s="1">
        <v>42552</v>
      </c>
      <c r="CF1069" s="1">
        <v>42552</v>
      </c>
      <c r="CG1069" s="1">
        <v>42552</v>
      </c>
      <c r="CH1069" s="1">
        <v>50139</v>
      </c>
      <c r="CI1069" t="s">
        <v>51</v>
      </c>
      <c r="CK1069" t="s">
        <v>78</v>
      </c>
      <c r="CM1069" t="s">
        <v>54</v>
      </c>
      <c r="CN1069" t="s">
        <v>174</v>
      </c>
      <c r="CO1069" t="s">
        <v>86</v>
      </c>
      <c r="CR1069">
        <v>24</v>
      </c>
      <c r="CS1069">
        <v>0</v>
      </c>
      <c r="CT1069">
        <v>0</v>
      </c>
      <c r="CU1069">
        <v>0</v>
      </c>
    </row>
    <row r="1070" spans="1:99" x14ac:dyDescent="0.2">
      <c r="A1070" t="s">
        <v>180</v>
      </c>
      <c r="B1070" t="s">
        <v>181</v>
      </c>
      <c r="C1070" t="s">
        <v>184</v>
      </c>
      <c r="D1070" t="s">
        <v>668</v>
      </c>
      <c r="F1070" t="str">
        <f>"250729"</f>
        <v>250729</v>
      </c>
      <c r="G1070" t="s">
        <v>49</v>
      </c>
      <c r="K1070" t="s">
        <v>51</v>
      </c>
      <c r="L1070" t="s">
        <v>52</v>
      </c>
      <c r="M1070">
        <v>136029.57</v>
      </c>
      <c r="N1070">
        <v>472532.6</v>
      </c>
      <c r="O1070" t="s">
        <v>53</v>
      </c>
      <c r="P1070" t="s">
        <v>54</v>
      </c>
      <c r="Q1070" t="s">
        <v>55</v>
      </c>
      <c r="T1070" t="s">
        <v>241</v>
      </c>
      <c r="U1070">
        <v>40</v>
      </c>
      <c r="V1070" s="1">
        <v>31229</v>
      </c>
      <c r="W1070" s="1">
        <v>31229</v>
      </c>
      <c r="X1070" s="1">
        <v>31229</v>
      </c>
      <c r="Y1070" s="1">
        <v>45839</v>
      </c>
      <c r="Z1070" t="s">
        <v>51</v>
      </c>
      <c r="AB1070" t="s">
        <v>54</v>
      </c>
      <c r="AC1070">
        <v>1</v>
      </c>
      <c r="AE1070" t="s">
        <v>222</v>
      </c>
      <c r="AF1070">
        <v>20</v>
      </c>
      <c r="AG1070" s="1">
        <v>31229</v>
      </c>
      <c r="AH1070" s="1">
        <v>31229</v>
      </c>
      <c r="AI1070" s="1">
        <v>31229</v>
      </c>
      <c r="AJ1070" s="1">
        <v>38534</v>
      </c>
      <c r="AK1070" t="s">
        <v>51</v>
      </c>
      <c r="AN1070">
        <v>0</v>
      </c>
      <c r="AO1070" t="s">
        <v>54</v>
      </c>
      <c r="AP1070" t="s">
        <v>53</v>
      </c>
      <c r="AQ1070">
        <v>0</v>
      </c>
      <c r="AR1070" t="s">
        <v>53</v>
      </c>
      <c r="AS1070">
        <v>0</v>
      </c>
      <c r="AT1070">
        <v>0</v>
      </c>
      <c r="CC1070" t="s">
        <v>669</v>
      </c>
      <c r="CD1070">
        <v>85000</v>
      </c>
      <c r="CE1070" s="1">
        <v>42552</v>
      </c>
      <c r="CF1070" s="1">
        <v>42552</v>
      </c>
      <c r="CG1070" s="1">
        <v>42552</v>
      </c>
      <c r="CH1070" s="1">
        <v>49714</v>
      </c>
      <c r="CI1070" t="s">
        <v>51</v>
      </c>
      <c r="CK1070" t="s">
        <v>78</v>
      </c>
      <c r="CM1070" t="s">
        <v>54</v>
      </c>
      <c r="CN1070" t="s">
        <v>174</v>
      </c>
      <c r="CO1070" t="s">
        <v>86</v>
      </c>
      <c r="CR1070">
        <v>50</v>
      </c>
      <c r="CS1070">
        <v>0</v>
      </c>
      <c r="CT1070">
        <v>0</v>
      </c>
      <c r="CU1070">
        <v>0</v>
      </c>
    </row>
    <row r="1071" spans="1:99" x14ac:dyDescent="0.2">
      <c r="A1071" t="s">
        <v>180</v>
      </c>
      <c r="B1071" t="s">
        <v>181</v>
      </c>
      <c r="C1071" t="s">
        <v>184</v>
      </c>
      <c r="D1071" t="s">
        <v>668</v>
      </c>
      <c r="F1071" t="str">
        <f>"250730"</f>
        <v>250730</v>
      </c>
      <c r="G1071" t="s">
        <v>49</v>
      </c>
      <c r="K1071" t="s">
        <v>51</v>
      </c>
      <c r="L1071" t="s">
        <v>52</v>
      </c>
      <c r="M1071">
        <v>136011.33499999999</v>
      </c>
      <c r="N1071">
        <v>472540.223</v>
      </c>
      <c r="O1071" t="s">
        <v>53</v>
      </c>
      <c r="P1071" t="s">
        <v>54</v>
      </c>
      <c r="Q1071" t="s">
        <v>55</v>
      </c>
      <c r="T1071" t="s">
        <v>241</v>
      </c>
      <c r="U1071">
        <v>40</v>
      </c>
      <c r="V1071" s="1">
        <v>31229</v>
      </c>
      <c r="W1071" s="1">
        <v>31229</v>
      </c>
      <c r="X1071" s="1">
        <v>31229</v>
      </c>
      <c r="Y1071" s="1">
        <v>45839</v>
      </c>
      <c r="Z1071" t="s">
        <v>51</v>
      </c>
      <c r="AB1071" t="s">
        <v>54</v>
      </c>
      <c r="AC1071">
        <v>1</v>
      </c>
      <c r="AE1071" t="s">
        <v>222</v>
      </c>
      <c r="AF1071">
        <v>20</v>
      </c>
      <c r="AG1071" s="1">
        <v>31229</v>
      </c>
      <c r="AH1071" s="1">
        <v>31229</v>
      </c>
      <c r="AI1071" s="1">
        <v>31229</v>
      </c>
      <c r="AJ1071" s="1">
        <v>38534</v>
      </c>
      <c r="AK1071" t="s">
        <v>51</v>
      </c>
      <c r="AN1071">
        <v>0</v>
      </c>
      <c r="AO1071" t="s">
        <v>54</v>
      </c>
      <c r="AP1071" t="s">
        <v>53</v>
      </c>
      <c r="AQ1071">
        <v>0</v>
      </c>
      <c r="AR1071" t="s">
        <v>53</v>
      </c>
      <c r="AS1071">
        <v>0</v>
      </c>
      <c r="AT1071">
        <v>0</v>
      </c>
      <c r="CC1071" t="s">
        <v>560</v>
      </c>
      <c r="CD1071">
        <v>85000</v>
      </c>
      <c r="CE1071" s="1">
        <v>42552</v>
      </c>
      <c r="CF1071" s="1">
        <v>42552</v>
      </c>
      <c r="CG1071" s="1">
        <v>42552</v>
      </c>
      <c r="CH1071" s="1">
        <v>49714</v>
      </c>
      <c r="CI1071" t="s">
        <v>51</v>
      </c>
      <c r="CK1071" t="s">
        <v>78</v>
      </c>
      <c r="CM1071" t="s">
        <v>54</v>
      </c>
      <c r="CN1071" t="s">
        <v>174</v>
      </c>
      <c r="CO1071" t="s">
        <v>86</v>
      </c>
      <c r="CR1071">
        <v>36</v>
      </c>
      <c r="CS1071">
        <v>0</v>
      </c>
      <c r="CT1071">
        <v>0</v>
      </c>
      <c r="CU1071">
        <v>0</v>
      </c>
    </row>
    <row r="1072" spans="1:99" x14ac:dyDescent="0.2">
      <c r="A1072" t="s">
        <v>180</v>
      </c>
      <c r="B1072" t="s">
        <v>181</v>
      </c>
      <c r="C1072" t="s">
        <v>184</v>
      </c>
      <c r="D1072" t="s">
        <v>670</v>
      </c>
      <c r="F1072" t="str">
        <f>"250732"</f>
        <v>250732</v>
      </c>
      <c r="G1072" t="s">
        <v>49</v>
      </c>
      <c r="H1072" t="s">
        <v>667</v>
      </c>
      <c r="K1072" t="s">
        <v>51</v>
      </c>
      <c r="L1072" t="s">
        <v>52</v>
      </c>
      <c r="M1072">
        <v>136038.76999999999</v>
      </c>
      <c r="N1072">
        <v>472464.59</v>
      </c>
      <c r="O1072" t="s">
        <v>53</v>
      </c>
      <c r="P1072" t="s">
        <v>54</v>
      </c>
      <c r="Q1072" t="s">
        <v>55</v>
      </c>
      <c r="T1072" t="s">
        <v>241</v>
      </c>
      <c r="U1072">
        <v>40</v>
      </c>
      <c r="V1072" s="1">
        <v>31594</v>
      </c>
      <c r="W1072" s="1">
        <v>31594</v>
      </c>
      <c r="X1072" s="1">
        <v>31594</v>
      </c>
      <c r="Y1072" s="1">
        <v>46204</v>
      </c>
      <c r="Z1072" t="s">
        <v>51</v>
      </c>
      <c r="AB1072" t="s">
        <v>54</v>
      </c>
      <c r="AC1072">
        <v>1</v>
      </c>
      <c r="AE1072" t="s">
        <v>222</v>
      </c>
      <c r="AF1072">
        <v>20</v>
      </c>
      <c r="AG1072" s="1">
        <v>38169</v>
      </c>
      <c r="AH1072" s="1">
        <v>38169</v>
      </c>
      <c r="AI1072" s="1">
        <v>38169</v>
      </c>
      <c r="AJ1072" s="1">
        <v>45474</v>
      </c>
      <c r="AK1072" t="s">
        <v>51</v>
      </c>
      <c r="AN1072">
        <v>0</v>
      </c>
      <c r="AO1072" t="s">
        <v>54</v>
      </c>
      <c r="AP1072" t="s">
        <v>53</v>
      </c>
      <c r="AQ1072">
        <v>0</v>
      </c>
      <c r="AR1072" t="s">
        <v>53</v>
      </c>
      <c r="AS1072">
        <v>0</v>
      </c>
      <c r="AT1072">
        <v>0</v>
      </c>
      <c r="CC1072" t="s">
        <v>432</v>
      </c>
      <c r="CD1072">
        <v>85000</v>
      </c>
      <c r="CE1072" s="1">
        <v>44200</v>
      </c>
      <c r="CF1072" s="1">
        <v>44200</v>
      </c>
      <c r="CG1072" s="1">
        <v>44200</v>
      </c>
      <c r="CH1072" s="1">
        <v>51412</v>
      </c>
      <c r="CI1072" t="s">
        <v>51</v>
      </c>
      <c r="CK1072" t="s">
        <v>78</v>
      </c>
      <c r="CM1072" t="s">
        <v>54</v>
      </c>
      <c r="CN1072" t="s">
        <v>174</v>
      </c>
      <c r="CO1072" t="s">
        <v>86</v>
      </c>
      <c r="CR1072">
        <v>24</v>
      </c>
      <c r="CS1072">
        <v>0</v>
      </c>
      <c r="CT1072">
        <v>0</v>
      </c>
      <c r="CU1072">
        <v>0</v>
      </c>
    </row>
    <row r="1073" spans="1:112" x14ac:dyDescent="0.2">
      <c r="A1073" t="s">
        <v>180</v>
      </c>
      <c r="B1073" t="s">
        <v>181</v>
      </c>
      <c r="C1073" t="s">
        <v>184</v>
      </c>
      <c r="D1073" t="s">
        <v>670</v>
      </c>
      <c r="F1073" t="str">
        <f>"250733"</f>
        <v>250733</v>
      </c>
      <c r="G1073" t="s">
        <v>49</v>
      </c>
      <c r="H1073" t="s">
        <v>233</v>
      </c>
      <c r="K1073" t="s">
        <v>51</v>
      </c>
      <c r="L1073" t="s">
        <v>52</v>
      </c>
      <c r="M1073">
        <v>136003.98000000001</v>
      </c>
      <c r="N1073">
        <v>472479.82</v>
      </c>
      <c r="O1073" t="s">
        <v>53</v>
      </c>
      <c r="P1073" t="s">
        <v>54</v>
      </c>
      <c r="Q1073" t="s">
        <v>55</v>
      </c>
      <c r="T1073" t="s">
        <v>466</v>
      </c>
      <c r="U1073">
        <v>40</v>
      </c>
      <c r="V1073" s="1">
        <v>31229</v>
      </c>
      <c r="W1073" s="1">
        <v>31229</v>
      </c>
      <c r="X1073" s="1">
        <v>31229</v>
      </c>
      <c r="Y1073" s="1">
        <v>45839</v>
      </c>
      <c r="Z1073" t="s">
        <v>51</v>
      </c>
      <c r="AB1073" t="s">
        <v>54</v>
      </c>
      <c r="AC1073">
        <v>1</v>
      </c>
      <c r="AE1073" t="s">
        <v>57</v>
      </c>
      <c r="AF1073">
        <v>20</v>
      </c>
      <c r="AG1073" s="1">
        <v>38169</v>
      </c>
      <c r="AH1073" s="1">
        <v>38169</v>
      </c>
      <c r="AI1073" s="1">
        <v>38169</v>
      </c>
      <c r="AJ1073" s="1">
        <v>45474</v>
      </c>
      <c r="AK1073" t="s">
        <v>51</v>
      </c>
      <c r="AN1073">
        <v>0</v>
      </c>
      <c r="AO1073" t="s">
        <v>54</v>
      </c>
      <c r="AP1073" t="s">
        <v>53</v>
      </c>
      <c r="AQ1073">
        <v>0</v>
      </c>
      <c r="AR1073" t="s">
        <v>53</v>
      </c>
      <c r="AS1073">
        <v>0</v>
      </c>
      <c r="AT1073">
        <v>0</v>
      </c>
      <c r="CC1073" t="s">
        <v>432</v>
      </c>
      <c r="CD1073">
        <v>85000</v>
      </c>
      <c r="CE1073" s="1">
        <v>42552</v>
      </c>
      <c r="CF1073" s="1">
        <v>42552</v>
      </c>
      <c r="CG1073" s="1">
        <v>42552</v>
      </c>
      <c r="CH1073" s="1">
        <v>49714</v>
      </c>
      <c r="CI1073" t="s">
        <v>51</v>
      </c>
      <c r="CK1073" t="s">
        <v>78</v>
      </c>
      <c r="CM1073" t="s">
        <v>54</v>
      </c>
      <c r="CN1073" t="s">
        <v>174</v>
      </c>
      <c r="CO1073" t="s">
        <v>86</v>
      </c>
      <c r="CR1073">
        <v>24</v>
      </c>
      <c r="CS1073">
        <v>0</v>
      </c>
      <c r="CT1073">
        <v>0</v>
      </c>
      <c r="CU1073">
        <v>0</v>
      </c>
    </row>
    <row r="1074" spans="1:112" x14ac:dyDescent="0.2">
      <c r="A1074" t="s">
        <v>180</v>
      </c>
      <c r="B1074" t="s">
        <v>181</v>
      </c>
      <c r="C1074" t="s">
        <v>184</v>
      </c>
      <c r="D1074" t="s">
        <v>670</v>
      </c>
      <c r="F1074" t="str">
        <f>"250734"</f>
        <v>250734</v>
      </c>
      <c r="G1074" t="s">
        <v>49</v>
      </c>
      <c r="H1074" t="s">
        <v>261</v>
      </c>
      <c r="K1074" t="s">
        <v>51</v>
      </c>
      <c r="L1074" t="s">
        <v>52</v>
      </c>
      <c r="M1074">
        <v>135994.23000000001</v>
      </c>
      <c r="N1074">
        <v>472458.06</v>
      </c>
      <c r="O1074" t="s">
        <v>53</v>
      </c>
      <c r="P1074" t="s">
        <v>54</v>
      </c>
      <c r="Q1074" t="s">
        <v>55</v>
      </c>
      <c r="T1074" t="s">
        <v>466</v>
      </c>
      <c r="U1074">
        <v>40</v>
      </c>
      <c r="V1074" s="1">
        <v>26299</v>
      </c>
      <c r="W1074" s="1">
        <v>26299</v>
      </c>
      <c r="X1074" s="1">
        <v>26299</v>
      </c>
      <c r="Y1074" s="1">
        <v>40909</v>
      </c>
      <c r="Z1074" t="s">
        <v>51</v>
      </c>
      <c r="AB1074" t="s">
        <v>54</v>
      </c>
      <c r="AC1074">
        <v>1</v>
      </c>
      <c r="AE1074" t="s">
        <v>84</v>
      </c>
      <c r="AF1074">
        <v>20</v>
      </c>
      <c r="AG1074" s="1">
        <v>26299</v>
      </c>
      <c r="AH1074" s="1">
        <v>26299</v>
      </c>
      <c r="AI1074" s="1">
        <v>26299</v>
      </c>
      <c r="AJ1074" s="1">
        <v>33604</v>
      </c>
      <c r="AK1074" t="s">
        <v>51</v>
      </c>
      <c r="AN1074">
        <v>0</v>
      </c>
      <c r="AO1074" t="s">
        <v>54</v>
      </c>
      <c r="AP1074" t="s">
        <v>53</v>
      </c>
      <c r="AQ1074">
        <v>0</v>
      </c>
      <c r="AR1074" t="s">
        <v>53</v>
      </c>
      <c r="AS1074">
        <v>0</v>
      </c>
      <c r="AT1074">
        <v>0</v>
      </c>
      <c r="CA1074">
        <v>1</v>
      </c>
      <c r="CC1074" t="s">
        <v>185</v>
      </c>
      <c r="CD1074">
        <v>85000</v>
      </c>
      <c r="CE1074" s="1">
        <v>44452</v>
      </c>
      <c r="CF1074" s="1">
        <v>44452</v>
      </c>
      <c r="CG1074" s="1">
        <v>44452</v>
      </c>
      <c r="CH1074" s="1">
        <v>51591</v>
      </c>
      <c r="CI1074" t="s">
        <v>51</v>
      </c>
      <c r="CK1074" t="s">
        <v>78</v>
      </c>
      <c r="CM1074" t="s">
        <v>54</v>
      </c>
      <c r="CN1074" t="s">
        <v>174</v>
      </c>
      <c r="CO1074" t="s">
        <v>86</v>
      </c>
      <c r="CR1074">
        <v>15</v>
      </c>
      <c r="CS1074">
        <v>0</v>
      </c>
      <c r="CT1074">
        <v>0</v>
      </c>
      <c r="CU1074">
        <v>0</v>
      </c>
    </row>
    <row r="1075" spans="1:112" x14ac:dyDescent="0.2">
      <c r="A1075" t="s">
        <v>180</v>
      </c>
      <c r="B1075" t="s">
        <v>181</v>
      </c>
      <c r="C1075" t="s">
        <v>184</v>
      </c>
      <c r="D1075" t="s">
        <v>670</v>
      </c>
      <c r="F1075" t="str">
        <f>"250735"</f>
        <v>250735</v>
      </c>
      <c r="G1075" t="s">
        <v>49</v>
      </c>
      <c r="K1075" t="s">
        <v>51</v>
      </c>
      <c r="L1075" t="s">
        <v>52</v>
      </c>
      <c r="M1075">
        <v>135993.31</v>
      </c>
      <c r="N1075">
        <v>472438.03</v>
      </c>
      <c r="O1075" t="s">
        <v>53</v>
      </c>
      <c r="P1075" t="s">
        <v>54</v>
      </c>
      <c r="Q1075" t="s">
        <v>55</v>
      </c>
      <c r="T1075" t="s">
        <v>466</v>
      </c>
      <c r="U1075">
        <v>40</v>
      </c>
      <c r="V1075" s="1">
        <v>26299</v>
      </c>
      <c r="W1075" s="1">
        <v>26299</v>
      </c>
      <c r="X1075" s="1">
        <v>26299</v>
      </c>
      <c r="Y1075" s="1">
        <v>40909</v>
      </c>
      <c r="Z1075" t="s">
        <v>51</v>
      </c>
      <c r="AB1075" t="s">
        <v>54</v>
      </c>
      <c r="AC1075">
        <v>1</v>
      </c>
      <c r="AE1075" t="s">
        <v>84</v>
      </c>
      <c r="AF1075">
        <v>20</v>
      </c>
      <c r="AG1075" s="1">
        <v>26299</v>
      </c>
      <c r="AH1075" s="1">
        <v>26299</v>
      </c>
      <c r="AI1075" s="1">
        <v>26299</v>
      </c>
      <c r="AJ1075" s="1">
        <v>33604</v>
      </c>
      <c r="AK1075" t="s">
        <v>51</v>
      </c>
      <c r="AN1075">
        <v>0</v>
      </c>
      <c r="AO1075" t="s">
        <v>54</v>
      </c>
      <c r="AP1075" t="s">
        <v>53</v>
      </c>
      <c r="AQ1075">
        <v>0</v>
      </c>
      <c r="AR1075" t="s">
        <v>53</v>
      </c>
      <c r="AS1075">
        <v>0</v>
      </c>
      <c r="AT1075">
        <v>0</v>
      </c>
      <c r="CA1075">
        <v>1</v>
      </c>
      <c r="CC1075" t="s">
        <v>185</v>
      </c>
      <c r="CD1075">
        <v>85000</v>
      </c>
      <c r="CE1075" s="1">
        <v>43349</v>
      </c>
      <c r="CF1075" s="1">
        <v>43349</v>
      </c>
      <c r="CG1075" s="1">
        <v>43349</v>
      </c>
      <c r="CH1075" s="1">
        <v>50488</v>
      </c>
      <c r="CI1075" t="s">
        <v>51</v>
      </c>
      <c r="CK1075" t="s">
        <v>78</v>
      </c>
      <c r="CM1075" t="s">
        <v>54</v>
      </c>
      <c r="CN1075" t="s">
        <v>174</v>
      </c>
      <c r="CO1075" t="s">
        <v>86</v>
      </c>
      <c r="CR1075">
        <v>15</v>
      </c>
      <c r="CS1075">
        <v>0</v>
      </c>
      <c r="CT1075">
        <v>0</v>
      </c>
      <c r="CU1075">
        <v>0</v>
      </c>
    </row>
    <row r="1076" spans="1:112" x14ac:dyDescent="0.2">
      <c r="A1076" t="s">
        <v>180</v>
      </c>
      <c r="B1076" t="s">
        <v>181</v>
      </c>
      <c r="C1076" t="s">
        <v>184</v>
      </c>
      <c r="D1076" t="s">
        <v>670</v>
      </c>
      <c r="F1076" t="str">
        <f>"250736"</f>
        <v>250736</v>
      </c>
      <c r="G1076" t="s">
        <v>49</v>
      </c>
      <c r="H1076" t="s">
        <v>589</v>
      </c>
      <c r="K1076" t="s">
        <v>51</v>
      </c>
      <c r="L1076" t="s">
        <v>52</v>
      </c>
      <c r="M1076">
        <v>135984.98000000001</v>
      </c>
      <c r="N1076">
        <v>472416.7</v>
      </c>
      <c r="O1076" t="s">
        <v>53</v>
      </c>
      <c r="P1076" t="s">
        <v>54</v>
      </c>
      <c r="Q1076" t="s">
        <v>55</v>
      </c>
      <c r="T1076" t="s">
        <v>466</v>
      </c>
      <c r="U1076">
        <v>40</v>
      </c>
      <c r="V1076" s="1">
        <v>26299</v>
      </c>
      <c r="W1076" s="1">
        <v>26299</v>
      </c>
      <c r="X1076" s="1">
        <v>26299</v>
      </c>
      <c r="Y1076" s="1">
        <v>40909</v>
      </c>
      <c r="Z1076" t="s">
        <v>51</v>
      </c>
      <c r="AB1076" t="s">
        <v>54</v>
      </c>
      <c r="AC1076">
        <v>1</v>
      </c>
      <c r="AE1076" t="s">
        <v>84</v>
      </c>
      <c r="AF1076">
        <v>20</v>
      </c>
      <c r="AG1076" s="1">
        <v>26299</v>
      </c>
      <c r="AH1076" s="1">
        <v>26299</v>
      </c>
      <c r="AI1076" s="1">
        <v>26299</v>
      </c>
      <c r="AJ1076" s="1">
        <v>33604</v>
      </c>
      <c r="AK1076" t="s">
        <v>51</v>
      </c>
      <c r="AN1076">
        <v>0</v>
      </c>
      <c r="AO1076" t="s">
        <v>54</v>
      </c>
      <c r="AP1076" t="s">
        <v>53</v>
      </c>
      <c r="AQ1076">
        <v>0</v>
      </c>
      <c r="AR1076" t="s">
        <v>53</v>
      </c>
      <c r="AS1076">
        <v>0</v>
      </c>
      <c r="AT1076">
        <v>0</v>
      </c>
      <c r="BK1076" t="s">
        <v>59</v>
      </c>
      <c r="BL1076">
        <v>14000</v>
      </c>
      <c r="BM1076" s="1">
        <v>45040</v>
      </c>
      <c r="BN1076" s="1">
        <v>45040</v>
      </c>
      <c r="BO1076" s="1">
        <v>45040</v>
      </c>
      <c r="BP1076" s="1">
        <v>46330</v>
      </c>
      <c r="BQ1076" t="s">
        <v>51</v>
      </c>
      <c r="BS1076" t="s">
        <v>78</v>
      </c>
      <c r="BT1076" t="s">
        <v>54</v>
      </c>
      <c r="BU1076" t="s">
        <v>61</v>
      </c>
      <c r="BV1076" t="s">
        <v>62</v>
      </c>
      <c r="BX1076">
        <v>24</v>
      </c>
      <c r="BY1076">
        <v>0</v>
      </c>
      <c r="BZ1076">
        <v>0</v>
      </c>
    </row>
    <row r="1077" spans="1:112" x14ac:dyDescent="0.2">
      <c r="A1077" t="s">
        <v>180</v>
      </c>
      <c r="B1077" t="s">
        <v>181</v>
      </c>
      <c r="C1077" t="s">
        <v>184</v>
      </c>
      <c r="D1077" t="s">
        <v>670</v>
      </c>
      <c r="F1077" t="str">
        <f>"250737"</f>
        <v>250737</v>
      </c>
      <c r="G1077" t="s">
        <v>49</v>
      </c>
      <c r="H1077" t="s">
        <v>262</v>
      </c>
      <c r="K1077" t="s">
        <v>51</v>
      </c>
      <c r="L1077" t="s">
        <v>52</v>
      </c>
      <c r="M1077">
        <v>135970.43</v>
      </c>
      <c r="N1077">
        <v>472399.19</v>
      </c>
      <c r="O1077" t="s">
        <v>53</v>
      </c>
      <c r="P1077" t="s">
        <v>54</v>
      </c>
      <c r="Q1077" t="s">
        <v>55</v>
      </c>
      <c r="T1077" t="s">
        <v>466</v>
      </c>
      <c r="U1077">
        <v>40</v>
      </c>
      <c r="V1077" s="1">
        <v>26299</v>
      </c>
      <c r="W1077" s="1">
        <v>26299</v>
      </c>
      <c r="X1077" s="1">
        <v>26299</v>
      </c>
      <c r="Y1077" s="1">
        <v>40909</v>
      </c>
      <c r="Z1077" t="s">
        <v>51</v>
      </c>
      <c r="AB1077" t="s">
        <v>54</v>
      </c>
      <c r="AC1077">
        <v>1</v>
      </c>
      <c r="AE1077" t="s">
        <v>84</v>
      </c>
      <c r="AF1077">
        <v>20</v>
      </c>
      <c r="AG1077" s="1">
        <v>26299</v>
      </c>
      <c r="AH1077" s="1">
        <v>26299</v>
      </c>
      <c r="AI1077" s="1">
        <v>26299</v>
      </c>
      <c r="AJ1077" s="1">
        <v>33604</v>
      </c>
      <c r="AK1077" t="s">
        <v>51</v>
      </c>
      <c r="AN1077">
        <v>0</v>
      </c>
      <c r="AO1077" t="s">
        <v>54</v>
      </c>
      <c r="AP1077" t="s">
        <v>53</v>
      </c>
      <c r="AQ1077">
        <v>0</v>
      </c>
      <c r="AR1077" t="s">
        <v>53</v>
      </c>
      <c r="AS1077">
        <v>0</v>
      </c>
      <c r="AT1077">
        <v>0</v>
      </c>
      <c r="CA1077">
        <v>1</v>
      </c>
      <c r="CC1077" t="s">
        <v>185</v>
      </c>
      <c r="CD1077">
        <v>85000</v>
      </c>
      <c r="CE1077" s="1">
        <v>42552</v>
      </c>
      <c r="CF1077" s="1">
        <v>42552</v>
      </c>
      <c r="CG1077" s="1">
        <v>42552</v>
      </c>
      <c r="CH1077" s="1">
        <v>49714</v>
      </c>
      <c r="CI1077" t="s">
        <v>51</v>
      </c>
      <c r="CK1077" t="s">
        <v>78</v>
      </c>
      <c r="CM1077" t="s">
        <v>54</v>
      </c>
      <c r="CN1077" t="s">
        <v>174</v>
      </c>
      <c r="CO1077" t="s">
        <v>86</v>
      </c>
      <c r="CR1077">
        <v>15</v>
      </c>
      <c r="CS1077">
        <v>0</v>
      </c>
      <c r="CT1077">
        <v>0</v>
      </c>
      <c r="CU1077">
        <v>0</v>
      </c>
    </row>
    <row r="1078" spans="1:112" x14ac:dyDescent="0.2">
      <c r="A1078" t="s">
        <v>180</v>
      </c>
      <c r="B1078" t="s">
        <v>181</v>
      </c>
      <c r="C1078" t="s">
        <v>184</v>
      </c>
      <c r="D1078" t="s">
        <v>670</v>
      </c>
      <c r="F1078" t="str">
        <f>"250738"</f>
        <v>250738</v>
      </c>
      <c r="G1078" t="s">
        <v>49</v>
      </c>
      <c r="H1078" t="s">
        <v>313</v>
      </c>
      <c r="K1078" t="s">
        <v>51</v>
      </c>
      <c r="L1078" t="s">
        <v>52</v>
      </c>
      <c r="M1078">
        <v>135960.84</v>
      </c>
      <c r="N1078">
        <v>472366.86</v>
      </c>
      <c r="O1078" t="s">
        <v>53</v>
      </c>
      <c r="P1078" t="s">
        <v>54</v>
      </c>
      <c r="Q1078" t="s">
        <v>55</v>
      </c>
      <c r="T1078" t="s">
        <v>466</v>
      </c>
      <c r="U1078">
        <v>40</v>
      </c>
      <c r="V1078" s="1">
        <v>26299</v>
      </c>
      <c r="W1078" s="1">
        <v>26299</v>
      </c>
      <c r="X1078" s="1">
        <v>26299</v>
      </c>
      <c r="Y1078" s="1">
        <v>40909</v>
      </c>
      <c r="Z1078" t="s">
        <v>51</v>
      </c>
      <c r="AB1078" t="s">
        <v>54</v>
      </c>
      <c r="AC1078">
        <v>1</v>
      </c>
      <c r="AE1078" t="s">
        <v>84</v>
      </c>
      <c r="AF1078">
        <v>20</v>
      </c>
      <c r="AG1078" s="1">
        <v>26299</v>
      </c>
      <c r="AH1078" s="1">
        <v>26299</v>
      </c>
      <c r="AI1078" s="1">
        <v>26299</v>
      </c>
      <c r="AJ1078" s="1">
        <v>33604</v>
      </c>
      <c r="AK1078" t="s">
        <v>51</v>
      </c>
      <c r="AN1078">
        <v>0</v>
      </c>
      <c r="AO1078" t="s">
        <v>54</v>
      </c>
      <c r="AP1078" t="s">
        <v>53</v>
      </c>
      <c r="AQ1078">
        <v>0</v>
      </c>
      <c r="AR1078" t="s">
        <v>53</v>
      </c>
      <c r="AS1078">
        <v>0</v>
      </c>
      <c r="AT1078">
        <v>0</v>
      </c>
      <c r="CA1078">
        <v>1</v>
      </c>
      <c r="CC1078" t="s">
        <v>185</v>
      </c>
      <c r="CD1078">
        <v>85000</v>
      </c>
      <c r="CE1078" s="1">
        <v>42552</v>
      </c>
      <c r="CF1078" s="1">
        <v>42552</v>
      </c>
      <c r="CG1078" s="1">
        <v>42552</v>
      </c>
      <c r="CH1078" s="1">
        <v>49714</v>
      </c>
      <c r="CI1078" t="s">
        <v>51</v>
      </c>
      <c r="CK1078" t="s">
        <v>78</v>
      </c>
      <c r="CM1078" t="s">
        <v>54</v>
      </c>
      <c r="CN1078" t="s">
        <v>174</v>
      </c>
      <c r="CO1078" t="s">
        <v>86</v>
      </c>
      <c r="CR1078">
        <v>15</v>
      </c>
      <c r="CS1078">
        <v>0</v>
      </c>
      <c r="CT1078">
        <v>0</v>
      </c>
      <c r="CU1078">
        <v>0</v>
      </c>
    </row>
    <row r="1079" spans="1:112" x14ac:dyDescent="0.2">
      <c r="A1079" t="s">
        <v>180</v>
      </c>
      <c r="B1079" t="s">
        <v>181</v>
      </c>
      <c r="C1079" t="s">
        <v>184</v>
      </c>
      <c r="D1079" t="s">
        <v>670</v>
      </c>
      <c r="F1079" t="str">
        <f>"250739"</f>
        <v>250739</v>
      </c>
      <c r="G1079" t="s">
        <v>49</v>
      </c>
      <c r="H1079" t="s">
        <v>548</v>
      </c>
      <c r="K1079" t="s">
        <v>51</v>
      </c>
      <c r="L1079" t="s">
        <v>52</v>
      </c>
      <c r="M1079">
        <v>135943.09</v>
      </c>
      <c r="N1079">
        <v>472337.3</v>
      </c>
      <c r="O1079" t="s">
        <v>53</v>
      </c>
      <c r="P1079" t="s">
        <v>54</v>
      </c>
      <c r="Q1079" t="s">
        <v>55</v>
      </c>
      <c r="T1079" t="s">
        <v>466</v>
      </c>
      <c r="U1079">
        <v>40</v>
      </c>
      <c r="V1079" s="1">
        <v>26299</v>
      </c>
      <c r="W1079" s="1">
        <v>26299</v>
      </c>
      <c r="X1079" s="1">
        <v>26299</v>
      </c>
      <c r="Y1079" s="1">
        <v>40909</v>
      </c>
      <c r="Z1079" t="s">
        <v>51</v>
      </c>
      <c r="AB1079" t="s">
        <v>54</v>
      </c>
      <c r="AC1079">
        <v>1</v>
      </c>
      <c r="AE1079" t="s">
        <v>84</v>
      </c>
      <c r="AF1079">
        <v>20</v>
      </c>
      <c r="AG1079" s="1">
        <v>26299</v>
      </c>
      <c r="AH1079" s="1">
        <v>26299</v>
      </c>
      <c r="AI1079" s="1">
        <v>26299</v>
      </c>
      <c r="AJ1079" s="1">
        <v>33604</v>
      </c>
      <c r="AK1079" t="s">
        <v>51</v>
      </c>
      <c r="AN1079">
        <v>0</v>
      </c>
      <c r="AO1079" t="s">
        <v>54</v>
      </c>
      <c r="AP1079" t="s">
        <v>53</v>
      </c>
      <c r="AQ1079">
        <v>0</v>
      </c>
      <c r="AR1079" t="s">
        <v>53</v>
      </c>
      <c r="AS1079">
        <v>0</v>
      </c>
      <c r="AT1079">
        <v>0</v>
      </c>
      <c r="CA1079">
        <v>1</v>
      </c>
      <c r="CC1079" t="s">
        <v>185</v>
      </c>
      <c r="CD1079">
        <v>85000</v>
      </c>
      <c r="CE1079" s="1">
        <v>44942</v>
      </c>
      <c r="CF1079" s="1">
        <v>44942</v>
      </c>
      <c r="CG1079" s="1">
        <v>44942</v>
      </c>
      <c r="CH1079" s="1">
        <v>52158</v>
      </c>
      <c r="CI1079" t="s">
        <v>51</v>
      </c>
      <c r="CK1079" t="s">
        <v>78</v>
      </c>
      <c r="CM1079" t="s">
        <v>54</v>
      </c>
      <c r="CN1079" t="s">
        <v>174</v>
      </c>
      <c r="CO1079" t="s">
        <v>86</v>
      </c>
      <c r="CR1079">
        <v>15</v>
      </c>
      <c r="CS1079">
        <v>0</v>
      </c>
      <c r="CT1079">
        <v>0</v>
      </c>
      <c r="CU1079">
        <v>0</v>
      </c>
    </row>
    <row r="1080" spans="1:112" x14ac:dyDescent="0.2">
      <c r="A1080" t="s">
        <v>180</v>
      </c>
      <c r="B1080" t="s">
        <v>181</v>
      </c>
      <c r="C1080" t="s">
        <v>184</v>
      </c>
      <c r="D1080" t="s">
        <v>670</v>
      </c>
      <c r="F1080" t="str">
        <f>"250740"</f>
        <v>250740</v>
      </c>
      <c r="G1080" t="s">
        <v>49</v>
      </c>
      <c r="H1080" t="s">
        <v>671</v>
      </c>
      <c r="K1080" t="s">
        <v>51</v>
      </c>
      <c r="L1080" t="s">
        <v>52</v>
      </c>
      <c r="M1080">
        <v>135930.44</v>
      </c>
      <c r="N1080">
        <v>472380.21</v>
      </c>
      <c r="O1080" t="s">
        <v>53</v>
      </c>
      <c r="P1080" t="s">
        <v>54</v>
      </c>
      <c r="Q1080" t="s">
        <v>55</v>
      </c>
      <c r="T1080" t="s">
        <v>241</v>
      </c>
      <c r="U1080">
        <v>40</v>
      </c>
      <c r="V1080" s="1">
        <v>31594</v>
      </c>
      <c r="W1080" s="1">
        <v>31594</v>
      </c>
      <c r="X1080" s="1">
        <v>31594</v>
      </c>
      <c r="Y1080" s="1">
        <v>46204</v>
      </c>
      <c r="Z1080" t="s">
        <v>51</v>
      </c>
      <c r="AB1080" t="s">
        <v>54</v>
      </c>
      <c r="AC1080">
        <v>1</v>
      </c>
      <c r="AE1080" t="s">
        <v>222</v>
      </c>
      <c r="AF1080">
        <v>20</v>
      </c>
      <c r="AG1080" s="1">
        <v>38169</v>
      </c>
      <c r="AH1080" s="1">
        <v>38169</v>
      </c>
      <c r="AI1080" s="1">
        <v>38169</v>
      </c>
      <c r="AJ1080" s="1">
        <v>45474</v>
      </c>
      <c r="AK1080" t="s">
        <v>51</v>
      </c>
      <c r="AN1080">
        <v>0</v>
      </c>
      <c r="AO1080" t="s">
        <v>54</v>
      </c>
      <c r="AP1080" t="s">
        <v>53</v>
      </c>
      <c r="AQ1080">
        <v>0</v>
      </c>
      <c r="AR1080" t="s">
        <v>53</v>
      </c>
      <c r="AS1080">
        <v>0</v>
      </c>
      <c r="AT1080">
        <v>0</v>
      </c>
      <c r="AW1080" t="s">
        <v>58</v>
      </c>
      <c r="AX1080">
        <v>20</v>
      </c>
      <c r="AY1080" s="1">
        <v>44319</v>
      </c>
      <c r="AZ1080" s="1">
        <v>44319</v>
      </c>
      <c r="BA1080" s="1">
        <v>44319</v>
      </c>
      <c r="BB1080" s="1">
        <v>51624</v>
      </c>
      <c r="BC1080" t="s">
        <v>51</v>
      </c>
      <c r="BE1080" t="s">
        <v>54</v>
      </c>
      <c r="BF1080">
        <v>2</v>
      </c>
      <c r="BG1080">
        <v>0</v>
      </c>
      <c r="BH1080" t="s">
        <v>53</v>
      </c>
      <c r="BK1080" t="s">
        <v>59</v>
      </c>
      <c r="BL1080">
        <v>14000</v>
      </c>
      <c r="BM1080" s="1">
        <v>44319</v>
      </c>
      <c r="BN1080" s="1">
        <v>44319</v>
      </c>
      <c r="BO1080" s="1">
        <v>44319</v>
      </c>
      <c r="BP1080" s="1">
        <v>45541</v>
      </c>
      <c r="BQ1080" t="s">
        <v>51</v>
      </c>
      <c r="BS1080" t="s">
        <v>60</v>
      </c>
      <c r="BT1080" t="s">
        <v>54</v>
      </c>
      <c r="BU1080" t="s">
        <v>61</v>
      </c>
      <c r="BV1080" t="s">
        <v>62</v>
      </c>
      <c r="BX1080">
        <v>24</v>
      </c>
      <c r="BY1080">
        <v>0</v>
      </c>
      <c r="BZ1080">
        <v>0</v>
      </c>
    </row>
    <row r="1081" spans="1:112" x14ac:dyDescent="0.2">
      <c r="A1081" t="s">
        <v>180</v>
      </c>
      <c r="B1081" t="s">
        <v>181</v>
      </c>
      <c r="C1081" t="s">
        <v>184</v>
      </c>
      <c r="D1081" t="s">
        <v>670</v>
      </c>
      <c r="F1081" t="str">
        <f>"250741"</f>
        <v>250741</v>
      </c>
      <c r="G1081" t="s">
        <v>49</v>
      </c>
      <c r="H1081" t="s">
        <v>672</v>
      </c>
      <c r="K1081" t="s">
        <v>51</v>
      </c>
      <c r="L1081" t="s">
        <v>52</v>
      </c>
      <c r="M1081">
        <v>135959.81</v>
      </c>
      <c r="N1081">
        <v>472443.9</v>
      </c>
      <c r="O1081" t="s">
        <v>53</v>
      </c>
      <c r="P1081" t="s">
        <v>54</v>
      </c>
      <c r="Q1081" t="s">
        <v>55</v>
      </c>
      <c r="T1081" t="s">
        <v>241</v>
      </c>
      <c r="U1081">
        <v>40</v>
      </c>
      <c r="V1081" s="1">
        <v>31594</v>
      </c>
      <c r="W1081" s="1">
        <v>31594</v>
      </c>
      <c r="X1081" s="1">
        <v>31594</v>
      </c>
      <c r="Y1081" s="1">
        <v>46204</v>
      </c>
      <c r="Z1081" t="s">
        <v>51</v>
      </c>
      <c r="AB1081" t="s">
        <v>54</v>
      </c>
      <c r="AC1081">
        <v>1</v>
      </c>
      <c r="AE1081" t="s">
        <v>222</v>
      </c>
      <c r="AF1081">
        <v>20</v>
      </c>
      <c r="AG1081" s="1">
        <v>38169</v>
      </c>
      <c r="AH1081" s="1">
        <v>38169</v>
      </c>
      <c r="AI1081" s="1">
        <v>38169</v>
      </c>
      <c r="AJ1081" s="1">
        <v>45474</v>
      </c>
      <c r="AK1081" t="s">
        <v>51</v>
      </c>
      <c r="AN1081">
        <v>0</v>
      </c>
      <c r="AO1081" t="s">
        <v>54</v>
      </c>
      <c r="AP1081" t="s">
        <v>53</v>
      </c>
      <c r="AQ1081">
        <v>0</v>
      </c>
      <c r="AR1081" t="s">
        <v>53</v>
      </c>
      <c r="AS1081">
        <v>0</v>
      </c>
      <c r="AT1081">
        <v>0</v>
      </c>
      <c r="CC1081" t="s">
        <v>432</v>
      </c>
      <c r="CD1081">
        <v>85000</v>
      </c>
      <c r="CE1081" s="1">
        <v>42552</v>
      </c>
      <c r="CF1081" s="1">
        <v>42552</v>
      </c>
      <c r="CG1081" s="1">
        <v>42552</v>
      </c>
      <c r="CH1081" s="1">
        <v>49714</v>
      </c>
      <c r="CI1081" t="s">
        <v>51</v>
      </c>
      <c r="CK1081" t="s">
        <v>78</v>
      </c>
      <c r="CM1081" t="s">
        <v>54</v>
      </c>
      <c r="CN1081" t="s">
        <v>174</v>
      </c>
      <c r="CO1081" t="s">
        <v>86</v>
      </c>
      <c r="CR1081">
        <v>24</v>
      </c>
      <c r="CS1081">
        <v>0</v>
      </c>
      <c r="CT1081">
        <v>0</v>
      </c>
      <c r="CU1081">
        <v>0</v>
      </c>
    </row>
    <row r="1082" spans="1:112" x14ac:dyDescent="0.2">
      <c r="A1082" t="s">
        <v>180</v>
      </c>
      <c r="B1082" t="s">
        <v>181</v>
      </c>
      <c r="C1082" t="s">
        <v>184</v>
      </c>
      <c r="D1082" t="s">
        <v>673</v>
      </c>
      <c r="F1082" t="str">
        <f>"250742"</f>
        <v>250742</v>
      </c>
      <c r="G1082" t="s">
        <v>49</v>
      </c>
      <c r="K1082" t="s">
        <v>51</v>
      </c>
      <c r="L1082" t="s">
        <v>52</v>
      </c>
      <c r="M1082">
        <v>135995.89000000001</v>
      </c>
      <c r="N1082">
        <v>472385.64</v>
      </c>
      <c r="O1082" t="s">
        <v>53</v>
      </c>
      <c r="P1082" t="s">
        <v>54</v>
      </c>
      <c r="Q1082" t="s">
        <v>55</v>
      </c>
      <c r="T1082" t="s">
        <v>431</v>
      </c>
      <c r="U1082">
        <v>40</v>
      </c>
      <c r="V1082" s="1">
        <v>31778</v>
      </c>
      <c r="W1082" s="1">
        <v>31778</v>
      </c>
      <c r="X1082" s="1">
        <v>31778</v>
      </c>
      <c r="Y1082" s="1">
        <v>46388</v>
      </c>
      <c r="Z1082" t="s">
        <v>51</v>
      </c>
      <c r="AB1082" t="s">
        <v>54</v>
      </c>
      <c r="AC1082">
        <v>1</v>
      </c>
      <c r="AE1082" t="s">
        <v>79</v>
      </c>
      <c r="AF1082">
        <v>20</v>
      </c>
      <c r="AG1082" s="1">
        <v>31778</v>
      </c>
      <c r="AH1082" s="1">
        <v>31778</v>
      </c>
      <c r="AI1082" s="1">
        <v>31778</v>
      </c>
      <c r="AJ1082" s="1">
        <v>39083</v>
      </c>
      <c r="AK1082" t="s">
        <v>51</v>
      </c>
      <c r="AN1082">
        <v>0</v>
      </c>
      <c r="AO1082" t="s">
        <v>54</v>
      </c>
      <c r="AP1082" t="s">
        <v>53</v>
      </c>
      <c r="AQ1082">
        <v>0</v>
      </c>
      <c r="AR1082" t="s">
        <v>145</v>
      </c>
      <c r="AS1082">
        <v>0</v>
      </c>
      <c r="AT1082">
        <v>0</v>
      </c>
      <c r="CC1082" t="s">
        <v>432</v>
      </c>
      <c r="CD1082">
        <v>85000</v>
      </c>
      <c r="CE1082" s="1">
        <v>42552</v>
      </c>
      <c r="CF1082" s="1">
        <v>42552</v>
      </c>
      <c r="CG1082" s="1">
        <v>42552</v>
      </c>
      <c r="CH1082" s="1">
        <v>49714</v>
      </c>
      <c r="CI1082" t="s">
        <v>51</v>
      </c>
      <c r="CK1082" t="s">
        <v>78</v>
      </c>
      <c r="CM1082" t="s">
        <v>54</v>
      </c>
      <c r="CN1082" t="s">
        <v>174</v>
      </c>
      <c r="CO1082" t="s">
        <v>86</v>
      </c>
      <c r="CR1082">
        <v>24</v>
      </c>
      <c r="CS1082">
        <v>0</v>
      </c>
      <c r="CT1082">
        <v>0</v>
      </c>
      <c r="CU1082">
        <v>0</v>
      </c>
    </row>
    <row r="1083" spans="1:112" x14ac:dyDescent="0.2">
      <c r="A1083" t="s">
        <v>180</v>
      </c>
      <c r="B1083" t="s">
        <v>181</v>
      </c>
      <c r="C1083" t="s">
        <v>184</v>
      </c>
      <c r="D1083" t="s">
        <v>673</v>
      </c>
      <c r="F1083" t="str">
        <f>"250743"</f>
        <v>250743</v>
      </c>
      <c r="G1083" t="s">
        <v>49</v>
      </c>
      <c r="K1083" t="s">
        <v>51</v>
      </c>
      <c r="L1083" t="s">
        <v>52</v>
      </c>
      <c r="M1083">
        <v>136024.29</v>
      </c>
      <c r="N1083">
        <v>472375.27</v>
      </c>
      <c r="O1083" t="s">
        <v>53</v>
      </c>
      <c r="P1083" t="s">
        <v>54</v>
      </c>
      <c r="Q1083" t="s">
        <v>55</v>
      </c>
      <c r="T1083" t="s">
        <v>431</v>
      </c>
      <c r="U1083">
        <v>40</v>
      </c>
      <c r="V1083" s="1">
        <v>31778</v>
      </c>
      <c r="W1083" s="1">
        <v>31778</v>
      </c>
      <c r="X1083" s="1">
        <v>31778</v>
      </c>
      <c r="Y1083" s="1">
        <v>46388</v>
      </c>
      <c r="Z1083" t="s">
        <v>51</v>
      </c>
      <c r="AB1083" t="s">
        <v>54</v>
      </c>
      <c r="AC1083">
        <v>1</v>
      </c>
      <c r="AE1083" t="s">
        <v>79</v>
      </c>
      <c r="AF1083">
        <v>20</v>
      </c>
      <c r="AG1083" s="1">
        <v>31778</v>
      </c>
      <c r="AH1083" s="1">
        <v>31778</v>
      </c>
      <c r="AI1083" s="1">
        <v>31778</v>
      </c>
      <c r="AJ1083" s="1">
        <v>39083</v>
      </c>
      <c r="AK1083" t="s">
        <v>51</v>
      </c>
      <c r="AN1083">
        <v>0</v>
      </c>
      <c r="AO1083" t="s">
        <v>54</v>
      </c>
      <c r="AP1083" t="s">
        <v>53</v>
      </c>
      <c r="AQ1083">
        <v>0</v>
      </c>
      <c r="AR1083" t="s">
        <v>145</v>
      </c>
      <c r="AS1083">
        <v>0</v>
      </c>
      <c r="AT1083">
        <v>0</v>
      </c>
      <c r="BK1083" t="s">
        <v>59</v>
      </c>
      <c r="BL1083">
        <v>14000</v>
      </c>
      <c r="BM1083" s="1">
        <v>45042</v>
      </c>
      <c r="BN1083" s="1">
        <v>45042</v>
      </c>
      <c r="BO1083" s="1">
        <v>45042</v>
      </c>
      <c r="BP1083" s="1">
        <v>46331</v>
      </c>
      <c r="BQ1083" t="s">
        <v>51</v>
      </c>
      <c r="BS1083" t="s">
        <v>78</v>
      </c>
      <c r="BT1083" t="s">
        <v>54</v>
      </c>
      <c r="BU1083" t="s">
        <v>61</v>
      </c>
      <c r="BV1083" t="s">
        <v>62</v>
      </c>
      <c r="BX1083">
        <v>24</v>
      </c>
      <c r="BY1083">
        <v>0</v>
      </c>
      <c r="BZ1083">
        <v>0</v>
      </c>
    </row>
    <row r="1084" spans="1:112" x14ac:dyDescent="0.2">
      <c r="A1084" t="s">
        <v>180</v>
      </c>
      <c r="B1084" t="s">
        <v>181</v>
      </c>
      <c r="C1084" t="s">
        <v>184</v>
      </c>
      <c r="D1084" t="s">
        <v>673</v>
      </c>
      <c r="F1084" t="str">
        <f>"250744"</f>
        <v>250744</v>
      </c>
      <c r="G1084" t="s">
        <v>49</v>
      </c>
      <c r="H1084" t="s">
        <v>510</v>
      </c>
      <c r="K1084" t="s">
        <v>51</v>
      </c>
      <c r="L1084" t="s">
        <v>52</v>
      </c>
      <c r="M1084">
        <v>136047.82999999999</v>
      </c>
      <c r="N1084">
        <v>472361.2</v>
      </c>
      <c r="O1084" t="s">
        <v>53</v>
      </c>
      <c r="P1084" t="s">
        <v>54</v>
      </c>
      <c r="Q1084" t="s">
        <v>55</v>
      </c>
      <c r="T1084" t="s">
        <v>81</v>
      </c>
      <c r="U1084">
        <v>40</v>
      </c>
      <c r="V1084" s="1">
        <v>31959</v>
      </c>
      <c r="W1084" s="1">
        <v>31959</v>
      </c>
      <c r="X1084" s="1">
        <v>31959</v>
      </c>
      <c r="Y1084" s="1">
        <v>46569</v>
      </c>
      <c r="Z1084" t="s">
        <v>51</v>
      </c>
      <c r="AB1084" t="s">
        <v>54</v>
      </c>
      <c r="AC1084">
        <v>1</v>
      </c>
      <c r="AE1084" t="s">
        <v>84</v>
      </c>
      <c r="AF1084">
        <v>20</v>
      </c>
      <c r="AG1084" s="1">
        <v>44131</v>
      </c>
      <c r="AH1084" s="1">
        <v>44131</v>
      </c>
      <c r="AI1084" s="1">
        <v>44131</v>
      </c>
      <c r="AJ1084" s="1">
        <v>51436</v>
      </c>
      <c r="AK1084" t="s">
        <v>51</v>
      </c>
      <c r="AN1084">
        <v>0</v>
      </c>
      <c r="AO1084" t="s">
        <v>54</v>
      </c>
      <c r="AP1084" t="s">
        <v>53</v>
      </c>
      <c r="AQ1084">
        <v>0</v>
      </c>
      <c r="AR1084" t="s">
        <v>53</v>
      </c>
      <c r="AS1084">
        <v>0</v>
      </c>
      <c r="AT1084">
        <v>0</v>
      </c>
      <c r="AW1084" t="s">
        <v>58</v>
      </c>
      <c r="AX1084">
        <v>20</v>
      </c>
      <c r="AY1084" s="1">
        <v>44320</v>
      </c>
      <c r="AZ1084" s="1">
        <v>44320</v>
      </c>
      <c r="BA1084" s="1">
        <v>44320</v>
      </c>
      <c r="BB1084" s="1">
        <v>51625</v>
      </c>
      <c r="BC1084" t="s">
        <v>51</v>
      </c>
      <c r="BE1084" t="s">
        <v>54</v>
      </c>
      <c r="BF1084">
        <v>2</v>
      </c>
      <c r="BG1084">
        <v>0</v>
      </c>
      <c r="BH1084" t="s">
        <v>53</v>
      </c>
      <c r="BK1084" t="s">
        <v>59</v>
      </c>
      <c r="BL1084">
        <v>14000</v>
      </c>
      <c r="BM1084" s="1">
        <v>44320</v>
      </c>
      <c r="BN1084" s="1">
        <v>44320</v>
      </c>
      <c r="BO1084" s="1">
        <v>44320</v>
      </c>
      <c r="BP1084" s="1">
        <v>45542</v>
      </c>
      <c r="BQ1084" t="s">
        <v>51</v>
      </c>
      <c r="BS1084" t="s">
        <v>60</v>
      </c>
      <c r="BT1084" t="s">
        <v>54</v>
      </c>
      <c r="BU1084" t="s">
        <v>61</v>
      </c>
      <c r="BV1084" t="s">
        <v>62</v>
      </c>
      <c r="BX1084">
        <v>24</v>
      </c>
      <c r="BY1084">
        <v>0</v>
      </c>
      <c r="BZ1084">
        <v>0</v>
      </c>
      <c r="CX1084" t="s">
        <v>674</v>
      </c>
      <c r="CY1084">
        <v>0</v>
      </c>
      <c r="CZ1084" s="1">
        <v>44320</v>
      </c>
      <c r="DA1084" s="1">
        <v>44320</v>
      </c>
      <c r="DB1084" s="1">
        <v>44320</v>
      </c>
      <c r="DC1084" s="1">
        <v>44320</v>
      </c>
      <c r="DD1084" t="s">
        <v>51</v>
      </c>
      <c r="DF1084" t="s">
        <v>54</v>
      </c>
      <c r="DG1084">
        <v>0</v>
      </c>
      <c r="DH1084">
        <v>0</v>
      </c>
    </row>
    <row r="1085" spans="1:112" x14ac:dyDescent="0.2">
      <c r="A1085" t="s">
        <v>180</v>
      </c>
      <c r="B1085" t="s">
        <v>181</v>
      </c>
      <c r="C1085" t="s">
        <v>184</v>
      </c>
      <c r="D1085" t="s">
        <v>673</v>
      </c>
      <c r="F1085" t="str">
        <f>"250745"</f>
        <v>250745</v>
      </c>
      <c r="G1085" t="s">
        <v>49</v>
      </c>
      <c r="H1085" t="s">
        <v>472</v>
      </c>
      <c r="K1085" t="s">
        <v>51</v>
      </c>
      <c r="L1085" t="s">
        <v>52</v>
      </c>
      <c r="M1085">
        <v>136013.49</v>
      </c>
      <c r="N1085">
        <v>472357.26</v>
      </c>
      <c r="O1085" t="s">
        <v>53</v>
      </c>
      <c r="P1085" t="s">
        <v>54</v>
      </c>
      <c r="Q1085" t="s">
        <v>55</v>
      </c>
      <c r="T1085" t="s">
        <v>241</v>
      </c>
      <c r="U1085">
        <v>40</v>
      </c>
      <c r="V1085" s="1">
        <v>31959</v>
      </c>
      <c r="W1085" s="1">
        <v>31959</v>
      </c>
      <c r="X1085" s="1">
        <v>31959</v>
      </c>
      <c r="Y1085" s="1">
        <v>46569</v>
      </c>
      <c r="Z1085" t="s">
        <v>51</v>
      </c>
      <c r="AB1085" t="s">
        <v>54</v>
      </c>
      <c r="AC1085">
        <v>1</v>
      </c>
      <c r="AE1085" t="s">
        <v>222</v>
      </c>
      <c r="AF1085">
        <v>20</v>
      </c>
      <c r="AG1085" s="1">
        <v>31959</v>
      </c>
      <c r="AH1085" s="1">
        <v>31959</v>
      </c>
      <c r="AI1085" s="1">
        <v>31959</v>
      </c>
      <c r="AJ1085" s="1">
        <v>39264</v>
      </c>
      <c r="AK1085" t="s">
        <v>51</v>
      </c>
      <c r="AN1085">
        <v>0</v>
      </c>
      <c r="AO1085" t="s">
        <v>54</v>
      </c>
      <c r="AP1085" t="s">
        <v>53</v>
      </c>
      <c r="AQ1085">
        <v>0</v>
      </c>
      <c r="AR1085" t="s">
        <v>53</v>
      </c>
      <c r="AS1085">
        <v>0</v>
      </c>
      <c r="AT1085">
        <v>0</v>
      </c>
      <c r="CC1085" t="s">
        <v>432</v>
      </c>
      <c r="CD1085">
        <v>85000</v>
      </c>
      <c r="CE1085" s="1">
        <v>42552</v>
      </c>
      <c r="CF1085" s="1">
        <v>42552</v>
      </c>
      <c r="CG1085" s="1">
        <v>42552</v>
      </c>
      <c r="CH1085" s="1">
        <v>49714</v>
      </c>
      <c r="CI1085" t="s">
        <v>51</v>
      </c>
      <c r="CK1085" t="s">
        <v>78</v>
      </c>
      <c r="CM1085" t="s">
        <v>54</v>
      </c>
      <c r="CN1085" t="s">
        <v>174</v>
      </c>
      <c r="CO1085" t="s">
        <v>86</v>
      </c>
      <c r="CR1085">
        <v>24</v>
      </c>
      <c r="CS1085">
        <v>0</v>
      </c>
      <c r="CT1085">
        <v>0</v>
      </c>
      <c r="CU1085">
        <v>0</v>
      </c>
    </row>
    <row r="1086" spans="1:112" x14ac:dyDescent="0.2">
      <c r="A1086" t="s">
        <v>180</v>
      </c>
      <c r="B1086" t="s">
        <v>181</v>
      </c>
      <c r="C1086" t="s">
        <v>184</v>
      </c>
      <c r="D1086" t="s">
        <v>673</v>
      </c>
      <c r="F1086" t="str">
        <f>"250746"</f>
        <v>250746</v>
      </c>
      <c r="G1086" t="s">
        <v>49</v>
      </c>
      <c r="H1086" t="s">
        <v>175</v>
      </c>
      <c r="K1086" t="s">
        <v>51</v>
      </c>
      <c r="L1086" t="s">
        <v>52</v>
      </c>
      <c r="M1086">
        <v>136029.82999999999</v>
      </c>
      <c r="N1086">
        <v>472331.5</v>
      </c>
      <c r="O1086" t="s">
        <v>53</v>
      </c>
      <c r="P1086" t="s">
        <v>54</v>
      </c>
      <c r="Q1086" t="s">
        <v>55</v>
      </c>
      <c r="T1086" t="s">
        <v>241</v>
      </c>
      <c r="U1086">
        <v>40</v>
      </c>
      <c r="V1086" s="1">
        <v>31959</v>
      </c>
      <c r="W1086" s="1">
        <v>31959</v>
      </c>
      <c r="X1086" s="1">
        <v>31959</v>
      </c>
      <c r="Y1086" s="1">
        <v>46569</v>
      </c>
      <c r="Z1086" t="s">
        <v>51</v>
      </c>
      <c r="AB1086" t="s">
        <v>54</v>
      </c>
      <c r="AC1086">
        <v>1</v>
      </c>
      <c r="AE1086" t="s">
        <v>222</v>
      </c>
      <c r="AF1086">
        <v>20</v>
      </c>
      <c r="AG1086" s="1">
        <v>38169</v>
      </c>
      <c r="AH1086" s="1">
        <v>38169</v>
      </c>
      <c r="AI1086" s="1">
        <v>38169</v>
      </c>
      <c r="AJ1086" s="1">
        <v>45474</v>
      </c>
      <c r="AK1086" t="s">
        <v>51</v>
      </c>
      <c r="AN1086">
        <v>0</v>
      </c>
      <c r="AO1086" t="s">
        <v>54</v>
      </c>
      <c r="AP1086" t="s">
        <v>53</v>
      </c>
      <c r="AQ1086">
        <v>0</v>
      </c>
      <c r="AR1086" t="s">
        <v>53</v>
      </c>
      <c r="AS1086">
        <v>0</v>
      </c>
      <c r="AT1086">
        <v>0</v>
      </c>
      <c r="CC1086" t="s">
        <v>432</v>
      </c>
      <c r="CD1086">
        <v>85000</v>
      </c>
      <c r="CE1086" s="1">
        <v>42552</v>
      </c>
      <c r="CF1086" s="1">
        <v>42552</v>
      </c>
      <c r="CG1086" s="1">
        <v>42552</v>
      </c>
      <c r="CH1086" s="1">
        <v>49714</v>
      </c>
      <c r="CI1086" t="s">
        <v>51</v>
      </c>
      <c r="CK1086" t="s">
        <v>78</v>
      </c>
      <c r="CM1086" t="s">
        <v>54</v>
      </c>
      <c r="CN1086" t="s">
        <v>174</v>
      </c>
      <c r="CO1086" t="s">
        <v>86</v>
      </c>
      <c r="CR1086">
        <v>24</v>
      </c>
      <c r="CS1086">
        <v>0</v>
      </c>
      <c r="CT1086">
        <v>0</v>
      </c>
      <c r="CU1086">
        <v>0</v>
      </c>
    </row>
    <row r="1087" spans="1:112" x14ac:dyDescent="0.2">
      <c r="A1087" t="s">
        <v>180</v>
      </c>
      <c r="B1087" t="s">
        <v>181</v>
      </c>
      <c r="C1087" t="s">
        <v>184</v>
      </c>
      <c r="D1087" t="s">
        <v>673</v>
      </c>
      <c r="F1087" t="str">
        <f>"250747"</f>
        <v>250747</v>
      </c>
      <c r="G1087" t="s">
        <v>49</v>
      </c>
      <c r="H1087" t="s">
        <v>259</v>
      </c>
      <c r="K1087" t="s">
        <v>51</v>
      </c>
      <c r="L1087" t="s">
        <v>52</v>
      </c>
      <c r="M1087">
        <v>136004.97</v>
      </c>
      <c r="N1087">
        <v>472337.97</v>
      </c>
      <c r="O1087" t="s">
        <v>53</v>
      </c>
      <c r="P1087" t="s">
        <v>54</v>
      </c>
      <c r="Q1087" t="s">
        <v>55</v>
      </c>
      <c r="T1087" t="s">
        <v>241</v>
      </c>
      <c r="U1087">
        <v>40</v>
      </c>
      <c r="V1087" s="1">
        <v>31959</v>
      </c>
      <c r="W1087" s="1">
        <v>31959</v>
      </c>
      <c r="X1087" s="1">
        <v>31959</v>
      </c>
      <c r="Y1087" s="1">
        <v>46569</v>
      </c>
      <c r="Z1087" t="s">
        <v>51</v>
      </c>
      <c r="AB1087" t="s">
        <v>54</v>
      </c>
      <c r="AC1087">
        <v>1</v>
      </c>
      <c r="AE1087" t="s">
        <v>222</v>
      </c>
      <c r="AF1087">
        <v>20</v>
      </c>
      <c r="AG1087" s="1">
        <v>38169</v>
      </c>
      <c r="AH1087" s="1">
        <v>38169</v>
      </c>
      <c r="AI1087" s="1">
        <v>38169</v>
      </c>
      <c r="AJ1087" s="1">
        <v>45474</v>
      </c>
      <c r="AK1087" t="s">
        <v>51</v>
      </c>
      <c r="AN1087">
        <v>0</v>
      </c>
      <c r="AO1087" t="s">
        <v>54</v>
      </c>
      <c r="AP1087" t="s">
        <v>53</v>
      </c>
      <c r="AQ1087">
        <v>0</v>
      </c>
      <c r="AR1087" t="s">
        <v>53</v>
      </c>
      <c r="AS1087">
        <v>0</v>
      </c>
      <c r="AT1087">
        <v>0</v>
      </c>
      <c r="CC1087" t="s">
        <v>432</v>
      </c>
      <c r="CD1087">
        <v>85000</v>
      </c>
      <c r="CE1087" s="1">
        <v>42552</v>
      </c>
      <c r="CF1087" s="1">
        <v>42552</v>
      </c>
      <c r="CG1087" s="1">
        <v>42552</v>
      </c>
      <c r="CH1087" s="1">
        <v>49714</v>
      </c>
      <c r="CI1087" t="s">
        <v>51</v>
      </c>
      <c r="CK1087" t="s">
        <v>78</v>
      </c>
      <c r="CM1087" t="s">
        <v>54</v>
      </c>
      <c r="CN1087" t="s">
        <v>174</v>
      </c>
      <c r="CO1087" t="s">
        <v>86</v>
      </c>
      <c r="CR1087">
        <v>24</v>
      </c>
      <c r="CS1087">
        <v>0</v>
      </c>
      <c r="CT1087">
        <v>0</v>
      </c>
      <c r="CU1087">
        <v>0</v>
      </c>
    </row>
    <row r="1088" spans="1:112" x14ac:dyDescent="0.2">
      <c r="A1088" t="s">
        <v>180</v>
      </c>
      <c r="B1088" t="s">
        <v>181</v>
      </c>
      <c r="C1088" t="s">
        <v>184</v>
      </c>
      <c r="D1088" t="s">
        <v>673</v>
      </c>
      <c r="F1088" t="str">
        <f>"250748"</f>
        <v>250748</v>
      </c>
      <c r="G1088" t="s">
        <v>49</v>
      </c>
      <c r="H1088" t="s">
        <v>575</v>
      </c>
      <c r="K1088" t="s">
        <v>51</v>
      </c>
      <c r="L1088" t="s">
        <v>52</v>
      </c>
      <c r="M1088">
        <v>135983.06</v>
      </c>
      <c r="N1088">
        <v>472354.97</v>
      </c>
      <c r="O1088" t="s">
        <v>53</v>
      </c>
      <c r="P1088" t="s">
        <v>54</v>
      </c>
      <c r="Q1088" t="s">
        <v>55</v>
      </c>
      <c r="T1088" t="s">
        <v>241</v>
      </c>
      <c r="U1088">
        <v>40</v>
      </c>
      <c r="V1088" s="1">
        <v>31959</v>
      </c>
      <c r="W1088" s="1">
        <v>31959</v>
      </c>
      <c r="X1088" s="1">
        <v>31959</v>
      </c>
      <c r="Y1088" s="1">
        <v>46569</v>
      </c>
      <c r="Z1088" t="s">
        <v>51</v>
      </c>
      <c r="AB1088" t="s">
        <v>54</v>
      </c>
      <c r="AC1088">
        <v>1</v>
      </c>
      <c r="AE1088" t="s">
        <v>222</v>
      </c>
      <c r="AF1088">
        <v>20</v>
      </c>
      <c r="AG1088" s="1">
        <v>31959</v>
      </c>
      <c r="AH1088" s="1">
        <v>31959</v>
      </c>
      <c r="AI1088" s="1">
        <v>31959</v>
      </c>
      <c r="AJ1088" s="1">
        <v>39264</v>
      </c>
      <c r="AK1088" t="s">
        <v>51</v>
      </c>
      <c r="AN1088">
        <v>0</v>
      </c>
      <c r="AO1088" t="s">
        <v>54</v>
      </c>
      <c r="AP1088" t="s">
        <v>53</v>
      </c>
      <c r="AQ1088">
        <v>0</v>
      </c>
      <c r="AR1088" t="s">
        <v>53</v>
      </c>
      <c r="AS1088">
        <v>0</v>
      </c>
      <c r="AT1088">
        <v>0</v>
      </c>
      <c r="CC1088" t="s">
        <v>432</v>
      </c>
      <c r="CD1088">
        <v>85000</v>
      </c>
      <c r="CE1088" s="1">
        <v>42552</v>
      </c>
      <c r="CF1088" s="1">
        <v>42552</v>
      </c>
      <c r="CG1088" s="1">
        <v>42552</v>
      </c>
      <c r="CH1088" s="1">
        <v>49714</v>
      </c>
      <c r="CI1088" t="s">
        <v>51</v>
      </c>
      <c r="CK1088" t="s">
        <v>78</v>
      </c>
      <c r="CM1088" t="s">
        <v>54</v>
      </c>
      <c r="CN1088" t="s">
        <v>174</v>
      </c>
      <c r="CO1088" t="s">
        <v>86</v>
      </c>
      <c r="CR1088">
        <v>24</v>
      </c>
      <c r="CS1088">
        <v>0</v>
      </c>
      <c r="CT1088">
        <v>0</v>
      </c>
      <c r="CU1088">
        <v>0</v>
      </c>
    </row>
    <row r="1089" spans="1:99" x14ac:dyDescent="0.2">
      <c r="A1089" t="s">
        <v>180</v>
      </c>
      <c r="B1089" t="s">
        <v>181</v>
      </c>
      <c r="C1089" t="s">
        <v>184</v>
      </c>
      <c r="D1089" t="s">
        <v>675</v>
      </c>
      <c r="F1089" t="str">
        <f>"250749"</f>
        <v>250749</v>
      </c>
      <c r="G1089" t="s">
        <v>49</v>
      </c>
      <c r="H1089" t="s">
        <v>272</v>
      </c>
      <c r="K1089" t="s">
        <v>51</v>
      </c>
      <c r="L1089" t="s">
        <v>52</v>
      </c>
      <c r="M1089">
        <v>136125.51999999999</v>
      </c>
      <c r="N1089">
        <v>472438.38</v>
      </c>
      <c r="O1089" t="s">
        <v>53</v>
      </c>
      <c r="P1089" t="s">
        <v>54</v>
      </c>
      <c r="Q1089" t="s">
        <v>55</v>
      </c>
      <c r="T1089" t="s">
        <v>366</v>
      </c>
      <c r="U1089">
        <v>40</v>
      </c>
      <c r="V1089" s="1">
        <v>42186</v>
      </c>
      <c r="W1089" s="1">
        <v>42186</v>
      </c>
      <c r="X1089" s="1">
        <v>42186</v>
      </c>
      <c r="Y1089" s="1">
        <v>56796</v>
      </c>
      <c r="Z1089" t="s">
        <v>51</v>
      </c>
      <c r="AB1089" t="s">
        <v>54</v>
      </c>
      <c r="AE1089" t="s">
        <v>91</v>
      </c>
      <c r="AF1089">
        <v>20</v>
      </c>
      <c r="AG1089" s="1">
        <v>44369</v>
      </c>
      <c r="AH1089" s="1">
        <v>44369</v>
      </c>
      <c r="AI1089" s="1">
        <v>44369</v>
      </c>
      <c r="AJ1089" s="1">
        <v>51674</v>
      </c>
      <c r="AK1089" t="s">
        <v>51</v>
      </c>
      <c r="AN1089">
        <v>0</v>
      </c>
      <c r="AO1089" t="s">
        <v>54</v>
      </c>
      <c r="AP1089" t="s">
        <v>53</v>
      </c>
      <c r="AQ1089">
        <v>0</v>
      </c>
      <c r="AR1089" t="s">
        <v>53</v>
      </c>
      <c r="AS1089">
        <v>0</v>
      </c>
      <c r="AT1089">
        <v>0</v>
      </c>
      <c r="BK1089" t="s">
        <v>374</v>
      </c>
      <c r="BL1089">
        <v>50000</v>
      </c>
      <c r="BM1089" s="1">
        <v>44369</v>
      </c>
      <c r="BN1089" s="1">
        <v>44369</v>
      </c>
      <c r="BO1089" s="1">
        <v>44369</v>
      </c>
      <c r="BP1089" s="1">
        <v>48587</v>
      </c>
      <c r="BQ1089" t="s">
        <v>51</v>
      </c>
      <c r="BS1089" t="s">
        <v>60</v>
      </c>
      <c r="BT1089" t="s">
        <v>54</v>
      </c>
      <c r="BU1089" t="s">
        <v>61</v>
      </c>
      <c r="BV1089" t="s">
        <v>62</v>
      </c>
      <c r="BX1089">
        <v>26</v>
      </c>
      <c r="BY1089">
        <v>2860</v>
      </c>
      <c r="BZ1089">
        <v>0</v>
      </c>
    </row>
    <row r="1090" spans="1:99" x14ac:dyDescent="0.2">
      <c r="A1090" t="s">
        <v>180</v>
      </c>
      <c r="B1090" t="s">
        <v>181</v>
      </c>
      <c r="C1090" t="s">
        <v>184</v>
      </c>
      <c r="D1090" t="s">
        <v>675</v>
      </c>
      <c r="F1090" t="str">
        <f>"250750"</f>
        <v>250750</v>
      </c>
      <c r="G1090" t="s">
        <v>49</v>
      </c>
      <c r="H1090" t="s">
        <v>275</v>
      </c>
      <c r="K1090" t="s">
        <v>51</v>
      </c>
      <c r="L1090" t="s">
        <v>52</v>
      </c>
      <c r="M1090">
        <v>136114.93</v>
      </c>
      <c r="N1090">
        <v>472417.31</v>
      </c>
      <c r="O1090" t="s">
        <v>53</v>
      </c>
      <c r="P1090" t="s">
        <v>54</v>
      </c>
      <c r="Q1090" t="s">
        <v>55</v>
      </c>
      <c r="T1090" t="s">
        <v>676</v>
      </c>
      <c r="U1090">
        <v>40</v>
      </c>
      <c r="V1090" s="1">
        <v>42186</v>
      </c>
      <c r="W1090" s="1">
        <v>42186</v>
      </c>
      <c r="X1090" s="1">
        <v>42186</v>
      </c>
      <c r="Y1090" s="1">
        <v>56796</v>
      </c>
      <c r="Z1090" t="s">
        <v>51</v>
      </c>
      <c r="AB1090" t="s">
        <v>54</v>
      </c>
      <c r="AE1090" t="s">
        <v>91</v>
      </c>
      <c r="AF1090">
        <v>20</v>
      </c>
      <c r="AG1090" s="1">
        <v>44369</v>
      </c>
      <c r="AH1090" s="1">
        <v>44369</v>
      </c>
      <c r="AI1090" s="1">
        <v>44369</v>
      </c>
      <c r="AJ1090" s="1">
        <v>51674</v>
      </c>
      <c r="AK1090" t="s">
        <v>51</v>
      </c>
      <c r="AN1090">
        <v>0</v>
      </c>
      <c r="AO1090" t="s">
        <v>54</v>
      </c>
      <c r="AP1090" t="s">
        <v>53</v>
      </c>
      <c r="AQ1090">
        <v>0</v>
      </c>
      <c r="AR1090" t="s">
        <v>53</v>
      </c>
      <c r="AS1090">
        <v>0</v>
      </c>
      <c r="AT1090">
        <v>0</v>
      </c>
      <c r="BK1090" t="s">
        <v>374</v>
      </c>
      <c r="BL1090">
        <v>50000</v>
      </c>
      <c r="BM1090" s="1">
        <v>44369</v>
      </c>
      <c r="BN1090" s="1">
        <v>44369</v>
      </c>
      <c r="BO1090" s="1">
        <v>44369</v>
      </c>
      <c r="BP1090" s="1">
        <v>48587</v>
      </c>
      <c r="BQ1090" t="s">
        <v>51</v>
      </c>
      <c r="BS1090" t="s">
        <v>60</v>
      </c>
      <c r="BT1090" t="s">
        <v>54</v>
      </c>
      <c r="BU1090" t="s">
        <v>61</v>
      </c>
      <c r="BV1090" t="s">
        <v>62</v>
      </c>
      <c r="BX1090">
        <v>26</v>
      </c>
      <c r="BY1090">
        <v>2860</v>
      </c>
      <c r="BZ1090">
        <v>0</v>
      </c>
    </row>
    <row r="1091" spans="1:99" x14ac:dyDescent="0.2">
      <c r="A1091" t="s">
        <v>180</v>
      </c>
      <c r="B1091" t="s">
        <v>181</v>
      </c>
      <c r="C1091" t="s">
        <v>184</v>
      </c>
      <c r="D1091" t="s">
        <v>675</v>
      </c>
      <c r="F1091" t="str">
        <f>"250751"</f>
        <v>250751</v>
      </c>
      <c r="G1091" t="s">
        <v>49</v>
      </c>
      <c r="K1091" t="s">
        <v>51</v>
      </c>
      <c r="L1091" t="s">
        <v>52</v>
      </c>
      <c r="M1091">
        <v>136104.038</v>
      </c>
      <c r="N1091">
        <v>472395.30300000001</v>
      </c>
      <c r="O1091" t="s">
        <v>53</v>
      </c>
      <c r="P1091" t="s">
        <v>54</v>
      </c>
      <c r="Q1091" t="s">
        <v>55</v>
      </c>
      <c r="T1091" t="s">
        <v>366</v>
      </c>
      <c r="U1091">
        <v>40</v>
      </c>
      <c r="V1091" s="1">
        <v>42186</v>
      </c>
      <c r="W1091" s="1">
        <v>42186</v>
      </c>
      <c r="X1091" s="1">
        <v>42186</v>
      </c>
      <c r="Y1091" s="1">
        <v>56796</v>
      </c>
      <c r="Z1091" t="s">
        <v>51</v>
      </c>
      <c r="AB1091" t="s">
        <v>54</v>
      </c>
      <c r="AE1091" t="s">
        <v>91</v>
      </c>
      <c r="AF1091">
        <v>20</v>
      </c>
      <c r="AG1091" s="1">
        <v>44369</v>
      </c>
      <c r="AH1091" s="1">
        <v>44369</v>
      </c>
      <c r="AI1091" s="1">
        <v>44369</v>
      </c>
      <c r="AJ1091" s="1">
        <v>51674</v>
      </c>
      <c r="AK1091" t="s">
        <v>51</v>
      </c>
      <c r="AN1091">
        <v>0</v>
      </c>
      <c r="AO1091" t="s">
        <v>54</v>
      </c>
      <c r="AP1091" t="s">
        <v>53</v>
      </c>
      <c r="AQ1091">
        <v>0</v>
      </c>
      <c r="AR1091" t="s">
        <v>53</v>
      </c>
      <c r="AS1091">
        <v>0</v>
      </c>
      <c r="AT1091">
        <v>0</v>
      </c>
      <c r="BK1091" t="s">
        <v>374</v>
      </c>
      <c r="BL1091">
        <v>50000</v>
      </c>
      <c r="BM1091" s="1">
        <v>44369</v>
      </c>
      <c r="BN1091" s="1">
        <v>44369</v>
      </c>
      <c r="BO1091" s="1">
        <v>44369</v>
      </c>
      <c r="BP1091" s="1">
        <v>48587</v>
      </c>
      <c r="BQ1091" t="s">
        <v>51</v>
      </c>
      <c r="BS1091" t="s">
        <v>60</v>
      </c>
      <c r="BT1091" t="s">
        <v>54</v>
      </c>
      <c r="BU1091" t="s">
        <v>61</v>
      </c>
      <c r="BV1091" t="s">
        <v>62</v>
      </c>
      <c r="BX1091">
        <v>26</v>
      </c>
      <c r="BY1091">
        <v>2860</v>
      </c>
      <c r="BZ1091">
        <v>0</v>
      </c>
    </row>
    <row r="1092" spans="1:99" x14ac:dyDescent="0.2">
      <c r="A1092" t="s">
        <v>180</v>
      </c>
      <c r="B1092" t="s">
        <v>181</v>
      </c>
      <c r="C1092" t="s">
        <v>184</v>
      </c>
      <c r="D1092" t="s">
        <v>675</v>
      </c>
      <c r="F1092" t="str">
        <f>"250752"</f>
        <v>250752</v>
      </c>
      <c r="G1092" t="s">
        <v>49</v>
      </c>
      <c r="K1092" t="s">
        <v>51</v>
      </c>
      <c r="L1092" t="s">
        <v>52</v>
      </c>
      <c r="M1092">
        <v>136092.84899999999</v>
      </c>
      <c r="N1092">
        <v>472372.696</v>
      </c>
      <c r="O1092" t="s">
        <v>53</v>
      </c>
      <c r="P1092" t="s">
        <v>54</v>
      </c>
      <c r="Q1092" t="s">
        <v>55</v>
      </c>
      <c r="T1092" t="s">
        <v>366</v>
      </c>
      <c r="U1092">
        <v>40</v>
      </c>
      <c r="V1092" s="1">
        <v>42186</v>
      </c>
      <c r="W1092" s="1">
        <v>42186</v>
      </c>
      <c r="X1092" s="1">
        <v>42186</v>
      </c>
      <c r="Y1092" s="1">
        <v>56796</v>
      </c>
      <c r="Z1092" t="s">
        <v>51</v>
      </c>
      <c r="AB1092" t="s">
        <v>54</v>
      </c>
      <c r="AE1092" t="s">
        <v>91</v>
      </c>
      <c r="AF1092">
        <v>20</v>
      </c>
      <c r="AG1092" s="1">
        <v>44375</v>
      </c>
      <c r="AH1092" s="1">
        <v>44375</v>
      </c>
      <c r="AI1092" s="1">
        <v>44375</v>
      </c>
      <c r="AJ1092" s="1">
        <v>51680</v>
      </c>
      <c r="AK1092" t="s">
        <v>51</v>
      </c>
      <c r="AN1092">
        <v>0</v>
      </c>
      <c r="AO1092" t="s">
        <v>54</v>
      </c>
      <c r="AP1092" t="s">
        <v>53</v>
      </c>
      <c r="AQ1092">
        <v>0</v>
      </c>
      <c r="AR1092" t="s">
        <v>53</v>
      </c>
      <c r="AS1092">
        <v>0</v>
      </c>
      <c r="AT1092">
        <v>0</v>
      </c>
      <c r="BK1092" t="s">
        <v>374</v>
      </c>
      <c r="BL1092">
        <v>50000</v>
      </c>
      <c r="BM1092" s="1">
        <v>44375</v>
      </c>
      <c r="BN1092" s="1">
        <v>44375</v>
      </c>
      <c r="BO1092" s="1">
        <v>44375</v>
      </c>
      <c r="BP1092" s="1">
        <v>48590</v>
      </c>
      <c r="BQ1092" t="s">
        <v>51</v>
      </c>
      <c r="BS1092" t="s">
        <v>60</v>
      </c>
      <c r="BT1092" t="s">
        <v>54</v>
      </c>
      <c r="BU1092" t="s">
        <v>61</v>
      </c>
      <c r="BV1092" t="s">
        <v>62</v>
      </c>
      <c r="BX1092">
        <v>26</v>
      </c>
      <c r="BY1092">
        <v>2860</v>
      </c>
      <c r="BZ1092">
        <v>0</v>
      </c>
    </row>
    <row r="1093" spans="1:99" x14ac:dyDescent="0.2">
      <c r="A1093" t="s">
        <v>180</v>
      </c>
      <c r="B1093" t="s">
        <v>181</v>
      </c>
      <c r="C1093" t="s">
        <v>184</v>
      </c>
      <c r="D1093" t="s">
        <v>675</v>
      </c>
      <c r="F1093" t="str">
        <f>"250753"</f>
        <v>250753</v>
      </c>
      <c r="G1093" t="s">
        <v>49</v>
      </c>
      <c r="H1093">
        <v>23</v>
      </c>
      <c r="K1093" t="s">
        <v>51</v>
      </c>
      <c r="L1093" t="s">
        <v>52</v>
      </c>
      <c r="M1093">
        <v>136081.97</v>
      </c>
      <c r="N1093">
        <v>472350.53</v>
      </c>
      <c r="O1093" t="s">
        <v>53</v>
      </c>
      <c r="P1093" t="s">
        <v>54</v>
      </c>
      <c r="Q1093" t="s">
        <v>55</v>
      </c>
      <c r="T1093" t="s">
        <v>366</v>
      </c>
      <c r="U1093">
        <v>40</v>
      </c>
      <c r="V1093" s="1">
        <v>42186</v>
      </c>
      <c r="W1093" s="1">
        <v>42186</v>
      </c>
      <c r="X1093" s="1">
        <v>42186</v>
      </c>
      <c r="Y1093" s="1">
        <v>56796</v>
      </c>
      <c r="Z1093" t="s">
        <v>51</v>
      </c>
      <c r="AB1093" t="s">
        <v>54</v>
      </c>
      <c r="AE1093" t="s">
        <v>91</v>
      </c>
      <c r="AF1093">
        <v>20</v>
      </c>
      <c r="AG1093" s="1">
        <v>44375</v>
      </c>
      <c r="AH1093" s="1">
        <v>44375</v>
      </c>
      <c r="AI1093" s="1">
        <v>44375</v>
      </c>
      <c r="AJ1093" s="1">
        <v>51680</v>
      </c>
      <c r="AK1093" t="s">
        <v>51</v>
      </c>
      <c r="AN1093">
        <v>0</v>
      </c>
      <c r="AO1093" t="s">
        <v>54</v>
      </c>
      <c r="AP1093" t="s">
        <v>53</v>
      </c>
      <c r="AQ1093">
        <v>0</v>
      </c>
      <c r="AR1093" t="s">
        <v>53</v>
      </c>
      <c r="AS1093">
        <v>0</v>
      </c>
      <c r="AT1093">
        <v>0</v>
      </c>
      <c r="BK1093" t="s">
        <v>374</v>
      </c>
      <c r="BL1093">
        <v>50000</v>
      </c>
      <c r="BM1093" s="1">
        <v>44375</v>
      </c>
      <c r="BN1093" s="1">
        <v>44375</v>
      </c>
      <c r="BO1093" s="1">
        <v>44375</v>
      </c>
      <c r="BP1093" s="1">
        <v>48590</v>
      </c>
      <c r="BQ1093" t="s">
        <v>51</v>
      </c>
      <c r="BS1093" t="s">
        <v>60</v>
      </c>
      <c r="BT1093" t="s">
        <v>54</v>
      </c>
      <c r="BU1093" t="s">
        <v>61</v>
      </c>
      <c r="BV1093" t="s">
        <v>62</v>
      </c>
      <c r="BX1093">
        <v>26</v>
      </c>
      <c r="BY1093">
        <v>2860</v>
      </c>
      <c r="BZ1093">
        <v>0</v>
      </c>
    </row>
    <row r="1094" spans="1:99" x14ac:dyDescent="0.2">
      <c r="A1094" t="s">
        <v>180</v>
      </c>
      <c r="B1094" t="s">
        <v>181</v>
      </c>
      <c r="C1094" t="s">
        <v>184</v>
      </c>
      <c r="D1094" t="s">
        <v>677</v>
      </c>
      <c r="F1094" t="str">
        <f>"250754"</f>
        <v>250754</v>
      </c>
      <c r="G1094" t="s">
        <v>49</v>
      </c>
      <c r="K1094" t="s">
        <v>51</v>
      </c>
      <c r="L1094" t="s">
        <v>52</v>
      </c>
      <c r="M1094">
        <v>136092.755</v>
      </c>
      <c r="N1094">
        <v>472329.45299999998</v>
      </c>
      <c r="O1094" t="s">
        <v>53</v>
      </c>
      <c r="P1094" t="s">
        <v>54</v>
      </c>
      <c r="Q1094" t="s">
        <v>55</v>
      </c>
      <c r="T1094" t="s">
        <v>466</v>
      </c>
      <c r="U1094">
        <v>40</v>
      </c>
      <c r="V1094" s="1">
        <v>42186</v>
      </c>
      <c r="W1094" s="1">
        <v>42186</v>
      </c>
      <c r="X1094" s="1">
        <v>42186</v>
      </c>
      <c r="Y1094" s="1">
        <v>56796</v>
      </c>
      <c r="Z1094" t="s">
        <v>51</v>
      </c>
      <c r="AB1094" t="s">
        <v>54</v>
      </c>
      <c r="AC1094">
        <v>1</v>
      </c>
      <c r="AE1094" t="s">
        <v>79</v>
      </c>
      <c r="AF1094">
        <v>20</v>
      </c>
      <c r="AG1094" s="1">
        <v>42186</v>
      </c>
      <c r="AH1094" s="1">
        <v>42186</v>
      </c>
      <c r="AI1094" s="1">
        <v>42186</v>
      </c>
      <c r="AJ1094" s="1">
        <v>49491</v>
      </c>
      <c r="AK1094" t="s">
        <v>51</v>
      </c>
      <c r="AN1094">
        <v>0</v>
      </c>
      <c r="AO1094" t="s">
        <v>54</v>
      </c>
      <c r="AP1094" t="s">
        <v>53</v>
      </c>
      <c r="AQ1094">
        <v>0</v>
      </c>
      <c r="AR1094" t="s">
        <v>145</v>
      </c>
      <c r="AS1094">
        <v>0</v>
      </c>
      <c r="AT1094">
        <v>0</v>
      </c>
      <c r="CA1094">
        <v>1</v>
      </c>
      <c r="CC1094" t="s">
        <v>432</v>
      </c>
      <c r="CD1094">
        <v>85000</v>
      </c>
      <c r="CE1094" s="1">
        <v>42186</v>
      </c>
      <c r="CF1094" s="1">
        <v>42186</v>
      </c>
      <c r="CG1094" s="1">
        <v>42186</v>
      </c>
      <c r="CH1094" s="1">
        <v>49348</v>
      </c>
      <c r="CI1094" t="s">
        <v>51</v>
      </c>
      <c r="CK1094" t="s">
        <v>78</v>
      </c>
      <c r="CM1094" t="s">
        <v>54</v>
      </c>
      <c r="CN1094" t="s">
        <v>174</v>
      </c>
      <c r="CO1094" t="s">
        <v>86</v>
      </c>
      <c r="CR1094">
        <v>24</v>
      </c>
      <c r="CS1094">
        <v>0</v>
      </c>
      <c r="CT1094">
        <v>0</v>
      </c>
      <c r="CU1094">
        <v>0</v>
      </c>
    </row>
    <row r="1095" spans="1:99" x14ac:dyDescent="0.2">
      <c r="A1095" t="s">
        <v>180</v>
      </c>
      <c r="B1095" t="s">
        <v>181</v>
      </c>
      <c r="C1095" t="s">
        <v>184</v>
      </c>
      <c r="D1095" t="s">
        <v>675</v>
      </c>
      <c r="F1095" t="str">
        <f>"250755"</f>
        <v>250755</v>
      </c>
      <c r="G1095" t="s">
        <v>49</v>
      </c>
      <c r="H1095" t="s">
        <v>678</v>
      </c>
      <c r="K1095" t="s">
        <v>51</v>
      </c>
      <c r="L1095" t="s">
        <v>52</v>
      </c>
      <c r="M1095">
        <v>136050.79999999999</v>
      </c>
      <c r="N1095">
        <v>472309.44</v>
      </c>
      <c r="O1095" t="s">
        <v>53</v>
      </c>
      <c r="P1095" t="s">
        <v>54</v>
      </c>
      <c r="Q1095" t="s">
        <v>55</v>
      </c>
      <c r="T1095" t="s">
        <v>241</v>
      </c>
      <c r="U1095">
        <v>40</v>
      </c>
      <c r="V1095" s="1">
        <v>33239</v>
      </c>
      <c r="W1095" s="1">
        <v>33239</v>
      </c>
      <c r="X1095" s="1">
        <v>33239</v>
      </c>
      <c r="Y1095" s="1">
        <v>47849</v>
      </c>
      <c r="Z1095" t="s">
        <v>51</v>
      </c>
      <c r="AB1095" t="s">
        <v>54</v>
      </c>
      <c r="AC1095">
        <v>1</v>
      </c>
      <c r="AE1095" t="s">
        <v>222</v>
      </c>
      <c r="AF1095">
        <v>20</v>
      </c>
      <c r="AG1095" s="1">
        <v>33239</v>
      </c>
      <c r="AH1095" s="1">
        <v>33239</v>
      </c>
      <c r="AI1095" s="1">
        <v>33239</v>
      </c>
      <c r="AJ1095" s="1">
        <v>40544</v>
      </c>
      <c r="AK1095" t="s">
        <v>51</v>
      </c>
      <c r="AN1095">
        <v>0</v>
      </c>
      <c r="AO1095" t="s">
        <v>54</v>
      </c>
      <c r="AP1095" t="s">
        <v>53</v>
      </c>
      <c r="AQ1095">
        <v>0</v>
      </c>
      <c r="AR1095" t="s">
        <v>53</v>
      </c>
      <c r="AS1095">
        <v>0</v>
      </c>
      <c r="AT1095">
        <v>0</v>
      </c>
      <c r="AW1095" t="s">
        <v>58</v>
      </c>
      <c r="AX1095">
        <v>20</v>
      </c>
      <c r="AY1095" s="1">
        <v>33239</v>
      </c>
      <c r="AZ1095" s="1">
        <v>33239</v>
      </c>
      <c r="BA1095" s="1">
        <v>33239</v>
      </c>
      <c r="BB1095" s="1">
        <v>40544</v>
      </c>
      <c r="BC1095" t="s">
        <v>51</v>
      </c>
      <c r="BE1095" t="s">
        <v>54</v>
      </c>
      <c r="BF1095">
        <v>2</v>
      </c>
      <c r="BG1095">
        <v>0</v>
      </c>
      <c r="BH1095" t="s">
        <v>53</v>
      </c>
      <c r="BK1095" t="s">
        <v>65</v>
      </c>
      <c r="BL1095">
        <v>14000</v>
      </c>
      <c r="BM1095" s="1">
        <v>44998</v>
      </c>
      <c r="BN1095" s="1">
        <v>44998</v>
      </c>
      <c r="BO1095" s="1">
        <v>44998</v>
      </c>
      <c r="BP1095" s="1">
        <v>46210</v>
      </c>
      <c r="BQ1095" t="s">
        <v>51</v>
      </c>
      <c r="BS1095" t="s">
        <v>60</v>
      </c>
      <c r="BT1095" t="s">
        <v>54</v>
      </c>
      <c r="BU1095" t="s">
        <v>61</v>
      </c>
      <c r="BV1095" t="s">
        <v>62</v>
      </c>
      <c r="BX1095">
        <v>36</v>
      </c>
      <c r="BY1095">
        <v>0</v>
      </c>
      <c r="BZ1095">
        <v>0</v>
      </c>
    </row>
    <row r="1096" spans="1:99" x14ac:dyDescent="0.2">
      <c r="A1096" t="s">
        <v>180</v>
      </c>
      <c r="B1096" t="s">
        <v>181</v>
      </c>
      <c r="C1096" t="s">
        <v>184</v>
      </c>
      <c r="D1096" t="s">
        <v>675</v>
      </c>
      <c r="F1096" t="str">
        <f>"250756"</f>
        <v>250756</v>
      </c>
      <c r="G1096" t="s">
        <v>49</v>
      </c>
      <c r="H1096" t="s">
        <v>495</v>
      </c>
      <c r="K1096" t="s">
        <v>51</v>
      </c>
      <c r="L1096" t="s">
        <v>52</v>
      </c>
      <c r="M1096">
        <v>136039.39000000001</v>
      </c>
      <c r="N1096">
        <v>472289.53</v>
      </c>
      <c r="O1096" t="s">
        <v>53</v>
      </c>
      <c r="P1096" t="s">
        <v>54</v>
      </c>
      <c r="Q1096" t="s">
        <v>55</v>
      </c>
      <c r="T1096" t="s">
        <v>241</v>
      </c>
      <c r="U1096">
        <v>40</v>
      </c>
      <c r="V1096" s="1">
        <v>33239</v>
      </c>
      <c r="W1096" s="1">
        <v>33239</v>
      </c>
      <c r="X1096" s="1">
        <v>33239</v>
      </c>
      <c r="Y1096" s="1">
        <v>47849</v>
      </c>
      <c r="Z1096" t="s">
        <v>51</v>
      </c>
      <c r="AB1096" t="s">
        <v>54</v>
      </c>
      <c r="AC1096">
        <v>1</v>
      </c>
      <c r="AE1096" t="s">
        <v>222</v>
      </c>
      <c r="AF1096">
        <v>20</v>
      </c>
      <c r="AG1096" s="1">
        <v>33239</v>
      </c>
      <c r="AH1096" s="1">
        <v>33239</v>
      </c>
      <c r="AI1096" s="1">
        <v>33239</v>
      </c>
      <c r="AJ1096" s="1">
        <v>40544</v>
      </c>
      <c r="AK1096" t="s">
        <v>51</v>
      </c>
      <c r="AN1096">
        <v>0</v>
      </c>
      <c r="AO1096" t="s">
        <v>54</v>
      </c>
      <c r="AP1096" t="s">
        <v>53</v>
      </c>
      <c r="AQ1096">
        <v>0</v>
      </c>
      <c r="AR1096" t="s">
        <v>53</v>
      </c>
      <c r="AS1096">
        <v>0</v>
      </c>
      <c r="AT1096">
        <v>0</v>
      </c>
      <c r="AW1096" t="s">
        <v>58</v>
      </c>
      <c r="AX1096">
        <v>20</v>
      </c>
      <c r="AY1096" s="1">
        <v>33239</v>
      </c>
      <c r="AZ1096" s="1">
        <v>33239</v>
      </c>
      <c r="BA1096" s="1">
        <v>33239</v>
      </c>
      <c r="BB1096" s="1">
        <v>40544</v>
      </c>
      <c r="BC1096" t="s">
        <v>51</v>
      </c>
      <c r="BE1096" t="s">
        <v>54</v>
      </c>
      <c r="BF1096">
        <v>2</v>
      </c>
      <c r="BG1096">
        <v>0</v>
      </c>
      <c r="BH1096" t="s">
        <v>53</v>
      </c>
      <c r="BK1096" t="s">
        <v>65</v>
      </c>
      <c r="BL1096">
        <v>14000</v>
      </c>
      <c r="BM1096" s="1">
        <v>42917</v>
      </c>
      <c r="BN1096" s="1">
        <v>42917</v>
      </c>
      <c r="BO1096" s="1">
        <v>42917</v>
      </c>
      <c r="BP1096" s="1">
        <v>44117</v>
      </c>
      <c r="BQ1096" t="s">
        <v>51</v>
      </c>
      <c r="BS1096" t="s">
        <v>60</v>
      </c>
      <c r="BT1096" t="s">
        <v>54</v>
      </c>
      <c r="BU1096" t="s">
        <v>61</v>
      </c>
      <c r="BV1096" t="s">
        <v>62</v>
      </c>
      <c r="BX1096">
        <v>36</v>
      </c>
      <c r="BY1096">
        <v>0</v>
      </c>
      <c r="BZ1096">
        <v>0</v>
      </c>
    </row>
    <row r="1097" spans="1:99" x14ac:dyDescent="0.2">
      <c r="A1097" t="s">
        <v>180</v>
      </c>
      <c r="B1097" t="s">
        <v>181</v>
      </c>
      <c r="C1097" t="s">
        <v>184</v>
      </c>
      <c r="D1097" t="s">
        <v>675</v>
      </c>
      <c r="F1097" t="str">
        <f>"250757"</f>
        <v>250757</v>
      </c>
      <c r="G1097" t="s">
        <v>49</v>
      </c>
      <c r="H1097" t="s">
        <v>106</v>
      </c>
      <c r="K1097" t="s">
        <v>51</v>
      </c>
      <c r="L1097" t="s">
        <v>52</v>
      </c>
      <c r="M1097">
        <v>136031.84</v>
      </c>
      <c r="N1097">
        <v>472270.38</v>
      </c>
      <c r="O1097" t="s">
        <v>53</v>
      </c>
      <c r="P1097" t="s">
        <v>54</v>
      </c>
      <c r="Q1097" t="s">
        <v>55</v>
      </c>
      <c r="T1097" t="s">
        <v>241</v>
      </c>
      <c r="U1097">
        <v>40</v>
      </c>
      <c r="V1097" s="1">
        <v>33239</v>
      </c>
      <c r="W1097" s="1">
        <v>33239</v>
      </c>
      <c r="X1097" s="1">
        <v>33239</v>
      </c>
      <c r="Y1097" s="1">
        <v>47849</v>
      </c>
      <c r="Z1097" t="s">
        <v>51</v>
      </c>
      <c r="AB1097" t="s">
        <v>54</v>
      </c>
      <c r="AC1097">
        <v>1</v>
      </c>
      <c r="AE1097" t="s">
        <v>222</v>
      </c>
      <c r="AF1097">
        <v>20</v>
      </c>
      <c r="AG1097" s="1">
        <v>33239</v>
      </c>
      <c r="AH1097" s="1">
        <v>33239</v>
      </c>
      <c r="AI1097" s="1">
        <v>33239</v>
      </c>
      <c r="AJ1097" s="1">
        <v>40544</v>
      </c>
      <c r="AK1097" t="s">
        <v>51</v>
      </c>
      <c r="AN1097">
        <v>0</v>
      </c>
      <c r="AO1097" t="s">
        <v>54</v>
      </c>
      <c r="AP1097" t="s">
        <v>53</v>
      </c>
      <c r="AQ1097">
        <v>0</v>
      </c>
      <c r="AR1097" t="s">
        <v>53</v>
      </c>
      <c r="AS1097">
        <v>0</v>
      </c>
      <c r="AT1097">
        <v>0</v>
      </c>
      <c r="AW1097" t="s">
        <v>58</v>
      </c>
      <c r="AX1097">
        <v>20</v>
      </c>
      <c r="AY1097" s="1">
        <v>33239</v>
      </c>
      <c r="AZ1097" s="1">
        <v>33239</v>
      </c>
      <c r="BA1097" s="1">
        <v>33239</v>
      </c>
      <c r="BB1097" s="1">
        <v>40544</v>
      </c>
      <c r="BC1097" t="s">
        <v>51</v>
      </c>
      <c r="BE1097" t="s">
        <v>54</v>
      </c>
      <c r="BF1097">
        <v>2</v>
      </c>
      <c r="BG1097">
        <v>0</v>
      </c>
      <c r="BH1097" t="s">
        <v>53</v>
      </c>
      <c r="BK1097" t="s">
        <v>65</v>
      </c>
      <c r="BL1097">
        <v>14000</v>
      </c>
      <c r="BM1097" s="1">
        <v>42917</v>
      </c>
      <c r="BN1097" s="1">
        <v>42917</v>
      </c>
      <c r="BO1097" s="1">
        <v>42917</v>
      </c>
      <c r="BP1097" s="1">
        <v>44117</v>
      </c>
      <c r="BQ1097" t="s">
        <v>51</v>
      </c>
      <c r="BS1097" t="s">
        <v>60</v>
      </c>
      <c r="BT1097" t="s">
        <v>54</v>
      </c>
      <c r="BU1097" t="s">
        <v>61</v>
      </c>
      <c r="BV1097" t="s">
        <v>62</v>
      </c>
      <c r="BX1097">
        <v>36</v>
      </c>
      <c r="BY1097">
        <v>0</v>
      </c>
      <c r="BZ1097">
        <v>0</v>
      </c>
    </row>
    <row r="1098" spans="1:99" x14ac:dyDescent="0.2">
      <c r="A1098" t="s">
        <v>180</v>
      </c>
      <c r="B1098" t="s">
        <v>181</v>
      </c>
      <c r="C1098" t="s">
        <v>184</v>
      </c>
      <c r="D1098" t="s">
        <v>675</v>
      </c>
      <c r="F1098" t="str">
        <f>"250758"</f>
        <v>250758</v>
      </c>
      <c r="G1098" t="s">
        <v>49</v>
      </c>
      <c r="H1098">
        <v>38</v>
      </c>
      <c r="K1098" t="s">
        <v>51</v>
      </c>
      <c r="L1098" t="s">
        <v>52</v>
      </c>
      <c r="M1098">
        <v>136149.66</v>
      </c>
      <c r="N1098">
        <v>472457.16</v>
      </c>
      <c r="O1098" t="s">
        <v>53</v>
      </c>
      <c r="P1098" t="s">
        <v>54</v>
      </c>
      <c r="Q1098" t="s">
        <v>55</v>
      </c>
      <c r="T1098" t="s">
        <v>466</v>
      </c>
      <c r="U1098">
        <v>40</v>
      </c>
      <c r="V1098" s="1">
        <v>29587</v>
      </c>
      <c r="W1098" s="1">
        <v>29587</v>
      </c>
      <c r="X1098" s="1">
        <v>29587</v>
      </c>
      <c r="Y1098" s="1">
        <v>44197</v>
      </c>
      <c r="Z1098" t="s">
        <v>51</v>
      </c>
      <c r="AB1098" t="s">
        <v>54</v>
      </c>
      <c r="AC1098">
        <v>1</v>
      </c>
      <c r="AE1098" t="s">
        <v>84</v>
      </c>
      <c r="AF1098">
        <v>20</v>
      </c>
      <c r="AG1098" s="1">
        <v>37987</v>
      </c>
      <c r="AH1098" s="1">
        <v>37987</v>
      </c>
      <c r="AI1098" s="1">
        <v>37987</v>
      </c>
      <c r="AJ1098" s="1">
        <v>45292</v>
      </c>
      <c r="AK1098" t="s">
        <v>51</v>
      </c>
      <c r="AN1098">
        <v>0</v>
      </c>
      <c r="AO1098" t="s">
        <v>54</v>
      </c>
      <c r="AP1098" t="s">
        <v>53</v>
      </c>
      <c r="AQ1098">
        <v>0</v>
      </c>
      <c r="AR1098" t="s">
        <v>53</v>
      </c>
      <c r="AS1098">
        <v>0</v>
      </c>
      <c r="AT1098">
        <v>0</v>
      </c>
      <c r="CA1098">
        <v>1</v>
      </c>
      <c r="CC1098" t="s">
        <v>185</v>
      </c>
      <c r="CD1098">
        <v>85000</v>
      </c>
      <c r="CE1098" s="1">
        <v>42552</v>
      </c>
      <c r="CF1098" s="1">
        <v>42552</v>
      </c>
      <c r="CG1098" s="1">
        <v>42552</v>
      </c>
      <c r="CH1098" s="1">
        <v>49714</v>
      </c>
      <c r="CI1098" t="s">
        <v>51</v>
      </c>
      <c r="CK1098" t="s">
        <v>78</v>
      </c>
      <c r="CM1098" t="s">
        <v>54</v>
      </c>
      <c r="CN1098" t="s">
        <v>174</v>
      </c>
      <c r="CO1098" t="s">
        <v>86</v>
      </c>
      <c r="CR1098">
        <v>15</v>
      </c>
      <c r="CS1098">
        <v>0</v>
      </c>
      <c r="CT1098">
        <v>0</v>
      </c>
      <c r="CU1098">
        <v>0</v>
      </c>
    </row>
    <row r="1099" spans="1:99" x14ac:dyDescent="0.2">
      <c r="A1099" t="s">
        <v>180</v>
      </c>
      <c r="B1099" t="s">
        <v>181</v>
      </c>
      <c r="C1099" t="s">
        <v>184</v>
      </c>
      <c r="D1099" t="s">
        <v>675</v>
      </c>
      <c r="F1099" t="str">
        <f>"250759"</f>
        <v>250759</v>
      </c>
      <c r="G1099" t="s">
        <v>49</v>
      </c>
      <c r="H1099">
        <v>32</v>
      </c>
      <c r="K1099" t="s">
        <v>51</v>
      </c>
      <c r="L1099" t="s">
        <v>52</v>
      </c>
      <c r="M1099">
        <v>136155.21</v>
      </c>
      <c r="N1099">
        <v>472486.92</v>
      </c>
      <c r="O1099" t="s">
        <v>53</v>
      </c>
      <c r="P1099" t="s">
        <v>54</v>
      </c>
      <c r="Q1099" t="s">
        <v>55</v>
      </c>
      <c r="T1099" t="s">
        <v>466</v>
      </c>
      <c r="U1099">
        <v>40</v>
      </c>
      <c r="V1099" s="1">
        <v>29587</v>
      </c>
      <c r="W1099" s="1">
        <v>29587</v>
      </c>
      <c r="X1099" s="1">
        <v>29587</v>
      </c>
      <c r="Y1099" s="1">
        <v>44197</v>
      </c>
      <c r="Z1099" t="s">
        <v>51</v>
      </c>
      <c r="AB1099" t="s">
        <v>54</v>
      </c>
      <c r="AC1099">
        <v>1</v>
      </c>
      <c r="AE1099" t="s">
        <v>84</v>
      </c>
      <c r="AF1099">
        <v>20</v>
      </c>
      <c r="AG1099" s="1">
        <v>37987</v>
      </c>
      <c r="AH1099" s="1">
        <v>37987</v>
      </c>
      <c r="AI1099" s="1">
        <v>37987</v>
      </c>
      <c r="AJ1099" s="1">
        <v>45292</v>
      </c>
      <c r="AK1099" t="s">
        <v>51</v>
      </c>
      <c r="AN1099">
        <v>0</v>
      </c>
      <c r="AO1099" t="s">
        <v>54</v>
      </c>
      <c r="AP1099" t="s">
        <v>53</v>
      </c>
      <c r="AQ1099">
        <v>0</v>
      </c>
      <c r="AR1099" t="s">
        <v>53</v>
      </c>
      <c r="AS1099">
        <v>0</v>
      </c>
      <c r="AT1099">
        <v>0</v>
      </c>
      <c r="BK1099" t="s">
        <v>85</v>
      </c>
      <c r="BL1099">
        <v>50000</v>
      </c>
      <c r="BM1099" s="1">
        <v>45028</v>
      </c>
      <c r="BN1099" s="1">
        <v>45028</v>
      </c>
      <c r="BO1099" s="1">
        <v>45028</v>
      </c>
      <c r="BP1099" s="1">
        <v>49553</v>
      </c>
      <c r="BQ1099" t="s">
        <v>51</v>
      </c>
      <c r="BS1099" t="s">
        <v>78</v>
      </c>
      <c r="BT1099" t="s">
        <v>54</v>
      </c>
      <c r="BU1099" t="s">
        <v>61</v>
      </c>
      <c r="BV1099" t="s">
        <v>86</v>
      </c>
      <c r="BX1099">
        <v>13</v>
      </c>
      <c r="BY1099">
        <v>1430</v>
      </c>
      <c r="BZ1099">
        <v>0</v>
      </c>
    </row>
    <row r="1100" spans="1:99" x14ac:dyDescent="0.2">
      <c r="A1100" t="s">
        <v>180</v>
      </c>
      <c r="B1100" t="s">
        <v>181</v>
      </c>
      <c r="C1100" t="s">
        <v>184</v>
      </c>
      <c r="D1100" t="s">
        <v>675</v>
      </c>
      <c r="F1100" t="str">
        <f>"250760"</f>
        <v>250760</v>
      </c>
      <c r="G1100" t="s">
        <v>49</v>
      </c>
      <c r="H1100" t="s">
        <v>679</v>
      </c>
      <c r="K1100" t="s">
        <v>51</v>
      </c>
      <c r="L1100" t="s">
        <v>52</v>
      </c>
      <c r="M1100">
        <v>136166.41</v>
      </c>
      <c r="N1100">
        <v>472504.45</v>
      </c>
      <c r="O1100" t="s">
        <v>53</v>
      </c>
      <c r="P1100" t="s">
        <v>54</v>
      </c>
      <c r="Q1100" t="s">
        <v>55</v>
      </c>
      <c r="T1100" t="s">
        <v>466</v>
      </c>
      <c r="U1100">
        <v>40</v>
      </c>
      <c r="V1100" s="1">
        <v>29587</v>
      </c>
      <c r="W1100" s="1">
        <v>29587</v>
      </c>
      <c r="X1100" s="1">
        <v>29587</v>
      </c>
      <c r="Y1100" s="1">
        <v>44197</v>
      </c>
      <c r="Z1100" t="s">
        <v>51</v>
      </c>
      <c r="AB1100" t="s">
        <v>54</v>
      </c>
      <c r="AC1100">
        <v>1</v>
      </c>
      <c r="AE1100" t="s">
        <v>84</v>
      </c>
      <c r="AF1100">
        <v>20</v>
      </c>
      <c r="AG1100" s="1">
        <v>37987</v>
      </c>
      <c r="AH1100" s="1">
        <v>37987</v>
      </c>
      <c r="AI1100" s="1">
        <v>37987</v>
      </c>
      <c r="AJ1100" s="1">
        <v>45292</v>
      </c>
      <c r="AK1100" t="s">
        <v>51</v>
      </c>
      <c r="AN1100">
        <v>0</v>
      </c>
      <c r="AO1100" t="s">
        <v>54</v>
      </c>
      <c r="AP1100" t="s">
        <v>53</v>
      </c>
      <c r="AQ1100">
        <v>0</v>
      </c>
      <c r="AR1100" t="s">
        <v>53</v>
      </c>
      <c r="AS1100">
        <v>0</v>
      </c>
      <c r="AT1100">
        <v>0</v>
      </c>
      <c r="CA1100">
        <v>1</v>
      </c>
      <c r="CC1100" t="s">
        <v>185</v>
      </c>
      <c r="CD1100">
        <v>85000</v>
      </c>
      <c r="CE1100" s="1">
        <v>42552</v>
      </c>
      <c r="CF1100" s="1">
        <v>42552</v>
      </c>
      <c r="CG1100" s="1">
        <v>42552</v>
      </c>
      <c r="CH1100" s="1">
        <v>49714</v>
      </c>
      <c r="CI1100" t="s">
        <v>51</v>
      </c>
      <c r="CK1100" t="s">
        <v>78</v>
      </c>
      <c r="CM1100" t="s">
        <v>54</v>
      </c>
      <c r="CN1100" t="s">
        <v>174</v>
      </c>
      <c r="CO1100" t="s">
        <v>86</v>
      </c>
      <c r="CR1100">
        <v>15</v>
      </c>
      <c r="CS1100">
        <v>0</v>
      </c>
      <c r="CT1100">
        <v>0</v>
      </c>
      <c r="CU1100">
        <v>0</v>
      </c>
    </row>
    <row r="1101" spans="1:99" x14ac:dyDescent="0.2">
      <c r="A1101" t="s">
        <v>180</v>
      </c>
      <c r="B1101" t="s">
        <v>181</v>
      </c>
      <c r="C1101" t="s">
        <v>184</v>
      </c>
      <c r="D1101" t="s">
        <v>675</v>
      </c>
      <c r="F1101" t="str">
        <f>"250761"</f>
        <v>250761</v>
      </c>
      <c r="G1101" t="s">
        <v>49</v>
      </c>
      <c r="H1101">
        <v>18</v>
      </c>
      <c r="K1101" t="s">
        <v>51</v>
      </c>
      <c r="L1101" t="s">
        <v>52</v>
      </c>
      <c r="M1101">
        <v>136188.1</v>
      </c>
      <c r="N1101">
        <v>472493.39</v>
      </c>
      <c r="O1101" t="s">
        <v>53</v>
      </c>
      <c r="P1101" t="s">
        <v>54</v>
      </c>
      <c r="Q1101" t="s">
        <v>55</v>
      </c>
      <c r="T1101" t="s">
        <v>466</v>
      </c>
      <c r="U1101">
        <v>40</v>
      </c>
      <c r="V1101" s="1">
        <v>29587</v>
      </c>
      <c r="W1101" s="1">
        <v>29587</v>
      </c>
      <c r="X1101" s="1">
        <v>29587</v>
      </c>
      <c r="Y1101" s="1">
        <v>44197</v>
      </c>
      <c r="Z1101" t="s">
        <v>51</v>
      </c>
      <c r="AB1101" t="s">
        <v>54</v>
      </c>
      <c r="AC1101">
        <v>1</v>
      </c>
      <c r="AE1101" t="s">
        <v>84</v>
      </c>
      <c r="AF1101">
        <v>20</v>
      </c>
      <c r="AG1101" s="1">
        <v>37987</v>
      </c>
      <c r="AH1101" s="1">
        <v>37987</v>
      </c>
      <c r="AI1101" s="1">
        <v>37987</v>
      </c>
      <c r="AJ1101" s="1">
        <v>45292</v>
      </c>
      <c r="AK1101" t="s">
        <v>51</v>
      </c>
      <c r="AN1101">
        <v>0</v>
      </c>
      <c r="AO1101" t="s">
        <v>54</v>
      </c>
      <c r="AP1101" t="s">
        <v>53</v>
      </c>
      <c r="AQ1101">
        <v>0</v>
      </c>
      <c r="AR1101" t="s">
        <v>53</v>
      </c>
      <c r="AS1101">
        <v>0</v>
      </c>
      <c r="AT1101">
        <v>0</v>
      </c>
      <c r="CA1101">
        <v>1</v>
      </c>
      <c r="CC1101" t="s">
        <v>185</v>
      </c>
      <c r="CD1101">
        <v>85000</v>
      </c>
      <c r="CE1101" s="1">
        <v>42552</v>
      </c>
      <c r="CF1101" s="1">
        <v>42552</v>
      </c>
      <c r="CG1101" s="1">
        <v>42552</v>
      </c>
      <c r="CH1101" s="1">
        <v>49714</v>
      </c>
      <c r="CI1101" t="s">
        <v>51</v>
      </c>
      <c r="CK1101" t="s">
        <v>78</v>
      </c>
      <c r="CM1101" t="s">
        <v>54</v>
      </c>
      <c r="CN1101" t="s">
        <v>174</v>
      </c>
      <c r="CO1101" t="s">
        <v>86</v>
      </c>
      <c r="CR1101">
        <v>15</v>
      </c>
      <c r="CS1101">
        <v>0</v>
      </c>
      <c r="CT1101">
        <v>0</v>
      </c>
      <c r="CU1101">
        <v>0</v>
      </c>
    </row>
    <row r="1102" spans="1:99" x14ac:dyDescent="0.2">
      <c r="A1102" t="s">
        <v>180</v>
      </c>
      <c r="B1102" t="s">
        <v>181</v>
      </c>
      <c r="C1102" t="s">
        <v>184</v>
      </c>
      <c r="D1102" t="s">
        <v>675</v>
      </c>
      <c r="F1102" t="str">
        <f>"250762"</f>
        <v>250762</v>
      </c>
      <c r="G1102" t="s">
        <v>49</v>
      </c>
      <c r="K1102" t="s">
        <v>51</v>
      </c>
      <c r="L1102" t="s">
        <v>52</v>
      </c>
      <c r="M1102">
        <v>136171.72099999999</v>
      </c>
      <c r="N1102">
        <v>472461.95299999998</v>
      </c>
      <c r="O1102" t="s">
        <v>53</v>
      </c>
      <c r="P1102" t="s">
        <v>54</v>
      </c>
      <c r="Q1102" t="s">
        <v>55</v>
      </c>
      <c r="T1102" t="s">
        <v>466</v>
      </c>
      <c r="U1102">
        <v>40</v>
      </c>
      <c r="V1102" s="1">
        <v>29587</v>
      </c>
      <c r="W1102" s="1">
        <v>29587</v>
      </c>
      <c r="X1102" s="1">
        <v>29587</v>
      </c>
      <c r="Y1102" s="1">
        <v>44197</v>
      </c>
      <c r="Z1102" t="s">
        <v>51</v>
      </c>
      <c r="AB1102" t="s">
        <v>54</v>
      </c>
      <c r="AC1102">
        <v>1</v>
      </c>
      <c r="AE1102" t="s">
        <v>84</v>
      </c>
      <c r="AF1102">
        <v>20</v>
      </c>
      <c r="AG1102" s="1">
        <v>37987</v>
      </c>
      <c r="AH1102" s="1">
        <v>37987</v>
      </c>
      <c r="AI1102" s="1">
        <v>37987</v>
      </c>
      <c r="AJ1102" s="1">
        <v>45292</v>
      </c>
      <c r="AK1102" t="s">
        <v>51</v>
      </c>
      <c r="AN1102">
        <v>0</v>
      </c>
      <c r="AO1102" t="s">
        <v>54</v>
      </c>
      <c r="AP1102" t="s">
        <v>53</v>
      </c>
      <c r="AQ1102">
        <v>0</v>
      </c>
      <c r="AR1102" t="s">
        <v>53</v>
      </c>
      <c r="AS1102">
        <v>0</v>
      </c>
      <c r="AT1102">
        <v>0</v>
      </c>
      <c r="CC1102" t="s">
        <v>185</v>
      </c>
      <c r="CD1102">
        <v>85000</v>
      </c>
      <c r="CE1102" s="1">
        <v>42552</v>
      </c>
      <c r="CF1102" s="1">
        <v>42552</v>
      </c>
      <c r="CG1102" s="1">
        <v>42552</v>
      </c>
      <c r="CH1102" s="1">
        <v>49714</v>
      </c>
      <c r="CI1102" t="s">
        <v>51</v>
      </c>
      <c r="CK1102" t="s">
        <v>78</v>
      </c>
      <c r="CM1102" t="s">
        <v>54</v>
      </c>
      <c r="CN1102" t="s">
        <v>174</v>
      </c>
      <c r="CO1102" t="s">
        <v>86</v>
      </c>
      <c r="CR1102">
        <v>15</v>
      </c>
      <c r="CS1102">
        <v>0</v>
      </c>
      <c r="CT1102">
        <v>0</v>
      </c>
      <c r="CU1102">
        <v>0</v>
      </c>
    </row>
    <row r="1103" spans="1:99" x14ac:dyDescent="0.2">
      <c r="A1103" t="s">
        <v>180</v>
      </c>
      <c r="B1103" t="s">
        <v>181</v>
      </c>
      <c r="C1103" t="s">
        <v>184</v>
      </c>
      <c r="D1103" t="s">
        <v>675</v>
      </c>
      <c r="F1103" t="str">
        <f>"250763"</f>
        <v>250763</v>
      </c>
      <c r="G1103" t="s">
        <v>49</v>
      </c>
      <c r="H1103" t="s">
        <v>680</v>
      </c>
      <c r="K1103" t="s">
        <v>51</v>
      </c>
      <c r="L1103" t="s">
        <v>52</v>
      </c>
      <c r="M1103">
        <v>136180.56</v>
      </c>
      <c r="N1103">
        <v>472481.58</v>
      </c>
      <c r="O1103" t="s">
        <v>53</v>
      </c>
      <c r="P1103" t="s">
        <v>54</v>
      </c>
      <c r="Q1103" t="s">
        <v>55</v>
      </c>
      <c r="T1103" t="s">
        <v>466</v>
      </c>
      <c r="U1103">
        <v>40</v>
      </c>
      <c r="V1103" s="1">
        <v>29587</v>
      </c>
      <c r="W1103" s="1">
        <v>29587</v>
      </c>
      <c r="X1103" s="1">
        <v>29587</v>
      </c>
      <c r="Y1103" s="1">
        <v>44197</v>
      </c>
      <c r="Z1103" t="s">
        <v>51</v>
      </c>
      <c r="AB1103" t="s">
        <v>54</v>
      </c>
      <c r="AC1103">
        <v>1</v>
      </c>
      <c r="AE1103" t="s">
        <v>84</v>
      </c>
      <c r="AF1103">
        <v>20</v>
      </c>
      <c r="AG1103" s="1">
        <v>37987</v>
      </c>
      <c r="AH1103" s="1">
        <v>37987</v>
      </c>
      <c r="AI1103" s="1">
        <v>37987</v>
      </c>
      <c r="AJ1103" s="1">
        <v>45292</v>
      </c>
      <c r="AK1103" t="s">
        <v>51</v>
      </c>
      <c r="AN1103">
        <v>0</v>
      </c>
      <c r="AO1103" t="s">
        <v>54</v>
      </c>
      <c r="AP1103" t="s">
        <v>53</v>
      </c>
      <c r="AQ1103">
        <v>0</v>
      </c>
      <c r="AR1103" t="s">
        <v>53</v>
      </c>
      <c r="AS1103">
        <v>0</v>
      </c>
      <c r="AT1103">
        <v>0</v>
      </c>
      <c r="CA1103">
        <v>1</v>
      </c>
      <c r="CC1103" t="s">
        <v>185</v>
      </c>
      <c r="CD1103">
        <v>85000</v>
      </c>
      <c r="CE1103" s="1">
        <v>42552</v>
      </c>
      <c r="CF1103" s="1">
        <v>42552</v>
      </c>
      <c r="CG1103" s="1">
        <v>42552</v>
      </c>
      <c r="CH1103" s="1">
        <v>49714</v>
      </c>
      <c r="CI1103" t="s">
        <v>51</v>
      </c>
      <c r="CK1103" t="s">
        <v>78</v>
      </c>
      <c r="CM1103" t="s">
        <v>54</v>
      </c>
      <c r="CN1103" t="s">
        <v>174</v>
      </c>
      <c r="CO1103" t="s">
        <v>86</v>
      </c>
      <c r="CR1103">
        <v>15</v>
      </c>
      <c r="CS1103">
        <v>0</v>
      </c>
      <c r="CT1103">
        <v>0</v>
      </c>
      <c r="CU1103">
        <v>0</v>
      </c>
    </row>
    <row r="1104" spans="1:99" x14ac:dyDescent="0.2">
      <c r="A1104" t="s">
        <v>180</v>
      </c>
      <c r="B1104" t="s">
        <v>181</v>
      </c>
      <c r="C1104" t="s">
        <v>184</v>
      </c>
      <c r="D1104" t="s">
        <v>675</v>
      </c>
      <c r="F1104" t="str">
        <f>"250764"</f>
        <v>250764</v>
      </c>
      <c r="G1104" t="s">
        <v>49</v>
      </c>
      <c r="H1104" t="s">
        <v>654</v>
      </c>
      <c r="K1104" t="s">
        <v>51</v>
      </c>
      <c r="L1104" t="s">
        <v>52</v>
      </c>
      <c r="M1104">
        <v>136235.66</v>
      </c>
      <c r="N1104">
        <v>472497.37</v>
      </c>
      <c r="O1104" t="s">
        <v>53</v>
      </c>
      <c r="P1104" t="s">
        <v>54</v>
      </c>
      <c r="Q1104" t="s">
        <v>55</v>
      </c>
      <c r="T1104" t="s">
        <v>681</v>
      </c>
      <c r="U1104">
        <v>40</v>
      </c>
      <c r="V1104" s="1">
        <v>35977</v>
      </c>
      <c r="W1104" s="1">
        <v>35977</v>
      </c>
      <c r="X1104" s="1">
        <v>35977</v>
      </c>
      <c r="Y1104" s="1">
        <v>50587</v>
      </c>
      <c r="Z1104" t="s">
        <v>51</v>
      </c>
      <c r="AB1104" t="s">
        <v>54</v>
      </c>
      <c r="AC1104">
        <v>1</v>
      </c>
      <c r="AE1104" t="s">
        <v>564</v>
      </c>
      <c r="AF1104">
        <v>20</v>
      </c>
      <c r="AG1104" s="1">
        <v>35977</v>
      </c>
      <c r="AH1104" s="1">
        <v>35977</v>
      </c>
      <c r="AI1104" s="1">
        <v>35977</v>
      </c>
      <c r="AJ1104" s="1">
        <v>43282</v>
      </c>
      <c r="AK1104" t="s">
        <v>51</v>
      </c>
      <c r="AN1104">
        <v>0</v>
      </c>
      <c r="AO1104" t="s">
        <v>54</v>
      </c>
      <c r="AP1104" t="s">
        <v>53</v>
      </c>
      <c r="AQ1104">
        <v>0</v>
      </c>
      <c r="AR1104" t="s">
        <v>53</v>
      </c>
      <c r="AS1104">
        <v>0</v>
      </c>
      <c r="AT1104">
        <v>0</v>
      </c>
      <c r="CA1104">
        <v>1</v>
      </c>
      <c r="CC1104" t="s">
        <v>432</v>
      </c>
      <c r="CD1104">
        <v>85000</v>
      </c>
      <c r="CE1104" s="1">
        <v>42552</v>
      </c>
      <c r="CF1104" s="1">
        <v>42552</v>
      </c>
      <c r="CG1104" s="1">
        <v>42552</v>
      </c>
      <c r="CH1104" s="1">
        <v>49714</v>
      </c>
      <c r="CI1104" t="s">
        <v>51</v>
      </c>
      <c r="CK1104" t="s">
        <v>78</v>
      </c>
      <c r="CM1104" t="s">
        <v>54</v>
      </c>
      <c r="CN1104" t="s">
        <v>174</v>
      </c>
      <c r="CO1104" t="s">
        <v>86</v>
      </c>
      <c r="CR1104">
        <v>24</v>
      </c>
      <c r="CS1104">
        <v>0</v>
      </c>
      <c r="CT1104">
        <v>0</v>
      </c>
      <c r="CU1104">
        <v>0</v>
      </c>
    </row>
    <row r="1105" spans="1:99" x14ac:dyDescent="0.2">
      <c r="A1105" t="s">
        <v>180</v>
      </c>
      <c r="B1105" t="s">
        <v>181</v>
      </c>
      <c r="C1105" t="s">
        <v>184</v>
      </c>
      <c r="D1105" t="s">
        <v>675</v>
      </c>
      <c r="F1105" t="str">
        <f>"250765"</f>
        <v>250765</v>
      </c>
      <c r="G1105" t="s">
        <v>49</v>
      </c>
      <c r="K1105" t="s">
        <v>51</v>
      </c>
      <c r="L1105" t="s">
        <v>52</v>
      </c>
      <c r="M1105">
        <v>136241.13099999999</v>
      </c>
      <c r="N1105">
        <v>472515.85200000001</v>
      </c>
      <c r="O1105" t="s">
        <v>53</v>
      </c>
      <c r="P1105" t="s">
        <v>54</v>
      </c>
      <c r="Q1105" t="s">
        <v>55</v>
      </c>
      <c r="T1105" t="s">
        <v>682</v>
      </c>
      <c r="U1105">
        <v>40</v>
      </c>
      <c r="V1105" s="1">
        <v>35796</v>
      </c>
      <c r="W1105" s="1">
        <v>35796</v>
      </c>
      <c r="X1105" s="1">
        <v>35796</v>
      </c>
      <c r="Y1105" s="1">
        <v>50406</v>
      </c>
      <c r="Z1105" t="s">
        <v>51</v>
      </c>
      <c r="AB1105" t="s">
        <v>54</v>
      </c>
      <c r="AC1105">
        <v>1</v>
      </c>
      <c r="AE1105" t="s">
        <v>222</v>
      </c>
      <c r="AF1105">
        <v>20</v>
      </c>
      <c r="AG1105" s="1">
        <v>35796</v>
      </c>
      <c r="AH1105" s="1">
        <v>35796</v>
      </c>
      <c r="AI1105" s="1">
        <v>35796</v>
      </c>
      <c r="AJ1105" s="1">
        <v>43101</v>
      </c>
      <c r="AK1105" t="s">
        <v>51</v>
      </c>
      <c r="AN1105">
        <v>0</v>
      </c>
      <c r="AO1105" t="s">
        <v>54</v>
      </c>
      <c r="AP1105" t="s">
        <v>53</v>
      </c>
      <c r="AQ1105">
        <v>0</v>
      </c>
      <c r="AR1105" t="s">
        <v>53</v>
      </c>
      <c r="AS1105">
        <v>0</v>
      </c>
      <c r="AT1105">
        <v>0</v>
      </c>
      <c r="CC1105" t="s">
        <v>432</v>
      </c>
      <c r="CD1105">
        <v>85000</v>
      </c>
      <c r="CE1105" s="1">
        <v>42552</v>
      </c>
      <c r="CF1105" s="1">
        <v>42552</v>
      </c>
      <c r="CG1105" s="1">
        <v>42552</v>
      </c>
      <c r="CH1105" s="1">
        <v>49714</v>
      </c>
      <c r="CI1105" t="s">
        <v>51</v>
      </c>
      <c r="CK1105" t="s">
        <v>78</v>
      </c>
      <c r="CM1105" t="s">
        <v>54</v>
      </c>
      <c r="CN1105" t="s">
        <v>174</v>
      </c>
      <c r="CO1105" t="s">
        <v>86</v>
      </c>
      <c r="CR1105">
        <v>24</v>
      </c>
      <c r="CS1105">
        <v>0</v>
      </c>
      <c r="CT1105">
        <v>0</v>
      </c>
      <c r="CU1105">
        <v>0</v>
      </c>
    </row>
    <row r="1106" spans="1:99" x14ac:dyDescent="0.2">
      <c r="A1106" t="s">
        <v>180</v>
      </c>
      <c r="B1106" t="s">
        <v>181</v>
      </c>
      <c r="C1106" t="s">
        <v>184</v>
      </c>
      <c r="D1106" t="s">
        <v>675</v>
      </c>
      <c r="F1106" t="str">
        <f>"250766"</f>
        <v>250766</v>
      </c>
      <c r="G1106" t="s">
        <v>49</v>
      </c>
      <c r="H1106">
        <v>2</v>
      </c>
      <c r="K1106" t="s">
        <v>51</v>
      </c>
      <c r="L1106" t="s">
        <v>52</v>
      </c>
      <c r="M1106">
        <v>136248.82999999999</v>
      </c>
      <c r="N1106">
        <v>472526.29</v>
      </c>
      <c r="O1106" t="s">
        <v>53</v>
      </c>
      <c r="P1106" t="s">
        <v>54</v>
      </c>
      <c r="Q1106" t="s">
        <v>55</v>
      </c>
      <c r="T1106" t="s">
        <v>681</v>
      </c>
      <c r="U1106">
        <v>40</v>
      </c>
      <c r="V1106" s="1">
        <v>35977</v>
      </c>
      <c r="W1106" s="1">
        <v>35977</v>
      </c>
      <c r="X1106" s="1">
        <v>35977</v>
      </c>
      <c r="Y1106" s="1">
        <v>50587</v>
      </c>
      <c r="Z1106" t="s">
        <v>51</v>
      </c>
      <c r="AB1106" t="s">
        <v>54</v>
      </c>
      <c r="AC1106">
        <v>1</v>
      </c>
      <c r="AE1106" t="s">
        <v>564</v>
      </c>
      <c r="AF1106">
        <v>20</v>
      </c>
      <c r="AG1106" s="1">
        <v>35977</v>
      </c>
      <c r="AH1106" s="1">
        <v>35977</v>
      </c>
      <c r="AI1106" s="1">
        <v>35977</v>
      </c>
      <c r="AJ1106" s="1">
        <v>43282</v>
      </c>
      <c r="AK1106" t="s">
        <v>51</v>
      </c>
      <c r="AN1106">
        <v>0</v>
      </c>
      <c r="AO1106" t="s">
        <v>54</v>
      </c>
      <c r="AP1106" t="s">
        <v>53</v>
      </c>
      <c r="AQ1106">
        <v>0</v>
      </c>
      <c r="AR1106" t="s">
        <v>53</v>
      </c>
      <c r="AS1106">
        <v>0</v>
      </c>
      <c r="AT1106">
        <v>0</v>
      </c>
      <c r="CA1106">
        <v>1</v>
      </c>
      <c r="CC1106" t="s">
        <v>432</v>
      </c>
      <c r="CD1106">
        <v>85000</v>
      </c>
      <c r="CE1106" s="1">
        <v>43473</v>
      </c>
      <c r="CF1106" s="1">
        <v>43473</v>
      </c>
      <c r="CG1106" s="1">
        <v>43473</v>
      </c>
      <c r="CH1106" s="1">
        <v>50686</v>
      </c>
      <c r="CI1106" t="s">
        <v>51</v>
      </c>
      <c r="CK1106" t="s">
        <v>78</v>
      </c>
      <c r="CM1106" t="s">
        <v>54</v>
      </c>
      <c r="CN1106" t="s">
        <v>174</v>
      </c>
      <c r="CO1106" t="s">
        <v>86</v>
      </c>
      <c r="CR1106">
        <v>24</v>
      </c>
      <c r="CS1106">
        <v>0</v>
      </c>
      <c r="CT1106">
        <v>0</v>
      </c>
      <c r="CU1106">
        <v>0</v>
      </c>
    </row>
    <row r="1107" spans="1:99" x14ac:dyDescent="0.2">
      <c r="A1107" t="s">
        <v>180</v>
      </c>
      <c r="B1107" t="s">
        <v>181</v>
      </c>
      <c r="C1107" t="s">
        <v>184</v>
      </c>
      <c r="D1107" t="s">
        <v>675</v>
      </c>
      <c r="F1107" t="str">
        <f>"250767"</f>
        <v>250767</v>
      </c>
      <c r="G1107" t="s">
        <v>49</v>
      </c>
      <c r="K1107" t="s">
        <v>51</v>
      </c>
      <c r="L1107" t="s">
        <v>52</v>
      </c>
      <c r="M1107">
        <v>136255.24</v>
      </c>
      <c r="N1107">
        <v>472543.22</v>
      </c>
      <c r="O1107" t="s">
        <v>53</v>
      </c>
      <c r="P1107" t="s">
        <v>54</v>
      </c>
      <c r="Q1107" t="s">
        <v>55</v>
      </c>
      <c r="T1107" t="s">
        <v>480</v>
      </c>
      <c r="U1107">
        <v>40</v>
      </c>
      <c r="V1107" s="1">
        <v>35431</v>
      </c>
      <c r="W1107" s="1">
        <v>35431</v>
      </c>
      <c r="X1107" s="1">
        <v>35431</v>
      </c>
      <c r="Y1107" s="1">
        <v>50041</v>
      </c>
      <c r="Z1107" t="s">
        <v>51</v>
      </c>
      <c r="AB1107" t="s">
        <v>54</v>
      </c>
      <c r="AC1107">
        <v>1</v>
      </c>
      <c r="AE1107" t="s">
        <v>564</v>
      </c>
      <c r="AF1107">
        <v>20</v>
      </c>
      <c r="AG1107" s="1">
        <v>35612</v>
      </c>
      <c r="AH1107" s="1">
        <v>35612</v>
      </c>
      <c r="AI1107" s="1">
        <v>35612</v>
      </c>
      <c r="AJ1107" s="1">
        <v>42917</v>
      </c>
      <c r="AK1107" t="s">
        <v>51</v>
      </c>
      <c r="AN1107">
        <v>0</v>
      </c>
      <c r="AO1107" t="s">
        <v>54</v>
      </c>
      <c r="AP1107" t="s">
        <v>53</v>
      </c>
      <c r="AQ1107">
        <v>0</v>
      </c>
      <c r="AR1107" t="s">
        <v>53</v>
      </c>
      <c r="AS1107">
        <v>0</v>
      </c>
      <c r="AT1107">
        <v>0</v>
      </c>
      <c r="CA1107">
        <v>1</v>
      </c>
      <c r="CC1107" t="s">
        <v>432</v>
      </c>
      <c r="CD1107">
        <v>85000</v>
      </c>
      <c r="CE1107" s="1">
        <v>43473</v>
      </c>
      <c r="CF1107" s="1">
        <v>43473</v>
      </c>
      <c r="CG1107" s="1">
        <v>43473</v>
      </c>
      <c r="CH1107" s="1">
        <v>50686</v>
      </c>
      <c r="CI1107" t="s">
        <v>51</v>
      </c>
      <c r="CK1107" t="s">
        <v>78</v>
      </c>
      <c r="CM1107" t="s">
        <v>54</v>
      </c>
      <c r="CN1107" t="s">
        <v>174</v>
      </c>
      <c r="CO1107" t="s">
        <v>86</v>
      </c>
      <c r="CR1107">
        <v>24</v>
      </c>
      <c r="CS1107">
        <v>0</v>
      </c>
      <c r="CT1107">
        <v>0</v>
      </c>
      <c r="CU1107">
        <v>0</v>
      </c>
    </row>
    <row r="1108" spans="1:99" x14ac:dyDescent="0.2">
      <c r="A1108" t="s">
        <v>180</v>
      </c>
      <c r="B1108" t="s">
        <v>181</v>
      </c>
      <c r="C1108" t="s">
        <v>184</v>
      </c>
      <c r="D1108" t="s">
        <v>675</v>
      </c>
      <c r="F1108" t="str">
        <f>"250768"</f>
        <v>250768</v>
      </c>
      <c r="G1108" t="s">
        <v>49</v>
      </c>
      <c r="H1108" t="s">
        <v>683</v>
      </c>
      <c r="K1108" t="s">
        <v>51</v>
      </c>
      <c r="L1108" t="s">
        <v>52</v>
      </c>
      <c r="M1108">
        <v>136081.09</v>
      </c>
      <c r="N1108">
        <v>472400.78</v>
      </c>
      <c r="O1108" t="s">
        <v>53</v>
      </c>
      <c r="P1108" t="s">
        <v>54</v>
      </c>
      <c r="Q1108" t="s">
        <v>55</v>
      </c>
      <c r="T1108" t="s">
        <v>241</v>
      </c>
      <c r="U1108">
        <v>40</v>
      </c>
      <c r="V1108" s="1">
        <v>29587</v>
      </c>
      <c r="W1108" s="1">
        <v>29587</v>
      </c>
      <c r="X1108" s="1">
        <v>29587</v>
      </c>
      <c r="Y1108" s="1">
        <v>44197</v>
      </c>
      <c r="Z1108" t="s">
        <v>51</v>
      </c>
      <c r="AB1108" t="s">
        <v>54</v>
      </c>
      <c r="AC1108">
        <v>1</v>
      </c>
      <c r="AE1108" t="s">
        <v>222</v>
      </c>
      <c r="AF1108">
        <v>20</v>
      </c>
      <c r="AG1108" s="1">
        <v>38169</v>
      </c>
      <c r="AH1108" s="1">
        <v>38169</v>
      </c>
      <c r="AI1108" s="1">
        <v>38169</v>
      </c>
      <c r="AJ1108" s="1">
        <v>45474</v>
      </c>
      <c r="AK1108" t="s">
        <v>51</v>
      </c>
      <c r="AN1108">
        <v>0</v>
      </c>
      <c r="AO1108" t="s">
        <v>54</v>
      </c>
      <c r="AP1108" t="s">
        <v>53</v>
      </c>
      <c r="AQ1108">
        <v>0</v>
      </c>
      <c r="AR1108" t="s">
        <v>53</v>
      </c>
      <c r="AS1108">
        <v>0</v>
      </c>
      <c r="AT1108">
        <v>0</v>
      </c>
      <c r="CC1108" t="s">
        <v>432</v>
      </c>
      <c r="CD1108">
        <v>85000</v>
      </c>
      <c r="CE1108" s="1">
        <v>42552</v>
      </c>
      <c r="CF1108" s="1">
        <v>42552</v>
      </c>
      <c r="CG1108" s="1">
        <v>42552</v>
      </c>
      <c r="CH1108" s="1">
        <v>49714</v>
      </c>
      <c r="CI1108" t="s">
        <v>51</v>
      </c>
      <c r="CK1108" t="s">
        <v>78</v>
      </c>
      <c r="CM1108" t="s">
        <v>54</v>
      </c>
      <c r="CN1108" t="s">
        <v>174</v>
      </c>
      <c r="CO1108" t="s">
        <v>86</v>
      </c>
      <c r="CR1108">
        <v>24</v>
      </c>
      <c r="CS1108">
        <v>0</v>
      </c>
      <c r="CT1108">
        <v>0</v>
      </c>
      <c r="CU1108">
        <v>0</v>
      </c>
    </row>
    <row r="1109" spans="1:99" x14ac:dyDescent="0.2">
      <c r="A1109" t="s">
        <v>180</v>
      </c>
      <c r="B1109" t="s">
        <v>181</v>
      </c>
      <c r="C1109" t="s">
        <v>184</v>
      </c>
      <c r="D1109" t="s">
        <v>675</v>
      </c>
      <c r="F1109" t="str">
        <f>"250769"</f>
        <v>250769</v>
      </c>
      <c r="G1109" t="s">
        <v>49</v>
      </c>
      <c r="K1109" t="s">
        <v>51</v>
      </c>
      <c r="L1109" t="s">
        <v>52</v>
      </c>
      <c r="M1109">
        <v>136186.57</v>
      </c>
      <c r="N1109">
        <v>472541.75</v>
      </c>
      <c r="O1109" t="s">
        <v>53</v>
      </c>
      <c r="P1109" t="s">
        <v>54</v>
      </c>
      <c r="Q1109" t="s">
        <v>55</v>
      </c>
      <c r="T1109" t="s">
        <v>684</v>
      </c>
      <c r="U1109">
        <v>40</v>
      </c>
      <c r="V1109" s="1">
        <v>29587</v>
      </c>
      <c r="W1109" s="1">
        <v>29587</v>
      </c>
      <c r="X1109" s="1">
        <v>29587</v>
      </c>
      <c r="Y1109" s="1">
        <v>44197</v>
      </c>
      <c r="Z1109" t="s">
        <v>51</v>
      </c>
      <c r="AB1109" t="s">
        <v>54</v>
      </c>
      <c r="AC1109">
        <v>1</v>
      </c>
      <c r="AE1109" t="s">
        <v>685</v>
      </c>
      <c r="AF1109">
        <v>20</v>
      </c>
      <c r="AG1109" s="1">
        <v>37987</v>
      </c>
      <c r="AH1109" s="1">
        <v>37987</v>
      </c>
      <c r="AI1109" s="1">
        <v>37987</v>
      </c>
      <c r="AJ1109" s="1">
        <v>45292</v>
      </c>
      <c r="AK1109" t="s">
        <v>51</v>
      </c>
      <c r="AN1109">
        <v>0</v>
      </c>
      <c r="AO1109" t="s">
        <v>54</v>
      </c>
      <c r="AP1109" t="s">
        <v>53</v>
      </c>
      <c r="AQ1109">
        <v>0</v>
      </c>
      <c r="AR1109" t="s">
        <v>53</v>
      </c>
      <c r="AS1109">
        <v>0</v>
      </c>
      <c r="AT1109">
        <v>0</v>
      </c>
      <c r="AW1109" t="s">
        <v>58</v>
      </c>
      <c r="AX1109">
        <v>20</v>
      </c>
      <c r="AY1109" s="1">
        <v>37987</v>
      </c>
      <c r="AZ1109" s="1">
        <v>37987</v>
      </c>
      <c r="BA1109" s="1">
        <v>37987</v>
      </c>
      <c r="BB1109" s="1">
        <v>45292</v>
      </c>
      <c r="BC1109" t="s">
        <v>51</v>
      </c>
      <c r="BE1109" t="s">
        <v>54</v>
      </c>
      <c r="BF1109">
        <v>2</v>
      </c>
      <c r="BG1109">
        <v>0</v>
      </c>
      <c r="BH1109" t="s">
        <v>53</v>
      </c>
      <c r="BK1109" t="s">
        <v>686</v>
      </c>
      <c r="BL1109">
        <v>8000</v>
      </c>
      <c r="BM1109" s="1">
        <v>42552</v>
      </c>
      <c r="BN1109" s="1">
        <v>42552</v>
      </c>
      <c r="BO1109" s="1">
        <v>42552</v>
      </c>
      <c r="BP1109" s="1">
        <v>43202</v>
      </c>
      <c r="BQ1109" t="s">
        <v>51</v>
      </c>
      <c r="BS1109" t="s">
        <v>60</v>
      </c>
      <c r="BT1109" t="s">
        <v>54</v>
      </c>
      <c r="BU1109" t="s">
        <v>687</v>
      </c>
      <c r="BV1109" t="s">
        <v>688</v>
      </c>
      <c r="BX1109">
        <v>18</v>
      </c>
      <c r="BY1109">
        <v>0</v>
      </c>
      <c r="BZ1109">
        <v>0</v>
      </c>
    </row>
    <row r="1110" spans="1:99" x14ac:dyDescent="0.2">
      <c r="A1110" t="s">
        <v>180</v>
      </c>
      <c r="B1110" t="s">
        <v>181</v>
      </c>
      <c r="C1110" t="s">
        <v>184</v>
      </c>
      <c r="D1110" t="s">
        <v>675</v>
      </c>
      <c r="F1110" t="str">
        <f>"250770"</f>
        <v>250770</v>
      </c>
      <c r="G1110" t="s">
        <v>49</v>
      </c>
      <c r="H1110" t="s">
        <v>672</v>
      </c>
      <c r="K1110" t="s">
        <v>51</v>
      </c>
      <c r="L1110" t="s">
        <v>52</v>
      </c>
      <c r="M1110">
        <v>136204.51999999999</v>
      </c>
      <c r="N1110">
        <v>472533.1</v>
      </c>
      <c r="O1110" t="s">
        <v>53</v>
      </c>
      <c r="P1110" t="s">
        <v>54</v>
      </c>
      <c r="Q1110" t="s">
        <v>55</v>
      </c>
      <c r="T1110" t="s">
        <v>689</v>
      </c>
      <c r="U1110">
        <v>40</v>
      </c>
      <c r="V1110" s="1">
        <v>29587</v>
      </c>
      <c r="W1110" s="1">
        <v>29587</v>
      </c>
      <c r="X1110" s="1">
        <v>29587</v>
      </c>
      <c r="Y1110" s="1">
        <v>44197</v>
      </c>
      <c r="Z1110" t="s">
        <v>51</v>
      </c>
      <c r="AB1110" t="s">
        <v>54</v>
      </c>
      <c r="AC1110">
        <v>1</v>
      </c>
      <c r="AE1110" t="s">
        <v>222</v>
      </c>
      <c r="AF1110">
        <v>20</v>
      </c>
      <c r="AG1110" s="1">
        <v>37987</v>
      </c>
      <c r="AH1110" s="1">
        <v>37987</v>
      </c>
      <c r="AI1110" s="1">
        <v>37987</v>
      </c>
      <c r="AJ1110" s="1">
        <v>45292</v>
      </c>
      <c r="AK1110" t="s">
        <v>51</v>
      </c>
      <c r="AN1110">
        <v>0</v>
      </c>
      <c r="AO1110" t="s">
        <v>54</v>
      </c>
      <c r="AP1110" t="s">
        <v>53</v>
      </c>
      <c r="AQ1110">
        <v>0</v>
      </c>
      <c r="AR1110" t="s">
        <v>53</v>
      </c>
      <c r="AS1110">
        <v>0</v>
      </c>
      <c r="AT1110">
        <v>0</v>
      </c>
      <c r="CC1110" t="s">
        <v>432</v>
      </c>
      <c r="CD1110">
        <v>85000</v>
      </c>
      <c r="CE1110" s="1">
        <v>43507</v>
      </c>
      <c r="CF1110" s="1">
        <v>43507</v>
      </c>
      <c r="CG1110" s="1">
        <v>43507</v>
      </c>
      <c r="CH1110" s="1">
        <v>50722</v>
      </c>
      <c r="CI1110" t="s">
        <v>51</v>
      </c>
      <c r="CK1110" t="s">
        <v>78</v>
      </c>
      <c r="CM1110" t="s">
        <v>54</v>
      </c>
      <c r="CN1110" t="s">
        <v>174</v>
      </c>
      <c r="CO1110" t="s">
        <v>86</v>
      </c>
      <c r="CR1110">
        <v>24</v>
      </c>
      <c r="CS1110">
        <v>0</v>
      </c>
      <c r="CT1110">
        <v>0</v>
      </c>
      <c r="CU1110">
        <v>0</v>
      </c>
    </row>
    <row r="1111" spans="1:99" x14ac:dyDescent="0.2">
      <c r="A1111" t="s">
        <v>180</v>
      </c>
      <c r="B1111" t="s">
        <v>181</v>
      </c>
      <c r="C1111" t="s">
        <v>184</v>
      </c>
      <c r="D1111" t="s">
        <v>690</v>
      </c>
      <c r="F1111" t="str">
        <f>"250771"</f>
        <v>250771</v>
      </c>
      <c r="G1111" t="s">
        <v>49</v>
      </c>
      <c r="H1111" t="s">
        <v>105</v>
      </c>
      <c r="K1111" t="s">
        <v>51</v>
      </c>
      <c r="L1111" t="s">
        <v>52</v>
      </c>
      <c r="M1111">
        <v>136216.22</v>
      </c>
      <c r="N1111">
        <v>472475.12</v>
      </c>
      <c r="O1111" t="s">
        <v>53</v>
      </c>
      <c r="P1111" t="s">
        <v>54</v>
      </c>
      <c r="Q1111" t="s">
        <v>55</v>
      </c>
      <c r="T1111" t="s">
        <v>691</v>
      </c>
      <c r="U1111">
        <v>40</v>
      </c>
      <c r="V1111" s="1">
        <v>35977</v>
      </c>
      <c r="W1111" s="1">
        <v>35977</v>
      </c>
      <c r="X1111" s="1">
        <v>35977</v>
      </c>
      <c r="Y1111" s="1">
        <v>50587</v>
      </c>
      <c r="Z1111" t="s">
        <v>51</v>
      </c>
      <c r="AB1111" t="s">
        <v>54</v>
      </c>
      <c r="AC1111">
        <v>1</v>
      </c>
      <c r="AE1111" t="s">
        <v>564</v>
      </c>
      <c r="AF1111">
        <v>20</v>
      </c>
      <c r="AG1111" s="1">
        <v>35977</v>
      </c>
      <c r="AH1111" s="1">
        <v>35977</v>
      </c>
      <c r="AI1111" s="1">
        <v>35977</v>
      </c>
      <c r="AJ1111" s="1">
        <v>43282</v>
      </c>
      <c r="AK1111" t="s">
        <v>51</v>
      </c>
      <c r="AN1111">
        <v>0</v>
      </c>
      <c r="AO1111" t="s">
        <v>54</v>
      </c>
      <c r="AP1111" t="s">
        <v>53</v>
      </c>
      <c r="AQ1111">
        <v>0</v>
      </c>
      <c r="AR1111" t="s">
        <v>53</v>
      </c>
      <c r="AS1111">
        <v>0</v>
      </c>
      <c r="AT1111">
        <v>0</v>
      </c>
      <c r="CA1111">
        <v>1</v>
      </c>
      <c r="CC1111" t="s">
        <v>432</v>
      </c>
      <c r="CD1111">
        <v>85000</v>
      </c>
      <c r="CE1111" s="1">
        <v>42552</v>
      </c>
      <c r="CF1111" s="1">
        <v>42552</v>
      </c>
      <c r="CG1111" s="1">
        <v>42552</v>
      </c>
      <c r="CH1111" s="1">
        <v>49714</v>
      </c>
      <c r="CI1111" t="s">
        <v>51</v>
      </c>
      <c r="CK1111" t="s">
        <v>78</v>
      </c>
      <c r="CM1111" t="s">
        <v>54</v>
      </c>
      <c r="CN1111" t="s">
        <v>174</v>
      </c>
      <c r="CO1111" t="s">
        <v>86</v>
      </c>
      <c r="CR1111">
        <v>24</v>
      </c>
      <c r="CS1111">
        <v>0</v>
      </c>
      <c r="CT1111">
        <v>0</v>
      </c>
      <c r="CU1111">
        <v>0</v>
      </c>
    </row>
    <row r="1112" spans="1:99" x14ac:dyDescent="0.2">
      <c r="A1112" t="s">
        <v>180</v>
      </c>
      <c r="B1112" t="s">
        <v>181</v>
      </c>
      <c r="C1112" t="s">
        <v>184</v>
      </c>
      <c r="D1112" t="s">
        <v>690</v>
      </c>
      <c r="F1112" t="str">
        <f>"250772"</f>
        <v>250772</v>
      </c>
      <c r="G1112" t="s">
        <v>49</v>
      </c>
      <c r="H1112" t="s">
        <v>102</v>
      </c>
      <c r="K1112" t="s">
        <v>51</v>
      </c>
      <c r="L1112" t="s">
        <v>52</v>
      </c>
      <c r="M1112">
        <v>136234.54999999999</v>
      </c>
      <c r="N1112">
        <v>472466.08</v>
      </c>
      <c r="O1112" t="s">
        <v>53</v>
      </c>
      <c r="P1112" t="s">
        <v>54</v>
      </c>
      <c r="Q1112" t="s">
        <v>55</v>
      </c>
      <c r="T1112" t="s">
        <v>691</v>
      </c>
      <c r="U1112">
        <v>40</v>
      </c>
      <c r="V1112" s="1">
        <v>35977</v>
      </c>
      <c r="W1112" s="1">
        <v>35977</v>
      </c>
      <c r="X1112" s="1">
        <v>35977</v>
      </c>
      <c r="Y1112" s="1">
        <v>50587</v>
      </c>
      <c r="Z1112" t="s">
        <v>51</v>
      </c>
      <c r="AB1112" t="s">
        <v>54</v>
      </c>
      <c r="AC1112">
        <v>1</v>
      </c>
      <c r="AE1112" t="s">
        <v>564</v>
      </c>
      <c r="AF1112">
        <v>20</v>
      </c>
      <c r="AG1112" s="1">
        <v>35977</v>
      </c>
      <c r="AH1112" s="1">
        <v>35977</v>
      </c>
      <c r="AI1112" s="1">
        <v>35977</v>
      </c>
      <c r="AJ1112" s="1">
        <v>43282</v>
      </c>
      <c r="AK1112" t="s">
        <v>51</v>
      </c>
      <c r="AN1112">
        <v>0</v>
      </c>
      <c r="AO1112" t="s">
        <v>54</v>
      </c>
      <c r="AP1112" t="s">
        <v>53</v>
      </c>
      <c r="AQ1112">
        <v>0</v>
      </c>
      <c r="AR1112" t="s">
        <v>53</v>
      </c>
      <c r="AS1112">
        <v>0</v>
      </c>
      <c r="AT1112">
        <v>0</v>
      </c>
      <c r="CA1112">
        <v>1</v>
      </c>
      <c r="CC1112" t="s">
        <v>432</v>
      </c>
      <c r="CD1112">
        <v>85000</v>
      </c>
      <c r="CE1112" s="1">
        <v>42552</v>
      </c>
      <c r="CF1112" s="1">
        <v>42552</v>
      </c>
      <c r="CG1112" s="1">
        <v>42552</v>
      </c>
      <c r="CH1112" s="1">
        <v>49714</v>
      </c>
      <c r="CI1112" t="s">
        <v>51</v>
      </c>
      <c r="CK1112" t="s">
        <v>78</v>
      </c>
      <c r="CM1112" t="s">
        <v>54</v>
      </c>
      <c r="CN1112" t="s">
        <v>174</v>
      </c>
      <c r="CO1112" t="s">
        <v>86</v>
      </c>
      <c r="CR1112">
        <v>24</v>
      </c>
      <c r="CS1112">
        <v>0</v>
      </c>
      <c r="CT1112">
        <v>0</v>
      </c>
      <c r="CU1112">
        <v>0</v>
      </c>
    </row>
    <row r="1113" spans="1:99" x14ac:dyDescent="0.2">
      <c r="A1113" t="s">
        <v>180</v>
      </c>
      <c r="B1113" t="s">
        <v>181</v>
      </c>
      <c r="C1113" t="s">
        <v>184</v>
      </c>
      <c r="D1113" t="s">
        <v>690</v>
      </c>
      <c r="F1113" t="str">
        <f>"250773"</f>
        <v>250773</v>
      </c>
      <c r="G1113" t="s">
        <v>49</v>
      </c>
      <c r="K1113" t="s">
        <v>51</v>
      </c>
      <c r="L1113" t="s">
        <v>52</v>
      </c>
      <c r="M1113">
        <v>136249.87</v>
      </c>
      <c r="N1113">
        <v>472458.51</v>
      </c>
      <c r="O1113" t="s">
        <v>53</v>
      </c>
      <c r="P1113" t="s">
        <v>54</v>
      </c>
      <c r="Q1113" t="s">
        <v>55</v>
      </c>
      <c r="T1113" t="s">
        <v>691</v>
      </c>
      <c r="U1113">
        <v>40</v>
      </c>
      <c r="V1113" s="1">
        <v>35977</v>
      </c>
      <c r="W1113" s="1">
        <v>35977</v>
      </c>
      <c r="X1113" s="1">
        <v>35977</v>
      </c>
      <c r="Y1113" s="1">
        <v>50587</v>
      </c>
      <c r="Z1113" t="s">
        <v>51</v>
      </c>
      <c r="AB1113" t="s">
        <v>54</v>
      </c>
      <c r="AC1113">
        <v>1</v>
      </c>
      <c r="AE1113" t="s">
        <v>564</v>
      </c>
      <c r="AF1113">
        <v>20</v>
      </c>
      <c r="AG1113" s="1">
        <v>35977</v>
      </c>
      <c r="AH1113" s="1">
        <v>35977</v>
      </c>
      <c r="AI1113" s="1">
        <v>35977</v>
      </c>
      <c r="AJ1113" s="1">
        <v>43282</v>
      </c>
      <c r="AK1113" t="s">
        <v>51</v>
      </c>
      <c r="AN1113">
        <v>0</v>
      </c>
      <c r="AO1113" t="s">
        <v>54</v>
      </c>
      <c r="AP1113" t="s">
        <v>53</v>
      </c>
      <c r="AQ1113">
        <v>0</v>
      </c>
      <c r="AR1113" t="s">
        <v>53</v>
      </c>
      <c r="AS1113">
        <v>0</v>
      </c>
      <c r="AT1113">
        <v>0</v>
      </c>
      <c r="CA1113">
        <v>1</v>
      </c>
      <c r="CC1113" t="s">
        <v>432</v>
      </c>
      <c r="CD1113">
        <v>85000</v>
      </c>
      <c r="CE1113" s="1">
        <v>42552</v>
      </c>
      <c r="CF1113" s="1">
        <v>42552</v>
      </c>
      <c r="CG1113" s="1">
        <v>42552</v>
      </c>
      <c r="CH1113" s="1">
        <v>49714</v>
      </c>
      <c r="CI1113" t="s">
        <v>51</v>
      </c>
      <c r="CK1113" t="s">
        <v>78</v>
      </c>
      <c r="CM1113" t="s">
        <v>54</v>
      </c>
      <c r="CN1113" t="s">
        <v>174</v>
      </c>
      <c r="CO1113" t="s">
        <v>86</v>
      </c>
      <c r="CR1113">
        <v>24</v>
      </c>
      <c r="CS1113">
        <v>0</v>
      </c>
      <c r="CT1113">
        <v>0</v>
      </c>
      <c r="CU1113">
        <v>0</v>
      </c>
    </row>
    <row r="1114" spans="1:99" x14ac:dyDescent="0.2">
      <c r="A1114" t="s">
        <v>180</v>
      </c>
      <c r="B1114" t="s">
        <v>181</v>
      </c>
      <c r="C1114" t="s">
        <v>184</v>
      </c>
      <c r="D1114" t="s">
        <v>690</v>
      </c>
      <c r="F1114" t="str">
        <f>"250774"</f>
        <v>250774</v>
      </c>
      <c r="G1114" t="s">
        <v>49</v>
      </c>
      <c r="H1114" t="s">
        <v>262</v>
      </c>
      <c r="K1114" t="s">
        <v>51</v>
      </c>
      <c r="L1114" t="s">
        <v>52</v>
      </c>
      <c r="M1114">
        <v>136269.46</v>
      </c>
      <c r="N1114">
        <v>472448.76</v>
      </c>
      <c r="O1114" t="s">
        <v>53</v>
      </c>
      <c r="P1114" t="s">
        <v>54</v>
      </c>
      <c r="Q1114" t="s">
        <v>55</v>
      </c>
      <c r="T1114" t="s">
        <v>691</v>
      </c>
      <c r="U1114">
        <v>40</v>
      </c>
      <c r="V1114" s="1">
        <v>35977</v>
      </c>
      <c r="W1114" s="1">
        <v>35977</v>
      </c>
      <c r="X1114" s="1">
        <v>35977</v>
      </c>
      <c r="Y1114" s="1">
        <v>50587</v>
      </c>
      <c r="Z1114" t="s">
        <v>51</v>
      </c>
      <c r="AB1114" t="s">
        <v>54</v>
      </c>
      <c r="AC1114">
        <v>1</v>
      </c>
      <c r="AE1114" t="s">
        <v>564</v>
      </c>
      <c r="AF1114">
        <v>20</v>
      </c>
      <c r="AG1114" s="1">
        <v>35977</v>
      </c>
      <c r="AH1114" s="1">
        <v>35977</v>
      </c>
      <c r="AI1114" s="1">
        <v>35977</v>
      </c>
      <c r="AJ1114" s="1">
        <v>43282</v>
      </c>
      <c r="AK1114" t="s">
        <v>51</v>
      </c>
      <c r="AN1114">
        <v>0</v>
      </c>
      <c r="AO1114" t="s">
        <v>54</v>
      </c>
      <c r="AP1114" t="s">
        <v>53</v>
      </c>
      <c r="AQ1114">
        <v>0</v>
      </c>
      <c r="AR1114" t="s">
        <v>53</v>
      </c>
      <c r="AS1114">
        <v>0</v>
      </c>
      <c r="AT1114">
        <v>0</v>
      </c>
      <c r="CA1114">
        <v>1</v>
      </c>
      <c r="CC1114" t="s">
        <v>432</v>
      </c>
      <c r="CD1114">
        <v>85000</v>
      </c>
      <c r="CE1114" s="1">
        <v>42552</v>
      </c>
      <c r="CF1114" s="1">
        <v>42552</v>
      </c>
      <c r="CG1114" s="1">
        <v>42552</v>
      </c>
      <c r="CH1114" s="1">
        <v>49714</v>
      </c>
      <c r="CI1114" t="s">
        <v>51</v>
      </c>
      <c r="CK1114" t="s">
        <v>78</v>
      </c>
      <c r="CM1114" t="s">
        <v>54</v>
      </c>
      <c r="CN1114" t="s">
        <v>174</v>
      </c>
      <c r="CO1114" t="s">
        <v>86</v>
      </c>
      <c r="CR1114">
        <v>24</v>
      </c>
      <c r="CS1114">
        <v>0</v>
      </c>
      <c r="CT1114">
        <v>0</v>
      </c>
      <c r="CU1114">
        <v>0</v>
      </c>
    </row>
    <row r="1115" spans="1:99" x14ac:dyDescent="0.2">
      <c r="A1115" t="s">
        <v>180</v>
      </c>
      <c r="B1115" t="s">
        <v>181</v>
      </c>
      <c r="C1115" t="s">
        <v>184</v>
      </c>
      <c r="D1115" t="s">
        <v>690</v>
      </c>
      <c r="F1115" t="str">
        <f>"250775"</f>
        <v>250775</v>
      </c>
      <c r="G1115" t="s">
        <v>49</v>
      </c>
      <c r="H1115" t="s">
        <v>692</v>
      </c>
      <c r="K1115" t="s">
        <v>51</v>
      </c>
      <c r="L1115" t="s">
        <v>52</v>
      </c>
      <c r="M1115">
        <v>136288.56</v>
      </c>
      <c r="N1115">
        <v>472438.09</v>
      </c>
      <c r="O1115" t="s">
        <v>53</v>
      </c>
      <c r="P1115" t="s">
        <v>54</v>
      </c>
      <c r="Q1115" t="s">
        <v>55</v>
      </c>
      <c r="T1115" t="s">
        <v>691</v>
      </c>
      <c r="U1115">
        <v>40</v>
      </c>
      <c r="V1115" s="1">
        <v>35977</v>
      </c>
      <c r="W1115" s="1">
        <v>35977</v>
      </c>
      <c r="X1115" s="1">
        <v>35977</v>
      </c>
      <c r="Y1115" s="1">
        <v>50587</v>
      </c>
      <c r="Z1115" t="s">
        <v>51</v>
      </c>
      <c r="AB1115" t="s">
        <v>54</v>
      </c>
      <c r="AC1115">
        <v>1</v>
      </c>
      <c r="AE1115" t="s">
        <v>564</v>
      </c>
      <c r="AF1115">
        <v>20</v>
      </c>
      <c r="AG1115" s="1">
        <v>35977</v>
      </c>
      <c r="AH1115" s="1">
        <v>35977</v>
      </c>
      <c r="AI1115" s="1">
        <v>35977</v>
      </c>
      <c r="AJ1115" s="1">
        <v>43282</v>
      </c>
      <c r="AK1115" t="s">
        <v>51</v>
      </c>
      <c r="AN1115">
        <v>0</v>
      </c>
      <c r="AO1115" t="s">
        <v>54</v>
      </c>
      <c r="AP1115" t="s">
        <v>53</v>
      </c>
      <c r="AQ1115">
        <v>0</v>
      </c>
      <c r="AR1115" t="s">
        <v>53</v>
      </c>
      <c r="AS1115">
        <v>0</v>
      </c>
      <c r="AT1115">
        <v>0</v>
      </c>
      <c r="CA1115">
        <v>1</v>
      </c>
      <c r="CC1115" t="s">
        <v>432</v>
      </c>
      <c r="CD1115">
        <v>85000</v>
      </c>
      <c r="CE1115" s="1">
        <v>42552</v>
      </c>
      <c r="CF1115" s="1">
        <v>42552</v>
      </c>
      <c r="CG1115" s="1">
        <v>42552</v>
      </c>
      <c r="CH1115" s="1">
        <v>49714</v>
      </c>
      <c r="CI1115" t="s">
        <v>51</v>
      </c>
      <c r="CK1115" t="s">
        <v>78</v>
      </c>
      <c r="CM1115" t="s">
        <v>54</v>
      </c>
      <c r="CN1115" t="s">
        <v>174</v>
      </c>
      <c r="CO1115" t="s">
        <v>86</v>
      </c>
      <c r="CR1115">
        <v>24</v>
      </c>
      <c r="CS1115">
        <v>0</v>
      </c>
      <c r="CT1115">
        <v>0</v>
      </c>
      <c r="CU1115">
        <v>0</v>
      </c>
    </row>
    <row r="1116" spans="1:99" x14ac:dyDescent="0.2">
      <c r="A1116" t="s">
        <v>180</v>
      </c>
      <c r="B1116" t="s">
        <v>181</v>
      </c>
      <c r="C1116" t="s">
        <v>184</v>
      </c>
      <c r="D1116" t="s">
        <v>690</v>
      </c>
      <c r="F1116" t="str">
        <f>"250776"</f>
        <v>250776</v>
      </c>
      <c r="G1116" t="s">
        <v>49</v>
      </c>
      <c r="H1116" t="s">
        <v>259</v>
      </c>
      <c r="K1116" t="s">
        <v>51</v>
      </c>
      <c r="L1116" t="s">
        <v>52</v>
      </c>
      <c r="M1116">
        <v>136305.12</v>
      </c>
      <c r="N1116">
        <v>472440.46</v>
      </c>
      <c r="O1116" t="s">
        <v>53</v>
      </c>
      <c r="P1116" t="s">
        <v>54</v>
      </c>
      <c r="Q1116" t="s">
        <v>55</v>
      </c>
      <c r="T1116" t="s">
        <v>691</v>
      </c>
      <c r="U1116">
        <v>40</v>
      </c>
      <c r="V1116" s="1">
        <v>35977</v>
      </c>
      <c r="W1116" s="1">
        <v>35977</v>
      </c>
      <c r="X1116" s="1">
        <v>35977</v>
      </c>
      <c r="Y1116" s="1">
        <v>50587</v>
      </c>
      <c r="Z1116" t="s">
        <v>51</v>
      </c>
      <c r="AB1116" t="s">
        <v>54</v>
      </c>
      <c r="AC1116">
        <v>1</v>
      </c>
      <c r="AE1116" t="s">
        <v>564</v>
      </c>
      <c r="AF1116">
        <v>20</v>
      </c>
      <c r="AG1116" s="1">
        <v>35977</v>
      </c>
      <c r="AH1116" s="1">
        <v>35977</v>
      </c>
      <c r="AI1116" s="1">
        <v>35977</v>
      </c>
      <c r="AJ1116" s="1">
        <v>43282</v>
      </c>
      <c r="AK1116" t="s">
        <v>51</v>
      </c>
      <c r="AN1116">
        <v>0</v>
      </c>
      <c r="AO1116" t="s">
        <v>54</v>
      </c>
      <c r="AP1116" t="s">
        <v>53</v>
      </c>
      <c r="AQ1116">
        <v>0</v>
      </c>
      <c r="AR1116" t="s">
        <v>53</v>
      </c>
      <c r="AS1116">
        <v>0</v>
      </c>
      <c r="AT1116">
        <v>0</v>
      </c>
      <c r="AW1116" t="s">
        <v>58</v>
      </c>
      <c r="AX1116">
        <v>20</v>
      </c>
      <c r="AY1116" s="1">
        <v>44053</v>
      </c>
      <c r="AZ1116" s="1">
        <v>44053</v>
      </c>
      <c r="BA1116" s="1">
        <v>44053</v>
      </c>
      <c r="BB1116" s="1">
        <v>51358</v>
      </c>
      <c r="BC1116" t="s">
        <v>51</v>
      </c>
      <c r="BE1116" t="s">
        <v>54</v>
      </c>
      <c r="BF1116">
        <v>2</v>
      </c>
      <c r="BG1116">
        <v>0</v>
      </c>
      <c r="BH1116" t="s">
        <v>53</v>
      </c>
      <c r="BI1116">
        <v>1</v>
      </c>
      <c r="BK1116" t="s">
        <v>59</v>
      </c>
      <c r="BL1116">
        <v>14000</v>
      </c>
      <c r="BM1116" s="1">
        <v>44574</v>
      </c>
      <c r="BN1116" s="1">
        <v>44574</v>
      </c>
      <c r="BO1116" s="1">
        <v>44574</v>
      </c>
      <c r="BP1116" s="1">
        <v>45743</v>
      </c>
      <c r="BQ1116" t="s">
        <v>51</v>
      </c>
      <c r="BS1116" t="s">
        <v>60</v>
      </c>
      <c r="BT1116" t="s">
        <v>54</v>
      </c>
      <c r="BU1116" t="s">
        <v>61</v>
      </c>
      <c r="BV1116" t="s">
        <v>62</v>
      </c>
      <c r="BX1116">
        <v>24</v>
      </c>
      <c r="BY1116">
        <v>0</v>
      </c>
      <c r="BZ1116">
        <v>0</v>
      </c>
    </row>
    <row r="1117" spans="1:99" x14ac:dyDescent="0.2">
      <c r="A1117" t="s">
        <v>180</v>
      </c>
      <c r="B1117" t="s">
        <v>181</v>
      </c>
      <c r="C1117" t="s">
        <v>184</v>
      </c>
      <c r="D1117" t="s">
        <v>690</v>
      </c>
      <c r="F1117" t="str">
        <f>"250777"</f>
        <v>250777</v>
      </c>
      <c r="G1117" t="s">
        <v>49</v>
      </c>
      <c r="H1117" t="s">
        <v>221</v>
      </c>
      <c r="K1117" t="s">
        <v>51</v>
      </c>
      <c r="L1117" t="s">
        <v>52</v>
      </c>
      <c r="M1117">
        <v>136326.49</v>
      </c>
      <c r="N1117">
        <v>472430.68</v>
      </c>
      <c r="O1117" t="s">
        <v>53</v>
      </c>
      <c r="P1117" t="s">
        <v>54</v>
      </c>
      <c r="Q1117" t="s">
        <v>55</v>
      </c>
      <c r="T1117" t="s">
        <v>691</v>
      </c>
      <c r="U1117">
        <v>40</v>
      </c>
      <c r="V1117" s="1">
        <v>36708</v>
      </c>
      <c r="W1117" s="1">
        <v>36708</v>
      </c>
      <c r="X1117" s="1">
        <v>36708</v>
      </c>
      <c r="Y1117" s="1">
        <v>51318</v>
      </c>
      <c r="Z1117" t="s">
        <v>51</v>
      </c>
      <c r="AB1117" t="s">
        <v>54</v>
      </c>
      <c r="AC1117">
        <v>1</v>
      </c>
      <c r="AE1117" t="s">
        <v>564</v>
      </c>
      <c r="AF1117">
        <v>20</v>
      </c>
      <c r="AG1117" s="1">
        <v>36708</v>
      </c>
      <c r="AH1117" s="1">
        <v>36708</v>
      </c>
      <c r="AI1117" s="1">
        <v>36708</v>
      </c>
      <c r="AJ1117" s="1">
        <v>44013</v>
      </c>
      <c r="AK1117" t="s">
        <v>51</v>
      </c>
      <c r="AN1117">
        <v>0</v>
      </c>
      <c r="AO1117" t="s">
        <v>54</v>
      </c>
      <c r="AP1117" t="s">
        <v>53</v>
      </c>
      <c r="AQ1117">
        <v>0</v>
      </c>
      <c r="AR1117" t="s">
        <v>53</v>
      </c>
      <c r="AS1117">
        <v>0</v>
      </c>
      <c r="AT1117">
        <v>0</v>
      </c>
      <c r="AW1117" t="s">
        <v>58</v>
      </c>
      <c r="AX1117">
        <v>20</v>
      </c>
      <c r="AY1117" s="1">
        <v>36708</v>
      </c>
      <c r="AZ1117" s="1">
        <v>36708</v>
      </c>
      <c r="BA1117" s="1">
        <v>36708</v>
      </c>
      <c r="BB1117" s="1">
        <v>44013</v>
      </c>
      <c r="BC1117" t="s">
        <v>51</v>
      </c>
      <c r="BE1117" t="s">
        <v>54</v>
      </c>
      <c r="BF1117">
        <v>2</v>
      </c>
      <c r="BG1117">
        <v>0</v>
      </c>
      <c r="BH1117" t="s">
        <v>53</v>
      </c>
      <c r="BI1117">
        <v>1</v>
      </c>
      <c r="BK1117" t="s">
        <v>59</v>
      </c>
      <c r="BL1117">
        <v>14000</v>
      </c>
      <c r="BM1117" s="1">
        <v>44963</v>
      </c>
      <c r="BN1117" s="1">
        <v>44963</v>
      </c>
      <c r="BO1117" s="1">
        <v>44963</v>
      </c>
      <c r="BP1117" s="1">
        <v>46146</v>
      </c>
      <c r="BQ1117" t="s">
        <v>51</v>
      </c>
      <c r="BS1117" t="s">
        <v>60</v>
      </c>
      <c r="BT1117" t="s">
        <v>54</v>
      </c>
      <c r="BU1117" t="s">
        <v>61</v>
      </c>
      <c r="BV1117" t="s">
        <v>62</v>
      </c>
      <c r="BX1117">
        <v>24</v>
      </c>
      <c r="BY1117">
        <v>0</v>
      </c>
      <c r="BZ1117">
        <v>0</v>
      </c>
    </row>
    <row r="1118" spans="1:99" x14ac:dyDescent="0.2">
      <c r="A1118" t="s">
        <v>180</v>
      </c>
      <c r="B1118" t="s">
        <v>181</v>
      </c>
      <c r="C1118" t="s">
        <v>184</v>
      </c>
      <c r="D1118" t="s">
        <v>690</v>
      </c>
      <c r="F1118" t="str">
        <f>"250778"</f>
        <v>250778</v>
      </c>
      <c r="G1118" t="s">
        <v>49</v>
      </c>
      <c r="H1118" t="s">
        <v>169</v>
      </c>
      <c r="K1118" t="s">
        <v>51</v>
      </c>
      <c r="L1118" t="s">
        <v>52</v>
      </c>
      <c r="M1118">
        <v>136294.53</v>
      </c>
      <c r="N1118">
        <v>472455.53</v>
      </c>
      <c r="O1118" t="s">
        <v>53</v>
      </c>
      <c r="P1118" t="s">
        <v>54</v>
      </c>
      <c r="Q1118" t="s">
        <v>55</v>
      </c>
      <c r="T1118" t="s">
        <v>691</v>
      </c>
      <c r="U1118">
        <v>40</v>
      </c>
      <c r="V1118" s="1">
        <v>35977</v>
      </c>
      <c r="W1118" s="1">
        <v>35977</v>
      </c>
      <c r="X1118" s="1">
        <v>35977</v>
      </c>
      <c r="Y1118" s="1">
        <v>50587</v>
      </c>
      <c r="Z1118" t="s">
        <v>51</v>
      </c>
      <c r="AB1118" t="s">
        <v>54</v>
      </c>
      <c r="AC1118">
        <v>1</v>
      </c>
      <c r="AE1118" t="s">
        <v>564</v>
      </c>
      <c r="AF1118">
        <v>20</v>
      </c>
      <c r="AG1118" s="1">
        <v>35977</v>
      </c>
      <c r="AH1118" s="1">
        <v>35977</v>
      </c>
      <c r="AI1118" s="1">
        <v>35977</v>
      </c>
      <c r="AJ1118" s="1">
        <v>43282</v>
      </c>
      <c r="AK1118" t="s">
        <v>51</v>
      </c>
      <c r="AN1118">
        <v>0</v>
      </c>
      <c r="AO1118" t="s">
        <v>54</v>
      </c>
      <c r="AP1118" t="s">
        <v>53</v>
      </c>
      <c r="AQ1118">
        <v>0</v>
      </c>
      <c r="AR1118" t="s">
        <v>53</v>
      </c>
      <c r="AS1118">
        <v>0</v>
      </c>
      <c r="AT1118">
        <v>0</v>
      </c>
      <c r="CA1118">
        <v>1</v>
      </c>
      <c r="CC1118" t="s">
        <v>432</v>
      </c>
      <c r="CD1118">
        <v>85000</v>
      </c>
      <c r="CE1118" s="1">
        <v>42552</v>
      </c>
      <c r="CF1118" s="1">
        <v>42552</v>
      </c>
      <c r="CG1118" s="1">
        <v>42552</v>
      </c>
      <c r="CH1118" s="1">
        <v>49714</v>
      </c>
      <c r="CI1118" t="s">
        <v>51</v>
      </c>
      <c r="CK1118" t="s">
        <v>78</v>
      </c>
      <c r="CM1118" t="s">
        <v>54</v>
      </c>
      <c r="CN1118" t="s">
        <v>174</v>
      </c>
      <c r="CO1118" t="s">
        <v>86</v>
      </c>
      <c r="CR1118">
        <v>24</v>
      </c>
      <c r="CS1118">
        <v>0</v>
      </c>
      <c r="CT1118">
        <v>0</v>
      </c>
      <c r="CU1118">
        <v>0</v>
      </c>
    </row>
    <row r="1119" spans="1:99" x14ac:dyDescent="0.2">
      <c r="A1119" t="s">
        <v>180</v>
      </c>
      <c r="B1119" t="s">
        <v>181</v>
      </c>
      <c r="C1119" t="s">
        <v>184</v>
      </c>
      <c r="D1119" t="s">
        <v>690</v>
      </c>
      <c r="F1119" t="str">
        <f>"250779"</f>
        <v>250779</v>
      </c>
      <c r="G1119" t="s">
        <v>49</v>
      </c>
      <c r="H1119" t="s">
        <v>108</v>
      </c>
      <c r="K1119" t="s">
        <v>51</v>
      </c>
      <c r="L1119" t="s">
        <v>52</v>
      </c>
      <c r="M1119">
        <v>136303.31</v>
      </c>
      <c r="N1119">
        <v>472472.78</v>
      </c>
      <c r="O1119" t="s">
        <v>53</v>
      </c>
      <c r="P1119" t="s">
        <v>54</v>
      </c>
      <c r="Q1119" t="s">
        <v>55</v>
      </c>
      <c r="T1119" t="s">
        <v>691</v>
      </c>
      <c r="U1119">
        <v>40</v>
      </c>
      <c r="V1119" s="1">
        <v>35977</v>
      </c>
      <c r="W1119" s="1">
        <v>35977</v>
      </c>
      <c r="X1119" s="1">
        <v>35977</v>
      </c>
      <c r="Y1119" s="1">
        <v>50587</v>
      </c>
      <c r="Z1119" t="s">
        <v>51</v>
      </c>
      <c r="AB1119" t="s">
        <v>54</v>
      </c>
      <c r="AC1119">
        <v>1</v>
      </c>
      <c r="AE1119" t="s">
        <v>564</v>
      </c>
      <c r="AF1119">
        <v>20</v>
      </c>
      <c r="AG1119" s="1">
        <v>35977</v>
      </c>
      <c r="AH1119" s="1">
        <v>35977</v>
      </c>
      <c r="AI1119" s="1">
        <v>35977</v>
      </c>
      <c r="AJ1119" s="1">
        <v>43282</v>
      </c>
      <c r="AK1119" t="s">
        <v>51</v>
      </c>
      <c r="AN1119">
        <v>0</v>
      </c>
      <c r="AO1119" t="s">
        <v>54</v>
      </c>
      <c r="AP1119" t="s">
        <v>53</v>
      </c>
      <c r="AQ1119">
        <v>0</v>
      </c>
      <c r="AR1119" t="s">
        <v>53</v>
      </c>
      <c r="AS1119">
        <v>0</v>
      </c>
      <c r="AT1119">
        <v>0</v>
      </c>
      <c r="CA1119">
        <v>1</v>
      </c>
      <c r="CC1119" t="s">
        <v>432</v>
      </c>
      <c r="CD1119">
        <v>85000</v>
      </c>
      <c r="CE1119" s="1">
        <v>42552</v>
      </c>
      <c r="CF1119" s="1">
        <v>42552</v>
      </c>
      <c r="CG1119" s="1">
        <v>42552</v>
      </c>
      <c r="CH1119" s="1">
        <v>49714</v>
      </c>
      <c r="CI1119" t="s">
        <v>51</v>
      </c>
      <c r="CK1119" t="s">
        <v>78</v>
      </c>
      <c r="CM1119" t="s">
        <v>54</v>
      </c>
      <c r="CN1119" t="s">
        <v>174</v>
      </c>
      <c r="CO1119" t="s">
        <v>86</v>
      </c>
      <c r="CR1119">
        <v>24</v>
      </c>
      <c r="CS1119">
        <v>0</v>
      </c>
      <c r="CT1119">
        <v>0</v>
      </c>
      <c r="CU1119">
        <v>0</v>
      </c>
    </row>
    <row r="1120" spans="1:99" x14ac:dyDescent="0.2">
      <c r="A1120" t="s">
        <v>180</v>
      </c>
      <c r="B1120" t="s">
        <v>181</v>
      </c>
      <c r="C1120" t="s">
        <v>184</v>
      </c>
      <c r="D1120" t="s">
        <v>690</v>
      </c>
      <c r="F1120" t="str">
        <f>"250780"</f>
        <v>250780</v>
      </c>
      <c r="G1120" t="s">
        <v>49</v>
      </c>
      <c r="H1120" t="s">
        <v>298</v>
      </c>
      <c r="K1120" t="s">
        <v>51</v>
      </c>
      <c r="L1120" t="s">
        <v>52</v>
      </c>
      <c r="M1120">
        <v>136311.42000000001</v>
      </c>
      <c r="N1120">
        <v>472491.31</v>
      </c>
      <c r="O1120" t="s">
        <v>53</v>
      </c>
      <c r="P1120" t="s">
        <v>54</v>
      </c>
      <c r="Q1120" t="s">
        <v>55</v>
      </c>
      <c r="T1120" t="s">
        <v>691</v>
      </c>
      <c r="U1120">
        <v>40</v>
      </c>
      <c r="V1120" s="1">
        <v>35977</v>
      </c>
      <c r="W1120" s="1">
        <v>35977</v>
      </c>
      <c r="X1120" s="1">
        <v>35977</v>
      </c>
      <c r="Y1120" s="1">
        <v>50587</v>
      </c>
      <c r="Z1120" t="s">
        <v>51</v>
      </c>
      <c r="AB1120" t="s">
        <v>54</v>
      </c>
      <c r="AC1120">
        <v>1</v>
      </c>
      <c r="AE1120" t="s">
        <v>564</v>
      </c>
      <c r="AF1120">
        <v>20</v>
      </c>
      <c r="AG1120" s="1">
        <v>35977</v>
      </c>
      <c r="AH1120" s="1">
        <v>35977</v>
      </c>
      <c r="AI1120" s="1">
        <v>35977</v>
      </c>
      <c r="AJ1120" s="1">
        <v>43282</v>
      </c>
      <c r="AK1120" t="s">
        <v>51</v>
      </c>
      <c r="AN1120">
        <v>0</v>
      </c>
      <c r="AO1120" t="s">
        <v>54</v>
      </c>
      <c r="AP1120" t="s">
        <v>53</v>
      </c>
      <c r="AQ1120">
        <v>0</v>
      </c>
      <c r="AR1120" t="s">
        <v>53</v>
      </c>
      <c r="AS1120">
        <v>0</v>
      </c>
      <c r="AT1120">
        <v>0</v>
      </c>
      <c r="CA1120">
        <v>1</v>
      </c>
      <c r="CC1120" t="s">
        <v>432</v>
      </c>
      <c r="CD1120">
        <v>85000</v>
      </c>
      <c r="CE1120" s="1">
        <v>42552</v>
      </c>
      <c r="CF1120" s="1">
        <v>42552</v>
      </c>
      <c r="CG1120" s="1">
        <v>42552</v>
      </c>
      <c r="CH1120" s="1">
        <v>49714</v>
      </c>
      <c r="CI1120" t="s">
        <v>51</v>
      </c>
      <c r="CK1120" t="s">
        <v>78</v>
      </c>
      <c r="CM1120" t="s">
        <v>54</v>
      </c>
      <c r="CN1120" t="s">
        <v>174</v>
      </c>
      <c r="CO1120" t="s">
        <v>86</v>
      </c>
      <c r="CR1120">
        <v>24</v>
      </c>
      <c r="CS1120">
        <v>0</v>
      </c>
      <c r="CT1120">
        <v>0</v>
      </c>
      <c r="CU1120">
        <v>0</v>
      </c>
    </row>
    <row r="1121" spans="1:99" x14ac:dyDescent="0.2">
      <c r="A1121" t="s">
        <v>180</v>
      </c>
      <c r="B1121" t="s">
        <v>181</v>
      </c>
      <c r="C1121" t="s">
        <v>184</v>
      </c>
      <c r="D1121" t="s">
        <v>690</v>
      </c>
      <c r="F1121" t="str">
        <f>"250781"</f>
        <v>250781</v>
      </c>
      <c r="G1121" t="s">
        <v>49</v>
      </c>
      <c r="K1121" t="s">
        <v>51</v>
      </c>
      <c r="L1121" t="s">
        <v>52</v>
      </c>
      <c r="M1121">
        <v>136268.946</v>
      </c>
      <c r="N1121">
        <v>472529.56099999999</v>
      </c>
      <c r="O1121" t="s">
        <v>53</v>
      </c>
      <c r="P1121" t="s">
        <v>54</v>
      </c>
      <c r="Q1121" t="s">
        <v>55</v>
      </c>
      <c r="T1121" t="s">
        <v>691</v>
      </c>
      <c r="U1121">
        <v>40</v>
      </c>
      <c r="V1121" s="1">
        <v>35796</v>
      </c>
      <c r="W1121" s="1">
        <v>35796</v>
      </c>
      <c r="X1121" s="1">
        <v>35796</v>
      </c>
      <c r="Y1121" s="1">
        <v>50406</v>
      </c>
      <c r="Z1121" t="s">
        <v>51</v>
      </c>
      <c r="AB1121" t="s">
        <v>54</v>
      </c>
      <c r="AC1121">
        <v>1</v>
      </c>
      <c r="AE1121" t="s">
        <v>222</v>
      </c>
      <c r="AF1121">
        <v>20</v>
      </c>
      <c r="AG1121" s="1">
        <v>38169</v>
      </c>
      <c r="AH1121" s="1">
        <v>38169</v>
      </c>
      <c r="AI1121" s="1">
        <v>38169</v>
      </c>
      <c r="AJ1121" s="1">
        <v>45474</v>
      </c>
      <c r="AK1121" t="s">
        <v>51</v>
      </c>
      <c r="AN1121">
        <v>0</v>
      </c>
      <c r="AO1121" t="s">
        <v>54</v>
      </c>
      <c r="AP1121" t="s">
        <v>53</v>
      </c>
      <c r="AQ1121">
        <v>0</v>
      </c>
      <c r="AR1121" t="s">
        <v>53</v>
      </c>
      <c r="AS1121">
        <v>0</v>
      </c>
      <c r="AT1121">
        <v>0</v>
      </c>
      <c r="CC1121" t="s">
        <v>432</v>
      </c>
      <c r="CD1121">
        <v>85000</v>
      </c>
      <c r="CE1121" s="1">
        <v>42552</v>
      </c>
      <c r="CF1121" s="1">
        <v>42552</v>
      </c>
      <c r="CG1121" s="1">
        <v>42552</v>
      </c>
      <c r="CH1121" s="1">
        <v>49714</v>
      </c>
      <c r="CI1121" t="s">
        <v>51</v>
      </c>
      <c r="CK1121" t="s">
        <v>78</v>
      </c>
      <c r="CM1121" t="s">
        <v>54</v>
      </c>
      <c r="CN1121" t="s">
        <v>174</v>
      </c>
      <c r="CO1121" t="s">
        <v>86</v>
      </c>
      <c r="CR1121">
        <v>24</v>
      </c>
      <c r="CS1121">
        <v>0</v>
      </c>
      <c r="CT1121">
        <v>0</v>
      </c>
      <c r="CU1121">
        <v>0</v>
      </c>
    </row>
    <row r="1122" spans="1:99" x14ac:dyDescent="0.2">
      <c r="A1122" t="s">
        <v>180</v>
      </c>
      <c r="B1122" t="s">
        <v>181</v>
      </c>
      <c r="C1122" t="s">
        <v>184</v>
      </c>
      <c r="D1122" t="s">
        <v>690</v>
      </c>
      <c r="F1122" t="str">
        <f>"250782"</f>
        <v>250782</v>
      </c>
      <c r="G1122" t="s">
        <v>49</v>
      </c>
      <c r="H1122" t="s">
        <v>693</v>
      </c>
      <c r="K1122" t="s">
        <v>51</v>
      </c>
      <c r="L1122" t="s">
        <v>52</v>
      </c>
      <c r="M1122">
        <v>136288.18</v>
      </c>
      <c r="N1122">
        <v>472520.67</v>
      </c>
      <c r="O1122" t="s">
        <v>53</v>
      </c>
      <c r="P1122" t="s">
        <v>54</v>
      </c>
      <c r="Q1122" t="s">
        <v>55</v>
      </c>
      <c r="T1122" t="s">
        <v>691</v>
      </c>
      <c r="U1122">
        <v>40</v>
      </c>
      <c r="V1122" s="1">
        <v>35977</v>
      </c>
      <c r="W1122" s="1">
        <v>35977</v>
      </c>
      <c r="X1122" s="1">
        <v>35977</v>
      </c>
      <c r="Y1122" s="1">
        <v>50587</v>
      </c>
      <c r="Z1122" t="s">
        <v>51</v>
      </c>
      <c r="AB1122" t="s">
        <v>54</v>
      </c>
      <c r="AC1122">
        <v>1</v>
      </c>
      <c r="AE1122" t="s">
        <v>564</v>
      </c>
      <c r="AF1122">
        <v>20</v>
      </c>
      <c r="AG1122" s="1">
        <v>35977</v>
      </c>
      <c r="AH1122" s="1">
        <v>35977</v>
      </c>
      <c r="AI1122" s="1">
        <v>35977</v>
      </c>
      <c r="AJ1122" s="1">
        <v>43282</v>
      </c>
      <c r="AK1122" t="s">
        <v>51</v>
      </c>
      <c r="AN1122">
        <v>0</v>
      </c>
      <c r="AO1122" t="s">
        <v>54</v>
      </c>
      <c r="AP1122" t="s">
        <v>53</v>
      </c>
      <c r="AQ1122">
        <v>0</v>
      </c>
      <c r="AR1122" t="s">
        <v>53</v>
      </c>
      <c r="AS1122">
        <v>0</v>
      </c>
      <c r="AT1122">
        <v>0</v>
      </c>
      <c r="CA1122">
        <v>1</v>
      </c>
      <c r="CC1122" t="s">
        <v>432</v>
      </c>
      <c r="CD1122">
        <v>85000</v>
      </c>
      <c r="CE1122" s="1">
        <v>42552</v>
      </c>
      <c r="CF1122" s="1">
        <v>42552</v>
      </c>
      <c r="CG1122" s="1">
        <v>42552</v>
      </c>
      <c r="CH1122" s="1">
        <v>49714</v>
      </c>
      <c r="CI1122" t="s">
        <v>51</v>
      </c>
      <c r="CK1122" t="s">
        <v>78</v>
      </c>
      <c r="CM1122" t="s">
        <v>54</v>
      </c>
      <c r="CN1122" t="s">
        <v>174</v>
      </c>
      <c r="CO1122" t="s">
        <v>86</v>
      </c>
      <c r="CR1122">
        <v>24</v>
      </c>
      <c r="CS1122">
        <v>0</v>
      </c>
      <c r="CT1122">
        <v>0</v>
      </c>
      <c r="CU1122">
        <v>0</v>
      </c>
    </row>
    <row r="1123" spans="1:99" x14ac:dyDescent="0.2">
      <c r="A1123" t="s">
        <v>180</v>
      </c>
      <c r="B1123" t="s">
        <v>181</v>
      </c>
      <c r="C1123" t="s">
        <v>184</v>
      </c>
      <c r="D1123" t="s">
        <v>690</v>
      </c>
      <c r="F1123" t="str">
        <f>"250783"</f>
        <v>250783</v>
      </c>
      <c r="G1123" t="s">
        <v>49</v>
      </c>
      <c r="H1123" t="s">
        <v>694</v>
      </c>
      <c r="K1123" t="s">
        <v>51</v>
      </c>
      <c r="L1123" t="s">
        <v>52</v>
      </c>
      <c r="M1123">
        <v>136305.54</v>
      </c>
      <c r="N1123">
        <v>472512.07</v>
      </c>
      <c r="O1123" t="s">
        <v>53</v>
      </c>
      <c r="P1123" t="s">
        <v>54</v>
      </c>
      <c r="Q1123" t="s">
        <v>55</v>
      </c>
      <c r="T1123" t="s">
        <v>691</v>
      </c>
      <c r="U1123">
        <v>40</v>
      </c>
      <c r="V1123" s="1">
        <v>35977</v>
      </c>
      <c r="W1123" s="1">
        <v>35977</v>
      </c>
      <c r="X1123" s="1">
        <v>35977</v>
      </c>
      <c r="Y1123" s="1">
        <v>50587</v>
      </c>
      <c r="Z1123" t="s">
        <v>51</v>
      </c>
      <c r="AB1123" t="s">
        <v>54</v>
      </c>
      <c r="AC1123">
        <v>1</v>
      </c>
      <c r="AE1123" t="s">
        <v>564</v>
      </c>
      <c r="AF1123">
        <v>20</v>
      </c>
      <c r="AG1123" s="1">
        <v>35977</v>
      </c>
      <c r="AH1123" s="1">
        <v>35977</v>
      </c>
      <c r="AI1123" s="1">
        <v>35977</v>
      </c>
      <c r="AJ1123" s="1">
        <v>43282</v>
      </c>
      <c r="AK1123" t="s">
        <v>51</v>
      </c>
      <c r="AN1123">
        <v>0</v>
      </c>
      <c r="AO1123" t="s">
        <v>54</v>
      </c>
      <c r="AP1123" t="s">
        <v>53</v>
      </c>
      <c r="AQ1123">
        <v>0</v>
      </c>
      <c r="AR1123" t="s">
        <v>53</v>
      </c>
      <c r="AS1123">
        <v>0</v>
      </c>
      <c r="AT1123">
        <v>0</v>
      </c>
      <c r="CA1123">
        <v>1</v>
      </c>
      <c r="CC1123" t="s">
        <v>432</v>
      </c>
      <c r="CD1123">
        <v>85000</v>
      </c>
      <c r="CE1123" s="1">
        <v>42552</v>
      </c>
      <c r="CF1123" s="1">
        <v>42552</v>
      </c>
      <c r="CG1123" s="1">
        <v>42552</v>
      </c>
      <c r="CH1123" s="1">
        <v>49714</v>
      </c>
      <c r="CI1123" t="s">
        <v>51</v>
      </c>
      <c r="CK1123" t="s">
        <v>78</v>
      </c>
      <c r="CM1123" t="s">
        <v>54</v>
      </c>
      <c r="CN1123" t="s">
        <v>174</v>
      </c>
      <c r="CO1123" t="s">
        <v>86</v>
      </c>
      <c r="CR1123">
        <v>24</v>
      </c>
      <c r="CS1123">
        <v>0</v>
      </c>
      <c r="CT1123">
        <v>0</v>
      </c>
      <c r="CU1123">
        <v>0</v>
      </c>
    </row>
    <row r="1124" spans="1:99" x14ac:dyDescent="0.2">
      <c r="A1124" t="s">
        <v>180</v>
      </c>
      <c r="B1124" t="s">
        <v>181</v>
      </c>
      <c r="C1124" t="s">
        <v>184</v>
      </c>
      <c r="D1124" t="s">
        <v>690</v>
      </c>
      <c r="F1124" t="str">
        <f>"250784"</f>
        <v>250784</v>
      </c>
      <c r="G1124" t="s">
        <v>49</v>
      </c>
      <c r="H1124" t="s">
        <v>695</v>
      </c>
      <c r="K1124" t="s">
        <v>51</v>
      </c>
      <c r="L1124" t="s">
        <v>52</v>
      </c>
      <c r="M1124">
        <v>136326.01999999999</v>
      </c>
      <c r="N1124">
        <v>472501.66</v>
      </c>
      <c r="O1124" t="s">
        <v>53</v>
      </c>
      <c r="P1124" t="s">
        <v>54</v>
      </c>
      <c r="Q1124" t="s">
        <v>55</v>
      </c>
      <c r="T1124" t="s">
        <v>691</v>
      </c>
      <c r="U1124">
        <v>40</v>
      </c>
      <c r="V1124" s="1">
        <v>35977</v>
      </c>
      <c r="W1124" s="1">
        <v>35977</v>
      </c>
      <c r="X1124" s="1">
        <v>35977</v>
      </c>
      <c r="Y1124" s="1">
        <v>50587</v>
      </c>
      <c r="Z1124" t="s">
        <v>51</v>
      </c>
      <c r="AB1124" t="s">
        <v>54</v>
      </c>
      <c r="AC1124">
        <v>1</v>
      </c>
      <c r="AE1124" t="s">
        <v>564</v>
      </c>
      <c r="AF1124">
        <v>20</v>
      </c>
      <c r="AG1124" s="1">
        <v>35977</v>
      </c>
      <c r="AH1124" s="1">
        <v>35977</v>
      </c>
      <c r="AI1124" s="1">
        <v>35977</v>
      </c>
      <c r="AJ1124" s="1">
        <v>43282</v>
      </c>
      <c r="AK1124" t="s">
        <v>51</v>
      </c>
      <c r="AN1124">
        <v>0</v>
      </c>
      <c r="AO1124" t="s">
        <v>54</v>
      </c>
      <c r="AP1124" t="s">
        <v>53</v>
      </c>
      <c r="AQ1124">
        <v>0</v>
      </c>
      <c r="AR1124" t="s">
        <v>53</v>
      </c>
      <c r="AS1124">
        <v>0</v>
      </c>
      <c r="AT1124">
        <v>0</v>
      </c>
      <c r="AW1124" t="s">
        <v>58</v>
      </c>
      <c r="AX1124">
        <v>20</v>
      </c>
      <c r="AY1124" s="1">
        <v>43767</v>
      </c>
      <c r="AZ1124" s="1">
        <v>43767</v>
      </c>
      <c r="BA1124" s="1">
        <v>43767</v>
      </c>
      <c r="BB1124" s="1">
        <v>51072</v>
      </c>
      <c r="BC1124" t="s">
        <v>51</v>
      </c>
      <c r="BE1124" t="s">
        <v>54</v>
      </c>
      <c r="BF1124">
        <v>2</v>
      </c>
      <c r="BG1124">
        <v>0</v>
      </c>
      <c r="BH1124" t="s">
        <v>53</v>
      </c>
      <c r="BI1124">
        <v>1</v>
      </c>
      <c r="BK1124" t="s">
        <v>59</v>
      </c>
      <c r="BL1124">
        <v>14000</v>
      </c>
      <c r="BM1124" s="1">
        <v>43767</v>
      </c>
      <c r="BN1124" s="1">
        <v>43767</v>
      </c>
      <c r="BO1124" s="1">
        <v>43767</v>
      </c>
      <c r="BP1124" s="1">
        <v>44927</v>
      </c>
      <c r="BQ1124" t="s">
        <v>51</v>
      </c>
      <c r="BS1124" t="s">
        <v>60</v>
      </c>
      <c r="BT1124" t="s">
        <v>54</v>
      </c>
      <c r="BU1124" t="s">
        <v>61</v>
      </c>
      <c r="BV1124" t="s">
        <v>62</v>
      </c>
      <c r="BX1124">
        <v>24</v>
      </c>
      <c r="BY1124">
        <v>0</v>
      </c>
      <c r="BZ1124">
        <v>0</v>
      </c>
    </row>
    <row r="1125" spans="1:99" x14ac:dyDescent="0.2">
      <c r="A1125" t="s">
        <v>180</v>
      </c>
      <c r="B1125" t="s">
        <v>181</v>
      </c>
      <c r="C1125" t="s">
        <v>184</v>
      </c>
      <c r="D1125" t="s">
        <v>690</v>
      </c>
      <c r="F1125" t="str">
        <f>"250785"</f>
        <v>250785</v>
      </c>
      <c r="G1125" t="s">
        <v>49</v>
      </c>
      <c r="H1125" t="s">
        <v>696</v>
      </c>
      <c r="K1125" t="s">
        <v>51</v>
      </c>
      <c r="L1125" t="s">
        <v>52</v>
      </c>
      <c r="M1125">
        <v>136343.53</v>
      </c>
      <c r="N1125">
        <v>472493.38</v>
      </c>
      <c r="O1125" t="s">
        <v>53</v>
      </c>
      <c r="P1125" t="s">
        <v>54</v>
      </c>
      <c r="Q1125" t="s">
        <v>55</v>
      </c>
      <c r="T1125" t="s">
        <v>691</v>
      </c>
      <c r="U1125">
        <v>40</v>
      </c>
      <c r="V1125" s="1">
        <v>35977</v>
      </c>
      <c r="W1125" s="1">
        <v>35977</v>
      </c>
      <c r="X1125" s="1">
        <v>35977</v>
      </c>
      <c r="Y1125" s="1">
        <v>50587</v>
      </c>
      <c r="Z1125" t="s">
        <v>51</v>
      </c>
      <c r="AB1125" t="s">
        <v>54</v>
      </c>
      <c r="AC1125">
        <v>1</v>
      </c>
      <c r="AE1125" t="s">
        <v>564</v>
      </c>
      <c r="AF1125">
        <v>20</v>
      </c>
      <c r="AG1125" s="1">
        <v>35977</v>
      </c>
      <c r="AH1125" s="1">
        <v>35977</v>
      </c>
      <c r="AI1125" s="1">
        <v>35977</v>
      </c>
      <c r="AJ1125" s="1">
        <v>43282</v>
      </c>
      <c r="AK1125" t="s">
        <v>51</v>
      </c>
      <c r="AN1125">
        <v>0</v>
      </c>
      <c r="AO1125" t="s">
        <v>54</v>
      </c>
      <c r="AP1125" t="s">
        <v>53</v>
      </c>
      <c r="AQ1125">
        <v>0</v>
      </c>
      <c r="AR1125" t="s">
        <v>53</v>
      </c>
      <c r="AS1125">
        <v>0</v>
      </c>
      <c r="AT1125">
        <v>0</v>
      </c>
      <c r="AW1125" t="s">
        <v>58</v>
      </c>
      <c r="AX1125">
        <v>20</v>
      </c>
      <c r="AY1125" s="1">
        <v>35977</v>
      </c>
      <c r="AZ1125" s="1">
        <v>35977</v>
      </c>
      <c r="BA1125" s="1">
        <v>35977</v>
      </c>
      <c r="BB1125" s="1">
        <v>43282</v>
      </c>
      <c r="BC1125" t="s">
        <v>51</v>
      </c>
      <c r="BE1125" t="s">
        <v>54</v>
      </c>
      <c r="BF1125">
        <v>2</v>
      </c>
      <c r="BG1125">
        <v>0</v>
      </c>
      <c r="BH1125" t="s">
        <v>53</v>
      </c>
      <c r="BI1125">
        <v>1</v>
      </c>
      <c r="BK1125" t="s">
        <v>59</v>
      </c>
      <c r="BL1125">
        <v>14000</v>
      </c>
      <c r="BM1125" s="1">
        <v>43374</v>
      </c>
      <c r="BN1125" s="1">
        <v>43374</v>
      </c>
      <c r="BO1125" s="1">
        <v>43374</v>
      </c>
      <c r="BP1125" s="1">
        <v>44539</v>
      </c>
      <c r="BQ1125" t="s">
        <v>51</v>
      </c>
      <c r="BS1125" t="s">
        <v>60</v>
      </c>
      <c r="BT1125" t="s">
        <v>54</v>
      </c>
      <c r="BU1125" t="s">
        <v>61</v>
      </c>
      <c r="BV1125" t="s">
        <v>62</v>
      </c>
      <c r="BX1125">
        <v>24</v>
      </c>
      <c r="BY1125">
        <v>0</v>
      </c>
      <c r="BZ1125">
        <v>0</v>
      </c>
    </row>
    <row r="1126" spans="1:99" x14ac:dyDescent="0.2">
      <c r="A1126" t="s">
        <v>180</v>
      </c>
      <c r="B1126" t="s">
        <v>181</v>
      </c>
      <c r="C1126" t="s">
        <v>184</v>
      </c>
      <c r="D1126" t="s">
        <v>697</v>
      </c>
      <c r="F1126" t="str">
        <f>"250786"</f>
        <v>250786</v>
      </c>
      <c r="G1126" t="s">
        <v>49</v>
      </c>
      <c r="K1126" t="s">
        <v>51</v>
      </c>
      <c r="L1126" t="s">
        <v>52</v>
      </c>
      <c r="M1126">
        <v>136250.62</v>
      </c>
      <c r="N1126">
        <v>472319.44</v>
      </c>
      <c r="O1126" t="s">
        <v>53</v>
      </c>
      <c r="P1126" t="s">
        <v>54</v>
      </c>
      <c r="Q1126" t="s">
        <v>55</v>
      </c>
      <c r="T1126" t="s">
        <v>239</v>
      </c>
      <c r="U1126">
        <v>40</v>
      </c>
      <c r="V1126" s="1">
        <v>42186</v>
      </c>
      <c r="W1126" s="1">
        <v>42186</v>
      </c>
      <c r="X1126" s="1">
        <v>42186</v>
      </c>
      <c r="Y1126" s="1">
        <v>56796</v>
      </c>
      <c r="Z1126" t="s">
        <v>51</v>
      </c>
      <c r="AB1126" t="s">
        <v>54</v>
      </c>
      <c r="AC1126">
        <v>1</v>
      </c>
      <c r="AE1126" t="s">
        <v>79</v>
      </c>
      <c r="AF1126">
        <v>20</v>
      </c>
      <c r="AG1126" s="1">
        <v>42186</v>
      </c>
      <c r="AH1126" s="1">
        <v>42186</v>
      </c>
      <c r="AI1126" s="1">
        <v>42186</v>
      </c>
      <c r="AJ1126" s="1">
        <v>49491</v>
      </c>
      <c r="AK1126" t="s">
        <v>51</v>
      </c>
      <c r="AN1126">
        <v>0</v>
      </c>
      <c r="AO1126" t="s">
        <v>54</v>
      </c>
      <c r="AP1126" t="s">
        <v>53</v>
      </c>
      <c r="AQ1126">
        <v>0</v>
      </c>
      <c r="AR1126" t="s">
        <v>145</v>
      </c>
      <c r="AS1126">
        <v>0</v>
      </c>
      <c r="AT1126">
        <v>0</v>
      </c>
      <c r="CC1126" t="s">
        <v>432</v>
      </c>
      <c r="CD1126">
        <v>85000</v>
      </c>
      <c r="CE1126" s="1">
        <v>42186</v>
      </c>
      <c r="CF1126" s="1">
        <v>42186</v>
      </c>
      <c r="CG1126" s="1">
        <v>42186</v>
      </c>
      <c r="CH1126" s="1">
        <v>49348</v>
      </c>
      <c r="CI1126" t="s">
        <v>51</v>
      </c>
      <c r="CK1126" t="s">
        <v>78</v>
      </c>
      <c r="CM1126" t="s">
        <v>54</v>
      </c>
      <c r="CN1126" t="s">
        <v>174</v>
      </c>
      <c r="CO1126" t="s">
        <v>86</v>
      </c>
      <c r="CR1126">
        <v>24</v>
      </c>
      <c r="CS1126">
        <v>0</v>
      </c>
      <c r="CT1126">
        <v>0</v>
      </c>
      <c r="CU1126">
        <v>0</v>
      </c>
    </row>
    <row r="1127" spans="1:99" x14ac:dyDescent="0.2">
      <c r="A1127" t="s">
        <v>180</v>
      </c>
      <c r="B1127" t="s">
        <v>181</v>
      </c>
      <c r="C1127" t="s">
        <v>184</v>
      </c>
      <c r="D1127" t="s">
        <v>697</v>
      </c>
      <c r="F1127" t="str">
        <f>"250787"</f>
        <v>250787</v>
      </c>
      <c r="G1127" t="s">
        <v>49</v>
      </c>
      <c r="K1127" t="s">
        <v>51</v>
      </c>
      <c r="L1127" t="s">
        <v>52</v>
      </c>
      <c r="M1127">
        <v>136283.739</v>
      </c>
      <c r="N1127">
        <v>472321.80499999999</v>
      </c>
      <c r="O1127" t="s">
        <v>53</v>
      </c>
      <c r="P1127" t="s">
        <v>54</v>
      </c>
      <c r="Q1127" t="s">
        <v>55</v>
      </c>
      <c r="T1127" t="s">
        <v>239</v>
      </c>
      <c r="U1127">
        <v>40</v>
      </c>
      <c r="V1127" s="1">
        <v>42186</v>
      </c>
      <c r="W1127" s="1">
        <v>42186</v>
      </c>
      <c r="X1127" s="1">
        <v>42186</v>
      </c>
      <c r="Y1127" s="1">
        <v>56796</v>
      </c>
      <c r="Z1127" t="s">
        <v>51</v>
      </c>
      <c r="AB1127" t="s">
        <v>54</v>
      </c>
      <c r="AC1127">
        <v>1</v>
      </c>
      <c r="AE1127" t="s">
        <v>79</v>
      </c>
      <c r="AF1127">
        <v>20</v>
      </c>
      <c r="AG1127" s="1">
        <v>42186</v>
      </c>
      <c r="AH1127" s="1">
        <v>42186</v>
      </c>
      <c r="AI1127" s="1">
        <v>42186</v>
      </c>
      <c r="AJ1127" s="1">
        <v>49491</v>
      </c>
      <c r="AK1127" t="s">
        <v>51</v>
      </c>
      <c r="AN1127">
        <v>0</v>
      </c>
      <c r="AO1127" t="s">
        <v>54</v>
      </c>
      <c r="AP1127" t="s">
        <v>53</v>
      </c>
      <c r="AQ1127">
        <v>0</v>
      </c>
      <c r="AR1127" t="s">
        <v>145</v>
      </c>
      <c r="AS1127">
        <v>0</v>
      </c>
      <c r="AT1127">
        <v>0</v>
      </c>
      <c r="CC1127" t="s">
        <v>432</v>
      </c>
      <c r="CD1127">
        <v>85000</v>
      </c>
      <c r="CE1127" s="1">
        <v>42186</v>
      </c>
      <c r="CF1127" s="1">
        <v>42186</v>
      </c>
      <c r="CG1127" s="1">
        <v>42186</v>
      </c>
      <c r="CH1127" s="1">
        <v>49348</v>
      </c>
      <c r="CI1127" t="s">
        <v>51</v>
      </c>
      <c r="CK1127" t="s">
        <v>78</v>
      </c>
      <c r="CM1127" t="s">
        <v>54</v>
      </c>
      <c r="CN1127" t="s">
        <v>174</v>
      </c>
      <c r="CO1127" t="s">
        <v>86</v>
      </c>
      <c r="CR1127">
        <v>24</v>
      </c>
      <c r="CS1127">
        <v>0</v>
      </c>
      <c r="CT1127">
        <v>0</v>
      </c>
      <c r="CU1127">
        <v>0</v>
      </c>
    </row>
    <row r="1128" spans="1:99" x14ac:dyDescent="0.2">
      <c r="A1128" t="s">
        <v>180</v>
      </c>
      <c r="B1128" t="s">
        <v>181</v>
      </c>
      <c r="C1128" t="s">
        <v>184</v>
      </c>
      <c r="D1128" t="s">
        <v>697</v>
      </c>
      <c r="F1128" t="str">
        <f>"250788"</f>
        <v>250788</v>
      </c>
      <c r="G1128" t="s">
        <v>49</v>
      </c>
      <c r="K1128" t="s">
        <v>51</v>
      </c>
      <c r="L1128" t="s">
        <v>52</v>
      </c>
      <c r="M1128">
        <v>136296.56</v>
      </c>
      <c r="N1128">
        <v>472342.52</v>
      </c>
      <c r="O1128" t="s">
        <v>53</v>
      </c>
      <c r="P1128" t="s">
        <v>54</v>
      </c>
      <c r="Q1128" t="s">
        <v>55</v>
      </c>
      <c r="T1128" t="s">
        <v>239</v>
      </c>
      <c r="U1128">
        <v>40</v>
      </c>
      <c r="V1128" s="1">
        <v>42186</v>
      </c>
      <c r="W1128" s="1">
        <v>42186</v>
      </c>
      <c r="X1128" s="1">
        <v>42186</v>
      </c>
      <c r="Y1128" s="1">
        <v>56796</v>
      </c>
      <c r="Z1128" t="s">
        <v>51</v>
      </c>
      <c r="AB1128" t="s">
        <v>54</v>
      </c>
      <c r="AC1128">
        <v>1</v>
      </c>
      <c r="AE1128" t="s">
        <v>79</v>
      </c>
      <c r="AF1128">
        <v>20</v>
      </c>
      <c r="AG1128" s="1">
        <v>42186</v>
      </c>
      <c r="AH1128" s="1">
        <v>42186</v>
      </c>
      <c r="AI1128" s="1">
        <v>42186</v>
      </c>
      <c r="AJ1128" s="1">
        <v>49491</v>
      </c>
      <c r="AK1128" t="s">
        <v>51</v>
      </c>
      <c r="AN1128">
        <v>0</v>
      </c>
      <c r="AO1128" t="s">
        <v>54</v>
      </c>
      <c r="AP1128" t="s">
        <v>53</v>
      </c>
      <c r="AQ1128">
        <v>0</v>
      </c>
      <c r="AR1128" t="s">
        <v>145</v>
      </c>
      <c r="AS1128">
        <v>0</v>
      </c>
      <c r="AT1128">
        <v>0</v>
      </c>
      <c r="CC1128" t="s">
        <v>432</v>
      </c>
      <c r="CD1128">
        <v>85000</v>
      </c>
      <c r="CE1128" s="1">
        <v>42186</v>
      </c>
      <c r="CF1128" s="1">
        <v>42186</v>
      </c>
      <c r="CG1128" s="1">
        <v>42186</v>
      </c>
      <c r="CH1128" s="1">
        <v>49348</v>
      </c>
      <c r="CI1128" t="s">
        <v>51</v>
      </c>
      <c r="CK1128" t="s">
        <v>78</v>
      </c>
      <c r="CM1128" t="s">
        <v>54</v>
      </c>
      <c r="CN1128" t="s">
        <v>174</v>
      </c>
      <c r="CO1128" t="s">
        <v>86</v>
      </c>
      <c r="CR1128">
        <v>24</v>
      </c>
      <c r="CS1128">
        <v>0</v>
      </c>
      <c r="CT1128">
        <v>0</v>
      </c>
      <c r="CU1128">
        <v>0</v>
      </c>
    </row>
    <row r="1129" spans="1:99" x14ac:dyDescent="0.2">
      <c r="A1129" t="s">
        <v>180</v>
      </c>
      <c r="B1129" t="s">
        <v>181</v>
      </c>
      <c r="C1129" t="s">
        <v>184</v>
      </c>
      <c r="D1129" t="s">
        <v>697</v>
      </c>
      <c r="F1129" t="str">
        <f>"250789"</f>
        <v>250789</v>
      </c>
      <c r="G1129" t="s">
        <v>49</v>
      </c>
      <c r="K1129" t="s">
        <v>51</v>
      </c>
      <c r="L1129" t="s">
        <v>52</v>
      </c>
      <c r="M1129">
        <v>136307.32999999999</v>
      </c>
      <c r="N1129">
        <v>472363.02</v>
      </c>
      <c r="O1129" t="s">
        <v>53</v>
      </c>
      <c r="P1129" t="s">
        <v>54</v>
      </c>
      <c r="Q1129" t="s">
        <v>55</v>
      </c>
      <c r="T1129" t="s">
        <v>183</v>
      </c>
      <c r="U1129">
        <v>40</v>
      </c>
      <c r="V1129" s="1">
        <v>42186</v>
      </c>
      <c r="W1129" s="1">
        <v>42186</v>
      </c>
      <c r="X1129" s="1">
        <v>42186</v>
      </c>
      <c r="Y1129" s="1">
        <v>56796</v>
      </c>
      <c r="Z1129" t="s">
        <v>51</v>
      </c>
      <c r="AB1129" t="s">
        <v>54</v>
      </c>
      <c r="AC1129">
        <v>1</v>
      </c>
      <c r="AE1129" t="s">
        <v>79</v>
      </c>
      <c r="AF1129">
        <v>20</v>
      </c>
      <c r="AG1129" s="1">
        <v>42186</v>
      </c>
      <c r="AH1129" s="1">
        <v>42186</v>
      </c>
      <c r="AI1129" s="1">
        <v>42186</v>
      </c>
      <c r="AJ1129" s="1">
        <v>49491</v>
      </c>
      <c r="AK1129" t="s">
        <v>51</v>
      </c>
      <c r="AN1129">
        <v>0</v>
      </c>
      <c r="AO1129" t="s">
        <v>54</v>
      </c>
      <c r="AP1129" t="s">
        <v>53</v>
      </c>
      <c r="AQ1129">
        <v>0</v>
      </c>
      <c r="AR1129" t="s">
        <v>145</v>
      </c>
      <c r="AS1129">
        <v>0</v>
      </c>
      <c r="AT1129">
        <v>0</v>
      </c>
      <c r="CA1129">
        <v>1</v>
      </c>
      <c r="CC1129" t="s">
        <v>185</v>
      </c>
      <c r="CD1129">
        <v>85000</v>
      </c>
      <c r="CE1129" s="1">
        <v>42186</v>
      </c>
      <c r="CF1129" s="1">
        <v>42186</v>
      </c>
      <c r="CG1129" s="1">
        <v>42186</v>
      </c>
      <c r="CH1129" s="1">
        <v>49348</v>
      </c>
      <c r="CI1129" t="s">
        <v>51</v>
      </c>
      <c r="CK1129" t="s">
        <v>78</v>
      </c>
      <c r="CM1129" t="s">
        <v>54</v>
      </c>
      <c r="CN1129" t="s">
        <v>174</v>
      </c>
      <c r="CO1129" t="s">
        <v>86</v>
      </c>
      <c r="CR1129">
        <v>15</v>
      </c>
      <c r="CS1129">
        <v>0</v>
      </c>
      <c r="CT1129">
        <v>0</v>
      </c>
      <c r="CU1129">
        <v>0</v>
      </c>
    </row>
    <row r="1130" spans="1:99" x14ac:dyDescent="0.2">
      <c r="A1130" t="s">
        <v>180</v>
      </c>
      <c r="B1130" t="s">
        <v>181</v>
      </c>
      <c r="C1130" t="s">
        <v>184</v>
      </c>
      <c r="D1130" t="s">
        <v>697</v>
      </c>
      <c r="F1130" t="str">
        <f>"250790"</f>
        <v>250790</v>
      </c>
      <c r="G1130" t="s">
        <v>49</v>
      </c>
      <c r="H1130">
        <v>31</v>
      </c>
      <c r="K1130" t="s">
        <v>51</v>
      </c>
      <c r="L1130" t="s">
        <v>52</v>
      </c>
      <c r="M1130">
        <v>136265.26</v>
      </c>
      <c r="N1130">
        <v>472382.7</v>
      </c>
      <c r="O1130" t="s">
        <v>53</v>
      </c>
      <c r="P1130" t="s">
        <v>54</v>
      </c>
      <c r="Q1130" t="s">
        <v>55</v>
      </c>
      <c r="T1130" t="s">
        <v>366</v>
      </c>
      <c r="U1130">
        <v>40</v>
      </c>
      <c r="V1130" s="1">
        <v>42186</v>
      </c>
      <c r="W1130" s="1">
        <v>42186</v>
      </c>
      <c r="X1130" s="1">
        <v>42186</v>
      </c>
      <c r="Y1130" s="1">
        <v>56796</v>
      </c>
      <c r="Z1130" t="s">
        <v>51</v>
      </c>
      <c r="AB1130" t="s">
        <v>54</v>
      </c>
      <c r="AC1130">
        <v>1</v>
      </c>
      <c r="AE1130" t="s">
        <v>79</v>
      </c>
      <c r="AF1130">
        <v>20</v>
      </c>
      <c r="AG1130" s="1">
        <v>42186</v>
      </c>
      <c r="AH1130" s="1">
        <v>42186</v>
      </c>
      <c r="AI1130" s="1">
        <v>42186</v>
      </c>
      <c r="AJ1130" s="1">
        <v>49491</v>
      </c>
      <c r="AK1130" t="s">
        <v>51</v>
      </c>
      <c r="AN1130">
        <v>0</v>
      </c>
      <c r="AO1130" t="s">
        <v>54</v>
      </c>
      <c r="AP1130" t="s">
        <v>53</v>
      </c>
      <c r="AQ1130">
        <v>0</v>
      </c>
      <c r="AR1130" t="s">
        <v>145</v>
      </c>
      <c r="AS1130">
        <v>0</v>
      </c>
      <c r="AT1130">
        <v>0</v>
      </c>
      <c r="CC1130" t="s">
        <v>436</v>
      </c>
      <c r="CD1130">
        <v>85000</v>
      </c>
      <c r="CE1130" s="1">
        <v>42186</v>
      </c>
      <c r="CF1130" s="1">
        <v>42186</v>
      </c>
      <c r="CG1130" s="1">
        <v>42186</v>
      </c>
      <c r="CH1130" s="1">
        <v>49348</v>
      </c>
      <c r="CI1130" t="s">
        <v>51</v>
      </c>
      <c r="CK1130" t="s">
        <v>78</v>
      </c>
      <c r="CM1130" t="s">
        <v>54</v>
      </c>
      <c r="CN1130" t="s">
        <v>174</v>
      </c>
      <c r="CO1130" t="s">
        <v>86</v>
      </c>
      <c r="CR1130">
        <v>55</v>
      </c>
      <c r="CS1130">
        <v>0</v>
      </c>
      <c r="CT1130">
        <v>0</v>
      </c>
      <c r="CU1130">
        <v>0</v>
      </c>
    </row>
    <row r="1131" spans="1:99" x14ac:dyDescent="0.2">
      <c r="A1131" t="s">
        <v>180</v>
      </c>
      <c r="B1131" t="s">
        <v>181</v>
      </c>
      <c r="C1131" t="s">
        <v>184</v>
      </c>
      <c r="D1131" t="s">
        <v>697</v>
      </c>
      <c r="F1131" t="str">
        <f>"250791"</f>
        <v>250791</v>
      </c>
      <c r="G1131" t="s">
        <v>49</v>
      </c>
      <c r="K1131" t="s">
        <v>51</v>
      </c>
      <c r="L1131" t="s">
        <v>52</v>
      </c>
      <c r="M1131">
        <v>136212.16</v>
      </c>
      <c r="N1131">
        <v>472409.72</v>
      </c>
      <c r="O1131" t="s">
        <v>53</v>
      </c>
      <c r="P1131" t="s">
        <v>54</v>
      </c>
      <c r="Q1131" t="s">
        <v>55</v>
      </c>
      <c r="T1131" t="s">
        <v>366</v>
      </c>
      <c r="U1131">
        <v>40</v>
      </c>
      <c r="V1131" s="1">
        <v>42186</v>
      </c>
      <c r="W1131" s="1">
        <v>42186</v>
      </c>
      <c r="X1131" s="1">
        <v>42186</v>
      </c>
      <c r="Y1131" s="1">
        <v>56796</v>
      </c>
      <c r="Z1131" t="s">
        <v>51</v>
      </c>
      <c r="AB1131" t="s">
        <v>54</v>
      </c>
      <c r="AC1131">
        <v>1</v>
      </c>
      <c r="AE1131" t="s">
        <v>79</v>
      </c>
      <c r="AF1131">
        <v>20</v>
      </c>
      <c r="AG1131" s="1">
        <v>42186</v>
      </c>
      <c r="AH1131" s="1">
        <v>42186</v>
      </c>
      <c r="AI1131" s="1">
        <v>42186</v>
      </c>
      <c r="AJ1131" s="1">
        <v>49491</v>
      </c>
      <c r="AK1131" t="s">
        <v>51</v>
      </c>
      <c r="AN1131">
        <v>0</v>
      </c>
      <c r="AO1131" t="s">
        <v>54</v>
      </c>
      <c r="AP1131" t="s">
        <v>53</v>
      </c>
      <c r="AQ1131">
        <v>0</v>
      </c>
      <c r="AR1131" t="s">
        <v>145</v>
      </c>
      <c r="AS1131">
        <v>0</v>
      </c>
      <c r="AT1131">
        <v>0</v>
      </c>
      <c r="CC1131" t="s">
        <v>436</v>
      </c>
      <c r="CD1131">
        <v>85000</v>
      </c>
      <c r="CE1131" s="1">
        <v>42186</v>
      </c>
      <c r="CF1131" s="1">
        <v>42186</v>
      </c>
      <c r="CG1131" s="1">
        <v>42186</v>
      </c>
      <c r="CH1131" s="1">
        <v>49348</v>
      </c>
      <c r="CI1131" t="s">
        <v>51</v>
      </c>
      <c r="CK1131" t="s">
        <v>78</v>
      </c>
      <c r="CM1131" t="s">
        <v>54</v>
      </c>
      <c r="CN1131" t="s">
        <v>174</v>
      </c>
      <c r="CO1131" t="s">
        <v>86</v>
      </c>
      <c r="CR1131">
        <v>55</v>
      </c>
      <c r="CS1131">
        <v>0</v>
      </c>
      <c r="CT1131">
        <v>0</v>
      </c>
      <c r="CU1131">
        <v>0</v>
      </c>
    </row>
    <row r="1132" spans="1:99" x14ac:dyDescent="0.2">
      <c r="A1132" t="s">
        <v>180</v>
      </c>
      <c r="B1132" t="s">
        <v>181</v>
      </c>
      <c r="C1132" t="s">
        <v>184</v>
      </c>
      <c r="D1132" t="s">
        <v>697</v>
      </c>
      <c r="F1132" t="str">
        <f>"250792"</f>
        <v>250792</v>
      </c>
      <c r="G1132" t="s">
        <v>49</v>
      </c>
      <c r="K1132" t="s">
        <v>51</v>
      </c>
      <c r="L1132" t="s">
        <v>52</v>
      </c>
      <c r="M1132">
        <v>136188.97</v>
      </c>
      <c r="N1132">
        <v>472421.75</v>
      </c>
      <c r="O1132" t="s">
        <v>53</v>
      </c>
      <c r="P1132" t="s">
        <v>54</v>
      </c>
      <c r="Q1132" t="s">
        <v>55</v>
      </c>
      <c r="T1132" t="s">
        <v>676</v>
      </c>
      <c r="U1132">
        <v>40</v>
      </c>
      <c r="V1132" s="1">
        <v>42186</v>
      </c>
      <c r="W1132" s="1">
        <v>42186</v>
      </c>
      <c r="X1132" s="1">
        <v>42186</v>
      </c>
      <c r="Y1132" s="1">
        <v>56796</v>
      </c>
      <c r="Z1132" t="s">
        <v>51</v>
      </c>
      <c r="AB1132" t="s">
        <v>54</v>
      </c>
      <c r="AC1132">
        <v>1</v>
      </c>
      <c r="AE1132" t="s">
        <v>79</v>
      </c>
      <c r="AF1132">
        <v>20</v>
      </c>
      <c r="AG1132" s="1">
        <v>42186</v>
      </c>
      <c r="AH1132" s="1">
        <v>42186</v>
      </c>
      <c r="AI1132" s="1">
        <v>42186</v>
      </c>
      <c r="AJ1132" s="1">
        <v>49491</v>
      </c>
      <c r="AK1132" t="s">
        <v>51</v>
      </c>
      <c r="AN1132">
        <v>0</v>
      </c>
      <c r="AO1132" t="s">
        <v>54</v>
      </c>
      <c r="AP1132" t="s">
        <v>53</v>
      </c>
      <c r="AQ1132">
        <v>0</v>
      </c>
      <c r="AR1132" t="s">
        <v>145</v>
      </c>
      <c r="AS1132">
        <v>0</v>
      </c>
      <c r="AT1132">
        <v>0</v>
      </c>
      <c r="CA1132">
        <v>1</v>
      </c>
      <c r="CC1132" t="s">
        <v>436</v>
      </c>
      <c r="CD1132">
        <v>85000</v>
      </c>
      <c r="CE1132" s="1">
        <v>42186</v>
      </c>
      <c r="CF1132" s="1">
        <v>42186</v>
      </c>
      <c r="CG1132" s="1">
        <v>42186</v>
      </c>
      <c r="CH1132" s="1">
        <v>49348</v>
      </c>
      <c r="CI1132" t="s">
        <v>51</v>
      </c>
      <c r="CK1132" t="s">
        <v>78</v>
      </c>
      <c r="CM1132" t="s">
        <v>54</v>
      </c>
      <c r="CN1132" t="s">
        <v>174</v>
      </c>
      <c r="CO1132" t="s">
        <v>86</v>
      </c>
      <c r="CR1132">
        <v>55</v>
      </c>
      <c r="CS1132">
        <v>0</v>
      </c>
      <c r="CT1132">
        <v>0</v>
      </c>
      <c r="CU1132">
        <v>0</v>
      </c>
    </row>
    <row r="1133" spans="1:99" x14ac:dyDescent="0.2">
      <c r="A1133" t="s">
        <v>180</v>
      </c>
      <c r="B1133" t="s">
        <v>181</v>
      </c>
      <c r="C1133" t="s">
        <v>184</v>
      </c>
      <c r="D1133" t="s">
        <v>697</v>
      </c>
      <c r="F1133" t="str">
        <f>"250793"</f>
        <v>250793</v>
      </c>
      <c r="G1133" t="s">
        <v>49</v>
      </c>
      <c r="K1133" t="s">
        <v>51</v>
      </c>
      <c r="L1133" t="s">
        <v>52</v>
      </c>
      <c r="M1133">
        <v>136170.59</v>
      </c>
      <c r="N1133">
        <v>472440.28</v>
      </c>
      <c r="O1133" t="s">
        <v>53</v>
      </c>
      <c r="P1133" t="s">
        <v>54</v>
      </c>
      <c r="Q1133" t="s">
        <v>55</v>
      </c>
      <c r="T1133" t="s">
        <v>366</v>
      </c>
      <c r="U1133">
        <v>40</v>
      </c>
      <c r="V1133" s="1">
        <v>42186</v>
      </c>
      <c r="W1133" s="1">
        <v>42186</v>
      </c>
      <c r="X1133" s="1">
        <v>42186</v>
      </c>
      <c r="Y1133" s="1">
        <v>56796</v>
      </c>
      <c r="Z1133" t="s">
        <v>51</v>
      </c>
      <c r="AB1133" t="s">
        <v>54</v>
      </c>
      <c r="AC1133">
        <v>1</v>
      </c>
      <c r="AE1133" t="s">
        <v>79</v>
      </c>
      <c r="AF1133">
        <v>20</v>
      </c>
      <c r="AG1133" s="1">
        <v>42186</v>
      </c>
      <c r="AH1133" s="1">
        <v>42186</v>
      </c>
      <c r="AI1133" s="1">
        <v>42186</v>
      </c>
      <c r="AJ1133" s="1">
        <v>49491</v>
      </c>
      <c r="AK1133" t="s">
        <v>51</v>
      </c>
      <c r="AN1133">
        <v>0</v>
      </c>
      <c r="AO1133" t="s">
        <v>54</v>
      </c>
      <c r="AP1133" t="s">
        <v>53</v>
      </c>
      <c r="AQ1133">
        <v>0</v>
      </c>
      <c r="AR1133" t="s">
        <v>145</v>
      </c>
      <c r="AS1133">
        <v>0</v>
      </c>
      <c r="AT1133">
        <v>0</v>
      </c>
      <c r="CC1133" t="s">
        <v>436</v>
      </c>
      <c r="CD1133">
        <v>85000</v>
      </c>
      <c r="CE1133" s="1">
        <v>42186</v>
      </c>
      <c r="CF1133" s="1">
        <v>42186</v>
      </c>
      <c r="CG1133" s="1">
        <v>42186</v>
      </c>
      <c r="CH1133" s="1">
        <v>49348</v>
      </c>
      <c r="CI1133" t="s">
        <v>51</v>
      </c>
      <c r="CK1133" t="s">
        <v>78</v>
      </c>
      <c r="CM1133" t="s">
        <v>54</v>
      </c>
      <c r="CN1133" t="s">
        <v>174</v>
      </c>
      <c r="CO1133" t="s">
        <v>86</v>
      </c>
      <c r="CR1133">
        <v>55</v>
      </c>
      <c r="CS1133">
        <v>0</v>
      </c>
      <c r="CT1133">
        <v>0</v>
      </c>
      <c r="CU1133">
        <v>0</v>
      </c>
    </row>
    <row r="1134" spans="1:99" x14ac:dyDescent="0.2">
      <c r="A1134" t="s">
        <v>180</v>
      </c>
      <c r="B1134" t="s">
        <v>181</v>
      </c>
      <c r="C1134" t="s">
        <v>184</v>
      </c>
      <c r="D1134" t="s">
        <v>697</v>
      </c>
      <c r="F1134" t="str">
        <f>"250794"</f>
        <v>250794</v>
      </c>
      <c r="G1134" t="s">
        <v>49</v>
      </c>
      <c r="K1134" t="s">
        <v>51</v>
      </c>
      <c r="L1134" t="s">
        <v>52</v>
      </c>
      <c r="M1134">
        <v>136147.73000000001</v>
      </c>
      <c r="N1134">
        <v>472442.28</v>
      </c>
      <c r="O1134" t="s">
        <v>53</v>
      </c>
      <c r="P1134" t="s">
        <v>54</v>
      </c>
      <c r="Q1134" t="s">
        <v>55</v>
      </c>
      <c r="T1134" t="s">
        <v>366</v>
      </c>
      <c r="U1134">
        <v>40</v>
      </c>
      <c r="V1134" s="1">
        <v>42186</v>
      </c>
      <c r="W1134" s="1">
        <v>42186</v>
      </c>
      <c r="X1134" s="1">
        <v>42186</v>
      </c>
      <c r="Y1134" s="1">
        <v>56796</v>
      </c>
      <c r="Z1134" t="s">
        <v>51</v>
      </c>
      <c r="AB1134" t="s">
        <v>54</v>
      </c>
      <c r="AE1134" t="s">
        <v>91</v>
      </c>
      <c r="AF1134">
        <v>20</v>
      </c>
      <c r="AG1134" s="1">
        <v>44375</v>
      </c>
      <c r="AH1134" s="1">
        <v>44375</v>
      </c>
      <c r="AI1134" s="1">
        <v>44375</v>
      </c>
      <c r="AJ1134" s="1">
        <v>51680</v>
      </c>
      <c r="AK1134" t="s">
        <v>51</v>
      </c>
      <c r="AN1134">
        <v>0</v>
      </c>
      <c r="AO1134" t="s">
        <v>54</v>
      </c>
      <c r="AP1134" t="s">
        <v>53</v>
      </c>
      <c r="AQ1134">
        <v>0</v>
      </c>
      <c r="AR1134" t="s">
        <v>53</v>
      </c>
      <c r="AS1134">
        <v>0</v>
      </c>
      <c r="AT1134">
        <v>0</v>
      </c>
      <c r="BK1134" t="s">
        <v>374</v>
      </c>
      <c r="BL1134">
        <v>50000</v>
      </c>
      <c r="BM1134" s="1">
        <v>44375</v>
      </c>
      <c r="BN1134" s="1">
        <v>44375</v>
      </c>
      <c r="BO1134" s="1">
        <v>44375</v>
      </c>
      <c r="BP1134" s="1">
        <v>48590</v>
      </c>
      <c r="BQ1134" t="s">
        <v>51</v>
      </c>
      <c r="BS1134" t="s">
        <v>60</v>
      </c>
      <c r="BT1134" t="s">
        <v>54</v>
      </c>
      <c r="BU1134" t="s">
        <v>61</v>
      </c>
      <c r="BV1134" t="s">
        <v>62</v>
      </c>
      <c r="BX1134">
        <v>26</v>
      </c>
      <c r="BY1134">
        <v>2860</v>
      </c>
      <c r="BZ1134">
        <v>0</v>
      </c>
    </row>
    <row r="1135" spans="1:99" x14ac:dyDescent="0.2">
      <c r="A1135" t="s">
        <v>180</v>
      </c>
      <c r="B1135" t="s">
        <v>181</v>
      </c>
      <c r="C1135" t="s">
        <v>184</v>
      </c>
      <c r="D1135" t="s">
        <v>697</v>
      </c>
      <c r="F1135" t="str">
        <f>"250795"</f>
        <v>250795</v>
      </c>
      <c r="G1135" t="s">
        <v>49</v>
      </c>
      <c r="K1135" t="s">
        <v>51</v>
      </c>
      <c r="L1135" t="s">
        <v>52</v>
      </c>
      <c r="M1135">
        <v>136130.92000000001</v>
      </c>
      <c r="N1135">
        <v>472458.63</v>
      </c>
      <c r="O1135" t="s">
        <v>53</v>
      </c>
      <c r="P1135" t="s">
        <v>54</v>
      </c>
      <c r="Q1135" t="s">
        <v>55</v>
      </c>
      <c r="T1135" t="s">
        <v>698</v>
      </c>
      <c r="U1135">
        <v>40</v>
      </c>
      <c r="V1135" s="1">
        <v>29768</v>
      </c>
      <c r="W1135" s="1">
        <v>29768</v>
      </c>
      <c r="X1135" s="1">
        <v>29768</v>
      </c>
      <c r="Y1135" s="1">
        <v>44378</v>
      </c>
      <c r="Z1135" t="s">
        <v>51</v>
      </c>
      <c r="AB1135" t="s">
        <v>54</v>
      </c>
      <c r="AC1135">
        <v>1</v>
      </c>
      <c r="AE1135" t="s">
        <v>91</v>
      </c>
      <c r="AF1135">
        <v>20</v>
      </c>
      <c r="AG1135" s="1">
        <v>38169</v>
      </c>
      <c r="AH1135" s="1">
        <v>38169</v>
      </c>
      <c r="AI1135" s="1">
        <v>38169</v>
      </c>
      <c r="AJ1135" s="1">
        <v>45474</v>
      </c>
      <c r="AK1135" t="s">
        <v>51</v>
      </c>
      <c r="AN1135">
        <v>0</v>
      </c>
      <c r="AO1135" t="s">
        <v>54</v>
      </c>
      <c r="AP1135" t="s">
        <v>53</v>
      </c>
      <c r="AQ1135">
        <v>0</v>
      </c>
      <c r="AR1135" t="s">
        <v>53</v>
      </c>
      <c r="AS1135">
        <v>0</v>
      </c>
      <c r="AT1135">
        <v>0</v>
      </c>
      <c r="BK1135" t="s">
        <v>374</v>
      </c>
      <c r="BL1135">
        <v>50000</v>
      </c>
      <c r="BM1135" s="1">
        <v>44375</v>
      </c>
      <c r="BN1135" s="1">
        <v>44375</v>
      </c>
      <c r="BO1135" s="1">
        <v>44375</v>
      </c>
      <c r="BP1135" s="1">
        <v>48590</v>
      </c>
      <c r="BQ1135" t="s">
        <v>51</v>
      </c>
      <c r="BS1135" t="s">
        <v>60</v>
      </c>
      <c r="BT1135" t="s">
        <v>54</v>
      </c>
      <c r="BU1135" t="s">
        <v>61</v>
      </c>
      <c r="BV1135" t="s">
        <v>62</v>
      </c>
      <c r="BX1135">
        <v>26</v>
      </c>
      <c r="BY1135">
        <v>2860</v>
      </c>
      <c r="BZ1135">
        <v>0</v>
      </c>
    </row>
    <row r="1136" spans="1:99" x14ac:dyDescent="0.2">
      <c r="A1136" t="s">
        <v>180</v>
      </c>
      <c r="B1136" t="s">
        <v>181</v>
      </c>
      <c r="C1136" t="s">
        <v>184</v>
      </c>
      <c r="D1136" t="s">
        <v>697</v>
      </c>
      <c r="F1136" t="str">
        <f>"250796"</f>
        <v>250796</v>
      </c>
      <c r="G1136" t="s">
        <v>49</v>
      </c>
      <c r="K1136" t="s">
        <v>51</v>
      </c>
      <c r="L1136" t="s">
        <v>52</v>
      </c>
      <c r="M1136">
        <v>136108.34</v>
      </c>
      <c r="N1136">
        <v>472469.41</v>
      </c>
      <c r="O1136" t="s">
        <v>53</v>
      </c>
      <c r="P1136" t="s">
        <v>54</v>
      </c>
      <c r="Q1136" t="s">
        <v>55</v>
      </c>
      <c r="T1136" t="s">
        <v>699</v>
      </c>
      <c r="U1136">
        <v>40</v>
      </c>
      <c r="V1136" s="1">
        <v>29768</v>
      </c>
      <c r="W1136" s="1">
        <v>29768</v>
      </c>
      <c r="X1136" s="1">
        <v>29768</v>
      </c>
      <c r="Y1136" s="1">
        <v>44378</v>
      </c>
      <c r="Z1136" t="s">
        <v>51</v>
      </c>
      <c r="AB1136" t="s">
        <v>54</v>
      </c>
      <c r="AC1136">
        <v>1</v>
      </c>
      <c r="AE1136" t="s">
        <v>84</v>
      </c>
      <c r="AF1136">
        <v>20</v>
      </c>
      <c r="AG1136" s="1">
        <v>29768</v>
      </c>
      <c r="AH1136" s="1">
        <v>29768</v>
      </c>
      <c r="AI1136" s="1">
        <v>29768</v>
      </c>
      <c r="AJ1136" s="1">
        <v>37073</v>
      </c>
      <c r="AK1136" t="s">
        <v>51</v>
      </c>
      <c r="AN1136">
        <v>0</v>
      </c>
      <c r="AO1136" t="s">
        <v>54</v>
      </c>
      <c r="AP1136" t="s">
        <v>53</v>
      </c>
      <c r="AQ1136">
        <v>0</v>
      </c>
      <c r="AR1136" t="s">
        <v>53</v>
      </c>
      <c r="AS1136">
        <v>0</v>
      </c>
      <c r="AT1136">
        <v>0</v>
      </c>
      <c r="CA1136">
        <v>1</v>
      </c>
      <c r="CC1136" t="s">
        <v>185</v>
      </c>
      <c r="CD1136">
        <v>85000</v>
      </c>
      <c r="CE1136" s="1">
        <v>42552</v>
      </c>
      <c r="CF1136" s="1">
        <v>42552</v>
      </c>
      <c r="CG1136" s="1">
        <v>42552</v>
      </c>
      <c r="CH1136" s="1">
        <v>49714</v>
      </c>
      <c r="CI1136" t="s">
        <v>51</v>
      </c>
      <c r="CK1136" t="s">
        <v>78</v>
      </c>
      <c r="CM1136" t="s">
        <v>54</v>
      </c>
      <c r="CN1136" t="s">
        <v>174</v>
      </c>
      <c r="CO1136" t="s">
        <v>86</v>
      </c>
      <c r="CR1136">
        <v>15</v>
      </c>
      <c r="CS1136">
        <v>0</v>
      </c>
      <c r="CT1136">
        <v>0</v>
      </c>
      <c r="CU1136">
        <v>0</v>
      </c>
    </row>
    <row r="1137" spans="1:99" x14ac:dyDescent="0.2">
      <c r="A1137" t="s">
        <v>180</v>
      </c>
      <c r="B1137" t="s">
        <v>181</v>
      </c>
      <c r="C1137" t="s">
        <v>184</v>
      </c>
      <c r="D1137" t="s">
        <v>697</v>
      </c>
      <c r="F1137" t="str">
        <f>"250797"</f>
        <v>250797</v>
      </c>
      <c r="G1137" t="s">
        <v>49</v>
      </c>
      <c r="K1137" t="s">
        <v>51</v>
      </c>
      <c r="L1137" t="s">
        <v>52</v>
      </c>
      <c r="M1137">
        <v>136082.28</v>
      </c>
      <c r="N1137">
        <v>472473.96</v>
      </c>
      <c r="O1137" t="s">
        <v>53</v>
      </c>
      <c r="P1137" t="s">
        <v>54</v>
      </c>
      <c r="Q1137" t="s">
        <v>55</v>
      </c>
      <c r="T1137" t="s">
        <v>699</v>
      </c>
      <c r="U1137">
        <v>40</v>
      </c>
      <c r="V1137" s="1">
        <v>29768</v>
      </c>
      <c r="W1137" s="1">
        <v>29768</v>
      </c>
      <c r="X1137" s="1">
        <v>29768</v>
      </c>
      <c r="Y1137" s="1">
        <v>44378</v>
      </c>
      <c r="Z1137" t="s">
        <v>51</v>
      </c>
      <c r="AB1137" t="s">
        <v>54</v>
      </c>
      <c r="AC1137">
        <v>1</v>
      </c>
      <c r="AE1137" t="s">
        <v>84</v>
      </c>
      <c r="AF1137">
        <v>20</v>
      </c>
      <c r="AG1137" s="1">
        <v>29768</v>
      </c>
      <c r="AH1137" s="1">
        <v>29768</v>
      </c>
      <c r="AI1137" s="1">
        <v>29768</v>
      </c>
      <c r="AJ1137" s="1">
        <v>37073</v>
      </c>
      <c r="AK1137" t="s">
        <v>51</v>
      </c>
      <c r="AN1137">
        <v>0</v>
      </c>
      <c r="AO1137" t="s">
        <v>54</v>
      </c>
      <c r="AP1137" t="s">
        <v>53</v>
      </c>
      <c r="AQ1137">
        <v>0</v>
      </c>
      <c r="AR1137" t="s">
        <v>53</v>
      </c>
      <c r="AS1137">
        <v>0</v>
      </c>
      <c r="AT1137">
        <v>0</v>
      </c>
      <c r="CC1137" t="s">
        <v>185</v>
      </c>
      <c r="CD1137">
        <v>85000</v>
      </c>
      <c r="CE1137" s="1">
        <v>42552</v>
      </c>
      <c r="CF1137" s="1">
        <v>42552</v>
      </c>
      <c r="CG1137" s="1">
        <v>42552</v>
      </c>
      <c r="CH1137" s="1">
        <v>49714</v>
      </c>
      <c r="CI1137" t="s">
        <v>51</v>
      </c>
      <c r="CK1137" t="s">
        <v>78</v>
      </c>
      <c r="CM1137" t="s">
        <v>54</v>
      </c>
      <c r="CN1137" t="s">
        <v>174</v>
      </c>
      <c r="CO1137" t="s">
        <v>86</v>
      </c>
      <c r="CR1137">
        <v>15</v>
      </c>
      <c r="CS1137">
        <v>0</v>
      </c>
      <c r="CT1137">
        <v>0</v>
      </c>
      <c r="CU1137">
        <v>0</v>
      </c>
    </row>
    <row r="1138" spans="1:99" x14ac:dyDescent="0.2">
      <c r="A1138" t="s">
        <v>180</v>
      </c>
      <c r="B1138" t="s">
        <v>181</v>
      </c>
      <c r="C1138" t="s">
        <v>184</v>
      </c>
      <c r="D1138" t="s">
        <v>697</v>
      </c>
      <c r="F1138" t="str">
        <f>"250798"</f>
        <v>250798</v>
      </c>
      <c r="G1138" t="s">
        <v>49</v>
      </c>
      <c r="K1138" t="s">
        <v>51</v>
      </c>
      <c r="L1138" t="s">
        <v>52</v>
      </c>
      <c r="M1138">
        <v>136064.71</v>
      </c>
      <c r="N1138">
        <v>472489.76</v>
      </c>
      <c r="O1138" t="s">
        <v>53</v>
      </c>
      <c r="P1138" t="s">
        <v>54</v>
      </c>
      <c r="Q1138" t="s">
        <v>55</v>
      </c>
      <c r="T1138" t="s">
        <v>699</v>
      </c>
      <c r="U1138">
        <v>40</v>
      </c>
      <c r="V1138" s="1">
        <v>30133</v>
      </c>
      <c r="W1138" s="1">
        <v>30133</v>
      </c>
      <c r="X1138" s="1">
        <v>30133</v>
      </c>
      <c r="Y1138" s="1">
        <v>44743</v>
      </c>
      <c r="Z1138" t="s">
        <v>51</v>
      </c>
      <c r="AB1138" t="s">
        <v>54</v>
      </c>
      <c r="AC1138">
        <v>1</v>
      </c>
      <c r="AE1138" t="s">
        <v>84</v>
      </c>
      <c r="AF1138">
        <v>20</v>
      </c>
      <c r="AG1138" s="1">
        <v>30133</v>
      </c>
      <c r="AH1138" s="1">
        <v>30133</v>
      </c>
      <c r="AI1138" s="1">
        <v>30133</v>
      </c>
      <c r="AJ1138" s="1">
        <v>37438</v>
      </c>
      <c r="AK1138" t="s">
        <v>51</v>
      </c>
      <c r="AN1138">
        <v>0</v>
      </c>
      <c r="AO1138" t="s">
        <v>54</v>
      </c>
      <c r="AP1138" t="s">
        <v>53</v>
      </c>
      <c r="AQ1138">
        <v>0</v>
      </c>
      <c r="AR1138" t="s">
        <v>53</v>
      </c>
      <c r="AS1138">
        <v>0</v>
      </c>
      <c r="AT1138">
        <v>0</v>
      </c>
      <c r="CC1138" t="s">
        <v>185</v>
      </c>
      <c r="CD1138">
        <v>85000</v>
      </c>
      <c r="CE1138" s="1">
        <v>42552</v>
      </c>
      <c r="CF1138" s="1">
        <v>42552</v>
      </c>
      <c r="CG1138" s="1">
        <v>42552</v>
      </c>
      <c r="CH1138" s="1">
        <v>49714</v>
      </c>
      <c r="CI1138" t="s">
        <v>51</v>
      </c>
      <c r="CK1138" t="s">
        <v>78</v>
      </c>
      <c r="CM1138" t="s">
        <v>54</v>
      </c>
      <c r="CN1138" t="s">
        <v>174</v>
      </c>
      <c r="CO1138" t="s">
        <v>86</v>
      </c>
      <c r="CR1138">
        <v>15</v>
      </c>
      <c r="CS1138">
        <v>0</v>
      </c>
      <c r="CT1138">
        <v>0</v>
      </c>
      <c r="CU1138">
        <v>0</v>
      </c>
    </row>
    <row r="1139" spans="1:99" x14ac:dyDescent="0.2">
      <c r="A1139" t="s">
        <v>180</v>
      </c>
      <c r="B1139" t="s">
        <v>181</v>
      </c>
      <c r="C1139" t="s">
        <v>184</v>
      </c>
      <c r="D1139" t="s">
        <v>697</v>
      </c>
      <c r="F1139" t="str">
        <f>"250799"</f>
        <v>250799</v>
      </c>
      <c r="G1139" t="s">
        <v>49</v>
      </c>
      <c r="H1139" t="s">
        <v>249</v>
      </c>
      <c r="K1139" t="s">
        <v>51</v>
      </c>
      <c r="L1139" t="s">
        <v>52</v>
      </c>
      <c r="M1139">
        <v>136201.04999999999</v>
      </c>
      <c r="N1139">
        <v>472430.19</v>
      </c>
      <c r="O1139" t="s">
        <v>53</v>
      </c>
      <c r="P1139" t="s">
        <v>54</v>
      </c>
      <c r="Q1139" t="s">
        <v>55</v>
      </c>
      <c r="T1139" t="s">
        <v>700</v>
      </c>
      <c r="U1139">
        <v>40</v>
      </c>
      <c r="V1139" s="1">
        <v>35977</v>
      </c>
      <c r="W1139" s="1">
        <v>35977</v>
      </c>
      <c r="X1139" s="1">
        <v>35977</v>
      </c>
      <c r="Y1139" s="1">
        <v>50587</v>
      </c>
      <c r="Z1139" t="s">
        <v>51</v>
      </c>
      <c r="AB1139" t="s">
        <v>54</v>
      </c>
      <c r="AC1139">
        <v>1</v>
      </c>
      <c r="AE1139" t="s">
        <v>564</v>
      </c>
      <c r="AF1139">
        <v>20</v>
      </c>
      <c r="AG1139" s="1">
        <v>35977</v>
      </c>
      <c r="AH1139" s="1">
        <v>35977</v>
      </c>
      <c r="AI1139" s="1">
        <v>35977</v>
      </c>
      <c r="AJ1139" s="1">
        <v>43282</v>
      </c>
      <c r="AK1139" t="s">
        <v>51</v>
      </c>
      <c r="AN1139">
        <v>0</v>
      </c>
      <c r="AO1139" t="s">
        <v>54</v>
      </c>
      <c r="AP1139" t="s">
        <v>53</v>
      </c>
      <c r="AQ1139">
        <v>0</v>
      </c>
      <c r="AR1139" t="s">
        <v>53</v>
      </c>
      <c r="AS1139">
        <v>0</v>
      </c>
      <c r="AT1139">
        <v>0</v>
      </c>
      <c r="CA1139">
        <v>1</v>
      </c>
      <c r="CC1139" t="s">
        <v>432</v>
      </c>
      <c r="CD1139">
        <v>85000</v>
      </c>
      <c r="CE1139" s="1">
        <v>42552</v>
      </c>
      <c r="CF1139" s="1">
        <v>42552</v>
      </c>
      <c r="CG1139" s="1">
        <v>42552</v>
      </c>
      <c r="CH1139" s="1">
        <v>49714</v>
      </c>
      <c r="CI1139" t="s">
        <v>51</v>
      </c>
      <c r="CK1139" t="s">
        <v>78</v>
      </c>
      <c r="CM1139" t="s">
        <v>54</v>
      </c>
      <c r="CN1139" t="s">
        <v>174</v>
      </c>
      <c r="CO1139" t="s">
        <v>86</v>
      </c>
      <c r="CR1139">
        <v>24</v>
      </c>
      <c r="CS1139">
        <v>0</v>
      </c>
      <c r="CT1139">
        <v>0</v>
      </c>
      <c r="CU1139">
        <v>0</v>
      </c>
    </row>
    <row r="1140" spans="1:99" x14ac:dyDescent="0.2">
      <c r="A1140" t="s">
        <v>180</v>
      </c>
      <c r="B1140" t="s">
        <v>181</v>
      </c>
      <c r="C1140" t="s">
        <v>184</v>
      </c>
      <c r="D1140" t="s">
        <v>697</v>
      </c>
      <c r="F1140" t="str">
        <f>"250800"</f>
        <v>250800</v>
      </c>
      <c r="G1140" t="s">
        <v>49</v>
      </c>
      <c r="H1140" t="s">
        <v>283</v>
      </c>
      <c r="K1140" t="s">
        <v>51</v>
      </c>
      <c r="L1140" t="s">
        <v>52</v>
      </c>
      <c r="M1140">
        <v>136222.47</v>
      </c>
      <c r="N1140">
        <v>472419.76</v>
      </c>
      <c r="O1140" t="s">
        <v>53</v>
      </c>
      <c r="P1140" t="s">
        <v>54</v>
      </c>
      <c r="Q1140" t="s">
        <v>55</v>
      </c>
      <c r="T1140" t="s">
        <v>700</v>
      </c>
      <c r="U1140">
        <v>40</v>
      </c>
      <c r="V1140" s="1">
        <v>35977</v>
      </c>
      <c r="W1140" s="1">
        <v>35977</v>
      </c>
      <c r="X1140" s="1">
        <v>35977</v>
      </c>
      <c r="Y1140" s="1">
        <v>50587</v>
      </c>
      <c r="Z1140" t="s">
        <v>51</v>
      </c>
      <c r="AB1140" t="s">
        <v>54</v>
      </c>
      <c r="AC1140">
        <v>1</v>
      </c>
      <c r="AE1140" t="s">
        <v>564</v>
      </c>
      <c r="AF1140">
        <v>20</v>
      </c>
      <c r="AG1140" s="1">
        <v>35977</v>
      </c>
      <c r="AH1140" s="1">
        <v>35977</v>
      </c>
      <c r="AI1140" s="1">
        <v>35977</v>
      </c>
      <c r="AJ1140" s="1">
        <v>43282</v>
      </c>
      <c r="AK1140" t="s">
        <v>51</v>
      </c>
      <c r="AN1140">
        <v>0</v>
      </c>
      <c r="AO1140" t="s">
        <v>54</v>
      </c>
      <c r="AP1140" t="s">
        <v>53</v>
      </c>
      <c r="AQ1140">
        <v>0</v>
      </c>
      <c r="AR1140" t="s">
        <v>53</v>
      </c>
      <c r="AS1140">
        <v>0</v>
      </c>
      <c r="AT1140">
        <v>0</v>
      </c>
      <c r="CA1140">
        <v>1</v>
      </c>
      <c r="CC1140" t="s">
        <v>432</v>
      </c>
      <c r="CD1140">
        <v>85000</v>
      </c>
      <c r="CE1140" s="1">
        <v>42552</v>
      </c>
      <c r="CF1140" s="1">
        <v>42552</v>
      </c>
      <c r="CG1140" s="1">
        <v>42552</v>
      </c>
      <c r="CH1140" s="1">
        <v>49714</v>
      </c>
      <c r="CI1140" t="s">
        <v>51</v>
      </c>
      <c r="CK1140" t="s">
        <v>78</v>
      </c>
      <c r="CM1140" t="s">
        <v>54</v>
      </c>
      <c r="CN1140" t="s">
        <v>174</v>
      </c>
      <c r="CO1140" t="s">
        <v>86</v>
      </c>
      <c r="CR1140">
        <v>24</v>
      </c>
      <c r="CS1140">
        <v>0</v>
      </c>
      <c r="CT1140">
        <v>0</v>
      </c>
      <c r="CU1140">
        <v>0</v>
      </c>
    </row>
    <row r="1141" spans="1:99" x14ac:dyDescent="0.2">
      <c r="A1141" t="s">
        <v>180</v>
      </c>
      <c r="B1141" t="s">
        <v>181</v>
      </c>
      <c r="C1141" t="s">
        <v>184</v>
      </c>
      <c r="D1141" t="s">
        <v>697</v>
      </c>
      <c r="F1141" t="str">
        <f>"250801"</f>
        <v>250801</v>
      </c>
      <c r="G1141" t="s">
        <v>49</v>
      </c>
      <c r="K1141" t="s">
        <v>51</v>
      </c>
      <c r="L1141" t="s">
        <v>52</v>
      </c>
      <c r="M1141">
        <v>136243.98000000001</v>
      </c>
      <c r="N1141">
        <v>472409.06</v>
      </c>
      <c r="O1141" t="s">
        <v>53</v>
      </c>
      <c r="P1141" t="s">
        <v>54</v>
      </c>
      <c r="Q1141" t="s">
        <v>55</v>
      </c>
      <c r="T1141" t="s">
        <v>700</v>
      </c>
      <c r="U1141">
        <v>40</v>
      </c>
      <c r="V1141" s="1">
        <v>35977</v>
      </c>
      <c r="W1141" s="1">
        <v>35977</v>
      </c>
      <c r="X1141" s="1">
        <v>35977</v>
      </c>
      <c r="Y1141" s="1">
        <v>50587</v>
      </c>
      <c r="Z1141" t="s">
        <v>51</v>
      </c>
      <c r="AB1141" t="s">
        <v>54</v>
      </c>
      <c r="AC1141">
        <v>1</v>
      </c>
      <c r="AE1141" t="s">
        <v>564</v>
      </c>
      <c r="AF1141">
        <v>20</v>
      </c>
      <c r="AG1141" s="1">
        <v>35977</v>
      </c>
      <c r="AH1141" s="1">
        <v>35977</v>
      </c>
      <c r="AI1141" s="1">
        <v>35977</v>
      </c>
      <c r="AJ1141" s="1">
        <v>43282</v>
      </c>
      <c r="AK1141" t="s">
        <v>51</v>
      </c>
      <c r="AN1141">
        <v>0</v>
      </c>
      <c r="AO1141" t="s">
        <v>54</v>
      </c>
      <c r="AP1141" t="s">
        <v>53</v>
      </c>
      <c r="AQ1141">
        <v>0</v>
      </c>
      <c r="AR1141" t="s">
        <v>53</v>
      </c>
      <c r="AS1141">
        <v>0</v>
      </c>
      <c r="AT1141">
        <v>0</v>
      </c>
      <c r="CA1141">
        <v>1</v>
      </c>
      <c r="CC1141" t="s">
        <v>432</v>
      </c>
      <c r="CD1141">
        <v>85000</v>
      </c>
      <c r="CE1141" s="1">
        <v>42552</v>
      </c>
      <c r="CF1141" s="1">
        <v>42552</v>
      </c>
      <c r="CG1141" s="1">
        <v>42552</v>
      </c>
      <c r="CH1141" s="1">
        <v>49714</v>
      </c>
      <c r="CI1141" t="s">
        <v>51</v>
      </c>
      <c r="CK1141" t="s">
        <v>78</v>
      </c>
      <c r="CM1141" t="s">
        <v>54</v>
      </c>
      <c r="CN1141" t="s">
        <v>174</v>
      </c>
      <c r="CO1141" t="s">
        <v>86</v>
      </c>
      <c r="CR1141">
        <v>24</v>
      </c>
      <c r="CS1141">
        <v>0</v>
      </c>
      <c r="CT1141">
        <v>0</v>
      </c>
      <c r="CU1141">
        <v>0</v>
      </c>
    </row>
    <row r="1142" spans="1:99" x14ac:dyDescent="0.2">
      <c r="A1142" t="s">
        <v>180</v>
      </c>
      <c r="B1142" t="s">
        <v>181</v>
      </c>
      <c r="C1142" t="s">
        <v>184</v>
      </c>
      <c r="D1142" t="s">
        <v>697</v>
      </c>
      <c r="F1142" t="str">
        <f>"250802"</f>
        <v>250802</v>
      </c>
      <c r="G1142" t="s">
        <v>49</v>
      </c>
      <c r="H1142" t="s">
        <v>701</v>
      </c>
      <c r="K1142" t="s">
        <v>51</v>
      </c>
      <c r="L1142" t="s">
        <v>52</v>
      </c>
      <c r="M1142">
        <v>136266.94</v>
      </c>
      <c r="N1142">
        <v>472394.93</v>
      </c>
      <c r="O1142" t="s">
        <v>53</v>
      </c>
      <c r="P1142" t="s">
        <v>54</v>
      </c>
      <c r="Q1142" t="s">
        <v>55</v>
      </c>
      <c r="T1142" t="s">
        <v>700</v>
      </c>
      <c r="U1142">
        <v>40</v>
      </c>
      <c r="V1142" s="1">
        <v>35977</v>
      </c>
      <c r="W1142" s="1">
        <v>35977</v>
      </c>
      <c r="X1142" s="1">
        <v>35977</v>
      </c>
      <c r="Y1142" s="1">
        <v>50587</v>
      </c>
      <c r="Z1142" t="s">
        <v>51</v>
      </c>
      <c r="AB1142" t="s">
        <v>54</v>
      </c>
      <c r="AC1142">
        <v>1</v>
      </c>
      <c r="AE1142" t="s">
        <v>564</v>
      </c>
      <c r="AF1142">
        <v>20</v>
      </c>
      <c r="AG1142" s="1">
        <v>35977</v>
      </c>
      <c r="AH1142" s="1">
        <v>35977</v>
      </c>
      <c r="AI1142" s="1">
        <v>35977</v>
      </c>
      <c r="AJ1142" s="1">
        <v>43282</v>
      </c>
      <c r="AK1142" t="s">
        <v>51</v>
      </c>
      <c r="AN1142">
        <v>0</v>
      </c>
      <c r="AO1142" t="s">
        <v>54</v>
      </c>
      <c r="AP1142" t="s">
        <v>53</v>
      </c>
      <c r="AQ1142">
        <v>0</v>
      </c>
      <c r="AR1142" t="s">
        <v>53</v>
      </c>
      <c r="AS1142">
        <v>0</v>
      </c>
      <c r="AT1142">
        <v>0</v>
      </c>
      <c r="CA1142">
        <v>1</v>
      </c>
      <c r="CC1142" t="s">
        <v>432</v>
      </c>
      <c r="CD1142">
        <v>85000</v>
      </c>
      <c r="CE1142" s="1">
        <v>42552</v>
      </c>
      <c r="CF1142" s="1">
        <v>42552</v>
      </c>
      <c r="CG1142" s="1">
        <v>42552</v>
      </c>
      <c r="CH1142" s="1">
        <v>49714</v>
      </c>
      <c r="CI1142" t="s">
        <v>51</v>
      </c>
      <c r="CK1142" t="s">
        <v>78</v>
      </c>
      <c r="CM1142" t="s">
        <v>54</v>
      </c>
      <c r="CN1142" t="s">
        <v>174</v>
      </c>
      <c r="CO1142" t="s">
        <v>86</v>
      </c>
      <c r="CR1142">
        <v>24</v>
      </c>
      <c r="CS1142">
        <v>0</v>
      </c>
      <c r="CT1142">
        <v>0</v>
      </c>
      <c r="CU1142">
        <v>0</v>
      </c>
    </row>
    <row r="1143" spans="1:99" x14ac:dyDescent="0.2">
      <c r="A1143" t="s">
        <v>180</v>
      </c>
      <c r="B1143" t="s">
        <v>181</v>
      </c>
      <c r="C1143" t="s">
        <v>184</v>
      </c>
      <c r="D1143" t="s">
        <v>697</v>
      </c>
      <c r="F1143" t="str">
        <f>"250803"</f>
        <v>250803</v>
      </c>
      <c r="G1143" t="s">
        <v>49</v>
      </c>
      <c r="K1143" t="s">
        <v>51</v>
      </c>
      <c r="L1143" t="s">
        <v>52</v>
      </c>
      <c r="M1143">
        <v>136293.07999999999</v>
      </c>
      <c r="N1143">
        <v>472384.79</v>
      </c>
      <c r="O1143" t="s">
        <v>53</v>
      </c>
      <c r="P1143" t="s">
        <v>54</v>
      </c>
      <c r="Q1143" t="s">
        <v>55</v>
      </c>
      <c r="T1143" t="s">
        <v>700</v>
      </c>
      <c r="U1143">
        <v>40</v>
      </c>
      <c r="V1143" s="1">
        <v>35977</v>
      </c>
      <c r="W1143" s="1">
        <v>35977</v>
      </c>
      <c r="X1143" s="1">
        <v>35977</v>
      </c>
      <c r="Y1143" s="1">
        <v>50587</v>
      </c>
      <c r="Z1143" t="s">
        <v>51</v>
      </c>
      <c r="AB1143" t="s">
        <v>54</v>
      </c>
      <c r="AC1143">
        <v>1</v>
      </c>
      <c r="AE1143" t="s">
        <v>564</v>
      </c>
      <c r="AF1143">
        <v>20</v>
      </c>
      <c r="AG1143" s="1">
        <v>35977</v>
      </c>
      <c r="AH1143" s="1">
        <v>35977</v>
      </c>
      <c r="AI1143" s="1">
        <v>35977</v>
      </c>
      <c r="AJ1143" s="1">
        <v>43282</v>
      </c>
      <c r="AK1143" t="s">
        <v>51</v>
      </c>
      <c r="AN1143">
        <v>0</v>
      </c>
      <c r="AO1143" t="s">
        <v>54</v>
      </c>
      <c r="AP1143" t="s">
        <v>53</v>
      </c>
      <c r="AQ1143">
        <v>0</v>
      </c>
      <c r="AR1143" t="s">
        <v>53</v>
      </c>
      <c r="AS1143">
        <v>0</v>
      </c>
      <c r="AT1143">
        <v>0</v>
      </c>
      <c r="AW1143" t="s">
        <v>58</v>
      </c>
      <c r="AX1143">
        <v>20</v>
      </c>
      <c r="AY1143" s="1">
        <v>35977</v>
      </c>
      <c r="AZ1143" s="1">
        <v>35977</v>
      </c>
      <c r="BA1143" s="1">
        <v>35977</v>
      </c>
      <c r="BB1143" s="1">
        <v>43282</v>
      </c>
      <c r="BC1143" t="s">
        <v>51</v>
      </c>
      <c r="BE1143" t="s">
        <v>54</v>
      </c>
      <c r="BF1143">
        <v>2</v>
      </c>
      <c r="BG1143">
        <v>0</v>
      </c>
      <c r="BH1143" t="s">
        <v>53</v>
      </c>
      <c r="BI1143">
        <v>1</v>
      </c>
      <c r="BK1143" t="s">
        <v>59</v>
      </c>
      <c r="BL1143">
        <v>14000</v>
      </c>
      <c r="BM1143" s="1">
        <v>42917</v>
      </c>
      <c r="BN1143" s="1">
        <v>42917</v>
      </c>
      <c r="BO1143" s="1">
        <v>42917</v>
      </c>
      <c r="BP1143" s="1">
        <v>44117</v>
      </c>
      <c r="BQ1143" t="s">
        <v>51</v>
      </c>
      <c r="BS1143" t="s">
        <v>60</v>
      </c>
      <c r="BT1143" t="s">
        <v>54</v>
      </c>
      <c r="BU1143" t="s">
        <v>61</v>
      </c>
      <c r="BV1143" t="s">
        <v>62</v>
      </c>
      <c r="BX1143">
        <v>24</v>
      </c>
      <c r="BY1143">
        <v>0</v>
      </c>
      <c r="BZ1143">
        <v>0</v>
      </c>
    </row>
    <row r="1144" spans="1:99" x14ac:dyDescent="0.2">
      <c r="A1144" t="s">
        <v>180</v>
      </c>
      <c r="B1144" t="s">
        <v>181</v>
      </c>
      <c r="C1144" t="s">
        <v>184</v>
      </c>
      <c r="D1144" t="s">
        <v>697</v>
      </c>
      <c r="F1144" t="str">
        <f>"250804"</f>
        <v>250804</v>
      </c>
      <c r="G1144" t="s">
        <v>49</v>
      </c>
      <c r="H1144" t="s">
        <v>260</v>
      </c>
      <c r="K1144" t="s">
        <v>51</v>
      </c>
      <c r="L1144" t="s">
        <v>52</v>
      </c>
      <c r="M1144">
        <v>136271.57999999999</v>
      </c>
      <c r="N1144">
        <v>472354.79</v>
      </c>
      <c r="O1144" t="s">
        <v>53</v>
      </c>
      <c r="P1144" t="s">
        <v>54</v>
      </c>
      <c r="Q1144" t="s">
        <v>55</v>
      </c>
      <c r="T1144" t="s">
        <v>241</v>
      </c>
      <c r="U1144">
        <v>40</v>
      </c>
      <c r="V1144" s="1">
        <v>42186</v>
      </c>
      <c r="W1144" s="1">
        <v>42186</v>
      </c>
      <c r="X1144" s="1">
        <v>42186</v>
      </c>
      <c r="Y1144" s="1">
        <v>56796</v>
      </c>
      <c r="Z1144" t="s">
        <v>51</v>
      </c>
      <c r="AB1144" t="s">
        <v>54</v>
      </c>
      <c r="AC1144">
        <v>1</v>
      </c>
      <c r="AE1144" t="s">
        <v>79</v>
      </c>
      <c r="AF1144">
        <v>20</v>
      </c>
      <c r="AG1144" s="1">
        <v>42186</v>
      </c>
      <c r="AH1144" s="1">
        <v>42186</v>
      </c>
      <c r="AI1144" s="1">
        <v>42186</v>
      </c>
      <c r="AJ1144" s="1">
        <v>49491</v>
      </c>
      <c r="AK1144" t="s">
        <v>51</v>
      </c>
      <c r="AN1144">
        <v>0</v>
      </c>
      <c r="AO1144" t="s">
        <v>54</v>
      </c>
      <c r="AP1144" t="s">
        <v>53</v>
      </c>
      <c r="AQ1144">
        <v>0</v>
      </c>
      <c r="AR1144" t="s">
        <v>145</v>
      </c>
      <c r="AS1144">
        <v>0</v>
      </c>
      <c r="AT1144">
        <v>0</v>
      </c>
      <c r="CC1144" t="s">
        <v>432</v>
      </c>
      <c r="CD1144">
        <v>85000</v>
      </c>
      <c r="CE1144" s="1">
        <v>42186</v>
      </c>
      <c r="CF1144" s="1">
        <v>42186</v>
      </c>
      <c r="CG1144" s="1">
        <v>42186</v>
      </c>
      <c r="CH1144" s="1">
        <v>49348</v>
      </c>
      <c r="CI1144" t="s">
        <v>51</v>
      </c>
      <c r="CK1144" t="s">
        <v>78</v>
      </c>
      <c r="CM1144" t="s">
        <v>54</v>
      </c>
      <c r="CN1144" t="s">
        <v>174</v>
      </c>
      <c r="CO1144" t="s">
        <v>86</v>
      </c>
      <c r="CR1144">
        <v>24</v>
      </c>
      <c r="CS1144">
        <v>0</v>
      </c>
      <c r="CT1144">
        <v>0</v>
      </c>
      <c r="CU1144">
        <v>0</v>
      </c>
    </row>
    <row r="1145" spans="1:99" x14ac:dyDescent="0.2">
      <c r="A1145" t="s">
        <v>180</v>
      </c>
      <c r="B1145" t="s">
        <v>181</v>
      </c>
      <c r="C1145" t="s">
        <v>184</v>
      </c>
      <c r="D1145" t="s">
        <v>697</v>
      </c>
      <c r="F1145" t="str">
        <f>"250805"</f>
        <v>250805</v>
      </c>
      <c r="G1145" t="s">
        <v>49</v>
      </c>
      <c r="H1145" t="s">
        <v>702</v>
      </c>
      <c r="K1145" t="s">
        <v>51</v>
      </c>
      <c r="L1145" t="s">
        <v>52</v>
      </c>
      <c r="M1145">
        <v>136244.45000000001</v>
      </c>
      <c r="N1145">
        <v>472366.22</v>
      </c>
      <c r="O1145" t="s">
        <v>53</v>
      </c>
      <c r="P1145" t="s">
        <v>54</v>
      </c>
      <c r="Q1145" t="s">
        <v>55</v>
      </c>
      <c r="T1145" t="s">
        <v>239</v>
      </c>
      <c r="U1145">
        <v>40</v>
      </c>
      <c r="V1145" s="1">
        <v>42186</v>
      </c>
      <c r="W1145" s="1">
        <v>42186</v>
      </c>
      <c r="X1145" s="1">
        <v>42186</v>
      </c>
      <c r="Y1145" s="1">
        <v>56796</v>
      </c>
      <c r="Z1145" t="s">
        <v>51</v>
      </c>
      <c r="AB1145" t="s">
        <v>54</v>
      </c>
      <c r="AC1145">
        <v>1</v>
      </c>
      <c r="AE1145" t="s">
        <v>79</v>
      </c>
      <c r="AF1145">
        <v>20</v>
      </c>
      <c r="AG1145" s="1">
        <v>42186</v>
      </c>
      <c r="AH1145" s="1">
        <v>42186</v>
      </c>
      <c r="AI1145" s="1">
        <v>42186</v>
      </c>
      <c r="AJ1145" s="1">
        <v>49491</v>
      </c>
      <c r="AK1145" t="s">
        <v>51</v>
      </c>
      <c r="AN1145">
        <v>0</v>
      </c>
      <c r="AO1145" t="s">
        <v>54</v>
      </c>
      <c r="AP1145" t="s">
        <v>53</v>
      </c>
      <c r="AQ1145">
        <v>0</v>
      </c>
      <c r="AR1145" t="s">
        <v>145</v>
      </c>
      <c r="AS1145">
        <v>0</v>
      </c>
      <c r="AT1145">
        <v>0</v>
      </c>
      <c r="CC1145" t="s">
        <v>560</v>
      </c>
      <c r="CD1145">
        <v>85000</v>
      </c>
      <c r="CE1145" s="1">
        <v>42186</v>
      </c>
      <c r="CF1145" s="1">
        <v>42186</v>
      </c>
      <c r="CG1145" s="1">
        <v>42186</v>
      </c>
      <c r="CH1145" s="1">
        <v>49348</v>
      </c>
      <c r="CI1145" t="s">
        <v>51</v>
      </c>
      <c r="CK1145" t="s">
        <v>78</v>
      </c>
      <c r="CM1145" t="s">
        <v>54</v>
      </c>
      <c r="CN1145" t="s">
        <v>174</v>
      </c>
      <c r="CO1145" t="s">
        <v>86</v>
      </c>
      <c r="CR1145">
        <v>36</v>
      </c>
      <c r="CS1145">
        <v>0</v>
      </c>
      <c r="CT1145">
        <v>0</v>
      </c>
      <c r="CU1145">
        <v>0</v>
      </c>
    </row>
    <row r="1146" spans="1:99" x14ac:dyDescent="0.2">
      <c r="A1146" t="s">
        <v>180</v>
      </c>
      <c r="B1146" t="s">
        <v>181</v>
      </c>
      <c r="C1146" t="s">
        <v>184</v>
      </c>
      <c r="D1146" t="s">
        <v>697</v>
      </c>
      <c r="F1146" t="str">
        <f>"250806"</f>
        <v>250806</v>
      </c>
      <c r="G1146" t="s">
        <v>49</v>
      </c>
      <c r="H1146" t="s">
        <v>703</v>
      </c>
      <c r="K1146" t="s">
        <v>51</v>
      </c>
      <c r="L1146" t="s">
        <v>52</v>
      </c>
      <c r="M1146">
        <v>136217.48000000001</v>
      </c>
      <c r="N1146">
        <v>472368.44</v>
      </c>
      <c r="O1146" t="s">
        <v>53</v>
      </c>
      <c r="P1146" t="s">
        <v>54</v>
      </c>
      <c r="Q1146" t="s">
        <v>55</v>
      </c>
      <c r="T1146" t="s">
        <v>239</v>
      </c>
      <c r="U1146">
        <v>40</v>
      </c>
      <c r="V1146" s="1">
        <v>42186</v>
      </c>
      <c r="W1146" s="1">
        <v>42186</v>
      </c>
      <c r="X1146" s="1">
        <v>42186</v>
      </c>
      <c r="Y1146" s="1">
        <v>56796</v>
      </c>
      <c r="Z1146" t="s">
        <v>51</v>
      </c>
      <c r="AB1146" t="s">
        <v>54</v>
      </c>
      <c r="AC1146">
        <v>1</v>
      </c>
      <c r="AE1146" t="s">
        <v>79</v>
      </c>
      <c r="AF1146">
        <v>20</v>
      </c>
      <c r="AG1146" s="1">
        <v>42186</v>
      </c>
      <c r="AH1146" s="1">
        <v>42186</v>
      </c>
      <c r="AI1146" s="1">
        <v>42186</v>
      </c>
      <c r="AJ1146" s="1">
        <v>49491</v>
      </c>
      <c r="AK1146" t="s">
        <v>51</v>
      </c>
      <c r="AN1146">
        <v>0</v>
      </c>
      <c r="AO1146" t="s">
        <v>54</v>
      </c>
      <c r="AP1146" t="s">
        <v>53</v>
      </c>
      <c r="AQ1146">
        <v>0</v>
      </c>
      <c r="AR1146" t="s">
        <v>145</v>
      </c>
      <c r="AS1146">
        <v>0</v>
      </c>
      <c r="AT1146">
        <v>0</v>
      </c>
      <c r="CC1146" t="s">
        <v>432</v>
      </c>
      <c r="CD1146">
        <v>85000</v>
      </c>
      <c r="CE1146" s="1">
        <v>42186</v>
      </c>
      <c r="CF1146" s="1">
        <v>42186</v>
      </c>
      <c r="CG1146" s="1">
        <v>42186</v>
      </c>
      <c r="CH1146" s="1">
        <v>49348</v>
      </c>
      <c r="CI1146" t="s">
        <v>51</v>
      </c>
      <c r="CK1146" t="s">
        <v>78</v>
      </c>
      <c r="CM1146" t="s">
        <v>54</v>
      </c>
      <c r="CN1146" t="s">
        <v>174</v>
      </c>
      <c r="CO1146" t="s">
        <v>86</v>
      </c>
      <c r="CR1146">
        <v>24</v>
      </c>
      <c r="CS1146">
        <v>0</v>
      </c>
      <c r="CT1146">
        <v>0</v>
      </c>
      <c r="CU1146">
        <v>0</v>
      </c>
    </row>
    <row r="1147" spans="1:99" x14ac:dyDescent="0.2">
      <c r="A1147" t="s">
        <v>180</v>
      </c>
      <c r="B1147" t="s">
        <v>181</v>
      </c>
      <c r="C1147" t="s">
        <v>184</v>
      </c>
      <c r="D1147" t="s">
        <v>697</v>
      </c>
      <c r="F1147" t="str">
        <f>"250807"</f>
        <v>250807</v>
      </c>
      <c r="G1147" t="s">
        <v>49</v>
      </c>
      <c r="H1147" t="s">
        <v>505</v>
      </c>
      <c r="K1147" t="s">
        <v>51</v>
      </c>
      <c r="L1147" t="s">
        <v>52</v>
      </c>
      <c r="M1147">
        <v>136197.79999999999</v>
      </c>
      <c r="N1147">
        <v>472389.84</v>
      </c>
      <c r="O1147" t="s">
        <v>53</v>
      </c>
      <c r="P1147" t="s">
        <v>54</v>
      </c>
      <c r="Q1147" t="s">
        <v>55</v>
      </c>
      <c r="T1147" t="s">
        <v>239</v>
      </c>
      <c r="U1147">
        <v>40</v>
      </c>
      <c r="V1147" s="1">
        <v>42186</v>
      </c>
      <c r="W1147" s="1">
        <v>42186</v>
      </c>
      <c r="X1147" s="1">
        <v>42186</v>
      </c>
      <c r="Y1147" s="1">
        <v>56796</v>
      </c>
      <c r="Z1147" t="s">
        <v>51</v>
      </c>
      <c r="AB1147" t="s">
        <v>54</v>
      </c>
      <c r="AC1147">
        <v>1</v>
      </c>
      <c r="AE1147" t="s">
        <v>79</v>
      </c>
      <c r="AF1147">
        <v>20</v>
      </c>
      <c r="AG1147" s="1">
        <v>42186</v>
      </c>
      <c r="AH1147" s="1">
        <v>42186</v>
      </c>
      <c r="AI1147" s="1">
        <v>42186</v>
      </c>
      <c r="AJ1147" s="1">
        <v>49491</v>
      </c>
      <c r="AK1147" t="s">
        <v>51</v>
      </c>
      <c r="AN1147">
        <v>0</v>
      </c>
      <c r="AO1147" t="s">
        <v>54</v>
      </c>
      <c r="AP1147" t="s">
        <v>53</v>
      </c>
      <c r="AQ1147">
        <v>0</v>
      </c>
      <c r="AR1147" t="s">
        <v>145</v>
      </c>
      <c r="AS1147">
        <v>0</v>
      </c>
      <c r="AT1147">
        <v>0</v>
      </c>
      <c r="CC1147" t="s">
        <v>432</v>
      </c>
      <c r="CD1147">
        <v>85000</v>
      </c>
      <c r="CE1147" s="1">
        <v>42186</v>
      </c>
      <c r="CF1147" s="1">
        <v>42186</v>
      </c>
      <c r="CG1147" s="1">
        <v>42186</v>
      </c>
      <c r="CH1147" s="1">
        <v>49348</v>
      </c>
      <c r="CI1147" t="s">
        <v>51</v>
      </c>
      <c r="CK1147" t="s">
        <v>78</v>
      </c>
      <c r="CM1147" t="s">
        <v>54</v>
      </c>
      <c r="CN1147" t="s">
        <v>174</v>
      </c>
      <c r="CO1147" t="s">
        <v>86</v>
      </c>
      <c r="CR1147">
        <v>24</v>
      </c>
      <c r="CS1147">
        <v>0</v>
      </c>
      <c r="CT1147">
        <v>0</v>
      </c>
      <c r="CU1147">
        <v>0</v>
      </c>
    </row>
    <row r="1148" spans="1:99" x14ac:dyDescent="0.2">
      <c r="A1148" t="s">
        <v>180</v>
      </c>
      <c r="B1148" t="s">
        <v>181</v>
      </c>
      <c r="C1148" t="s">
        <v>184</v>
      </c>
      <c r="D1148" t="s">
        <v>697</v>
      </c>
      <c r="F1148" t="str">
        <f>"250808"</f>
        <v>250808</v>
      </c>
      <c r="G1148" t="s">
        <v>49</v>
      </c>
      <c r="H1148" t="s">
        <v>505</v>
      </c>
      <c r="K1148" t="s">
        <v>51</v>
      </c>
      <c r="L1148" t="s">
        <v>52</v>
      </c>
      <c r="M1148">
        <v>136174.32999999999</v>
      </c>
      <c r="N1148">
        <v>472401.56</v>
      </c>
      <c r="O1148" t="s">
        <v>53</v>
      </c>
      <c r="P1148" t="s">
        <v>54</v>
      </c>
      <c r="Q1148" t="s">
        <v>55</v>
      </c>
      <c r="T1148" t="s">
        <v>239</v>
      </c>
      <c r="U1148">
        <v>40</v>
      </c>
      <c r="V1148" s="1">
        <v>42186</v>
      </c>
      <c r="W1148" s="1">
        <v>42186</v>
      </c>
      <c r="X1148" s="1">
        <v>42186</v>
      </c>
      <c r="Y1148" s="1">
        <v>56796</v>
      </c>
      <c r="Z1148" t="s">
        <v>51</v>
      </c>
      <c r="AB1148" t="s">
        <v>54</v>
      </c>
      <c r="AC1148">
        <v>1</v>
      </c>
      <c r="AE1148" t="s">
        <v>79</v>
      </c>
      <c r="AF1148">
        <v>20</v>
      </c>
      <c r="AG1148" s="1">
        <v>42186</v>
      </c>
      <c r="AH1148" s="1">
        <v>42186</v>
      </c>
      <c r="AI1148" s="1">
        <v>42186</v>
      </c>
      <c r="AJ1148" s="1">
        <v>49491</v>
      </c>
      <c r="AK1148" t="s">
        <v>51</v>
      </c>
      <c r="AN1148">
        <v>0</v>
      </c>
      <c r="AO1148" t="s">
        <v>54</v>
      </c>
      <c r="AP1148" t="s">
        <v>53</v>
      </c>
      <c r="AQ1148">
        <v>0</v>
      </c>
      <c r="AR1148" t="s">
        <v>145</v>
      </c>
      <c r="AS1148">
        <v>0</v>
      </c>
      <c r="AT1148">
        <v>0</v>
      </c>
      <c r="CC1148" t="s">
        <v>432</v>
      </c>
      <c r="CD1148">
        <v>85000</v>
      </c>
      <c r="CE1148" s="1">
        <v>42186</v>
      </c>
      <c r="CF1148" s="1">
        <v>42186</v>
      </c>
      <c r="CG1148" s="1">
        <v>42186</v>
      </c>
      <c r="CH1148" s="1">
        <v>49348</v>
      </c>
      <c r="CI1148" t="s">
        <v>51</v>
      </c>
      <c r="CK1148" t="s">
        <v>78</v>
      </c>
      <c r="CM1148" t="s">
        <v>54</v>
      </c>
      <c r="CN1148" t="s">
        <v>174</v>
      </c>
      <c r="CO1148" t="s">
        <v>86</v>
      </c>
      <c r="CR1148">
        <v>24</v>
      </c>
      <c r="CS1148">
        <v>0</v>
      </c>
      <c r="CT1148">
        <v>0</v>
      </c>
      <c r="CU1148">
        <v>0</v>
      </c>
    </row>
    <row r="1149" spans="1:99" x14ac:dyDescent="0.2">
      <c r="A1149" t="s">
        <v>180</v>
      </c>
      <c r="B1149" t="s">
        <v>181</v>
      </c>
      <c r="C1149" t="s">
        <v>184</v>
      </c>
      <c r="D1149" t="s">
        <v>697</v>
      </c>
      <c r="F1149" t="str">
        <f>"250809"</f>
        <v>250809</v>
      </c>
      <c r="G1149" t="s">
        <v>49</v>
      </c>
      <c r="H1149" t="s">
        <v>261</v>
      </c>
      <c r="K1149" t="s">
        <v>51</v>
      </c>
      <c r="L1149" t="s">
        <v>52</v>
      </c>
      <c r="M1149">
        <v>136141.20000000001</v>
      </c>
      <c r="N1149">
        <v>472405.38</v>
      </c>
      <c r="O1149" t="s">
        <v>53</v>
      </c>
      <c r="P1149" t="s">
        <v>54</v>
      </c>
      <c r="Q1149" t="s">
        <v>55</v>
      </c>
      <c r="T1149" t="s">
        <v>239</v>
      </c>
      <c r="U1149">
        <v>40</v>
      </c>
      <c r="V1149" s="1">
        <v>42186</v>
      </c>
      <c r="W1149" s="1">
        <v>42186</v>
      </c>
      <c r="X1149" s="1">
        <v>42186</v>
      </c>
      <c r="Y1149" s="1">
        <v>56796</v>
      </c>
      <c r="Z1149" t="s">
        <v>51</v>
      </c>
      <c r="AB1149" t="s">
        <v>54</v>
      </c>
      <c r="AC1149">
        <v>1</v>
      </c>
      <c r="AE1149" t="s">
        <v>79</v>
      </c>
      <c r="AF1149">
        <v>20</v>
      </c>
      <c r="AG1149" s="1">
        <v>42186</v>
      </c>
      <c r="AH1149" s="1">
        <v>42186</v>
      </c>
      <c r="AI1149" s="1">
        <v>42186</v>
      </c>
      <c r="AJ1149" s="1">
        <v>49491</v>
      </c>
      <c r="AK1149" t="s">
        <v>51</v>
      </c>
      <c r="AN1149">
        <v>0</v>
      </c>
      <c r="AO1149" t="s">
        <v>54</v>
      </c>
      <c r="AP1149" t="s">
        <v>53</v>
      </c>
      <c r="AQ1149">
        <v>0</v>
      </c>
      <c r="AR1149" t="s">
        <v>145</v>
      </c>
      <c r="AS1149">
        <v>0</v>
      </c>
      <c r="AT1149">
        <v>0</v>
      </c>
      <c r="CC1149" t="s">
        <v>432</v>
      </c>
      <c r="CD1149">
        <v>85000</v>
      </c>
      <c r="CE1149" s="1">
        <v>42186</v>
      </c>
      <c r="CF1149" s="1">
        <v>42186</v>
      </c>
      <c r="CG1149" s="1">
        <v>42186</v>
      </c>
      <c r="CH1149" s="1">
        <v>49348</v>
      </c>
      <c r="CI1149" t="s">
        <v>51</v>
      </c>
      <c r="CK1149" t="s">
        <v>78</v>
      </c>
      <c r="CM1149" t="s">
        <v>54</v>
      </c>
      <c r="CN1149" t="s">
        <v>174</v>
      </c>
      <c r="CO1149" t="s">
        <v>86</v>
      </c>
      <c r="CR1149">
        <v>24</v>
      </c>
      <c r="CS1149">
        <v>0</v>
      </c>
      <c r="CT1149">
        <v>0</v>
      </c>
      <c r="CU1149">
        <v>0</v>
      </c>
    </row>
    <row r="1150" spans="1:99" x14ac:dyDescent="0.2">
      <c r="A1150" t="s">
        <v>180</v>
      </c>
      <c r="B1150" t="s">
        <v>181</v>
      </c>
      <c r="C1150" t="s">
        <v>184</v>
      </c>
      <c r="D1150" t="s">
        <v>697</v>
      </c>
      <c r="F1150" t="str">
        <f>"250810"</f>
        <v>250810</v>
      </c>
      <c r="G1150" t="s">
        <v>49</v>
      </c>
      <c r="H1150" t="s">
        <v>136</v>
      </c>
      <c r="K1150" t="s">
        <v>51</v>
      </c>
      <c r="L1150" t="s">
        <v>52</v>
      </c>
      <c r="M1150">
        <v>136155.28</v>
      </c>
      <c r="N1150">
        <v>472431.81</v>
      </c>
      <c r="O1150" t="s">
        <v>53</v>
      </c>
      <c r="P1150" t="s">
        <v>54</v>
      </c>
      <c r="Q1150" t="s">
        <v>55</v>
      </c>
      <c r="T1150" t="s">
        <v>239</v>
      </c>
      <c r="U1150">
        <v>40</v>
      </c>
      <c r="V1150" s="1">
        <v>42186</v>
      </c>
      <c r="W1150" s="1">
        <v>42186</v>
      </c>
      <c r="X1150" s="1">
        <v>42186</v>
      </c>
      <c r="Y1150" s="1">
        <v>56796</v>
      </c>
      <c r="Z1150" t="s">
        <v>51</v>
      </c>
      <c r="AB1150" t="s">
        <v>54</v>
      </c>
      <c r="AC1150">
        <v>1</v>
      </c>
      <c r="AE1150" t="s">
        <v>79</v>
      </c>
      <c r="AF1150">
        <v>20</v>
      </c>
      <c r="AG1150" s="1">
        <v>42186</v>
      </c>
      <c r="AH1150" s="1">
        <v>42186</v>
      </c>
      <c r="AI1150" s="1">
        <v>42186</v>
      </c>
      <c r="AJ1150" s="1">
        <v>49491</v>
      </c>
      <c r="AK1150" t="s">
        <v>51</v>
      </c>
      <c r="AN1150">
        <v>0</v>
      </c>
      <c r="AO1150" t="s">
        <v>54</v>
      </c>
      <c r="AP1150" t="s">
        <v>53</v>
      </c>
      <c r="AQ1150">
        <v>0</v>
      </c>
      <c r="AR1150" t="s">
        <v>145</v>
      </c>
      <c r="AS1150">
        <v>0</v>
      </c>
      <c r="AT1150">
        <v>0</v>
      </c>
      <c r="CC1150" t="s">
        <v>432</v>
      </c>
      <c r="CD1150">
        <v>85000</v>
      </c>
      <c r="CE1150" s="1">
        <v>42186</v>
      </c>
      <c r="CF1150" s="1">
        <v>42186</v>
      </c>
      <c r="CG1150" s="1">
        <v>42186</v>
      </c>
      <c r="CH1150" s="1">
        <v>49348</v>
      </c>
      <c r="CI1150" t="s">
        <v>51</v>
      </c>
      <c r="CK1150" t="s">
        <v>78</v>
      </c>
      <c r="CM1150" t="s">
        <v>54</v>
      </c>
      <c r="CN1150" t="s">
        <v>174</v>
      </c>
      <c r="CO1150" t="s">
        <v>86</v>
      </c>
      <c r="CR1150">
        <v>24</v>
      </c>
      <c r="CS1150">
        <v>0</v>
      </c>
      <c r="CT1150">
        <v>0</v>
      </c>
      <c r="CU1150">
        <v>0</v>
      </c>
    </row>
    <row r="1151" spans="1:99" x14ac:dyDescent="0.2">
      <c r="A1151" t="s">
        <v>180</v>
      </c>
      <c r="B1151" t="s">
        <v>181</v>
      </c>
      <c r="C1151" t="s">
        <v>184</v>
      </c>
      <c r="D1151" t="s">
        <v>697</v>
      </c>
      <c r="F1151" t="str">
        <f>"250811"</f>
        <v>250811</v>
      </c>
      <c r="G1151" t="s">
        <v>49</v>
      </c>
      <c r="K1151" t="s">
        <v>51</v>
      </c>
      <c r="L1151" t="s">
        <v>52</v>
      </c>
      <c r="M1151">
        <v>136107</v>
      </c>
      <c r="N1151">
        <v>472501.43699999998</v>
      </c>
      <c r="O1151" t="s">
        <v>53</v>
      </c>
      <c r="P1151" t="s">
        <v>54</v>
      </c>
      <c r="Q1151" t="s">
        <v>55</v>
      </c>
      <c r="T1151" t="s">
        <v>241</v>
      </c>
      <c r="U1151">
        <v>40</v>
      </c>
      <c r="V1151" s="1">
        <v>29768</v>
      </c>
      <c r="W1151" s="1">
        <v>29768</v>
      </c>
      <c r="X1151" s="1">
        <v>29768</v>
      </c>
      <c r="Y1151" s="1">
        <v>44378</v>
      </c>
      <c r="Z1151" t="s">
        <v>51</v>
      </c>
      <c r="AB1151" t="s">
        <v>54</v>
      </c>
      <c r="AC1151">
        <v>1</v>
      </c>
      <c r="AE1151" t="s">
        <v>222</v>
      </c>
      <c r="AF1151">
        <v>20</v>
      </c>
      <c r="AG1151" s="1">
        <v>38169</v>
      </c>
      <c r="AH1151" s="1">
        <v>38169</v>
      </c>
      <c r="AI1151" s="1">
        <v>38169</v>
      </c>
      <c r="AJ1151" s="1">
        <v>45474</v>
      </c>
      <c r="AK1151" t="s">
        <v>51</v>
      </c>
      <c r="AN1151">
        <v>0</v>
      </c>
      <c r="AO1151" t="s">
        <v>54</v>
      </c>
      <c r="AP1151" t="s">
        <v>53</v>
      </c>
      <c r="AQ1151">
        <v>0</v>
      </c>
      <c r="AR1151" t="s">
        <v>53</v>
      </c>
      <c r="AS1151">
        <v>0</v>
      </c>
      <c r="AT1151">
        <v>0</v>
      </c>
      <c r="CC1151" t="s">
        <v>432</v>
      </c>
      <c r="CD1151">
        <v>85000</v>
      </c>
      <c r="CE1151" s="1">
        <v>42552</v>
      </c>
      <c r="CF1151" s="1">
        <v>42552</v>
      </c>
      <c r="CG1151" s="1">
        <v>42552</v>
      </c>
      <c r="CH1151" s="1">
        <v>49714</v>
      </c>
      <c r="CI1151" t="s">
        <v>51</v>
      </c>
      <c r="CK1151" t="s">
        <v>78</v>
      </c>
      <c r="CM1151" t="s">
        <v>54</v>
      </c>
      <c r="CN1151" t="s">
        <v>174</v>
      </c>
      <c r="CO1151" t="s">
        <v>86</v>
      </c>
      <c r="CR1151">
        <v>24</v>
      </c>
      <c r="CS1151">
        <v>0</v>
      </c>
      <c r="CT1151">
        <v>0</v>
      </c>
      <c r="CU1151">
        <v>0</v>
      </c>
    </row>
    <row r="1152" spans="1:99" x14ac:dyDescent="0.2">
      <c r="A1152" t="s">
        <v>180</v>
      </c>
      <c r="B1152" t="s">
        <v>181</v>
      </c>
      <c r="C1152" t="s">
        <v>184</v>
      </c>
      <c r="D1152" t="s">
        <v>704</v>
      </c>
      <c r="F1152" t="str">
        <f>"250812"</f>
        <v>250812</v>
      </c>
      <c r="G1152" t="s">
        <v>49</v>
      </c>
      <c r="H1152" t="s">
        <v>233</v>
      </c>
      <c r="K1152" t="s">
        <v>51</v>
      </c>
      <c r="L1152" t="s">
        <v>52</v>
      </c>
      <c r="M1152">
        <v>136086.47</v>
      </c>
      <c r="N1152">
        <v>472442.25</v>
      </c>
      <c r="O1152" t="s">
        <v>53</v>
      </c>
      <c r="P1152" t="s">
        <v>54</v>
      </c>
      <c r="Q1152" t="s">
        <v>55</v>
      </c>
      <c r="T1152" t="s">
        <v>241</v>
      </c>
      <c r="U1152">
        <v>40</v>
      </c>
      <c r="V1152" s="1">
        <v>31594</v>
      </c>
      <c r="W1152" s="1">
        <v>31594</v>
      </c>
      <c r="X1152" s="1">
        <v>31594</v>
      </c>
      <c r="Y1152" s="1">
        <v>46204</v>
      </c>
      <c r="Z1152" t="s">
        <v>51</v>
      </c>
      <c r="AB1152" t="s">
        <v>54</v>
      </c>
      <c r="AC1152">
        <v>1</v>
      </c>
      <c r="AE1152" t="s">
        <v>222</v>
      </c>
      <c r="AF1152">
        <v>20</v>
      </c>
      <c r="AG1152" s="1">
        <v>31594</v>
      </c>
      <c r="AH1152" s="1">
        <v>31594</v>
      </c>
      <c r="AI1152" s="1">
        <v>31594</v>
      </c>
      <c r="AJ1152" s="1">
        <v>38899</v>
      </c>
      <c r="AK1152" t="s">
        <v>51</v>
      </c>
      <c r="AN1152">
        <v>0</v>
      </c>
      <c r="AO1152" t="s">
        <v>54</v>
      </c>
      <c r="AP1152" t="s">
        <v>53</v>
      </c>
      <c r="AQ1152">
        <v>0</v>
      </c>
      <c r="AR1152" t="s">
        <v>53</v>
      </c>
      <c r="AS1152">
        <v>0</v>
      </c>
      <c r="AT1152">
        <v>0</v>
      </c>
      <c r="CC1152" t="s">
        <v>432</v>
      </c>
      <c r="CD1152">
        <v>85000</v>
      </c>
      <c r="CE1152" s="1">
        <v>42552</v>
      </c>
      <c r="CF1152" s="1">
        <v>42552</v>
      </c>
      <c r="CG1152" s="1">
        <v>42552</v>
      </c>
      <c r="CH1152" s="1">
        <v>49714</v>
      </c>
      <c r="CI1152" t="s">
        <v>51</v>
      </c>
      <c r="CK1152" t="s">
        <v>78</v>
      </c>
      <c r="CM1152" t="s">
        <v>54</v>
      </c>
      <c r="CN1152" t="s">
        <v>174</v>
      </c>
      <c r="CO1152" t="s">
        <v>86</v>
      </c>
      <c r="CR1152">
        <v>24</v>
      </c>
      <c r="CS1152">
        <v>0</v>
      </c>
      <c r="CT1152">
        <v>0</v>
      </c>
      <c r="CU1152">
        <v>0</v>
      </c>
    </row>
    <row r="1153" spans="1:99" x14ac:dyDescent="0.2">
      <c r="A1153" t="s">
        <v>180</v>
      </c>
      <c r="B1153" t="s">
        <v>181</v>
      </c>
      <c r="C1153" t="s">
        <v>184</v>
      </c>
      <c r="D1153" t="s">
        <v>705</v>
      </c>
      <c r="F1153" t="str">
        <f>"250813"</f>
        <v>250813</v>
      </c>
      <c r="G1153" t="s">
        <v>49</v>
      </c>
      <c r="H1153" t="s">
        <v>219</v>
      </c>
      <c r="K1153" t="s">
        <v>51</v>
      </c>
      <c r="L1153" t="s">
        <v>52</v>
      </c>
      <c r="M1153">
        <v>136328.78</v>
      </c>
      <c r="N1153">
        <v>472322.97</v>
      </c>
      <c r="O1153" t="s">
        <v>53</v>
      </c>
      <c r="P1153" t="s">
        <v>54</v>
      </c>
      <c r="Q1153" t="s">
        <v>55</v>
      </c>
      <c r="T1153" t="s">
        <v>706</v>
      </c>
      <c r="U1153">
        <v>40</v>
      </c>
      <c r="V1153" s="1">
        <v>42186</v>
      </c>
      <c r="W1153" s="1">
        <v>42186</v>
      </c>
      <c r="X1153" s="1">
        <v>42186</v>
      </c>
      <c r="Y1153" s="1">
        <v>56796</v>
      </c>
      <c r="Z1153" t="s">
        <v>51</v>
      </c>
      <c r="AB1153" t="s">
        <v>54</v>
      </c>
      <c r="AC1153">
        <v>1</v>
      </c>
      <c r="AE1153" t="s">
        <v>79</v>
      </c>
      <c r="AF1153">
        <v>20</v>
      </c>
      <c r="AG1153" s="1">
        <v>42186</v>
      </c>
      <c r="AH1153" s="1">
        <v>42186</v>
      </c>
      <c r="AI1153" s="1">
        <v>42186</v>
      </c>
      <c r="AJ1153" s="1">
        <v>49491</v>
      </c>
      <c r="AK1153" t="s">
        <v>51</v>
      </c>
      <c r="AN1153">
        <v>0</v>
      </c>
      <c r="AO1153" t="s">
        <v>54</v>
      </c>
      <c r="AP1153" t="s">
        <v>53</v>
      </c>
      <c r="AQ1153">
        <v>0</v>
      </c>
      <c r="AR1153" t="s">
        <v>145</v>
      </c>
      <c r="AS1153">
        <v>0</v>
      </c>
      <c r="AT1153">
        <v>0</v>
      </c>
      <c r="CA1153">
        <v>1</v>
      </c>
      <c r="CC1153" t="s">
        <v>185</v>
      </c>
      <c r="CD1153">
        <v>85000</v>
      </c>
      <c r="CE1153" s="1">
        <v>42186</v>
      </c>
      <c r="CF1153" s="1">
        <v>42186</v>
      </c>
      <c r="CG1153" s="1">
        <v>42186</v>
      </c>
      <c r="CH1153" s="1">
        <v>49348</v>
      </c>
      <c r="CI1153" t="s">
        <v>51</v>
      </c>
      <c r="CK1153" t="s">
        <v>78</v>
      </c>
      <c r="CM1153" t="s">
        <v>54</v>
      </c>
      <c r="CN1153" t="s">
        <v>174</v>
      </c>
      <c r="CO1153" t="s">
        <v>86</v>
      </c>
      <c r="CR1153">
        <v>15</v>
      </c>
      <c r="CS1153">
        <v>0</v>
      </c>
      <c r="CT1153">
        <v>0</v>
      </c>
      <c r="CU1153">
        <v>0</v>
      </c>
    </row>
    <row r="1154" spans="1:99" x14ac:dyDescent="0.2">
      <c r="A1154" t="s">
        <v>180</v>
      </c>
      <c r="B1154" t="s">
        <v>181</v>
      </c>
      <c r="C1154" t="s">
        <v>184</v>
      </c>
      <c r="D1154" t="s">
        <v>705</v>
      </c>
      <c r="F1154" t="str">
        <f>"250814"</f>
        <v>250814</v>
      </c>
      <c r="G1154" t="s">
        <v>49</v>
      </c>
      <c r="H1154" t="s">
        <v>221</v>
      </c>
      <c r="K1154" t="s">
        <v>51</v>
      </c>
      <c r="L1154" t="s">
        <v>52</v>
      </c>
      <c r="M1154">
        <v>136312.46</v>
      </c>
      <c r="N1154">
        <v>472306.9</v>
      </c>
      <c r="O1154" t="s">
        <v>53</v>
      </c>
      <c r="P1154" t="s">
        <v>54</v>
      </c>
      <c r="Q1154" t="s">
        <v>55</v>
      </c>
      <c r="T1154" t="s">
        <v>706</v>
      </c>
      <c r="U1154">
        <v>40</v>
      </c>
      <c r="V1154" s="1">
        <v>42186</v>
      </c>
      <c r="W1154" s="1">
        <v>42186</v>
      </c>
      <c r="X1154" s="1">
        <v>42186</v>
      </c>
      <c r="Y1154" s="1">
        <v>56796</v>
      </c>
      <c r="Z1154" t="s">
        <v>51</v>
      </c>
      <c r="AB1154" t="s">
        <v>54</v>
      </c>
      <c r="AC1154">
        <v>1</v>
      </c>
      <c r="AE1154" t="s">
        <v>79</v>
      </c>
      <c r="AF1154">
        <v>20</v>
      </c>
      <c r="AG1154" s="1">
        <v>42186</v>
      </c>
      <c r="AH1154" s="1">
        <v>42186</v>
      </c>
      <c r="AI1154" s="1">
        <v>42186</v>
      </c>
      <c r="AJ1154" s="1">
        <v>49491</v>
      </c>
      <c r="AK1154" t="s">
        <v>51</v>
      </c>
      <c r="AN1154">
        <v>0</v>
      </c>
      <c r="AO1154" t="s">
        <v>54</v>
      </c>
      <c r="AP1154" t="s">
        <v>53</v>
      </c>
      <c r="AQ1154">
        <v>0</v>
      </c>
      <c r="AR1154" t="s">
        <v>145</v>
      </c>
      <c r="AS1154">
        <v>0</v>
      </c>
      <c r="AT1154">
        <v>0</v>
      </c>
      <c r="CA1154">
        <v>1</v>
      </c>
      <c r="CC1154" t="s">
        <v>185</v>
      </c>
      <c r="CD1154">
        <v>85000</v>
      </c>
      <c r="CE1154" s="1">
        <v>42186</v>
      </c>
      <c r="CF1154" s="1">
        <v>42186</v>
      </c>
      <c r="CG1154" s="1">
        <v>42186</v>
      </c>
      <c r="CH1154" s="1">
        <v>49348</v>
      </c>
      <c r="CI1154" t="s">
        <v>51</v>
      </c>
      <c r="CK1154" t="s">
        <v>78</v>
      </c>
      <c r="CM1154" t="s">
        <v>54</v>
      </c>
      <c r="CN1154" t="s">
        <v>174</v>
      </c>
      <c r="CO1154" t="s">
        <v>86</v>
      </c>
      <c r="CR1154">
        <v>15</v>
      </c>
      <c r="CS1154">
        <v>0</v>
      </c>
      <c r="CT1154">
        <v>0</v>
      </c>
      <c r="CU1154">
        <v>0</v>
      </c>
    </row>
    <row r="1155" spans="1:99" x14ac:dyDescent="0.2">
      <c r="A1155" t="s">
        <v>180</v>
      </c>
      <c r="B1155" t="s">
        <v>181</v>
      </c>
      <c r="C1155" t="s">
        <v>184</v>
      </c>
      <c r="D1155" t="s">
        <v>705</v>
      </c>
      <c r="F1155" t="str">
        <f>"250815"</f>
        <v>250815</v>
      </c>
      <c r="G1155" t="s">
        <v>49</v>
      </c>
      <c r="H1155" t="s">
        <v>233</v>
      </c>
      <c r="K1155" t="s">
        <v>51</v>
      </c>
      <c r="L1155" t="s">
        <v>52</v>
      </c>
      <c r="M1155">
        <v>136307.09</v>
      </c>
      <c r="N1155">
        <v>472280.59</v>
      </c>
      <c r="O1155" t="s">
        <v>53</v>
      </c>
      <c r="P1155" t="s">
        <v>54</v>
      </c>
      <c r="Q1155" t="s">
        <v>55</v>
      </c>
      <c r="T1155" t="s">
        <v>706</v>
      </c>
      <c r="U1155">
        <v>40</v>
      </c>
      <c r="V1155" s="1">
        <v>42186</v>
      </c>
      <c r="W1155" s="1">
        <v>42186</v>
      </c>
      <c r="X1155" s="1">
        <v>42186</v>
      </c>
      <c r="Y1155" s="1">
        <v>56796</v>
      </c>
      <c r="Z1155" t="s">
        <v>51</v>
      </c>
      <c r="AB1155" t="s">
        <v>54</v>
      </c>
      <c r="AC1155">
        <v>1</v>
      </c>
      <c r="AE1155" t="s">
        <v>79</v>
      </c>
      <c r="AF1155">
        <v>20</v>
      </c>
      <c r="AG1155" s="1">
        <v>42186</v>
      </c>
      <c r="AH1155" s="1">
        <v>42186</v>
      </c>
      <c r="AI1155" s="1">
        <v>42186</v>
      </c>
      <c r="AJ1155" s="1">
        <v>49491</v>
      </c>
      <c r="AK1155" t="s">
        <v>51</v>
      </c>
      <c r="AN1155">
        <v>0</v>
      </c>
      <c r="AO1155" t="s">
        <v>54</v>
      </c>
      <c r="AP1155" t="s">
        <v>53</v>
      </c>
      <c r="AQ1155">
        <v>0</v>
      </c>
      <c r="AR1155" t="s">
        <v>145</v>
      </c>
      <c r="AS1155">
        <v>0</v>
      </c>
      <c r="AT1155">
        <v>0</v>
      </c>
      <c r="CA1155">
        <v>1</v>
      </c>
      <c r="CC1155" t="s">
        <v>555</v>
      </c>
      <c r="CD1155">
        <v>85000</v>
      </c>
      <c r="CE1155" s="1">
        <v>42186</v>
      </c>
      <c r="CF1155" s="1">
        <v>42186</v>
      </c>
      <c r="CG1155" s="1">
        <v>42186</v>
      </c>
      <c r="CH1155" s="1">
        <v>49348</v>
      </c>
      <c r="CI1155" t="s">
        <v>51</v>
      </c>
      <c r="CK1155" t="s">
        <v>78</v>
      </c>
      <c r="CM1155" t="s">
        <v>54</v>
      </c>
      <c r="CN1155" t="s">
        <v>174</v>
      </c>
      <c r="CO1155" t="s">
        <v>86</v>
      </c>
      <c r="CR1155">
        <v>20</v>
      </c>
      <c r="CS1155">
        <v>0</v>
      </c>
      <c r="CT1155">
        <v>0</v>
      </c>
      <c r="CU1155">
        <v>0</v>
      </c>
    </row>
    <row r="1156" spans="1:99" x14ac:dyDescent="0.2">
      <c r="A1156" t="s">
        <v>180</v>
      </c>
      <c r="B1156" t="s">
        <v>181</v>
      </c>
      <c r="C1156" t="s">
        <v>184</v>
      </c>
      <c r="D1156" t="s">
        <v>705</v>
      </c>
      <c r="F1156" t="str">
        <f>"250816"</f>
        <v>250816</v>
      </c>
      <c r="G1156" t="s">
        <v>49</v>
      </c>
      <c r="H1156" t="s">
        <v>471</v>
      </c>
      <c r="K1156" t="s">
        <v>51</v>
      </c>
      <c r="L1156" t="s">
        <v>52</v>
      </c>
      <c r="M1156">
        <v>136284.26</v>
      </c>
      <c r="N1156">
        <v>472287.96</v>
      </c>
      <c r="O1156" t="s">
        <v>53</v>
      </c>
      <c r="P1156" t="s">
        <v>54</v>
      </c>
      <c r="Q1156" t="s">
        <v>55</v>
      </c>
      <c r="T1156" t="s">
        <v>706</v>
      </c>
      <c r="U1156">
        <v>40</v>
      </c>
      <c r="V1156" s="1">
        <v>42186</v>
      </c>
      <c r="W1156" s="1">
        <v>42186</v>
      </c>
      <c r="X1156" s="1">
        <v>42186</v>
      </c>
      <c r="Y1156" s="1">
        <v>56796</v>
      </c>
      <c r="Z1156" t="s">
        <v>51</v>
      </c>
      <c r="AB1156" t="s">
        <v>54</v>
      </c>
      <c r="AC1156">
        <v>1</v>
      </c>
      <c r="AE1156" t="s">
        <v>79</v>
      </c>
      <c r="AF1156">
        <v>20</v>
      </c>
      <c r="AG1156" s="1">
        <v>42186</v>
      </c>
      <c r="AH1156" s="1">
        <v>42186</v>
      </c>
      <c r="AI1156" s="1">
        <v>42186</v>
      </c>
      <c r="AJ1156" s="1">
        <v>49491</v>
      </c>
      <c r="AK1156" t="s">
        <v>51</v>
      </c>
      <c r="AN1156">
        <v>0</v>
      </c>
      <c r="AO1156" t="s">
        <v>54</v>
      </c>
      <c r="AP1156" t="s">
        <v>53</v>
      </c>
      <c r="AQ1156">
        <v>0</v>
      </c>
      <c r="AR1156" t="s">
        <v>145</v>
      </c>
      <c r="AS1156">
        <v>0</v>
      </c>
      <c r="AT1156">
        <v>0</v>
      </c>
      <c r="CC1156" t="s">
        <v>185</v>
      </c>
      <c r="CD1156">
        <v>85000</v>
      </c>
      <c r="CE1156" s="1">
        <v>42186</v>
      </c>
      <c r="CF1156" s="1">
        <v>42186</v>
      </c>
      <c r="CG1156" s="1">
        <v>42186</v>
      </c>
      <c r="CH1156" s="1">
        <v>49348</v>
      </c>
      <c r="CI1156" t="s">
        <v>51</v>
      </c>
      <c r="CK1156" t="s">
        <v>78</v>
      </c>
      <c r="CM1156" t="s">
        <v>54</v>
      </c>
      <c r="CN1156" t="s">
        <v>174</v>
      </c>
      <c r="CO1156" t="s">
        <v>86</v>
      </c>
      <c r="CR1156">
        <v>15</v>
      </c>
      <c r="CS1156">
        <v>0</v>
      </c>
      <c r="CT1156">
        <v>0</v>
      </c>
      <c r="CU1156">
        <v>0</v>
      </c>
    </row>
    <row r="1157" spans="1:99" x14ac:dyDescent="0.2">
      <c r="A1157" t="s">
        <v>180</v>
      </c>
      <c r="B1157" t="s">
        <v>181</v>
      </c>
      <c r="C1157" t="s">
        <v>184</v>
      </c>
      <c r="D1157" t="s">
        <v>705</v>
      </c>
      <c r="F1157" t="str">
        <f>"250817"</f>
        <v>250817</v>
      </c>
      <c r="G1157" t="s">
        <v>49</v>
      </c>
      <c r="H1157" t="s">
        <v>472</v>
      </c>
      <c r="K1157" t="s">
        <v>51</v>
      </c>
      <c r="L1157" t="s">
        <v>52</v>
      </c>
      <c r="M1157">
        <v>136264.17000000001</v>
      </c>
      <c r="N1157">
        <v>472305.81</v>
      </c>
      <c r="O1157" t="s">
        <v>53</v>
      </c>
      <c r="P1157" t="s">
        <v>54</v>
      </c>
      <c r="Q1157" t="s">
        <v>55</v>
      </c>
      <c r="T1157" t="s">
        <v>706</v>
      </c>
      <c r="U1157">
        <v>40</v>
      </c>
      <c r="V1157" s="1">
        <v>42186</v>
      </c>
      <c r="W1157" s="1">
        <v>42186</v>
      </c>
      <c r="X1157" s="1">
        <v>42186</v>
      </c>
      <c r="Y1157" s="1">
        <v>56796</v>
      </c>
      <c r="Z1157" t="s">
        <v>51</v>
      </c>
      <c r="AB1157" t="s">
        <v>54</v>
      </c>
      <c r="AC1157">
        <v>1</v>
      </c>
      <c r="AE1157" t="s">
        <v>79</v>
      </c>
      <c r="AF1157">
        <v>20</v>
      </c>
      <c r="AG1157" s="1">
        <v>42186</v>
      </c>
      <c r="AH1157" s="1">
        <v>42186</v>
      </c>
      <c r="AI1157" s="1">
        <v>42186</v>
      </c>
      <c r="AJ1157" s="1">
        <v>49491</v>
      </c>
      <c r="AK1157" t="s">
        <v>51</v>
      </c>
      <c r="AN1157">
        <v>0</v>
      </c>
      <c r="AO1157" t="s">
        <v>54</v>
      </c>
      <c r="AP1157" t="s">
        <v>53</v>
      </c>
      <c r="AQ1157">
        <v>0</v>
      </c>
      <c r="AR1157" t="s">
        <v>145</v>
      </c>
      <c r="AS1157">
        <v>0</v>
      </c>
      <c r="AT1157">
        <v>0</v>
      </c>
      <c r="CA1157">
        <v>1</v>
      </c>
      <c r="CC1157" t="s">
        <v>185</v>
      </c>
      <c r="CD1157">
        <v>85000</v>
      </c>
      <c r="CE1157" s="1">
        <v>42186</v>
      </c>
      <c r="CF1157" s="1">
        <v>42186</v>
      </c>
      <c r="CG1157" s="1">
        <v>42186</v>
      </c>
      <c r="CH1157" s="1">
        <v>49348</v>
      </c>
      <c r="CI1157" t="s">
        <v>51</v>
      </c>
      <c r="CK1157" t="s">
        <v>78</v>
      </c>
      <c r="CM1157" t="s">
        <v>54</v>
      </c>
      <c r="CN1157" t="s">
        <v>174</v>
      </c>
      <c r="CO1157" t="s">
        <v>86</v>
      </c>
      <c r="CR1157">
        <v>15</v>
      </c>
      <c r="CS1157">
        <v>0</v>
      </c>
      <c r="CT1157">
        <v>0</v>
      </c>
      <c r="CU1157">
        <v>0</v>
      </c>
    </row>
    <row r="1158" spans="1:99" x14ac:dyDescent="0.2">
      <c r="A1158" t="s">
        <v>180</v>
      </c>
      <c r="B1158" t="s">
        <v>181</v>
      </c>
      <c r="C1158" t="s">
        <v>184</v>
      </c>
      <c r="D1158" t="s">
        <v>705</v>
      </c>
      <c r="F1158" t="str">
        <f>"250818"</f>
        <v>250818</v>
      </c>
      <c r="G1158" t="s">
        <v>49</v>
      </c>
      <c r="H1158" t="s">
        <v>261</v>
      </c>
      <c r="K1158" t="s">
        <v>51</v>
      </c>
      <c r="L1158" t="s">
        <v>52</v>
      </c>
      <c r="M1158">
        <v>136245.29999999999</v>
      </c>
      <c r="N1158">
        <v>472294.65</v>
      </c>
      <c r="O1158" t="s">
        <v>53</v>
      </c>
      <c r="P1158" t="s">
        <v>54</v>
      </c>
      <c r="Q1158" t="s">
        <v>55</v>
      </c>
      <c r="T1158" t="s">
        <v>706</v>
      </c>
      <c r="U1158">
        <v>40</v>
      </c>
      <c r="V1158" s="1">
        <v>42186</v>
      </c>
      <c r="W1158" s="1">
        <v>42186</v>
      </c>
      <c r="X1158" s="1">
        <v>42186</v>
      </c>
      <c r="Y1158" s="1">
        <v>56796</v>
      </c>
      <c r="Z1158" t="s">
        <v>51</v>
      </c>
      <c r="AB1158" t="s">
        <v>54</v>
      </c>
      <c r="AC1158">
        <v>1</v>
      </c>
      <c r="AE1158" t="s">
        <v>79</v>
      </c>
      <c r="AF1158">
        <v>20</v>
      </c>
      <c r="AG1158" s="1">
        <v>42186</v>
      </c>
      <c r="AH1158" s="1">
        <v>42186</v>
      </c>
      <c r="AI1158" s="1">
        <v>42186</v>
      </c>
      <c r="AJ1158" s="1">
        <v>49491</v>
      </c>
      <c r="AK1158" t="s">
        <v>51</v>
      </c>
      <c r="AN1158">
        <v>0</v>
      </c>
      <c r="AO1158" t="s">
        <v>54</v>
      </c>
      <c r="AP1158" t="s">
        <v>53</v>
      </c>
      <c r="AQ1158">
        <v>0</v>
      </c>
      <c r="AR1158" t="s">
        <v>145</v>
      </c>
      <c r="AS1158">
        <v>0</v>
      </c>
      <c r="AT1158">
        <v>0</v>
      </c>
      <c r="CA1158">
        <v>1</v>
      </c>
      <c r="CC1158" t="s">
        <v>185</v>
      </c>
      <c r="CD1158">
        <v>85000</v>
      </c>
      <c r="CE1158" s="1">
        <v>42186</v>
      </c>
      <c r="CF1158" s="1">
        <v>42186</v>
      </c>
      <c r="CG1158" s="1">
        <v>42186</v>
      </c>
      <c r="CH1158" s="1">
        <v>49348</v>
      </c>
      <c r="CI1158" t="s">
        <v>51</v>
      </c>
      <c r="CK1158" t="s">
        <v>78</v>
      </c>
      <c r="CM1158" t="s">
        <v>54</v>
      </c>
      <c r="CN1158" t="s">
        <v>174</v>
      </c>
      <c r="CO1158" t="s">
        <v>86</v>
      </c>
      <c r="CR1158">
        <v>15</v>
      </c>
      <c r="CS1158">
        <v>0</v>
      </c>
      <c r="CT1158">
        <v>0</v>
      </c>
      <c r="CU1158">
        <v>0</v>
      </c>
    </row>
    <row r="1159" spans="1:99" x14ac:dyDescent="0.2">
      <c r="A1159" t="s">
        <v>180</v>
      </c>
      <c r="B1159" t="s">
        <v>181</v>
      </c>
      <c r="C1159" t="s">
        <v>184</v>
      </c>
      <c r="D1159" t="s">
        <v>705</v>
      </c>
      <c r="F1159" t="str">
        <f>"250819"</f>
        <v>250819</v>
      </c>
      <c r="G1159" t="s">
        <v>49</v>
      </c>
      <c r="H1159" t="s">
        <v>578</v>
      </c>
      <c r="K1159" t="s">
        <v>51</v>
      </c>
      <c r="L1159" t="s">
        <v>52</v>
      </c>
      <c r="M1159">
        <v>136229.09</v>
      </c>
      <c r="N1159">
        <v>472277.3</v>
      </c>
      <c r="O1159" t="s">
        <v>53</v>
      </c>
      <c r="P1159" t="s">
        <v>54</v>
      </c>
      <c r="Q1159" t="s">
        <v>55</v>
      </c>
      <c r="T1159" t="s">
        <v>706</v>
      </c>
      <c r="U1159">
        <v>40</v>
      </c>
      <c r="V1159" s="1">
        <v>42186</v>
      </c>
      <c r="W1159" s="1">
        <v>42186</v>
      </c>
      <c r="X1159" s="1">
        <v>42186</v>
      </c>
      <c r="Y1159" s="1">
        <v>56796</v>
      </c>
      <c r="Z1159" t="s">
        <v>51</v>
      </c>
      <c r="AB1159" t="s">
        <v>54</v>
      </c>
      <c r="AC1159">
        <v>1</v>
      </c>
      <c r="AE1159" t="s">
        <v>79</v>
      </c>
      <c r="AF1159">
        <v>20</v>
      </c>
      <c r="AG1159" s="1">
        <v>42186</v>
      </c>
      <c r="AH1159" s="1">
        <v>42186</v>
      </c>
      <c r="AI1159" s="1">
        <v>42186</v>
      </c>
      <c r="AJ1159" s="1">
        <v>49491</v>
      </c>
      <c r="AK1159" t="s">
        <v>51</v>
      </c>
      <c r="AN1159">
        <v>0</v>
      </c>
      <c r="AO1159" t="s">
        <v>54</v>
      </c>
      <c r="AP1159" t="s">
        <v>53</v>
      </c>
      <c r="AQ1159">
        <v>0</v>
      </c>
      <c r="AR1159" t="s">
        <v>145</v>
      </c>
      <c r="AS1159">
        <v>0</v>
      </c>
      <c r="AT1159">
        <v>0</v>
      </c>
      <c r="CA1159">
        <v>1</v>
      </c>
      <c r="CC1159" t="s">
        <v>185</v>
      </c>
      <c r="CD1159">
        <v>85000</v>
      </c>
      <c r="CE1159" s="1">
        <v>42186</v>
      </c>
      <c r="CF1159" s="1">
        <v>42186</v>
      </c>
      <c r="CG1159" s="1">
        <v>42186</v>
      </c>
      <c r="CH1159" s="1">
        <v>49348</v>
      </c>
      <c r="CI1159" t="s">
        <v>51</v>
      </c>
      <c r="CK1159" t="s">
        <v>78</v>
      </c>
      <c r="CM1159" t="s">
        <v>54</v>
      </c>
      <c r="CN1159" t="s">
        <v>174</v>
      </c>
      <c r="CO1159" t="s">
        <v>86</v>
      </c>
      <c r="CR1159">
        <v>15</v>
      </c>
      <c r="CS1159">
        <v>0</v>
      </c>
      <c r="CT1159">
        <v>0</v>
      </c>
      <c r="CU1159">
        <v>0</v>
      </c>
    </row>
    <row r="1160" spans="1:99" x14ac:dyDescent="0.2">
      <c r="A1160" t="s">
        <v>180</v>
      </c>
      <c r="B1160" t="s">
        <v>181</v>
      </c>
      <c r="C1160" t="s">
        <v>184</v>
      </c>
      <c r="D1160" t="s">
        <v>705</v>
      </c>
      <c r="F1160" t="str">
        <f>"250820"</f>
        <v>250820</v>
      </c>
      <c r="G1160" t="s">
        <v>49</v>
      </c>
      <c r="H1160" t="s">
        <v>297</v>
      </c>
      <c r="K1160" t="s">
        <v>51</v>
      </c>
      <c r="L1160" t="s">
        <v>52</v>
      </c>
      <c r="M1160">
        <v>136305.82999999999</v>
      </c>
      <c r="N1160">
        <v>472263.29</v>
      </c>
      <c r="O1160" t="s">
        <v>53</v>
      </c>
      <c r="P1160" t="s">
        <v>54</v>
      </c>
      <c r="Q1160" t="s">
        <v>55</v>
      </c>
      <c r="T1160" t="s">
        <v>241</v>
      </c>
      <c r="U1160">
        <v>40</v>
      </c>
      <c r="V1160" s="1">
        <v>42186</v>
      </c>
      <c r="W1160" s="1">
        <v>42186</v>
      </c>
      <c r="X1160" s="1">
        <v>42186</v>
      </c>
      <c r="Y1160" s="1">
        <v>56796</v>
      </c>
      <c r="Z1160" t="s">
        <v>51</v>
      </c>
      <c r="AB1160" t="s">
        <v>54</v>
      </c>
      <c r="AC1160">
        <v>1</v>
      </c>
      <c r="AE1160" t="s">
        <v>79</v>
      </c>
      <c r="AF1160">
        <v>20</v>
      </c>
      <c r="AG1160" s="1">
        <v>42186</v>
      </c>
      <c r="AH1160" s="1">
        <v>42186</v>
      </c>
      <c r="AI1160" s="1">
        <v>42186</v>
      </c>
      <c r="AJ1160" s="1">
        <v>49491</v>
      </c>
      <c r="AK1160" t="s">
        <v>51</v>
      </c>
      <c r="AN1160">
        <v>0</v>
      </c>
      <c r="AO1160" t="s">
        <v>54</v>
      </c>
      <c r="AP1160" t="s">
        <v>53</v>
      </c>
      <c r="AQ1160">
        <v>0</v>
      </c>
      <c r="AR1160" t="s">
        <v>145</v>
      </c>
      <c r="AS1160">
        <v>0</v>
      </c>
      <c r="AT1160">
        <v>0</v>
      </c>
      <c r="CC1160" t="s">
        <v>560</v>
      </c>
      <c r="CD1160">
        <v>85000</v>
      </c>
      <c r="CE1160" s="1">
        <v>42186</v>
      </c>
      <c r="CF1160" s="1">
        <v>42186</v>
      </c>
      <c r="CG1160" s="1">
        <v>42186</v>
      </c>
      <c r="CH1160" s="1">
        <v>49348</v>
      </c>
      <c r="CI1160" t="s">
        <v>51</v>
      </c>
      <c r="CK1160" t="s">
        <v>78</v>
      </c>
      <c r="CM1160" t="s">
        <v>54</v>
      </c>
      <c r="CN1160" t="s">
        <v>174</v>
      </c>
      <c r="CO1160" t="s">
        <v>86</v>
      </c>
      <c r="CR1160">
        <v>36</v>
      </c>
      <c r="CS1160">
        <v>0</v>
      </c>
      <c r="CT1160">
        <v>0</v>
      </c>
      <c r="CU1160">
        <v>0</v>
      </c>
    </row>
    <row r="1161" spans="1:99" x14ac:dyDescent="0.2">
      <c r="A1161" t="s">
        <v>180</v>
      </c>
      <c r="B1161" t="s">
        <v>181</v>
      </c>
      <c r="C1161" t="s">
        <v>184</v>
      </c>
      <c r="D1161" t="s">
        <v>705</v>
      </c>
      <c r="F1161" t="str">
        <f>"250821"</f>
        <v>250821</v>
      </c>
      <c r="G1161" t="s">
        <v>49</v>
      </c>
      <c r="K1161" t="s">
        <v>51</v>
      </c>
      <c r="L1161" t="s">
        <v>52</v>
      </c>
      <c r="M1161">
        <v>136215.94</v>
      </c>
      <c r="N1161">
        <v>472307.71</v>
      </c>
      <c r="O1161" t="s">
        <v>53</v>
      </c>
      <c r="P1161" t="s">
        <v>54</v>
      </c>
      <c r="Q1161" t="s">
        <v>55</v>
      </c>
      <c r="T1161" t="s">
        <v>682</v>
      </c>
      <c r="U1161">
        <v>40</v>
      </c>
      <c r="V1161" s="1">
        <v>42186</v>
      </c>
      <c r="W1161" s="1">
        <v>42186</v>
      </c>
      <c r="X1161" s="1">
        <v>42186</v>
      </c>
      <c r="Y1161" s="1">
        <v>56796</v>
      </c>
      <c r="Z1161" t="s">
        <v>51</v>
      </c>
      <c r="AB1161" t="s">
        <v>54</v>
      </c>
      <c r="AC1161">
        <v>1</v>
      </c>
      <c r="AE1161" t="s">
        <v>79</v>
      </c>
      <c r="AF1161">
        <v>20</v>
      </c>
      <c r="AG1161" s="1">
        <v>42186</v>
      </c>
      <c r="AH1161" s="1">
        <v>42186</v>
      </c>
      <c r="AI1161" s="1">
        <v>42186</v>
      </c>
      <c r="AJ1161" s="1">
        <v>49491</v>
      </c>
      <c r="AK1161" t="s">
        <v>51</v>
      </c>
      <c r="AN1161">
        <v>0</v>
      </c>
      <c r="AO1161" t="s">
        <v>54</v>
      </c>
      <c r="AP1161" t="s">
        <v>53</v>
      </c>
      <c r="AQ1161">
        <v>0</v>
      </c>
      <c r="AR1161" t="s">
        <v>145</v>
      </c>
      <c r="AS1161">
        <v>0</v>
      </c>
      <c r="AT1161">
        <v>0</v>
      </c>
      <c r="CC1161" t="s">
        <v>560</v>
      </c>
      <c r="CD1161">
        <v>85000</v>
      </c>
      <c r="CE1161" s="1">
        <v>42186</v>
      </c>
      <c r="CF1161" s="1">
        <v>42186</v>
      </c>
      <c r="CG1161" s="1">
        <v>42186</v>
      </c>
      <c r="CH1161" s="1">
        <v>49772</v>
      </c>
      <c r="CI1161" t="s">
        <v>51</v>
      </c>
      <c r="CK1161" t="s">
        <v>78</v>
      </c>
      <c r="CM1161" t="s">
        <v>54</v>
      </c>
      <c r="CN1161" t="s">
        <v>174</v>
      </c>
      <c r="CO1161" t="s">
        <v>86</v>
      </c>
      <c r="CR1161">
        <v>36</v>
      </c>
      <c r="CS1161">
        <v>0</v>
      </c>
      <c r="CT1161">
        <v>0</v>
      </c>
      <c r="CU1161">
        <v>0</v>
      </c>
    </row>
    <row r="1162" spans="1:99" x14ac:dyDescent="0.2">
      <c r="A1162" t="s">
        <v>180</v>
      </c>
      <c r="B1162" t="s">
        <v>181</v>
      </c>
      <c r="C1162" t="s">
        <v>184</v>
      </c>
      <c r="D1162" t="s">
        <v>705</v>
      </c>
      <c r="F1162" t="str">
        <f>"250822"</f>
        <v>250822</v>
      </c>
      <c r="G1162" t="s">
        <v>49</v>
      </c>
      <c r="H1162" t="s">
        <v>633</v>
      </c>
      <c r="K1162" t="s">
        <v>51</v>
      </c>
      <c r="L1162" t="s">
        <v>52</v>
      </c>
      <c r="M1162">
        <v>136208.81</v>
      </c>
      <c r="N1162">
        <v>472295.28</v>
      </c>
      <c r="O1162" t="s">
        <v>53</v>
      </c>
      <c r="P1162" t="s">
        <v>54</v>
      </c>
      <c r="Q1162" t="s">
        <v>55</v>
      </c>
      <c r="T1162" t="s">
        <v>707</v>
      </c>
      <c r="U1162">
        <v>40</v>
      </c>
      <c r="V1162" s="1">
        <v>42186</v>
      </c>
      <c r="W1162" s="1">
        <v>42186</v>
      </c>
      <c r="X1162" s="1">
        <v>42186</v>
      </c>
      <c r="Y1162" s="1">
        <v>56796</v>
      </c>
      <c r="Z1162" t="s">
        <v>51</v>
      </c>
      <c r="AB1162" t="s">
        <v>54</v>
      </c>
      <c r="AC1162">
        <v>1</v>
      </c>
      <c r="AE1162" t="s">
        <v>79</v>
      </c>
      <c r="AF1162">
        <v>20</v>
      </c>
      <c r="AG1162" s="1">
        <v>42186</v>
      </c>
      <c r="AH1162" s="1">
        <v>42186</v>
      </c>
      <c r="AI1162" s="1">
        <v>42186</v>
      </c>
      <c r="AJ1162" s="1">
        <v>49491</v>
      </c>
      <c r="AK1162" t="s">
        <v>51</v>
      </c>
      <c r="AN1162">
        <v>0</v>
      </c>
      <c r="AO1162" t="s">
        <v>54</v>
      </c>
      <c r="AP1162" t="s">
        <v>53</v>
      </c>
      <c r="AQ1162">
        <v>0</v>
      </c>
      <c r="AR1162" t="s">
        <v>145</v>
      </c>
      <c r="AS1162">
        <v>0</v>
      </c>
      <c r="AT1162">
        <v>0</v>
      </c>
      <c r="CC1162" t="s">
        <v>432</v>
      </c>
      <c r="CD1162">
        <v>85000</v>
      </c>
      <c r="CE1162" s="1">
        <v>42186</v>
      </c>
      <c r="CF1162" s="1">
        <v>42186</v>
      </c>
      <c r="CG1162" s="1">
        <v>42186</v>
      </c>
      <c r="CH1162" s="1">
        <v>49348</v>
      </c>
      <c r="CI1162" t="s">
        <v>51</v>
      </c>
      <c r="CK1162" t="s">
        <v>78</v>
      </c>
      <c r="CM1162" t="s">
        <v>54</v>
      </c>
      <c r="CN1162" t="s">
        <v>174</v>
      </c>
      <c r="CO1162" t="s">
        <v>86</v>
      </c>
      <c r="CR1162">
        <v>24</v>
      </c>
      <c r="CS1162">
        <v>0</v>
      </c>
      <c r="CT1162">
        <v>0</v>
      </c>
      <c r="CU1162">
        <v>0</v>
      </c>
    </row>
    <row r="1163" spans="1:99" x14ac:dyDescent="0.2">
      <c r="A1163" t="s">
        <v>180</v>
      </c>
      <c r="B1163" t="s">
        <v>181</v>
      </c>
      <c r="C1163" t="s">
        <v>184</v>
      </c>
      <c r="D1163" t="s">
        <v>705</v>
      </c>
      <c r="F1163" t="str">
        <f>"250823"</f>
        <v>250823</v>
      </c>
      <c r="G1163" t="s">
        <v>49</v>
      </c>
      <c r="K1163" t="s">
        <v>51</v>
      </c>
      <c r="L1163" t="s">
        <v>52</v>
      </c>
      <c r="M1163">
        <v>136196.54999999999</v>
      </c>
      <c r="N1163">
        <v>472321.5</v>
      </c>
      <c r="O1163" t="s">
        <v>53</v>
      </c>
      <c r="P1163" t="s">
        <v>54</v>
      </c>
      <c r="Q1163" t="s">
        <v>55</v>
      </c>
      <c r="T1163" t="s">
        <v>431</v>
      </c>
      <c r="U1163">
        <v>40</v>
      </c>
      <c r="V1163" s="1">
        <v>42186</v>
      </c>
      <c r="W1163" s="1">
        <v>42186</v>
      </c>
      <c r="X1163" s="1">
        <v>42186</v>
      </c>
      <c r="Y1163" s="1">
        <v>56796</v>
      </c>
      <c r="Z1163" t="s">
        <v>51</v>
      </c>
      <c r="AB1163" t="s">
        <v>54</v>
      </c>
      <c r="AC1163">
        <v>1</v>
      </c>
      <c r="AE1163" t="s">
        <v>79</v>
      </c>
      <c r="AF1163">
        <v>20</v>
      </c>
      <c r="AG1163" s="1">
        <v>42186</v>
      </c>
      <c r="AH1163" s="1">
        <v>42186</v>
      </c>
      <c r="AI1163" s="1">
        <v>42186</v>
      </c>
      <c r="AJ1163" s="1">
        <v>49491</v>
      </c>
      <c r="AK1163" t="s">
        <v>51</v>
      </c>
      <c r="AN1163">
        <v>0</v>
      </c>
      <c r="AO1163" t="s">
        <v>54</v>
      </c>
      <c r="AP1163" t="s">
        <v>53</v>
      </c>
      <c r="AQ1163">
        <v>0</v>
      </c>
      <c r="AR1163" t="s">
        <v>145</v>
      </c>
      <c r="AS1163">
        <v>0</v>
      </c>
      <c r="AT1163">
        <v>0</v>
      </c>
      <c r="CC1163" t="s">
        <v>560</v>
      </c>
      <c r="CD1163">
        <v>85000</v>
      </c>
      <c r="CE1163" s="1">
        <v>42186</v>
      </c>
      <c r="CF1163" s="1">
        <v>42186</v>
      </c>
      <c r="CG1163" s="1">
        <v>42186</v>
      </c>
      <c r="CH1163" s="1">
        <v>49348</v>
      </c>
      <c r="CI1163" t="s">
        <v>51</v>
      </c>
      <c r="CK1163" t="s">
        <v>78</v>
      </c>
      <c r="CM1163" t="s">
        <v>54</v>
      </c>
      <c r="CN1163" t="s">
        <v>174</v>
      </c>
      <c r="CO1163" t="s">
        <v>86</v>
      </c>
      <c r="CR1163">
        <v>36</v>
      </c>
      <c r="CS1163">
        <v>0</v>
      </c>
      <c r="CT1163">
        <v>0</v>
      </c>
      <c r="CU1163">
        <v>0</v>
      </c>
    </row>
    <row r="1164" spans="1:99" x14ac:dyDescent="0.2">
      <c r="A1164" t="s">
        <v>180</v>
      </c>
      <c r="B1164" t="s">
        <v>181</v>
      </c>
      <c r="C1164" t="s">
        <v>184</v>
      </c>
      <c r="D1164" t="s">
        <v>708</v>
      </c>
      <c r="F1164" t="str">
        <f>"250824"</f>
        <v>250824</v>
      </c>
      <c r="G1164" t="s">
        <v>49</v>
      </c>
      <c r="H1164" t="s">
        <v>709</v>
      </c>
      <c r="K1164" t="s">
        <v>51</v>
      </c>
      <c r="L1164" t="s">
        <v>52</v>
      </c>
      <c r="M1164">
        <v>136035.94</v>
      </c>
      <c r="N1164">
        <v>472252.14</v>
      </c>
      <c r="O1164" t="s">
        <v>53</v>
      </c>
      <c r="P1164" t="s">
        <v>54</v>
      </c>
      <c r="Q1164" t="s">
        <v>55</v>
      </c>
      <c r="T1164" t="s">
        <v>241</v>
      </c>
      <c r="U1164">
        <v>40</v>
      </c>
      <c r="V1164" s="1">
        <v>33420</v>
      </c>
      <c r="W1164" s="1">
        <v>33420</v>
      </c>
      <c r="X1164" s="1">
        <v>33420</v>
      </c>
      <c r="Y1164" s="1">
        <v>48030</v>
      </c>
      <c r="Z1164" t="s">
        <v>51</v>
      </c>
      <c r="AB1164" t="s">
        <v>54</v>
      </c>
      <c r="AC1164">
        <v>1</v>
      </c>
      <c r="AE1164" t="s">
        <v>222</v>
      </c>
      <c r="AF1164">
        <v>20</v>
      </c>
      <c r="AG1164" s="1">
        <v>33420</v>
      </c>
      <c r="AH1164" s="1">
        <v>33420</v>
      </c>
      <c r="AI1164" s="1">
        <v>33420</v>
      </c>
      <c r="AJ1164" s="1">
        <v>40725</v>
      </c>
      <c r="AK1164" t="s">
        <v>51</v>
      </c>
      <c r="AN1164">
        <v>0</v>
      </c>
      <c r="AO1164" t="s">
        <v>54</v>
      </c>
      <c r="AP1164" t="s">
        <v>53</v>
      </c>
      <c r="AQ1164">
        <v>0</v>
      </c>
      <c r="AR1164" t="s">
        <v>53</v>
      </c>
      <c r="AS1164">
        <v>0</v>
      </c>
      <c r="AT1164">
        <v>0</v>
      </c>
      <c r="AW1164" t="s">
        <v>58</v>
      </c>
      <c r="AX1164">
        <v>20</v>
      </c>
      <c r="AY1164" s="1">
        <v>33420</v>
      </c>
      <c r="AZ1164" s="1">
        <v>33420</v>
      </c>
      <c r="BA1164" s="1">
        <v>33420</v>
      </c>
      <c r="BB1164" s="1">
        <v>40725</v>
      </c>
      <c r="BC1164" t="s">
        <v>51</v>
      </c>
      <c r="BE1164" t="s">
        <v>54</v>
      </c>
      <c r="BF1164">
        <v>2</v>
      </c>
      <c r="BG1164">
        <v>0</v>
      </c>
      <c r="BH1164" t="s">
        <v>53</v>
      </c>
      <c r="BK1164" t="s">
        <v>65</v>
      </c>
      <c r="BL1164">
        <v>14000</v>
      </c>
      <c r="BM1164" s="1">
        <v>42917</v>
      </c>
      <c r="BN1164" s="1">
        <v>42917</v>
      </c>
      <c r="BO1164" s="1">
        <v>42917</v>
      </c>
      <c r="BP1164" s="1">
        <v>44117</v>
      </c>
      <c r="BQ1164" t="s">
        <v>51</v>
      </c>
      <c r="BS1164" t="s">
        <v>60</v>
      </c>
      <c r="BT1164" t="s">
        <v>54</v>
      </c>
      <c r="BU1164" t="s">
        <v>61</v>
      </c>
      <c r="BV1164" t="s">
        <v>62</v>
      </c>
      <c r="BX1164">
        <v>36</v>
      </c>
      <c r="BY1164">
        <v>0</v>
      </c>
      <c r="BZ1164">
        <v>0</v>
      </c>
    </row>
    <row r="1165" spans="1:99" x14ac:dyDescent="0.2">
      <c r="A1165" t="s">
        <v>180</v>
      </c>
      <c r="B1165" t="s">
        <v>181</v>
      </c>
      <c r="C1165" t="s">
        <v>184</v>
      </c>
      <c r="D1165" t="s">
        <v>708</v>
      </c>
      <c r="F1165" t="str">
        <f>"250825"</f>
        <v>250825</v>
      </c>
      <c r="G1165" t="s">
        <v>49</v>
      </c>
      <c r="H1165" t="s">
        <v>249</v>
      </c>
      <c r="K1165" t="s">
        <v>51</v>
      </c>
      <c r="L1165" t="s">
        <v>52</v>
      </c>
      <c r="M1165">
        <v>136020.07</v>
      </c>
      <c r="N1165">
        <v>472240.13</v>
      </c>
      <c r="O1165" t="s">
        <v>53</v>
      </c>
      <c r="P1165" t="s">
        <v>54</v>
      </c>
      <c r="Q1165" t="s">
        <v>55</v>
      </c>
      <c r="T1165" t="s">
        <v>241</v>
      </c>
      <c r="U1165">
        <v>40</v>
      </c>
      <c r="V1165" s="1">
        <v>33239</v>
      </c>
      <c r="W1165" s="1">
        <v>33239</v>
      </c>
      <c r="X1165" s="1">
        <v>33239</v>
      </c>
      <c r="Y1165" s="1">
        <v>47849</v>
      </c>
      <c r="Z1165" t="s">
        <v>51</v>
      </c>
      <c r="AB1165" t="s">
        <v>54</v>
      </c>
      <c r="AC1165">
        <v>1</v>
      </c>
      <c r="AE1165" t="s">
        <v>222</v>
      </c>
      <c r="AF1165">
        <v>20</v>
      </c>
      <c r="AG1165" s="1">
        <v>33239</v>
      </c>
      <c r="AH1165" s="1">
        <v>33239</v>
      </c>
      <c r="AI1165" s="1">
        <v>33239</v>
      </c>
      <c r="AJ1165" s="1">
        <v>40544</v>
      </c>
      <c r="AK1165" t="s">
        <v>51</v>
      </c>
      <c r="AN1165">
        <v>0</v>
      </c>
      <c r="AO1165" t="s">
        <v>54</v>
      </c>
      <c r="AP1165" t="s">
        <v>53</v>
      </c>
      <c r="AQ1165">
        <v>0</v>
      </c>
      <c r="AR1165" t="s">
        <v>53</v>
      </c>
      <c r="AS1165">
        <v>0</v>
      </c>
      <c r="AT1165">
        <v>0</v>
      </c>
      <c r="AW1165" t="s">
        <v>58</v>
      </c>
      <c r="AX1165">
        <v>20</v>
      </c>
      <c r="AY1165" s="1">
        <v>33239</v>
      </c>
      <c r="AZ1165" s="1">
        <v>33239</v>
      </c>
      <c r="BA1165" s="1">
        <v>33239</v>
      </c>
      <c r="BB1165" s="1">
        <v>40544</v>
      </c>
      <c r="BC1165" t="s">
        <v>51</v>
      </c>
      <c r="BE1165" t="s">
        <v>54</v>
      </c>
      <c r="BF1165">
        <v>2</v>
      </c>
      <c r="BG1165">
        <v>0</v>
      </c>
      <c r="BH1165" t="s">
        <v>53</v>
      </c>
      <c r="BK1165" t="s">
        <v>59</v>
      </c>
      <c r="BL1165">
        <v>14000</v>
      </c>
      <c r="BM1165" s="1">
        <v>42917</v>
      </c>
      <c r="BN1165" s="1">
        <v>42917</v>
      </c>
      <c r="BO1165" s="1">
        <v>42917</v>
      </c>
      <c r="BP1165" s="1">
        <v>44117</v>
      </c>
      <c r="BQ1165" t="s">
        <v>51</v>
      </c>
      <c r="BS1165" t="s">
        <v>60</v>
      </c>
      <c r="BT1165" t="s">
        <v>54</v>
      </c>
      <c r="BU1165" t="s">
        <v>61</v>
      </c>
      <c r="BV1165" t="s">
        <v>62</v>
      </c>
      <c r="BX1165">
        <v>24</v>
      </c>
      <c r="BY1165">
        <v>0</v>
      </c>
      <c r="BZ1165">
        <v>0</v>
      </c>
    </row>
    <row r="1166" spans="1:99" x14ac:dyDescent="0.2">
      <c r="A1166" t="s">
        <v>180</v>
      </c>
      <c r="B1166" t="s">
        <v>181</v>
      </c>
      <c r="C1166" t="s">
        <v>184</v>
      </c>
      <c r="D1166" t="s">
        <v>708</v>
      </c>
      <c r="F1166" t="str">
        <f>"250826"</f>
        <v>250826</v>
      </c>
      <c r="G1166" t="s">
        <v>49</v>
      </c>
      <c r="H1166" t="s">
        <v>223</v>
      </c>
      <c r="K1166" t="s">
        <v>51</v>
      </c>
      <c r="L1166" t="s">
        <v>52</v>
      </c>
      <c r="M1166">
        <v>136043.22</v>
      </c>
      <c r="N1166">
        <v>472233.86</v>
      </c>
      <c r="O1166" t="s">
        <v>53</v>
      </c>
      <c r="P1166" t="s">
        <v>54</v>
      </c>
      <c r="Q1166" t="s">
        <v>55</v>
      </c>
      <c r="T1166" t="s">
        <v>241</v>
      </c>
      <c r="U1166">
        <v>40</v>
      </c>
      <c r="V1166" s="1">
        <v>33420</v>
      </c>
      <c r="W1166" s="1">
        <v>33420</v>
      </c>
      <c r="X1166" s="1">
        <v>33420</v>
      </c>
      <c r="Y1166" s="1">
        <v>48030</v>
      </c>
      <c r="Z1166" t="s">
        <v>51</v>
      </c>
      <c r="AB1166" t="s">
        <v>54</v>
      </c>
      <c r="AC1166">
        <v>1</v>
      </c>
      <c r="AE1166" t="s">
        <v>222</v>
      </c>
      <c r="AF1166">
        <v>20</v>
      </c>
      <c r="AG1166" s="1">
        <v>33420</v>
      </c>
      <c r="AH1166" s="1">
        <v>33420</v>
      </c>
      <c r="AI1166" s="1">
        <v>33420</v>
      </c>
      <c r="AJ1166" s="1">
        <v>40725</v>
      </c>
      <c r="AK1166" t="s">
        <v>51</v>
      </c>
      <c r="AN1166">
        <v>0</v>
      </c>
      <c r="AO1166" t="s">
        <v>54</v>
      </c>
      <c r="AP1166" t="s">
        <v>53</v>
      </c>
      <c r="AQ1166">
        <v>0</v>
      </c>
      <c r="AR1166" t="s">
        <v>53</v>
      </c>
      <c r="AS1166">
        <v>0</v>
      </c>
      <c r="AT1166">
        <v>0</v>
      </c>
      <c r="AW1166" t="s">
        <v>58</v>
      </c>
      <c r="AX1166">
        <v>20</v>
      </c>
      <c r="AY1166" s="1">
        <v>33420</v>
      </c>
      <c r="AZ1166" s="1">
        <v>33420</v>
      </c>
      <c r="BA1166" s="1">
        <v>33420</v>
      </c>
      <c r="BB1166" s="1">
        <v>40725</v>
      </c>
      <c r="BC1166" t="s">
        <v>51</v>
      </c>
      <c r="BE1166" t="s">
        <v>54</v>
      </c>
      <c r="BF1166">
        <v>2</v>
      </c>
      <c r="BG1166">
        <v>0</v>
      </c>
      <c r="BH1166" t="s">
        <v>53</v>
      </c>
      <c r="BK1166" t="s">
        <v>65</v>
      </c>
      <c r="BL1166">
        <v>14000</v>
      </c>
      <c r="BM1166" s="1">
        <v>42917</v>
      </c>
      <c r="BN1166" s="1">
        <v>42917</v>
      </c>
      <c r="BO1166" s="1">
        <v>42917</v>
      </c>
      <c r="BP1166" s="1">
        <v>44117</v>
      </c>
      <c r="BQ1166" t="s">
        <v>51</v>
      </c>
      <c r="BS1166" t="s">
        <v>60</v>
      </c>
      <c r="BT1166" t="s">
        <v>54</v>
      </c>
      <c r="BU1166" t="s">
        <v>61</v>
      </c>
      <c r="BV1166" t="s">
        <v>62</v>
      </c>
      <c r="BX1166">
        <v>36</v>
      </c>
      <c r="BY1166">
        <v>0</v>
      </c>
      <c r="BZ1166">
        <v>0</v>
      </c>
    </row>
    <row r="1167" spans="1:99" x14ac:dyDescent="0.2">
      <c r="A1167" t="s">
        <v>180</v>
      </c>
      <c r="B1167" t="s">
        <v>181</v>
      </c>
      <c r="C1167" t="s">
        <v>184</v>
      </c>
      <c r="D1167" t="s">
        <v>708</v>
      </c>
      <c r="F1167" t="str">
        <f>"250827"</f>
        <v>250827</v>
      </c>
      <c r="G1167" t="s">
        <v>49</v>
      </c>
      <c r="H1167" t="s">
        <v>242</v>
      </c>
      <c r="K1167" t="s">
        <v>51</v>
      </c>
      <c r="L1167" t="s">
        <v>52</v>
      </c>
      <c r="M1167">
        <v>136064.53</v>
      </c>
      <c r="N1167">
        <v>472224.55</v>
      </c>
      <c r="O1167" t="s">
        <v>53</v>
      </c>
      <c r="P1167" t="s">
        <v>54</v>
      </c>
      <c r="Q1167" t="s">
        <v>55</v>
      </c>
      <c r="T1167" t="s">
        <v>241</v>
      </c>
      <c r="U1167">
        <v>40</v>
      </c>
      <c r="V1167" s="1">
        <v>33420</v>
      </c>
      <c r="W1167" s="1">
        <v>33420</v>
      </c>
      <c r="X1167" s="1">
        <v>33420</v>
      </c>
      <c r="Y1167" s="1">
        <v>48030</v>
      </c>
      <c r="Z1167" t="s">
        <v>51</v>
      </c>
      <c r="AB1167" t="s">
        <v>54</v>
      </c>
      <c r="AC1167">
        <v>1</v>
      </c>
      <c r="AE1167" t="s">
        <v>222</v>
      </c>
      <c r="AF1167">
        <v>20</v>
      </c>
      <c r="AG1167" s="1">
        <v>33420</v>
      </c>
      <c r="AH1167" s="1">
        <v>33420</v>
      </c>
      <c r="AI1167" s="1">
        <v>33420</v>
      </c>
      <c r="AJ1167" s="1">
        <v>40725</v>
      </c>
      <c r="AK1167" t="s">
        <v>51</v>
      </c>
      <c r="AN1167">
        <v>0</v>
      </c>
      <c r="AO1167" t="s">
        <v>54</v>
      </c>
      <c r="AP1167" t="s">
        <v>53</v>
      </c>
      <c r="AQ1167">
        <v>0</v>
      </c>
      <c r="AR1167" t="s">
        <v>53</v>
      </c>
      <c r="AS1167">
        <v>0</v>
      </c>
      <c r="AT1167">
        <v>0</v>
      </c>
      <c r="AW1167" t="s">
        <v>58</v>
      </c>
      <c r="AX1167">
        <v>20</v>
      </c>
      <c r="AY1167" s="1">
        <v>33420</v>
      </c>
      <c r="AZ1167" s="1">
        <v>33420</v>
      </c>
      <c r="BA1167" s="1">
        <v>33420</v>
      </c>
      <c r="BB1167" s="1">
        <v>40725</v>
      </c>
      <c r="BC1167" t="s">
        <v>51</v>
      </c>
      <c r="BE1167" t="s">
        <v>54</v>
      </c>
      <c r="BF1167">
        <v>2</v>
      </c>
      <c r="BG1167">
        <v>0</v>
      </c>
      <c r="BH1167" t="s">
        <v>53</v>
      </c>
      <c r="BK1167" t="s">
        <v>65</v>
      </c>
      <c r="BL1167">
        <v>14000</v>
      </c>
      <c r="BM1167" s="1">
        <v>42917</v>
      </c>
      <c r="BN1167" s="1">
        <v>42917</v>
      </c>
      <c r="BO1167" s="1">
        <v>42917</v>
      </c>
      <c r="BP1167" s="1">
        <v>44117</v>
      </c>
      <c r="BQ1167" t="s">
        <v>51</v>
      </c>
      <c r="BS1167" t="s">
        <v>60</v>
      </c>
      <c r="BT1167" t="s">
        <v>54</v>
      </c>
      <c r="BU1167" t="s">
        <v>61</v>
      </c>
      <c r="BV1167" t="s">
        <v>62</v>
      </c>
      <c r="BX1167">
        <v>36</v>
      </c>
      <c r="BY1167">
        <v>0</v>
      </c>
      <c r="BZ1167">
        <v>0</v>
      </c>
    </row>
    <row r="1168" spans="1:99" x14ac:dyDescent="0.2">
      <c r="A1168" t="s">
        <v>180</v>
      </c>
      <c r="B1168" t="s">
        <v>181</v>
      </c>
      <c r="C1168" t="s">
        <v>184</v>
      </c>
      <c r="D1168" t="s">
        <v>710</v>
      </c>
      <c r="F1168" t="str">
        <f>"250828"</f>
        <v>250828</v>
      </c>
      <c r="G1168" t="s">
        <v>49</v>
      </c>
      <c r="K1168" t="s">
        <v>51</v>
      </c>
      <c r="L1168" t="s">
        <v>52</v>
      </c>
      <c r="M1168">
        <v>136082.90900000001</v>
      </c>
      <c r="N1168">
        <v>472222.61800000002</v>
      </c>
      <c r="O1168" t="s">
        <v>53</v>
      </c>
      <c r="P1168" t="s">
        <v>54</v>
      </c>
      <c r="Q1168" t="s">
        <v>55</v>
      </c>
      <c r="T1168" t="s">
        <v>241</v>
      </c>
      <c r="U1168">
        <v>40</v>
      </c>
      <c r="V1168" s="1">
        <v>33420</v>
      </c>
      <c r="W1168" s="1">
        <v>33420</v>
      </c>
      <c r="X1168" s="1">
        <v>33420</v>
      </c>
      <c r="Y1168" s="1">
        <v>48030</v>
      </c>
      <c r="Z1168" t="s">
        <v>51</v>
      </c>
      <c r="AB1168" t="s">
        <v>54</v>
      </c>
      <c r="AC1168">
        <v>1</v>
      </c>
      <c r="AE1168" t="s">
        <v>222</v>
      </c>
      <c r="AF1168">
        <v>20</v>
      </c>
      <c r="AG1168" s="1">
        <v>33420</v>
      </c>
      <c r="AH1168" s="1">
        <v>33420</v>
      </c>
      <c r="AI1168" s="1">
        <v>33420</v>
      </c>
      <c r="AJ1168" s="1">
        <v>40725</v>
      </c>
      <c r="AK1168" t="s">
        <v>51</v>
      </c>
      <c r="AN1168">
        <v>0</v>
      </c>
      <c r="AO1168" t="s">
        <v>54</v>
      </c>
      <c r="AP1168" t="s">
        <v>53</v>
      </c>
      <c r="AQ1168">
        <v>0</v>
      </c>
      <c r="AR1168" t="s">
        <v>53</v>
      </c>
      <c r="AS1168">
        <v>0</v>
      </c>
      <c r="AT1168">
        <v>0</v>
      </c>
      <c r="AW1168" t="s">
        <v>58</v>
      </c>
      <c r="AX1168">
        <v>20</v>
      </c>
      <c r="AY1168" s="1">
        <v>33420</v>
      </c>
      <c r="AZ1168" s="1">
        <v>33420</v>
      </c>
      <c r="BA1168" s="1">
        <v>33420</v>
      </c>
      <c r="BB1168" s="1">
        <v>40725</v>
      </c>
      <c r="BC1168" t="s">
        <v>51</v>
      </c>
      <c r="BE1168" t="s">
        <v>54</v>
      </c>
      <c r="BF1168">
        <v>2</v>
      </c>
      <c r="BG1168">
        <v>0</v>
      </c>
      <c r="BH1168" t="s">
        <v>53</v>
      </c>
      <c r="BK1168" t="s">
        <v>65</v>
      </c>
      <c r="BL1168">
        <v>14000</v>
      </c>
      <c r="BM1168" s="1">
        <v>42917</v>
      </c>
      <c r="BN1168" s="1">
        <v>42917</v>
      </c>
      <c r="BO1168" s="1">
        <v>42917</v>
      </c>
      <c r="BP1168" s="1">
        <v>44117</v>
      </c>
      <c r="BQ1168" t="s">
        <v>51</v>
      </c>
      <c r="BS1168" t="s">
        <v>60</v>
      </c>
      <c r="BT1168" t="s">
        <v>54</v>
      </c>
      <c r="BU1168" t="s">
        <v>61</v>
      </c>
      <c r="BV1168" t="s">
        <v>62</v>
      </c>
      <c r="BX1168">
        <v>36</v>
      </c>
      <c r="BY1168">
        <v>0</v>
      </c>
      <c r="BZ1168">
        <v>0</v>
      </c>
    </row>
    <row r="1169" spans="1:78" x14ac:dyDescent="0.2">
      <c r="A1169" t="s">
        <v>180</v>
      </c>
      <c r="B1169" t="s">
        <v>181</v>
      </c>
      <c r="C1169" t="s">
        <v>184</v>
      </c>
      <c r="D1169" t="s">
        <v>708</v>
      </c>
      <c r="F1169" t="str">
        <f>"250829"</f>
        <v>250829</v>
      </c>
      <c r="G1169" t="s">
        <v>49</v>
      </c>
      <c r="H1169" t="s">
        <v>304</v>
      </c>
      <c r="K1169" t="s">
        <v>51</v>
      </c>
      <c r="L1169" t="s">
        <v>52</v>
      </c>
      <c r="M1169">
        <v>136087.56</v>
      </c>
      <c r="N1169">
        <v>472205.93</v>
      </c>
      <c r="O1169" t="s">
        <v>53</v>
      </c>
      <c r="P1169" t="s">
        <v>54</v>
      </c>
      <c r="Q1169" t="s">
        <v>55</v>
      </c>
      <c r="T1169" t="s">
        <v>241</v>
      </c>
      <c r="U1169">
        <v>40</v>
      </c>
      <c r="V1169" s="1">
        <v>33420</v>
      </c>
      <c r="W1169" s="1">
        <v>33420</v>
      </c>
      <c r="X1169" s="1">
        <v>33420</v>
      </c>
      <c r="Y1169" s="1">
        <v>48030</v>
      </c>
      <c r="Z1169" t="s">
        <v>51</v>
      </c>
      <c r="AB1169" t="s">
        <v>54</v>
      </c>
      <c r="AC1169">
        <v>1</v>
      </c>
      <c r="AE1169" t="s">
        <v>222</v>
      </c>
      <c r="AF1169">
        <v>20</v>
      </c>
      <c r="AG1169" s="1">
        <v>33420</v>
      </c>
      <c r="AH1169" s="1">
        <v>33420</v>
      </c>
      <c r="AI1169" s="1">
        <v>33420</v>
      </c>
      <c r="AJ1169" s="1">
        <v>40725</v>
      </c>
      <c r="AK1169" t="s">
        <v>51</v>
      </c>
      <c r="AN1169">
        <v>0</v>
      </c>
      <c r="AO1169" t="s">
        <v>54</v>
      </c>
      <c r="AP1169" t="s">
        <v>53</v>
      </c>
      <c r="AQ1169">
        <v>0</v>
      </c>
      <c r="AR1169" t="s">
        <v>53</v>
      </c>
      <c r="AS1169">
        <v>0</v>
      </c>
      <c r="AT1169">
        <v>0</v>
      </c>
      <c r="AW1169" t="s">
        <v>58</v>
      </c>
      <c r="AX1169">
        <v>20</v>
      </c>
      <c r="AY1169" s="1">
        <v>33420</v>
      </c>
      <c r="AZ1169" s="1">
        <v>33420</v>
      </c>
      <c r="BA1169" s="1">
        <v>33420</v>
      </c>
      <c r="BB1169" s="1">
        <v>40725</v>
      </c>
      <c r="BC1169" t="s">
        <v>51</v>
      </c>
      <c r="BE1169" t="s">
        <v>54</v>
      </c>
      <c r="BF1169">
        <v>2</v>
      </c>
      <c r="BG1169">
        <v>0</v>
      </c>
      <c r="BH1169" t="s">
        <v>53</v>
      </c>
      <c r="BK1169" t="s">
        <v>65</v>
      </c>
      <c r="BL1169">
        <v>14000</v>
      </c>
      <c r="BM1169" s="1">
        <v>42917</v>
      </c>
      <c r="BN1169" s="1">
        <v>42917</v>
      </c>
      <c r="BO1169" s="1">
        <v>42917</v>
      </c>
      <c r="BP1169" s="1">
        <v>44117</v>
      </c>
      <c r="BQ1169" t="s">
        <v>51</v>
      </c>
      <c r="BS1169" t="s">
        <v>60</v>
      </c>
      <c r="BT1169" t="s">
        <v>54</v>
      </c>
      <c r="BU1169" t="s">
        <v>61</v>
      </c>
      <c r="BV1169" t="s">
        <v>62</v>
      </c>
      <c r="BX1169">
        <v>36</v>
      </c>
      <c r="BY1169">
        <v>0</v>
      </c>
      <c r="BZ1169">
        <v>0</v>
      </c>
    </row>
    <row r="1170" spans="1:78" x14ac:dyDescent="0.2">
      <c r="A1170" t="s">
        <v>180</v>
      </c>
      <c r="B1170" t="s">
        <v>181</v>
      </c>
      <c r="C1170" t="s">
        <v>184</v>
      </c>
      <c r="D1170" t="s">
        <v>708</v>
      </c>
      <c r="F1170" t="str">
        <f>"250830"</f>
        <v>250830</v>
      </c>
      <c r="G1170" t="s">
        <v>49</v>
      </c>
      <c r="K1170" t="s">
        <v>51</v>
      </c>
      <c r="L1170" t="s">
        <v>52</v>
      </c>
      <c r="M1170">
        <v>136104.94</v>
      </c>
      <c r="N1170">
        <v>472212.16</v>
      </c>
      <c r="O1170" t="s">
        <v>53</v>
      </c>
      <c r="P1170" t="s">
        <v>54</v>
      </c>
      <c r="Q1170" t="s">
        <v>55</v>
      </c>
      <c r="T1170" t="s">
        <v>241</v>
      </c>
      <c r="U1170">
        <v>40</v>
      </c>
      <c r="V1170" s="1">
        <v>33420</v>
      </c>
      <c r="W1170" s="1">
        <v>33420</v>
      </c>
      <c r="X1170" s="1">
        <v>33420</v>
      </c>
      <c r="Y1170" s="1">
        <v>48030</v>
      </c>
      <c r="Z1170" t="s">
        <v>51</v>
      </c>
      <c r="AB1170" t="s">
        <v>54</v>
      </c>
      <c r="AC1170">
        <v>1</v>
      </c>
      <c r="AE1170" t="s">
        <v>222</v>
      </c>
      <c r="AF1170">
        <v>20</v>
      </c>
      <c r="AG1170" s="1">
        <v>33420</v>
      </c>
      <c r="AH1170" s="1">
        <v>33420</v>
      </c>
      <c r="AI1170" s="1">
        <v>33420</v>
      </c>
      <c r="AJ1170" s="1">
        <v>40725</v>
      </c>
      <c r="AK1170" t="s">
        <v>51</v>
      </c>
      <c r="AN1170">
        <v>0</v>
      </c>
      <c r="AO1170" t="s">
        <v>54</v>
      </c>
      <c r="AP1170" t="s">
        <v>53</v>
      </c>
      <c r="AQ1170">
        <v>0</v>
      </c>
      <c r="AR1170" t="s">
        <v>53</v>
      </c>
      <c r="AS1170">
        <v>0</v>
      </c>
      <c r="AT1170">
        <v>0</v>
      </c>
      <c r="AW1170" t="s">
        <v>58</v>
      </c>
      <c r="AX1170">
        <v>20</v>
      </c>
      <c r="AY1170" s="1">
        <v>33420</v>
      </c>
      <c r="AZ1170" s="1">
        <v>33420</v>
      </c>
      <c r="BA1170" s="1">
        <v>33420</v>
      </c>
      <c r="BB1170" s="1">
        <v>40725</v>
      </c>
      <c r="BC1170" t="s">
        <v>51</v>
      </c>
      <c r="BE1170" t="s">
        <v>54</v>
      </c>
      <c r="BF1170">
        <v>2</v>
      </c>
      <c r="BG1170">
        <v>0</v>
      </c>
      <c r="BH1170" t="s">
        <v>53</v>
      </c>
      <c r="BK1170" t="s">
        <v>65</v>
      </c>
      <c r="BL1170">
        <v>14000</v>
      </c>
      <c r="BM1170" s="1">
        <v>42917</v>
      </c>
      <c r="BN1170" s="1">
        <v>42917</v>
      </c>
      <c r="BO1170" s="1">
        <v>42917</v>
      </c>
      <c r="BP1170" s="1">
        <v>44117</v>
      </c>
      <c r="BQ1170" t="s">
        <v>51</v>
      </c>
      <c r="BS1170" t="s">
        <v>60</v>
      </c>
      <c r="BT1170" t="s">
        <v>54</v>
      </c>
      <c r="BU1170" t="s">
        <v>61</v>
      </c>
      <c r="BV1170" t="s">
        <v>62</v>
      </c>
      <c r="BX1170">
        <v>36</v>
      </c>
      <c r="BY1170">
        <v>0</v>
      </c>
      <c r="BZ1170">
        <v>0</v>
      </c>
    </row>
    <row r="1171" spans="1:78" x14ac:dyDescent="0.2">
      <c r="A1171" t="s">
        <v>180</v>
      </c>
      <c r="B1171" t="s">
        <v>181</v>
      </c>
      <c r="C1171" t="s">
        <v>184</v>
      </c>
      <c r="D1171" t="s">
        <v>708</v>
      </c>
      <c r="F1171" t="str">
        <f>"250831"</f>
        <v>250831</v>
      </c>
      <c r="G1171" t="s">
        <v>49</v>
      </c>
      <c r="K1171" t="s">
        <v>51</v>
      </c>
      <c r="L1171" t="s">
        <v>52</v>
      </c>
      <c r="M1171">
        <v>136117.26999999999</v>
      </c>
      <c r="N1171">
        <v>472197.47</v>
      </c>
      <c r="O1171" t="s">
        <v>53</v>
      </c>
      <c r="P1171" t="s">
        <v>54</v>
      </c>
      <c r="Q1171" t="s">
        <v>55</v>
      </c>
      <c r="T1171" t="s">
        <v>241</v>
      </c>
      <c r="U1171">
        <v>40</v>
      </c>
      <c r="V1171" s="1">
        <v>33420</v>
      </c>
      <c r="W1171" s="1">
        <v>33420</v>
      </c>
      <c r="X1171" s="1">
        <v>33420</v>
      </c>
      <c r="Y1171" s="1">
        <v>48030</v>
      </c>
      <c r="Z1171" t="s">
        <v>51</v>
      </c>
      <c r="AB1171" t="s">
        <v>54</v>
      </c>
      <c r="AC1171">
        <v>1</v>
      </c>
      <c r="AE1171" t="s">
        <v>222</v>
      </c>
      <c r="AF1171">
        <v>20</v>
      </c>
      <c r="AG1171" s="1">
        <v>33420</v>
      </c>
      <c r="AH1171" s="1">
        <v>33420</v>
      </c>
      <c r="AI1171" s="1">
        <v>33420</v>
      </c>
      <c r="AJ1171" s="1">
        <v>40725</v>
      </c>
      <c r="AK1171" t="s">
        <v>51</v>
      </c>
      <c r="AN1171">
        <v>0</v>
      </c>
      <c r="AO1171" t="s">
        <v>54</v>
      </c>
      <c r="AP1171" t="s">
        <v>53</v>
      </c>
      <c r="AQ1171">
        <v>0</v>
      </c>
      <c r="AR1171" t="s">
        <v>53</v>
      </c>
      <c r="AS1171">
        <v>0</v>
      </c>
      <c r="AT1171">
        <v>0</v>
      </c>
      <c r="AW1171" t="s">
        <v>58</v>
      </c>
      <c r="AX1171">
        <v>20</v>
      </c>
      <c r="AY1171" s="1">
        <v>33420</v>
      </c>
      <c r="AZ1171" s="1">
        <v>33420</v>
      </c>
      <c r="BA1171" s="1">
        <v>33420</v>
      </c>
      <c r="BB1171" s="1">
        <v>40725</v>
      </c>
      <c r="BC1171" t="s">
        <v>51</v>
      </c>
      <c r="BE1171" t="s">
        <v>54</v>
      </c>
      <c r="BF1171">
        <v>2</v>
      </c>
      <c r="BG1171">
        <v>0</v>
      </c>
      <c r="BH1171" t="s">
        <v>53</v>
      </c>
      <c r="BK1171" t="s">
        <v>65</v>
      </c>
      <c r="BL1171">
        <v>14000</v>
      </c>
      <c r="BM1171" s="1">
        <v>42917</v>
      </c>
      <c r="BN1171" s="1">
        <v>42917</v>
      </c>
      <c r="BO1171" s="1">
        <v>42917</v>
      </c>
      <c r="BP1171" s="1">
        <v>44117</v>
      </c>
      <c r="BQ1171" t="s">
        <v>51</v>
      </c>
      <c r="BS1171" t="s">
        <v>60</v>
      </c>
      <c r="BT1171" t="s">
        <v>54</v>
      </c>
      <c r="BU1171" t="s">
        <v>61</v>
      </c>
      <c r="BV1171" t="s">
        <v>62</v>
      </c>
      <c r="BX1171">
        <v>36</v>
      </c>
      <c r="BY1171">
        <v>0</v>
      </c>
      <c r="BZ1171">
        <v>0</v>
      </c>
    </row>
    <row r="1172" spans="1:78" x14ac:dyDescent="0.2">
      <c r="A1172" t="s">
        <v>180</v>
      </c>
      <c r="B1172" t="s">
        <v>181</v>
      </c>
      <c r="C1172" t="s">
        <v>184</v>
      </c>
      <c r="D1172" t="s">
        <v>708</v>
      </c>
      <c r="F1172" t="str">
        <f>"250832"</f>
        <v>250832</v>
      </c>
      <c r="G1172" t="s">
        <v>49</v>
      </c>
      <c r="H1172" t="s">
        <v>272</v>
      </c>
      <c r="K1172" t="s">
        <v>51</v>
      </c>
      <c r="L1172" t="s">
        <v>52</v>
      </c>
      <c r="M1172">
        <v>136136.91</v>
      </c>
      <c r="N1172">
        <v>472187.44</v>
      </c>
      <c r="O1172" t="s">
        <v>53</v>
      </c>
      <c r="P1172" t="s">
        <v>54</v>
      </c>
      <c r="Q1172" t="s">
        <v>55</v>
      </c>
      <c r="T1172" t="s">
        <v>241</v>
      </c>
      <c r="U1172">
        <v>40</v>
      </c>
      <c r="V1172" s="1">
        <v>33420</v>
      </c>
      <c r="W1172" s="1">
        <v>33420</v>
      </c>
      <c r="X1172" s="1">
        <v>33420</v>
      </c>
      <c r="Y1172" s="1">
        <v>48030</v>
      </c>
      <c r="Z1172" t="s">
        <v>51</v>
      </c>
      <c r="AB1172" t="s">
        <v>54</v>
      </c>
      <c r="AC1172">
        <v>1</v>
      </c>
      <c r="AE1172" t="s">
        <v>222</v>
      </c>
      <c r="AF1172">
        <v>20</v>
      </c>
      <c r="AG1172" s="1">
        <v>33420</v>
      </c>
      <c r="AH1172" s="1">
        <v>33420</v>
      </c>
      <c r="AI1172" s="1">
        <v>33420</v>
      </c>
      <c r="AJ1172" s="1">
        <v>40725</v>
      </c>
      <c r="AK1172" t="s">
        <v>51</v>
      </c>
      <c r="AN1172">
        <v>0</v>
      </c>
      <c r="AO1172" t="s">
        <v>54</v>
      </c>
      <c r="AP1172" t="s">
        <v>53</v>
      </c>
      <c r="AQ1172">
        <v>0</v>
      </c>
      <c r="AR1172" t="s">
        <v>53</v>
      </c>
      <c r="AS1172">
        <v>0</v>
      </c>
      <c r="AT1172">
        <v>0</v>
      </c>
      <c r="AW1172" t="s">
        <v>58</v>
      </c>
      <c r="AX1172">
        <v>20</v>
      </c>
      <c r="AY1172" s="1">
        <v>33420</v>
      </c>
      <c r="AZ1172" s="1">
        <v>33420</v>
      </c>
      <c r="BA1172" s="1">
        <v>33420</v>
      </c>
      <c r="BB1172" s="1">
        <v>40725</v>
      </c>
      <c r="BC1172" t="s">
        <v>51</v>
      </c>
      <c r="BE1172" t="s">
        <v>54</v>
      </c>
      <c r="BF1172">
        <v>2</v>
      </c>
      <c r="BG1172">
        <v>0</v>
      </c>
      <c r="BH1172" t="s">
        <v>53</v>
      </c>
      <c r="BK1172" t="s">
        <v>65</v>
      </c>
      <c r="BL1172">
        <v>14000</v>
      </c>
      <c r="BM1172" s="1">
        <v>42917</v>
      </c>
      <c r="BN1172" s="1">
        <v>42917</v>
      </c>
      <c r="BO1172" s="1">
        <v>42917</v>
      </c>
      <c r="BP1172" s="1">
        <v>44117</v>
      </c>
      <c r="BQ1172" t="s">
        <v>51</v>
      </c>
      <c r="BS1172" t="s">
        <v>60</v>
      </c>
      <c r="BT1172" t="s">
        <v>54</v>
      </c>
      <c r="BU1172" t="s">
        <v>61</v>
      </c>
      <c r="BV1172" t="s">
        <v>62</v>
      </c>
      <c r="BX1172">
        <v>36</v>
      </c>
      <c r="BY1172">
        <v>0</v>
      </c>
      <c r="BZ1172">
        <v>0</v>
      </c>
    </row>
    <row r="1173" spans="1:78" x14ac:dyDescent="0.2">
      <c r="A1173" t="s">
        <v>180</v>
      </c>
      <c r="B1173" t="s">
        <v>181</v>
      </c>
      <c r="C1173" t="s">
        <v>184</v>
      </c>
      <c r="D1173" t="s">
        <v>708</v>
      </c>
      <c r="F1173" t="str">
        <f>"250833"</f>
        <v>250833</v>
      </c>
      <c r="G1173" t="s">
        <v>49</v>
      </c>
      <c r="K1173" t="s">
        <v>51</v>
      </c>
      <c r="L1173" t="s">
        <v>52</v>
      </c>
      <c r="M1173">
        <v>136155.93</v>
      </c>
      <c r="N1173">
        <v>472171.28</v>
      </c>
      <c r="O1173" t="s">
        <v>53</v>
      </c>
      <c r="P1173" t="s">
        <v>54</v>
      </c>
      <c r="Q1173" t="s">
        <v>55</v>
      </c>
      <c r="T1173" t="s">
        <v>241</v>
      </c>
      <c r="U1173">
        <v>40</v>
      </c>
      <c r="V1173" s="1">
        <v>34151</v>
      </c>
      <c r="W1173" s="1">
        <v>34151</v>
      </c>
      <c r="X1173" s="1">
        <v>34151</v>
      </c>
      <c r="Y1173" s="1">
        <v>48761</v>
      </c>
      <c r="Z1173" t="s">
        <v>51</v>
      </c>
      <c r="AB1173" t="s">
        <v>54</v>
      </c>
      <c r="AC1173">
        <v>1</v>
      </c>
      <c r="AE1173" t="s">
        <v>222</v>
      </c>
      <c r="AF1173">
        <v>20</v>
      </c>
      <c r="AG1173" s="1">
        <v>34151</v>
      </c>
      <c r="AH1173" s="1">
        <v>34151</v>
      </c>
      <c r="AI1173" s="1">
        <v>34151</v>
      </c>
      <c r="AJ1173" s="1">
        <v>41456</v>
      </c>
      <c r="AK1173" t="s">
        <v>51</v>
      </c>
      <c r="AN1173">
        <v>0</v>
      </c>
      <c r="AO1173" t="s">
        <v>54</v>
      </c>
      <c r="AP1173" t="s">
        <v>53</v>
      </c>
      <c r="AQ1173">
        <v>0</v>
      </c>
      <c r="AR1173" t="s">
        <v>53</v>
      </c>
      <c r="AS1173">
        <v>0</v>
      </c>
      <c r="AT1173">
        <v>0</v>
      </c>
      <c r="AW1173" t="s">
        <v>58</v>
      </c>
      <c r="AX1173">
        <v>20</v>
      </c>
      <c r="AY1173" s="1">
        <v>34151</v>
      </c>
      <c r="AZ1173" s="1">
        <v>34151</v>
      </c>
      <c r="BA1173" s="1">
        <v>34151</v>
      </c>
      <c r="BB1173" s="1">
        <v>41456</v>
      </c>
      <c r="BC1173" t="s">
        <v>51</v>
      </c>
      <c r="BE1173" t="s">
        <v>54</v>
      </c>
      <c r="BF1173">
        <v>2</v>
      </c>
      <c r="BG1173">
        <v>0</v>
      </c>
      <c r="BH1173" t="s">
        <v>53</v>
      </c>
      <c r="BK1173" t="s">
        <v>65</v>
      </c>
      <c r="BL1173">
        <v>14000</v>
      </c>
      <c r="BM1173" s="1">
        <v>42917</v>
      </c>
      <c r="BN1173" s="1">
        <v>42917</v>
      </c>
      <c r="BO1173" s="1">
        <v>42917</v>
      </c>
      <c r="BP1173" s="1">
        <v>44117</v>
      </c>
      <c r="BQ1173" t="s">
        <v>51</v>
      </c>
      <c r="BS1173" t="s">
        <v>60</v>
      </c>
      <c r="BT1173" t="s">
        <v>54</v>
      </c>
      <c r="BU1173" t="s">
        <v>61</v>
      </c>
      <c r="BV1173" t="s">
        <v>62</v>
      </c>
      <c r="BX1173">
        <v>36</v>
      </c>
      <c r="BY1173">
        <v>0</v>
      </c>
      <c r="BZ1173">
        <v>0</v>
      </c>
    </row>
    <row r="1174" spans="1:78" x14ac:dyDescent="0.2">
      <c r="A1174" t="s">
        <v>180</v>
      </c>
      <c r="B1174" t="s">
        <v>181</v>
      </c>
      <c r="C1174" t="s">
        <v>184</v>
      </c>
      <c r="D1174" t="s">
        <v>711</v>
      </c>
      <c r="F1174" t="str">
        <f>"250834"</f>
        <v>250834</v>
      </c>
      <c r="G1174" t="s">
        <v>49</v>
      </c>
      <c r="H1174">
        <v>7</v>
      </c>
      <c r="K1174" t="s">
        <v>51</v>
      </c>
      <c r="L1174" t="s">
        <v>52</v>
      </c>
      <c r="M1174">
        <v>136155.74</v>
      </c>
      <c r="N1174">
        <v>472191.98</v>
      </c>
      <c r="O1174" t="s">
        <v>53</v>
      </c>
      <c r="P1174" t="s">
        <v>54</v>
      </c>
      <c r="Q1174" t="s">
        <v>55</v>
      </c>
      <c r="T1174" t="s">
        <v>241</v>
      </c>
      <c r="U1174">
        <v>40</v>
      </c>
      <c r="V1174" s="1">
        <v>33420</v>
      </c>
      <c r="W1174" s="1">
        <v>33420</v>
      </c>
      <c r="X1174" s="1">
        <v>33420</v>
      </c>
      <c r="Y1174" s="1">
        <v>48030</v>
      </c>
      <c r="Z1174" t="s">
        <v>51</v>
      </c>
      <c r="AB1174" t="s">
        <v>54</v>
      </c>
      <c r="AC1174">
        <v>1</v>
      </c>
      <c r="AE1174" t="s">
        <v>222</v>
      </c>
      <c r="AF1174">
        <v>20</v>
      </c>
      <c r="AG1174" s="1">
        <v>33420</v>
      </c>
      <c r="AH1174" s="1">
        <v>33420</v>
      </c>
      <c r="AI1174" s="1">
        <v>33420</v>
      </c>
      <c r="AJ1174" s="1">
        <v>40725</v>
      </c>
      <c r="AK1174" t="s">
        <v>51</v>
      </c>
      <c r="AN1174">
        <v>0</v>
      </c>
      <c r="AO1174" t="s">
        <v>54</v>
      </c>
      <c r="AP1174" t="s">
        <v>53</v>
      </c>
      <c r="AQ1174">
        <v>0</v>
      </c>
      <c r="AR1174" t="s">
        <v>53</v>
      </c>
      <c r="AS1174">
        <v>0</v>
      </c>
      <c r="AT1174">
        <v>0</v>
      </c>
      <c r="AW1174" t="s">
        <v>58</v>
      </c>
      <c r="AX1174">
        <v>20</v>
      </c>
      <c r="AY1174" s="1">
        <v>33420</v>
      </c>
      <c r="AZ1174" s="1">
        <v>33420</v>
      </c>
      <c r="BA1174" s="1">
        <v>33420</v>
      </c>
      <c r="BB1174" s="1">
        <v>40725</v>
      </c>
      <c r="BC1174" t="s">
        <v>51</v>
      </c>
      <c r="BE1174" t="s">
        <v>54</v>
      </c>
      <c r="BF1174">
        <v>2</v>
      </c>
      <c r="BG1174">
        <v>0</v>
      </c>
      <c r="BH1174" t="s">
        <v>53</v>
      </c>
      <c r="BK1174" t="s">
        <v>65</v>
      </c>
      <c r="BL1174">
        <v>14000</v>
      </c>
      <c r="BM1174" s="1">
        <v>42917</v>
      </c>
      <c r="BN1174" s="1">
        <v>42917</v>
      </c>
      <c r="BO1174" s="1">
        <v>42917</v>
      </c>
      <c r="BP1174" s="1">
        <v>44117</v>
      </c>
      <c r="BQ1174" t="s">
        <v>51</v>
      </c>
      <c r="BS1174" t="s">
        <v>60</v>
      </c>
      <c r="BT1174" t="s">
        <v>54</v>
      </c>
      <c r="BU1174" t="s">
        <v>61</v>
      </c>
      <c r="BV1174" t="s">
        <v>62</v>
      </c>
      <c r="BX1174">
        <v>36</v>
      </c>
      <c r="BY1174">
        <v>0</v>
      </c>
      <c r="BZ1174">
        <v>0</v>
      </c>
    </row>
    <row r="1175" spans="1:78" x14ac:dyDescent="0.2">
      <c r="A1175" t="s">
        <v>180</v>
      </c>
      <c r="B1175" t="s">
        <v>181</v>
      </c>
      <c r="C1175" t="s">
        <v>184</v>
      </c>
      <c r="D1175" t="s">
        <v>711</v>
      </c>
      <c r="F1175" t="str">
        <f>"250835"</f>
        <v>250835</v>
      </c>
      <c r="G1175" t="s">
        <v>49</v>
      </c>
      <c r="H1175">
        <v>5</v>
      </c>
      <c r="K1175" t="s">
        <v>51</v>
      </c>
      <c r="L1175" t="s">
        <v>52</v>
      </c>
      <c r="M1175">
        <v>136172.6</v>
      </c>
      <c r="N1175">
        <v>472200.78</v>
      </c>
      <c r="O1175" t="s">
        <v>53</v>
      </c>
      <c r="P1175" t="s">
        <v>54</v>
      </c>
      <c r="Q1175" t="s">
        <v>55</v>
      </c>
      <c r="T1175" t="s">
        <v>241</v>
      </c>
      <c r="U1175">
        <v>40</v>
      </c>
      <c r="V1175" s="1">
        <v>33420</v>
      </c>
      <c r="W1175" s="1">
        <v>33420</v>
      </c>
      <c r="X1175" s="1">
        <v>33420</v>
      </c>
      <c r="Y1175" s="1">
        <v>48030</v>
      </c>
      <c r="Z1175" t="s">
        <v>51</v>
      </c>
      <c r="AB1175" t="s">
        <v>54</v>
      </c>
      <c r="AC1175">
        <v>1</v>
      </c>
      <c r="AE1175" t="s">
        <v>222</v>
      </c>
      <c r="AF1175">
        <v>20</v>
      </c>
      <c r="AG1175" s="1">
        <v>33420</v>
      </c>
      <c r="AH1175" s="1">
        <v>33420</v>
      </c>
      <c r="AI1175" s="1">
        <v>33420</v>
      </c>
      <c r="AJ1175" s="1">
        <v>40725</v>
      </c>
      <c r="AK1175" t="s">
        <v>51</v>
      </c>
      <c r="AN1175">
        <v>0</v>
      </c>
      <c r="AO1175" t="s">
        <v>54</v>
      </c>
      <c r="AP1175" t="s">
        <v>53</v>
      </c>
      <c r="AQ1175">
        <v>0</v>
      </c>
      <c r="AR1175" t="s">
        <v>53</v>
      </c>
      <c r="AS1175">
        <v>0</v>
      </c>
      <c r="AT1175">
        <v>0</v>
      </c>
      <c r="AW1175" t="s">
        <v>58</v>
      </c>
      <c r="AX1175">
        <v>20</v>
      </c>
      <c r="AY1175" s="1">
        <v>33420</v>
      </c>
      <c r="AZ1175" s="1">
        <v>33420</v>
      </c>
      <c r="BA1175" s="1">
        <v>33420</v>
      </c>
      <c r="BB1175" s="1">
        <v>40725</v>
      </c>
      <c r="BC1175" t="s">
        <v>51</v>
      </c>
      <c r="BE1175" t="s">
        <v>54</v>
      </c>
      <c r="BF1175">
        <v>2</v>
      </c>
      <c r="BG1175">
        <v>0</v>
      </c>
      <c r="BH1175" t="s">
        <v>53</v>
      </c>
      <c r="BK1175" t="s">
        <v>65</v>
      </c>
      <c r="BL1175">
        <v>14000</v>
      </c>
      <c r="BM1175" s="1">
        <v>42917</v>
      </c>
      <c r="BN1175" s="1">
        <v>42917</v>
      </c>
      <c r="BO1175" s="1">
        <v>42917</v>
      </c>
      <c r="BP1175" s="1">
        <v>44117</v>
      </c>
      <c r="BQ1175" t="s">
        <v>51</v>
      </c>
      <c r="BS1175" t="s">
        <v>60</v>
      </c>
      <c r="BT1175" t="s">
        <v>54</v>
      </c>
      <c r="BU1175" t="s">
        <v>61</v>
      </c>
      <c r="BV1175" t="s">
        <v>62</v>
      </c>
      <c r="BX1175">
        <v>36</v>
      </c>
      <c r="BY1175">
        <v>0</v>
      </c>
      <c r="BZ1175">
        <v>0</v>
      </c>
    </row>
    <row r="1176" spans="1:78" x14ac:dyDescent="0.2">
      <c r="A1176" t="s">
        <v>180</v>
      </c>
      <c r="B1176" t="s">
        <v>181</v>
      </c>
      <c r="C1176" t="s">
        <v>184</v>
      </c>
      <c r="D1176" t="s">
        <v>711</v>
      </c>
      <c r="F1176" t="str">
        <f>"250836"</f>
        <v>250836</v>
      </c>
      <c r="G1176" t="s">
        <v>49</v>
      </c>
      <c r="H1176">
        <v>10</v>
      </c>
      <c r="K1176" t="s">
        <v>51</v>
      </c>
      <c r="L1176" t="s">
        <v>52</v>
      </c>
      <c r="M1176">
        <v>136175.87</v>
      </c>
      <c r="N1176">
        <v>472220.66</v>
      </c>
      <c r="O1176" t="s">
        <v>53</v>
      </c>
      <c r="P1176" t="s">
        <v>54</v>
      </c>
      <c r="Q1176" t="s">
        <v>55</v>
      </c>
      <c r="T1176" t="s">
        <v>241</v>
      </c>
      <c r="U1176">
        <v>40</v>
      </c>
      <c r="V1176" s="1">
        <v>33420</v>
      </c>
      <c r="W1176" s="1">
        <v>33420</v>
      </c>
      <c r="X1176" s="1">
        <v>33420</v>
      </c>
      <c r="Y1176" s="1">
        <v>48030</v>
      </c>
      <c r="Z1176" t="s">
        <v>51</v>
      </c>
      <c r="AB1176" t="s">
        <v>54</v>
      </c>
      <c r="AC1176">
        <v>1</v>
      </c>
      <c r="AE1176" t="s">
        <v>222</v>
      </c>
      <c r="AF1176">
        <v>20</v>
      </c>
      <c r="AG1176" s="1">
        <v>33420</v>
      </c>
      <c r="AH1176" s="1">
        <v>33420</v>
      </c>
      <c r="AI1176" s="1">
        <v>33420</v>
      </c>
      <c r="AJ1176" s="1">
        <v>40725</v>
      </c>
      <c r="AK1176" t="s">
        <v>51</v>
      </c>
      <c r="AN1176">
        <v>0</v>
      </c>
      <c r="AO1176" t="s">
        <v>54</v>
      </c>
      <c r="AP1176" t="s">
        <v>53</v>
      </c>
      <c r="AQ1176">
        <v>0</v>
      </c>
      <c r="AR1176" t="s">
        <v>53</v>
      </c>
      <c r="AS1176">
        <v>0</v>
      </c>
      <c r="AT1176">
        <v>0</v>
      </c>
      <c r="AW1176" t="s">
        <v>58</v>
      </c>
      <c r="AX1176">
        <v>20</v>
      </c>
      <c r="AY1176" s="1">
        <v>33420</v>
      </c>
      <c r="AZ1176" s="1">
        <v>33420</v>
      </c>
      <c r="BA1176" s="1">
        <v>33420</v>
      </c>
      <c r="BB1176" s="1">
        <v>40725</v>
      </c>
      <c r="BC1176" t="s">
        <v>51</v>
      </c>
      <c r="BE1176" t="s">
        <v>54</v>
      </c>
      <c r="BF1176">
        <v>2</v>
      </c>
      <c r="BG1176">
        <v>0</v>
      </c>
      <c r="BH1176" t="s">
        <v>53</v>
      </c>
      <c r="BK1176" t="s">
        <v>65</v>
      </c>
      <c r="BL1176">
        <v>14000</v>
      </c>
      <c r="BM1176" s="1">
        <v>42917</v>
      </c>
      <c r="BN1176" s="1">
        <v>42917</v>
      </c>
      <c r="BO1176" s="1">
        <v>42917</v>
      </c>
      <c r="BP1176" s="1">
        <v>44117</v>
      </c>
      <c r="BQ1176" t="s">
        <v>51</v>
      </c>
      <c r="BS1176" t="s">
        <v>60</v>
      </c>
      <c r="BT1176" t="s">
        <v>54</v>
      </c>
      <c r="BU1176" t="s">
        <v>61</v>
      </c>
      <c r="BV1176" t="s">
        <v>62</v>
      </c>
      <c r="BX1176">
        <v>36</v>
      </c>
      <c r="BY1176">
        <v>0</v>
      </c>
      <c r="BZ1176">
        <v>0</v>
      </c>
    </row>
    <row r="1177" spans="1:78" x14ac:dyDescent="0.2">
      <c r="A1177" t="s">
        <v>180</v>
      </c>
      <c r="B1177" t="s">
        <v>181</v>
      </c>
      <c r="C1177" t="s">
        <v>184</v>
      </c>
      <c r="D1177" t="s">
        <v>711</v>
      </c>
      <c r="F1177" t="str">
        <f>"250837"</f>
        <v>250837</v>
      </c>
      <c r="G1177" t="s">
        <v>49</v>
      </c>
      <c r="H1177">
        <v>1</v>
      </c>
      <c r="K1177" t="s">
        <v>51</v>
      </c>
      <c r="L1177" t="s">
        <v>52</v>
      </c>
      <c r="M1177">
        <v>136191.07</v>
      </c>
      <c r="N1177">
        <v>472235.04</v>
      </c>
      <c r="O1177" t="s">
        <v>53</v>
      </c>
      <c r="P1177" t="s">
        <v>54</v>
      </c>
      <c r="Q1177" t="s">
        <v>55</v>
      </c>
      <c r="T1177" t="s">
        <v>241</v>
      </c>
      <c r="U1177">
        <v>40</v>
      </c>
      <c r="V1177" s="1">
        <v>33420</v>
      </c>
      <c r="W1177" s="1">
        <v>33420</v>
      </c>
      <c r="X1177" s="1">
        <v>33420</v>
      </c>
      <c r="Y1177" s="1">
        <v>48030</v>
      </c>
      <c r="Z1177" t="s">
        <v>51</v>
      </c>
      <c r="AB1177" t="s">
        <v>54</v>
      </c>
      <c r="AC1177">
        <v>1</v>
      </c>
      <c r="AE1177" t="s">
        <v>222</v>
      </c>
      <c r="AF1177">
        <v>20</v>
      </c>
      <c r="AG1177" s="1">
        <v>33420</v>
      </c>
      <c r="AH1177" s="1">
        <v>33420</v>
      </c>
      <c r="AI1177" s="1">
        <v>33420</v>
      </c>
      <c r="AJ1177" s="1">
        <v>40725</v>
      </c>
      <c r="AK1177" t="s">
        <v>51</v>
      </c>
      <c r="AN1177">
        <v>0</v>
      </c>
      <c r="AO1177" t="s">
        <v>54</v>
      </c>
      <c r="AP1177" t="s">
        <v>53</v>
      </c>
      <c r="AQ1177">
        <v>0</v>
      </c>
      <c r="AR1177" t="s">
        <v>53</v>
      </c>
      <c r="AS1177">
        <v>0</v>
      </c>
      <c r="AT1177">
        <v>0</v>
      </c>
      <c r="AW1177" t="s">
        <v>58</v>
      </c>
      <c r="AX1177">
        <v>20</v>
      </c>
      <c r="AY1177" s="1">
        <v>33420</v>
      </c>
      <c r="AZ1177" s="1">
        <v>33420</v>
      </c>
      <c r="BA1177" s="1">
        <v>33420</v>
      </c>
      <c r="BB1177" s="1">
        <v>40725</v>
      </c>
      <c r="BC1177" t="s">
        <v>51</v>
      </c>
      <c r="BE1177" t="s">
        <v>54</v>
      </c>
      <c r="BF1177">
        <v>2</v>
      </c>
      <c r="BG1177">
        <v>0</v>
      </c>
      <c r="BH1177" t="s">
        <v>53</v>
      </c>
      <c r="BK1177" t="s">
        <v>65</v>
      </c>
      <c r="BL1177">
        <v>14000</v>
      </c>
      <c r="BM1177" s="1">
        <v>44074</v>
      </c>
      <c r="BN1177" s="1">
        <v>44074</v>
      </c>
      <c r="BO1177" s="1">
        <v>44074</v>
      </c>
      <c r="BP1177" s="1">
        <v>45248</v>
      </c>
      <c r="BQ1177" t="s">
        <v>51</v>
      </c>
      <c r="BS1177" t="s">
        <v>60</v>
      </c>
      <c r="BT1177" t="s">
        <v>54</v>
      </c>
      <c r="BU1177" t="s">
        <v>61</v>
      </c>
      <c r="BV1177" t="s">
        <v>62</v>
      </c>
      <c r="BX1177">
        <v>36</v>
      </c>
      <c r="BY1177">
        <v>0</v>
      </c>
      <c r="BZ1177">
        <v>0</v>
      </c>
    </row>
    <row r="1178" spans="1:78" x14ac:dyDescent="0.2">
      <c r="A1178" t="s">
        <v>180</v>
      </c>
      <c r="B1178" t="s">
        <v>181</v>
      </c>
      <c r="C1178" t="s">
        <v>184</v>
      </c>
      <c r="D1178" t="s">
        <v>711</v>
      </c>
      <c r="F1178" t="str">
        <f>"250838"</f>
        <v>250838</v>
      </c>
      <c r="G1178" t="s">
        <v>49</v>
      </c>
      <c r="K1178" t="s">
        <v>51</v>
      </c>
      <c r="L1178" t="s">
        <v>52</v>
      </c>
      <c r="M1178">
        <v>136145.73000000001</v>
      </c>
      <c r="N1178">
        <v>472213.04</v>
      </c>
      <c r="O1178" t="s">
        <v>53</v>
      </c>
      <c r="P1178" t="s">
        <v>54</v>
      </c>
      <c r="Q1178" t="s">
        <v>55</v>
      </c>
      <c r="T1178" t="s">
        <v>712</v>
      </c>
      <c r="U1178">
        <v>40</v>
      </c>
      <c r="V1178" s="1">
        <v>33420</v>
      </c>
      <c r="W1178" s="1">
        <v>33420</v>
      </c>
      <c r="X1178" s="1">
        <v>33420</v>
      </c>
      <c r="Y1178" s="1">
        <v>48030</v>
      </c>
      <c r="Z1178" t="s">
        <v>51</v>
      </c>
      <c r="AB1178" t="s">
        <v>54</v>
      </c>
      <c r="AC1178">
        <v>1</v>
      </c>
      <c r="AE1178" t="s">
        <v>685</v>
      </c>
      <c r="AF1178">
        <v>20</v>
      </c>
      <c r="AG1178" s="1">
        <v>33420</v>
      </c>
      <c r="AH1178" s="1">
        <v>33420</v>
      </c>
      <c r="AI1178" s="1">
        <v>33420</v>
      </c>
      <c r="AJ1178" s="1">
        <v>40725</v>
      </c>
      <c r="AK1178" t="s">
        <v>51</v>
      </c>
      <c r="AN1178">
        <v>0</v>
      </c>
      <c r="AO1178" t="s">
        <v>54</v>
      </c>
      <c r="AP1178" t="s">
        <v>53</v>
      </c>
      <c r="AQ1178">
        <v>0</v>
      </c>
      <c r="AR1178" t="s">
        <v>53</v>
      </c>
      <c r="AS1178">
        <v>0</v>
      </c>
      <c r="AT1178">
        <v>0</v>
      </c>
      <c r="AW1178" t="s">
        <v>58</v>
      </c>
      <c r="AX1178">
        <v>20</v>
      </c>
      <c r="AY1178" s="1">
        <v>33420</v>
      </c>
      <c r="AZ1178" s="1">
        <v>33420</v>
      </c>
      <c r="BA1178" s="1">
        <v>33420</v>
      </c>
      <c r="BB1178" s="1">
        <v>40725</v>
      </c>
      <c r="BC1178" t="s">
        <v>51</v>
      </c>
      <c r="BE1178" t="s">
        <v>54</v>
      </c>
      <c r="BF1178">
        <v>2</v>
      </c>
      <c r="BG1178">
        <v>0</v>
      </c>
      <c r="BH1178" t="s">
        <v>53</v>
      </c>
      <c r="BK1178" t="s">
        <v>686</v>
      </c>
      <c r="BL1178">
        <v>8000</v>
      </c>
      <c r="BM1178" s="1">
        <v>43172</v>
      </c>
      <c r="BN1178" s="1">
        <v>43172</v>
      </c>
      <c r="BO1178" s="1">
        <v>43172</v>
      </c>
      <c r="BP1178" s="1">
        <v>43855</v>
      </c>
      <c r="BQ1178" t="s">
        <v>51</v>
      </c>
      <c r="BS1178" t="s">
        <v>60</v>
      </c>
      <c r="BT1178" t="s">
        <v>54</v>
      </c>
      <c r="BU1178" t="s">
        <v>687</v>
      </c>
      <c r="BV1178" t="s">
        <v>688</v>
      </c>
      <c r="BX1178">
        <v>18</v>
      </c>
      <c r="BY1178">
        <v>0</v>
      </c>
      <c r="BZ1178">
        <v>0</v>
      </c>
    </row>
    <row r="1179" spans="1:78" x14ac:dyDescent="0.2">
      <c r="A1179" t="s">
        <v>180</v>
      </c>
      <c r="B1179" t="s">
        <v>181</v>
      </c>
      <c r="C1179" t="s">
        <v>184</v>
      </c>
      <c r="D1179" t="s">
        <v>711</v>
      </c>
      <c r="F1179" t="str">
        <f>"250839"</f>
        <v>250839</v>
      </c>
      <c r="G1179" t="s">
        <v>49</v>
      </c>
      <c r="K1179" t="s">
        <v>51</v>
      </c>
      <c r="L1179" t="s">
        <v>52</v>
      </c>
      <c r="M1179">
        <v>136148.07999999999</v>
      </c>
      <c r="N1179">
        <v>472233.03</v>
      </c>
      <c r="O1179" t="s">
        <v>53</v>
      </c>
      <c r="P1179" t="s">
        <v>54</v>
      </c>
      <c r="Q1179" t="s">
        <v>55</v>
      </c>
      <c r="T1179" t="s">
        <v>712</v>
      </c>
      <c r="U1179">
        <v>40</v>
      </c>
      <c r="V1179" s="1">
        <v>33420</v>
      </c>
      <c r="W1179" s="1">
        <v>33420</v>
      </c>
      <c r="X1179" s="1">
        <v>33420</v>
      </c>
      <c r="Y1179" s="1">
        <v>48030</v>
      </c>
      <c r="Z1179" t="s">
        <v>51</v>
      </c>
      <c r="AB1179" t="s">
        <v>54</v>
      </c>
      <c r="AC1179">
        <v>1</v>
      </c>
      <c r="AE1179" t="s">
        <v>685</v>
      </c>
      <c r="AF1179">
        <v>20</v>
      </c>
      <c r="AG1179" s="1">
        <v>33420</v>
      </c>
      <c r="AH1179" s="1">
        <v>33420</v>
      </c>
      <c r="AI1179" s="1">
        <v>33420</v>
      </c>
      <c r="AJ1179" s="1">
        <v>40725</v>
      </c>
      <c r="AK1179" t="s">
        <v>51</v>
      </c>
      <c r="AN1179">
        <v>0</v>
      </c>
      <c r="AO1179" t="s">
        <v>54</v>
      </c>
      <c r="AP1179" t="s">
        <v>53</v>
      </c>
      <c r="AQ1179">
        <v>0</v>
      </c>
      <c r="AR1179" t="s">
        <v>53</v>
      </c>
      <c r="AS1179">
        <v>0</v>
      </c>
      <c r="AT1179">
        <v>0</v>
      </c>
      <c r="AW1179" t="s">
        <v>58</v>
      </c>
      <c r="AX1179">
        <v>20</v>
      </c>
      <c r="AY1179" s="1">
        <v>33420</v>
      </c>
      <c r="AZ1179" s="1">
        <v>33420</v>
      </c>
      <c r="BA1179" s="1">
        <v>33420</v>
      </c>
      <c r="BB1179" s="1">
        <v>40725</v>
      </c>
      <c r="BC1179" t="s">
        <v>51</v>
      </c>
      <c r="BE1179" t="s">
        <v>54</v>
      </c>
      <c r="BF1179">
        <v>2</v>
      </c>
      <c r="BG1179">
        <v>0</v>
      </c>
      <c r="BH1179" t="s">
        <v>53</v>
      </c>
      <c r="BK1179" t="s">
        <v>686</v>
      </c>
      <c r="BL1179">
        <v>8000</v>
      </c>
      <c r="BM1179" s="1">
        <v>45019</v>
      </c>
      <c r="BN1179" s="1">
        <v>45019</v>
      </c>
      <c r="BO1179" s="1">
        <v>45019</v>
      </c>
      <c r="BP1179" s="1">
        <v>45699</v>
      </c>
      <c r="BQ1179" t="s">
        <v>51</v>
      </c>
      <c r="BS1179" t="s">
        <v>60</v>
      </c>
      <c r="BT1179" t="s">
        <v>54</v>
      </c>
      <c r="BU1179" t="s">
        <v>687</v>
      </c>
      <c r="BV1179" t="s">
        <v>688</v>
      </c>
      <c r="BX1179">
        <v>18</v>
      </c>
      <c r="BY1179">
        <v>0</v>
      </c>
      <c r="BZ1179">
        <v>0</v>
      </c>
    </row>
    <row r="1180" spans="1:78" x14ac:dyDescent="0.2">
      <c r="A1180" t="s">
        <v>180</v>
      </c>
      <c r="B1180" t="s">
        <v>181</v>
      </c>
      <c r="C1180" t="s">
        <v>184</v>
      </c>
      <c r="D1180" t="s">
        <v>711</v>
      </c>
      <c r="F1180" t="str">
        <f>"250840"</f>
        <v>250840</v>
      </c>
      <c r="G1180" t="s">
        <v>49</v>
      </c>
      <c r="K1180" t="s">
        <v>51</v>
      </c>
      <c r="L1180" t="s">
        <v>52</v>
      </c>
      <c r="M1180">
        <v>136197.70000000001</v>
      </c>
      <c r="N1180">
        <v>472242.22</v>
      </c>
      <c r="O1180" t="s">
        <v>53</v>
      </c>
      <c r="P1180" t="s">
        <v>54</v>
      </c>
      <c r="Q1180" t="s">
        <v>55</v>
      </c>
      <c r="T1180" t="s">
        <v>712</v>
      </c>
      <c r="U1180">
        <v>40</v>
      </c>
      <c r="V1180" s="1">
        <v>33420</v>
      </c>
      <c r="W1180" s="1">
        <v>33420</v>
      </c>
      <c r="X1180" s="1">
        <v>33420</v>
      </c>
      <c r="Y1180" s="1">
        <v>48030</v>
      </c>
      <c r="Z1180" t="s">
        <v>51</v>
      </c>
      <c r="AB1180" t="s">
        <v>54</v>
      </c>
      <c r="AC1180">
        <v>1</v>
      </c>
      <c r="AE1180" t="s">
        <v>685</v>
      </c>
      <c r="AF1180">
        <v>20</v>
      </c>
      <c r="AG1180" s="1">
        <v>33420</v>
      </c>
      <c r="AH1180" s="1">
        <v>33420</v>
      </c>
      <c r="AI1180" s="1">
        <v>33420</v>
      </c>
      <c r="AJ1180" s="1">
        <v>40725</v>
      </c>
      <c r="AK1180" t="s">
        <v>51</v>
      </c>
      <c r="AN1180">
        <v>0</v>
      </c>
      <c r="AO1180" t="s">
        <v>54</v>
      </c>
      <c r="AP1180" t="s">
        <v>53</v>
      </c>
      <c r="AQ1180">
        <v>0</v>
      </c>
      <c r="AR1180" t="s">
        <v>53</v>
      </c>
      <c r="AS1180">
        <v>0</v>
      </c>
      <c r="AT1180">
        <v>0</v>
      </c>
      <c r="AW1180" t="s">
        <v>58</v>
      </c>
      <c r="AX1180">
        <v>20</v>
      </c>
      <c r="AY1180" s="1">
        <v>33420</v>
      </c>
      <c r="AZ1180" s="1">
        <v>33420</v>
      </c>
      <c r="BA1180" s="1">
        <v>33420</v>
      </c>
      <c r="BB1180" s="1">
        <v>40725</v>
      </c>
      <c r="BC1180" t="s">
        <v>51</v>
      </c>
      <c r="BE1180" t="s">
        <v>54</v>
      </c>
      <c r="BF1180">
        <v>2</v>
      </c>
      <c r="BG1180">
        <v>0</v>
      </c>
      <c r="BH1180" t="s">
        <v>53</v>
      </c>
      <c r="BK1180" t="s">
        <v>686</v>
      </c>
      <c r="BL1180">
        <v>8000</v>
      </c>
      <c r="BM1180" s="1">
        <v>42917</v>
      </c>
      <c r="BN1180" s="1">
        <v>42917</v>
      </c>
      <c r="BO1180" s="1">
        <v>42917</v>
      </c>
      <c r="BP1180" s="1">
        <v>43567</v>
      </c>
      <c r="BQ1180" t="s">
        <v>51</v>
      </c>
      <c r="BS1180" t="s">
        <v>60</v>
      </c>
      <c r="BT1180" t="s">
        <v>54</v>
      </c>
      <c r="BU1180" t="s">
        <v>687</v>
      </c>
      <c r="BV1180" t="s">
        <v>688</v>
      </c>
      <c r="BX1180">
        <v>18</v>
      </c>
      <c r="BY1180">
        <v>0</v>
      </c>
      <c r="BZ1180">
        <v>0</v>
      </c>
    </row>
    <row r="1181" spans="1:78" x14ac:dyDescent="0.2">
      <c r="A1181" t="s">
        <v>180</v>
      </c>
      <c r="B1181" t="s">
        <v>181</v>
      </c>
      <c r="C1181" t="s">
        <v>184</v>
      </c>
      <c r="D1181" t="s">
        <v>708</v>
      </c>
      <c r="F1181" t="str">
        <f>"250841"</f>
        <v>250841</v>
      </c>
      <c r="G1181" t="s">
        <v>49</v>
      </c>
      <c r="K1181" t="s">
        <v>51</v>
      </c>
      <c r="L1181" t="s">
        <v>52</v>
      </c>
      <c r="M1181">
        <v>136128.91</v>
      </c>
      <c r="N1181">
        <v>472216.28</v>
      </c>
      <c r="O1181" t="s">
        <v>53</v>
      </c>
      <c r="P1181" t="s">
        <v>54</v>
      </c>
      <c r="Q1181" t="s">
        <v>55</v>
      </c>
      <c r="T1181" t="s">
        <v>713</v>
      </c>
      <c r="U1181">
        <v>40</v>
      </c>
      <c r="V1181" s="1">
        <v>33420</v>
      </c>
      <c r="W1181" s="1">
        <v>33420</v>
      </c>
      <c r="X1181" s="1">
        <v>33420</v>
      </c>
      <c r="Y1181" s="1">
        <v>48030</v>
      </c>
      <c r="Z1181" t="s">
        <v>51</v>
      </c>
      <c r="AB1181" t="s">
        <v>54</v>
      </c>
      <c r="AC1181">
        <v>1</v>
      </c>
      <c r="AE1181" t="s">
        <v>685</v>
      </c>
      <c r="AF1181">
        <v>20</v>
      </c>
      <c r="AG1181" s="1">
        <v>33420</v>
      </c>
      <c r="AH1181" s="1">
        <v>33420</v>
      </c>
      <c r="AI1181" s="1">
        <v>33420</v>
      </c>
      <c r="AJ1181" s="1">
        <v>40725</v>
      </c>
      <c r="AK1181" t="s">
        <v>51</v>
      </c>
      <c r="AN1181">
        <v>0</v>
      </c>
      <c r="AO1181" t="s">
        <v>54</v>
      </c>
      <c r="AP1181" t="s">
        <v>53</v>
      </c>
      <c r="AQ1181">
        <v>0</v>
      </c>
      <c r="AR1181" t="s">
        <v>53</v>
      </c>
      <c r="AS1181">
        <v>0</v>
      </c>
      <c r="AT1181">
        <v>0</v>
      </c>
      <c r="AW1181" t="s">
        <v>58</v>
      </c>
      <c r="AX1181">
        <v>20</v>
      </c>
      <c r="AY1181" s="1">
        <v>33420</v>
      </c>
      <c r="AZ1181" s="1">
        <v>33420</v>
      </c>
      <c r="BA1181" s="1">
        <v>33420</v>
      </c>
      <c r="BB1181" s="1">
        <v>40725</v>
      </c>
      <c r="BC1181" t="s">
        <v>51</v>
      </c>
      <c r="BE1181" t="s">
        <v>54</v>
      </c>
      <c r="BF1181">
        <v>2</v>
      </c>
      <c r="BG1181">
        <v>0</v>
      </c>
      <c r="BH1181" t="s">
        <v>53</v>
      </c>
      <c r="BK1181" t="s">
        <v>686</v>
      </c>
      <c r="BL1181">
        <v>8000</v>
      </c>
      <c r="BM1181" s="1">
        <v>44872</v>
      </c>
      <c r="BN1181" s="1">
        <v>44872</v>
      </c>
      <c r="BO1181" s="1">
        <v>44872</v>
      </c>
      <c r="BP1181" s="1">
        <v>45556</v>
      </c>
      <c r="BQ1181" t="s">
        <v>51</v>
      </c>
      <c r="BS1181" t="s">
        <v>60</v>
      </c>
      <c r="BT1181" t="s">
        <v>54</v>
      </c>
      <c r="BU1181" t="s">
        <v>687</v>
      </c>
      <c r="BV1181" t="s">
        <v>688</v>
      </c>
      <c r="BX1181">
        <v>18</v>
      </c>
      <c r="BY1181">
        <v>0</v>
      </c>
      <c r="BZ1181">
        <v>0</v>
      </c>
    </row>
    <row r="1182" spans="1:78" x14ac:dyDescent="0.2">
      <c r="A1182" t="s">
        <v>180</v>
      </c>
      <c r="B1182" t="s">
        <v>181</v>
      </c>
      <c r="C1182" t="s">
        <v>184</v>
      </c>
      <c r="D1182" t="s">
        <v>708</v>
      </c>
      <c r="F1182" t="str">
        <f>"250842"</f>
        <v>250842</v>
      </c>
      <c r="G1182" t="s">
        <v>49</v>
      </c>
      <c r="K1182" t="s">
        <v>51</v>
      </c>
      <c r="L1182" t="s">
        <v>52</v>
      </c>
      <c r="M1182">
        <v>136072.158</v>
      </c>
      <c r="N1182">
        <v>472245.587</v>
      </c>
      <c r="O1182" t="s">
        <v>53</v>
      </c>
      <c r="P1182" t="s">
        <v>54</v>
      </c>
      <c r="Q1182" t="s">
        <v>55</v>
      </c>
      <c r="T1182" t="s">
        <v>713</v>
      </c>
      <c r="U1182">
        <v>40</v>
      </c>
      <c r="V1182" s="1">
        <v>33239</v>
      </c>
      <c r="W1182" s="1">
        <v>33239</v>
      </c>
      <c r="X1182" s="1">
        <v>33239</v>
      </c>
      <c r="Y1182" s="1">
        <v>47849</v>
      </c>
      <c r="Z1182" t="s">
        <v>51</v>
      </c>
      <c r="AB1182" t="s">
        <v>54</v>
      </c>
      <c r="AC1182">
        <v>1</v>
      </c>
      <c r="AE1182" t="s">
        <v>685</v>
      </c>
      <c r="AF1182">
        <v>20</v>
      </c>
      <c r="AG1182" s="1">
        <v>33420</v>
      </c>
      <c r="AH1182" s="1">
        <v>33420</v>
      </c>
      <c r="AI1182" s="1">
        <v>33420</v>
      </c>
      <c r="AJ1182" s="1">
        <v>40725</v>
      </c>
      <c r="AK1182" t="s">
        <v>51</v>
      </c>
      <c r="AN1182">
        <v>0</v>
      </c>
      <c r="AO1182" t="s">
        <v>54</v>
      </c>
      <c r="AP1182" t="s">
        <v>53</v>
      </c>
      <c r="AQ1182">
        <v>0</v>
      </c>
      <c r="AR1182" t="s">
        <v>53</v>
      </c>
      <c r="AS1182">
        <v>0</v>
      </c>
      <c r="AT1182">
        <v>0</v>
      </c>
      <c r="AW1182" t="s">
        <v>58</v>
      </c>
      <c r="AX1182">
        <v>20</v>
      </c>
      <c r="AY1182" s="1">
        <v>33420</v>
      </c>
      <c r="AZ1182" s="1">
        <v>33420</v>
      </c>
      <c r="BA1182" s="1">
        <v>33420</v>
      </c>
      <c r="BB1182" s="1">
        <v>40725</v>
      </c>
      <c r="BC1182" t="s">
        <v>51</v>
      </c>
      <c r="BE1182" t="s">
        <v>54</v>
      </c>
      <c r="BF1182">
        <v>2</v>
      </c>
      <c r="BG1182">
        <v>0</v>
      </c>
      <c r="BH1182" t="s">
        <v>53</v>
      </c>
      <c r="BK1182" t="s">
        <v>686</v>
      </c>
      <c r="BL1182">
        <v>8000</v>
      </c>
      <c r="BM1182" s="1">
        <v>45040</v>
      </c>
      <c r="BN1182" s="1">
        <v>45040</v>
      </c>
      <c r="BO1182" s="1">
        <v>45040</v>
      </c>
      <c r="BP1182" s="1">
        <v>45714</v>
      </c>
      <c r="BQ1182" t="s">
        <v>51</v>
      </c>
      <c r="BS1182" t="s">
        <v>60</v>
      </c>
      <c r="BT1182" t="s">
        <v>54</v>
      </c>
      <c r="BU1182" t="s">
        <v>687</v>
      </c>
      <c r="BV1182" t="s">
        <v>688</v>
      </c>
      <c r="BX1182">
        <v>18</v>
      </c>
      <c r="BY1182">
        <v>0</v>
      </c>
      <c r="BZ1182">
        <v>0</v>
      </c>
    </row>
    <row r="1183" spans="1:78" x14ac:dyDescent="0.2">
      <c r="A1183" t="s">
        <v>180</v>
      </c>
      <c r="B1183" t="s">
        <v>181</v>
      </c>
      <c r="C1183" t="s">
        <v>184</v>
      </c>
      <c r="D1183" t="s">
        <v>714</v>
      </c>
      <c r="F1183" t="str">
        <f>"250843"</f>
        <v>250843</v>
      </c>
      <c r="G1183" t="s">
        <v>49</v>
      </c>
      <c r="K1183" t="s">
        <v>51</v>
      </c>
      <c r="L1183" t="s">
        <v>52</v>
      </c>
      <c r="M1183">
        <v>136823.76999999999</v>
      </c>
      <c r="N1183">
        <v>472035.41</v>
      </c>
      <c r="O1183" t="s">
        <v>53</v>
      </c>
      <c r="P1183" t="s">
        <v>54</v>
      </c>
      <c r="Q1183" t="s">
        <v>55</v>
      </c>
      <c r="T1183" t="s">
        <v>676</v>
      </c>
      <c r="U1183">
        <v>40</v>
      </c>
      <c r="V1183" s="1">
        <v>44470</v>
      </c>
      <c r="W1183" s="1">
        <v>44470</v>
      </c>
      <c r="X1183" s="1">
        <v>44470</v>
      </c>
      <c r="Y1183" s="1">
        <v>59080</v>
      </c>
      <c r="Z1183" t="s">
        <v>51</v>
      </c>
      <c r="AB1183" t="s">
        <v>54</v>
      </c>
      <c r="AC1183">
        <v>1</v>
      </c>
      <c r="AE1183" t="s">
        <v>91</v>
      </c>
      <c r="AF1183">
        <v>20</v>
      </c>
      <c r="AG1183" s="1">
        <v>38534</v>
      </c>
      <c r="AH1183" s="1">
        <v>38534</v>
      </c>
      <c r="AI1183" s="1">
        <v>44470</v>
      </c>
      <c r="AJ1183" s="1">
        <v>45839</v>
      </c>
      <c r="AK1183" t="s">
        <v>51</v>
      </c>
      <c r="AN1183">
        <v>0</v>
      </c>
      <c r="AO1183" t="s">
        <v>54</v>
      </c>
      <c r="AP1183" t="s">
        <v>53</v>
      </c>
      <c r="AQ1183">
        <v>0</v>
      </c>
      <c r="AR1183" t="s">
        <v>53</v>
      </c>
      <c r="AS1183">
        <v>0</v>
      </c>
      <c r="AT1183">
        <v>0</v>
      </c>
      <c r="AW1183" t="s">
        <v>58</v>
      </c>
      <c r="AX1183">
        <v>20</v>
      </c>
      <c r="AY1183" s="1">
        <v>43781</v>
      </c>
      <c r="AZ1183" s="1">
        <v>43781</v>
      </c>
      <c r="BA1183" s="1">
        <v>44470</v>
      </c>
      <c r="BB1183" s="1">
        <v>51086</v>
      </c>
      <c r="BC1183" t="s">
        <v>51</v>
      </c>
      <c r="BE1183" t="s">
        <v>54</v>
      </c>
      <c r="BF1183">
        <v>2</v>
      </c>
      <c r="BG1183">
        <v>0</v>
      </c>
      <c r="BH1183" t="s">
        <v>53</v>
      </c>
      <c r="BK1183" t="s">
        <v>92</v>
      </c>
      <c r="BL1183">
        <v>14000</v>
      </c>
      <c r="BM1183" s="1">
        <v>43759</v>
      </c>
      <c r="BN1183" s="1">
        <v>43759</v>
      </c>
      <c r="BO1183" s="1">
        <v>44470</v>
      </c>
      <c r="BP1183" s="1">
        <v>44919</v>
      </c>
      <c r="BQ1183" t="s">
        <v>51</v>
      </c>
      <c r="BS1183" t="s">
        <v>60</v>
      </c>
      <c r="BT1183" t="s">
        <v>54</v>
      </c>
      <c r="BU1183" t="s">
        <v>61</v>
      </c>
      <c r="BV1183" t="s">
        <v>62</v>
      </c>
      <c r="BX1183">
        <v>55</v>
      </c>
      <c r="BY1183">
        <v>0</v>
      </c>
      <c r="BZ1183">
        <v>0</v>
      </c>
    </row>
    <row r="1184" spans="1:78" x14ac:dyDescent="0.2">
      <c r="A1184" t="s">
        <v>180</v>
      </c>
      <c r="B1184" t="s">
        <v>181</v>
      </c>
      <c r="C1184" t="s">
        <v>184</v>
      </c>
      <c r="D1184" t="s">
        <v>714</v>
      </c>
      <c r="F1184" t="str">
        <f>"250844"</f>
        <v>250844</v>
      </c>
      <c r="G1184" t="s">
        <v>49</v>
      </c>
      <c r="K1184" t="s">
        <v>51</v>
      </c>
      <c r="L1184" t="s">
        <v>52</v>
      </c>
      <c r="M1184">
        <v>136796.57199999999</v>
      </c>
      <c r="N1184">
        <v>472042.61599999998</v>
      </c>
      <c r="O1184" t="s">
        <v>53</v>
      </c>
      <c r="P1184" t="s">
        <v>54</v>
      </c>
      <c r="Q1184" t="s">
        <v>55</v>
      </c>
      <c r="T1184" t="s">
        <v>366</v>
      </c>
      <c r="U1184">
        <v>40</v>
      </c>
      <c r="V1184" s="1">
        <v>38534</v>
      </c>
      <c r="W1184" s="1">
        <v>38534</v>
      </c>
      <c r="X1184" s="1">
        <v>38534</v>
      </c>
      <c r="Y1184" s="1">
        <v>53144</v>
      </c>
      <c r="Z1184" t="s">
        <v>51</v>
      </c>
      <c r="AB1184" t="s">
        <v>54</v>
      </c>
      <c r="AC1184">
        <v>1</v>
      </c>
      <c r="AE1184" t="s">
        <v>91</v>
      </c>
      <c r="AF1184">
        <v>20</v>
      </c>
      <c r="AG1184" s="1">
        <v>38534</v>
      </c>
      <c r="AH1184" s="1">
        <v>38534</v>
      </c>
      <c r="AI1184" s="1">
        <v>38534</v>
      </c>
      <c r="AJ1184" s="1">
        <v>45839</v>
      </c>
      <c r="AK1184" t="s">
        <v>51</v>
      </c>
      <c r="AN1184">
        <v>0</v>
      </c>
      <c r="AO1184" t="s">
        <v>54</v>
      </c>
      <c r="AP1184" t="s">
        <v>53</v>
      </c>
      <c r="AQ1184">
        <v>0</v>
      </c>
      <c r="AR1184" t="s">
        <v>53</v>
      </c>
      <c r="AS1184">
        <v>0</v>
      </c>
      <c r="AT1184">
        <v>0</v>
      </c>
      <c r="AW1184" t="s">
        <v>58</v>
      </c>
      <c r="AX1184">
        <v>20</v>
      </c>
      <c r="AY1184" s="1">
        <v>43472</v>
      </c>
      <c r="AZ1184" s="1">
        <v>43472</v>
      </c>
      <c r="BA1184" s="1">
        <v>43472</v>
      </c>
      <c r="BB1184" s="1">
        <v>50777</v>
      </c>
      <c r="BC1184" t="s">
        <v>51</v>
      </c>
      <c r="BE1184" t="s">
        <v>54</v>
      </c>
      <c r="BF1184">
        <v>2</v>
      </c>
      <c r="BG1184">
        <v>0</v>
      </c>
      <c r="BH1184" t="s">
        <v>53</v>
      </c>
      <c r="BK1184" t="s">
        <v>92</v>
      </c>
      <c r="BL1184">
        <v>14000</v>
      </c>
      <c r="BM1184" s="1">
        <v>43472</v>
      </c>
      <c r="BN1184" s="1">
        <v>43472</v>
      </c>
      <c r="BO1184" s="1">
        <v>43472</v>
      </c>
      <c r="BP1184" s="1">
        <v>44638</v>
      </c>
      <c r="BQ1184" t="s">
        <v>51</v>
      </c>
      <c r="BS1184" t="s">
        <v>60</v>
      </c>
      <c r="BT1184" t="s">
        <v>54</v>
      </c>
      <c r="BU1184" t="s">
        <v>61</v>
      </c>
      <c r="BV1184" t="s">
        <v>62</v>
      </c>
      <c r="BX1184">
        <v>55</v>
      </c>
      <c r="BY1184">
        <v>0</v>
      </c>
      <c r="BZ1184">
        <v>0</v>
      </c>
    </row>
    <row r="1185" spans="1:78" x14ac:dyDescent="0.2">
      <c r="A1185" t="s">
        <v>180</v>
      </c>
      <c r="B1185" t="s">
        <v>181</v>
      </c>
      <c r="C1185" t="s">
        <v>184</v>
      </c>
      <c r="D1185" t="s">
        <v>677</v>
      </c>
      <c r="F1185" t="str">
        <f>"250845"</f>
        <v>250845</v>
      </c>
      <c r="G1185" t="s">
        <v>49</v>
      </c>
      <c r="K1185" t="s">
        <v>51</v>
      </c>
      <c r="L1185" t="s">
        <v>52</v>
      </c>
      <c r="M1185">
        <v>136773.40900000001</v>
      </c>
      <c r="N1185">
        <v>472027.36499999999</v>
      </c>
      <c r="O1185" t="s">
        <v>53</v>
      </c>
      <c r="P1185" t="s">
        <v>54</v>
      </c>
      <c r="Q1185" t="s">
        <v>55</v>
      </c>
      <c r="T1185" t="s">
        <v>676</v>
      </c>
      <c r="U1185">
        <v>40</v>
      </c>
      <c r="V1185" s="1">
        <v>38169</v>
      </c>
      <c r="W1185" s="1">
        <v>38169</v>
      </c>
      <c r="X1185" s="1">
        <v>38169</v>
      </c>
      <c r="Y1185" s="1">
        <v>52779</v>
      </c>
      <c r="Z1185" t="s">
        <v>51</v>
      </c>
      <c r="AB1185" t="s">
        <v>54</v>
      </c>
      <c r="AC1185">
        <v>1</v>
      </c>
      <c r="AE1185" t="s">
        <v>91</v>
      </c>
      <c r="AF1185">
        <v>20</v>
      </c>
      <c r="AG1185" s="1">
        <v>38169</v>
      </c>
      <c r="AH1185" s="1">
        <v>38169</v>
      </c>
      <c r="AI1185" s="1">
        <v>38169</v>
      </c>
      <c r="AJ1185" s="1">
        <v>45474</v>
      </c>
      <c r="AK1185" t="s">
        <v>51</v>
      </c>
      <c r="AN1185">
        <v>0</v>
      </c>
      <c r="AO1185" t="s">
        <v>54</v>
      </c>
      <c r="AP1185" t="s">
        <v>53</v>
      </c>
      <c r="AQ1185">
        <v>0</v>
      </c>
      <c r="AR1185" t="s">
        <v>53</v>
      </c>
      <c r="AS1185">
        <v>0</v>
      </c>
      <c r="AT1185">
        <v>0</v>
      </c>
      <c r="AW1185" t="s">
        <v>58</v>
      </c>
      <c r="AX1185">
        <v>20</v>
      </c>
      <c r="AY1185" s="1">
        <v>44074</v>
      </c>
      <c r="AZ1185" s="1">
        <v>44074</v>
      </c>
      <c r="BA1185" s="1">
        <v>44074</v>
      </c>
      <c r="BB1185" s="1">
        <v>51379</v>
      </c>
      <c r="BC1185" t="s">
        <v>51</v>
      </c>
      <c r="BE1185" t="s">
        <v>54</v>
      </c>
      <c r="BF1185">
        <v>2</v>
      </c>
      <c r="BG1185">
        <v>0</v>
      </c>
      <c r="BH1185" t="s">
        <v>53</v>
      </c>
      <c r="BK1185" t="s">
        <v>92</v>
      </c>
      <c r="BL1185">
        <v>14000</v>
      </c>
      <c r="BM1185" s="1">
        <v>44074</v>
      </c>
      <c r="BN1185" s="1">
        <v>44074</v>
      </c>
      <c r="BO1185" s="1">
        <v>44074</v>
      </c>
      <c r="BP1185" s="1">
        <v>45248</v>
      </c>
      <c r="BQ1185" t="s">
        <v>51</v>
      </c>
      <c r="BS1185" t="s">
        <v>60</v>
      </c>
      <c r="BT1185" t="s">
        <v>54</v>
      </c>
      <c r="BU1185" t="s">
        <v>61</v>
      </c>
      <c r="BV1185" t="s">
        <v>62</v>
      </c>
      <c r="BX1185">
        <v>55</v>
      </c>
      <c r="BY1185">
        <v>0</v>
      </c>
      <c r="BZ1185">
        <v>0</v>
      </c>
    </row>
    <row r="1186" spans="1:78" x14ac:dyDescent="0.2">
      <c r="A1186" t="s">
        <v>180</v>
      </c>
      <c r="B1186" t="s">
        <v>181</v>
      </c>
      <c r="C1186" t="s">
        <v>184</v>
      </c>
      <c r="D1186" t="s">
        <v>677</v>
      </c>
      <c r="F1186" t="str">
        <f>"250846"</f>
        <v>250846</v>
      </c>
      <c r="G1186" t="s">
        <v>49</v>
      </c>
      <c r="K1186" t="s">
        <v>51</v>
      </c>
      <c r="L1186" t="s">
        <v>52</v>
      </c>
      <c r="M1186">
        <v>136749.5</v>
      </c>
      <c r="N1186">
        <v>472038.75</v>
      </c>
      <c r="O1186" t="s">
        <v>53</v>
      </c>
      <c r="P1186" t="s">
        <v>54</v>
      </c>
      <c r="Q1186" t="s">
        <v>55</v>
      </c>
      <c r="T1186" t="s">
        <v>239</v>
      </c>
      <c r="U1186">
        <v>40</v>
      </c>
      <c r="V1186" s="1">
        <v>38169</v>
      </c>
      <c r="W1186" s="1">
        <v>38169</v>
      </c>
      <c r="X1186" s="1">
        <v>38169</v>
      </c>
      <c r="Y1186" s="1">
        <v>52779</v>
      </c>
      <c r="Z1186" t="s">
        <v>51</v>
      </c>
      <c r="AB1186" t="s">
        <v>54</v>
      </c>
      <c r="AC1186">
        <v>1</v>
      </c>
      <c r="AE1186" t="s">
        <v>222</v>
      </c>
      <c r="AF1186">
        <v>20</v>
      </c>
      <c r="AG1186" s="1">
        <v>38169</v>
      </c>
      <c r="AH1186" s="1">
        <v>38169</v>
      </c>
      <c r="AI1186" s="1">
        <v>38169</v>
      </c>
      <c r="AJ1186" s="1">
        <v>45474</v>
      </c>
      <c r="AK1186" t="s">
        <v>51</v>
      </c>
      <c r="AN1186">
        <v>0</v>
      </c>
      <c r="AO1186" t="s">
        <v>54</v>
      </c>
      <c r="AP1186" t="s">
        <v>53</v>
      </c>
      <c r="AQ1186">
        <v>0</v>
      </c>
      <c r="AR1186" t="s">
        <v>53</v>
      </c>
      <c r="AS1186">
        <v>0</v>
      </c>
      <c r="AT1186">
        <v>0</v>
      </c>
      <c r="AW1186" t="s">
        <v>58</v>
      </c>
      <c r="AX1186">
        <v>20</v>
      </c>
      <c r="AY1186" s="1">
        <v>38169</v>
      </c>
      <c r="AZ1186" s="1">
        <v>38169</v>
      </c>
      <c r="BA1186" s="1">
        <v>38169</v>
      </c>
      <c r="BB1186" s="1">
        <v>45474</v>
      </c>
      <c r="BC1186" t="s">
        <v>51</v>
      </c>
      <c r="BE1186" t="s">
        <v>54</v>
      </c>
      <c r="BF1186">
        <v>2</v>
      </c>
      <c r="BG1186">
        <v>0</v>
      </c>
      <c r="BH1186" t="s">
        <v>53</v>
      </c>
      <c r="BK1186" t="s">
        <v>59</v>
      </c>
      <c r="BL1186">
        <v>14000</v>
      </c>
      <c r="BM1186" s="1">
        <v>42917</v>
      </c>
      <c r="BN1186" s="1">
        <v>42917</v>
      </c>
      <c r="BO1186" s="1">
        <v>42917</v>
      </c>
      <c r="BP1186" s="1">
        <v>44117</v>
      </c>
      <c r="BQ1186" t="s">
        <v>51</v>
      </c>
      <c r="BS1186" t="s">
        <v>60</v>
      </c>
      <c r="BT1186" t="s">
        <v>54</v>
      </c>
      <c r="BU1186" t="s">
        <v>61</v>
      </c>
      <c r="BV1186" t="s">
        <v>62</v>
      </c>
      <c r="BX1186">
        <v>24</v>
      </c>
      <c r="BY1186">
        <v>0</v>
      </c>
      <c r="BZ1186">
        <v>0</v>
      </c>
    </row>
    <row r="1187" spans="1:78" x14ac:dyDescent="0.2">
      <c r="A1187" t="s">
        <v>180</v>
      </c>
      <c r="B1187" t="s">
        <v>181</v>
      </c>
      <c r="C1187" t="s">
        <v>184</v>
      </c>
      <c r="D1187" t="s">
        <v>677</v>
      </c>
      <c r="F1187" t="str">
        <f>"250847"</f>
        <v>250847</v>
      </c>
      <c r="G1187" t="s">
        <v>49</v>
      </c>
      <c r="K1187" t="s">
        <v>51</v>
      </c>
      <c r="L1187" t="s">
        <v>52</v>
      </c>
      <c r="M1187">
        <v>136750.65</v>
      </c>
      <c r="N1187">
        <v>472015.05</v>
      </c>
      <c r="O1187" t="s">
        <v>53</v>
      </c>
      <c r="P1187" t="s">
        <v>54</v>
      </c>
      <c r="Q1187" t="s">
        <v>55</v>
      </c>
      <c r="T1187" t="s">
        <v>239</v>
      </c>
      <c r="U1187">
        <v>40</v>
      </c>
      <c r="V1187" s="1">
        <v>38169</v>
      </c>
      <c r="W1187" s="1">
        <v>38169</v>
      </c>
      <c r="X1187" s="1">
        <v>38169</v>
      </c>
      <c r="Y1187" s="1">
        <v>52779</v>
      </c>
      <c r="Z1187" t="s">
        <v>51</v>
      </c>
      <c r="AB1187" t="s">
        <v>54</v>
      </c>
      <c r="AC1187">
        <v>1</v>
      </c>
      <c r="AE1187" t="s">
        <v>222</v>
      </c>
      <c r="AF1187">
        <v>20</v>
      </c>
      <c r="AG1187" s="1">
        <v>38169</v>
      </c>
      <c r="AH1187" s="1">
        <v>38169</v>
      </c>
      <c r="AI1187" s="1">
        <v>38169</v>
      </c>
      <c r="AJ1187" s="1">
        <v>45474</v>
      </c>
      <c r="AK1187" t="s">
        <v>51</v>
      </c>
      <c r="AN1187">
        <v>0</v>
      </c>
      <c r="AO1187" t="s">
        <v>54</v>
      </c>
      <c r="AP1187" t="s">
        <v>53</v>
      </c>
      <c r="AQ1187">
        <v>0</v>
      </c>
      <c r="AR1187" t="s">
        <v>53</v>
      </c>
      <c r="AS1187">
        <v>0</v>
      </c>
      <c r="AT1187">
        <v>0</v>
      </c>
      <c r="AW1187" t="s">
        <v>58</v>
      </c>
      <c r="AX1187">
        <v>20</v>
      </c>
      <c r="AY1187" s="1">
        <v>38169</v>
      </c>
      <c r="AZ1187" s="1">
        <v>38169</v>
      </c>
      <c r="BA1187" s="1">
        <v>38169</v>
      </c>
      <c r="BB1187" s="1">
        <v>45474</v>
      </c>
      <c r="BC1187" t="s">
        <v>51</v>
      </c>
      <c r="BE1187" t="s">
        <v>54</v>
      </c>
      <c r="BF1187">
        <v>2</v>
      </c>
      <c r="BG1187">
        <v>0</v>
      </c>
      <c r="BH1187" t="s">
        <v>53</v>
      </c>
      <c r="BK1187" t="s">
        <v>59</v>
      </c>
      <c r="BL1187">
        <v>14000</v>
      </c>
      <c r="BM1187" s="1">
        <v>42917</v>
      </c>
      <c r="BN1187" s="1">
        <v>42917</v>
      </c>
      <c r="BO1187" s="1">
        <v>42917</v>
      </c>
      <c r="BP1187" s="1">
        <v>44117</v>
      </c>
      <c r="BQ1187" t="s">
        <v>51</v>
      </c>
      <c r="BS1187" t="s">
        <v>60</v>
      </c>
      <c r="BT1187" t="s">
        <v>54</v>
      </c>
      <c r="BU1187" t="s">
        <v>61</v>
      </c>
      <c r="BV1187" t="s">
        <v>62</v>
      </c>
      <c r="BX1187">
        <v>24</v>
      </c>
      <c r="BY1187">
        <v>0</v>
      </c>
      <c r="BZ1187">
        <v>0</v>
      </c>
    </row>
    <row r="1188" spans="1:78" x14ac:dyDescent="0.2">
      <c r="A1188" t="s">
        <v>180</v>
      </c>
      <c r="B1188" t="s">
        <v>181</v>
      </c>
      <c r="C1188" t="s">
        <v>184</v>
      </c>
      <c r="D1188" t="s">
        <v>677</v>
      </c>
      <c r="F1188" t="str">
        <f>"250848"</f>
        <v>250848</v>
      </c>
      <c r="G1188" t="s">
        <v>49</v>
      </c>
      <c r="K1188" t="s">
        <v>51</v>
      </c>
      <c r="L1188" t="s">
        <v>52</v>
      </c>
      <c r="M1188">
        <v>136773.28</v>
      </c>
      <c r="N1188">
        <v>472011.91</v>
      </c>
      <c r="O1188" t="s">
        <v>53</v>
      </c>
      <c r="P1188" t="s">
        <v>54</v>
      </c>
      <c r="Q1188" t="s">
        <v>55</v>
      </c>
      <c r="T1188" t="s">
        <v>239</v>
      </c>
      <c r="U1188">
        <v>40</v>
      </c>
      <c r="V1188" s="1">
        <v>38169</v>
      </c>
      <c r="W1188" s="1">
        <v>38169</v>
      </c>
      <c r="X1188" s="1">
        <v>38169</v>
      </c>
      <c r="Y1188" s="1">
        <v>52779</v>
      </c>
      <c r="Z1188" t="s">
        <v>51</v>
      </c>
      <c r="AB1188" t="s">
        <v>54</v>
      </c>
      <c r="AC1188">
        <v>1</v>
      </c>
      <c r="AE1188" t="s">
        <v>222</v>
      </c>
      <c r="AF1188">
        <v>20</v>
      </c>
      <c r="AG1188" s="1">
        <v>38169</v>
      </c>
      <c r="AH1188" s="1">
        <v>38169</v>
      </c>
      <c r="AI1188" s="1">
        <v>38169</v>
      </c>
      <c r="AJ1188" s="1">
        <v>45474</v>
      </c>
      <c r="AK1188" t="s">
        <v>51</v>
      </c>
      <c r="AN1188">
        <v>0</v>
      </c>
      <c r="AO1188" t="s">
        <v>54</v>
      </c>
      <c r="AP1188" t="s">
        <v>53</v>
      </c>
      <c r="AQ1188">
        <v>0</v>
      </c>
      <c r="AR1188" t="s">
        <v>53</v>
      </c>
      <c r="AS1188">
        <v>0</v>
      </c>
      <c r="AT1188">
        <v>0</v>
      </c>
      <c r="AW1188" t="s">
        <v>58</v>
      </c>
      <c r="AX1188">
        <v>20</v>
      </c>
      <c r="AY1188" s="1">
        <v>38169</v>
      </c>
      <c r="AZ1188" s="1">
        <v>38169</v>
      </c>
      <c r="BA1188" s="1">
        <v>38169</v>
      </c>
      <c r="BB1188" s="1">
        <v>45474</v>
      </c>
      <c r="BC1188" t="s">
        <v>51</v>
      </c>
      <c r="BE1188" t="s">
        <v>54</v>
      </c>
      <c r="BF1188">
        <v>2</v>
      </c>
      <c r="BG1188">
        <v>0</v>
      </c>
      <c r="BH1188" t="s">
        <v>53</v>
      </c>
      <c r="BK1188" t="s">
        <v>59</v>
      </c>
      <c r="BL1188">
        <v>14000</v>
      </c>
      <c r="BM1188" s="1">
        <v>42917</v>
      </c>
      <c r="BN1188" s="1">
        <v>42917</v>
      </c>
      <c r="BO1188" s="1">
        <v>42917</v>
      </c>
      <c r="BP1188" s="1">
        <v>44117</v>
      </c>
      <c r="BQ1188" t="s">
        <v>51</v>
      </c>
      <c r="BS1188" t="s">
        <v>60</v>
      </c>
      <c r="BT1188" t="s">
        <v>54</v>
      </c>
      <c r="BU1188" t="s">
        <v>61</v>
      </c>
      <c r="BV1188" t="s">
        <v>62</v>
      </c>
      <c r="BX1188">
        <v>24</v>
      </c>
      <c r="BY1188">
        <v>0</v>
      </c>
      <c r="BZ1188">
        <v>0</v>
      </c>
    </row>
    <row r="1189" spans="1:78" x14ac:dyDescent="0.2">
      <c r="A1189" t="s">
        <v>180</v>
      </c>
      <c r="B1189" t="s">
        <v>181</v>
      </c>
      <c r="C1189" t="s">
        <v>184</v>
      </c>
      <c r="D1189" t="s">
        <v>677</v>
      </c>
      <c r="F1189" t="str">
        <f>"250849"</f>
        <v>250849</v>
      </c>
      <c r="G1189" t="s">
        <v>49</v>
      </c>
      <c r="K1189" t="s">
        <v>51</v>
      </c>
      <c r="L1189" t="s">
        <v>52</v>
      </c>
      <c r="M1189">
        <v>136759.39000000001</v>
      </c>
      <c r="N1189">
        <v>472005.84</v>
      </c>
      <c r="O1189" t="s">
        <v>53</v>
      </c>
      <c r="P1189" t="s">
        <v>54</v>
      </c>
      <c r="Q1189" t="s">
        <v>55</v>
      </c>
      <c r="T1189" t="s">
        <v>239</v>
      </c>
      <c r="U1189">
        <v>40</v>
      </c>
      <c r="V1189" s="1">
        <v>38169</v>
      </c>
      <c r="W1189" s="1">
        <v>38169</v>
      </c>
      <c r="X1189" s="1">
        <v>38169</v>
      </c>
      <c r="Y1189" s="1">
        <v>52779</v>
      </c>
      <c r="Z1189" t="s">
        <v>51</v>
      </c>
      <c r="AB1189" t="s">
        <v>54</v>
      </c>
      <c r="AC1189">
        <v>1</v>
      </c>
      <c r="AE1189" t="s">
        <v>222</v>
      </c>
      <c r="AF1189">
        <v>20</v>
      </c>
      <c r="AG1189" s="1">
        <v>38169</v>
      </c>
      <c r="AH1189" s="1">
        <v>38169</v>
      </c>
      <c r="AI1189" s="1">
        <v>38169</v>
      </c>
      <c r="AJ1189" s="1">
        <v>45474</v>
      </c>
      <c r="AK1189" t="s">
        <v>51</v>
      </c>
      <c r="AN1189">
        <v>0</v>
      </c>
      <c r="AO1189" t="s">
        <v>54</v>
      </c>
      <c r="AP1189" t="s">
        <v>53</v>
      </c>
      <c r="AQ1189">
        <v>0</v>
      </c>
      <c r="AR1189" t="s">
        <v>53</v>
      </c>
      <c r="AS1189">
        <v>0</v>
      </c>
      <c r="AT1189">
        <v>0</v>
      </c>
      <c r="AW1189" t="s">
        <v>58</v>
      </c>
      <c r="AX1189">
        <v>20</v>
      </c>
      <c r="AY1189" s="1">
        <v>38169</v>
      </c>
      <c r="AZ1189" s="1">
        <v>38169</v>
      </c>
      <c r="BA1189" s="1">
        <v>38169</v>
      </c>
      <c r="BB1189" s="1">
        <v>45474</v>
      </c>
      <c r="BC1189" t="s">
        <v>51</v>
      </c>
      <c r="BE1189" t="s">
        <v>54</v>
      </c>
      <c r="BF1189">
        <v>2</v>
      </c>
      <c r="BG1189">
        <v>0</v>
      </c>
      <c r="BH1189" t="s">
        <v>53</v>
      </c>
      <c r="BK1189" t="s">
        <v>59</v>
      </c>
      <c r="BL1189">
        <v>14000</v>
      </c>
      <c r="BM1189" s="1">
        <v>43186</v>
      </c>
      <c r="BN1189" s="1">
        <v>43186</v>
      </c>
      <c r="BO1189" s="1">
        <v>43186</v>
      </c>
      <c r="BP1189" s="1">
        <v>44405</v>
      </c>
      <c r="BQ1189" t="s">
        <v>51</v>
      </c>
      <c r="BS1189" t="s">
        <v>60</v>
      </c>
      <c r="BT1189" t="s">
        <v>54</v>
      </c>
      <c r="BU1189" t="s">
        <v>61</v>
      </c>
      <c r="BV1189" t="s">
        <v>62</v>
      </c>
      <c r="BX1189">
        <v>24</v>
      </c>
      <c r="BY1189">
        <v>0</v>
      </c>
      <c r="BZ1189">
        <v>0</v>
      </c>
    </row>
    <row r="1190" spans="1:78" x14ac:dyDescent="0.2">
      <c r="A1190" t="s">
        <v>180</v>
      </c>
      <c r="B1190" t="s">
        <v>181</v>
      </c>
      <c r="C1190" t="s">
        <v>184</v>
      </c>
      <c r="D1190" t="s">
        <v>677</v>
      </c>
      <c r="F1190" t="str">
        <f>"250850"</f>
        <v>250850</v>
      </c>
      <c r="G1190" t="s">
        <v>49</v>
      </c>
      <c r="K1190" t="s">
        <v>51</v>
      </c>
      <c r="L1190" t="s">
        <v>52</v>
      </c>
      <c r="M1190">
        <v>136772.51999999999</v>
      </c>
      <c r="N1190">
        <v>471999.41</v>
      </c>
      <c r="O1190" t="s">
        <v>53</v>
      </c>
      <c r="P1190" t="s">
        <v>54</v>
      </c>
      <c r="Q1190" t="s">
        <v>55</v>
      </c>
      <c r="T1190" t="s">
        <v>239</v>
      </c>
      <c r="U1190">
        <v>40</v>
      </c>
      <c r="V1190" s="1">
        <v>38169</v>
      </c>
      <c r="W1190" s="1">
        <v>38169</v>
      </c>
      <c r="X1190" s="1">
        <v>38169</v>
      </c>
      <c r="Y1190" s="1">
        <v>52779</v>
      </c>
      <c r="Z1190" t="s">
        <v>51</v>
      </c>
      <c r="AB1190" t="s">
        <v>54</v>
      </c>
      <c r="AC1190">
        <v>1</v>
      </c>
      <c r="AE1190" t="s">
        <v>222</v>
      </c>
      <c r="AF1190">
        <v>20</v>
      </c>
      <c r="AG1190" s="1">
        <v>38169</v>
      </c>
      <c r="AH1190" s="1">
        <v>38169</v>
      </c>
      <c r="AI1190" s="1">
        <v>38169</v>
      </c>
      <c r="AJ1190" s="1">
        <v>45474</v>
      </c>
      <c r="AK1190" t="s">
        <v>51</v>
      </c>
      <c r="AN1190">
        <v>0</v>
      </c>
      <c r="AO1190" t="s">
        <v>54</v>
      </c>
      <c r="AP1190" t="s">
        <v>53</v>
      </c>
      <c r="AQ1190">
        <v>0</v>
      </c>
      <c r="AR1190" t="s">
        <v>53</v>
      </c>
      <c r="AS1190">
        <v>0</v>
      </c>
      <c r="AT1190">
        <v>0</v>
      </c>
      <c r="AW1190" t="s">
        <v>58</v>
      </c>
      <c r="AX1190">
        <v>20</v>
      </c>
      <c r="AY1190" s="1">
        <v>38169</v>
      </c>
      <c r="AZ1190" s="1">
        <v>38169</v>
      </c>
      <c r="BA1190" s="1">
        <v>38169</v>
      </c>
      <c r="BB1190" s="1">
        <v>45474</v>
      </c>
      <c r="BC1190" t="s">
        <v>51</v>
      </c>
      <c r="BE1190" t="s">
        <v>54</v>
      </c>
      <c r="BF1190">
        <v>2</v>
      </c>
      <c r="BG1190">
        <v>0</v>
      </c>
      <c r="BH1190" t="s">
        <v>53</v>
      </c>
      <c r="BK1190" t="s">
        <v>59</v>
      </c>
      <c r="BL1190">
        <v>14000</v>
      </c>
      <c r="BM1190" s="1">
        <v>42917</v>
      </c>
      <c r="BN1190" s="1">
        <v>42917</v>
      </c>
      <c r="BO1190" s="1">
        <v>42917</v>
      </c>
      <c r="BP1190" s="1">
        <v>44117</v>
      </c>
      <c r="BQ1190" t="s">
        <v>51</v>
      </c>
      <c r="BS1190" t="s">
        <v>60</v>
      </c>
      <c r="BT1190" t="s">
        <v>54</v>
      </c>
      <c r="BU1190" t="s">
        <v>61</v>
      </c>
      <c r="BV1190" t="s">
        <v>62</v>
      </c>
      <c r="BX1190">
        <v>24</v>
      </c>
      <c r="BY1190">
        <v>0</v>
      </c>
      <c r="BZ1190">
        <v>0</v>
      </c>
    </row>
    <row r="1191" spans="1:78" x14ac:dyDescent="0.2">
      <c r="A1191" t="s">
        <v>180</v>
      </c>
      <c r="B1191" t="s">
        <v>181</v>
      </c>
      <c r="C1191" t="s">
        <v>184</v>
      </c>
      <c r="D1191" t="s">
        <v>677</v>
      </c>
      <c r="F1191" t="str">
        <f>"250851"</f>
        <v>250851</v>
      </c>
      <c r="G1191" t="s">
        <v>49</v>
      </c>
      <c r="K1191" t="s">
        <v>51</v>
      </c>
      <c r="L1191" t="s">
        <v>52</v>
      </c>
      <c r="M1191">
        <v>136825.85999999999</v>
      </c>
      <c r="N1191">
        <v>471971.68</v>
      </c>
      <c r="O1191" t="s">
        <v>53</v>
      </c>
      <c r="P1191" t="s">
        <v>54</v>
      </c>
      <c r="Q1191" t="s">
        <v>55</v>
      </c>
      <c r="T1191" t="s">
        <v>239</v>
      </c>
      <c r="U1191">
        <v>40</v>
      </c>
      <c r="V1191" s="1">
        <v>38169</v>
      </c>
      <c r="W1191" s="1">
        <v>38169</v>
      </c>
      <c r="X1191" s="1">
        <v>38169</v>
      </c>
      <c r="Y1191" s="1">
        <v>52779</v>
      </c>
      <c r="Z1191" t="s">
        <v>51</v>
      </c>
      <c r="AB1191" t="s">
        <v>54</v>
      </c>
      <c r="AC1191">
        <v>1</v>
      </c>
      <c r="AE1191" t="s">
        <v>222</v>
      </c>
      <c r="AF1191">
        <v>20</v>
      </c>
      <c r="AG1191" s="1">
        <v>38169</v>
      </c>
      <c r="AH1191" s="1">
        <v>38169</v>
      </c>
      <c r="AI1191" s="1">
        <v>38169</v>
      </c>
      <c r="AJ1191" s="1">
        <v>45474</v>
      </c>
      <c r="AK1191" t="s">
        <v>51</v>
      </c>
      <c r="AN1191">
        <v>0</v>
      </c>
      <c r="AO1191" t="s">
        <v>54</v>
      </c>
      <c r="AP1191" t="s">
        <v>53</v>
      </c>
      <c r="AQ1191">
        <v>0</v>
      </c>
      <c r="AR1191" t="s">
        <v>53</v>
      </c>
      <c r="AS1191">
        <v>0</v>
      </c>
      <c r="AT1191">
        <v>0</v>
      </c>
      <c r="AW1191" t="s">
        <v>58</v>
      </c>
      <c r="AX1191">
        <v>20</v>
      </c>
      <c r="AY1191" s="1">
        <v>38169</v>
      </c>
      <c r="AZ1191" s="1">
        <v>38169</v>
      </c>
      <c r="BA1191" s="1">
        <v>38169</v>
      </c>
      <c r="BB1191" s="1">
        <v>45474</v>
      </c>
      <c r="BC1191" t="s">
        <v>51</v>
      </c>
      <c r="BE1191" t="s">
        <v>54</v>
      </c>
      <c r="BF1191">
        <v>2</v>
      </c>
      <c r="BG1191">
        <v>0</v>
      </c>
      <c r="BH1191" t="s">
        <v>53</v>
      </c>
      <c r="BK1191" t="s">
        <v>59</v>
      </c>
      <c r="BL1191">
        <v>14000</v>
      </c>
      <c r="BM1191" s="1">
        <v>42917</v>
      </c>
      <c r="BN1191" s="1">
        <v>42917</v>
      </c>
      <c r="BO1191" s="1">
        <v>42917</v>
      </c>
      <c r="BP1191" s="1">
        <v>44117</v>
      </c>
      <c r="BQ1191" t="s">
        <v>51</v>
      </c>
      <c r="BS1191" t="s">
        <v>60</v>
      </c>
      <c r="BT1191" t="s">
        <v>54</v>
      </c>
      <c r="BU1191" t="s">
        <v>61</v>
      </c>
      <c r="BV1191" t="s">
        <v>62</v>
      </c>
      <c r="BX1191">
        <v>24</v>
      </c>
      <c r="BY1191">
        <v>0</v>
      </c>
      <c r="BZ1191">
        <v>0</v>
      </c>
    </row>
    <row r="1192" spans="1:78" x14ac:dyDescent="0.2">
      <c r="A1192" t="s">
        <v>180</v>
      </c>
      <c r="B1192" t="s">
        <v>181</v>
      </c>
      <c r="C1192" t="s">
        <v>184</v>
      </c>
      <c r="D1192" t="s">
        <v>677</v>
      </c>
      <c r="F1192" t="str">
        <f>"250852"</f>
        <v>250852</v>
      </c>
      <c r="G1192" t="s">
        <v>49</v>
      </c>
      <c r="K1192" t="s">
        <v>51</v>
      </c>
      <c r="L1192" t="s">
        <v>52</v>
      </c>
      <c r="M1192">
        <v>136730.39000000001</v>
      </c>
      <c r="N1192">
        <v>472012.44</v>
      </c>
      <c r="O1192" t="s">
        <v>53</v>
      </c>
      <c r="P1192" t="s">
        <v>54</v>
      </c>
      <c r="Q1192" t="s">
        <v>55</v>
      </c>
      <c r="T1192" t="s">
        <v>366</v>
      </c>
      <c r="U1192">
        <v>40</v>
      </c>
      <c r="V1192" s="1">
        <v>38169</v>
      </c>
      <c r="W1192" s="1">
        <v>38169</v>
      </c>
      <c r="X1192" s="1">
        <v>38169</v>
      </c>
      <c r="Y1192" s="1">
        <v>52779</v>
      </c>
      <c r="Z1192" t="s">
        <v>51</v>
      </c>
      <c r="AB1192" t="s">
        <v>54</v>
      </c>
      <c r="AC1192">
        <v>1</v>
      </c>
      <c r="AE1192" t="s">
        <v>91</v>
      </c>
      <c r="AF1192">
        <v>20</v>
      </c>
      <c r="AG1192" s="1">
        <v>38169</v>
      </c>
      <c r="AH1192" s="1">
        <v>38169</v>
      </c>
      <c r="AI1192" s="1">
        <v>38169</v>
      </c>
      <c r="AJ1192" s="1">
        <v>45474</v>
      </c>
      <c r="AK1192" t="s">
        <v>51</v>
      </c>
      <c r="AN1192">
        <v>0</v>
      </c>
      <c r="AO1192" t="s">
        <v>54</v>
      </c>
      <c r="AP1192" t="s">
        <v>53</v>
      </c>
      <c r="AQ1192">
        <v>0</v>
      </c>
      <c r="AR1192" t="s">
        <v>53</v>
      </c>
      <c r="AS1192">
        <v>0</v>
      </c>
      <c r="AT1192">
        <v>0</v>
      </c>
      <c r="AW1192" t="s">
        <v>58</v>
      </c>
      <c r="AX1192">
        <v>20</v>
      </c>
      <c r="AY1192" s="1">
        <v>38169</v>
      </c>
      <c r="AZ1192" s="1">
        <v>38169</v>
      </c>
      <c r="BA1192" s="1">
        <v>38169</v>
      </c>
      <c r="BB1192" s="1">
        <v>45474</v>
      </c>
      <c r="BC1192" t="s">
        <v>51</v>
      </c>
      <c r="BE1192" t="s">
        <v>54</v>
      </c>
      <c r="BF1192">
        <v>2</v>
      </c>
      <c r="BG1192">
        <v>0</v>
      </c>
      <c r="BH1192" t="s">
        <v>53</v>
      </c>
      <c r="BK1192" t="s">
        <v>92</v>
      </c>
      <c r="BL1192">
        <v>14000</v>
      </c>
      <c r="BM1192" s="1">
        <v>43174</v>
      </c>
      <c r="BN1192" s="1">
        <v>43174</v>
      </c>
      <c r="BO1192" s="1">
        <v>43174</v>
      </c>
      <c r="BP1192" s="1">
        <v>44387</v>
      </c>
      <c r="BQ1192" t="s">
        <v>51</v>
      </c>
      <c r="BS1192" t="s">
        <v>60</v>
      </c>
      <c r="BT1192" t="s">
        <v>54</v>
      </c>
      <c r="BU1192" t="s">
        <v>61</v>
      </c>
      <c r="BV1192" t="s">
        <v>62</v>
      </c>
      <c r="BX1192">
        <v>55</v>
      </c>
      <c r="BY1192">
        <v>0</v>
      </c>
      <c r="BZ1192">
        <v>0</v>
      </c>
    </row>
    <row r="1193" spans="1:78" x14ac:dyDescent="0.2">
      <c r="A1193" t="s">
        <v>180</v>
      </c>
      <c r="B1193" t="s">
        <v>181</v>
      </c>
      <c r="C1193" t="s">
        <v>184</v>
      </c>
      <c r="D1193" t="s">
        <v>677</v>
      </c>
      <c r="F1193" t="str">
        <f>"250853"</f>
        <v>250853</v>
      </c>
      <c r="G1193" t="s">
        <v>49</v>
      </c>
      <c r="K1193" t="s">
        <v>51</v>
      </c>
      <c r="L1193" t="s">
        <v>52</v>
      </c>
      <c r="M1193">
        <v>136703.31200000001</v>
      </c>
      <c r="N1193">
        <v>472023.39</v>
      </c>
      <c r="O1193" t="s">
        <v>53</v>
      </c>
      <c r="P1193" t="s">
        <v>54</v>
      </c>
      <c r="Q1193" t="s">
        <v>55</v>
      </c>
      <c r="T1193" t="s">
        <v>469</v>
      </c>
      <c r="U1193">
        <v>40</v>
      </c>
      <c r="V1193" s="1">
        <v>25569</v>
      </c>
      <c r="W1193" s="1">
        <v>25569</v>
      </c>
      <c r="X1193" s="1">
        <v>25569</v>
      </c>
      <c r="Y1193" s="1">
        <v>40179</v>
      </c>
      <c r="Z1193" t="s">
        <v>51</v>
      </c>
      <c r="AB1193" t="s">
        <v>54</v>
      </c>
      <c r="AC1193">
        <v>1</v>
      </c>
      <c r="AE1193" t="s">
        <v>57</v>
      </c>
      <c r="AF1193">
        <v>20</v>
      </c>
      <c r="AG1193" s="1">
        <v>25569</v>
      </c>
      <c r="AH1193" s="1">
        <v>25569</v>
      </c>
      <c r="AI1193" s="1">
        <v>25569</v>
      </c>
      <c r="AJ1193" s="1">
        <v>32874</v>
      </c>
      <c r="AK1193" t="s">
        <v>51</v>
      </c>
      <c r="AN1193">
        <v>0</v>
      </c>
      <c r="AO1193" t="s">
        <v>54</v>
      </c>
      <c r="AP1193" t="s">
        <v>53</v>
      </c>
      <c r="AQ1193">
        <v>0</v>
      </c>
      <c r="AR1193" t="s">
        <v>53</v>
      </c>
      <c r="AS1193">
        <v>0</v>
      </c>
      <c r="AT1193">
        <v>0</v>
      </c>
      <c r="AW1193" t="s">
        <v>58</v>
      </c>
      <c r="AX1193">
        <v>20</v>
      </c>
      <c r="AY1193" s="1">
        <v>25569</v>
      </c>
      <c r="AZ1193" s="1">
        <v>25569</v>
      </c>
      <c r="BA1193" s="1">
        <v>25569</v>
      </c>
      <c r="BB1193" s="1">
        <v>32874</v>
      </c>
      <c r="BC1193" t="s">
        <v>51</v>
      </c>
      <c r="BE1193" t="s">
        <v>54</v>
      </c>
      <c r="BF1193">
        <v>2</v>
      </c>
      <c r="BG1193">
        <v>0</v>
      </c>
      <c r="BH1193" t="s">
        <v>53</v>
      </c>
      <c r="BK1193" t="s">
        <v>59</v>
      </c>
      <c r="BL1193">
        <v>14000</v>
      </c>
      <c r="BM1193" s="1">
        <v>42917</v>
      </c>
      <c r="BN1193" s="1">
        <v>42917</v>
      </c>
      <c r="BO1193" s="1">
        <v>42917</v>
      </c>
      <c r="BP1193" s="1">
        <v>44117</v>
      </c>
      <c r="BQ1193" t="s">
        <v>51</v>
      </c>
      <c r="BS1193" t="s">
        <v>60</v>
      </c>
      <c r="BT1193" t="s">
        <v>54</v>
      </c>
      <c r="BU1193" t="s">
        <v>61</v>
      </c>
      <c r="BV1193" t="s">
        <v>62</v>
      </c>
      <c r="BX1193">
        <v>24</v>
      </c>
      <c r="BY1193">
        <v>0</v>
      </c>
      <c r="BZ1193">
        <v>0</v>
      </c>
    </row>
    <row r="1194" spans="1:78" x14ac:dyDescent="0.2">
      <c r="A1194" t="s">
        <v>180</v>
      </c>
      <c r="B1194" t="s">
        <v>181</v>
      </c>
      <c r="C1194" t="s">
        <v>184</v>
      </c>
      <c r="D1194" t="s">
        <v>715</v>
      </c>
      <c r="F1194" t="str">
        <f>"250854"</f>
        <v>250854</v>
      </c>
      <c r="G1194" t="s">
        <v>49</v>
      </c>
      <c r="K1194" t="s">
        <v>51</v>
      </c>
      <c r="L1194" t="s">
        <v>52</v>
      </c>
      <c r="M1194">
        <v>136688.66</v>
      </c>
      <c r="N1194">
        <v>472006.68400000001</v>
      </c>
      <c r="O1194" t="s">
        <v>53</v>
      </c>
      <c r="P1194" t="s">
        <v>54</v>
      </c>
      <c r="Q1194" t="s">
        <v>55</v>
      </c>
      <c r="T1194" t="s">
        <v>431</v>
      </c>
      <c r="U1194">
        <v>40</v>
      </c>
      <c r="V1194" s="1">
        <v>38353</v>
      </c>
      <c r="W1194" s="1">
        <v>38353</v>
      </c>
      <c r="X1194" s="1">
        <v>38353</v>
      </c>
      <c r="Y1194" s="1">
        <v>52963</v>
      </c>
      <c r="Z1194" t="s">
        <v>51</v>
      </c>
      <c r="AB1194" t="s">
        <v>54</v>
      </c>
      <c r="AC1194">
        <v>1</v>
      </c>
      <c r="AE1194" t="s">
        <v>79</v>
      </c>
      <c r="AF1194">
        <v>20</v>
      </c>
      <c r="AG1194" s="1">
        <v>38353</v>
      </c>
      <c r="AH1194" s="1">
        <v>38353</v>
      </c>
      <c r="AI1194" s="1">
        <v>38353</v>
      </c>
      <c r="AJ1194" s="1">
        <v>45658</v>
      </c>
      <c r="AK1194" t="s">
        <v>51</v>
      </c>
      <c r="AN1194">
        <v>0</v>
      </c>
      <c r="AO1194" t="s">
        <v>54</v>
      </c>
      <c r="AP1194" t="s">
        <v>53</v>
      </c>
      <c r="AQ1194">
        <v>0</v>
      </c>
      <c r="AR1194" t="s">
        <v>145</v>
      </c>
      <c r="AS1194">
        <v>0</v>
      </c>
      <c r="AT1194">
        <v>0</v>
      </c>
      <c r="AW1194" t="s">
        <v>79</v>
      </c>
      <c r="AX1194">
        <v>20</v>
      </c>
      <c r="AY1194" s="1">
        <v>38353</v>
      </c>
      <c r="AZ1194" s="1">
        <v>38353</v>
      </c>
      <c r="BA1194" s="1">
        <v>38353</v>
      </c>
      <c r="BB1194" s="1">
        <v>45658</v>
      </c>
      <c r="BC1194" t="s">
        <v>51</v>
      </c>
      <c r="BE1194" t="s">
        <v>54</v>
      </c>
      <c r="BF1194">
        <v>5</v>
      </c>
      <c r="BG1194">
        <v>0</v>
      </c>
      <c r="BH1194" t="s">
        <v>53</v>
      </c>
      <c r="BK1194" t="s">
        <v>59</v>
      </c>
      <c r="BL1194">
        <v>14000</v>
      </c>
      <c r="BM1194" s="1">
        <v>42917</v>
      </c>
      <c r="BN1194" s="1">
        <v>42917</v>
      </c>
      <c r="BO1194" s="1">
        <v>42917</v>
      </c>
      <c r="BP1194" s="1">
        <v>44117</v>
      </c>
      <c r="BQ1194" t="s">
        <v>51</v>
      </c>
      <c r="BS1194" t="s">
        <v>60</v>
      </c>
      <c r="BT1194" t="s">
        <v>54</v>
      </c>
      <c r="BU1194" t="s">
        <v>61</v>
      </c>
      <c r="BV1194" t="s">
        <v>62</v>
      </c>
      <c r="BX1194">
        <v>24</v>
      </c>
      <c r="BY1194">
        <v>0</v>
      </c>
      <c r="BZ1194">
        <v>0</v>
      </c>
    </row>
    <row r="1195" spans="1:78" x14ac:dyDescent="0.2">
      <c r="A1195" t="s">
        <v>180</v>
      </c>
      <c r="B1195" t="s">
        <v>181</v>
      </c>
      <c r="C1195" t="s">
        <v>184</v>
      </c>
      <c r="D1195" t="s">
        <v>677</v>
      </c>
      <c r="F1195" t="str">
        <f>"250855"</f>
        <v>250855</v>
      </c>
      <c r="G1195" t="s">
        <v>49</v>
      </c>
      <c r="K1195" t="s">
        <v>51</v>
      </c>
      <c r="L1195" t="s">
        <v>52</v>
      </c>
      <c r="M1195">
        <v>136677.31200000001</v>
      </c>
      <c r="N1195">
        <v>472025.26500000001</v>
      </c>
      <c r="O1195" t="s">
        <v>53</v>
      </c>
      <c r="P1195" t="s">
        <v>54</v>
      </c>
      <c r="Q1195" t="s">
        <v>55</v>
      </c>
      <c r="T1195" t="s">
        <v>469</v>
      </c>
      <c r="U1195">
        <v>40</v>
      </c>
      <c r="V1195" s="1">
        <v>25569</v>
      </c>
      <c r="W1195" s="1">
        <v>25569</v>
      </c>
      <c r="X1195" s="1">
        <v>25569</v>
      </c>
      <c r="Y1195" s="1">
        <v>40179</v>
      </c>
      <c r="Z1195" t="s">
        <v>51</v>
      </c>
      <c r="AB1195" t="s">
        <v>54</v>
      </c>
      <c r="AC1195">
        <v>1</v>
      </c>
      <c r="AE1195" t="s">
        <v>57</v>
      </c>
      <c r="AF1195">
        <v>20</v>
      </c>
      <c r="AG1195" s="1">
        <v>25569</v>
      </c>
      <c r="AH1195" s="1">
        <v>25569</v>
      </c>
      <c r="AI1195" s="1">
        <v>25569</v>
      </c>
      <c r="AJ1195" s="1">
        <v>32874</v>
      </c>
      <c r="AK1195" t="s">
        <v>51</v>
      </c>
      <c r="AN1195">
        <v>0</v>
      </c>
      <c r="AO1195" t="s">
        <v>54</v>
      </c>
      <c r="AP1195" t="s">
        <v>53</v>
      </c>
      <c r="AQ1195">
        <v>0</v>
      </c>
      <c r="AR1195" t="s">
        <v>53</v>
      </c>
      <c r="AS1195">
        <v>0</v>
      </c>
      <c r="AT1195">
        <v>0</v>
      </c>
      <c r="AW1195" t="s">
        <v>58</v>
      </c>
      <c r="AX1195">
        <v>20</v>
      </c>
      <c r="AY1195" s="1">
        <v>25569</v>
      </c>
      <c r="AZ1195" s="1">
        <v>25569</v>
      </c>
      <c r="BA1195" s="1">
        <v>25569</v>
      </c>
      <c r="BB1195" s="1">
        <v>32874</v>
      </c>
      <c r="BC1195" t="s">
        <v>51</v>
      </c>
      <c r="BE1195" t="s">
        <v>54</v>
      </c>
      <c r="BF1195">
        <v>2</v>
      </c>
      <c r="BG1195">
        <v>0</v>
      </c>
      <c r="BH1195" t="s">
        <v>53</v>
      </c>
      <c r="BK1195" t="s">
        <v>59</v>
      </c>
      <c r="BL1195">
        <v>14000</v>
      </c>
      <c r="BM1195" s="1">
        <v>42917</v>
      </c>
      <c r="BN1195" s="1">
        <v>42917</v>
      </c>
      <c r="BO1195" s="1">
        <v>42917</v>
      </c>
      <c r="BP1195" s="1">
        <v>44117</v>
      </c>
      <c r="BQ1195" t="s">
        <v>51</v>
      </c>
      <c r="BS1195" t="s">
        <v>60</v>
      </c>
      <c r="BT1195" t="s">
        <v>54</v>
      </c>
      <c r="BU1195" t="s">
        <v>61</v>
      </c>
      <c r="BV1195" t="s">
        <v>62</v>
      </c>
      <c r="BX1195">
        <v>24</v>
      </c>
      <c r="BY1195">
        <v>0</v>
      </c>
      <c r="BZ1195">
        <v>0</v>
      </c>
    </row>
    <row r="1196" spans="1:78" x14ac:dyDescent="0.2">
      <c r="A1196" t="s">
        <v>180</v>
      </c>
      <c r="B1196" t="s">
        <v>181</v>
      </c>
      <c r="C1196" t="s">
        <v>184</v>
      </c>
      <c r="D1196" t="s">
        <v>677</v>
      </c>
      <c r="F1196" t="str">
        <f>"250856"</f>
        <v>250856</v>
      </c>
      <c r="G1196" t="s">
        <v>49</v>
      </c>
      <c r="K1196" t="s">
        <v>51</v>
      </c>
      <c r="L1196" t="s">
        <v>52</v>
      </c>
      <c r="M1196">
        <v>136667.29199999999</v>
      </c>
      <c r="N1196">
        <v>472035.16100000002</v>
      </c>
      <c r="O1196" t="s">
        <v>53</v>
      </c>
      <c r="P1196" t="s">
        <v>54</v>
      </c>
      <c r="Q1196" t="s">
        <v>55</v>
      </c>
      <c r="T1196" t="s">
        <v>431</v>
      </c>
      <c r="U1196">
        <v>40</v>
      </c>
      <c r="V1196" s="1">
        <v>25569</v>
      </c>
      <c r="W1196" s="1">
        <v>25569</v>
      </c>
      <c r="X1196" s="1">
        <v>25569</v>
      </c>
      <c r="Y1196" s="1">
        <v>40179</v>
      </c>
      <c r="Z1196" t="s">
        <v>51</v>
      </c>
      <c r="AB1196" t="s">
        <v>54</v>
      </c>
      <c r="AC1196">
        <v>1</v>
      </c>
      <c r="AE1196" t="s">
        <v>79</v>
      </c>
      <c r="AF1196">
        <v>20</v>
      </c>
      <c r="AG1196" s="1">
        <v>25569</v>
      </c>
      <c r="AH1196" s="1">
        <v>25569</v>
      </c>
      <c r="AI1196" s="1">
        <v>25569</v>
      </c>
      <c r="AJ1196" s="1">
        <v>32874</v>
      </c>
      <c r="AK1196" t="s">
        <v>51</v>
      </c>
      <c r="AN1196">
        <v>0</v>
      </c>
      <c r="AO1196" t="s">
        <v>54</v>
      </c>
      <c r="AP1196" t="s">
        <v>53</v>
      </c>
      <c r="AQ1196">
        <v>0</v>
      </c>
      <c r="AR1196" t="s">
        <v>145</v>
      </c>
      <c r="AS1196">
        <v>0</v>
      </c>
      <c r="AT1196">
        <v>0</v>
      </c>
      <c r="AW1196" t="s">
        <v>79</v>
      </c>
      <c r="AX1196">
        <v>20</v>
      </c>
      <c r="AY1196" s="1">
        <v>25569</v>
      </c>
      <c r="AZ1196" s="1">
        <v>25569</v>
      </c>
      <c r="BA1196" s="1">
        <v>25569</v>
      </c>
      <c r="BB1196" s="1">
        <v>32874</v>
      </c>
      <c r="BC1196" t="s">
        <v>51</v>
      </c>
      <c r="BE1196" t="s">
        <v>54</v>
      </c>
      <c r="BF1196">
        <v>5</v>
      </c>
      <c r="BG1196">
        <v>0</v>
      </c>
      <c r="BH1196" t="s">
        <v>53</v>
      </c>
      <c r="BK1196" t="s">
        <v>59</v>
      </c>
      <c r="BL1196">
        <v>14000</v>
      </c>
      <c r="BM1196" s="1">
        <v>42917</v>
      </c>
      <c r="BN1196" s="1">
        <v>42917</v>
      </c>
      <c r="BO1196" s="1">
        <v>42917</v>
      </c>
      <c r="BP1196" s="1">
        <v>44117</v>
      </c>
      <c r="BQ1196" t="s">
        <v>51</v>
      </c>
      <c r="BS1196" t="s">
        <v>60</v>
      </c>
      <c r="BT1196" t="s">
        <v>54</v>
      </c>
      <c r="BU1196" t="s">
        <v>61</v>
      </c>
      <c r="BV1196" t="s">
        <v>62</v>
      </c>
      <c r="BX1196">
        <v>24</v>
      </c>
      <c r="BY1196">
        <v>0</v>
      </c>
      <c r="BZ1196">
        <v>0</v>
      </c>
    </row>
    <row r="1197" spans="1:78" x14ac:dyDescent="0.2">
      <c r="A1197" t="s">
        <v>180</v>
      </c>
      <c r="B1197" t="s">
        <v>181</v>
      </c>
      <c r="C1197" t="s">
        <v>184</v>
      </c>
      <c r="D1197" t="s">
        <v>677</v>
      </c>
      <c r="F1197" t="str">
        <f>"250857"</f>
        <v>250857</v>
      </c>
      <c r="G1197" t="s">
        <v>49</v>
      </c>
      <c r="K1197" t="s">
        <v>51</v>
      </c>
      <c r="L1197" t="s">
        <v>52</v>
      </c>
      <c r="M1197">
        <v>136649.38</v>
      </c>
      <c r="N1197">
        <v>472031.9</v>
      </c>
      <c r="O1197" t="s">
        <v>53</v>
      </c>
      <c r="P1197" t="s">
        <v>54</v>
      </c>
      <c r="Q1197" t="s">
        <v>55</v>
      </c>
      <c r="T1197" t="s">
        <v>469</v>
      </c>
      <c r="U1197">
        <v>40</v>
      </c>
      <c r="V1197" s="1">
        <v>25569</v>
      </c>
      <c r="W1197" s="1">
        <v>25569</v>
      </c>
      <c r="X1197" s="1">
        <v>25569</v>
      </c>
      <c r="Y1197" s="1">
        <v>40179</v>
      </c>
      <c r="Z1197" t="s">
        <v>51</v>
      </c>
      <c r="AB1197" t="s">
        <v>54</v>
      </c>
      <c r="AC1197">
        <v>1</v>
      </c>
      <c r="AE1197" t="s">
        <v>57</v>
      </c>
      <c r="AF1197">
        <v>20</v>
      </c>
      <c r="AG1197" s="1">
        <v>25569</v>
      </c>
      <c r="AH1197" s="1">
        <v>25569</v>
      </c>
      <c r="AI1197" s="1">
        <v>25569</v>
      </c>
      <c r="AJ1197" s="1">
        <v>32874</v>
      </c>
      <c r="AK1197" t="s">
        <v>51</v>
      </c>
      <c r="AN1197">
        <v>0</v>
      </c>
      <c r="AO1197" t="s">
        <v>54</v>
      </c>
      <c r="AP1197" t="s">
        <v>53</v>
      </c>
      <c r="AQ1197">
        <v>0</v>
      </c>
      <c r="AR1197" t="s">
        <v>53</v>
      </c>
      <c r="AS1197">
        <v>0</v>
      </c>
      <c r="AT1197">
        <v>0</v>
      </c>
      <c r="AW1197" t="s">
        <v>58</v>
      </c>
      <c r="AX1197">
        <v>20</v>
      </c>
      <c r="AY1197" s="1">
        <v>43521</v>
      </c>
      <c r="AZ1197" s="1">
        <v>43521</v>
      </c>
      <c r="BA1197" s="1">
        <v>43521</v>
      </c>
      <c r="BB1197" s="1">
        <v>50826</v>
      </c>
      <c r="BC1197" t="s">
        <v>51</v>
      </c>
      <c r="BE1197" t="s">
        <v>54</v>
      </c>
      <c r="BF1197">
        <v>2</v>
      </c>
      <c r="BG1197">
        <v>0</v>
      </c>
      <c r="BH1197" t="s">
        <v>53</v>
      </c>
      <c r="BK1197" t="s">
        <v>59</v>
      </c>
      <c r="BL1197">
        <v>14000</v>
      </c>
      <c r="BM1197" s="1">
        <v>42917</v>
      </c>
      <c r="BN1197" s="1">
        <v>42917</v>
      </c>
      <c r="BO1197" s="1">
        <v>43521</v>
      </c>
      <c r="BP1197" s="1">
        <v>44117</v>
      </c>
      <c r="BQ1197" t="s">
        <v>51</v>
      </c>
      <c r="BS1197" t="s">
        <v>60</v>
      </c>
      <c r="BT1197" t="s">
        <v>54</v>
      </c>
      <c r="BU1197" t="s">
        <v>61</v>
      </c>
      <c r="BV1197" t="s">
        <v>62</v>
      </c>
      <c r="BX1197">
        <v>24</v>
      </c>
      <c r="BY1197">
        <v>0</v>
      </c>
      <c r="BZ1197">
        <v>0</v>
      </c>
    </row>
    <row r="1198" spans="1:78" x14ac:dyDescent="0.2">
      <c r="A1198" t="s">
        <v>180</v>
      </c>
      <c r="B1198" t="s">
        <v>181</v>
      </c>
      <c r="C1198" t="s">
        <v>184</v>
      </c>
      <c r="D1198" t="s">
        <v>677</v>
      </c>
      <c r="F1198" t="str">
        <f>"250858"</f>
        <v>250858</v>
      </c>
      <c r="G1198" t="s">
        <v>49</v>
      </c>
      <c r="K1198" t="s">
        <v>51</v>
      </c>
      <c r="L1198" t="s">
        <v>52</v>
      </c>
      <c r="M1198">
        <v>136630.53599999999</v>
      </c>
      <c r="N1198">
        <v>472039.53200000001</v>
      </c>
      <c r="O1198" t="s">
        <v>53</v>
      </c>
      <c r="P1198" t="s">
        <v>54</v>
      </c>
      <c r="Q1198" t="s">
        <v>55</v>
      </c>
      <c r="T1198" t="s">
        <v>431</v>
      </c>
      <c r="U1198">
        <v>40</v>
      </c>
      <c r="V1198" s="1">
        <v>25569</v>
      </c>
      <c r="W1198" s="1">
        <v>25569</v>
      </c>
      <c r="X1198" s="1">
        <v>25569</v>
      </c>
      <c r="Y1198" s="1">
        <v>40179</v>
      </c>
      <c r="Z1198" t="s">
        <v>51</v>
      </c>
      <c r="AB1198" t="s">
        <v>54</v>
      </c>
      <c r="AC1198">
        <v>1</v>
      </c>
      <c r="AE1198" t="s">
        <v>79</v>
      </c>
      <c r="AF1198">
        <v>20</v>
      </c>
      <c r="AG1198" s="1">
        <v>25569</v>
      </c>
      <c r="AH1198" s="1">
        <v>25569</v>
      </c>
      <c r="AI1198" s="1">
        <v>25569</v>
      </c>
      <c r="AJ1198" s="1">
        <v>32874</v>
      </c>
      <c r="AK1198" t="s">
        <v>51</v>
      </c>
      <c r="AN1198">
        <v>0</v>
      </c>
      <c r="AO1198" t="s">
        <v>54</v>
      </c>
      <c r="AP1198" t="s">
        <v>53</v>
      </c>
      <c r="AQ1198">
        <v>0</v>
      </c>
      <c r="AR1198" t="s">
        <v>145</v>
      </c>
      <c r="AS1198">
        <v>0</v>
      </c>
      <c r="AT1198">
        <v>0</v>
      </c>
      <c r="AW1198" t="s">
        <v>79</v>
      </c>
      <c r="AX1198">
        <v>20</v>
      </c>
      <c r="AY1198" s="1">
        <v>25569</v>
      </c>
      <c r="AZ1198" s="1">
        <v>25569</v>
      </c>
      <c r="BA1198" s="1">
        <v>25569</v>
      </c>
      <c r="BB1198" s="1">
        <v>32874</v>
      </c>
      <c r="BC1198" t="s">
        <v>51</v>
      </c>
      <c r="BE1198" t="s">
        <v>54</v>
      </c>
      <c r="BF1198">
        <v>5</v>
      </c>
      <c r="BG1198">
        <v>0</v>
      </c>
      <c r="BH1198" t="s">
        <v>53</v>
      </c>
      <c r="BK1198" t="s">
        <v>59</v>
      </c>
      <c r="BL1198">
        <v>14000</v>
      </c>
      <c r="BM1198" s="1">
        <v>42917</v>
      </c>
      <c r="BN1198" s="1">
        <v>42917</v>
      </c>
      <c r="BO1198" s="1">
        <v>42917</v>
      </c>
      <c r="BP1198" s="1">
        <v>44117</v>
      </c>
      <c r="BQ1198" t="s">
        <v>51</v>
      </c>
      <c r="BS1198" t="s">
        <v>60</v>
      </c>
      <c r="BT1198" t="s">
        <v>54</v>
      </c>
      <c r="BU1198" t="s">
        <v>61</v>
      </c>
      <c r="BV1198" t="s">
        <v>62</v>
      </c>
      <c r="BX1198">
        <v>24</v>
      </c>
      <c r="BY1198">
        <v>0</v>
      </c>
      <c r="BZ1198">
        <v>0</v>
      </c>
    </row>
    <row r="1199" spans="1:78" x14ac:dyDescent="0.2">
      <c r="A1199" t="s">
        <v>180</v>
      </c>
      <c r="B1199" t="s">
        <v>181</v>
      </c>
      <c r="C1199" t="s">
        <v>184</v>
      </c>
      <c r="D1199" t="s">
        <v>677</v>
      </c>
      <c r="F1199" t="str">
        <f>"250859"</f>
        <v>250859</v>
      </c>
      <c r="G1199" t="s">
        <v>49</v>
      </c>
      <c r="K1199" t="s">
        <v>51</v>
      </c>
      <c r="L1199" t="s">
        <v>52</v>
      </c>
      <c r="M1199">
        <v>136618.18</v>
      </c>
      <c r="N1199">
        <v>472048.11</v>
      </c>
      <c r="O1199" t="s">
        <v>53</v>
      </c>
      <c r="P1199" t="s">
        <v>54</v>
      </c>
      <c r="Q1199" t="s">
        <v>55</v>
      </c>
      <c r="T1199" t="s">
        <v>469</v>
      </c>
      <c r="U1199">
        <v>40</v>
      </c>
      <c r="V1199" s="1">
        <v>25569</v>
      </c>
      <c r="W1199" s="1">
        <v>25569</v>
      </c>
      <c r="X1199" s="1">
        <v>25569</v>
      </c>
      <c r="Y1199" s="1">
        <v>40179</v>
      </c>
      <c r="Z1199" t="s">
        <v>51</v>
      </c>
      <c r="AB1199" t="s">
        <v>54</v>
      </c>
      <c r="AC1199">
        <v>1</v>
      </c>
      <c r="AE1199" t="s">
        <v>57</v>
      </c>
      <c r="AF1199">
        <v>20</v>
      </c>
      <c r="AG1199" s="1">
        <v>25569</v>
      </c>
      <c r="AH1199" s="1">
        <v>25569</v>
      </c>
      <c r="AI1199" s="1">
        <v>25569</v>
      </c>
      <c r="AJ1199" s="1">
        <v>32874</v>
      </c>
      <c r="AK1199" t="s">
        <v>51</v>
      </c>
      <c r="AN1199">
        <v>0</v>
      </c>
      <c r="AO1199" t="s">
        <v>54</v>
      </c>
      <c r="AP1199" t="s">
        <v>53</v>
      </c>
      <c r="AQ1199">
        <v>0</v>
      </c>
      <c r="AR1199" t="s">
        <v>53</v>
      </c>
      <c r="AS1199">
        <v>0</v>
      </c>
      <c r="AT1199">
        <v>0</v>
      </c>
      <c r="AW1199" t="s">
        <v>58</v>
      </c>
      <c r="AX1199">
        <v>20</v>
      </c>
      <c r="AY1199" s="1">
        <v>25569</v>
      </c>
      <c r="AZ1199" s="1">
        <v>25569</v>
      </c>
      <c r="BA1199" s="1">
        <v>25569</v>
      </c>
      <c r="BB1199" s="1">
        <v>32874</v>
      </c>
      <c r="BC1199" t="s">
        <v>51</v>
      </c>
      <c r="BE1199" t="s">
        <v>54</v>
      </c>
      <c r="BF1199">
        <v>2</v>
      </c>
      <c r="BG1199">
        <v>0</v>
      </c>
      <c r="BH1199" t="s">
        <v>53</v>
      </c>
      <c r="BK1199" t="s">
        <v>59</v>
      </c>
      <c r="BL1199">
        <v>14000</v>
      </c>
      <c r="BM1199" s="1">
        <v>42917</v>
      </c>
      <c r="BN1199" s="1">
        <v>42917</v>
      </c>
      <c r="BO1199" s="1">
        <v>42917</v>
      </c>
      <c r="BP1199" s="1">
        <v>44117</v>
      </c>
      <c r="BQ1199" t="s">
        <v>51</v>
      </c>
      <c r="BS1199" t="s">
        <v>60</v>
      </c>
      <c r="BT1199" t="s">
        <v>54</v>
      </c>
      <c r="BU1199" t="s">
        <v>61</v>
      </c>
      <c r="BV1199" t="s">
        <v>62</v>
      </c>
      <c r="BX1199">
        <v>24</v>
      </c>
      <c r="BY1199">
        <v>0</v>
      </c>
      <c r="BZ1199">
        <v>0</v>
      </c>
    </row>
    <row r="1200" spans="1:78" x14ac:dyDescent="0.2">
      <c r="A1200" t="s">
        <v>180</v>
      </c>
      <c r="B1200" t="s">
        <v>181</v>
      </c>
      <c r="C1200" t="s">
        <v>184</v>
      </c>
      <c r="D1200" t="s">
        <v>677</v>
      </c>
      <c r="F1200" t="str">
        <f>"250860"</f>
        <v>250860</v>
      </c>
      <c r="G1200" t="s">
        <v>49</v>
      </c>
      <c r="K1200" t="s">
        <v>51</v>
      </c>
      <c r="L1200" t="s">
        <v>52</v>
      </c>
      <c r="M1200">
        <v>136610.17000000001</v>
      </c>
      <c r="N1200">
        <v>472064.4</v>
      </c>
      <c r="O1200" t="s">
        <v>53</v>
      </c>
      <c r="P1200" t="s">
        <v>54</v>
      </c>
      <c r="Q1200" t="s">
        <v>55</v>
      </c>
      <c r="T1200" t="s">
        <v>241</v>
      </c>
      <c r="U1200">
        <v>40</v>
      </c>
      <c r="V1200" s="1">
        <v>25569</v>
      </c>
      <c r="W1200" s="1">
        <v>25569</v>
      </c>
      <c r="X1200" s="1">
        <v>25569</v>
      </c>
      <c r="Y1200" s="1">
        <v>40179</v>
      </c>
      <c r="Z1200" t="s">
        <v>51</v>
      </c>
      <c r="AB1200" t="s">
        <v>54</v>
      </c>
      <c r="AC1200">
        <v>1</v>
      </c>
      <c r="AE1200" t="s">
        <v>222</v>
      </c>
      <c r="AF1200">
        <v>20</v>
      </c>
      <c r="AG1200" s="1">
        <v>25569</v>
      </c>
      <c r="AH1200" s="1">
        <v>25569</v>
      </c>
      <c r="AI1200" s="1">
        <v>25569</v>
      </c>
      <c r="AJ1200" s="1">
        <v>32874</v>
      </c>
      <c r="AK1200" t="s">
        <v>51</v>
      </c>
      <c r="AN1200">
        <v>0</v>
      </c>
      <c r="AO1200" t="s">
        <v>54</v>
      </c>
      <c r="AP1200" t="s">
        <v>53</v>
      </c>
      <c r="AQ1200">
        <v>0</v>
      </c>
      <c r="AR1200" t="s">
        <v>53</v>
      </c>
      <c r="AS1200">
        <v>0</v>
      </c>
      <c r="AT1200">
        <v>0</v>
      </c>
      <c r="AW1200" t="s">
        <v>58</v>
      </c>
      <c r="AX1200">
        <v>20</v>
      </c>
      <c r="AY1200" s="1">
        <v>25569</v>
      </c>
      <c r="AZ1200" s="1">
        <v>25569</v>
      </c>
      <c r="BA1200" s="1">
        <v>25569</v>
      </c>
      <c r="BB1200" s="1">
        <v>32874</v>
      </c>
      <c r="BC1200" t="s">
        <v>51</v>
      </c>
      <c r="BE1200" t="s">
        <v>54</v>
      </c>
      <c r="BF1200">
        <v>2</v>
      </c>
      <c r="BG1200">
        <v>0</v>
      </c>
      <c r="BH1200" t="s">
        <v>53</v>
      </c>
      <c r="BK1200" t="s">
        <v>65</v>
      </c>
      <c r="BL1200">
        <v>14000</v>
      </c>
      <c r="BM1200" s="1">
        <v>42917</v>
      </c>
      <c r="BN1200" s="1">
        <v>42917</v>
      </c>
      <c r="BO1200" s="1">
        <v>42917</v>
      </c>
      <c r="BP1200" s="1">
        <v>44117</v>
      </c>
      <c r="BQ1200" t="s">
        <v>51</v>
      </c>
      <c r="BS1200" t="s">
        <v>60</v>
      </c>
      <c r="BT1200" t="s">
        <v>54</v>
      </c>
      <c r="BU1200" t="s">
        <v>61</v>
      </c>
      <c r="BV1200" t="s">
        <v>62</v>
      </c>
      <c r="BX1200">
        <v>36</v>
      </c>
      <c r="BY1200">
        <v>0</v>
      </c>
      <c r="BZ1200">
        <v>0</v>
      </c>
    </row>
    <row r="1201" spans="1:99" x14ac:dyDescent="0.2">
      <c r="A1201" t="s">
        <v>180</v>
      </c>
      <c r="B1201" t="s">
        <v>181</v>
      </c>
      <c r="C1201" t="s">
        <v>184</v>
      </c>
      <c r="D1201" t="s">
        <v>677</v>
      </c>
      <c r="F1201" t="str">
        <f>"250861"</f>
        <v>250861</v>
      </c>
      <c r="G1201" t="s">
        <v>49</v>
      </c>
      <c r="K1201" t="s">
        <v>51</v>
      </c>
      <c r="L1201" t="s">
        <v>52</v>
      </c>
      <c r="M1201">
        <v>136591.96299999999</v>
      </c>
      <c r="N1201">
        <v>472068.723</v>
      </c>
      <c r="O1201" t="s">
        <v>53</v>
      </c>
      <c r="P1201" t="s">
        <v>54</v>
      </c>
      <c r="Q1201" t="s">
        <v>55</v>
      </c>
      <c r="T1201" t="s">
        <v>469</v>
      </c>
      <c r="U1201">
        <v>40</v>
      </c>
      <c r="V1201" s="1">
        <v>25569</v>
      </c>
      <c r="W1201" s="1">
        <v>25569</v>
      </c>
      <c r="X1201" s="1">
        <v>25569</v>
      </c>
      <c r="Y1201" s="1">
        <v>40179</v>
      </c>
      <c r="Z1201" t="s">
        <v>51</v>
      </c>
      <c r="AB1201" t="s">
        <v>54</v>
      </c>
      <c r="AC1201">
        <v>1</v>
      </c>
      <c r="AE1201" t="s">
        <v>57</v>
      </c>
      <c r="AF1201">
        <v>20</v>
      </c>
      <c r="AG1201" s="1">
        <v>25569</v>
      </c>
      <c r="AH1201" s="1">
        <v>25569</v>
      </c>
      <c r="AI1201" s="1">
        <v>25569</v>
      </c>
      <c r="AJ1201" s="1">
        <v>32874</v>
      </c>
      <c r="AK1201" t="s">
        <v>51</v>
      </c>
      <c r="AN1201">
        <v>0</v>
      </c>
      <c r="AO1201" t="s">
        <v>54</v>
      </c>
      <c r="AP1201" t="s">
        <v>53</v>
      </c>
      <c r="AQ1201">
        <v>0</v>
      </c>
      <c r="AR1201" t="s">
        <v>53</v>
      </c>
      <c r="AS1201">
        <v>0</v>
      </c>
      <c r="AT1201">
        <v>0</v>
      </c>
      <c r="AW1201" t="s">
        <v>58</v>
      </c>
      <c r="AX1201">
        <v>20</v>
      </c>
      <c r="AY1201" s="1">
        <v>25569</v>
      </c>
      <c r="AZ1201" s="1">
        <v>25569</v>
      </c>
      <c r="BA1201" s="1">
        <v>25569</v>
      </c>
      <c r="BB1201" s="1">
        <v>32874</v>
      </c>
      <c r="BC1201" t="s">
        <v>51</v>
      </c>
      <c r="BE1201" t="s">
        <v>54</v>
      </c>
      <c r="BF1201">
        <v>2</v>
      </c>
      <c r="BG1201">
        <v>0</v>
      </c>
      <c r="BH1201" t="s">
        <v>53</v>
      </c>
      <c r="BK1201" t="s">
        <v>59</v>
      </c>
      <c r="BL1201">
        <v>14000</v>
      </c>
      <c r="BM1201" s="1">
        <v>42917</v>
      </c>
      <c r="BN1201" s="1">
        <v>42917</v>
      </c>
      <c r="BO1201" s="1">
        <v>42917</v>
      </c>
      <c r="BP1201" s="1">
        <v>44117</v>
      </c>
      <c r="BQ1201" t="s">
        <v>51</v>
      </c>
      <c r="BS1201" t="s">
        <v>60</v>
      </c>
      <c r="BT1201" t="s">
        <v>54</v>
      </c>
      <c r="BU1201" t="s">
        <v>61</v>
      </c>
      <c r="BV1201" t="s">
        <v>62</v>
      </c>
      <c r="BX1201">
        <v>24</v>
      </c>
      <c r="BY1201">
        <v>0</v>
      </c>
      <c r="BZ1201">
        <v>0</v>
      </c>
    </row>
    <row r="1202" spans="1:99" x14ac:dyDescent="0.2">
      <c r="A1202" t="s">
        <v>180</v>
      </c>
      <c r="B1202" t="s">
        <v>181</v>
      </c>
      <c r="C1202" t="s">
        <v>184</v>
      </c>
      <c r="D1202" t="s">
        <v>677</v>
      </c>
      <c r="F1202" t="str">
        <f>"250862"</f>
        <v>250862</v>
      </c>
      <c r="G1202" t="s">
        <v>49</v>
      </c>
      <c r="K1202" t="s">
        <v>51</v>
      </c>
      <c r="L1202" t="s">
        <v>52</v>
      </c>
      <c r="M1202">
        <v>136577.57999999999</v>
      </c>
      <c r="N1202">
        <v>472063.2</v>
      </c>
      <c r="O1202" t="s">
        <v>53</v>
      </c>
      <c r="P1202" t="s">
        <v>54</v>
      </c>
      <c r="Q1202" t="s">
        <v>55</v>
      </c>
      <c r="T1202" t="s">
        <v>241</v>
      </c>
      <c r="U1202">
        <v>40</v>
      </c>
      <c r="V1202" s="1">
        <v>25569</v>
      </c>
      <c r="W1202" s="1">
        <v>25569</v>
      </c>
      <c r="X1202" s="1">
        <v>25569</v>
      </c>
      <c r="Y1202" s="1">
        <v>40179</v>
      </c>
      <c r="Z1202" t="s">
        <v>51</v>
      </c>
      <c r="AB1202" t="s">
        <v>54</v>
      </c>
      <c r="AC1202">
        <v>1</v>
      </c>
      <c r="AE1202" t="s">
        <v>222</v>
      </c>
      <c r="AF1202">
        <v>20</v>
      </c>
      <c r="AG1202" s="1">
        <v>25569</v>
      </c>
      <c r="AH1202" s="1">
        <v>25569</v>
      </c>
      <c r="AI1202" s="1">
        <v>25569</v>
      </c>
      <c r="AJ1202" s="1">
        <v>32874</v>
      </c>
      <c r="AK1202" t="s">
        <v>51</v>
      </c>
      <c r="AN1202">
        <v>0</v>
      </c>
      <c r="AO1202" t="s">
        <v>54</v>
      </c>
      <c r="AP1202" t="s">
        <v>53</v>
      </c>
      <c r="AQ1202">
        <v>0</v>
      </c>
      <c r="AR1202" t="s">
        <v>53</v>
      </c>
      <c r="AS1202">
        <v>0</v>
      </c>
      <c r="AT1202">
        <v>0</v>
      </c>
      <c r="AW1202" t="s">
        <v>58</v>
      </c>
      <c r="AX1202">
        <v>20</v>
      </c>
      <c r="AY1202" s="1">
        <v>25569</v>
      </c>
      <c r="AZ1202" s="1">
        <v>25569</v>
      </c>
      <c r="BA1202" s="1">
        <v>25569</v>
      </c>
      <c r="BB1202" s="1">
        <v>32874</v>
      </c>
      <c r="BC1202" t="s">
        <v>51</v>
      </c>
      <c r="BE1202" t="s">
        <v>54</v>
      </c>
      <c r="BF1202">
        <v>2</v>
      </c>
      <c r="BG1202">
        <v>0</v>
      </c>
      <c r="BH1202" t="s">
        <v>53</v>
      </c>
      <c r="BK1202" t="s">
        <v>59</v>
      </c>
      <c r="BL1202">
        <v>14000</v>
      </c>
      <c r="BM1202" s="1">
        <v>42917</v>
      </c>
      <c r="BN1202" s="1">
        <v>42917</v>
      </c>
      <c r="BO1202" s="1">
        <v>42917</v>
      </c>
      <c r="BP1202" s="1">
        <v>44117</v>
      </c>
      <c r="BQ1202" t="s">
        <v>51</v>
      </c>
      <c r="BS1202" t="s">
        <v>60</v>
      </c>
      <c r="BT1202" t="s">
        <v>54</v>
      </c>
      <c r="BU1202" t="s">
        <v>61</v>
      </c>
      <c r="BV1202" t="s">
        <v>62</v>
      </c>
      <c r="BX1202">
        <v>24</v>
      </c>
      <c r="BY1202">
        <v>0</v>
      </c>
      <c r="BZ1202">
        <v>0</v>
      </c>
    </row>
    <row r="1203" spans="1:99" x14ac:dyDescent="0.2">
      <c r="A1203" t="s">
        <v>180</v>
      </c>
      <c r="B1203" t="s">
        <v>181</v>
      </c>
      <c r="C1203" t="s">
        <v>184</v>
      </c>
      <c r="D1203" t="s">
        <v>677</v>
      </c>
      <c r="F1203" t="str">
        <f>"250863"</f>
        <v>250863</v>
      </c>
      <c r="G1203" t="s">
        <v>49</v>
      </c>
      <c r="K1203" t="s">
        <v>51</v>
      </c>
      <c r="L1203" t="s">
        <v>52</v>
      </c>
      <c r="M1203">
        <v>136562.21100000001</v>
      </c>
      <c r="N1203">
        <v>472083.99300000002</v>
      </c>
      <c r="O1203" t="s">
        <v>53</v>
      </c>
      <c r="P1203" t="s">
        <v>54</v>
      </c>
      <c r="Q1203" t="s">
        <v>55</v>
      </c>
      <c r="T1203" t="s">
        <v>469</v>
      </c>
      <c r="U1203">
        <v>40</v>
      </c>
      <c r="V1203" s="1">
        <v>25569</v>
      </c>
      <c r="W1203" s="1">
        <v>25569</v>
      </c>
      <c r="X1203" s="1">
        <v>25569</v>
      </c>
      <c r="Y1203" s="1">
        <v>40179</v>
      </c>
      <c r="Z1203" t="s">
        <v>51</v>
      </c>
      <c r="AB1203" t="s">
        <v>54</v>
      </c>
      <c r="AC1203">
        <v>1</v>
      </c>
      <c r="AE1203" t="s">
        <v>57</v>
      </c>
      <c r="AF1203">
        <v>20</v>
      </c>
      <c r="AG1203" s="1">
        <v>25569</v>
      </c>
      <c r="AH1203" s="1">
        <v>25569</v>
      </c>
      <c r="AI1203" s="1">
        <v>25569</v>
      </c>
      <c r="AJ1203" s="1">
        <v>32874</v>
      </c>
      <c r="AK1203" t="s">
        <v>51</v>
      </c>
      <c r="AN1203">
        <v>0</v>
      </c>
      <c r="AO1203" t="s">
        <v>54</v>
      </c>
      <c r="AP1203" t="s">
        <v>53</v>
      </c>
      <c r="AQ1203">
        <v>0</v>
      </c>
      <c r="AR1203" t="s">
        <v>53</v>
      </c>
      <c r="AS1203">
        <v>0</v>
      </c>
      <c r="AT1203">
        <v>0</v>
      </c>
      <c r="AW1203" t="s">
        <v>58</v>
      </c>
      <c r="AX1203">
        <v>20</v>
      </c>
      <c r="AY1203" s="1">
        <v>25569</v>
      </c>
      <c r="AZ1203" s="1">
        <v>25569</v>
      </c>
      <c r="BA1203" s="1">
        <v>25569</v>
      </c>
      <c r="BB1203" s="1">
        <v>32874</v>
      </c>
      <c r="BC1203" t="s">
        <v>51</v>
      </c>
      <c r="BE1203" t="s">
        <v>54</v>
      </c>
      <c r="BF1203">
        <v>2</v>
      </c>
      <c r="BG1203">
        <v>0</v>
      </c>
      <c r="BH1203" t="s">
        <v>53</v>
      </c>
      <c r="BK1203" t="s">
        <v>59</v>
      </c>
      <c r="BL1203">
        <v>14000</v>
      </c>
      <c r="BM1203" s="1">
        <v>42917</v>
      </c>
      <c r="BN1203" s="1">
        <v>42917</v>
      </c>
      <c r="BO1203" s="1">
        <v>42917</v>
      </c>
      <c r="BP1203" s="1">
        <v>44117</v>
      </c>
      <c r="BQ1203" t="s">
        <v>51</v>
      </c>
      <c r="BS1203" t="s">
        <v>60</v>
      </c>
      <c r="BT1203" t="s">
        <v>54</v>
      </c>
      <c r="BU1203" t="s">
        <v>61</v>
      </c>
      <c r="BV1203" t="s">
        <v>62</v>
      </c>
      <c r="BX1203">
        <v>24</v>
      </c>
      <c r="BY1203">
        <v>0</v>
      </c>
      <c r="BZ1203">
        <v>0</v>
      </c>
    </row>
    <row r="1204" spans="1:99" x14ac:dyDescent="0.2">
      <c r="A1204" t="s">
        <v>180</v>
      </c>
      <c r="B1204" t="s">
        <v>181</v>
      </c>
      <c r="C1204" t="s">
        <v>184</v>
      </c>
      <c r="D1204" t="s">
        <v>677</v>
      </c>
      <c r="F1204" t="str">
        <f>"250864"</f>
        <v>250864</v>
      </c>
      <c r="G1204" t="s">
        <v>49</v>
      </c>
      <c r="K1204" t="s">
        <v>51</v>
      </c>
      <c r="L1204" t="s">
        <v>52</v>
      </c>
      <c r="M1204">
        <v>136553.98000000001</v>
      </c>
      <c r="N1204">
        <v>472092.41</v>
      </c>
      <c r="O1204" t="s">
        <v>53</v>
      </c>
      <c r="P1204" t="s">
        <v>54</v>
      </c>
      <c r="Q1204" t="s">
        <v>55</v>
      </c>
      <c r="T1204" t="s">
        <v>241</v>
      </c>
      <c r="U1204">
        <v>40</v>
      </c>
      <c r="V1204" s="1">
        <v>25569</v>
      </c>
      <c r="W1204" s="1">
        <v>25569</v>
      </c>
      <c r="X1204" s="1">
        <v>25569</v>
      </c>
      <c r="Y1204" s="1">
        <v>40179</v>
      </c>
      <c r="Z1204" t="s">
        <v>51</v>
      </c>
      <c r="AB1204" t="s">
        <v>54</v>
      </c>
      <c r="AC1204">
        <v>1</v>
      </c>
      <c r="AE1204" t="s">
        <v>222</v>
      </c>
      <c r="AF1204">
        <v>20</v>
      </c>
      <c r="AG1204" s="1">
        <v>25569</v>
      </c>
      <c r="AH1204" s="1">
        <v>25569</v>
      </c>
      <c r="AI1204" s="1">
        <v>25569</v>
      </c>
      <c r="AJ1204" s="1">
        <v>32874</v>
      </c>
      <c r="AK1204" t="s">
        <v>51</v>
      </c>
      <c r="AN1204">
        <v>0</v>
      </c>
      <c r="AO1204" t="s">
        <v>54</v>
      </c>
      <c r="AP1204" t="s">
        <v>53</v>
      </c>
      <c r="AQ1204">
        <v>0</v>
      </c>
      <c r="AR1204" t="s">
        <v>53</v>
      </c>
      <c r="AS1204">
        <v>0</v>
      </c>
      <c r="AT1204">
        <v>0</v>
      </c>
      <c r="AW1204" t="s">
        <v>58</v>
      </c>
      <c r="AX1204">
        <v>20</v>
      </c>
      <c r="AY1204" s="1">
        <v>25569</v>
      </c>
      <c r="AZ1204" s="1">
        <v>25569</v>
      </c>
      <c r="BA1204" s="1">
        <v>25569</v>
      </c>
      <c r="BB1204" s="1">
        <v>32874</v>
      </c>
      <c r="BC1204" t="s">
        <v>51</v>
      </c>
      <c r="BE1204" t="s">
        <v>54</v>
      </c>
      <c r="BF1204">
        <v>2</v>
      </c>
      <c r="BG1204">
        <v>0</v>
      </c>
      <c r="BH1204" t="s">
        <v>53</v>
      </c>
      <c r="BK1204" t="s">
        <v>59</v>
      </c>
      <c r="BL1204">
        <v>14000</v>
      </c>
      <c r="BM1204" s="1">
        <v>42917</v>
      </c>
      <c r="BN1204" s="1">
        <v>42917</v>
      </c>
      <c r="BO1204" s="1">
        <v>42917</v>
      </c>
      <c r="BP1204" s="1">
        <v>44117</v>
      </c>
      <c r="BQ1204" t="s">
        <v>51</v>
      </c>
      <c r="BS1204" t="s">
        <v>60</v>
      </c>
      <c r="BT1204" t="s">
        <v>54</v>
      </c>
      <c r="BU1204" t="s">
        <v>61</v>
      </c>
      <c r="BV1204" t="s">
        <v>62</v>
      </c>
      <c r="BX1204">
        <v>24</v>
      </c>
      <c r="BY1204">
        <v>0</v>
      </c>
      <c r="BZ1204">
        <v>0</v>
      </c>
    </row>
    <row r="1205" spans="1:99" x14ac:dyDescent="0.2">
      <c r="A1205" t="s">
        <v>180</v>
      </c>
      <c r="B1205" t="s">
        <v>181</v>
      </c>
      <c r="C1205" t="s">
        <v>184</v>
      </c>
      <c r="D1205" t="s">
        <v>677</v>
      </c>
      <c r="F1205" t="str">
        <f>"250865"</f>
        <v>250865</v>
      </c>
      <c r="G1205" t="s">
        <v>49</v>
      </c>
      <c r="K1205" t="s">
        <v>51</v>
      </c>
      <c r="L1205" t="s">
        <v>52</v>
      </c>
      <c r="M1205">
        <v>136537.4</v>
      </c>
      <c r="N1205">
        <v>472089.08</v>
      </c>
      <c r="O1205" t="s">
        <v>53</v>
      </c>
      <c r="P1205" t="s">
        <v>54</v>
      </c>
      <c r="Q1205" t="s">
        <v>55</v>
      </c>
      <c r="T1205" t="s">
        <v>469</v>
      </c>
      <c r="U1205">
        <v>40</v>
      </c>
      <c r="V1205" s="1">
        <v>25569</v>
      </c>
      <c r="W1205" s="1">
        <v>25569</v>
      </c>
      <c r="X1205" s="1">
        <v>25569</v>
      </c>
      <c r="Y1205" s="1">
        <v>40179</v>
      </c>
      <c r="Z1205" t="s">
        <v>51</v>
      </c>
      <c r="AB1205" t="s">
        <v>54</v>
      </c>
      <c r="AC1205">
        <v>1</v>
      </c>
      <c r="AE1205" t="s">
        <v>57</v>
      </c>
      <c r="AF1205">
        <v>20</v>
      </c>
      <c r="AG1205" s="1">
        <v>25569</v>
      </c>
      <c r="AH1205" s="1">
        <v>25569</v>
      </c>
      <c r="AI1205" s="1">
        <v>25569</v>
      </c>
      <c r="AJ1205" s="1">
        <v>32874</v>
      </c>
      <c r="AK1205" t="s">
        <v>51</v>
      </c>
      <c r="AN1205">
        <v>0</v>
      </c>
      <c r="AO1205" t="s">
        <v>54</v>
      </c>
      <c r="AP1205" t="s">
        <v>53</v>
      </c>
      <c r="AQ1205">
        <v>0</v>
      </c>
      <c r="AR1205" t="s">
        <v>53</v>
      </c>
      <c r="AS1205">
        <v>0</v>
      </c>
      <c r="AT1205">
        <v>0</v>
      </c>
      <c r="AW1205" t="s">
        <v>58</v>
      </c>
      <c r="AX1205">
        <v>20</v>
      </c>
      <c r="AY1205" s="1">
        <v>25569</v>
      </c>
      <c r="AZ1205" s="1">
        <v>25569</v>
      </c>
      <c r="BA1205" s="1">
        <v>25569</v>
      </c>
      <c r="BB1205" s="1">
        <v>32874</v>
      </c>
      <c r="BC1205" t="s">
        <v>51</v>
      </c>
      <c r="BE1205" t="s">
        <v>54</v>
      </c>
      <c r="BF1205">
        <v>2</v>
      </c>
      <c r="BG1205">
        <v>0</v>
      </c>
      <c r="BH1205" t="s">
        <v>53</v>
      </c>
      <c r="BK1205" t="s">
        <v>59</v>
      </c>
      <c r="BL1205">
        <v>14000</v>
      </c>
      <c r="BM1205" s="1">
        <v>42917</v>
      </c>
      <c r="BN1205" s="1">
        <v>42917</v>
      </c>
      <c r="BO1205" s="1">
        <v>42917</v>
      </c>
      <c r="BP1205" s="1">
        <v>44117</v>
      </c>
      <c r="BQ1205" t="s">
        <v>51</v>
      </c>
      <c r="BS1205" t="s">
        <v>60</v>
      </c>
      <c r="BT1205" t="s">
        <v>54</v>
      </c>
      <c r="BU1205" t="s">
        <v>61</v>
      </c>
      <c r="BV1205" t="s">
        <v>62</v>
      </c>
      <c r="BX1205">
        <v>24</v>
      </c>
      <c r="BY1205">
        <v>0</v>
      </c>
      <c r="BZ1205">
        <v>0</v>
      </c>
    </row>
    <row r="1206" spans="1:99" x14ac:dyDescent="0.2">
      <c r="A1206" t="s">
        <v>180</v>
      </c>
      <c r="B1206" t="s">
        <v>181</v>
      </c>
      <c r="C1206" t="s">
        <v>184</v>
      </c>
      <c r="D1206" t="s">
        <v>677</v>
      </c>
      <c r="F1206" t="str">
        <f>"250866"</f>
        <v>250866</v>
      </c>
      <c r="G1206" t="s">
        <v>49</v>
      </c>
      <c r="K1206" t="s">
        <v>51</v>
      </c>
      <c r="L1206" t="s">
        <v>52</v>
      </c>
      <c r="M1206">
        <v>136521.81599999999</v>
      </c>
      <c r="N1206">
        <v>472090.91399999999</v>
      </c>
      <c r="O1206" t="s">
        <v>53</v>
      </c>
      <c r="P1206" t="s">
        <v>54</v>
      </c>
      <c r="Q1206" t="s">
        <v>55</v>
      </c>
      <c r="T1206" t="s">
        <v>241</v>
      </c>
      <c r="U1206">
        <v>40</v>
      </c>
      <c r="V1206" s="1">
        <v>25569</v>
      </c>
      <c r="W1206" s="1">
        <v>25569</v>
      </c>
      <c r="X1206" s="1">
        <v>25569</v>
      </c>
      <c r="Y1206" s="1">
        <v>40179</v>
      </c>
      <c r="Z1206" t="s">
        <v>51</v>
      </c>
      <c r="AB1206" t="s">
        <v>54</v>
      </c>
      <c r="AC1206">
        <v>1</v>
      </c>
      <c r="AE1206" t="s">
        <v>222</v>
      </c>
      <c r="AF1206">
        <v>20</v>
      </c>
      <c r="AG1206" s="1">
        <v>25569</v>
      </c>
      <c r="AH1206" s="1">
        <v>25569</v>
      </c>
      <c r="AI1206" s="1">
        <v>25569</v>
      </c>
      <c r="AJ1206" s="1">
        <v>32874</v>
      </c>
      <c r="AK1206" t="s">
        <v>51</v>
      </c>
      <c r="AN1206">
        <v>0</v>
      </c>
      <c r="AO1206" t="s">
        <v>54</v>
      </c>
      <c r="AP1206" t="s">
        <v>53</v>
      </c>
      <c r="AQ1206">
        <v>0</v>
      </c>
      <c r="AR1206" t="s">
        <v>53</v>
      </c>
      <c r="AS1206">
        <v>0</v>
      </c>
      <c r="AT1206">
        <v>0</v>
      </c>
      <c r="AW1206" t="s">
        <v>58</v>
      </c>
      <c r="AX1206">
        <v>20</v>
      </c>
      <c r="AY1206" s="1">
        <v>25569</v>
      </c>
      <c r="AZ1206" s="1">
        <v>25569</v>
      </c>
      <c r="BA1206" s="1">
        <v>25569</v>
      </c>
      <c r="BB1206" s="1">
        <v>32874</v>
      </c>
      <c r="BC1206" t="s">
        <v>51</v>
      </c>
      <c r="BE1206" t="s">
        <v>54</v>
      </c>
      <c r="BF1206">
        <v>2</v>
      </c>
      <c r="BG1206">
        <v>0</v>
      </c>
      <c r="BH1206" t="s">
        <v>53</v>
      </c>
      <c r="BK1206" t="s">
        <v>59</v>
      </c>
      <c r="BL1206">
        <v>14000</v>
      </c>
      <c r="BM1206" s="1">
        <v>43221</v>
      </c>
      <c r="BN1206" s="1">
        <v>43221</v>
      </c>
      <c r="BO1206" s="1">
        <v>43221</v>
      </c>
      <c r="BP1206" s="1">
        <v>44444</v>
      </c>
      <c r="BQ1206" t="s">
        <v>51</v>
      </c>
      <c r="BS1206" t="s">
        <v>60</v>
      </c>
      <c r="BT1206" t="s">
        <v>54</v>
      </c>
      <c r="BU1206" t="s">
        <v>61</v>
      </c>
      <c r="BV1206" t="s">
        <v>62</v>
      </c>
      <c r="BX1206">
        <v>24</v>
      </c>
      <c r="BY1206">
        <v>0</v>
      </c>
      <c r="BZ1206">
        <v>0</v>
      </c>
    </row>
    <row r="1207" spans="1:99" x14ac:dyDescent="0.2">
      <c r="A1207" t="s">
        <v>180</v>
      </c>
      <c r="B1207" t="s">
        <v>181</v>
      </c>
      <c r="C1207" t="s">
        <v>184</v>
      </c>
      <c r="D1207" t="s">
        <v>677</v>
      </c>
      <c r="F1207" t="str">
        <f>"250867"</f>
        <v>250867</v>
      </c>
      <c r="G1207" t="s">
        <v>49</v>
      </c>
      <c r="K1207" t="s">
        <v>51</v>
      </c>
      <c r="L1207" t="s">
        <v>52</v>
      </c>
      <c r="M1207">
        <v>136515.09</v>
      </c>
      <c r="N1207">
        <v>472109.96</v>
      </c>
      <c r="O1207" t="s">
        <v>53</v>
      </c>
      <c r="P1207" t="s">
        <v>54</v>
      </c>
      <c r="Q1207" t="s">
        <v>55</v>
      </c>
      <c r="T1207" t="s">
        <v>469</v>
      </c>
      <c r="U1207">
        <v>40</v>
      </c>
      <c r="V1207" s="1">
        <v>25569</v>
      </c>
      <c r="W1207" s="1">
        <v>25569</v>
      </c>
      <c r="X1207" s="1">
        <v>25569</v>
      </c>
      <c r="Y1207" s="1">
        <v>40179</v>
      </c>
      <c r="Z1207" t="s">
        <v>51</v>
      </c>
      <c r="AB1207" t="s">
        <v>54</v>
      </c>
      <c r="AC1207">
        <v>1</v>
      </c>
      <c r="AE1207" t="s">
        <v>57</v>
      </c>
      <c r="AF1207">
        <v>20</v>
      </c>
      <c r="AG1207" s="1">
        <v>25569</v>
      </c>
      <c r="AH1207" s="1">
        <v>25569</v>
      </c>
      <c r="AI1207" s="1">
        <v>25569</v>
      </c>
      <c r="AJ1207" s="1">
        <v>32874</v>
      </c>
      <c r="AK1207" t="s">
        <v>51</v>
      </c>
      <c r="AN1207">
        <v>0</v>
      </c>
      <c r="AO1207" t="s">
        <v>54</v>
      </c>
      <c r="AP1207" t="s">
        <v>53</v>
      </c>
      <c r="AQ1207">
        <v>0</v>
      </c>
      <c r="AR1207" t="s">
        <v>53</v>
      </c>
      <c r="AS1207">
        <v>0</v>
      </c>
      <c r="AT1207">
        <v>0</v>
      </c>
      <c r="AW1207" t="s">
        <v>58</v>
      </c>
      <c r="AX1207">
        <v>20</v>
      </c>
      <c r="AY1207" s="1">
        <v>25569</v>
      </c>
      <c r="AZ1207" s="1">
        <v>25569</v>
      </c>
      <c r="BA1207" s="1">
        <v>25569</v>
      </c>
      <c r="BB1207" s="1">
        <v>32874</v>
      </c>
      <c r="BC1207" t="s">
        <v>51</v>
      </c>
      <c r="BE1207" t="s">
        <v>54</v>
      </c>
      <c r="BF1207">
        <v>2</v>
      </c>
      <c r="BG1207">
        <v>0</v>
      </c>
      <c r="BH1207" t="s">
        <v>53</v>
      </c>
      <c r="BK1207" t="s">
        <v>59</v>
      </c>
      <c r="BL1207">
        <v>14000</v>
      </c>
      <c r="BM1207" s="1">
        <v>42917</v>
      </c>
      <c r="BN1207" s="1">
        <v>42917</v>
      </c>
      <c r="BO1207" s="1">
        <v>42917</v>
      </c>
      <c r="BP1207" s="1">
        <v>44117</v>
      </c>
      <c r="BQ1207" t="s">
        <v>51</v>
      </c>
      <c r="BS1207" t="s">
        <v>60</v>
      </c>
      <c r="BT1207" t="s">
        <v>54</v>
      </c>
      <c r="BU1207" t="s">
        <v>61</v>
      </c>
      <c r="BV1207" t="s">
        <v>62</v>
      </c>
      <c r="BX1207">
        <v>24</v>
      </c>
      <c r="BY1207">
        <v>0</v>
      </c>
      <c r="BZ1207">
        <v>0</v>
      </c>
    </row>
    <row r="1208" spans="1:99" x14ac:dyDescent="0.2">
      <c r="A1208" t="s">
        <v>180</v>
      </c>
      <c r="B1208" t="s">
        <v>181</v>
      </c>
      <c r="C1208" t="s">
        <v>184</v>
      </c>
      <c r="D1208" t="s">
        <v>677</v>
      </c>
      <c r="F1208" t="str">
        <f>"250868"</f>
        <v>250868</v>
      </c>
      <c r="G1208" t="s">
        <v>49</v>
      </c>
      <c r="K1208" t="s">
        <v>51</v>
      </c>
      <c r="L1208" t="s">
        <v>52</v>
      </c>
      <c r="M1208">
        <v>136502.704</v>
      </c>
      <c r="N1208">
        <v>472121.54399999999</v>
      </c>
      <c r="O1208" t="s">
        <v>53</v>
      </c>
      <c r="P1208" t="s">
        <v>54</v>
      </c>
      <c r="Q1208" t="s">
        <v>55</v>
      </c>
      <c r="T1208" t="s">
        <v>241</v>
      </c>
      <c r="U1208">
        <v>40</v>
      </c>
      <c r="V1208" s="1">
        <v>25569</v>
      </c>
      <c r="W1208" s="1">
        <v>25569</v>
      </c>
      <c r="X1208" s="1">
        <v>25569</v>
      </c>
      <c r="Y1208" s="1">
        <v>40179</v>
      </c>
      <c r="Z1208" t="s">
        <v>51</v>
      </c>
      <c r="AB1208" t="s">
        <v>54</v>
      </c>
      <c r="AC1208">
        <v>1</v>
      </c>
      <c r="AE1208" t="s">
        <v>222</v>
      </c>
      <c r="AF1208">
        <v>20</v>
      </c>
      <c r="AG1208" s="1">
        <v>25569</v>
      </c>
      <c r="AH1208" s="1">
        <v>25569</v>
      </c>
      <c r="AI1208" s="1">
        <v>25569</v>
      </c>
      <c r="AJ1208" s="1">
        <v>32874</v>
      </c>
      <c r="AK1208" t="s">
        <v>51</v>
      </c>
      <c r="AN1208">
        <v>0</v>
      </c>
      <c r="AO1208" t="s">
        <v>54</v>
      </c>
      <c r="AP1208" t="s">
        <v>53</v>
      </c>
      <c r="AQ1208">
        <v>0</v>
      </c>
      <c r="AR1208" t="s">
        <v>53</v>
      </c>
      <c r="AS1208">
        <v>0</v>
      </c>
      <c r="AT1208">
        <v>0</v>
      </c>
      <c r="AW1208" t="s">
        <v>58</v>
      </c>
      <c r="AX1208">
        <v>20</v>
      </c>
      <c r="AY1208" s="1">
        <v>25569</v>
      </c>
      <c r="AZ1208" s="1">
        <v>25569</v>
      </c>
      <c r="BA1208" s="1">
        <v>25569</v>
      </c>
      <c r="BB1208" s="1">
        <v>32874</v>
      </c>
      <c r="BC1208" t="s">
        <v>51</v>
      </c>
      <c r="BE1208" t="s">
        <v>54</v>
      </c>
      <c r="BF1208">
        <v>2</v>
      </c>
      <c r="BG1208">
        <v>0</v>
      </c>
      <c r="BH1208" t="s">
        <v>53</v>
      </c>
      <c r="BK1208" t="s">
        <v>59</v>
      </c>
      <c r="BL1208">
        <v>14000</v>
      </c>
      <c r="BM1208" s="1">
        <v>42917</v>
      </c>
      <c r="BN1208" s="1">
        <v>42917</v>
      </c>
      <c r="BO1208" s="1">
        <v>42917</v>
      </c>
      <c r="BP1208" s="1">
        <v>44117</v>
      </c>
      <c r="BQ1208" t="s">
        <v>51</v>
      </c>
      <c r="BS1208" t="s">
        <v>60</v>
      </c>
      <c r="BT1208" t="s">
        <v>54</v>
      </c>
      <c r="BU1208" t="s">
        <v>61</v>
      </c>
      <c r="BV1208" t="s">
        <v>62</v>
      </c>
      <c r="BX1208">
        <v>24</v>
      </c>
      <c r="BY1208">
        <v>0</v>
      </c>
      <c r="BZ1208">
        <v>0</v>
      </c>
    </row>
    <row r="1209" spans="1:99" x14ac:dyDescent="0.2">
      <c r="A1209" t="s">
        <v>180</v>
      </c>
      <c r="B1209" t="s">
        <v>181</v>
      </c>
      <c r="C1209" t="s">
        <v>184</v>
      </c>
      <c r="D1209" t="s">
        <v>677</v>
      </c>
      <c r="F1209" t="str">
        <f>"250869"</f>
        <v>250869</v>
      </c>
      <c r="G1209" t="s">
        <v>49</v>
      </c>
      <c r="K1209" t="s">
        <v>51</v>
      </c>
      <c r="L1209" t="s">
        <v>52</v>
      </c>
      <c r="M1209">
        <v>136485.28</v>
      </c>
      <c r="N1209">
        <v>472113.81</v>
      </c>
      <c r="O1209" t="s">
        <v>53</v>
      </c>
      <c r="P1209" t="s">
        <v>54</v>
      </c>
      <c r="Q1209" t="s">
        <v>55</v>
      </c>
      <c r="T1209" t="s">
        <v>469</v>
      </c>
      <c r="U1209">
        <v>40</v>
      </c>
      <c r="V1209" s="1">
        <v>25569</v>
      </c>
      <c r="W1209" s="1">
        <v>25569</v>
      </c>
      <c r="X1209" s="1">
        <v>25569</v>
      </c>
      <c r="Y1209" s="1">
        <v>40179</v>
      </c>
      <c r="Z1209" t="s">
        <v>51</v>
      </c>
      <c r="AB1209" t="s">
        <v>54</v>
      </c>
      <c r="AC1209">
        <v>1</v>
      </c>
      <c r="AE1209" t="s">
        <v>57</v>
      </c>
      <c r="AF1209">
        <v>20</v>
      </c>
      <c r="AG1209" s="1">
        <v>25569</v>
      </c>
      <c r="AH1209" s="1">
        <v>25569</v>
      </c>
      <c r="AI1209" s="1">
        <v>25569</v>
      </c>
      <c r="AJ1209" s="1">
        <v>32874</v>
      </c>
      <c r="AK1209" t="s">
        <v>51</v>
      </c>
      <c r="AN1209">
        <v>0</v>
      </c>
      <c r="AO1209" t="s">
        <v>54</v>
      </c>
      <c r="AP1209" t="s">
        <v>53</v>
      </c>
      <c r="AQ1209">
        <v>0</v>
      </c>
      <c r="AR1209" t="s">
        <v>53</v>
      </c>
      <c r="AS1209">
        <v>0</v>
      </c>
      <c r="AT1209">
        <v>0</v>
      </c>
      <c r="AW1209" t="s">
        <v>58</v>
      </c>
      <c r="AX1209">
        <v>20</v>
      </c>
      <c r="AY1209" s="1">
        <v>25569</v>
      </c>
      <c r="AZ1209" s="1">
        <v>25569</v>
      </c>
      <c r="BA1209" s="1">
        <v>25569</v>
      </c>
      <c r="BB1209" s="1">
        <v>32874</v>
      </c>
      <c r="BC1209" t="s">
        <v>51</v>
      </c>
      <c r="BE1209" t="s">
        <v>54</v>
      </c>
      <c r="BF1209">
        <v>2</v>
      </c>
      <c r="BG1209">
        <v>0</v>
      </c>
      <c r="BH1209" t="s">
        <v>53</v>
      </c>
      <c r="BK1209" t="s">
        <v>59</v>
      </c>
      <c r="BL1209">
        <v>14000</v>
      </c>
      <c r="BM1209" s="1">
        <v>42917</v>
      </c>
      <c r="BN1209" s="1">
        <v>42917</v>
      </c>
      <c r="BO1209" s="1">
        <v>42917</v>
      </c>
      <c r="BP1209" s="1">
        <v>44117</v>
      </c>
      <c r="BQ1209" t="s">
        <v>51</v>
      </c>
      <c r="BS1209" t="s">
        <v>60</v>
      </c>
      <c r="BT1209" t="s">
        <v>54</v>
      </c>
      <c r="BU1209" t="s">
        <v>61</v>
      </c>
      <c r="BV1209" t="s">
        <v>62</v>
      </c>
      <c r="BX1209">
        <v>24</v>
      </c>
      <c r="BY1209">
        <v>0</v>
      </c>
      <c r="BZ1209">
        <v>0</v>
      </c>
    </row>
    <row r="1210" spans="1:99" x14ac:dyDescent="0.2">
      <c r="A1210" t="s">
        <v>180</v>
      </c>
      <c r="B1210" t="s">
        <v>181</v>
      </c>
      <c r="C1210" t="s">
        <v>184</v>
      </c>
      <c r="D1210" t="s">
        <v>677</v>
      </c>
      <c r="F1210" t="str">
        <f>"250870"</f>
        <v>250870</v>
      </c>
      <c r="G1210" t="s">
        <v>49</v>
      </c>
      <c r="K1210" t="s">
        <v>51</v>
      </c>
      <c r="L1210" t="s">
        <v>52</v>
      </c>
      <c r="M1210">
        <v>136471.83199999999</v>
      </c>
      <c r="N1210">
        <v>472116.821</v>
      </c>
      <c r="O1210" t="s">
        <v>53</v>
      </c>
      <c r="P1210" t="s">
        <v>54</v>
      </c>
      <c r="Q1210" t="s">
        <v>55</v>
      </c>
      <c r="T1210" t="s">
        <v>241</v>
      </c>
      <c r="U1210">
        <v>40</v>
      </c>
      <c r="V1210" s="1">
        <v>38169</v>
      </c>
      <c r="W1210" s="1">
        <v>38169</v>
      </c>
      <c r="X1210" s="1">
        <v>38169</v>
      </c>
      <c r="Y1210" s="1">
        <v>52779</v>
      </c>
      <c r="Z1210" t="s">
        <v>51</v>
      </c>
      <c r="AB1210" t="s">
        <v>54</v>
      </c>
      <c r="AC1210">
        <v>1</v>
      </c>
      <c r="AE1210" t="s">
        <v>222</v>
      </c>
      <c r="AF1210">
        <v>20</v>
      </c>
      <c r="AG1210" s="1">
        <v>38169</v>
      </c>
      <c r="AH1210" s="1">
        <v>38169</v>
      </c>
      <c r="AI1210" s="1">
        <v>38169</v>
      </c>
      <c r="AJ1210" s="1">
        <v>45474</v>
      </c>
      <c r="AK1210" t="s">
        <v>51</v>
      </c>
      <c r="AN1210">
        <v>0</v>
      </c>
      <c r="AO1210" t="s">
        <v>54</v>
      </c>
      <c r="AP1210" t="s">
        <v>53</v>
      </c>
      <c r="AQ1210">
        <v>0</v>
      </c>
      <c r="AR1210" t="s">
        <v>53</v>
      </c>
      <c r="AS1210">
        <v>0</v>
      </c>
      <c r="AT1210">
        <v>0</v>
      </c>
      <c r="AW1210" t="s">
        <v>58</v>
      </c>
      <c r="AX1210">
        <v>20</v>
      </c>
      <c r="AY1210" s="1">
        <v>38169</v>
      </c>
      <c r="AZ1210" s="1">
        <v>38169</v>
      </c>
      <c r="BA1210" s="1">
        <v>38169</v>
      </c>
      <c r="BB1210" s="1">
        <v>45474</v>
      </c>
      <c r="BC1210" t="s">
        <v>51</v>
      </c>
      <c r="BE1210" t="s">
        <v>54</v>
      </c>
      <c r="BF1210">
        <v>2</v>
      </c>
      <c r="BG1210">
        <v>0</v>
      </c>
      <c r="BH1210" t="s">
        <v>53</v>
      </c>
      <c r="BK1210" t="s">
        <v>65</v>
      </c>
      <c r="BL1210">
        <v>14000</v>
      </c>
      <c r="BM1210" s="1">
        <v>42917</v>
      </c>
      <c r="BN1210" s="1">
        <v>42917</v>
      </c>
      <c r="BO1210" s="1">
        <v>42917</v>
      </c>
      <c r="BP1210" s="1">
        <v>44117</v>
      </c>
      <c r="BQ1210" t="s">
        <v>51</v>
      </c>
      <c r="BS1210" t="s">
        <v>60</v>
      </c>
      <c r="BT1210" t="s">
        <v>54</v>
      </c>
      <c r="BU1210" t="s">
        <v>61</v>
      </c>
      <c r="BV1210" t="s">
        <v>62</v>
      </c>
      <c r="BX1210">
        <v>36</v>
      </c>
      <c r="BY1210">
        <v>0</v>
      </c>
      <c r="BZ1210">
        <v>0</v>
      </c>
    </row>
    <row r="1211" spans="1:99" x14ac:dyDescent="0.2">
      <c r="A1211" t="s">
        <v>180</v>
      </c>
      <c r="B1211" t="s">
        <v>181</v>
      </c>
      <c r="C1211" t="s">
        <v>184</v>
      </c>
      <c r="D1211" t="s">
        <v>677</v>
      </c>
      <c r="F1211" t="str">
        <f>"250871"</f>
        <v>250871</v>
      </c>
      <c r="G1211" t="s">
        <v>49</v>
      </c>
      <c r="K1211" t="s">
        <v>51</v>
      </c>
      <c r="L1211" t="s">
        <v>52</v>
      </c>
      <c r="M1211">
        <v>136460.57999999999</v>
      </c>
      <c r="N1211">
        <v>472136.03</v>
      </c>
      <c r="O1211" t="s">
        <v>53</v>
      </c>
      <c r="P1211" t="s">
        <v>54</v>
      </c>
      <c r="Q1211" t="s">
        <v>55</v>
      </c>
      <c r="T1211" t="s">
        <v>469</v>
      </c>
      <c r="U1211">
        <v>40</v>
      </c>
      <c r="V1211" s="1">
        <v>25569</v>
      </c>
      <c r="W1211" s="1">
        <v>25569</v>
      </c>
      <c r="X1211" s="1">
        <v>25569</v>
      </c>
      <c r="Y1211" s="1">
        <v>40179</v>
      </c>
      <c r="Z1211" t="s">
        <v>51</v>
      </c>
      <c r="AB1211" t="s">
        <v>54</v>
      </c>
      <c r="AC1211">
        <v>1</v>
      </c>
      <c r="AE1211" t="s">
        <v>57</v>
      </c>
      <c r="AF1211">
        <v>20</v>
      </c>
      <c r="AG1211" s="1">
        <v>25569</v>
      </c>
      <c r="AH1211" s="1">
        <v>25569</v>
      </c>
      <c r="AI1211" s="1">
        <v>25569</v>
      </c>
      <c r="AJ1211" s="1">
        <v>32874</v>
      </c>
      <c r="AK1211" t="s">
        <v>51</v>
      </c>
      <c r="AN1211">
        <v>0</v>
      </c>
      <c r="AO1211" t="s">
        <v>54</v>
      </c>
      <c r="AP1211" t="s">
        <v>53</v>
      </c>
      <c r="AQ1211">
        <v>0</v>
      </c>
      <c r="AR1211" t="s">
        <v>53</v>
      </c>
      <c r="AS1211">
        <v>0</v>
      </c>
      <c r="AT1211">
        <v>0</v>
      </c>
      <c r="AW1211" t="s">
        <v>58</v>
      </c>
      <c r="AX1211">
        <v>20</v>
      </c>
      <c r="AY1211" s="1">
        <v>25569</v>
      </c>
      <c r="AZ1211" s="1">
        <v>25569</v>
      </c>
      <c r="BA1211" s="1">
        <v>25569</v>
      </c>
      <c r="BB1211" s="1">
        <v>32874</v>
      </c>
      <c r="BC1211" t="s">
        <v>51</v>
      </c>
      <c r="BE1211" t="s">
        <v>54</v>
      </c>
      <c r="BF1211">
        <v>2</v>
      </c>
      <c r="BG1211">
        <v>0</v>
      </c>
      <c r="BH1211" t="s">
        <v>53</v>
      </c>
      <c r="BK1211" t="s">
        <v>59</v>
      </c>
      <c r="BL1211">
        <v>14000</v>
      </c>
      <c r="BM1211" s="1">
        <v>42917</v>
      </c>
      <c r="BN1211" s="1">
        <v>42917</v>
      </c>
      <c r="BO1211" s="1">
        <v>42917</v>
      </c>
      <c r="BP1211" s="1">
        <v>44117</v>
      </c>
      <c r="BQ1211" t="s">
        <v>51</v>
      </c>
      <c r="BS1211" t="s">
        <v>60</v>
      </c>
      <c r="BT1211" t="s">
        <v>54</v>
      </c>
      <c r="BU1211" t="s">
        <v>61</v>
      </c>
      <c r="BV1211" t="s">
        <v>62</v>
      </c>
      <c r="BX1211">
        <v>24</v>
      </c>
      <c r="BY1211">
        <v>0</v>
      </c>
      <c r="BZ1211">
        <v>0</v>
      </c>
    </row>
    <row r="1212" spans="1:99" x14ac:dyDescent="0.2">
      <c r="A1212" t="s">
        <v>180</v>
      </c>
      <c r="B1212" t="s">
        <v>181</v>
      </c>
      <c r="C1212" t="s">
        <v>184</v>
      </c>
      <c r="D1212" t="s">
        <v>677</v>
      </c>
      <c r="F1212" t="str">
        <f>"250872"</f>
        <v>250872</v>
      </c>
      <c r="G1212" t="s">
        <v>49</v>
      </c>
      <c r="K1212" t="s">
        <v>51</v>
      </c>
      <c r="L1212" t="s">
        <v>52</v>
      </c>
      <c r="M1212">
        <v>136449.31</v>
      </c>
      <c r="N1212">
        <v>472146.45</v>
      </c>
      <c r="O1212" t="s">
        <v>53</v>
      </c>
      <c r="P1212" t="s">
        <v>54</v>
      </c>
      <c r="Q1212" t="s">
        <v>55</v>
      </c>
      <c r="T1212" t="s">
        <v>241</v>
      </c>
      <c r="U1212">
        <v>40</v>
      </c>
      <c r="V1212" s="1">
        <v>25569</v>
      </c>
      <c r="W1212" s="1">
        <v>25569</v>
      </c>
      <c r="X1212" s="1">
        <v>25569</v>
      </c>
      <c r="Y1212" s="1">
        <v>40179</v>
      </c>
      <c r="Z1212" t="s">
        <v>51</v>
      </c>
      <c r="AB1212" t="s">
        <v>54</v>
      </c>
      <c r="AC1212">
        <v>1</v>
      </c>
      <c r="AE1212" t="s">
        <v>222</v>
      </c>
      <c r="AF1212">
        <v>20</v>
      </c>
      <c r="AG1212" s="1">
        <v>25569</v>
      </c>
      <c r="AH1212" s="1">
        <v>25569</v>
      </c>
      <c r="AI1212" s="1">
        <v>25569</v>
      </c>
      <c r="AJ1212" s="1">
        <v>32874</v>
      </c>
      <c r="AK1212" t="s">
        <v>51</v>
      </c>
      <c r="AN1212">
        <v>0</v>
      </c>
      <c r="AO1212" t="s">
        <v>54</v>
      </c>
      <c r="AP1212" t="s">
        <v>53</v>
      </c>
      <c r="AQ1212">
        <v>0</v>
      </c>
      <c r="AR1212" t="s">
        <v>53</v>
      </c>
      <c r="AS1212">
        <v>0</v>
      </c>
      <c r="AT1212">
        <v>0</v>
      </c>
      <c r="AW1212" t="s">
        <v>58</v>
      </c>
      <c r="AX1212">
        <v>20</v>
      </c>
      <c r="AY1212" s="1">
        <v>25569</v>
      </c>
      <c r="AZ1212" s="1">
        <v>25569</v>
      </c>
      <c r="BA1212" s="1">
        <v>25569</v>
      </c>
      <c r="BB1212" s="1">
        <v>32874</v>
      </c>
      <c r="BC1212" t="s">
        <v>51</v>
      </c>
      <c r="BE1212" t="s">
        <v>54</v>
      </c>
      <c r="BF1212">
        <v>2</v>
      </c>
      <c r="BG1212">
        <v>0</v>
      </c>
      <c r="BH1212" t="s">
        <v>53</v>
      </c>
      <c r="BK1212" t="s">
        <v>59</v>
      </c>
      <c r="BL1212">
        <v>14000</v>
      </c>
      <c r="BM1212" s="1">
        <v>42917</v>
      </c>
      <c r="BN1212" s="1">
        <v>42917</v>
      </c>
      <c r="BO1212" s="1">
        <v>42917</v>
      </c>
      <c r="BP1212" s="1">
        <v>44117</v>
      </c>
      <c r="BQ1212" t="s">
        <v>51</v>
      </c>
      <c r="BS1212" t="s">
        <v>60</v>
      </c>
      <c r="BT1212" t="s">
        <v>54</v>
      </c>
      <c r="BU1212" t="s">
        <v>61</v>
      </c>
      <c r="BV1212" t="s">
        <v>62</v>
      </c>
      <c r="BX1212">
        <v>24</v>
      </c>
      <c r="BY1212">
        <v>0</v>
      </c>
      <c r="BZ1212">
        <v>0</v>
      </c>
    </row>
    <row r="1213" spans="1:99" x14ac:dyDescent="0.2">
      <c r="A1213" t="s">
        <v>180</v>
      </c>
      <c r="B1213" t="s">
        <v>181</v>
      </c>
      <c r="C1213" t="s">
        <v>184</v>
      </c>
      <c r="D1213" t="s">
        <v>677</v>
      </c>
      <c r="F1213" t="str">
        <f>"250873"</f>
        <v>250873</v>
      </c>
      <c r="G1213" t="s">
        <v>49</v>
      </c>
      <c r="K1213" t="s">
        <v>51</v>
      </c>
      <c r="L1213" t="s">
        <v>52</v>
      </c>
      <c r="M1213">
        <v>136430.726</v>
      </c>
      <c r="N1213">
        <v>472140.86099999998</v>
      </c>
      <c r="O1213" t="s">
        <v>53</v>
      </c>
      <c r="P1213" t="s">
        <v>54</v>
      </c>
      <c r="Q1213" t="s">
        <v>55</v>
      </c>
      <c r="T1213" t="s">
        <v>469</v>
      </c>
      <c r="U1213">
        <v>40</v>
      </c>
      <c r="V1213" s="1">
        <v>25569</v>
      </c>
      <c r="W1213" s="1">
        <v>25569</v>
      </c>
      <c r="X1213" s="1">
        <v>25569</v>
      </c>
      <c r="Y1213" s="1">
        <v>40179</v>
      </c>
      <c r="Z1213" t="s">
        <v>51</v>
      </c>
      <c r="AB1213" t="s">
        <v>54</v>
      </c>
      <c r="AC1213">
        <v>1</v>
      </c>
      <c r="AE1213" t="s">
        <v>57</v>
      </c>
      <c r="AF1213">
        <v>20</v>
      </c>
      <c r="AG1213" s="1">
        <v>25569</v>
      </c>
      <c r="AH1213" s="1">
        <v>25569</v>
      </c>
      <c r="AI1213" s="1">
        <v>25569</v>
      </c>
      <c r="AJ1213" s="1">
        <v>32874</v>
      </c>
      <c r="AK1213" t="s">
        <v>51</v>
      </c>
      <c r="AN1213">
        <v>0</v>
      </c>
      <c r="AO1213" t="s">
        <v>54</v>
      </c>
      <c r="AP1213" t="s">
        <v>53</v>
      </c>
      <c r="AQ1213">
        <v>0</v>
      </c>
      <c r="AR1213" t="s">
        <v>53</v>
      </c>
      <c r="AS1213">
        <v>0</v>
      </c>
      <c r="AT1213">
        <v>0</v>
      </c>
      <c r="AW1213" t="s">
        <v>58</v>
      </c>
      <c r="AX1213">
        <v>20</v>
      </c>
      <c r="AY1213" s="1">
        <v>25569</v>
      </c>
      <c r="AZ1213" s="1">
        <v>25569</v>
      </c>
      <c r="BA1213" s="1">
        <v>25569</v>
      </c>
      <c r="BB1213" s="1">
        <v>32874</v>
      </c>
      <c r="BC1213" t="s">
        <v>51</v>
      </c>
      <c r="BE1213" t="s">
        <v>54</v>
      </c>
      <c r="BF1213">
        <v>2</v>
      </c>
      <c r="BG1213">
        <v>0</v>
      </c>
      <c r="BH1213" t="s">
        <v>53</v>
      </c>
      <c r="BK1213" t="s">
        <v>59</v>
      </c>
      <c r="BL1213">
        <v>14000</v>
      </c>
      <c r="BM1213" s="1">
        <v>42917</v>
      </c>
      <c r="BN1213" s="1">
        <v>42917</v>
      </c>
      <c r="BO1213" s="1">
        <v>42917</v>
      </c>
      <c r="BP1213" s="1">
        <v>44117</v>
      </c>
      <c r="BQ1213" t="s">
        <v>51</v>
      </c>
      <c r="BS1213" t="s">
        <v>60</v>
      </c>
      <c r="BT1213" t="s">
        <v>54</v>
      </c>
      <c r="BU1213" t="s">
        <v>61</v>
      </c>
      <c r="BV1213" t="s">
        <v>62</v>
      </c>
      <c r="BX1213">
        <v>24</v>
      </c>
      <c r="BY1213">
        <v>0</v>
      </c>
      <c r="BZ1213">
        <v>0</v>
      </c>
    </row>
    <row r="1214" spans="1:99" x14ac:dyDescent="0.2">
      <c r="A1214" t="s">
        <v>180</v>
      </c>
      <c r="B1214" t="s">
        <v>181</v>
      </c>
      <c r="C1214" t="s">
        <v>184</v>
      </c>
      <c r="D1214" t="s">
        <v>677</v>
      </c>
      <c r="F1214" t="str">
        <f>"250874"</f>
        <v>250874</v>
      </c>
      <c r="G1214" t="s">
        <v>49</v>
      </c>
      <c r="K1214" t="s">
        <v>51</v>
      </c>
      <c r="L1214" t="s">
        <v>52</v>
      </c>
      <c r="M1214">
        <v>136774.39000000001</v>
      </c>
      <c r="N1214">
        <v>472056.44</v>
      </c>
      <c r="O1214" t="s">
        <v>53</v>
      </c>
      <c r="P1214" t="s">
        <v>54</v>
      </c>
      <c r="Q1214" t="s">
        <v>55</v>
      </c>
      <c r="T1214" t="s">
        <v>241</v>
      </c>
      <c r="U1214">
        <v>40</v>
      </c>
      <c r="V1214" s="1">
        <v>38169</v>
      </c>
      <c r="W1214" s="1">
        <v>38169</v>
      </c>
      <c r="X1214" s="1">
        <v>38169</v>
      </c>
      <c r="Y1214" s="1">
        <v>52779</v>
      </c>
      <c r="Z1214" t="s">
        <v>51</v>
      </c>
      <c r="AB1214" t="s">
        <v>54</v>
      </c>
      <c r="AC1214">
        <v>1</v>
      </c>
      <c r="AE1214" t="s">
        <v>222</v>
      </c>
      <c r="AF1214">
        <v>20</v>
      </c>
      <c r="AG1214" s="1">
        <v>38169</v>
      </c>
      <c r="AH1214" s="1">
        <v>38169</v>
      </c>
      <c r="AI1214" s="1">
        <v>38169</v>
      </c>
      <c r="AJ1214" s="1">
        <v>45474</v>
      </c>
      <c r="AK1214" t="s">
        <v>51</v>
      </c>
      <c r="AN1214">
        <v>0</v>
      </c>
      <c r="AO1214" t="s">
        <v>54</v>
      </c>
      <c r="AP1214" t="s">
        <v>53</v>
      </c>
      <c r="AQ1214">
        <v>0</v>
      </c>
      <c r="AR1214" t="s">
        <v>53</v>
      </c>
      <c r="AS1214">
        <v>0</v>
      </c>
      <c r="AT1214">
        <v>0</v>
      </c>
      <c r="AW1214" t="s">
        <v>58</v>
      </c>
      <c r="AX1214">
        <v>20</v>
      </c>
      <c r="AY1214" s="1">
        <v>38169</v>
      </c>
      <c r="AZ1214" s="1">
        <v>38169</v>
      </c>
      <c r="BA1214" s="1">
        <v>38169</v>
      </c>
      <c r="BB1214" s="1">
        <v>45474</v>
      </c>
      <c r="BC1214" t="s">
        <v>51</v>
      </c>
      <c r="BE1214" t="s">
        <v>54</v>
      </c>
      <c r="BF1214">
        <v>2</v>
      </c>
      <c r="BG1214">
        <v>0</v>
      </c>
      <c r="BH1214" t="s">
        <v>53</v>
      </c>
      <c r="BK1214" t="s">
        <v>59</v>
      </c>
      <c r="BL1214">
        <v>14000</v>
      </c>
      <c r="BM1214" s="1">
        <v>42917</v>
      </c>
      <c r="BN1214" s="1">
        <v>42917</v>
      </c>
      <c r="BO1214" s="1">
        <v>42917</v>
      </c>
      <c r="BP1214" s="1">
        <v>44117</v>
      </c>
      <c r="BQ1214" t="s">
        <v>51</v>
      </c>
      <c r="BS1214" t="s">
        <v>60</v>
      </c>
      <c r="BT1214" t="s">
        <v>54</v>
      </c>
      <c r="BU1214" t="s">
        <v>61</v>
      </c>
      <c r="BV1214" t="s">
        <v>62</v>
      </c>
      <c r="BX1214">
        <v>24</v>
      </c>
      <c r="BY1214">
        <v>0</v>
      </c>
      <c r="BZ1214">
        <v>0</v>
      </c>
    </row>
    <row r="1215" spans="1:99" x14ac:dyDescent="0.2">
      <c r="A1215" t="s">
        <v>180</v>
      </c>
      <c r="B1215" t="s">
        <v>181</v>
      </c>
      <c r="C1215" t="s">
        <v>184</v>
      </c>
      <c r="D1215" t="s">
        <v>677</v>
      </c>
      <c r="F1215" t="str">
        <f>"250875"</f>
        <v>250875</v>
      </c>
      <c r="G1215" t="s">
        <v>49</v>
      </c>
      <c r="K1215" t="s">
        <v>51</v>
      </c>
      <c r="L1215" t="s">
        <v>52</v>
      </c>
      <c r="M1215">
        <v>136406.44</v>
      </c>
      <c r="N1215">
        <v>472163.37</v>
      </c>
      <c r="O1215" t="s">
        <v>53</v>
      </c>
      <c r="P1215" t="s">
        <v>54</v>
      </c>
      <c r="Q1215" t="s">
        <v>55</v>
      </c>
      <c r="T1215" t="s">
        <v>469</v>
      </c>
      <c r="U1215">
        <v>40</v>
      </c>
      <c r="V1215" s="1">
        <v>25569</v>
      </c>
      <c r="W1215" s="1">
        <v>25569</v>
      </c>
      <c r="X1215" s="1">
        <v>25569</v>
      </c>
      <c r="Y1215" s="1">
        <v>40179</v>
      </c>
      <c r="Z1215" t="s">
        <v>51</v>
      </c>
      <c r="AB1215" t="s">
        <v>54</v>
      </c>
      <c r="AC1215">
        <v>1</v>
      </c>
      <c r="AE1215" t="s">
        <v>57</v>
      </c>
      <c r="AF1215">
        <v>20</v>
      </c>
      <c r="AG1215" s="1">
        <v>25569</v>
      </c>
      <c r="AH1215" s="1">
        <v>25569</v>
      </c>
      <c r="AI1215" s="1">
        <v>25569</v>
      </c>
      <c r="AJ1215" s="1">
        <v>32874</v>
      </c>
      <c r="AK1215" t="s">
        <v>51</v>
      </c>
      <c r="AN1215">
        <v>0</v>
      </c>
      <c r="AO1215" t="s">
        <v>54</v>
      </c>
      <c r="AP1215" t="s">
        <v>53</v>
      </c>
      <c r="AQ1215">
        <v>0</v>
      </c>
      <c r="AR1215" t="s">
        <v>53</v>
      </c>
      <c r="AS1215">
        <v>0</v>
      </c>
      <c r="AT1215">
        <v>0</v>
      </c>
      <c r="AW1215" t="s">
        <v>58</v>
      </c>
      <c r="AX1215">
        <v>20</v>
      </c>
      <c r="AY1215" s="1">
        <v>25569</v>
      </c>
      <c r="AZ1215" s="1">
        <v>25569</v>
      </c>
      <c r="BA1215" s="1">
        <v>25569</v>
      </c>
      <c r="BB1215" s="1">
        <v>32874</v>
      </c>
      <c r="BC1215" t="s">
        <v>51</v>
      </c>
      <c r="BE1215" t="s">
        <v>54</v>
      </c>
      <c r="BF1215">
        <v>2</v>
      </c>
      <c r="BG1215">
        <v>0</v>
      </c>
      <c r="BH1215" t="s">
        <v>53</v>
      </c>
      <c r="BK1215" t="s">
        <v>59</v>
      </c>
      <c r="BL1215">
        <v>14000</v>
      </c>
      <c r="BM1215" s="1">
        <v>42917</v>
      </c>
      <c r="BN1215" s="1">
        <v>42917</v>
      </c>
      <c r="BO1215" s="1">
        <v>42917</v>
      </c>
      <c r="BP1215" s="1">
        <v>44117</v>
      </c>
      <c r="BQ1215" t="s">
        <v>51</v>
      </c>
      <c r="BS1215" t="s">
        <v>60</v>
      </c>
      <c r="BT1215" t="s">
        <v>54</v>
      </c>
      <c r="BU1215" t="s">
        <v>61</v>
      </c>
      <c r="BV1215" t="s">
        <v>62</v>
      </c>
      <c r="BX1215">
        <v>24</v>
      </c>
      <c r="BY1215">
        <v>0</v>
      </c>
      <c r="BZ1215">
        <v>0</v>
      </c>
    </row>
    <row r="1216" spans="1:99" x14ac:dyDescent="0.2">
      <c r="A1216" t="s">
        <v>180</v>
      </c>
      <c r="B1216" t="s">
        <v>181</v>
      </c>
      <c r="C1216" t="s">
        <v>184</v>
      </c>
      <c r="D1216" t="s">
        <v>677</v>
      </c>
      <c r="F1216" t="str">
        <f>"250876"</f>
        <v>250876</v>
      </c>
      <c r="G1216" t="s">
        <v>49</v>
      </c>
      <c r="K1216" t="s">
        <v>51</v>
      </c>
      <c r="L1216" t="s">
        <v>52</v>
      </c>
      <c r="M1216">
        <v>136393.53</v>
      </c>
      <c r="N1216">
        <v>472173.69</v>
      </c>
      <c r="O1216" t="s">
        <v>53</v>
      </c>
      <c r="P1216" t="s">
        <v>54</v>
      </c>
      <c r="Q1216" t="s">
        <v>55</v>
      </c>
      <c r="T1216" t="s">
        <v>241</v>
      </c>
      <c r="U1216">
        <v>40</v>
      </c>
      <c r="V1216" s="1">
        <v>42186</v>
      </c>
      <c r="W1216" s="1">
        <v>42186</v>
      </c>
      <c r="X1216" s="1">
        <v>42186</v>
      </c>
      <c r="Y1216" s="1">
        <v>56796</v>
      </c>
      <c r="Z1216" t="s">
        <v>51</v>
      </c>
      <c r="AB1216" t="s">
        <v>54</v>
      </c>
      <c r="AC1216">
        <v>1</v>
      </c>
      <c r="AE1216" t="s">
        <v>79</v>
      </c>
      <c r="AF1216">
        <v>20</v>
      </c>
      <c r="AG1216" s="1">
        <v>42186</v>
      </c>
      <c r="AH1216" s="1">
        <v>42186</v>
      </c>
      <c r="AI1216" s="1">
        <v>42186</v>
      </c>
      <c r="AJ1216" s="1">
        <v>49491</v>
      </c>
      <c r="AK1216" t="s">
        <v>51</v>
      </c>
      <c r="AN1216">
        <v>0</v>
      </c>
      <c r="AO1216" t="s">
        <v>54</v>
      </c>
      <c r="AP1216" t="s">
        <v>53</v>
      </c>
      <c r="AQ1216">
        <v>0</v>
      </c>
      <c r="AR1216" t="s">
        <v>145</v>
      </c>
      <c r="AS1216">
        <v>0</v>
      </c>
      <c r="AT1216">
        <v>0</v>
      </c>
      <c r="CC1216" t="s">
        <v>432</v>
      </c>
      <c r="CD1216">
        <v>85000</v>
      </c>
      <c r="CE1216" s="1">
        <v>42186</v>
      </c>
      <c r="CF1216" s="1">
        <v>42186</v>
      </c>
      <c r="CG1216" s="1">
        <v>42186</v>
      </c>
      <c r="CH1216" s="1">
        <v>49348</v>
      </c>
      <c r="CI1216" t="s">
        <v>51</v>
      </c>
      <c r="CK1216" t="s">
        <v>78</v>
      </c>
      <c r="CM1216" t="s">
        <v>54</v>
      </c>
      <c r="CN1216" t="s">
        <v>174</v>
      </c>
      <c r="CO1216" t="s">
        <v>86</v>
      </c>
      <c r="CR1216">
        <v>24</v>
      </c>
      <c r="CS1216">
        <v>0</v>
      </c>
      <c r="CT1216">
        <v>0</v>
      </c>
      <c r="CU1216">
        <v>0</v>
      </c>
    </row>
    <row r="1217" spans="1:99" x14ac:dyDescent="0.2">
      <c r="A1217" t="s">
        <v>180</v>
      </c>
      <c r="B1217" t="s">
        <v>181</v>
      </c>
      <c r="C1217" t="s">
        <v>184</v>
      </c>
      <c r="D1217" t="s">
        <v>677</v>
      </c>
      <c r="F1217" t="str">
        <f>"250878"</f>
        <v>250878</v>
      </c>
      <c r="G1217" t="s">
        <v>49</v>
      </c>
      <c r="K1217" t="s">
        <v>51</v>
      </c>
      <c r="L1217" t="s">
        <v>52</v>
      </c>
      <c r="M1217">
        <v>136359.29999999999</v>
      </c>
      <c r="N1217">
        <v>472172.25</v>
      </c>
      <c r="O1217" t="s">
        <v>53</v>
      </c>
      <c r="P1217" t="s">
        <v>54</v>
      </c>
      <c r="Q1217" t="s">
        <v>55</v>
      </c>
      <c r="T1217" t="s">
        <v>241</v>
      </c>
      <c r="U1217">
        <v>40</v>
      </c>
      <c r="V1217" s="1">
        <v>42186</v>
      </c>
      <c r="W1217" s="1">
        <v>42186</v>
      </c>
      <c r="X1217" s="1">
        <v>42186</v>
      </c>
      <c r="Y1217" s="1">
        <v>56796</v>
      </c>
      <c r="Z1217" t="s">
        <v>51</v>
      </c>
      <c r="AB1217" t="s">
        <v>54</v>
      </c>
      <c r="AC1217">
        <v>1</v>
      </c>
      <c r="AE1217" t="s">
        <v>79</v>
      </c>
      <c r="AF1217">
        <v>20</v>
      </c>
      <c r="AG1217" s="1">
        <v>42186</v>
      </c>
      <c r="AH1217" s="1">
        <v>42186</v>
      </c>
      <c r="AI1217" s="1">
        <v>42186</v>
      </c>
      <c r="AJ1217" s="1">
        <v>49491</v>
      </c>
      <c r="AK1217" t="s">
        <v>51</v>
      </c>
      <c r="AN1217">
        <v>0</v>
      </c>
      <c r="AO1217" t="s">
        <v>54</v>
      </c>
      <c r="AP1217" t="s">
        <v>53</v>
      </c>
      <c r="AQ1217">
        <v>0</v>
      </c>
      <c r="AR1217" t="s">
        <v>145</v>
      </c>
      <c r="AS1217">
        <v>0</v>
      </c>
      <c r="AT1217">
        <v>0</v>
      </c>
      <c r="CC1217" t="s">
        <v>432</v>
      </c>
      <c r="CD1217">
        <v>85000</v>
      </c>
      <c r="CE1217" s="1">
        <v>42186</v>
      </c>
      <c r="CF1217" s="1">
        <v>42186</v>
      </c>
      <c r="CG1217" s="1">
        <v>42186</v>
      </c>
      <c r="CH1217" s="1">
        <v>49348</v>
      </c>
      <c r="CI1217" t="s">
        <v>51</v>
      </c>
      <c r="CK1217" t="s">
        <v>78</v>
      </c>
      <c r="CM1217" t="s">
        <v>54</v>
      </c>
      <c r="CN1217" t="s">
        <v>174</v>
      </c>
      <c r="CO1217" t="s">
        <v>86</v>
      </c>
      <c r="CR1217">
        <v>24</v>
      </c>
      <c r="CS1217">
        <v>0</v>
      </c>
      <c r="CT1217">
        <v>0</v>
      </c>
      <c r="CU1217">
        <v>0</v>
      </c>
    </row>
    <row r="1218" spans="1:99" x14ac:dyDescent="0.2">
      <c r="A1218" t="s">
        <v>180</v>
      </c>
      <c r="B1218" t="s">
        <v>181</v>
      </c>
      <c r="C1218" t="s">
        <v>184</v>
      </c>
      <c r="D1218" t="s">
        <v>677</v>
      </c>
      <c r="F1218" t="str">
        <f>"250879"</f>
        <v>250879</v>
      </c>
      <c r="G1218" t="s">
        <v>49</v>
      </c>
      <c r="K1218" t="s">
        <v>51</v>
      </c>
      <c r="L1218" t="s">
        <v>52</v>
      </c>
      <c r="M1218">
        <v>136351.78</v>
      </c>
      <c r="N1218">
        <v>472190.81</v>
      </c>
      <c r="O1218" t="s">
        <v>53</v>
      </c>
      <c r="P1218" t="s">
        <v>54</v>
      </c>
      <c r="Q1218" t="s">
        <v>55</v>
      </c>
      <c r="T1218" t="s">
        <v>469</v>
      </c>
      <c r="U1218">
        <v>40</v>
      </c>
      <c r="V1218" s="1">
        <v>42186</v>
      </c>
      <c r="W1218" s="1">
        <v>42186</v>
      </c>
      <c r="X1218" s="1">
        <v>42186</v>
      </c>
      <c r="Y1218" s="1">
        <v>56796</v>
      </c>
      <c r="Z1218" t="s">
        <v>51</v>
      </c>
      <c r="AB1218" t="s">
        <v>54</v>
      </c>
      <c r="AC1218">
        <v>1</v>
      </c>
      <c r="AE1218" t="s">
        <v>79</v>
      </c>
      <c r="AF1218">
        <v>20</v>
      </c>
      <c r="AG1218" s="1">
        <v>42186</v>
      </c>
      <c r="AH1218" s="1">
        <v>42186</v>
      </c>
      <c r="AI1218" s="1">
        <v>42186</v>
      </c>
      <c r="AJ1218" s="1">
        <v>49491</v>
      </c>
      <c r="AK1218" t="s">
        <v>51</v>
      </c>
      <c r="AN1218">
        <v>0</v>
      </c>
      <c r="AO1218" t="s">
        <v>54</v>
      </c>
      <c r="AP1218" t="s">
        <v>53</v>
      </c>
      <c r="AQ1218">
        <v>0</v>
      </c>
      <c r="AR1218" t="s">
        <v>145</v>
      </c>
      <c r="AS1218">
        <v>0</v>
      </c>
      <c r="AT1218">
        <v>0</v>
      </c>
      <c r="CC1218" t="s">
        <v>432</v>
      </c>
      <c r="CD1218">
        <v>85000</v>
      </c>
      <c r="CE1218" s="1">
        <v>42186</v>
      </c>
      <c r="CF1218" s="1">
        <v>42186</v>
      </c>
      <c r="CG1218" s="1">
        <v>42186</v>
      </c>
      <c r="CH1218" s="1">
        <v>49348</v>
      </c>
      <c r="CI1218" t="s">
        <v>51</v>
      </c>
      <c r="CK1218" t="s">
        <v>78</v>
      </c>
      <c r="CM1218" t="s">
        <v>54</v>
      </c>
      <c r="CN1218" t="s">
        <v>174</v>
      </c>
      <c r="CO1218" t="s">
        <v>86</v>
      </c>
      <c r="CR1218">
        <v>24</v>
      </c>
      <c r="CS1218">
        <v>0</v>
      </c>
      <c r="CT1218">
        <v>0</v>
      </c>
      <c r="CU1218">
        <v>0</v>
      </c>
    </row>
    <row r="1219" spans="1:99" x14ac:dyDescent="0.2">
      <c r="A1219" t="s">
        <v>180</v>
      </c>
      <c r="B1219" t="s">
        <v>181</v>
      </c>
      <c r="C1219" t="s">
        <v>184</v>
      </c>
      <c r="D1219" t="s">
        <v>677</v>
      </c>
      <c r="F1219" t="str">
        <f>"250880"</f>
        <v>250880</v>
      </c>
      <c r="G1219" t="s">
        <v>49</v>
      </c>
      <c r="K1219" t="s">
        <v>51</v>
      </c>
      <c r="L1219" t="s">
        <v>52</v>
      </c>
      <c r="M1219">
        <v>136337.59</v>
      </c>
      <c r="N1219">
        <v>472202.3</v>
      </c>
      <c r="O1219" t="s">
        <v>53</v>
      </c>
      <c r="P1219" t="s">
        <v>54</v>
      </c>
      <c r="Q1219" t="s">
        <v>55</v>
      </c>
      <c r="T1219" t="s">
        <v>241</v>
      </c>
      <c r="U1219">
        <v>40</v>
      </c>
      <c r="V1219" s="1">
        <v>42186</v>
      </c>
      <c r="W1219" s="1">
        <v>42186</v>
      </c>
      <c r="X1219" s="1">
        <v>42186</v>
      </c>
      <c r="Y1219" s="1">
        <v>56796</v>
      </c>
      <c r="Z1219" t="s">
        <v>51</v>
      </c>
      <c r="AB1219" t="s">
        <v>54</v>
      </c>
      <c r="AC1219">
        <v>1</v>
      </c>
      <c r="AE1219" t="s">
        <v>79</v>
      </c>
      <c r="AF1219">
        <v>20</v>
      </c>
      <c r="AG1219" s="1">
        <v>42186</v>
      </c>
      <c r="AH1219" s="1">
        <v>42186</v>
      </c>
      <c r="AI1219" s="1">
        <v>42186</v>
      </c>
      <c r="AJ1219" s="1">
        <v>49491</v>
      </c>
      <c r="AK1219" t="s">
        <v>51</v>
      </c>
      <c r="AN1219">
        <v>0</v>
      </c>
      <c r="AO1219" t="s">
        <v>54</v>
      </c>
      <c r="AP1219" t="s">
        <v>53</v>
      </c>
      <c r="AQ1219">
        <v>0</v>
      </c>
      <c r="AR1219" t="s">
        <v>145</v>
      </c>
      <c r="AS1219">
        <v>0</v>
      </c>
      <c r="AT1219">
        <v>0</v>
      </c>
      <c r="CC1219" t="s">
        <v>432</v>
      </c>
      <c r="CD1219">
        <v>85000</v>
      </c>
      <c r="CE1219" s="1">
        <v>42186</v>
      </c>
      <c r="CF1219" s="1">
        <v>42186</v>
      </c>
      <c r="CG1219" s="1">
        <v>42186</v>
      </c>
      <c r="CH1219" s="1">
        <v>49348</v>
      </c>
      <c r="CI1219" t="s">
        <v>51</v>
      </c>
      <c r="CK1219" t="s">
        <v>78</v>
      </c>
      <c r="CM1219" t="s">
        <v>54</v>
      </c>
      <c r="CN1219" t="s">
        <v>174</v>
      </c>
      <c r="CO1219" t="s">
        <v>86</v>
      </c>
      <c r="CR1219">
        <v>24</v>
      </c>
      <c r="CS1219">
        <v>0</v>
      </c>
      <c r="CT1219">
        <v>0</v>
      </c>
      <c r="CU1219">
        <v>0</v>
      </c>
    </row>
    <row r="1220" spans="1:99" x14ac:dyDescent="0.2">
      <c r="A1220" t="s">
        <v>180</v>
      </c>
      <c r="B1220" t="s">
        <v>181</v>
      </c>
      <c r="C1220" t="s">
        <v>184</v>
      </c>
      <c r="D1220" t="s">
        <v>677</v>
      </c>
      <c r="F1220" t="str">
        <f>"250881"</f>
        <v>250881</v>
      </c>
      <c r="G1220" t="s">
        <v>49</v>
      </c>
      <c r="K1220" t="s">
        <v>51</v>
      </c>
      <c r="L1220" t="s">
        <v>52</v>
      </c>
      <c r="M1220">
        <v>136316.15</v>
      </c>
      <c r="N1220">
        <v>472199.14</v>
      </c>
      <c r="O1220" t="s">
        <v>53</v>
      </c>
      <c r="P1220" t="s">
        <v>54</v>
      </c>
      <c r="Q1220" t="s">
        <v>55</v>
      </c>
      <c r="T1220" t="s">
        <v>469</v>
      </c>
      <c r="U1220">
        <v>40</v>
      </c>
      <c r="V1220" s="1">
        <v>42186</v>
      </c>
      <c r="W1220" s="1">
        <v>42186</v>
      </c>
      <c r="X1220" s="1">
        <v>42186</v>
      </c>
      <c r="Y1220" s="1">
        <v>56796</v>
      </c>
      <c r="Z1220" t="s">
        <v>51</v>
      </c>
      <c r="AB1220" t="s">
        <v>54</v>
      </c>
      <c r="AC1220">
        <v>1</v>
      </c>
      <c r="AE1220" t="s">
        <v>79</v>
      </c>
      <c r="AF1220">
        <v>20</v>
      </c>
      <c r="AG1220" s="1">
        <v>42186</v>
      </c>
      <c r="AH1220" s="1">
        <v>42186</v>
      </c>
      <c r="AI1220" s="1">
        <v>42186</v>
      </c>
      <c r="AJ1220" s="1">
        <v>49491</v>
      </c>
      <c r="AK1220" t="s">
        <v>51</v>
      </c>
      <c r="AN1220">
        <v>0</v>
      </c>
      <c r="AO1220" t="s">
        <v>54</v>
      </c>
      <c r="AP1220" t="s">
        <v>53</v>
      </c>
      <c r="AQ1220">
        <v>0</v>
      </c>
      <c r="AR1220" t="s">
        <v>145</v>
      </c>
      <c r="AS1220">
        <v>0</v>
      </c>
      <c r="AT1220">
        <v>0</v>
      </c>
      <c r="CC1220" t="s">
        <v>432</v>
      </c>
      <c r="CD1220">
        <v>85000</v>
      </c>
      <c r="CE1220" s="1">
        <v>42186</v>
      </c>
      <c r="CF1220" s="1">
        <v>42186</v>
      </c>
      <c r="CG1220" s="1">
        <v>42186</v>
      </c>
      <c r="CH1220" s="1">
        <v>49348</v>
      </c>
      <c r="CI1220" t="s">
        <v>51</v>
      </c>
      <c r="CK1220" t="s">
        <v>78</v>
      </c>
      <c r="CM1220" t="s">
        <v>54</v>
      </c>
      <c r="CN1220" t="s">
        <v>174</v>
      </c>
      <c r="CO1220" t="s">
        <v>86</v>
      </c>
      <c r="CR1220">
        <v>24</v>
      </c>
      <c r="CS1220">
        <v>0</v>
      </c>
      <c r="CT1220">
        <v>0</v>
      </c>
      <c r="CU1220">
        <v>0</v>
      </c>
    </row>
    <row r="1221" spans="1:99" x14ac:dyDescent="0.2">
      <c r="A1221" t="s">
        <v>180</v>
      </c>
      <c r="B1221" t="s">
        <v>181</v>
      </c>
      <c r="C1221" t="s">
        <v>184</v>
      </c>
      <c r="D1221" t="s">
        <v>677</v>
      </c>
      <c r="F1221" t="str">
        <f>"250883"</f>
        <v>250883</v>
      </c>
      <c r="G1221" t="s">
        <v>49</v>
      </c>
      <c r="K1221" t="s">
        <v>51</v>
      </c>
      <c r="L1221" t="s">
        <v>52</v>
      </c>
      <c r="M1221">
        <v>136293.84</v>
      </c>
      <c r="N1221">
        <v>472220.15999999997</v>
      </c>
      <c r="O1221" t="s">
        <v>53</v>
      </c>
      <c r="P1221" t="s">
        <v>54</v>
      </c>
      <c r="Q1221" t="s">
        <v>55</v>
      </c>
      <c r="T1221" t="s">
        <v>469</v>
      </c>
      <c r="U1221">
        <v>40</v>
      </c>
      <c r="V1221" s="1">
        <v>42186</v>
      </c>
      <c r="W1221" s="1">
        <v>42186</v>
      </c>
      <c r="X1221" s="1">
        <v>42186</v>
      </c>
      <c r="Y1221" s="1">
        <v>56796</v>
      </c>
      <c r="Z1221" t="s">
        <v>51</v>
      </c>
      <c r="AB1221" t="s">
        <v>54</v>
      </c>
      <c r="AC1221">
        <v>1</v>
      </c>
      <c r="AE1221" t="s">
        <v>79</v>
      </c>
      <c r="AF1221">
        <v>20</v>
      </c>
      <c r="AG1221" s="1">
        <v>42186</v>
      </c>
      <c r="AH1221" s="1">
        <v>42186</v>
      </c>
      <c r="AI1221" s="1">
        <v>42186</v>
      </c>
      <c r="AJ1221" s="1">
        <v>49491</v>
      </c>
      <c r="AK1221" t="s">
        <v>51</v>
      </c>
      <c r="AN1221">
        <v>0</v>
      </c>
      <c r="AO1221" t="s">
        <v>54</v>
      </c>
      <c r="AP1221" t="s">
        <v>53</v>
      </c>
      <c r="AQ1221">
        <v>0</v>
      </c>
      <c r="AR1221" t="s">
        <v>145</v>
      </c>
      <c r="AS1221">
        <v>0</v>
      </c>
      <c r="AT1221">
        <v>0</v>
      </c>
      <c r="CC1221" t="s">
        <v>432</v>
      </c>
      <c r="CD1221">
        <v>85000</v>
      </c>
      <c r="CE1221" s="1">
        <v>42186</v>
      </c>
      <c r="CF1221" s="1">
        <v>42186</v>
      </c>
      <c r="CG1221" s="1">
        <v>42186</v>
      </c>
      <c r="CH1221" s="1">
        <v>49348</v>
      </c>
      <c r="CI1221" t="s">
        <v>51</v>
      </c>
      <c r="CK1221" t="s">
        <v>78</v>
      </c>
      <c r="CM1221" t="s">
        <v>54</v>
      </c>
      <c r="CN1221" t="s">
        <v>174</v>
      </c>
      <c r="CO1221" t="s">
        <v>86</v>
      </c>
      <c r="CR1221">
        <v>24</v>
      </c>
      <c r="CS1221">
        <v>0</v>
      </c>
      <c r="CT1221">
        <v>0</v>
      </c>
      <c r="CU1221">
        <v>0</v>
      </c>
    </row>
    <row r="1222" spans="1:99" x14ac:dyDescent="0.2">
      <c r="A1222" t="s">
        <v>180</v>
      </c>
      <c r="B1222" t="s">
        <v>181</v>
      </c>
      <c r="C1222" t="s">
        <v>184</v>
      </c>
      <c r="D1222" t="s">
        <v>677</v>
      </c>
      <c r="F1222" t="str">
        <f>"250884"</f>
        <v>250884</v>
      </c>
      <c r="G1222" t="s">
        <v>49</v>
      </c>
      <c r="K1222" t="s">
        <v>51</v>
      </c>
      <c r="L1222" t="s">
        <v>52</v>
      </c>
      <c r="M1222">
        <v>136279.44</v>
      </c>
      <c r="N1222">
        <v>472231.45</v>
      </c>
      <c r="O1222" t="s">
        <v>53</v>
      </c>
      <c r="P1222" t="s">
        <v>54</v>
      </c>
      <c r="Q1222" t="s">
        <v>55</v>
      </c>
      <c r="T1222" t="s">
        <v>241</v>
      </c>
      <c r="U1222">
        <v>40</v>
      </c>
      <c r="V1222" s="1">
        <v>42186</v>
      </c>
      <c r="W1222" s="1">
        <v>42186</v>
      </c>
      <c r="X1222" s="1">
        <v>42186</v>
      </c>
      <c r="Y1222" s="1">
        <v>56796</v>
      </c>
      <c r="Z1222" t="s">
        <v>51</v>
      </c>
      <c r="AB1222" t="s">
        <v>54</v>
      </c>
      <c r="AC1222">
        <v>1</v>
      </c>
      <c r="AE1222" t="s">
        <v>79</v>
      </c>
      <c r="AF1222">
        <v>20</v>
      </c>
      <c r="AG1222" s="1">
        <v>42186</v>
      </c>
      <c r="AH1222" s="1">
        <v>42186</v>
      </c>
      <c r="AI1222" s="1">
        <v>42186</v>
      </c>
      <c r="AJ1222" s="1">
        <v>49491</v>
      </c>
      <c r="AK1222" t="s">
        <v>51</v>
      </c>
      <c r="AN1222">
        <v>0</v>
      </c>
      <c r="AO1222" t="s">
        <v>54</v>
      </c>
      <c r="AP1222" t="s">
        <v>53</v>
      </c>
      <c r="AQ1222">
        <v>0</v>
      </c>
      <c r="AR1222" t="s">
        <v>145</v>
      </c>
      <c r="AS1222">
        <v>0</v>
      </c>
      <c r="AT1222">
        <v>0</v>
      </c>
      <c r="CC1222" t="s">
        <v>432</v>
      </c>
      <c r="CD1222">
        <v>85000</v>
      </c>
      <c r="CE1222" s="1">
        <v>42186</v>
      </c>
      <c r="CF1222" s="1">
        <v>42186</v>
      </c>
      <c r="CG1222" s="1">
        <v>42186</v>
      </c>
      <c r="CH1222" s="1">
        <v>49348</v>
      </c>
      <c r="CI1222" t="s">
        <v>51</v>
      </c>
      <c r="CK1222" t="s">
        <v>78</v>
      </c>
      <c r="CM1222" t="s">
        <v>54</v>
      </c>
      <c r="CN1222" t="s">
        <v>174</v>
      </c>
      <c r="CO1222" t="s">
        <v>86</v>
      </c>
      <c r="CR1222">
        <v>24</v>
      </c>
      <c r="CS1222">
        <v>0</v>
      </c>
      <c r="CT1222">
        <v>0</v>
      </c>
      <c r="CU1222">
        <v>0</v>
      </c>
    </row>
    <row r="1223" spans="1:99" x14ac:dyDescent="0.2">
      <c r="A1223" t="s">
        <v>180</v>
      </c>
      <c r="B1223" t="s">
        <v>181</v>
      </c>
      <c r="C1223" t="s">
        <v>184</v>
      </c>
      <c r="D1223" t="s">
        <v>677</v>
      </c>
      <c r="F1223" t="str">
        <f>"250885"</f>
        <v>250885</v>
      </c>
      <c r="G1223" t="s">
        <v>49</v>
      </c>
      <c r="K1223" t="s">
        <v>51</v>
      </c>
      <c r="L1223" t="s">
        <v>52</v>
      </c>
      <c r="M1223">
        <v>136261.38</v>
      </c>
      <c r="N1223">
        <v>472226.52</v>
      </c>
      <c r="O1223" t="s">
        <v>53</v>
      </c>
      <c r="P1223" t="s">
        <v>54</v>
      </c>
      <c r="Q1223" t="s">
        <v>55</v>
      </c>
      <c r="T1223" t="s">
        <v>469</v>
      </c>
      <c r="U1223">
        <v>40</v>
      </c>
      <c r="V1223" s="1">
        <v>42186</v>
      </c>
      <c r="W1223" s="1">
        <v>42186</v>
      </c>
      <c r="X1223" s="1">
        <v>42186</v>
      </c>
      <c r="Y1223" s="1">
        <v>56796</v>
      </c>
      <c r="Z1223" t="s">
        <v>51</v>
      </c>
      <c r="AB1223" t="s">
        <v>54</v>
      </c>
      <c r="AC1223">
        <v>1</v>
      </c>
      <c r="AE1223" t="s">
        <v>79</v>
      </c>
      <c r="AF1223">
        <v>20</v>
      </c>
      <c r="AG1223" s="1">
        <v>42186</v>
      </c>
      <c r="AH1223" s="1">
        <v>42186</v>
      </c>
      <c r="AI1223" s="1">
        <v>42186</v>
      </c>
      <c r="AJ1223" s="1">
        <v>49491</v>
      </c>
      <c r="AK1223" t="s">
        <v>51</v>
      </c>
      <c r="AN1223">
        <v>0</v>
      </c>
      <c r="AO1223" t="s">
        <v>54</v>
      </c>
      <c r="AP1223" t="s">
        <v>53</v>
      </c>
      <c r="AQ1223">
        <v>0</v>
      </c>
      <c r="AR1223" t="s">
        <v>145</v>
      </c>
      <c r="AS1223">
        <v>0</v>
      </c>
      <c r="AT1223">
        <v>0</v>
      </c>
      <c r="CC1223" t="s">
        <v>432</v>
      </c>
      <c r="CD1223">
        <v>85000</v>
      </c>
      <c r="CE1223" s="1">
        <v>42186</v>
      </c>
      <c r="CF1223" s="1">
        <v>42186</v>
      </c>
      <c r="CG1223" s="1">
        <v>42186</v>
      </c>
      <c r="CH1223" s="1">
        <v>49348</v>
      </c>
      <c r="CI1223" t="s">
        <v>51</v>
      </c>
      <c r="CK1223" t="s">
        <v>78</v>
      </c>
      <c r="CM1223" t="s">
        <v>54</v>
      </c>
      <c r="CN1223" t="s">
        <v>174</v>
      </c>
      <c r="CO1223" t="s">
        <v>86</v>
      </c>
      <c r="CR1223">
        <v>24</v>
      </c>
      <c r="CS1223">
        <v>0</v>
      </c>
      <c r="CT1223">
        <v>0</v>
      </c>
      <c r="CU1223">
        <v>0</v>
      </c>
    </row>
    <row r="1224" spans="1:99" x14ac:dyDescent="0.2">
      <c r="A1224" t="s">
        <v>180</v>
      </c>
      <c r="B1224" t="s">
        <v>181</v>
      </c>
      <c r="C1224" t="s">
        <v>184</v>
      </c>
      <c r="D1224" t="s">
        <v>677</v>
      </c>
      <c r="F1224" t="str">
        <f>"250886"</f>
        <v>250886</v>
      </c>
      <c r="G1224" t="s">
        <v>49</v>
      </c>
      <c r="K1224" t="s">
        <v>51</v>
      </c>
      <c r="L1224" t="s">
        <v>52</v>
      </c>
      <c r="M1224">
        <v>136249.57999999999</v>
      </c>
      <c r="N1224">
        <v>472229.71</v>
      </c>
      <c r="O1224" t="s">
        <v>53</v>
      </c>
      <c r="P1224" t="s">
        <v>54</v>
      </c>
      <c r="Q1224" t="s">
        <v>55</v>
      </c>
      <c r="T1224" t="s">
        <v>241</v>
      </c>
      <c r="U1224">
        <v>40</v>
      </c>
      <c r="V1224" s="1">
        <v>42186</v>
      </c>
      <c r="W1224" s="1">
        <v>42186</v>
      </c>
      <c r="X1224" s="1">
        <v>42186</v>
      </c>
      <c r="Y1224" s="1">
        <v>56796</v>
      </c>
      <c r="Z1224" t="s">
        <v>51</v>
      </c>
      <c r="AB1224" t="s">
        <v>54</v>
      </c>
      <c r="AC1224">
        <v>1</v>
      </c>
      <c r="AE1224" t="s">
        <v>79</v>
      </c>
      <c r="AF1224">
        <v>20</v>
      </c>
      <c r="AG1224" s="1">
        <v>42186</v>
      </c>
      <c r="AH1224" s="1">
        <v>42186</v>
      </c>
      <c r="AI1224" s="1">
        <v>42186</v>
      </c>
      <c r="AJ1224" s="1">
        <v>49491</v>
      </c>
      <c r="AK1224" t="s">
        <v>51</v>
      </c>
      <c r="AN1224">
        <v>0</v>
      </c>
      <c r="AO1224" t="s">
        <v>54</v>
      </c>
      <c r="AP1224" t="s">
        <v>53</v>
      </c>
      <c r="AQ1224">
        <v>0</v>
      </c>
      <c r="AR1224" t="s">
        <v>145</v>
      </c>
      <c r="AS1224">
        <v>0</v>
      </c>
      <c r="AT1224">
        <v>0</v>
      </c>
      <c r="CC1224" t="s">
        <v>432</v>
      </c>
      <c r="CD1224">
        <v>85000</v>
      </c>
      <c r="CE1224" s="1">
        <v>42186</v>
      </c>
      <c r="CF1224" s="1">
        <v>42186</v>
      </c>
      <c r="CG1224" s="1">
        <v>42186</v>
      </c>
      <c r="CH1224" s="1">
        <v>49348</v>
      </c>
      <c r="CI1224" t="s">
        <v>51</v>
      </c>
      <c r="CK1224" t="s">
        <v>78</v>
      </c>
      <c r="CM1224" t="s">
        <v>54</v>
      </c>
      <c r="CN1224" t="s">
        <v>174</v>
      </c>
      <c r="CO1224" t="s">
        <v>86</v>
      </c>
      <c r="CR1224">
        <v>24</v>
      </c>
      <c r="CS1224">
        <v>0</v>
      </c>
      <c r="CT1224">
        <v>0</v>
      </c>
      <c r="CU1224">
        <v>0</v>
      </c>
    </row>
    <row r="1225" spans="1:99" x14ac:dyDescent="0.2">
      <c r="A1225" t="s">
        <v>180</v>
      </c>
      <c r="B1225" t="s">
        <v>181</v>
      </c>
      <c r="C1225" t="s">
        <v>184</v>
      </c>
      <c r="D1225" t="s">
        <v>677</v>
      </c>
      <c r="F1225" t="str">
        <f>"250887"</f>
        <v>250887</v>
      </c>
      <c r="G1225" t="s">
        <v>49</v>
      </c>
      <c r="K1225" t="s">
        <v>51</v>
      </c>
      <c r="L1225" t="s">
        <v>52</v>
      </c>
      <c r="M1225">
        <v>136242.62</v>
      </c>
      <c r="N1225">
        <v>472245.55</v>
      </c>
      <c r="O1225" t="s">
        <v>53</v>
      </c>
      <c r="P1225" t="s">
        <v>54</v>
      </c>
      <c r="Q1225" t="s">
        <v>55</v>
      </c>
      <c r="T1225" t="s">
        <v>469</v>
      </c>
      <c r="U1225">
        <v>40</v>
      </c>
      <c r="V1225" s="1">
        <v>42186</v>
      </c>
      <c r="W1225" s="1">
        <v>42186</v>
      </c>
      <c r="X1225" s="1">
        <v>42186</v>
      </c>
      <c r="Y1225" s="1">
        <v>56796</v>
      </c>
      <c r="Z1225" t="s">
        <v>51</v>
      </c>
      <c r="AB1225" t="s">
        <v>54</v>
      </c>
      <c r="AC1225">
        <v>1</v>
      </c>
      <c r="AE1225" t="s">
        <v>79</v>
      </c>
      <c r="AF1225">
        <v>20</v>
      </c>
      <c r="AG1225" s="1">
        <v>42186</v>
      </c>
      <c r="AH1225" s="1">
        <v>42186</v>
      </c>
      <c r="AI1225" s="1">
        <v>42186</v>
      </c>
      <c r="AJ1225" s="1">
        <v>49491</v>
      </c>
      <c r="AK1225" t="s">
        <v>51</v>
      </c>
      <c r="AN1225">
        <v>0</v>
      </c>
      <c r="AO1225" t="s">
        <v>54</v>
      </c>
      <c r="AP1225" t="s">
        <v>53</v>
      </c>
      <c r="AQ1225">
        <v>0</v>
      </c>
      <c r="AR1225" t="s">
        <v>145</v>
      </c>
      <c r="AS1225">
        <v>0</v>
      </c>
      <c r="AT1225">
        <v>0</v>
      </c>
      <c r="CC1225" t="s">
        <v>432</v>
      </c>
      <c r="CD1225">
        <v>85000</v>
      </c>
      <c r="CE1225" s="1">
        <v>42186</v>
      </c>
      <c r="CF1225" s="1">
        <v>42186</v>
      </c>
      <c r="CG1225" s="1">
        <v>42186</v>
      </c>
      <c r="CH1225" s="1">
        <v>49348</v>
      </c>
      <c r="CI1225" t="s">
        <v>51</v>
      </c>
      <c r="CK1225" t="s">
        <v>78</v>
      </c>
      <c r="CM1225" t="s">
        <v>54</v>
      </c>
      <c r="CN1225" t="s">
        <v>174</v>
      </c>
      <c r="CO1225" t="s">
        <v>86</v>
      </c>
      <c r="CR1225">
        <v>24</v>
      </c>
      <c r="CS1225">
        <v>0</v>
      </c>
      <c r="CT1225">
        <v>0</v>
      </c>
      <c r="CU1225">
        <v>0</v>
      </c>
    </row>
    <row r="1226" spans="1:99" x14ac:dyDescent="0.2">
      <c r="A1226" t="s">
        <v>180</v>
      </c>
      <c r="B1226" t="s">
        <v>181</v>
      </c>
      <c r="C1226" t="s">
        <v>184</v>
      </c>
      <c r="D1226" t="s">
        <v>677</v>
      </c>
      <c r="F1226" t="str">
        <f>"250888"</f>
        <v>250888</v>
      </c>
      <c r="G1226" t="s">
        <v>49</v>
      </c>
      <c r="K1226" t="s">
        <v>51</v>
      </c>
      <c r="L1226" t="s">
        <v>52</v>
      </c>
      <c r="M1226">
        <v>136235.88</v>
      </c>
      <c r="N1226">
        <v>472253.19</v>
      </c>
      <c r="O1226" t="s">
        <v>53</v>
      </c>
      <c r="P1226" t="s">
        <v>54</v>
      </c>
      <c r="Q1226" t="s">
        <v>55</v>
      </c>
      <c r="T1226" t="s">
        <v>241</v>
      </c>
      <c r="U1226">
        <v>40</v>
      </c>
      <c r="V1226" s="1">
        <v>42186</v>
      </c>
      <c r="W1226" s="1">
        <v>42186</v>
      </c>
      <c r="X1226" s="1">
        <v>42186</v>
      </c>
      <c r="Y1226" s="1">
        <v>56796</v>
      </c>
      <c r="Z1226" t="s">
        <v>51</v>
      </c>
      <c r="AB1226" t="s">
        <v>54</v>
      </c>
      <c r="AC1226">
        <v>1</v>
      </c>
      <c r="AE1226" t="s">
        <v>79</v>
      </c>
      <c r="AF1226">
        <v>20</v>
      </c>
      <c r="AG1226" s="1">
        <v>42186</v>
      </c>
      <c r="AH1226" s="1">
        <v>42186</v>
      </c>
      <c r="AI1226" s="1">
        <v>42186</v>
      </c>
      <c r="AJ1226" s="1">
        <v>49491</v>
      </c>
      <c r="AK1226" t="s">
        <v>51</v>
      </c>
      <c r="AN1226">
        <v>0</v>
      </c>
      <c r="AO1226" t="s">
        <v>54</v>
      </c>
      <c r="AP1226" t="s">
        <v>53</v>
      </c>
      <c r="AQ1226">
        <v>0</v>
      </c>
      <c r="AR1226" t="s">
        <v>145</v>
      </c>
      <c r="AS1226">
        <v>0</v>
      </c>
      <c r="AT1226">
        <v>0</v>
      </c>
      <c r="CC1226" t="s">
        <v>432</v>
      </c>
      <c r="CD1226">
        <v>85000</v>
      </c>
      <c r="CE1226" s="1">
        <v>42186</v>
      </c>
      <c r="CF1226" s="1">
        <v>42186</v>
      </c>
      <c r="CG1226" s="1">
        <v>42186</v>
      </c>
      <c r="CH1226" s="1">
        <v>49348</v>
      </c>
      <c r="CI1226" t="s">
        <v>51</v>
      </c>
      <c r="CK1226" t="s">
        <v>78</v>
      </c>
      <c r="CM1226" t="s">
        <v>54</v>
      </c>
      <c r="CN1226" t="s">
        <v>174</v>
      </c>
      <c r="CO1226" t="s">
        <v>86</v>
      </c>
      <c r="CR1226">
        <v>24</v>
      </c>
      <c r="CS1226">
        <v>0</v>
      </c>
      <c r="CT1226">
        <v>0</v>
      </c>
      <c r="CU1226">
        <v>0</v>
      </c>
    </row>
    <row r="1227" spans="1:99" x14ac:dyDescent="0.2">
      <c r="A1227" t="s">
        <v>180</v>
      </c>
      <c r="B1227" t="s">
        <v>181</v>
      </c>
      <c r="C1227" t="s">
        <v>184</v>
      </c>
      <c r="D1227" t="s">
        <v>677</v>
      </c>
      <c r="F1227" t="str">
        <f>"250889"</f>
        <v>250889</v>
      </c>
      <c r="G1227" t="s">
        <v>49</v>
      </c>
      <c r="K1227" t="s">
        <v>51</v>
      </c>
      <c r="L1227" t="s">
        <v>52</v>
      </c>
      <c r="M1227">
        <v>136218.60999999999</v>
      </c>
      <c r="N1227">
        <v>472248.04</v>
      </c>
      <c r="O1227" t="s">
        <v>53</v>
      </c>
      <c r="P1227" t="s">
        <v>54</v>
      </c>
      <c r="Q1227" t="s">
        <v>55</v>
      </c>
      <c r="T1227" t="s">
        <v>469</v>
      </c>
      <c r="U1227">
        <v>40</v>
      </c>
      <c r="V1227" s="1">
        <v>42186</v>
      </c>
      <c r="W1227" s="1">
        <v>42186</v>
      </c>
      <c r="X1227" s="1">
        <v>42186</v>
      </c>
      <c r="Y1227" s="1">
        <v>56796</v>
      </c>
      <c r="Z1227" t="s">
        <v>51</v>
      </c>
      <c r="AB1227" t="s">
        <v>54</v>
      </c>
      <c r="AC1227">
        <v>1</v>
      </c>
      <c r="AE1227" t="s">
        <v>79</v>
      </c>
      <c r="AF1227">
        <v>20</v>
      </c>
      <c r="AG1227" s="1">
        <v>42186</v>
      </c>
      <c r="AH1227" s="1">
        <v>42186</v>
      </c>
      <c r="AI1227" s="1">
        <v>42186</v>
      </c>
      <c r="AJ1227" s="1">
        <v>49491</v>
      </c>
      <c r="AK1227" t="s">
        <v>51</v>
      </c>
      <c r="AN1227">
        <v>0</v>
      </c>
      <c r="AO1227" t="s">
        <v>54</v>
      </c>
      <c r="AP1227" t="s">
        <v>53</v>
      </c>
      <c r="AQ1227">
        <v>0</v>
      </c>
      <c r="AR1227" t="s">
        <v>145</v>
      </c>
      <c r="AS1227">
        <v>0</v>
      </c>
      <c r="AT1227">
        <v>0</v>
      </c>
      <c r="CC1227" t="s">
        <v>436</v>
      </c>
      <c r="CD1227">
        <v>85000</v>
      </c>
      <c r="CE1227" s="1">
        <v>42186</v>
      </c>
      <c r="CF1227" s="1">
        <v>42186</v>
      </c>
      <c r="CG1227" s="1">
        <v>42186</v>
      </c>
      <c r="CH1227" s="1">
        <v>49348</v>
      </c>
      <c r="CI1227" t="s">
        <v>51</v>
      </c>
      <c r="CK1227" t="s">
        <v>78</v>
      </c>
      <c r="CM1227" t="s">
        <v>54</v>
      </c>
      <c r="CN1227" t="s">
        <v>174</v>
      </c>
      <c r="CO1227" t="s">
        <v>86</v>
      </c>
      <c r="CR1227">
        <v>55</v>
      </c>
      <c r="CS1227">
        <v>0</v>
      </c>
      <c r="CT1227">
        <v>0</v>
      </c>
      <c r="CU1227">
        <v>0</v>
      </c>
    </row>
    <row r="1228" spans="1:99" x14ac:dyDescent="0.2">
      <c r="A1228" t="s">
        <v>180</v>
      </c>
      <c r="B1228" t="s">
        <v>181</v>
      </c>
      <c r="C1228" t="s">
        <v>184</v>
      </c>
      <c r="D1228" t="s">
        <v>677</v>
      </c>
      <c r="F1228" t="str">
        <f>"250890"</f>
        <v>250890</v>
      </c>
      <c r="G1228" t="s">
        <v>49</v>
      </c>
      <c r="K1228" t="s">
        <v>51</v>
      </c>
      <c r="L1228" t="s">
        <v>52</v>
      </c>
      <c r="M1228">
        <v>136205.46</v>
      </c>
      <c r="N1228">
        <v>472249.38</v>
      </c>
      <c r="O1228" t="s">
        <v>53</v>
      </c>
      <c r="P1228" t="s">
        <v>54</v>
      </c>
      <c r="Q1228" t="s">
        <v>55</v>
      </c>
      <c r="T1228" t="s">
        <v>241</v>
      </c>
      <c r="U1228">
        <v>40</v>
      </c>
      <c r="V1228" s="1">
        <v>42186</v>
      </c>
      <c r="W1228" s="1">
        <v>42186</v>
      </c>
      <c r="X1228" s="1">
        <v>42186</v>
      </c>
      <c r="Y1228" s="1">
        <v>56796</v>
      </c>
      <c r="Z1228" t="s">
        <v>51</v>
      </c>
      <c r="AB1228" t="s">
        <v>54</v>
      </c>
      <c r="AC1228">
        <v>1</v>
      </c>
      <c r="AE1228" t="s">
        <v>79</v>
      </c>
      <c r="AF1228">
        <v>20</v>
      </c>
      <c r="AG1228" s="1">
        <v>42186</v>
      </c>
      <c r="AH1228" s="1">
        <v>42186</v>
      </c>
      <c r="AI1228" s="1">
        <v>42186</v>
      </c>
      <c r="AJ1228" s="1">
        <v>49491</v>
      </c>
      <c r="AK1228" t="s">
        <v>51</v>
      </c>
      <c r="AN1228">
        <v>0</v>
      </c>
      <c r="AO1228" t="s">
        <v>54</v>
      </c>
      <c r="AP1228" t="s">
        <v>53</v>
      </c>
      <c r="AQ1228">
        <v>0</v>
      </c>
      <c r="AR1228" t="s">
        <v>145</v>
      </c>
      <c r="AS1228">
        <v>0</v>
      </c>
      <c r="AT1228">
        <v>0</v>
      </c>
      <c r="CC1228" t="s">
        <v>432</v>
      </c>
      <c r="CD1228">
        <v>85000</v>
      </c>
      <c r="CE1228" s="1">
        <v>42186</v>
      </c>
      <c r="CF1228" s="1">
        <v>42186</v>
      </c>
      <c r="CG1228" s="1">
        <v>42186</v>
      </c>
      <c r="CH1228" s="1">
        <v>49348</v>
      </c>
      <c r="CI1228" t="s">
        <v>51</v>
      </c>
      <c r="CK1228" t="s">
        <v>78</v>
      </c>
      <c r="CM1228" t="s">
        <v>54</v>
      </c>
      <c r="CN1228" t="s">
        <v>174</v>
      </c>
      <c r="CO1228" t="s">
        <v>86</v>
      </c>
      <c r="CR1228">
        <v>24</v>
      </c>
      <c r="CS1228">
        <v>0</v>
      </c>
      <c r="CT1228">
        <v>0</v>
      </c>
      <c r="CU1228">
        <v>0</v>
      </c>
    </row>
    <row r="1229" spans="1:99" x14ac:dyDescent="0.2">
      <c r="A1229" t="s">
        <v>180</v>
      </c>
      <c r="B1229" t="s">
        <v>181</v>
      </c>
      <c r="C1229" t="s">
        <v>184</v>
      </c>
      <c r="D1229" t="s">
        <v>677</v>
      </c>
      <c r="F1229" t="str">
        <f>"250891"</f>
        <v>250891</v>
      </c>
      <c r="G1229" t="s">
        <v>49</v>
      </c>
      <c r="K1229" t="s">
        <v>51</v>
      </c>
      <c r="L1229" t="s">
        <v>52</v>
      </c>
      <c r="M1229">
        <v>136192.97</v>
      </c>
      <c r="N1229">
        <v>472270.12</v>
      </c>
      <c r="O1229" t="s">
        <v>53</v>
      </c>
      <c r="P1229" t="s">
        <v>54</v>
      </c>
      <c r="Q1229" t="s">
        <v>55</v>
      </c>
      <c r="T1229" t="s">
        <v>469</v>
      </c>
      <c r="U1229">
        <v>40</v>
      </c>
      <c r="V1229" s="1">
        <v>42186</v>
      </c>
      <c r="W1229" s="1">
        <v>42186</v>
      </c>
      <c r="X1229" s="1">
        <v>42186</v>
      </c>
      <c r="Y1229" s="1">
        <v>56796</v>
      </c>
      <c r="Z1229" t="s">
        <v>51</v>
      </c>
      <c r="AB1229" t="s">
        <v>54</v>
      </c>
      <c r="AC1229">
        <v>1</v>
      </c>
      <c r="AE1229" t="s">
        <v>79</v>
      </c>
      <c r="AF1229">
        <v>20</v>
      </c>
      <c r="AG1229" s="1">
        <v>42186</v>
      </c>
      <c r="AH1229" s="1">
        <v>42186</v>
      </c>
      <c r="AI1229" s="1">
        <v>42186</v>
      </c>
      <c r="AJ1229" s="1">
        <v>49491</v>
      </c>
      <c r="AK1229" t="s">
        <v>51</v>
      </c>
      <c r="AN1229">
        <v>0</v>
      </c>
      <c r="AO1229" t="s">
        <v>54</v>
      </c>
      <c r="AP1229" t="s">
        <v>53</v>
      </c>
      <c r="AQ1229">
        <v>0</v>
      </c>
      <c r="AR1229" t="s">
        <v>145</v>
      </c>
      <c r="AS1229">
        <v>0</v>
      </c>
      <c r="AT1229">
        <v>0</v>
      </c>
      <c r="CC1229" t="s">
        <v>432</v>
      </c>
      <c r="CD1229">
        <v>85000</v>
      </c>
      <c r="CE1229" s="1">
        <v>42186</v>
      </c>
      <c r="CF1229" s="1">
        <v>42186</v>
      </c>
      <c r="CG1229" s="1">
        <v>42186</v>
      </c>
      <c r="CH1229" s="1">
        <v>49348</v>
      </c>
      <c r="CI1229" t="s">
        <v>51</v>
      </c>
      <c r="CK1229" t="s">
        <v>78</v>
      </c>
      <c r="CM1229" t="s">
        <v>54</v>
      </c>
      <c r="CN1229" t="s">
        <v>174</v>
      </c>
      <c r="CO1229" t="s">
        <v>86</v>
      </c>
      <c r="CR1229">
        <v>24</v>
      </c>
      <c r="CS1229">
        <v>0</v>
      </c>
      <c r="CT1229">
        <v>0</v>
      </c>
      <c r="CU1229">
        <v>0</v>
      </c>
    </row>
    <row r="1230" spans="1:99" x14ac:dyDescent="0.2">
      <c r="A1230" t="s">
        <v>180</v>
      </c>
      <c r="B1230" t="s">
        <v>181</v>
      </c>
      <c r="C1230" t="s">
        <v>184</v>
      </c>
      <c r="D1230" t="s">
        <v>677</v>
      </c>
      <c r="F1230" t="str">
        <f>"250892"</f>
        <v>250892</v>
      </c>
      <c r="G1230" t="s">
        <v>49</v>
      </c>
      <c r="K1230" t="s">
        <v>51</v>
      </c>
      <c r="L1230" t="s">
        <v>52</v>
      </c>
      <c r="M1230">
        <v>136183.06</v>
      </c>
      <c r="N1230">
        <v>472279.8</v>
      </c>
      <c r="O1230" t="s">
        <v>53</v>
      </c>
      <c r="P1230" t="s">
        <v>54</v>
      </c>
      <c r="Q1230" t="s">
        <v>55</v>
      </c>
      <c r="T1230" t="s">
        <v>241</v>
      </c>
      <c r="U1230">
        <v>40</v>
      </c>
      <c r="V1230" s="1">
        <v>42186</v>
      </c>
      <c r="W1230" s="1">
        <v>42186</v>
      </c>
      <c r="X1230" s="1">
        <v>42186</v>
      </c>
      <c r="Y1230" s="1">
        <v>56796</v>
      </c>
      <c r="Z1230" t="s">
        <v>51</v>
      </c>
      <c r="AB1230" t="s">
        <v>54</v>
      </c>
      <c r="AC1230">
        <v>1</v>
      </c>
      <c r="AE1230" t="s">
        <v>79</v>
      </c>
      <c r="AF1230">
        <v>20</v>
      </c>
      <c r="AG1230" s="1">
        <v>42186</v>
      </c>
      <c r="AH1230" s="1">
        <v>42186</v>
      </c>
      <c r="AI1230" s="1">
        <v>42186</v>
      </c>
      <c r="AJ1230" s="1">
        <v>49491</v>
      </c>
      <c r="AK1230" t="s">
        <v>51</v>
      </c>
      <c r="AN1230">
        <v>0</v>
      </c>
      <c r="AO1230" t="s">
        <v>54</v>
      </c>
      <c r="AP1230" t="s">
        <v>53</v>
      </c>
      <c r="AQ1230">
        <v>0</v>
      </c>
      <c r="AR1230" t="s">
        <v>145</v>
      </c>
      <c r="AS1230">
        <v>0</v>
      </c>
      <c r="AT1230">
        <v>0</v>
      </c>
      <c r="CC1230" t="s">
        <v>560</v>
      </c>
      <c r="CD1230">
        <v>85000</v>
      </c>
      <c r="CE1230" s="1">
        <v>42186</v>
      </c>
      <c r="CF1230" s="1">
        <v>42186</v>
      </c>
      <c r="CG1230" s="1">
        <v>42186</v>
      </c>
      <c r="CH1230" s="1">
        <v>49348</v>
      </c>
      <c r="CI1230" t="s">
        <v>51</v>
      </c>
      <c r="CK1230" t="s">
        <v>78</v>
      </c>
      <c r="CM1230" t="s">
        <v>54</v>
      </c>
      <c r="CN1230" t="s">
        <v>174</v>
      </c>
      <c r="CO1230" t="s">
        <v>86</v>
      </c>
      <c r="CR1230">
        <v>36</v>
      </c>
      <c r="CS1230">
        <v>0</v>
      </c>
      <c r="CT1230">
        <v>0</v>
      </c>
      <c r="CU1230">
        <v>0</v>
      </c>
    </row>
    <row r="1231" spans="1:99" x14ac:dyDescent="0.2">
      <c r="A1231" t="s">
        <v>180</v>
      </c>
      <c r="B1231" t="s">
        <v>181</v>
      </c>
      <c r="C1231" t="s">
        <v>184</v>
      </c>
      <c r="D1231" t="s">
        <v>677</v>
      </c>
      <c r="F1231" t="str">
        <f>"250893"</f>
        <v>250893</v>
      </c>
      <c r="G1231" t="s">
        <v>49</v>
      </c>
      <c r="K1231" t="s">
        <v>51</v>
      </c>
      <c r="L1231" t="s">
        <v>52</v>
      </c>
      <c r="M1231">
        <v>136164.18</v>
      </c>
      <c r="N1231">
        <v>472273.09</v>
      </c>
      <c r="O1231" t="s">
        <v>53</v>
      </c>
      <c r="P1231" t="s">
        <v>54</v>
      </c>
      <c r="Q1231" t="s">
        <v>55</v>
      </c>
      <c r="T1231" t="s">
        <v>469</v>
      </c>
      <c r="U1231">
        <v>40</v>
      </c>
      <c r="V1231" s="1">
        <v>42186</v>
      </c>
      <c r="W1231" s="1">
        <v>42186</v>
      </c>
      <c r="X1231" s="1">
        <v>42186</v>
      </c>
      <c r="Y1231" s="1">
        <v>56796</v>
      </c>
      <c r="Z1231" t="s">
        <v>51</v>
      </c>
      <c r="AB1231" t="s">
        <v>54</v>
      </c>
      <c r="AC1231">
        <v>1</v>
      </c>
      <c r="AE1231" t="s">
        <v>79</v>
      </c>
      <c r="AF1231">
        <v>20</v>
      </c>
      <c r="AG1231" s="1">
        <v>42186</v>
      </c>
      <c r="AH1231" s="1">
        <v>42186</v>
      </c>
      <c r="AI1231" s="1">
        <v>42186</v>
      </c>
      <c r="AJ1231" s="1">
        <v>49491</v>
      </c>
      <c r="AK1231" t="s">
        <v>51</v>
      </c>
      <c r="AN1231">
        <v>0</v>
      </c>
      <c r="AO1231" t="s">
        <v>54</v>
      </c>
      <c r="AP1231" t="s">
        <v>53</v>
      </c>
      <c r="AQ1231">
        <v>0</v>
      </c>
      <c r="AR1231" t="s">
        <v>145</v>
      </c>
      <c r="AS1231">
        <v>0</v>
      </c>
      <c r="AT1231">
        <v>0</v>
      </c>
      <c r="CC1231" t="s">
        <v>432</v>
      </c>
      <c r="CD1231">
        <v>85000</v>
      </c>
      <c r="CE1231" s="1">
        <v>43110</v>
      </c>
      <c r="CF1231" s="1">
        <v>43110</v>
      </c>
      <c r="CG1231" s="1">
        <v>43110</v>
      </c>
      <c r="CH1231" s="1">
        <v>50325</v>
      </c>
      <c r="CI1231" t="s">
        <v>51</v>
      </c>
      <c r="CK1231" t="s">
        <v>78</v>
      </c>
      <c r="CM1231" t="s">
        <v>54</v>
      </c>
      <c r="CN1231" t="s">
        <v>174</v>
      </c>
      <c r="CO1231" t="s">
        <v>86</v>
      </c>
      <c r="CR1231">
        <v>24</v>
      </c>
      <c r="CS1231">
        <v>0</v>
      </c>
      <c r="CT1231">
        <v>0</v>
      </c>
      <c r="CU1231">
        <v>0</v>
      </c>
    </row>
    <row r="1232" spans="1:99" x14ac:dyDescent="0.2">
      <c r="A1232" t="s">
        <v>180</v>
      </c>
      <c r="B1232" t="s">
        <v>181</v>
      </c>
      <c r="C1232" t="s">
        <v>184</v>
      </c>
      <c r="D1232" t="s">
        <v>677</v>
      </c>
      <c r="F1232" t="str">
        <f>"250894"</f>
        <v>250894</v>
      </c>
      <c r="G1232" t="s">
        <v>49</v>
      </c>
      <c r="K1232" t="s">
        <v>51</v>
      </c>
      <c r="L1232" t="s">
        <v>52</v>
      </c>
      <c r="M1232">
        <v>136147.32</v>
      </c>
      <c r="N1232">
        <v>472279.03</v>
      </c>
      <c r="O1232" t="s">
        <v>53</v>
      </c>
      <c r="P1232" t="s">
        <v>54</v>
      </c>
      <c r="Q1232" t="s">
        <v>55</v>
      </c>
      <c r="T1232" t="s">
        <v>241</v>
      </c>
      <c r="U1232">
        <v>40</v>
      </c>
      <c r="V1232" s="1">
        <v>42186</v>
      </c>
      <c r="W1232" s="1">
        <v>42186</v>
      </c>
      <c r="X1232" s="1">
        <v>42186</v>
      </c>
      <c r="Y1232" s="1">
        <v>56796</v>
      </c>
      <c r="Z1232" t="s">
        <v>51</v>
      </c>
      <c r="AB1232" t="s">
        <v>54</v>
      </c>
      <c r="AC1232">
        <v>1</v>
      </c>
      <c r="AE1232" t="s">
        <v>79</v>
      </c>
      <c r="AF1232">
        <v>20</v>
      </c>
      <c r="AG1232" s="1">
        <v>42186</v>
      </c>
      <c r="AH1232" s="1">
        <v>42186</v>
      </c>
      <c r="AI1232" s="1">
        <v>42186</v>
      </c>
      <c r="AJ1232" s="1">
        <v>49491</v>
      </c>
      <c r="AK1232" t="s">
        <v>51</v>
      </c>
      <c r="AN1232">
        <v>0</v>
      </c>
      <c r="AO1232" t="s">
        <v>54</v>
      </c>
      <c r="AP1232" t="s">
        <v>53</v>
      </c>
      <c r="AQ1232">
        <v>0</v>
      </c>
      <c r="AR1232" t="s">
        <v>145</v>
      </c>
      <c r="AS1232">
        <v>0</v>
      </c>
      <c r="AT1232">
        <v>0</v>
      </c>
      <c r="CC1232" t="s">
        <v>560</v>
      </c>
      <c r="CD1232">
        <v>85000</v>
      </c>
      <c r="CE1232" s="1">
        <v>43110</v>
      </c>
      <c r="CF1232" s="1">
        <v>43110</v>
      </c>
      <c r="CG1232" s="1">
        <v>43110</v>
      </c>
      <c r="CH1232" s="1">
        <v>50325</v>
      </c>
      <c r="CI1232" t="s">
        <v>51</v>
      </c>
      <c r="CK1232" t="s">
        <v>78</v>
      </c>
      <c r="CM1232" t="s">
        <v>54</v>
      </c>
      <c r="CN1232" t="s">
        <v>174</v>
      </c>
      <c r="CO1232" t="s">
        <v>86</v>
      </c>
      <c r="CR1232">
        <v>36</v>
      </c>
      <c r="CS1232">
        <v>0</v>
      </c>
      <c r="CT1232">
        <v>0</v>
      </c>
      <c r="CU1232">
        <v>0</v>
      </c>
    </row>
    <row r="1233" spans="1:99" x14ac:dyDescent="0.2">
      <c r="A1233" t="s">
        <v>180</v>
      </c>
      <c r="B1233" t="s">
        <v>181</v>
      </c>
      <c r="C1233" t="s">
        <v>184</v>
      </c>
      <c r="D1233" t="s">
        <v>677</v>
      </c>
      <c r="F1233" t="str">
        <f>"250895"</f>
        <v>250895</v>
      </c>
      <c r="G1233" t="s">
        <v>49</v>
      </c>
      <c r="K1233" t="s">
        <v>51</v>
      </c>
      <c r="L1233" t="s">
        <v>52</v>
      </c>
      <c r="M1233">
        <v>136136.41</v>
      </c>
      <c r="N1233">
        <v>472299.16</v>
      </c>
      <c r="O1233" t="s">
        <v>53</v>
      </c>
      <c r="P1233" t="s">
        <v>54</v>
      </c>
      <c r="Q1233" t="s">
        <v>55</v>
      </c>
      <c r="T1233" t="s">
        <v>469</v>
      </c>
      <c r="U1233">
        <v>40</v>
      </c>
      <c r="V1233" s="1">
        <v>42186</v>
      </c>
      <c r="W1233" s="1">
        <v>42186</v>
      </c>
      <c r="X1233" s="1">
        <v>42186</v>
      </c>
      <c r="Y1233" s="1">
        <v>56796</v>
      </c>
      <c r="Z1233" t="s">
        <v>51</v>
      </c>
      <c r="AB1233" t="s">
        <v>54</v>
      </c>
      <c r="AC1233">
        <v>1</v>
      </c>
      <c r="AE1233" t="s">
        <v>79</v>
      </c>
      <c r="AF1233">
        <v>20</v>
      </c>
      <c r="AG1233" s="1">
        <v>42186</v>
      </c>
      <c r="AH1233" s="1">
        <v>42186</v>
      </c>
      <c r="AI1233" s="1">
        <v>42186</v>
      </c>
      <c r="AJ1233" s="1">
        <v>49491</v>
      </c>
      <c r="AK1233" t="s">
        <v>51</v>
      </c>
      <c r="AN1233">
        <v>0</v>
      </c>
      <c r="AO1233" t="s">
        <v>54</v>
      </c>
      <c r="AP1233" t="s">
        <v>53</v>
      </c>
      <c r="AQ1233">
        <v>0</v>
      </c>
      <c r="AR1233" t="s">
        <v>145</v>
      </c>
      <c r="AS1233">
        <v>0</v>
      </c>
      <c r="AT1233">
        <v>0</v>
      </c>
      <c r="CC1233" t="s">
        <v>432</v>
      </c>
      <c r="CD1233">
        <v>85000</v>
      </c>
      <c r="CE1233" s="1">
        <v>42186</v>
      </c>
      <c r="CF1233" s="1">
        <v>42186</v>
      </c>
      <c r="CG1233" s="1">
        <v>42186</v>
      </c>
      <c r="CH1233" s="1">
        <v>49348</v>
      </c>
      <c r="CI1233" t="s">
        <v>51</v>
      </c>
      <c r="CK1233" t="s">
        <v>78</v>
      </c>
      <c r="CM1233" t="s">
        <v>54</v>
      </c>
      <c r="CN1233" t="s">
        <v>174</v>
      </c>
      <c r="CO1233" t="s">
        <v>86</v>
      </c>
      <c r="CR1233">
        <v>24</v>
      </c>
      <c r="CS1233">
        <v>0</v>
      </c>
      <c r="CT1233">
        <v>0</v>
      </c>
      <c r="CU1233">
        <v>0</v>
      </c>
    </row>
    <row r="1234" spans="1:99" x14ac:dyDescent="0.2">
      <c r="A1234" t="s">
        <v>180</v>
      </c>
      <c r="B1234" t="s">
        <v>181</v>
      </c>
      <c r="C1234" t="s">
        <v>184</v>
      </c>
      <c r="D1234" t="s">
        <v>677</v>
      </c>
      <c r="F1234" t="str">
        <f>"250896"</f>
        <v>250896</v>
      </c>
      <c r="G1234" t="s">
        <v>49</v>
      </c>
      <c r="K1234" t="s">
        <v>51</v>
      </c>
      <c r="L1234" t="s">
        <v>52</v>
      </c>
      <c r="M1234">
        <v>136123.929</v>
      </c>
      <c r="N1234">
        <v>472309.163</v>
      </c>
      <c r="O1234" t="s">
        <v>53</v>
      </c>
      <c r="P1234" t="s">
        <v>54</v>
      </c>
      <c r="Q1234" t="s">
        <v>55</v>
      </c>
      <c r="T1234" t="s">
        <v>241</v>
      </c>
      <c r="U1234">
        <v>40</v>
      </c>
      <c r="V1234" s="1">
        <v>42186</v>
      </c>
      <c r="W1234" s="1">
        <v>42186</v>
      </c>
      <c r="X1234" s="1">
        <v>42186</v>
      </c>
      <c r="Y1234" s="1">
        <v>56796</v>
      </c>
      <c r="Z1234" t="s">
        <v>51</v>
      </c>
      <c r="AB1234" t="s">
        <v>54</v>
      </c>
      <c r="AC1234">
        <v>1</v>
      </c>
      <c r="AE1234" t="s">
        <v>79</v>
      </c>
      <c r="AF1234">
        <v>20</v>
      </c>
      <c r="AG1234" s="1">
        <v>42186</v>
      </c>
      <c r="AH1234" s="1">
        <v>42186</v>
      </c>
      <c r="AI1234" s="1">
        <v>42186</v>
      </c>
      <c r="AJ1234" s="1">
        <v>49491</v>
      </c>
      <c r="AK1234" t="s">
        <v>51</v>
      </c>
      <c r="AN1234">
        <v>0</v>
      </c>
      <c r="AO1234" t="s">
        <v>54</v>
      </c>
      <c r="AP1234" t="s">
        <v>53</v>
      </c>
      <c r="AQ1234">
        <v>0</v>
      </c>
      <c r="AR1234" t="s">
        <v>145</v>
      </c>
      <c r="AS1234">
        <v>0</v>
      </c>
      <c r="AT1234">
        <v>0</v>
      </c>
      <c r="CC1234" t="s">
        <v>560</v>
      </c>
      <c r="CD1234">
        <v>85000</v>
      </c>
      <c r="CE1234" s="1">
        <v>42186</v>
      </c>
      <c r="CF1234" s="1">
        <v>42186</v>
      </c>
      <c r="CG1234" s="1">
        <v>42186</v>
      </c>
      <c r="CH1234" s="1">
        <v>49348</v>
      </c>
      <c r="CI1234" t="s">
        <v>51</v>
      </c>
      <c r="CK1234" t="s">
        <v>78</v>
      </c>
      <c r="CM1234" t="s">
        <v>54</v>
      </c>
      <c r="CN1234" t="s">
        <v>174</v>
      </c>
      <c r="CO1234" t="s">
        <v>86</v>
      </c>
      <c r="CR1234">
        <v>36</v>
      </c>
      <c r="CS1234">
        <v>0</v>
      </c>
      <c r="CT1234">
        <v>0</v>
      </c>
      <c r="CU1234">
        <v>0</v>
      </c>
    </row>
    <row r="1235" spans="1:99" x14ac:dyDescent="0.2">
      <c r="A1235" t="s">
        <v>180</v>
      </c>
      <c r="B1235" t="s">
        <v>181</v>
      </c>
      <c r="C1235" t="s">
        <v>184</v>
      </c>
      <c r="D1235" t="s">
        <v>677</v>
      </c>
      <c r="F1235" t="str">
        <f>"250897"</f>
        <v>250897</v>
      </c>
      <c r="G1235" t="s">
        <v>49</v>
      </c>
      <c r="K1235" t="s">
        <v>51</v>
      </c>
      <c r="L1235" t="s">
        <v>52</v>
      </c>
      <c r="M1235">
        <v>136109.13</v>
      </c>
      <c r="N1235">
        <v>472301.5</v>
      </c>
      <c r="O1235" t="s">
        <v>53</v>
      </c>
      <c r="P1235" t="s">
        <v>54</v>
      </c>
      <c r="Q1235" t="s">
        <v>55</v>
      </c>
      <c r="T1235" t="s">
        <v>469</v>
      </c>
      <c r="U1235">
        <v>40</v>
      </c>
      <c r="V1235" s="1">
        <v>42186</v>
      </c>
      <c r="W1235" s="1">
        <v>42186</v>
      </c>
      <c r="X1235" s="1">
        <v>42186</v>
      </c>
      <c r="Y1235" s="1">
        <v>56796</v>
      </c>
      <c r="Z1235" t="s">
        <v>51</v>
      </c>
      <c r="AB1235" t="s">
        <v>54</v>
      </c>
      <c r="AC1235">
        <v>1</v>
      </c>
      <c r="AE1235" t="s">
        <v>79</v>
      </c>
      <c r="AF1235">
        <v>20</v>
      </c>
      <c r="AG1235" s="1">
        <v>42186</v>
      </c>
      <c r="AH1235" s="1">
        <v>42186</v>
      </c>
      <c r="AI1235" s="1">
        <v>42186</v>
      </c>
      <c r="AJ1235" s="1">
        <v>49491</v>
      </c>
      <c r="AK1235" t="s">
        <v>51</v>
      </c>
      <c r="AN1235">
        <v>0</v>
      </c>
      <c r="AO1235" t="s">
        <v>54</v>
      </c>
      <c r="AP1235" t="s">
        <v>53</v>
      </c>
      <c r="AQ1235">
        <v>0</v>
      </c>
      <c r="AR1235" t="s">
        <v>145</v>
      </c>
      <c r="AS1235">
        <v>0</v>
      </c>
      <c r="AT1235">
        <v>0</v>
      </c>
      <c r="CA1235">
        <v>1</v>
      </c>
      <c r="CC1235" t="s">
        <v>432</v>
      </c>
      <c r="CD1235">
        <v>85000</v>
      </c>
      <c r="CE1235" s="1">
        <v>43110</v>
      </c>
      <c r="CF1235" s="1">
        <v>43110</v>
      </c>
      <c r="CG1235" s="1">
        <v>43110</v>
      </c>
      <c r="CH1235" s="1">
        <v>50325</v>
      </c>
      <c r="CI1235" t="s">
        <v>51</v>
      </c>
      <c r="CK1235" t="s">
        <v>78</v>
      </c>
      <c r="CM1235" t="s">
        <v>54</v>
      </c>
      <c r="CN1235" t="s">
        <v>174</v>
      </c>
      <c r="CO1235" t="s">
        <v>86</v>
      </c>
      <c r="CR1235">
        <v>24</v>
      </c>
      <c r="CS1235">
        <v>0</v>
      </c>
      <c r="CT1235">
        <v>0</v>
      </c>
      <c r="CU1235">
        <v>0</v>
      </c>
    </row>
    <row r="1236" spans="1:99" x14ac:dyDescent="0.2">
      <c r="A1236" t="s">
        <v>180</v>
      </c>
      <c r="B1236" t="s">
        <v>181</v>
      </c>
      <c r="C1236" t="s">
        <v>184</v>
      </c>
      <c r="D1236" t="s">
        <v>677</v>
      </c>
      <c r="F1236" t="str">
        <f>"250898"</f>
        <v>250898</v>
      </c>
      <c r="G1236" t="s">
        <v>49</v>
      </c>
      <c r="K1236" t="s">
        <v>51</v>
      </c>
      <c r="L1236" t="s">
        <v>52</v>
      </c>
      <c r="M1236">
        <v>136088.12400000001</v>
      </c>
      <c r="N1236">
        <v>472308.88799999998</v>
      </c>
      <c r="O1236" t="s">
        <v>53</v>
      </c>
      <c r="P1236" t="s">
        <v>54</v>
      </c>
      <c r="Q1236" t="s">
        <v>55</v>
      </c>
      <c r="T1236" t="s">
        <v>241</v>
      </c>
      <c r="U1236">
        <v>40</v>
      </c>
      <c r="V1236" s="1">
        <v>42186</v>
      </c>
      <c r="W1236" s="1">
        <v>42186</v>
      </c>
      <c r="X1236" s="1">
        <v>42186</v>
      </c>
      <c r="Y1236" s="1">
        <v>56796</v>
      </c>
      <c r="Z1236" t="s">
        <v>51</v>
      </c>
      <c r="AB1236" t="s">
        <v>54</v>
      </c>
      <c r="AC1236">
        <v>1</v>
      </c>
      <c r="AE1236" t="s">
        <v>79</v>
      </c>
      <c r="AF1236">
        <v>20</v>
      </c>
      <c r="AG1236" s="1">
        <v>42186</v>
      </c>
      <c r="AH1236" s="1">
        <v>42186</v>
      </c>
      <c r="AI1236" s="1">
        <v>42186</v>
      </c>
      <c r="AJ1236" s="1">
        <v>49491</v>
      </c>
      <c r="AK1236" t="s">
        <v>51</v>
      </c>
      <c r="AN1236">
        <v>0</v>
      </c>
      <c r="AO1236" t="s">
        <v>54</v>
      </c>
      <c r="AP1236" t="s">
        <v>53</v>
      </c>
      <c r="AQ1236">
        <v>0</v>
      </c>
      <c r="AR1236" t="s">
        <v>145</v>
      </c>
      <c r="AS1236">
        <v>0</v>
      </c>
      <c r="AT1236">
        <v>0</v>
      </c>
      <c r="CC1236" t="s">
        <v>432</v>
      </c>
      <c r="CD1236">
        <v>85000</v>
      </c>
      <c r="CE1236" s="1">
        <v>43110</v>
      </c>
      <c r="CF1236" s="1">
        <v>43110</v>
      </c>
      <c r="CG1236" s="1">
        <v>43110</v>
      </c>
      <c r="CH1236" s="1">
        <v>50325</v>
      </c>
      <c r="CI1236" t="s">
        <v>51</v>
      </c>
      <c r="CK1236" t="s">
        <v>78</v>
      </c>
      <c r="CM1236" t="s">
        <v>54</v>
      </c>
      <c r="CN1236" t="s">
        <v>174</v>
      </c>
      <c r="CO1236" t="s">
        <v>86</v>
      </c>
      <c r="CR1236">
        <v>24</v>
      </c>
      <c r="CS1236">
        <v>0</v>
      </c>
      <c r="CT1236">
        <v>0</v>
      </c>
      <c r="CU1236">
        <v>0</v>
      </c>
    </row>
    <row r="1237" spans="1:99" x14ac:dyDescent="0.2">
      <c r="A1237" t="s">
        <v>180</v>
      </c>
      <c r="B1237" t="s">
        <v>181</v>
      </c>
      <c r="C1237" t="s">
        <v>184</v>
      </c>
      <c r="D1237" t="s">
        <v>677</v>
      </c>
      <c r="F1237" t="str">
        <f>"250899"</f>
        <v>250899</v>
      </c>
      <c r="G1237" t="s">
        <v>49</v>
      </c>
      <c r="K1237" t="s">
        <v>51</v>
      </c>
      <c r="L1237" t="s">
        <v>52</v>
      </c>
      <c r="M1237">
        <v>136078.22399999999</v>
      </c>
      <c r="N1237">
        <v>472327.81900000002</v>
      </c>
      <c r="O1237" t="s">
        <v>53</v>
      </c>
      <c r="P1237" t="s">
        <v>54</v>
      </c>
      <c r="Q1237" t="s">
        <v>55</v>
      </c>
      <c r="T1237" t="s">
        <v>469</v>
      </c>
      <c r="U1237">
        <v>40</v>
      </c>
      <c r="V1237" s="1">
        <v>42186</v>
      </c>
      <c r="W1237" s="1">
        <v>42186</v>
      </c>
      <c r="X1237" s="1">
        <v>42186</v>
      </c>
      <c r="Y1237" s="1">
        <v>56796</v>
      </c>
      <c r="Z1237" t="s">
        <v>51</v>
      </c>
      <c r="AB1237" t="s">
        <v>54</v>
      </c>
      <c r="AC1237">
        <v>1</v>
      </c>
      <c r="AE1237" t="s">
        <v>79</v>
      </c>
      <c r="AF1237">
        <v>20</v>
      </c>
      <c r="AG1237" s="1">
        <v>42186</v>
      </c>
      <c r="AH1237" s="1">
        <v>42186</v>
      </c>
      <c r="AI1237" s="1">
        <v>42186</v>
      </c>
      <c r="AJ1237" s="1">
        <v>49491</v>
      </c>
      <c r="AK1237" t="s">
        <v>51</v>
      </c>
      <c r="AN1237">
        <v>0</v>
      </c>
      <c r="AO1237" t="s">
        <v>54</v>
      </c>
      <c r="AP1237" t="s">
        <v>53</v>
      </c>
      <c r="AQ1237">
        <v>0</v>
      </c>
      <c r="AR1237" t="s">
        <v>145</v>
      </c>
      <c r="AS1237">
        <v>0</v>
      </c>
      <c r="AT1237">
        <v>0</v>
      </c>
      <c r="CC1237" t="s">
        <v>432</v>
      </c>
      <c r="CD1237">
        <v>85000</v>
      </c>
      <c r="CE1237" s="1">
        <v>42186</v>
      </c>
      <c r="CF1237" s="1">
        <v>42186</v>
      </c>
      <c r="CG1237" s="1">
        <v>42186</v>
      </c>
      <c r="CH1237" s="1">
        <v>49348</v>
      </c>
      <c r="CI1237" t="s">
        <v>51</v>
      </c>
      <c r="CK1237" t="s">
        <v>78</v>
      </c>
      <c r="CM1237" t="s">
        <v>54</v>
      </c>
      <c r="CN1237" t="s">
        <v>174</v>
      </c>
      <c r="CO1237" t="s">
        <v>86</v>
      </c>
      <c r="CR1237">
        <v>24</v>
      </c>
      <c r="CS1237">
        <v>0</v>
      </c>
      <c r="CT1237">
        <v>0</v>
      </c>
      <c r="CU1237">
        <v>0</v>
      </c>
    </row>
    <row r="1238" spans="1:99" x14ac:dyDescent="0.2">
      <c r="A1238" t="s">
        <v>180</v>
      </c>
      <c r="B1238" t="s">
        <v>181</v>
      </c>
      <c r="C1238" t="s">
        <v>184</v>
      </c>
      <c r="D1238" t="s">
        <v>677</v>
      </c>
      <c r="F1238" t="str">
        <f>"250900"</f>
        <v>250900</v>
      </c>
      <c r="G1238" t="s">
        <v>49</v>
      </c>
      <c r="K1238" t="s">
        <v>51</v>
      </c>
      <c r="L1238" t="s">
        <v>52</v>
      </c>
      <c r="M1238">
        <v>136064.71</v>
      </c>
      <c r="N1238">
        <v>472319.88</v>
      </c>
      <c r="O1238" t="s">
        <v>53</v>
      </c>
      <c r="P1238" t="s">
        <v>54</v>
      </c>
      <c r="Q1238" t="s">
        <v>55</v>
      </c>
      <c r="T1238" t="s">
        <v>241</v>
      </c>
      <c r="U1238">
        <v>40</v>
      </c>
      <c r="V1238" s="1">
        <v>33239</v>
      </c>
      <c r="W1238" s="1">
        <v>33239</v>
      </c>
      <c r="X1238" s="1">
        <v>33239</v>
      </c>
      <c r="Y1238" s="1">
        <v>47849</v>
      </c>
      <c r="Z1238" t="s">
        <v>51</v>
      </c>
      <c r="AB1238" t="s">
        <v>54</v>
      </c>
      <c r="AC1238">
        <v>1</v>
      </c>
      <c r="AE1238" t="s">
        <v>222</v>
      </c>
      <c r="AF1238">
        <v>20</v>
      </c>
      <c r="AG1238" s="1">
        <v>33239</v>
      </c>
      <c r="AH1238" s="1">
        <v>33239</v>
      </c>
      <c r="AI1238" s="1">
        <v>33239</v>
      </c>
      <c r="AJ1238" s="1">
        <v>40544</v>
      </c>
      <c r="AK1238" t="s">
        <v>51</v>
      </c>
      <c r="AN1238">
        <v>0</v>
      </c>
      <c r="AO1238" t="s">
        <v>54</v>
      </c>
      <c r="AP1238" t="s">
        <v>53</v>
      </c>
      <c r="AQ1238">
        <v>0</v>
      </c>
      <c r="AR1238" t="s">
        <v>53</v>
      </c>
      <c r="AS1238">
        <v>0</v>
      </c>
      <c r="AT1238">
        <v>0</v>
      </c>
      <c r="AW1238" t="s">
        <v>58</v>
      </c>
      <c r="AX1238">
        <v>20</v>
      </c>
      <c r="AY1238" s="1">
        <v>33239</v>
      </c>
      <c r="AZ1238" s="1">
        <v>33239</v>
      </c>
      <c r="BA1238" s="1">
        <v>33239</v>
      </c>
      <c r="BB1238" s="1">
        <v>40544</v>
      </c>
      <c r="BC1238" t="s">
        <v>51</v>
      </c>
      <c r="BE1238" t="s">
        <v>54</v>
      </c>
      <c r="BF1238">
        <v>2</v>
      </c>
      <c r="BG1238">
        <v>0</v>
      </c>
      <c r="BH1238" t="s">
        <v>53</v>
      </c>
      <c r="BK1238" t="s">
        <v>65</v>
      </c>
      <c r="BL1238">
        <v>14000</v>
      </c>
      <c r="BM1238" s="1">
        <v>42917</v>
      </c>
      <c r="BN1238" s="1">
        <v>42917</v>
      </c>
      <c r="BO1238" s="1">
        <v>42917</v>
      </c>
      <c r="BP1238" s="1">
        <v>44117</v>
      </c>
      <c r="BQ1238" t="s">
        <v>51</v>
      </c>
      <c r="BS1238" t="s">
        <v>60</v>
      </c>
      <c r="BT1238" t="s">
        <v>54</v>
      </c>
      <c r="BU1238" t="s">
        <v>61</v>
      </c>
      <c r="BV1238" t="s">
        <v>62</v>
      </c>
      <c r="BX1238">
        <v>36</v>
      </c>
      <c r="BY1238">
        <v>0</v>
      </c>
      <c r="BZ1238">
        <v>0</v>
      </c>
    </row>
    <row r="1239" spans="1:99" x14ac:dyDescent="0.2">
      <c r="A1239" t="s">
        <v>180</v>
      </c>
      <c r="B1239" t="s">
        <v>181</v>
      </c>
      <c r="C1239" t="s">
        <v>184</v>
      </c>
      <c r="D1239" t="s">
        <v>677</v>
      </c>
      <c r="F1239" t="str">
        <f>"250901"</f>
        <v>250901</v>
      </c>
      <c r="G1239" t="s">
        <v>49</v>
      </c>
      <c r="K1239" t="s">
        <v>51</v>
      </c>
      <c r="L1239" t="s">
        <v>52</v>
      </c>
      <c r="M1239">
        <v>136524.489</v>
      </c>
      <c r="N1239">
        <v>472082.70799999998</v>
      </c>
      <c r="O1239" t="s">
        <v>53</v>
      </c>
      <c r="P1239" t="s">
        <v>54</v>
      </c>
      <c r="Q1239" t="s">
        <v>55</v>
      </c>
      <c r="T1239" t="s">
        <v>241</v>
      </c>
      <c r="U1239">
        <v>40</v>
      </c>
      <c r="V1239" s="1">
        <v>33604</v>
      </c>
      <c r="W1239" s="1">
        <v>33604</v>
      </c>
      <c r="X1239" s="1">
        <v>33604</v>
      </c>
      <c r="Y1239" s="1">
        <v>48214</v>
      </c>
      <c r="Z1239" t="s">
        <v>51</v>
      </c>
      <c r="AB1239" t="s">
        <v>54</v>
      </c>
      <c r="AC1239">
        <v>1</v>
      </c>
      <c r="AE1239" t="s">
        <v>222</v>
      </c>
      <c r="AF1239">
        <v>20</v>
      </c>
      <c r="AG1239" s="1">
        <v>33604</v>
      </c>
      <c r="AH1239" s="1">
        <v>33604</v>
      </c>
      <c r="AI1239" s="1">
        <v>33604</v>
      </c>
      <c r="AJ1239" s="1">
        <v>40909</v>
      </c>
      <c r="AK1239" t="s">
        <v>51</v>
      </c>
      <c r="AN1239">
        <v>0</v>
      </c>
      <c r="AO1239" t="s">
        <v>54</v>
      </c>
      <c r="AP1239" t="s">
        <v>53</v>
      </c>
      <c r="AQ1239">
        <v>0</v>
      </c>
      <c r="AR1239" t="s">
        <v>53</v>
      </c>
      <c r="AS1239">
        <v>0</v>
      </c>
      <c r="AT1239">
        <v>0</v>
      </c>
      <c r="AW1239" t="s">
        <v>58</v>
      </c>
      <c r="AX1239">
        <v>20</v>
      </c>
      <c r="AY1239" s="1">
        <v>33604</v>
      </c>
      <c r="AZ1239" s="1">
        <v>33604</v>
      </c>
      <c r="BA1239" s="1">
        <v>33604</v>
      </c>
      <c r="BB1239" s="1">
        <v>40909</v>
      </c>
      <c r="BC1239" t="s">
        <v>51</v>
      </c>
      <c r="BE1239" t="s">
        <v>54</v>
      </c>
      <c r="BF1239">
        <v>2</v>
      </c>
      <c r="BG1239">
        <v>0</v>
      </c>
      <c r="BH1239" t="s">
        <v>53</v>
      </c>
      <c r="BK1239" t="s">
        <v>65</v>
      </c>
      <c r="BL1239">
        <v>14000</v>
      </c>
      <c r="BM1239" s="1">
        <v>44697</v>
      </c>
      <c r="BN1239" s="1">
        <v>44697</v>
      </c>
      <c r="BO1239" s="1">
        <v>44697</v>
      </c>
      <c r="BP1239" s="1">
        <v>45916</v>
      </c>
      <c r="BQ1239" t="s">
        <v>51</v>
      </c>
      <c r="BS1239" t="s">
        <v>60</v>
      </c>
      <c r="BT1239" t="s">
        <v>54</v>
      </c>
      <c r="BU1239" t="s">
        <v>61</v>
      </c>
      <c r="BV1239" t="s">
        <v>62</v>
      </c>
      <c r="BX1239">
        <v>36</v>
      </c>
      <c r="BY1239">
        <v>0</v>
      </c>
      <c r="BZ1239">
        <v>0</v>
      </c>
    </row>
    <row r="1240" spans="1:99" x14ac:dyDescent="0.2">
      <c r="A1240" t="s">
        <v>180</v>
      </c>
      <c r="B1240" t="s">
        <v>181</v>
      </c>
      <c r="C1240" t="s">
        <v>184</v>
      </c>
      <c r="D1240" t="s">
        <v>677</v>
      </c>
      <c r="F1240" t="str">
        <f>"250902"</f>
        <v>250902</v>
      </c>
      <c r="G1240" t="s">
        <v>49</v>
      </c>
      <c r="K1240" t="s">
        <v>51</v>
      </c>
      <c r="L1240" t="s">
        <v>52</v>
      </c>
      <c r="M1240">
        <v>136501.62100000001</v>
      </c>
      <c r="N1240">
        <v>472094.223</v>
      </c>
      <c r="O1240" t="s">
        <v>53</v>
      </c>
      <c r="P1240" t="s">
        <v>54</v>
      </c>
      <c r="Q1240" t="s">
        <v>55</v>
      </c>
      <c r="T1240" t="s">
        <v>241</v>
      </c>
      <c r="U1240">
        <v>40</v>
      </c>
      <c r="V1240" s="1">
        <v>33604</v>
      </c>
      <c r="W1240" s="1">
        <v>33604</v>
      </c>
      <c r="X1240" s="1">
        <v>33604</v>
      </c>
      <c r="Y1240" s="1">
        <v>48214</v>
      </c>
      <c r="Z1240" t="s">
        <v>51</v>
      </c>
      <c r="AB1240" t="s">
        <v>54</v>
      </c>
      <c r="AC1240">
        <v>1</v>
      </c>
      <c r="AE1240" t="s">
        <v>222</v>
      </c>
      <c r="AF1240">
        <v>20</v>
      </c>
      <c r="AG1240" s="1">
        <v>33604</v>
      </c>
      <c r="AH1240" s="1">
        <v>33604</v>
      </c>
      <c r="AI1240" s="1">
        <v>33604</v>
      </c>
      <c r="AJ1240" s="1">
        <v>40909</v>
      </c>
      <c r="AK1240" t="s">
        <v>51</v>
      </c>
      <c r="AN1240">
        <v>0</v>
      </c>
      <c r="AO1240" t="s">
        <v>54</v>
      </c>
      <c r="AP1240" t="s">
        <v>53</v>
      </c>
      <c r="AQ1240">
        <v>0</v>
      </c>
      <c r="AR1240" t="s">
        <v>53</v>
      </c>
      <c r="AS1240">
        <v>0</v>
      </c>
      <c r="AT1240">
        <v>0</v>
      </c>
      <c r="AW1240" t="s">
        <v>58</v>
      </c>
      <c r="AX1240">
        <v>20</v>
      </c>
      <c r="AY1240" s="1">
        <v>33604</v>
      </c>
      <c r="AZ1240" s="1">
        <v>33604</v>
      </c>
      <c r="BA1240" s="1">
        <v>33604</v>
      </c>
      <c r="BB1240" s="1">
        <v>40909</v>
      </c>
      <c r="BC1240" t="s">
        <v>51</v>
      </c>
      <c r="BE1240" t="s">
        <v>54</v>
      </c>
      <c r="BF1240">
        <v>2</v>
      </c>
      <c r="BG1240">
        <v>0</v>
      </c>
      <c r="BH1240" t="s">
        <v>53</v>
      </c>
      <c r="BK1240" t="s">
        <v>65</v>
      </c>
      <c r="BL1240">
        <v>14000</v>
      </c>
      <c r="BM1240" s="1">
        <v>42917</v>
      </c>
      <c r="BN1240" s="1">
        <v>42917</v>
      </c>
      <c r="BO1240" s="1">
        <v>42917</v>
      </c>
      <c r="BP1240" s="1">
        <v>44117</v>
      </c>
      <c r="BQ1240" t="s">
        <v>51</v>
      </c>
      <c r="BS1240" t="s">
        <v>60</v>
      </c>
      <c r="BT1240" t="s">
        <v>54</v>
      </c>
      <c r="BU1240" t="s">
        <v>61</v>
      </c>
      <c r="BV1240" t="s">
        <v>62</v>
      </c>
      <c r="BX1240">
        <v>36</v>
      </c>
      <c r="BY1240">
        <v>0</v>
      </c>
      <c r="BZ1240">
        <v>0</v>
      </c>
    </row>
    <row r="1241" spans="1:99" x14ac:dyDescent="0.2">
      <c r="A1241" t="s">
        <v>180</v>
      </c>
      <c r="B1241" t="s">
        <v>181</v>
      </c>
      <c r="C1241" t="s">
        <v>184</v>
      </c>
      <c r="D1241" t="s">
        <v>677</v>
      </c>
      <c r="F1241" t="str">
        <f>"250903"</f>
        <v>250903</v>
      </c>
      <c r="G1241" t="s">
        <v>49</v>
      </c>
      <c r="K1241" t="s">
        <v>51</v>
      </c>
      <c r="L1241" t="s">
        <v>52</v>
      </c>
      <c r="M1241">
        <v>136481.87100000001</v>
      </c>
      <c r="N1241">
        <v>472104.37300000002</v>
      </c>
      <c r="O1241" t="s">
        <v>53</v>
      </c>
      <c r="P1241" t="s">
        <v>54</v>
      </c>
      <c r="Q1241" t="s">
        <v>55</v>
      </c>
      <c r="T1241" t="s">
        <v>241</v>
      </c>
      <c r="U1241">
        <v>40</v>
      </c>
      <c r="V1241" s="1">
        <v>33604</v>
      </c>
      <c r="W1241" s="1">
        <v>33604</v>
      </c>
      <c r="X1241" s="1">
        <v>33604</v>
      </c>
      <c r="Y1241" s="1">
        <v>48214</v>
      </c>
      <c r="Z1241" t="s">
        <v>51</v>
      </c>
      <c r="AB1241" t="s">
        <v>54</v>
      </c>
      <c r="AC1241">
        <v>1</v>
      </c>
      <c r="AE1241" t="s">
        <v>222</v>
      </c>
      <c r="AF1241">
        <v>20</v>
      </c>
      <c r="AG1241" s="1">
        <v>33604</v>
      </c>
      <c r="AH1241" s="1">
        <v>33604</v>
      </c>
      <c r="AI1241" s="1">
        <v>33604</v>
      </c>
      <c r="AJ1241" s="1">
        <v>40909</v>
      </c>
      <c r="AK1241" t="s">
        <v>51</v>
      </c>
      <c r="AN1241">
        <v>0</v>
      </c>
      <c r="AO1241" t="s">
        <v>54</v>
      </c>
      <c r="AP1241" t="s">
        <v>53</v>
      </c>
      <c r="AQ1241">
        <v>0</v>
      </c>
      <c r="AR1241" t="s">
        <v>53</v>
      </c>
      <c r="AS1241">
        <v>0</v>
      </c>
      <c r="AT1241">
        <v>0</v>
      </c>
      <c r="AW1241" t="s">
        <v>58</v>
      </c>
      <c r="AX1241">
        <v>20</v>
      </c>
      <c r="AY1241" s="1">
        <v>33604</v>
      </c>
      <c r="AZ1241" s="1">
        <v>33604</v>
      </c>
      <c r="BA1241" s="1">
        <v>33604</v>
      </c>
      <c r="BB1241" s="1">
        <v>40909</v>
      </c>
      <c r="BC1241" t="s">
        <v>51</v>
      </c>
      <c r="BE1241" t="s">
        <v>54</v>
      </c>
      <c r="BF1241">
        <v>2</v>
      </c>
      <c r="BG1241">
        <v>0</v>
      </c>
      <c r="BH1241" t="s">
        <v>53</v>
      </c>
      <c r="BK1241" t="s">
        <v>65</v>
      </c>
      <c r="BL1241">
        <v>14000</v>
      </c>
      <c r="BM1241" s="1">
        <v>44504</v>
      </c>
      <c r="BN1241" s="1">
        <v>44504</v>
      </c>
      <c r="BO1241" s="1">
        <v>44504</v>
      </c>
      <c r="BP1241" s="1">
        <v>45664</v>
      </c>
      <c r="BQ1241" t="s">
        <v>51</v>
      </c>
      <c r="BS1241" t="s">
        <v>60</v>
      </c>
      <c r="BT1241" t="s">
        <v>54</v>
      </c>
      <c r="BU1241" t="s">
        <v>61</v>
      </c>
      <c r="BV1241" t="s">
        <v>62</v>
      </c>
      <c r="BX1241">
        <v>36</v>
      </c>
      <c r="BY1241">
        <v>0</v>
      </c>
      <c r="BZ1241">
        <v>0</v>
      </c>
    </row>
    <row r="1242" spans="1:99" x14ac:dyDescent="0.2">
      <c r="A1242" t="s">
        <v>180</v>
      </c>
      <c r="B1242" t="s">
        <v>181</v>
      </c>
      <c r="C1242" t="s">
        <v>184</v>
      </c>
      <c r="D1242" t="s">
        <v>677</v>
      </c>
      <c r="F1242" t="str">
        <f>"250904"</f>
        <v>250904</v>
      </c>
      <c r="G1242" t="s">
        <v>49</v>
      </c>
      <c r="K1242" t="s">
        <v>51</v>
      </c>
      <c r="L1242" t="s">
        <v>52</v>
      </c>
      <c r="M1242">
        <v>136461.46</v>
      </c>
      <c r="N1242">
        <v>472114.38</v>
      </c>
      <c r="O1242" t="s">
        <v>53</v>
      </c>
      <c r="P1242" t="s">
        <v>54</v>
      </c>
      <c r="Q1242" t="s">
        <v>55</v>
      </c>
      <c r="T1242" t="s">
        <v>241</v>
      </c>
      <c r="U1242">
        <v>40</v>
      </c>
      <c r="V1242" s="1">
        <v>33604</v>
      </c>
      <c r="W1242" s="1">
        <v>33604</v>
      </c>
      <c r="X1242" s="1">
        <v>33604</v>
      </c>
      <c r="Y1242" s="1">
        <v>48214</v>
      </c>
      <c r="Z1242" t="s">
        <v>51</v>
      </c>
      <c r="AB1242" t="s">
        <v>54</v>
      </c>
      <c r="AC1242">
        <v>1</v>
      </c>
      <c r="AE1242" t="s">
        <v>222</v>
      </c>
      <c r="AF1242">
        <v>20</v>
      </c>
      <c r="AG1242" s="1">
        <v>33604</v>
      </c>
      <c r="AH1242" s="1">
        <v>33604</v>
      </c>
      <c r="AI1242" s="1">
        <v>33604</v>
      </c>
      <c r="AJ1242" s="1">
        <v>40909</v>
      </c>
      <c r="AK1242" t="s">
        <v>51</v>
      </c>
      <c r="AN1242">
        <v>0</v>
      </c>
      <c r="AO1242" t="s">
        <v>54</v>
      </c>
      <c r="AP1242" t="s">
        <v>53</v>
      </c>
      <c r="AQ1242">
        <v>0</v>
      </c>
      <c r="AR1242" t="s">
        <v>53</v>
      </c>
      <c r="AS1242">
        <v>0</v>
      </c>
      <c r="AT1242">
        <v>0</v>
      </c>
      <c r="AW1242" t="s">
        <v>58</v>
      </c>
      <c r="AX1242">
        <v>20</v>
      </c>
      <c r="AY1242" s="1">
        <v>33604</v>
      </c>
      <c r="AZ1242" s="1">
        <v>33604</v>
      </c>
      <c r="BA1242" s="1">
        <v>33604</v>
      </c>
      <c r="BB1242" s="1">
        <v>40909</v>
      </c>
      <c r="BC1242" t="s">
        <v>51</v>
      </c>
      <c r="BE1242" t="s">
        <v>54</v>
      </c>
      <c r="BF1242">
        <v>2</v>
      </c>
      <c r="BG1242">
        <v>0</v>
      </c>
      <c r="BH1242" t="s">
        <v>53</v>
      </c>
      <c r="BK1242" t="s">
        <v>65</v>
      </c>
      <c r="BL1242">
        <v>14000</v>
      </c>
      <c r="BM1242" s="1">
        <v>42917</v>
      </c>
      <c r="BN1242" s="1">
        <v>42917</v>
      </c>
      <c r="BO1242" s="1">
        <v>42917</v>
      </c>
      <c r="BP1242" s="1">
        <v>44117</v>
      </c>
      <c r="BQ1242" t="s">
        <v>51</v>
      </c>
      <c r="BS1242" t="s">
        <v>60</v>
      </c>
      <c r="BT1242" t="s">
        <v>54</v>
      </c>
      <c r="BU1242" t="s">
        <v>61</v>
      </c>
      <c r="BV1242" t="s">
        <v>62</v>
      </c>
      <c r="BX1242">
        <v>36</v>
      </c>
      <c r="BY1242">
        <v>0</v>
      </c>
      <c r="BZ1242">
        <v>0</v>
      </c>
    </row>
    <row r="1243" spans="1:99" x14ac:dyDescent="0.2">
      <c r="A1243" t="s">
        <v>180</v>
      </c>
      <c r="B1243" t="s">
        <v>181</v>
      </c>
      <c r="C1243" t="s">
        <v>184</v>
      </c>
      <c r="D1243" t="s">
        <v>677</v>
      </c>
      <c r="F1243" t="str">
        <f>"250905"</f>
        <v>250905</v>
      </c>
      <c r="G1243" t="s">
        <v>49</v>
      </c>
      <c r="K1243" t="s">
        <v>51</v>
      </c>
      <c r="L1243" t="s">
        <v>52</v>
      </c>
      <c r="M1243">
        <v>136441.07</v>
      </c>
      <c r="N1243">
        <v>472107.6</v>
      </c>
      <c r="O1243" t="s">
        <v>53</v>
      </c>
      <c r="P1243" t="s">
        <v>54</v>
      </c>
      <c r="Q1243" t="s">
        <v>55</v>
      </c>
      <c r="T1243" t="s">
        <v>241</v>
      </c>
      <c r="U1243">
        <v>40</v>
      </c>
      <c r="V1243" s="1">
        <v>33604</v>
      </c>
      <c r="W1243" s="1">
        <v>33604</v>
      </c>
      <c r="X1243" s="1">
        <v>33604</v>
      </c>
      <c r="Y1243" s="1">
        <v>48214</v>
      </c>
      <c r="Z1243" t="s">
        <v>51</v>
      </c>
      <c r="AB1243" t="s">
        <v>54</v>
      </c>
      <c r="AC1243">
        <v>1</v>
      </c>
      <c r="AE1243" t="s">
        <v>222</v>
      </c>
      <c r="AF1243">
        <v>20</v>
      </c>
      <c r="AG1243" s="1">
        <v>33604</v>
      </c>
      <c r="AH1243" s="1">
        <v>33604</v>
      </c>
      <c r="AI1243" s="1">
        <v>33604</v>
      </c>
      <c r="AJ1243" s="1">
        <v>40909</v>
      </c>
      <c r="AK1243" t="s">
        <v>51</v>
      </c>
      <c r="AN1243">
        <v>0</v>
      </c>
      <c r="AO1243" t="s">
        <v>54</v>
      </c>
      <c r="AP1243" t="s">
        <v>53</v>
      </c>
      <c r="AQ1243">
        <v>0</v>
      </c>
      <c r="AR1243" t="s">
        <v>53</v>
      </c>
      <c r="AS1243">
        <v>0</v>
      </c>
      <c r="AT1243">
        <v>0</v>
      </c>
      <c r="AW1243" t="s">
        <v>58</v>
      </c>
      <c r="AX1243">
        <v>20</v>
      </c>
      <c r="AY1243" s="1">
        <v>33604</v>
      </c>
      <c r="AZ1243" s="1">
        <v>33604</v>
      </c>
      <c r="BA1243" s="1">
        <v>33604</v>
      </c>
      <c r="BB1243" s="1">
        <v>40909</v>
      </c>
      <c r="BC1243" t="s">
        <v>51</v>
      </c>
      <c r="BE1243" t="s">
        <v>54</v>
      </c>
      <c r="BF1243">
        <v>2</v>
      </c>
      <c r="BG1243">
        <v>0</v>
      </c>
      <c r="BH1243" t="s">
        <v>53</v>
      </c>
      <c r="BK1243" t="s">
        <v>65</v>
      </c>
      <c r="BL1243">
        <v>14000</v>
      </c>
      <c r="BM1243" s="1">
        <v>44684</v>
      </c>
      <c r="BN1243" s="1">
        <v>44684</v>
      </c>
      <c r="BO1243" s="1">
        <v>44684</v>
      </c>
      <c r="BP1243" s="1">
        <v>45906</v>
      </c>
      <c r="BQ1243" t="s">
        <v>51</v>
      </c>
      <c r="BS1243" t="s">
        <v>60</v>
      </c>
      <c r="BT1243" t="s">
        <v>54</v>
      </c>
      <c r="BU1243" t="s">
        <v>61</v>
      </c>
      <c r="BV1243" t="s">
        <v>62</v>
      </c>
      <c r="BX1243">
        <v>36</v>
      </c>
      <c r="BY1243">
        <v>0</v>
      </c>
      <c r="BZ1243">
        <v>0</v>
      </c>
    </row>
    <row r="1244" spans="1:99" x14ac:dyDescent="0.2">
      <c r="A1244" t="s">
        <v>180</v>
      </c>
      <c r="B1244" t="s">
        <v>181</v>
      </c>
      <c r="C1244" t="s">
        <v>184</v>
      </c>
      <c r="D1244" t="s">
        <v>677</v>
      </c>
      <c r="F1244" t="str">
        <f>"250906"</f>
        <v>250906</v>
      </c>
      <c r="G1244" t="s">
        <v>49</v>
      </c>
      <c r="K1244" t="s">
        <v>51</v>
      </c>
      <c r="L1244" t="s">
        <v>52</v>
      </c>
      <c r="M1244">
        <v>136432.92000000001</v>
      </c>
      <c r="N1244">
        <v>472092.44</v>
      </c>
      <c r="O1244" t="s">
        <v>53</v>
      </c>
      <c r="P1244" t="s">
        <v>54</v>
      </c>
      <c r="Q1244" t="s">
        <v>55</v>
      </c>
      <c r="T1244" t="s">
        <v>241</v>
      </c>
      <c r="U1244">
        <v>40</v>
      </c>
      <c r="V1244" s="1">
        <v>33604</v>
      </c>
      <c r="W1244" s="1">
        <v>33604</v>
      </c>
      <c r="X1244" s="1">
        <v>33604</v>
      </c>
      <c r="Y1244" s="1">
        <v>48214</v>
      </c>
      <c r="Z1244" t="s">
        <v>51</v>
      </c>
      <c r="AB1244" t="s">
        <v>54</v>
      </c>
      <c r="AC1244">
        <v>1</v>
      </c>
      <c r="AE1244" t="s">
        <v>222</v>
      </c>
      <c r="AF1244">
        <v>20</v>
      </c>
      <c r="AG1244" s="1">
        <v>33604</v>
      </c>
      <c r="AH1244" s="1">
        <v>33604</v>
      </c>
      <c r="AI1244" s="1">
        <v>33604</v>
      </c>
      <c r="AJ1244" s="1">
        <v>40909</v>
      </c>
      <c r="AK1244" t="s">
        <v>51</v>
      </c>
      <c r="AN1244">
        <v>0</v>
      </c>
      <c r="AO1244" t="s">
        <v>54</v>
      </c>
      <c r="AP1244" t="s">
        <v>53</v>
      </c>
      <c r="AQ1244">
        <v>0</v>
      </c>
      <c r="AR1244" t="s">
        <v>53</v>
      </c>
      <c r="AS1244">
        <v>0</v>
      </c>
      <c r="AT1244">
        <v>0</v>
      </c>
      <c r="AW1244" t="s">
        <v>58</v>
      </c>
      <c r="AX1244">
        <v>20</v>
      </c>
      <c r="AY1244" s="1">
        <v>33604</v>
      </c>
      <c r="AZ1244" s="1">
        <v>33604</v>
      </c>
      <c r="BA1244" s="1">
        <v>33604</v>
      </c>
      <c r="BB1244" s="1">
        <v>40909</v>
      </c>
      <c r="BC1244" t="s">
        <v>51</v>
      </c>
      <c r="BE1244" t="s">
        <v>54</v>
      </c>
      <c r="BF1244">
        <v>2</v>
      </c>
      <c r="BG1244">
        <v>0</v>
      </c>
      <c r="BH1244" t="s">
        <v>53</v>
      </c>
      <c r="BK1244" t="s">
        <v>65</v>
      </c>
      <c r="BL1244">
        <v>14000</v>
      </c>
      <c r="BM1244" s="1">
        <v>44431</v>
      </c>
      <c r="BN1244" s="1">
        <v>44431</v>
      </c>
      <c r="BO1244" s="1">
        <v>44431</v>
      </c>
      <c r="BP1244" s="1">
        <v>45607</v>
      </c>
      <c r="BQ1244" t="s">
        <v>51</v>
      </c>
      <c r="BS1244" t="s">
        <v>60</v>
      </c>
      <c r="BT1244" t="s">
        <v>54</v>
      </c>
      <c r="BU1244" t="s">
        <v>61</v>
      </c>
      <c r="BV1244" t="s">
        <v>62</v>
      </c>
      <c r="BX1244">
        <v>36</v>
      </c>
      <c r="BY1244">
        <v>0</v>
      </c>
      <c r="BZ1244">
        <v>0</v>
      </c>
    </row>
    <row r="1245" spans="1:99" x14ac:dyDescent="0.2">
      <c r="A1245" t="s">
        <v>180</v>
      </c>
      <c r="B1245" t="s">
        <v>181</v>
      </c>
      <c r="C1245" t="s">
        <v>184</v>
      </c>
      <c r="D1245" t="s">
        <v>677</v>
      </c>
      <c r="F1245" t="str">
        <f>"250907"</f>
        <v>250907</v>
      </c>
      <c r="G1245" t="s">
        <v>49</v>
      </c>
      <c r="K1245" t="s">
        <v>51</v>
      </c>
      <c r="L1245" t="s">
        <v>52</v>
      </c>
      <c r="M1245">
        <v>136424.94</v>
      </c>
      <c r="N1245">
        <v>472076.78</v>
      </c>
      <c r="O1245" t="s">
        <v>53</v>
      </c>
      <c r="P1245" t="s">
        <v>54</v>
      </c>
      <c r="Q1245" t="s">
        <v>55</v>
      </c>
      <c r="T1245" t="s">
        <v>241</v>
      </c>
      <c r="U1245">
        <v>40</v>
      </c>
      <c r="V1245" s="1">
        <v>33604</v>
      </c>
      <c r="W1245" s="1">
        <v>33604</v>
      </c>
      <c r="X1245" s="1">
        <v>33604</v>
      </c>
      <c r="Y1245" s="1">
        <v>48214</v>
      </c>
      <c r="Z1245" t="s">
        <v>51</v>
      </c>
      <c r="AB1245" t="s">
        <v>54</v>
      </c>
      <c r="AC1245">
        <v>1</v>
      </c>
      <c r="AE1245" t="s">
        <v>222</v>
      </c>
      <c r="AF1245">
        <v>20</v>
      </c>
      <c r="AG1245" s="1">
        <v>33604</v>
      </c>
      <c r="AH1245" s="1">
        <v>33604</v>
      </c>
      <c r="AI1245" s="1">
        <v>33604</v>
      </c>
      <c r="AJ1245" s="1">
        <v>40909</v>
      </c>
      <c r="AK1245" t="s">
        <v>51</v>
      </c>
      <c r="AN1245">
        <v>0</v>
      </c>
      <c r="AO1245" t="s">
        <v>54</v>
      </c>
      <c r="AP1245" t="s">
        <v>53</v>
      </c>
      <c r="AQ1245">
        <v>0</v>
      </c>
      <c r="AR1245" t="s">
        <v>53</v>
      </c>
      <c r="AS1245">
        <v>0</v>
      </c>
      <c r="AT1245">
        <v>0</v>
      </c>
      <c r="AW1245" t="s">
        <v>58</v>
      </c>
      <c r="AX1245">
        <v>20</v>
      </c>
      <c r="AY1245" s="1">
        <v>33604</v>
      </c>
      <c r="AZ1245" s="1">
        <v>33604</v>
      </c>
      <c r="BA1245" s="1">
        <v>33604</v>
      </c>
      <c r="BB1245" s="1">
        <v>40909</v>
      </c>
      <c r="BC1245" t="s">
        <v>51</v>
      </c>
      <c r="BE1245" t="s">
        <v>54</v>
      </c>
      <c r="BF1245">
        <v>2</v>
      </c>
      <c r="BG1245">
        <v>0</v>
      </c>
      <c r="BH1245" t="s">
        <v>53</v>
      </c>
      <c r="BK1245" t="s">
        <v>65</v>
      </c>
      <c r="BL1245">
        <v>14000</v>
      </c>
      <c r="BM1245" s="1">
        <v>42917</v>
      </c>
      <c r="BN1245" s="1">
        <v>42917</v>
      </c>
      <c r="BO1245" s="1">
        <v>42917</v>
      </c>
      <c r="BP1245" s="1">
        <v>44117</v>
      </c>
      <c r="BQ1245" t="s">
        <v>51</v>
      </c>
      <c r="BS1245" t="s">
        <v>60</v>
      </c>
      <c r="BT1245" t="s">
        <v>54</v>
      </c>
      <c r="BU1245" t="s">
        <v>61</v>
      </c>
      <c r="BV1245" t="s">
        <v>62</v>
      </c>
      <c r="BX1245">
        <v>36</v>
      </c>
      <c r="BY1245">
        <v>0</v>
      </c>
      <c r="BZ1245">
        <v>0</v>
      </c>
    </row>
    <row r="1246" spans="1:99" x14ac:dyDescent="0.2">
      <c r="A1246" t="s">
        <v>180</v>
      </c>
      <c r="B1246" t="s">
        <v>181</v>
      </c>
      <c r="C1246" t="s">
        <v>184</v>
      </c>
      <c r="D1246" t="s">
        <v>677</v>
      </c>
      <c r="F1246" t="str">
        <f>"250909"</f>
        <v>250909</v>
      </c>
      <c r="G1246" t="s">
        <v>49</v>
      </c>
      <c r="K1246" t="s">
        <v>51</v>
      </c>
      <c r="L1246" t="s">
        <v>52</v>
      </c>
      <c r="M1246">
        <v>136442.47</v>
      </c>
      <c r="N1246">
        <v>472077.34</v>
      </c>
      <c r="O1246" t="s">
        <v>53</v>
      </c>
      <c r="P1246" t="s">
        <v>54</v>
      </c>
      <c r="Q1246" t="s">
        <v>55</v>
      </c>
      <c r="T1246" t="s">
        <v>241</v>
      </c>
      <c r="U1246">
        <v>40</v>
      </c>
      <c r="V1246" s="1">
        <v>33604</v>
      </c>
      <c r="W1246" s="1">
        <v>33604</v>
      </c>
      <c r="X1246" s="1">
        <v>33604</v>
      </c>
      <c r="Y1246" s="1">
        <v>48214</v>
      </c>
      <c r="Z1246" t="s">
        <v>51</v>
      </c>
      <c r="AB1246" t="s">
        <v>54</v>
      </c>
      <c r="AC1246">
        <v>1</v>
      </c>
      <c r="AE1246" t="s">
        <v>552</v>
      </c>
      <c r="AF1246">
        <v>20</v>
      </c>
      <c r="AG1246" s="1">
        <v>44144</v>
      </c>
      <c r="AH1246" s="1">
        <v>44144</v>
      </c>
      <c r="AI1246" s="1">
        <v>44144</v>
      </c>
      <c r="AJ1246" s="1">
        <v>51449</v>
      </c>
      <c r="AK1246" t="s">
        <v>51</v>
      </c>
      <c r="AN1246">
        <v>0</v>
      </c>
      <c r="AO1246" t="s">
        <v>54</v>
      </c>
      <c r="AP1246" t="s">
        <v>53</v>
      </c>
      <c r="AQ1246">
        <v>0</v>
      </c>
      <c r="AR1246" t="s">
        <v>145</v>
      </c>
      <c r="AS1246">
        <v>0</v>
      </c>
      <c r="AT1246">
        <v>0</v>
      </c>
      <c r="AW1246" t="s">
        <v>58</v>
      </c>
      <c r="AX1246">
        <v>20</v>
      </c>
      <c r="AY1246" s="1">
        <v>33604</v>
      </c>
      <c r="AZ1246" s="1">
        <v>33604</v>
      </c>
      <c r="BA1246" s="1">
        <v>44144</v>
      </c>
      <c r="BB1246" s="1">
        <v>40909</v>
      </c>
      <c r="BC1246" t="s">
        <v>51</v>
      </c>
      <c r="BE1246" t="s">
        <v>54</v>
      </c>
      <c r="BF1246">
        <v>2</v>
      </c>
      <c r="BG1246">
        <v>0</v>
      </c>
      <c r="BH1246" t="s">
        <v>53</v>
      </c>
      <c r="BK1246" t="s">
        <v>65</v>
      </c>
      <c r="BL1246">
        <v>14000</v>
      </c>
      <c r="BM1246" s="1">
        <v>42917</v>
      </c>
      <c r="BN1246" s="1">
        <v>42917</v>
      </c>
      <c r="BO1246" s="1">
        <v>44144</v>
      </c>
      <c r="BP1246" s="1">
        <v>44117</v>
      </c>
      <c r="BQ1246" t="s">
        <v>51</v>
      </c>
      <c r="BS1246" t="s">
        <v>60</v>
      </c>
      <c r="BT1246" t="s">
        <v>54</v>
      </c>
      <c r="BU1246" t="s">
        <v>61</v>
      </c>
      <c r="BV1246" t="s">
        <v>62</v>
      </c>
      <c r="BX1246">
        <v>36</v>
      </c>
      <c r="BY1246">
        <v>0</v>
      </c>
      <c r="BZ1246">
        <v>0</v>
      </c>
    </row>
    <row r="1247" spans="1:99" x14ac:dyDescent="0.2">
      <c r="A1247" t="s">
        <v>180</v>
      </c>
      <c r="B1247" t="s">
        <v>181</v>
      </c>
      <c r="C1247" t="s">
        <v>184</v>
      </c>
      <c r="D1247" t="s">
        <v>677</v>
      </c>
      <c r="F1247" t="str">
        <f>"250910"</f>
        <v>250910</v>
      </c>
      <c r="G1247" t="s">
        <v>49</v>
      </c>
      <c r="K1247" t="s">
        <v>51</v>
      </c>
      <c r="L1247" t="s">
        <v>52</v>
      </c>
      <c r="M1247">
        <v>136450.54999999999</v>
      </c>
      <c r="N1247">
        <v>472092.86</v>
      </c>
      <c r="O1247" t="s">
        <v>53</v>
      </c>
      <c r="P1247" t="s">
        <v>54</v>
      </c>
      <c r="Q1247" t="s">
        <v>55</v>
      </c>
      <c r="T1247" t="s">
        <v>241</v>
      </c>
      <c r="U1247">
        <v>40</v>
      </c>
      <c r="V1247" s="1">
        <v>33604</v>
      </c>
      <c r="W1247" s="1">
        <v>33604</v>
      </c>
      <c r="X1247" s="1">
        <v>33604</v>
      </c>
      <c r="Y1247" s="1">
        <v>48214</v>
      </c>
      <c r="Z1247" t="s">
        <v>51</v>
      </c>
      <c r="AB1247" t="s">
        <v>54</v>
      </c>
      <c r="AC1247">
        <v>1</v>
      </c>
      <c r="AE1247" t="s">
        <v>222</v>
      </c>
      <c r="AF1247">
        <v>20</v>
      </c>
      <c r="AG1247" s="1">
        <v>33604</v>
      </c>
      <c r="AH1247" s="1">
        <v>33604</v>
      </c>
      <c r="AI1247" s="1">
        <v>33604</v>
      </c>
      <c r="AJ1247" s="1">
        <v>40909</v>
      </c>
      <c r="AK1247" t="s">
        <v>51</v>
      </c>
      <c r="AN1247">
        <v>0</v>
      </c>
      <c r="AO1247" t="s">
        <v>54</v>
      </c>
      <c r="AP1247" t="s">
        <v>53</v>
      </c>
      <c r="AQ1247">
        <v>0</v>
      </c>
      <c r="AR1247" t="s">
        <v>53</v>
      </c>
      <c r="AS1247">
        <v>0</v>
      </c>
      <c r="AT1247">
        <v>0</v>
      </c>
      <c r="AW1247" t="s">
        <v>58</v>
      </c>
      <c r="AX1247">
        <v>20</v>
      </c>
      <c r="AY1247" s="1">
        <v>33604</v>
      </c>
      <c r="AZ1247" s="1">
        <v>33604</v>
      </c>
      <c r="BA1247" s="1">
        <v>33604</v>
      </c>
      <c r="BB1247" s="1">
        <v>40909</v>
      </c>
      <c r="BC1247" t="s">
        <v>51</v>
      </c>
      <c r="BE1247" t="s">
        <v>54</v>
      </c>
      <c r="BF1247">
        <v>2</v>
      </c>
      <c r="BG1247">
        <v>0</v>
      </c>
      <c r="BH1247" t="s">
        <v>53</v>
      </c>
      <c r="BK1247" t="s">
        <v>65</v>
      </c>
      <c r="BL1247">
        <v>14000</v>
      </c>
      <c r="BM1247" s="1">
        <v>44837</v>
      </c>
      <c r="BN1247" s="1">
        <v>44837</v>
      </c>
      <c r="BO1247" s="1">
        <v>44837</v>
      </c>
      <c r="BP1247" s="1">
        <v>46000</v>
      </c>
      <c r="BQ1247" t="s">
        <v>51</v>
      </c>
      <c r="BS1247" t="s">
        <v>60</v>
      </c>
      <c r="BT1247" t="s">
        <v>54</v>
      </c>
      <c r="BU1247" t="s">
        <v>61</v>
      </c>
      <c r="BV1247" t="s">
        <v>62</v>
      </c>
      <c r="BX1247">
        <v>36</v>
      </c>
      <c r="BY1247">
        <v>0</v>
      </c>
      <c r="BZ1247">
        <v>0</v>
      </c>
    </row>
    <row r="1248" spans="1:99" x14ac:dyDescent="0.2">
      <c r="A1248" t="s">
        <v>180</v>
      </c>
      <c r="B1248" t="s">
        <v>181</v>
      </c>
      <c r="C1248" t="s">
        <v>184</v>
      </c>
      <c r="D1248" t="s">
        <v>677</v>
      </c>
      <c r="F1248" t="str">
        <f>"250911"</f>
        <v>250911</v>
      </c>
      <c r="G1248" t="s">
        <v>49</v>
      </c>
      <c r="K1248" t="s">
        <v>51</v>
      </c>
      <c r="L1248" t="s">
        <v>52</v>
      </c>
      <c r="M1248">
        <v>136109.79999999999</v>
      </c>
      <c r="N1248">
        <v>472349.56</v>
      </c>
      <c r="O1248" t="s">
        <v>53</v>
      </c>
      <c r="P1248" t="s">
        <v>54</v>
      </c>
      <c r="Q1248" t="s">
        <v>55</v>
      </c>
      <c r="T1248" t="s">
        <v>716</v>
      </c>
      <c r="U1248">
        <v>40</v>
      </c>
      <c r="V1248" s="1">
        <v>42186</v>
      </c>
      <c r="W1248" s="1">
        <v>42186</v>
      </c>
      <c r="X1248" s="1">
        <v>42186</v>
      </c>
      <c r="Y1248" s="1">
        <v>56796</v>
      </c>
      <c r="Z1248" t="s">
        <v>51</v>
      </c>
      <c r="AB1248" t="s">
        <v>54</v>
      </c>
      <c r="AC1248">
        <v>1</v>
      </c>
      <c r="AE1248" t="s">
        <v>79</v>
      </c>
      <c r="AF1248">
        <v>20</v>
      </c>
      <c r="AG1248" s="1">
        <v>42186</v>
      </c>
      <c r="AH1248" s="1">
        <v>42186</v>
      </c>
      <c r="AI1248" s="1">
        <v>42186</v>
      </c>
      <c r="AJ1248" s="1">
        <v>49491</v>
      </c>
      <c r="AK1248" t="s">
        <v>51</v>
      </c>
      <c r="AN1248">
        <v>0</v>
      </c>
      <c r="AO1248" t="s">
        <v>54</v>
      </c>
      <c r="AP1248" t="s">
        <v>53</v>
      </c>
      <c r="AQ1248">
        <v>0</v>
      </c>
      <c r="AR1248" t="s">
        <v>145</v>
      </c>
      <c r="AS1248">
        <v>0</v>
      </c>
      <c r="AT1248">
        <v>0</v>
      </c>
      <c r="CC1248" t="s">
        <v>432</v>
      </c>
      <c r="CD1248">
        <v>85000</v>
      </c>
      <c r="CE1248" s="1">
        <v>42186</v>
      </c>
      <c r="CF1248" s="1">
        <v>42186</v>
      </c>
      <c r="CG1248" s="1">
        <v>42186</v>
      </c>
      <c r="CH1248" s="1">
        <v>49348</v>
      </c>
      <c r="CI1248" t="s">
        <v>51</v>
      </c>
      <c r="CK1248" t="s">
        <v>78</v>
      </c>
      <c r="CM1248" t="s">
        <v>54</v>
      </c>
      <c r="CN1248" t="s">
        <v>174</v>
      </c>
      <c r="CO1248" t="s">
        <v>86</v>
      </c>
      <c r="CR1248">
        <v>24</v>
      </c>
      <c r="CS1248">
        <v>0</v>
      </c>
      <c r="CT1248">
        <v>0</v>
      </c>
      <c r="CU1248">
        <v>0</v>
      </c>
    </row>
    <row r="1249" spans="1:99" x14ac:dyDescent="0.2">
      <c r="A1249" t="s">
        <v>180</v>
      </c>
      <c r="B1249" t="s">
        <v>181</v>
      </c>
      <c r="C1249" t="s">
        <v>184</v>
      </c>
      <c r="D1249" t="s">
        <v>677</v>
      </c>
      <c r="F1249" t="str">
        <f>"250912"</f>
        <v>250912</v>
      </c>
      <c r="G1249" t="s">
        <v>49</v>
      </c>
      <c r="K1249" t="s">
        <v>51</v>
      </c>
      <c r="L1249" t="s">
        <v>52</v>
      </c>
      <c r="M1249">
        <v>136127.87599999999</v>
      </c>
      <c r="N1249">
        <v>472335.24300000002</v>
      </c>
      <c r="O1249" t="s">
        <v>53</v>
      </c>
      <c r="P1249" t="s">
        <v>54</v>
      </c>
      <c r="Q1249" t="s">
        <v>55</v>
      </c>
      <c r="T1249" t="s">
        <v>716</v>
      </c>
      <c r="U1249">
        <v>40</v>
      </c>
      <c r="V1249" s="1">
        <v>42186</v>
      </c>
      <c r="W1249" s="1">
        <v>42186</v>
      </c>
      <c r="X1249" s="1">
        <v>42186</v>
      </c>
      <c r="Y1249" s="1">
        <v>56796</v>
      </c>
      <c r="Z1249" t="s">
        <v>51</v>
      </c>
      <c r="AB1249" t="s">
        <v>54</v>
      </c>
      <c r="AC1249">
        <v>1</v>
      </c>
      <c r="AE1249" t="s">
        <v>79</v>
      </c>
      <c r="AF1249">
        <v>20</v>
      </c>
      <c r="AG1249" s="1">
        <v>42186</v>
      </c>
      <c r="AH1249" s="1">
        <v>42186</v>
      </c>
      <c r="AI1249" s="1">
        <v>42186</v>
      </c>
      <c r="AJ1249" s="1">
        <v>49491</v>
      </c>
      <c r="AK1249" t="s">
        <v>51</v>
      </c>
      <c r="AN1249">
        <v>0</v>
      </c>
      <c r="AO1249" t="s">
        <v>54</v>
      </c>
      <c r="AP1249" t="s">
        <v>53</v>
      </c>
      <c r="AQ1249">
        <v>0</v>
      </c>
      <c r="AR1249" t="s">
        <v>145</v>
      </c>
      <c r="AS1249">
        <v>0</v>
      </c>
      <c r="AT1249">
        <v>0</v>
      </c>
      <c r="CC1249" t="s">
        <v>432</v>
      </c>
      <c r="CD1249">
        <v>85000</v>
      </c>
      <c r="CE1249" s="1">
        <v>42186</v>
      </c>
      <c r="CF1249" s="1">
        <v>42186</v>
      </c>
      <c r="CG1249" s="1">
        <v>42186</v>
      </c>
      <c r="CH1249" s="1">
        <v>49348</v>
      </c>
      <c r="CI1249" t="s">
        <v>51</v>
      </c>
      <c r="CK1249" t="s">
        <v>78</v>
      </c>
      <c r="CM1249" t="s">
        <v>54</v>
      </c>
      <c r="CN1249" t="s">
        <v>174</v>
      </c>
      <c r="CO1249" t="s">
        <v>86</v>
      </c>
      <c r="CR1249">
        <v>24</v>
      </c>
      <c r="CS1249">
        <v>0</v>
      </c>
      <c r="CT1249">
        <v>0</v>
      </c>
      <c r="CU1249">
        <v>0</v>
      </c>
    </row>
    <row r="1250" spans="1:99" x14ac:dyDescent="0.2">
      <c r="A1250" t="s">
        <v>180</v>
      </c>
      <c r="B1250" t="s">
        <v>181</v>
      </c>
      <c r="C1250" t="s">
        <v>184</v>
      </c>
      <c r="D1250" t="s">
        <v>677</v>
      </c>
      <c r="F1250" t="str">
        <f>"250913"</f>
        <v>250913</v>
      </c>
      <c r="G1250" t="s">
        <v>49</v>
      </c>
      <c r="K1250" t="s">
        <v>51</v>
      </c>
      <c r="L1250" t="s">
        <v>52</v>
      </c>
      <c r="M1250">
        <v>136146.16899999999</v>
      </c>
      <c r="N1250">
        <v>472344.304</v>
      </c>
      <c r="O1250" t="s">
        <v>53</v>
      </c>
      <c r="P1250" t="s">
        <v>54</v>
      </c>
      <c r="Q1250" t="s">
        <v>55</v>
      </c>
      <c r="T1250" t="s">
        <v>716</v>
      </c>
      <c r="U1250">
        <v>40</v>
      </c>
      <c r="V1250" s="1">
        <v>42186</v>
      </c>
      <c r="W1250" s="1">
        <v>42186</v>
      </c>
      <c r="X1250" s="1">
        <v>42186</v>
      </c>
      <c r="Y1250" s="1">
        <v>56796</v>
      </c>
      <c r="Z1250" t="s">
        <v>51</v>
      </c>
      <c r="AB1250" t="s">
        <v>54</v>
      </c>
      <c r="AC1250">
        <v>1</v>
      </c>
      <c r="AE1250" t="s">
        <v>79</v>
      </c>
      <c r="AF1250">
        <v>20</v>
      </c>
      <c r="AG1250" s="1">
        <v>42186</v>
      </c>
      <c r="AH1250" s="1">
        <v>42186</v>
      </c>
      <c r="AI1250" s="1">
        <v>42186</v>
      </c>
      <c r="AJ1250" s="1">
        <v>49491</v>
      </c>
      <c r="AK1250" t="s">
        <v>51</v>
      </c>
      <c r="AN1250">
        <v>0</v>
      </c>
      <c r="AO1250" t="s">
        <v>54</v>
      </c>
      <c r="AP1250" t="s">
        <v>53</v>
      </c>
      <c r="AQ1250">
        <v>0</v>
      </c>
      <c r="AR1250" t="s">
        <v>145</v>
      </c>
      <c r="AS1250">
        <v>0</v>
      </c>
      <c r="AT1250">
        <v>0</v>
      </c>
      <c r="CC1250" t="s">
        <v>432</v>
      </c>
      <c r="CD1250">
        <v>85000</v>
      </c>
      <c r="CE1250" s="1">
        <v>42186</v>
      </c>
      <c r="CF1250" s="1">
        <v>42186</v>
      </c>
      <c r="CG1250" s="1">
        <v>42186</v>
      </c>
      <c r="CH1250" s="1">
        <v>49348</v>
      </c>
      <c r="CI1250" t="s">
        <v>51</v>
      </c>
      <c r="CK1250" t="s">
        <v>78</v>
      </c>
      <c r="CM1250" t="s">
        <v>54</v>
      </c>
      <c r="CN1250" t="s">
        <v>174</v>
      </c>
      <c r="CO1250" t="s">
        <v>86</v>
      </c>
      <c r="CR1250">
        <v>24</v>
      </c>
      <c r="CS1250">
        <v>0</v>
      </c>
      <c r="CT1250">
        <v>0</v>
      </c>
      <c r="CU1250">
        <v>0</v>
      </c>
    </row>
    <row r="1251" spans="1:99" x14ac:dyDescent="0.2">
      <c r="A1251" t="s">
        <v>180</v>
      </c>
      <c r="B1251" t="s">
        <v>181</v>
      </c>
      <c r="C1251" t="s">
        <v>184</v>
      </c>
      <c r="D1251" t="s">
        <v>677</v>
      </c>
      <c r="F1251" t="str">
        <f>"250914"</f>
        <v>250914</v>
      </c>
      <c r="G1251" t="s">
        <v>49</v>
      </c>
      <c r="K1251" t="s">
        <v>51</v>
      </c>
      <c r="L1251" t="s">
        <v>52</v>
      </c>
      <c r="M1251">
        <v>136164.26500000001</v>
      </c>
      <c r="N1251">
        <v>472316.364</v>
      </c>
      <c r="O1251" t="s">
        <v>53</v>
      </c>
      <c r="P1251" t="s">
        <v>54</v>
      </c>
      <c r="Q1251" t="s">
        <v>55</v>
      </c>
      <c r="T1251" t="s">
        <v>716</v>
      </c>
      <c r="U1251">
        <v>40</v>
      </c>
      <c r="V1251" s="1">
        <v>42186</v>
      </c>
      <c r="W1251" s="1">
        <v>42186</v>
      </c>
      <c r="X1251" s="1">
        <v>42186</v>
      </c>
      <c r="Y1251" s="1">
        <v>56796</v>
      </c>
      <c r="Z1251" t="s">
        <v>51</v>
      </c>
      <c r="AB1251" t="s">
        <v>54</v>
      </c>
      <c r="AC1251">
        <v>1</v>
      </c>
      <c r="AE1251" t="s">
        <v>79</v>
      </c>
      <c r="AF1251">
        <v>20</v>
      </c>
      <c r="AG1251" s="1">
        <v>42186</v>
      </c>
      <c r="AH1251" s="1">
        <v>42186</v>
      </c>
      <c r="AI1251" s="1">
        <v>42186</v>
      </c>
      <c r="AJ1251" s="1">
        <v>49491</v>
      </c>
      <c r="AK1251" t="s">
        <v>51</v>
      </c>
      <c r="AN1251">
        <v>0</v>
      </c>
      <c r="AO1251" t="s">
        <v>54</v>
      </c>
      <c r="AP1251" t="s">
        <v>53</v>
      </c>
      <c r="AQ1251">
        <v>0</v>
      </c>
      <c r="AR1251" t="s">
        <v>145</v>
      </c>
      <c r="AS1251">
        <v>0</v>
      </c>
      <c r="AT1251">
        <v>0</v>
      </c>
      <c r="CC1251" t="s">
        <v>432</v>
      </c>
      <c r="CD1251">
        <v>85000</v>
      </c>
      <c r="CE1251" s="1">
        <v>42186</v>
      </c>
      <c r="CF1251" s="1">
        <v>42186</v>
      </c>
      <c r="CG1251" s="1">
        <v>42186</v>
      </c>
      <c r="CH1251" s="1">
        <v>49348</v>
      </c>
      <c r="CI1251" t="s">
        <v>51</v>
      </c>
      <c r="CK1251" t="s">
        <v>78</v>
      </c>
      <c r="CM1251" t="s">
        <v>54</v>
      </c>
      <c r="CN1251" t="s">
        <v>174</v>
      </c>
      <c r="CO1251" t="s">
        <v>86</v>
      </c>
      <c r="CR1251">
        <v>24</v>
      </c>
      <c r="CS1251">
        <v>0</v>
      </c>
      <c r="CT1251">
        <v>0</v>
      </c>
      <c r="CU1251">
        <v>0</v>
      </c>
    </row>
    <row r="1252" spans="1:99" x14ac:dyDescent="0.2">
      <c r="A1252" t="s">
        <v>180</v>
      </c>
      <c r="B1252" t="s">
        <v>181</v>
      </c>
      <c r="C1252" t="s">
        <v>184</v>
      </c>
      <c r="D1252" t="s">
        <v>677</v>
      </c>
      <c r="F1252" t="str">
        <f>"250915"</f>
        <v>250915</v>
      </c>
      <c r="G1252" t="s">
        <v>49</v>
      </c>
      <c r="K1252" t="s">
        <v>51</v>
      </c>
      <c r="L1252" t="s">
        <v>52</v>
      </c>
      <c r="M1252">
        <v>136174.58799999999</v>
      </c>
      <c r="N1252">
        <v>472337.14600000001</v>
      </c>
      <c r="O1252" t="s">
        <v>53</v>
      </c>
      <c r="P1252" t="s">
        <v>54</v>
      </c>
      <c r="Q1252" t="s">
        <v>55</v>
      </c>
      <c r="T1252" t="s">
        <v>716</v>
      </c>
      <c r="U1252">
        <v>40</v>
      </c>
      <c r="V1252" s="1">
        <v>42186</v>
      </c>
      <c r="W1252" s="1">
        <v>42186</v>
      </c>
      <c r="X1252" s="1">
        <v>42186</v>
      </c>
      <c r="Y1252" s="1">
        <v>56796</v>
      </c>
      <c r="Z1252" t="s">
        <v>51</v>
      </c>
      <c r="AB1252" t="s">
        <v>54</v>
      </c>
      <c r="AC1252">
        <v>1</v>
      </c>
      <c r="AE1252" t="s">
        <v>79</v>
      </c>
      <c r="AF1252">
        <v>20</v>
      </c>
      <c r="AG1252" s="1">
        <v>42186</v>
      </c>
      <c r="AH1252" s="1">
        <v>42186</v>
      </c>
      <c r="AI1252" s="1">
        <v>42186</v>
      </c>
      <c r="AJ1252" s="1">
        <v>49491</v>
      </c>
      <c r="AK1252" t="s">
        <v>51</v>
      </c>
      <c r="AN1252">
        <v>0</v>
      </c>
      <c r="AO1252" t="s">
        <v>54</v>
      </c>
      <c r="AP1252" t="s">
        <v>53</v>
      </c>
      <c r="AQ1252">
        <v>0</v>
      </c>
      <c r="AR1252" t="s">
        <v>145</v>
      </c>
      <c r="AS1252">
        <v>0</v>
      </c>
      <c r="AT1252">
        <v>0</v>
      </c>
      <c r="CC1252" t="s">
        <v>432</v>
      </c>
      <c r="CD1252">
        <v>85000</v>
      </c>
      <c r="CE1252" s="1">
        <v>42186</v>
      </c>
      <c r="CF1252" s="1">
        <v>42186</v>
      </c>
      <c r="CG1252" s="1">
        <v>42186</v>
      </c>
      <c r="CH1252" s="1">
        <v>49348</v>
      </c>
      <c r="CI1252" t="s">
        <v>51</v>
      </c>
      <c r="CK1252" t="s">
        <v>78</v>
      </c>
      <c r="CM1252" t="s">
        <v>54</v>
      </c>
      <c r="CN1252" t="s">
        <v>174</v>
      </c>
      <c r="CO1252" t="s">
        <v>86</v>
      </c>
      <c r="CR1252">
        <v>24</v>
      </c>
      <c r="CS1252">
        <v>0</v>
      </c>
      <c r="CT1252">
        <v>0</v>
      </c>
      <c r="CU1252">
        <v>0</v>
      </c>
    </row>
    <row r="1253" spans="1:99" x14ac:dyDescent="0.2">
      <c r="A1253" t="s">
        <v>180</v>
      </c>
      <c r="B1253" t="s">
        <v>181</v>
      </c>
      <c r="C1253" t="s">
        <v>184</v>
      </c>
      <c r="D1253" t="s">
        <v>677</v>
      </c>
      <c r="F1253" t="str">
        <f>"250916"</f>
        <v>250916</v>
      </c>
      <c r="G1253" t="s">
        <v>49</v>
      </c>
      <c r="K1253" t="s">
        <v>51</v>
      </c>
      <c r="L1253" t="s">
        <v>52</v>
      </c>
      <c r="M1253">
        <v>136324.07999999999</v>
      </c>
      <c r="N1253">
        <v>472246.53</v>
      </c>
      <c r="O1253" t="s">
        <v>53</v>
      </c>
      <c r="P1253" t="s">
        <v>54</v>
      </c>
      <c r="Q1253" t="s">
        <v>55</v>
      </c>
      <c r="T1253" t="s">
        <v>239</v>
      </c>
      <c r="U1253">
        <v>40</v>
      </c>
      <c r="V1253" s="1">
        <v>42186</v>
      </c>
      <c r="W1253" s="1">
        <v>42186</v>
      </c>
      <c r="X1253" s="1">
        <v>42186</v>
      </c>
      <c r="Y1253" s="1">
        <v>56796</v>
      </c>
      <c r="Z1253" t="s">
        <v>51</v>
      </c>
      <c r="AB1253" t="s">
        <v>54</v>
      </c>
      <c r="AC1253">
        <v>1</v>
      </c>
      <c r="AE1253" t="s">
        <v>79</v>
      </c>
      <c r="AF1253">
        <v>20</v>
      </c>
      <c r="AG1253" s="1">
        <v>42186</v>
      </c>
      <c r="AH1253" s="1">
        <v>42186</v>
      </c>
      <c r="AI1253" s="1">
        <v>42186</v>
      </c>
      <c r="AJ1253" s="1">
        <v>49491</v>
      </c>
      <c r="AK1253" t="s">
        <v>51</v>
      </c>
      <c r="AN1253">
        <v>0</v>
      </c>
      <c r="AO1253" t="s">
        <v>54</v>
      </c>
      <c r="AP1253" t="s">
        <v>53</v>
      </c>
      <c r="AQ1253">
        <v>0</v>
      </c>
      <c r="AR1253" t="s">
        <v>145</v>
      </c>
      <c r="AS1253">
        <v>0</v>
      </c>
      <c r="AT1253">
        <v>0</v>
      </c>
      <c r="CC1253" t="s">
        <v>560</v>
      </c>
      <c r="CD1253">
        <v>85000</v>
      </c>
      <c r="CE1253" s="1">
        <v>42186</v>
      </c>
      <c r="CF1253" s="1">
        <v>42186</v>
      </c>
      <c r="CG1253" s="1">
        <v>42186</v>
      </c>
      <c r="CH1253" s="1">
        <v>49348</v>
      </c>
      <c r="CI1253" t="s">
        <v>51</v>
      </c>
      <c r="CK1253" t="s">
        <v>78</v>
      </c>
      <c r="CM1253" t="s">
        <v>54</v>
      </c>
      <c r="CN1253" t="s">
        <v>174</v>
      </c>
      <c r="CO1253" t="s">
        <v>86</v>
      </c>
      <c r="CR1253">
        <v>36</v>
      </c>
      <c r="CS1253">
        <v>0</v>
      </c>
      <c r="CT1253">
        <v>0</v>
      </c>
      <c r="CU1253">
        <v>0</v>
      </c>
    </row>
    <row r="1254" spans="1:99" x14ac:dyDescent="0.2">
      <c r="A1254" t="s">
        <v>180</v>
      </c>
      <c r="B1254" t="s">
        <v>181</v>
      </c>
      <c r="C1254" t="s">
        <v>184</v>
      </c>
      <c r="D1254" t="s">
        <v>677</v>
      </c>
      <c r="F1254" t="str">
        <f>"250917"</f>
        <v>250917</v>
      </c>
      <c r="G1254" t="s">
        <v>49</v>
      </c>
      <c r="K1254" t="s">
        <v>51</v>
      </c>
      <c r="L1254" t="s">
        <v>52</v>
      </c>
      <c r="M1254">
        <v>136234.93100000001</v>
      </c>
      <c r="N1254">
        <v>472219.23100000003</v>
      </c>
      <c r="O1254" t="s">
        <v>53</v>
      </c>
      <c r="P1254" t="s">
        <v>54</v>
      </c>
      <c r="Q1254" t="s">
        <v>55</v>
      </c>
      <c r="T1254" t="s">
        <v>241</v>
      </c>
      <c r="U1254">
        <v>40</v>
      </c>
      <c r="V1254" s="1">
        <v>37987</v>
      </c>
      <c r="W1254" s="1">
        <v>37987</v>
      </c>
      <c r="X1254" s="1">
        <v>37987</v>
      </c>
      <c r="Y1254" s="1">
        <v>52597</v>
      </c>
      <c r="Z1254" t="s">
        <v>51</v>
      </c>
      <c r="AB1254" t="s">
        <v>54</v>
      </c>
      <c r="AC1254">
        <v>1</v>
      </c>
      <c r="AE1254" t="s">
        <v>222</v>
      </c>
      <c r="AF1254">
        <v>20</v>
      </c>
      <c r="AG1254" s="1">
        <v>37987</v>
      </c>
      <c r="AH1254" s="1">
        <v>37987</v>
      </c>
      <c r="AI1254" s="1">
        <v>37987</v>
      </c>
      <c r="AJ1254" s="1">
        <v>45292</v>
      </c>
      <c r="AK1254" t="s">
        <v>51</v>
      </c>
      <c r="AN1254">
        <v>0</v>
      </c>
      <c r="AO1254" t="s">
        <v>54</v>
      </c>
      <c r="AP1254" t="s">
        <v>53</v>
      </c>
      <c r="AQ1254">
        <v>0</v>
      </c>
      <c r="AR1254" t="s">
        <v>53</v>
      </c>
      <c r="AS1254">
        <v>0</v>
      </c>
      <c r="AT1254">
        <v>0</v>
      </c>
      <c r="AW1254" t="s">
        <v>58</v>
      </c>
      <c r="AX1254">
        <v>20</v>
      </c>
      <c r="AY1254" s="1">
        <v>37987</v>
      </c>
      <c r="AZ1254" s="1">
        <v>37987</v>
      </c>
      <c r="BA1254" s="1">
        <v>37987</v>
      </c>
      <c r="BB1254" s="1">
        <v>45292</v>
      </c>
      <c r="BC1254" t="s">
        <v>51</v>
      </c>
      <c r="BE1254" t="s">
        <v>54</v>
      </c>
      <c r="BF1254">
        <v>2</v>
      </c>
      <c r="BG1254">
        <v>0</v>
      </c>
      <c r="BH1254" t="s">
        <v>53</v>
      </c>
      <c r="BK1254" t="s">
        <v>65</v>
      </c>
      <c r="BL1254">
        <v>14000</v>
      </c>
      <c r="BM1254" s="1">
        <v>42917</v>
      </c>
      <c r="BN1254" s="1">
        <v>42917</v>
      </c>
      <c r="BO1254" s="1">
        <v>42917</v>
      </c>
      <c r="BP1254" s="1">
        <v>44117</v>
      </c>
      <c r="BQ1254" t="s">
        <v>51</v>
      </c>
      <c r="BS1254" t="s">
        <v>60</v>
      </c>
      <c r="BT1254" t="s">
        <v>54</v>
      </c>
      <c r="BU1254" t="s">
        <v>61</v>
      </c>
      <c r="BV1254" t="s">
        <v>62</v>
      </c>
      <c r="BX1254">
        <v>36</v>
      </c>
      <c r="BY1254">
        <v>0</v>
      </c>
      <c r="BZ1254">
        <v>0</v>
      </c>
    </row>
    <row r="1255" spans="1:99" x14ac:dyDescent="0.2">
      <c r="A1255" t="s">
        <v>180</v>
      </c>
      <c r="B1255" t="s">
        <v>181</v>
      </c>
      <c r="C1255" t="s">
        <v>184</v>
      </c>
      <c r="D1255" t="s">
        <v>677</v>
      </c>
      <c r="F1255" t="str">
        <f>"250919"</f>
        <v>250919</v>
      </c>
      <c r="G1255" t="s">
        <v>49</v>
      </c>
      <c r="K1255" t="s">
        <v>51</v>
      </c>
      <c r="L1255" t="s">
        <v>52</v>
      </c>
      <c r="M1255">
        <v>136229.04999999999</v>
      </c>
      <c r="N1255">
        <v>472174.63</v>
      </c>
      <c r="O1255" t="s">
        <v>53</v>
      </c>
      <c r="P1255" t="s">
        <v>54</v>
      </c>
      <c r="Q1255" t="s">
        <v>55</v>
      </c>
      <c r="T1255" t="s">
        <v>241</v>
      </c>
      <c r="U1255">
        <v>40</v>
      </c>
      <c r="V1255" s="1">
        <v>37987</v>
      </c>
      <c r="W1255" s="1">
        <v>37987</v>
      </c>
      <c r="X1255" s="1">
        <v>37987</v>
      </c>
      <c r="Y1255" s="1">
        <v>52597</v>
      </c>
      <c r="Z1255" t="s">
        <v>51</v>
      </c>
      <c r="AB1255" t="s">
        <v>54</v>
      </c>
      <c r="AC1255">
        <v>1</v>
      </c>
      <c r="AE1255" t="s">
        <v>222</v>
      </c>
      <c r="AF1255">
        <v>20</v>
      </c>
      <c r="AG1255" s="1">
        <v>37987</v>
      </c>
      <c r="AH1255" s="1">
        <v>37987</v>
      </c>
      <c r="AI1255" s="1">
        <v>37987</v>
      </c>
      <c r="AJ1255" s="1">
        <v>45292</v>
      </c>
      <c r="AK1255" t="s">
        <v>51</v>
      </c>
      <c r="AN1255">
        <v>0</v>
      </c>
      <c r="AO1255" t="s">
        <v>54</v>
      </c>
      <c r="AP1255" t="s">
        <v>53</v>
      </c>
      <c r="AQ1255">
        <v>0</v>
      </c>
      <c r="AR1255" t="s">
        <v>53</v>
      </c>
      <c r="AS1255">
        <v>0</v>
      </c>
      <c r="AT1255">
        <v>0</v>
      </c>
      <c r="AW1255" t="s">
        <v>58</v>
      </c>
      <c r="AX1255">
        <v>20</v>
      </c>
      <c r="AY1255" s="1">
        <v>37987</v>
      </c>
      <c r="AZ1255" s="1">
        <v>37987</v>
      </c>
      <c r="BA1255" s="1">
        <v>37987</v>
      </c>
      <c r="BB1255" s="1">
        <v>45292</v>
      </c>
      <c r="BC1255" t="s">
        <v>51</v>
      </c>
      <c r="BE1255" t="s">
        <v>54</v>
      </c>
      <c r="BF1255">
        <v>2</v>
      </c>
      <c r="BG1255">
        <v>0</v>
      </c>
      <c r="BH1255" t="s">
        <v>53</v>
      </c>
      <c r="BK1255" t="s">
        <v>65</v>
      </c>
      <c r="BL1255">
        <v>14000</v>
      </c>
      <c r="BM1255" s="1">
        <v>42917</v>
      </c>
      <c r="BN1255" s="1">
        <v>42917</v>
      </c>
      <c r="BO1255" s="1">
        <v>42917</v>
      </c>
      <c r="BP1255" s="1">
        <v>44117</v>
      </c>
      <c r="BQ1255" t="s">
        <v>51</v>
      </c>
      <c r="BS1255" t="s">
        <v>60</v>
      </c>
      <c r="BT1255" t="s">
        <v>54</v>
      </c>
      <c r="BU1255" t="s">
        <v>61</v>
      </c>
      <c r="BV1255" t="s">
        <v>62</v>
      </c>
      <c r="BX1255">
        <v>36</v>
      </c>
      <c r="BY1255">
        <v>0</v>
      </c>
      <c r="BZ1255">
        <v>0</v>
      </c>
    </row>
    <row r="1256" spans="1:99" x14ac:dyDescent="0.2">
      <c r="A1256" t="s">
        <v>180</v>
      </c>
      <c r="B1256" t="s">
        <v>181</v>
      </c>
      <c r="C1256" t="s">
        <v>184</v>
      </c>
      <c r="D1256" t="s">
        <v>677</v>
      </c>
      <c r="F1256" t="str">
        <f>"250920"</f>
        <v>250920</v>
      </c>
      <c r="G1256" t="s">
        <v>49</v>
      </c>
      <c r="K1256" t="s">
        <v>51</v>
      </c>
      <c r="L1256" t="s">
        <v>52</v>
      </c>
      <c r="M1256">
        <v>136214.48000000001</v>
      </c>
      <c r="N1256">
        <v>472156.03</v>
      </c>
      <c r="O1256" t="s">
        <v>53</v>
      </c>
      <c r="P1256" t="s">
        <v>54</v>
      </c>
      <c r="Q1256" t="s">
        <v>55</v>
      </c>
      <c r="T1256" t="s">
        <v>241</v>
      </c>
      <c r="U1256">
        <v>40</v>
      </c>
      <c r="V1256" s="1">
        <v>37987</v>
      </c>
      <c r="W1256" s="1">
        <v>37987</v>
      </c>
      <c r="X1256" s="1">
        <v>37987</v>
      </c>
      <c r="Y1256" s="1">
        <v>52597</v>
      </c>
      <c r="Z1256" t="s">
        <v>51</v>
      </c>
      <c r="AB1256" t="s">
        <v>54</v>
      </c>
      <c r="AC1256">
        <v>1</v>
      </c>
      <c r="AE1256" t="s">
        <v>222</v>
      </c>
      <c r="AF1256">
        <v>20</v>
      </c>
      <c r="AG1256" s="1">
        <v>37987</v>
      </c>
      <c r="AH1256" s="1">
        <v>37987</v>
      </c>
      <c r="AI1256" s="1">
        <v>37987</v>
      </c>
      <c r="AJ1256" s="1">
        <v>45292</v>
      </c>
      <c r="AK1256" t="s">
        <v>51</v>
      </c>
      <c r="AN1256">
        <v>0</v>
      </c>
      <c r="AO1256" t="s">
        <v>54</v>
      </c>
      <c r="AP1256" t="s">
        <v>53</v>
      </c>
      <c r="AQ1256">
        <v>0</v>
      </c>
      <c r="AR1256" t="s">
        <v>53</v>
      </c>
      <c r="AS1256">
        <v>0</v>
      </c>
      <c r="AT1256">
        <v>0</v>
      </c>
      <c r="AW1256" t="s">
        <v>58</v>
      </c>
      <c r="AX1256">
        <v>20</v>
      </c>
      <c r="AY1256" s="1">
        <v>37987</v>
      </c>
      <c r="AZ1256" s="1">
        <v>37987</v>
      </c>
      <c r="BA1256" s="1">
        <v>37987</v>
      </c>
      <c r="BB1256" s="1">
        <v>45292</v>
      </c>
      <c r="BC1256" t="s">
        <v>51</v>
      </c>
      <c r="BE1256" t="s">
        <v>54</v>
      </c>
      <c r="BF1256">
        <v>2</v>
      </c>
      <c r="BG1256">
        <v>0</v>
      </c>
      <c r="BH1256" t="s">
        <v>53</v>
      </c>
      <c r="BK1256" t="s">
        <v>65</v>
      </c>
      <c r="BL1256">
        <v>14000</v>
      </c>
      <c r="BM1256" s="1">
        <v>44466</v>
      </c>
      <c r="BN1256" s="1">
        <v>44466</v>
      </c>
      <c r="BO1256" s="1">
        <v>44466</v>
      </c>
      <c r="BP1256" s="1">
        <v>45632</v>
      </c>
      <c r="BQ1256" t="s">
        <v>51</v>
      </c>
      <c r="BS1256" t="s">
        <v>60</v>
      </c>
      <c r="BT1256" t="s">
        <v>54</v>
      </c>
      <c r="BU1256" t="s">
        <v>61</v>
      </c>
      <c r="BV1256" t="s">
        <v>62</v>
      </c>
      <c r="BX1256">
        <v>36</v>
      </c>
      <c r="BY1256">
        <v>0</v>
      </c>
      <c r="BZ1256">
        <v>0</v>
      </c>
    </row>
    <row r="1257" spans="1:99" x14ac:dyDescent="0.2">
      <c r="A1257" t="s">
        <v>180</v>
      </c>
      <c r="B1257" t="s">
        <v>181</v>
      </c>
      <c r="C1257" t="s">
        <v>184</v>
      </c>
      <c r="D1257" t="s">
        <v>677</v>
      </c>
      <c r="F1257" t="str">
        <f>"250921"</f>
        <v>250921</v>
      </c>
      <c r="G1257" t="s">
        <v>49</v>
      </c>
      <c r="K1257" t="s">
        <v>51</v>
      </c>
      <c r="L1257" t="s">
        <v>52</v>
      </c>
      <c r="M1257">
        <v>136190.44</v>
      </c>
      <c r="N1257">
        <v>472138.78</v>
      </c>
      <c r="O1257" t="s">
        <v>53</v>
      </c>
      <c r="P1257" t="s">
        <v>54</v>
      </c>
      <c r="Q1257" t="s">
        <v>55</v>
      </c>
      <c r="T1257" t="s">
        <v>241</v>
      </c>
      <c r="U1257">
        <v>40</v>
      </c>
      <c r="V1257" s="1">
        <v>37987</v>
      </c>
      <c r="W1257" s="1">
        <v>37987</v>
      </c>
      <c r="X1257" s="1">
        <v>37987</v>
      </c>
      <c r="Y1257" s="1">
        <v>52597</v>
      </c>
      <c r="Z1257" t="s">
        <v>51</v>
      </c>
      <c r="AB1257" t="s">
        <v>54</v>
      </c>
      <c r="AC1257">
        <v>1</v>
      </c>
      <c r="AE1257" t="s">
        <v>552</v>
      </c>
      <c r="AF1257">
        <v>20</v>
      </c>
      <c r="AG1257" s="1">
        <v>44102</v>
      </c>
      <c r="AH1257" s="1">
        <v>44102</v>
      </c>
      <c r="AI1257" s="1">
        <v>44102</v>
      </c>
      <c r="AJ1257" s="1">
        <v>51407</v>
      </c>
      <c r="AK1257" t="s">
        <v>51</v>
      </c>
      <c r="AN1257">
        <v>0</v>
      </c>
      <c r="AO1257" t="s">
        <v>54</v>
      </c>
      <c r="AP1257" t="s">
        <v>53</v>
      </c>
      <c r="AQ1257">
        <v>0</v>
      </c>
      <c r="AR1257" t="s">
        <v>145</v>
      </c>
      <c r="AS1257">
        <v>0</v>
      </c>
      <c r="AT1257">
        <v>0</v>
      </c>
      <c r="AW1257" t="s">
        <v>58</v>
      </c>
      <c r="AX1257">
        <v>20</v>
      </c>
      <c r="AY1257" s="1">
        <v>37987</v>
      </c>
      <c r="AZ1257" s="1">
        <v>37987</v>
      </c>
      <c r="BA1257" s="1">
        <v>44102</v>
      </c>
      <c r="BB1257" s="1">
        <v>45292</v>
      </c>
      <c r="BC1257" t="s">
        <v>51</v>
      </c>
      <c r="BE1257" t="s">
        <v>54</v>
      </c>
      <c r="BF1257">
        <v>2</v>
      </c>
      <c r="BG1257">
        <v>0</v>
      </c>
      <c r="BH1257" t="s">
        <v>53</v>
      </c>
      <c r="BK1257" t="s">
        <v>65</v>
      </c>
      <c r="BL1257">
        <v>14000</v>
      </c>
      <c r="BM1257" s="1">
        <v>42917</v>
      </c>
      <c r="BN1257" s="1">
        <v>42917</v>
      </c>
      <c r="BO1257" s="1">
        <v>44102</v>
      </c>
      <c r="BP1257" s="1">
        <v>44117</v>
      </c>
      <c r="BQ1257" t="s">
        <v>51</v>
      </c>
      <c r="BS1257" t="s">
        <v>60</v>
      </c>
      <c r="BT1257" t="s">
        <v>54</v>
      </c>
      <c r="BU1257" t="s">
        <v>61</v>
      </c>
      <c r="BV1257" t="s">
        <v>62</v>
      </c>
      <c r="BX1257">
        <v>36</v>
      </c>
      <c r="BY1257">
        <v>0</v>
      </c>
      <c r="BZ1257">
        <v>0</v>
      </c>
    </row>
    <row r="1258" spans="1:99" x14ac:dyDescent="0.2">
      <c r="A1258" t="s">
        <v>180</v>
      </c>
      <c r="B1258" t="s">
        <v>181</v>
      </c>
      <c r="C1258" t="s">
        <v>184</v>
      </c>
      <c r="D1258" t="s">
        <v>677</v>
      </c>
      <c r="F1258" t="str">
        <f>"250922"</f>
        <v>250922</v>
      </c>
      <c r="G1258" t="s">
        <v>49</v>
      </c>
      <c r="K1258" t="s">
        <v>51</v>
      </c>
      <c r="L1258" t="s">
        <v>52</v>
      </c>
      <c r="M1258">
        <v>136172.9</v>
      </c>
      <c r="N1258">
        <v>472154.5</v>
      </c>
      <c r="O1258" t="s">
        <v>53</v>
      </c>
      <c r="P1258" t="s">
        <v>54</v>
      </c>
      <c r="Q1258" t="s">
        <v>55</v>
      </c>
      <c r="T1258" t="s">
        <v>241</v>
      </c>
      <c r="U1258">
        <v>40</v>
      </c>
      <c r="V1258" s="1">
        <v>37987</v>
      </c>
      <c r="W1258" s="1">
        <v>37987</v>
      </c>
      <c r="X1258" s="1">
        <v>37987</v>
      </c>
      <c r="Y1258" s="1">
        <v>52597</v>
      </c>
      <c r="Z1258" t="s">
        <v>51</v>
      </c>
      <c r="AB1258" t="s">
        <v>54</v>
      </c>
      <c r="AC1258">
        <v>1</v>
      </c>
      <c r="AE1258" t="s">
        <v>222</v>
      </c>
      <c r="AF1258">
        <v>20</v>
      </c>
      <c r="AG1258" s="1">
        <v>37987</v>
      </c>
      <c r="AH1258" s="1">
        <v>37987</v>
      </c>
      <c r="AI1258" s="1">
        <v>37987</v>
      </c>
      <c r="AJ1258" s="1">
        <v>45292</v>
      </c>
      <c r="AK1258" t="s">
        <v>51</v>
      </c>
      <c r="AN1258">
        <v>0</v>
      </c>
      <c r="AO1258" t="s">
        <v>54</v>
      </c>
      <c r="AP1258" t="s">
        <v>53</v>
      </c>
      <c r="AQ1258">
        <v>0</v>
      </c>
      <c r="AR1258" t="s">
        <v>53</v>
      </c>
      <c r="AS1258">
        <v>0</v>
      </c>
      <c r="AT1258">
        <v>0</v>
      </c>
      <c r="AW1258" t="s">
        <v>58</v>
      </c>
      <c r="AX1258">
        <v>20</v>
      </c>
      <c r="AY1258" s="1">
        <v>37987</v>
      </c>
      <c r="AZ1258" s="1">
        <v>37987</v>
      </c>
      <c r="BA1258" s="1">
        <v>37987</v>
      </c>
      <c r="BB1258" s="1">
        <v>45292</v>
      </c>
      <c r="BC1258" t="s">
        <v>51</v>
      </c>
      <c r="BE1258" t="s">
        <v>54</v>
      </c>
      <c r="BF1258">
        <v>2</v>
      </c>
      <c r="BG1258">
        <v>0</v>
      </c>
      <c r="BH1258" t="s">
        <v>53</v>
      </c>
      <c r="BK1258" t="s">
        <v>65</v>
      </c>
      <c r="BL1258">
        <v>14000</v>
      </c>
      <c r="BM1258" s="1">
        <v>42917</v>
      </c>
      <c r="BN1258" s="1">
        <v>42917</v>
      </c>
      <c r="BO1258" s="1">
        <v>42917</v>
      </c>
      <c r="BP1258" s="1">
        <v>44117</v>
      </c>
      <c r="BQ1258" t="s">
        <v>51</v>
      </c>
      <c r="BS1258" t="s">
        <v>60</v>
      </c>
      <c r="BT1258" t="s">
        <v>54</v>
      </c>
      <c r="BU1258" t="s">
        <v>61</v>
      </c>
      <c r="BV1258" t="s">
        <v>62</v>
      </c>
      <c r="BX1258">
        <v>36</v>
      </c>
      <c r="BY1258">
        <v>0</v>
      </c>
      <c r="BZ1258">
        <v>0</v>
      </c>
    </row>
    <row r="1259" spans="1:99" x14ac:dyDescent="0.2">
      <c r="A1259" t="s">
        <v>180</v>
      </c>
      <c r="B1259" t="s">
        <v>181</v>
      </c>
      <c r="C1259" t="s">
        <v>184</v>
      </c>
      <c r="D1259" t="s">
        <v>677</v>
      </c>
      <c r="F1259" t="str">
        <f>"250923"</f>
        <v>250923</v>
      </c>
      <c r="G1259" t="s">
        <v>49</v>
      </c>
      <c r="K1259" t="s">
        <v>51</v>
      </c>
      <c r="L1259" t="s">
        <v>52</v>
      </c>
      <c r="M1259">
        <v>136208.68</v>
      </c>
      <c r="N1259">
        <v>472128.23</v>
      </c>
      <c r="O1259" t="s">
        <v>53</v>
      </c>
      <c r="P1259" t="s">
        <v>54</v>
      </c>
      <c r="Q1259" t="s">
        <v>55</v>
      </c>
      <c r="T1259" t="s">
        <v>241</v>
      </c>
      <c r="U1259">
        <v>40</v>
      </c>
      <c r="V1259" s="1">
        <v>37987</v>
      </c>
      <c r="W1259" s="1">
        <v>37987</v>
      </c>
      <c r="X1259" s="1">
        <v>37987</v>
      </c>
      <c r="Y1259" s="1">
        <v>52597</v>
      </c>
      <c r="Z1259" t="s">
        <v>51</v>
      </c>
      <c r="AB1259" t="s">
        <v>54</v>
      </c>
      <c r="AC1259">
        <v>1</v>
      </c>
      <c r="AE1259" t="s">
        <v>222</v>
      </c>
      <c r="AF1259">
        <v>20</v>
      </c>
      <c r="AG1259" s="1">
        <v>37987</v>
      </c>
      <c r="AH1259" s="1">
        <v>37987</v>
      </c>
      <c r="AI1259" s="1">
        <v>37987</v>
      </c>
      <c r="AJ1259" s="1">
        <v>45292</v>
      </c>
      <c r="AK1259" t="s">
        <v>51</v>
      </c>
      <c r="AN1259">
        <v>0</v>
      </c>
      <c r="AO1259" t="s">
        <v>54</v>
      </c>
      <c r="AP1259" t="s">
        <v>53</v>
      </c>
      <c r="AQ1259">
        <v>0</v>
      </c>
      <c r="AR1259" t="s">
        <v>53</v>
      </c>
      <c r="AS1259">
        <v>0</v>
      </c>
      <c r="AT1259">
        <v>0</v>
      </c>
      <c r="AW1259" t="s">
        <v>58</v>
      </c>
      <c r="AX1259">
        <v>20</v>
      </c>
      <c r="AY1259" s="1">
        <v>37987</v>
      </c>
      <c r="AZ1259" s="1">
        <v>37987</v>
      </c>
      <c r="BA1259" s="1">
        <v>37987</v>
      </c>
      <c r="BB1259" s="1">
        <v>45292</v>
      </c>
      <c r="BC1259" t="s">
        <v>51</v>
      </c>
      <c r="BE1259" t="s">
        <v>54</v>
      </c>
      <c r="BF1259">
        <v>2</v>
      </c>
      <c r="BG1259">
        <v>0</v>
      </c>
      <c r="BH1259" t="s">
        <v>53</v>
      </c>
      <c r="BK1259" t="s">
        <v>65</v>
      </c>
      <c r="BL1259">
        <v>14000</v>
      </c>
      <c r="BM1259" s="1">
        <v>42917</v>
      </c>
      <c r="BN1259" s="1">
        <v>42917</v>
      </c>
      <c r="BO1259" s="1">
        <v>42917</v>
      </c>
      <c r="BP1259" s="1">
        <v>44117</v>
      </c>
      <c r="BQ1259" t="s">
        <v>51</v>
      </c>
      <c r="BS1259" t="s">
        <v>60</v>
      </c>
      <c r="BT1259" t="s">
        <v>54</v>
      </c>
      <c r="BU1259" t="s">
        <v>61</v>
      </c>
      <c r="BV1259" t="s">
        <v>62</v>
      </c>
      <c r="BX1259">
        <v>36</v>
      </c>
      <c r="BY1259">
        <v>0</v>
      </c>
      <c r="BZ1259">
        <v>0</v>
      </c>
    </row>
    <row r="1260" spans="1:99" x14ac:dyDescent="0.2">
      <c r="A1260" t="s">
        <v>180</v>
      </c>
      <c r="B1260" t="s">
        <v>181</v>
      </c>
      <c r="C1260" t="s">
        <v>184</v>
      </c>
      <c r="D1260" t="s">
        <v>717</v>
      </c>
      <c r="F1260" t="str">
        <f>"250924"</f>
        <v>250924</v>
      </c>
      <c r="G1260" t="s">
        <v>49</v>
      </c>
      <c r="H1260" t="s">
        <v>259</v>
      </c>
      <c r="K1260" t="s">
        <v>51</v>
      </c>
      <c r="L1260" t="s">
        <v>52</v>
      </c>
      <c r="M1260">
        <v>136360.97700000001</v>
      </c>
      <c r="N1260">
        <v>472153.20799999998</v>
      </c>
      <c r="O1260" t="s">
        <v>53</v>
      </c>
      <c r="P1260" t="s">
        <v>54</v>
      </c>
      <c r="Q1260" t="s">
        <v>55</v>
      </c>
      <c r="T1260" t="s">
        <v>713</v>
      </c>
      <c r="U1260">
        <v>40</v>
      </c>
      <c r="V1260" s="1">
        <v>33239</v>
      </c>
      <c r="W1260" s="1">
        <v>33239</v>
      </c>
      <c r="X1260" s="1">
        <v>33239</v>
      </c>
      <c r="Y1260" s="1">
        <v>47849</v>
      </c>
      <c r="Z1260" t="s">
        <v>51</v>
      </c>
      <c r="AB1260" t="s">
        <v>54</v>
      </c>
      <c r="AC1260">
        <v>1</v>
      </c>
      <c r="AE1260" t="s">
        <v>685</v>
      </c>
      <c r="AF1260">
        <v>20</v>
      </c>
      <c r="AG1260" s="1">
        <v>33420</v>
      </c>
      <c r="AH1260" s="1">
        <v>33420</v>
      </c>
      <c r="AI1260" s="1">
        <v>33420</v>
      </c>
      <c r="AJ1260" s="1">
        <v>40725</v>
      </c>
      <c r="AK1260" t="s">
        <v>51</v>
      </c>
      <c r="AN1260">
        <v>0</v>
      </c>
      <c r="AO1260" t="s">
        <v>54</v>
      </c>
      <c r="AP1260" t="s">
        <v>53</v>
      </c>
      <c r="AQ1260">
        <v>0</v>
      </c>
      <c r="AR1260" t="s">
        <v>53</v>
      </c>
      <c r="AS1260">
        <v>0</v>
      </c>
      <c r="AT1260">
        <v>0</v>
      </c>
      <c r="AW1260" t="s">
        <v>58</v>
      </c>
      <c r="AX1260">
        <v>20</v>
      </c>
      <c r="AY1260" s="1">
        <v>33420</v>
      </c>
      <c r="AZ1260" s="1">
        <v>33420</v>
      </c>
      <c r="BA1260" s="1">
        <v>33420</v>
      </c>
      <c r="BB1260" s="1">
        <v>40725</v>
      </c>
      <c r="BC1260" t="s">
        <v>51</v>
      </c>
      <c r="BE1260" t="s">
        <v>54</v>
      </c>
      <c r="BF1260">
        <v>2</v>
      </c>
      <c r="BG1260">
        <v>0</v>
      </c>
      <c r="BH1260" t="s">
        <v>53</v>
      </c>
      <c r="BK1260" t="s">
        <v>65</v>
      </c>
      <c r="BL1260">
        <v>14000</v>
      </c>
      <c r="BM1260" s="1">
        <v>42917</v>
      </c>
      <c r="BN1260" s="1">
        <v>42917</v>
      </c>
      <c r="BO1260" s="1">
        <v>42917</v>
      </c>
      <c r="BP1260" s="1">
        <v>44117</v>
      </c>
      <c r="BQ1260" t="s">
        <v>51</v>
      </c>
      <c r="BS1260" t="s">
        <v>60</v>
      </c>
      <c r="BT1260" t="s">
        <v>54</v>
      </c>
      <c r="BU1260" t="s">
        <v>61</v>
      </c>
      <c r="BV1260" t="s">
        <v>62</v>
      </c>
      <c r="BX1260">
        <v>36</v>
      </c>
      <c r="BY1260">
        <v>0</v>
      </c>
      <c r="BZ1260">
        <v>0</v>
      </c>
    </row>
    <row r="1261" spans="1:99" x14ac:dyDescent="0.2">
      <c r="A1261" t="s">
        <v>180</v>
      </c>
      <c r="B1261" t="s">
        <v>181</v>
      </c>
      <c r="C1261" t="s">
        <v>184</v>
      </c>
      <c r="D1261" t="s">
        <v>677</v>
      </c>
      <c r="F1261" t="str">
        <f>"250929"</f>
        <v>250929</v>
      </c>
      <c r="G1261" t="s">
        <v>49</v>
      </c>
      <c r="K1261" t="s">
        <v>51</v>
      </c>
      <c r="L1261" t="s">
        <v>52</v>
      </c>
      <c r="M1261">
        <v>136119</v>
      </c>
      <c r="N1261">
        <v>472272.84</v>
      </c>
      <c r="O1261" t="s">
        <v>53</v>
      </c>
      <c r="P1261" t="s">
        <v>54</v>
      </c>
      <c r="Q1261" t="s">
        <v>55</v>
      </c>
      <c r="T1261" t="s">
        <v>241</v>
      </c>
      <c r="U1261">
        <v>40</v>
      </c>
      <c r="V1261" s="1">
        <v>33239</v>
      </c>
      <c r="W1261" s="1">
        <v>33239</v>
      </c>
      <c r="X1261" s="1">
        <v>33239</v>
      </c>
      <c r="Y1261" s="1">
        <v>47849</v>
      </c>
      <c r="Z1261" t="s">
        <v>51</v>
      </c>
      <c r="AB1261" t="s">
        <v>54</v>
      </c>
      <c r="AC1261">
        <v>1</v>
      </c>
      <c r="AE1261" t="s">
        <v>222</v>
      </c>
      <c r="AF1261">
        <v>20</v>
      </c>
      <c r="AG1261" s="1">
        <v>33239</v>
      </c>
      <c r="AH1261" s="1">
        <v>33239</v>
      </c>
      <c r="AI1261" s="1">
        <v>33239</v>
      </c>
      <c r="AJ1261" s="1">
        <v>40544</v>
      </c>
      <c r="AK1261" t="s">
        <v>51</v>
      </c>
      <c r="AN1261">
        <v>0</v>
      </c>
      <c r="AO1261" t="s">
        <v>54</v>
      </c>
      <c r="AP1261" t="s">
        <v>53</v>
      </c>
      <c r="AQ1261">
        <v>0</v>
      </c>
      <c r="AR1261" t="s">
        <v>53</v>
      </c>
      <c r="AS1261">
        <v>0</v>
      </c>
      <c r="AT1261">
        <v>0</v>
      </c>
      <c r="AW1261" t="s">
        <v>58</v>
      </c>
      <c r="AX1261">
        <v>20</v>
      </c>
      <c r="AY1261" s="1">
        <v>33239</v>
      </c>
      <c r="AZ1261" s="1">
        <v>33239</v>
      </c>
      <c r="BA1261" s="1">
        <v>33239</v>
      </c>
      <c r="BB1261" s="1">
        <v>40544</v>
      </c>
      <c r="BC1261" t="s">
        <v>51</v>
      </c>
      <c r="BE1261" t="s">
        <v>54</v>
      </c>
      <c r="BF1261">
        <v>2</v>
      </c>
      <c r="BG1261">
        <v>0</v>
      </c>
      <c r="BH1261" t="s">
        <v>53</v>
      </c>
      <c r="BK1261" t="s">
        <v>65</v>
      </c>
      <c r="BL1261">
        <v>14000</v>
      </c>
      <c r="BM1261" s="1">
        <v>45013</v>
      </c>
      <c r="BN1261" s="1">
        <v>45013</v>
      </c>
      <c r="BO1261" s="1">
        <v>45013</v>
      </c>
      <c r="BP1261" s="1">
        <v>46234</v>
      </c>
      <c r="BQ1261" t="s">
        <v>51</v>
      </c>
      <c r="BS1261" t="s">
        <v>60</v>
      </c>
      <c r="BT1261" t="s">
        <v>54</v>
      </c>
      <c r="BU1261" t="s">
        <v>61</v>
      </c>
      <c r="BV1261" t="s">
        <v>62</v>
      </c>
      <c r="BX1261">
        <v>36</v>
      </c>
      <c r="BY1261">
        <v>0</v>
      </c>
      <c r="BZ1261">
        <v>0</v>
      </c>
    </row>
    <row r="1262" spans="1:99" x14ac:dyDescent="0.2">
      <c r="A1262" t="s">
        <v>180</v>
      </c>
      <c r="B1262" t="s">
        <v>181</v>
      </c>
      <c r="C1262" t="s">
        <v>184</v>
      </c>
      <c r="D1262" t="s">
        <v>710</v>
      </c>
      <c r="F1262" t="str">
        <f>"250930"</f>
        <v>250930</v>
      </c>
      <c r="G1262" t="s">
        <v>49</v>
      </c>
      <c r="K1262" t="s">
        <v>51</v>
      </c>
      <c r="L1262" t="s">
        <v>52</v>
      </c>
      <c r="M1262">
        <v>136086.01</v>
      </c>
      <c r="N1262">
        <v>472278.98</v>
      </c>
      <c r="O1262" t="s">
        <v>53</v>
      </c>
      <c r="P1262" t="s">
        <v>54</v>
      </c>
      <c r="Q1262" t="s">
        <v>55</v>
      </c>
      <c r="T1262" t="s">
        <v>713</v>
      </c>
      <c r="U1262">
        <v>40</v>
      </c>
      <c r="V1262" s="1">
        <v>33239</v>
      </c>
      <c r="W1262" s="1">
        <v>33239</v>
      </c>
      <c r="X1262" s="1">
        <v>33239</v>
      </c>
      <c r="Y1262" s="1">
        <v>47849</v>
      </c>
      <c r="Z1262" t="s">
        <v>51</v>
      </c>
      <c r="AB1262" t="s">
        <v>54</v>
      </c>
      <c r="AC1262">
        <v>1</v>
      </c>
      <c r="AE1262" t="s">
        <v>685</v>
      </c>
      <c r="AF1262">
        <v>20</v>
      </c>
      <c r="AG1262" s="1">
        <v>33420</v>
      </c>
      <c r="AH1262" s="1">
        <v>33420</v>
      </c>
      <c r="AI1262" s="1">
        <v>33420</v>
      </c>
      <c r="AJ1262" s="1">
        <v>40725</v>
      </c>
      <c r="AK1262" t="s">
        <v>51</v>
      </c>
      <c r="AN1262">
        <v>0</v>
      </c>
      <c r="AO1262" t="s">
        <v>54</v>
      </c>
      <c r="AP1262" t="s">
        <v>53</v>
      </c>
      <c r="AQ1262">
        <v>0</v>
      </c>
      <c r="AR1262" t="s">
        <v>53</v>
      </c>
      <c r="AS1262">
        <v>0</v>
      </c>
      <c r="AT1262">
        <v>0</v>
      </c>
      <c r="AW1262" t="s">
        <v>58</v>
      </c>
      <c r="AX1262">
        <v>20</v>
      </c>
      <c r="AY1262" s="1">
        <v>33420</v>
      </c>
      <c r="AZ1262" s="1">
        <v>33420</v>
      </c>
      <c r="BA1262" s="1">
        <v>33420</v>
      </c>
      <c r="BB1262" s="1">
        <v>40725</v>
      </c>
      <c r="BC1262" t="s">
        <v>51</v>
      </c>
      <c r="BE1262" t="s">
        <v>54</v>
      </c>
      <c r="BF1262">
        <v>2</v>
      </c>
      <c r="BG1262">
        <v>0</v>
      </c>
      <c r="BH1262" t="s">
        <v>53</v>
      </c>
      <c r="BK1262" t="s">
        <v>686</v>
      </c>
      <c r="BL1262">
        <v>8000</v>
      </c>
      <c r="BM1262" s="1">
        <v>43500</v>
      </c>
      <c r="BN1262" s="1">
        <v>43500</v>
      </c>
      <c r="BO1262" s="1">
        <v>43500</v>
      </c>
      <c r="BP1262" s="1">
        <v>44189</v>
      </c>
      <c r="BQ1262" t="s">
        <v>51</v>
      </c>
      <c r="BS1262" t="s">
        <v>60</v>
      </c>
      <c r="BT1262" t="s">
        <v>54</v>
      </c>
      <c r="BU1262" t="s">
        <v>687</v>
      </c>
      <c r="BV1262" t="s">
        <v>688</v>
      </c>
      <c r="BX1262">
        <v>18</v>
      </c>
      <c r="BY1262">
        <v>0</v>
      </c>
      <c r="BZ1262">
        <v>0</v>
      </c>
    </row>
    <row r="1263" spans="1:99" x14ac:dyDescent="0.2">
      <c r="A1263" t="s">
        <v>180</v>
      </c>
      <c r="B1263" t="s">
        <v>181</v>
      </c>
      <c r="C1263" t="s">
        <v>184</v>
      </c>
      <c r="D1263" t="s">
        <v>710</v>
      </c>
      <c r="F1263" t="str">
        <f>"250931"</f>
        <v>250931</v>
      </c>
      <c r="G1263" t="s">
        <v>49</v>
      </c>
      <c r="K1263" t="s">
        <v>51</v>
      </c>
      <c r="L1263" t="s">
        <v>52</v>
      </c>
      <c r="M1263">
        <v>136073.5</v>
      </c>
      <c r="N1263">
        <v>472268.66</v>
      </c>
      <c r="O1263" t="s">
        <v>53</v>
      </c>
      <c r="P1263" t="s">
        <v>54</v>
      </c>
      <c r="Q1263" t="s">
        <v>55</v>
      </c>
      <c r="T1263" t="s">
        <v>712</v>
      </c>
      <c r="U1263">
        <v>40</v>
      </c>
      <c r="V1263" s="1">
        <v>33239</v>
      </c>
      <c r="W1263" s="1">
        <v>33239</v>
      </c>
      <c r="X1263" s="1">
        <v>33239</v>
      </c>
      <c r="Y1263" s="1">
        <v>47849</v>
      </c>
      <c r="Z1263" t="s">
        <v>51</v>
      </c>
      <c r="AB1263" t="s">
        <v>54</v>
      </c>
      <c r="AC1263">
        <v>1</v>
      </c>
      <c r="AE1263" t="s">
        <v>685</v>
      </c>
      <c r="AF1263">
        <v>20</v>
      </c>
      <c r="AG1263" s="1">
        <v>33420</v>
      </c>
      <c r="AH1263" s="1">
        <v>33420</v>
      </c>
      <c r="AI1263" s="1">
        <v>33420</v>
      </c>
      <c r="AJ1263" s="1">
        <v>40725</v>
      </c>
      <c r="AK1263" t="s">
        <v>51</v>
      </c>
      <c r="AN1263">
        <v>0</v>
      </c>
      <c r="AO1263" t="s">
        <v>54</v>
      </c>
      <c r="AP1263" t="s">
        <v>53</v>
      </c>
      <c r="AQ1263">
        <v>0</v>
      </c>
      <c r="AR1263" t="s">
        <v>53</v>
      </c>
      <c r="AS1263">
        <v>0</v>
      </c>
      <c r="AT1263">
        <v>0</v>
      </c>
      <c r="AW1263" t="s">
        <v>58</v>
      </c>
      <c r="AX1263">
        <v>20</v>
      </c>
      <c r="AY1263" s="1">
        <v>33420</v>
      </c>
      <c r="AZ1263" s="1">
        <v>33420</v>
      </c>
      <c r="BA1263" s="1">
        <v>33420</v>
      </c>
      <c r="BB1263" s="1">
        <v>40725</v>
      </c>
      <c r="BC1263" t="s">
        <v>51</v>
      </c>
      <c r="BE1263" t="s">
        <v>54</v>
      </c>
      <c r="BF1263">
        <v>2</v>
      </c>
      <c r="BG1263">
        <v>0</v>
      </c>
      <c r="BH1263" t="s">
        <v>53</v>
      </c>
      <c r="BK1263" t="s">
        <v>686</v>
      </c>
      <c r="BL1263">
        <v>8000</v>
      </c>
      <c r="BM1263" s="1">
        <v>44844</v>
      </c>
      <c r="BN1263" s="1">
        <v>44844</v>
      </c>
      <c r="BO1263" s="1">
        <v>44844</v>
      </c>
      <c r="BP1263" s="1">
        <v>45516</v>
      </c>
      <c r="BQ1263" t="s">
        <v>51</v>
      </c>
      <c r="BS1263" t="s">
        <v>60</v>
      </c>
      <c r="BT1263" t="s">
        <v>54</v>
      </c>
      <c r="BU1263" t="s">
        <v>687</v>
      </c>
      <c r="BV1263" t="s">
        <v>688</v>
      </c>
      <c r="BX1263">
        <v>18</v>
      </c>
      <c r="BY1263">
        <v>0</v>
      </c>
      <c r="BZ1263">
        <v>0</v>
      </c>
    </row>
    <row r="1264" spans="1:99" x14ac:dyDescent="0.2">
      <c r="A1264" t="s">
        <v>180</v>
      </c>
      <c r="B1264" t="s">
        <v>181</v>
      </c>
      <c r="C1264" t="s">
        <v>184</v>
      </c>
      <c r="D1264" t="s">
        <v>677</v>
      </c>
      <c r="F1264" t="str">
        <f>"250932"</f>
        <v>250932</v>
      </c>
      <c r="G1264" t="s">
        <v>49</v>
      </c>
      <c r="K1264" t="s">
        <v>51</v>
      </c>
      <c r="L1264" t="s">
        <v>52</v>
      </c>
      <c r="M1264">
        <v>136283.54999999999</v>
      </c>
      <c r="N1264">
        <v>472259.56</v>
      </c>
      <c r="O1264" t="s">
        <v>53</v>
      </c>
      <c r="P1264" t="s">
        <v>54</v>
      </c>
      <c r="Q1264" t="s">
        <v>55</v>
      </c>
      <c r="T1264" t="s">
        <v>682</v>
      </c>
      <c r="U1264">
        <v>40</v>
      </c>
      <c r="V1264" s="1">
        <v>42186</v>
      </c>
      <c r="W1264" s="1">
        <v>42186</v>
      </c>
      <c r="X1264" s="1">
        <v>42186</v>
      </c>
      <c r="Y1264" s="1">
        <v>56796</v>
      </c>
      <c r="Z1264" t="s">
        <v>51</v>
      </c>
      <c r="AB1264" t="s">
        <v>54</v>
      </c>
      <c r="AC1264">
        <v>1</v>
      </c>
      <c r="AE1264" t="s">
        <v>79</v>
      </c>
      <c r="AF1264">
        <v>20</v>
      </c>
      <c r="AG1264" s="1">
        <v>42186</v>
      </c>
      <c r="AH1264" s="1">
        <v>42186</v>
      </c>
      <c r="AI1264" s="1">
        <v>42186</v>
      </c>
      <c r="AJ1264" s="1">
        <v>49491</v>
      </c>
      <c r="AK1264" t="s">
        <v>51</v>
      </c>
      <c r="AN1264">
        <v>0</v>
      </c>
      <c r="AO1264" t="s">
        <v>54</v>
      </c>
      <c r="AP1264" t="s">
        <v>53</v>
      </c>
      <c r="AQ1264">
        <v>0</v>
      </c>
      <c r="AR1264" t="s">
        <v>145</v>
      </c>
      <c r="AS1264">
        <v>0</v>
      </c>
      <c r="AT1264">
        <v>0</v>
      </c>
      <c r="CC1264" t="s">
        <v>560</v>
      </c>
      <c r="CD1264">
        <v>85000</v>
      </c>
      <c r="CE1264" s="1">
        <v>42186</v>
      </c>
      <c r="CF1264" s="1">
        <v>42186</v>
      </c>
      <c r="CG1264" s="1">
        <v>42186</v>
      </c>
      <c r="CH1264" s="1">
        <v>49348</v>
      </c>
      <c r="CI1264" t="s">
        <v>51</v>
      </c>
      <c r="CK1264" t="s">
        <v>78</v>
      </c>
      <c r="CM1264" t="s">
        <v>54</v>
      </c>
      <c r="CN1264" t="s">
        <v>174</v>
      </c>
      <c r="CO1264" t="s">
        <v>86</v>
      </c>
      <c r="CR1264">
        <v>36</v>
      </c>
      <c r="CS1264">
        <v>0</v>
      </c>
      <c r="CT1264">
        <v>0</v>
      </c>
      <c r="CU1264">
        <v>0</v>
      </c>
    </row>
    <row r="1265" spans="1:99" x14ac:dyDescent="0.2">
      <c r="A1265" t="s">
        <v>180</v>
      </c>
      <c r="B1265" t="s">
        <v>181</v>
      </c>
      <c r="C1265" t="s">
        <v>184</v>
      </c>
      <c r="D1265" t="s">
        <v>677</v>
      </c>
      <c r="F1265" t="str">
        <f>"250933"</f>
        <v>250933</v>
      </c>
      <c r="G1265" t="s">
        <v>49</v>
      </c>
      <c r="K1265" t="s">
        <v>51</v>
      </c>
      <c r="L1265" t="s">
        <v>52</v>
      </c>
      <c r="M1265">
        <v>136301.73000000001</v>
      </c>
      <c r="N1265">
        <v>472243.59</v>
      </c>
      <c r="O1265" t="s">
        <v>53</v>
      </c>
      <c r="P1265" t="s">
        <v>54</v>
      </c>
      <c r="Q1265" t="s">
        <v>55</v>
      </c>
      <c r="T1265" t="s">
        <v>682</v>
      </c>
      <c r="U1265">
        <v>40</v>
      </c>
      <c r="V1265" s="1">
        <v>42186</v>
      </c>
      <c r="W1265" s="1">
        <v>42186</v>
      </c>
      <c r="X1265" s="1">
        <v>42186</v>
      </c>
      <c r="Y1265" s="1">
        <v>56796</v>
      </c>
      <c r="Z1265" t="s">
        <v>51</v>
      </c>
      <c r="AB1265" t="s">
        <v>54</v>
      </c>
      <c r="AC1265">
        <v>1</v>
      </c>
      <c r="AE1265" t="s">
        <v>79</v>
      </c>
      <c r="AF1265">
        <v>20</v>
      </c>
      <c r="AG1265" s="1">
        <v>42186</v>
      </c>
      <c r="AH1265" s="1">
        <v>42186</v>
      </c>
      <c r="AI1265" s="1">
        <v>42186</v>
      </c>
      <c r="AJ1265" s="1">
        <v>49491</v>
      </c>
      <c r="AK1265" t="s">
        <v>51</v>
      </c>
      <c r="AN1265">
        <v>0</v>
      </c>
      <c r="AO1265" t="s">
        <v>54</v>
      </c>
      <c r="AP1265" t="s">
        <v>53</v>
      </c>
      <c r="AQ1265">
        <v>0</v>
      </c>
      <c r="AR1265" t="s">
        <v>145</v>
      </c>
      <c r="AS1265">
        <v>0</v>
      </c>
      <c r="AT1265">
        <v>0</v>
      </c>
      <c r="CC1265" t="s">
        <v>432</v>
      </c>
      <c r="CD1265">
        <v>85000</v>
      </c>
      <c r="CE1265" s="1">
        <v>42186</v>
      </c>
      <c r="CF1265" s="1">
        <v>42186</v>
      </c>
      <c r="CG1265" s="1">
        <v>42186</v>
      </c>
      <c r="CH1265" s="1">
        <v>49348</v>
      </c>
      <c r="CI1265" t="s">
        <v>51</v>
      </c>
      <c r="CK1265" t="s">
        <v>78</v>
      </c>
      <c r="CM1265" t="s">
        <v>54</v>
      </c>
      <c r="CN1265" t="s">
        <v>174</v>
      </c>
      <c r="CO1265" t="s">
        <v>86</v>
      </c>
      <c r="CR1265">
        <v>24</v>
      </c>
      <c r="CS1265">
        <v>0</v>
      </c>
      <c r="CT1265">
        <v>0</v>
      </c>
      <c r="CU1265">
        <v>0</v>
      </c>
    </row>
    <row r="1266" spans="1:99" x14ac:dyDescent="0.2">
      <c r="A1266" t="s">
        <v>180</v>
      </c>
      <c r="B1266" t="s">
        <v>181</v>
      </c>
      <c r="C1266" t="s">
        <v>184</v>
      </c>
      <c r="D1266" t="s">
        <v>677</v>
      </c>
      <c r="F1266" t="str">
        <f>"250934"</f>
        <v>250934</v>
      </c>
      <c r="G1266" t="s">
        <v>49</v>
      </c>
      <c r="K1266" t="s">
        <v>718</v>
      </c>
      <c r="L1266" t="s">
        <v>52</v>
      </c>
      <c r="M1266">
        <v>136458.10204914599</v>
      </c>
      <c r="N1266">
        <v>472051.54714176198</v>
      </c>
      <c r="O1266" t="s">
        <v>53</v>
      </c>
      <c r="P1266" t="s">
        <v>54</v>
      </c>
      <c r="AP1266" t="s">
        <v>53</v>
      </c>
      <c r="AR1266" t="s">
        <v>53</v>
      </c>
      <c r="BH1266" t="s">
        <v>53</v>
      </c>
    </row>
    <row r="1267" spans="1:99" x14ac:dyDescent="0.2">
      <c r="A1267" t="s">
        <v>180</v>
      </c>
      <c r="B1267" t="s">
        <v>181</v>
      </c>
      <c r="C1267" t="s">
        <v>184</v>
      </c>
      <c r="D1267" t="s">
        <v>677</v>
      </c>
      <c r="F1267" t="str">
        <f>"250935"</f>
        <v>250935</v>
      </c>
      <c r="G1267" t="s">
        <v>49</v>
      </c>
      <c r="K1267" t="s">
        <v>718</v>
      </c>
      <c r="L1267" t="s">
        <v>52</v>
      </c>
      <c r="M1267">
        <v>136463.96168092499</v>
      </c>
      <c r="N1267">
        <v>472073.260802645</v>
      </c>
      <c r="O1267" t="s">
        <v>53</v>
      </c>
      <c r="P1267" t="s">
        <v>54</v>
      </c>
      <c r="AP1267" t="s">
        <v>53</v>
      </c>
      <c r="AR1267" t="s">
        <v>53</v>
      </c>
      <c r="BH1267" t="s">
        <v>53</v>
      </c>
    </row>
    <row r="1268" spans="1:99" x14ac:dyDescent="0.2">
      <c r="A1268" t="s">
        <v>180</v>
      </c>
      <c r="B1268" t="s">
        <v>181</v>
      </c>
      <c r="C1268" t="s">
        <v>184</v>
      </c>
      <c r="D1268" t="s">
        <v>677</v>
      </c>
      <c r="F1268" t="str">
        <f>"250936"</f>
        <v>250936</v>
      </c>
      <c r="G1268" t="s">
        <v>49</v>
      </c>
      <c r="K1268" t="s">
        <v>718</v>
      </c>
      <c r="L1268" t="s">
        <v>52</v>
      </c>
      <c r="M1268">
        <v>136485.54855868701</v>
      </c>
      <c r="N1268">
        <v>472084.51734587998</v>
      </c>
      <c r="O1268" t="s">
        <v>53</v>
      </c>
      <c r="P1268" t="s">
        <v>54</v>
      </c>
      <c r="AP1268" t="s">
        <v>53</v>
      </c>
      <c r="AR1268" t="s">
        <v>53</v>
      </c>
      <c r="BH1268" t="s">
        <v>53</v>
      </c>
    </row>
    <row r="1269" spans="1:99" x14ac:dyDescent="0.2">
      <c r="A1269" t="s">
        <v>180</v>
      </c>
      <c r="B1269" t="s">
        <v>181</v>
      </c>
      <c r="C1269" t="s">
        <v>184</v>
      </c>
      <c r="D1269" t="s">
        <v>677</v>
      </c>
      <c r="F1269" t="str">
        <f>"250937"</f>
        <v>250937</v>
      </c>
      <c r="G1269" t="s">
        <v>49</v>
      </c>
      <c r="K1269" t="s">
        <v>718</v>
      </c>
      <c r="L1269" t="s">
        <v>52</v>
      </c>
      <c r="M1269">
        <v>136499.520335223</v>
      </c>
      <c r="N1269">
        <v>472079.293779506</v>
      </c>
      <c r="O1269" t="s">
        <v>53</v>
      </c>
      <c r="P1269" t="s">
        <v>54</v>
      </c>
      <c r="AP1269" t="s">
        <v>53</v>
      </c>
      <c r="AR1269" t="s">
        <v>53</v>
      </c>
      <c r="BH1269" t="s">
        <v>53</v>
      </c>
    </row>
    <row r="1270" spans="1:99" x14ac:dyDescent="0.2">
      <c r="A1270" t="s">
        <v>180</v>
      </c>
      <c r="B1270" t="s">
        <v>181</v>
      </c>
      <c r="C1270" t="s">
        <v>184</v>
      </c>
      <c r="D1270" t="s">
        <v>677</v>
      </c>
      <c r="F1270" t="str">
        <f>"250938"</f>
        <v>250938</v>
      </c>
      <c r="G1270" t="s">
        <v>49</v>
      </c>
      <c r="K1270" t="s">
        <v>718</v>
      </c>
      <c r="L1270" t="s">
        <v>52</v>
      </c>
      <c r="M1270">
        <v>136516.86995089799</v>
      </c>
      <c r="N1270">
        <v>472066.83843330498</v>
      </c>
      <c r="O1270" t="s">
        <v>53</v>
      </c>
      <c r="P1270" t="s">
        <v>54</v>
      </c>
      <c r="AP1270" t="s">
        <v>53</v>
      </c>
      <c r="AR1270" t="s">
        <v>53</v>
      </c>
      <c r="BH1270" t="s">
        <v>53</v>
      </c>
    </row>
    <row r="1271" spans="1:99" x14ac:dyDescent="0.2">
      <c r="A1271" t="s">
        <v>180</v>
      </c>
      <c r="B1271" t="s">
        <v>181</v>
      </c>
      <c r="C1271" t="s">
        <v>184</v>
      </c>
      <c r="D1271" t="s">
        <v>677</v>
      </c>
      <c r="F1271" t="str">
        <f>"250939"</f>
        <v>250939</v>
      </c>
      <c r="G1271" t="s">
        <v>49</v>
      </c>
      <c r="K1271" t="s">
        <v>718</v>
      </c>
      <c r="L1271" t="s">
        <v>52</v>
      </c>
      <c r="M1271">
        <v>136499.628176525</v>
      </c>
      <c r="N1271">
        <v>472031.97086908598</v>
      </c>
      <c r="O1271" t="s">
        <v>53</v>
      </c>
      <c r="P1271" t="s">
        <v>54</v>
      </c>
      <c r="AP1271" t="s">
        <v>53</v>
      </c>
      <c r="AR1271" t="s">
        <v>53</v>
      </c>
      <c r="BH1271" t="s">
        <v>53</v>
      </c>
    </row>
    <row r="1272" spans="1:99" x14ac:dyDescent="0.2">
      <c r="A1272" t="s">
        <v>180</v>
      </c>
      <c r="B1272" t="s">
        <v>181</v>
      </c>
      <c r="C1272" t="s">
        <v>184</v>
      </c>
      <c r="D1272" t="s">
        <v>719</v>
      </c>
      <c r="F1272" t="str">
        <f>"250940"</f>
        <v>250940</v>
      </c>
      <c r="G1272" t="s">
        <v>49</v>
      </c>
      <c r="K1272" t="s">
        <v>51</v>
      </c>
      <c r="L1272" t="s">
        <v>52</v>
      </c>
      <c r="M1272">
        <v>136288.51999999999</v>
      </c>
      <c r="N1272">
        <v>472191.2</v>
      </c>
      <c r="O1272" t="s">
        <v>53</v>
      </c>
      <c r="P1272" t="s">
        <v>54</v>
      </c>
      <c r="Q1272" t="s">
        <v>55</v>
      </c>
      <c r="T1272" t="s">
        <v>241</v>
      </c>
      <c r="U1272">
        <v>40</v>
      </c>
      <c r="V1272" s="1">
        <v>32874</v>
      </c>
      <c r="W1272" s="1">
        <v>32874</v>
      </c>
      <c r="X1272" s="1">
        <v>32874</v>
      </c>
      <c r="Y1272" s="1">
        <v>47484</v>
      </c>
      <c r="Z1272" t="s">
        <v>51</v>
      </c>
      <c r="AB1272" t="s">
        <v>54</v>
      </c>
      <c r="AC1272">
        <v>1</v>
      </c>
      <c r="AE1272" t="s">
        <v>222</v>
      </c>
      <c r="AF1272">
        <v>20</v>
      </c>
      <c r="AG1272" s="1">
        <v>32874</v>
      </c>
      <c r="AH1272" s="1">
        <v>32874</v>
      </c>
      <c r="AI1272" s="1">
        <v>32874</v>
      </c>
      <c r="AJ1272" s="1">
        <v>40179</v>
      </c>
      <c r="AK1272" t="s">
        <v>51</v>
      </c>
      <c r="AN1272">
        <v>0</v>
      </c>
      <c r="AO1272" t="s">
        <v>54</v>
      </c>
      <c r="AP1272" t="s">
        <v>53</v>
      </c>
      <c r="AQ1272">
        <v>0</v>
      </c>
      <c r="AR1272" t="s">
        <v>53</v>
      </c>
      <c r="AS1272">
        <v>0</v>
      </c>
      <c r="AT1272">
        <v>0</v>
      </c>
      <c r="AW1272" t="s">
        <v>58</v>
      </c>
      <c r="AX1272">
        <v>20</v>
      </c>
      <c r="AY1272" s="1">
        <v>32874</v>
      </c>
      <c r="AZ1272" s="1">
        <v>32874</v>
      </c>
      <c r="BA1272" s="1">
        <v>32874</v>
      </c>
      <c r="BB1272" s="1">
        <v>40179</v>
      </c>
      <c r="BC1272" t="s">
        <v>51</v>
      </c>
      <c r="BE1272" t="s">
        <v>54</v>
      </c>
      <c r="BF1272">
        <v>2</v>
      </c>
      <c r="BG1272">
        <v>0</v>
      </c>
      <c r="BH1272" t="s">
        <v>53</v>
      </c>
      <c r="BK1272" t="s">
        <v>65</v>
      </c>
      <c r="BL1272">
        <v>14000</v>
      </c>
      <c r="BM1272" s="1">
        <v>42917</v>
      </c>
      <c r="BN1272" s="1">
        <v>42917</v>
      </c>
      <c r="BO1272" s="1">
        <v>42917</v>
      </c>
      <c r="BP1272" s="1">
        <v>44117</v>
      </c>
      <c r="BQ1272" t="s">
        <v>51</v>
      </c>
      <c r="BS1272" t="s">
        <v>60</v>
      </c>
      <c r="BT1272" t="s">
        <v>54</v>
      </c>
      <c r="BU1272" t="s">
        <v>61</v>
      </c>
      <c r="BV1272" t="s">
        <v>62</v>
      </c>
      <c r="BX1272">
        <v>36</v>
      </c>
      <c r="BY1272">
        <v>0</v>
      </c>
      <c r="BZ1272">
        <v>0</v>
      </c>
    </row>
    <row r="1273" spans="1:99" x14ac:dyDescent="0.2">
      <c r="A1273" t="s">
        <v>180</v>
      </c>
      <c r="B1273" t="s">
        <v>181</v>
      </c>
      <c r="C1273" t="s">
        <v>184</v>
      </c>
      <c r="D1273" t="s">
        <v>719</v>
      </c>
      <c r="F1273" t="str">
        <f>"250941"</f>
        <v>250941</v>
      </c>
      <c r="G1273" t="s">
        <v>49</v>
      </c>
      <c r="K1273" t="s">
        <v>51</v>
      </c>
      <c r="L1273" t="s">
        <v>52</v>
      </c>
      <c r="M1273">
        <v>136277.03</v>
      </c>
      <c r="N1273">
        <v>472168.26</v>
      </c>
      <c r="O1273" t="s">
        <v>53</v>
      </c>
      <c r="P1273" t="s">
        <v>54</v>
      </c>
      <c r="Q1273" t="s">
        <v>55</v>
      </c>
      <c r="T1273" t="s">
        <v>241</v>
      </c>
      <c r="U1273">
        <v>40</v>
      </c>
      <c r="V1273" s="1">
        <v>44326</v>
      </c>
      <c r="W1273" s="1">
        <v>44326</v>
      </c>
      <c r="X1273" s="1">
        <v>44326</v>
      </c>
      <c r="Y1273" s="1">
        <v>58936</v>
      </c>
      <c r="Z1273" t="s">
        <v>51</v>
      </c>
      <c r="AB1273" t="s">
        <v>54</v>
      </c>
      <c r="AC1273">
        <v>1</v>
      </c>
      <c r="AE1273" t="s">
        <v>222</v>
      </c>
      <c r="AF1273">
        <v>20</v>
      </c>
      <c r="AG1273" s="1">
        <v>32874</v>
      </c>
      <c r="AH1273" s="1">
        <v>32874</v>
      </c>
      <c r="AI1273" s="1">
        <v>44326</v>
      </c>
      <c r="AJ1273" s="1">
        <v>40179</v>
      </c>
      <c r="AK1273" t="s">
        <v>51</v>
      </c>
      <c r="AN1273">
        <v>0</v>
      </c>
      <c r="AO1273" t="s">
        <v>54</v>
      </c>
      <c r="AP1273" t="s">
        <v>53</v>
      </c>
      <c r="AQ1273">
        <v>0</v>
      </c>
      <c r="AR1273" t="s">
        <v>53</v>
      </c>
      <c r="AS1273">
        <v>0</v>
      </c>
      <c r="AT1273">
        <v>0</v>
      </c>
      <c r="AW1273" t="s">
        <v>58</v>
      </c>
      <c r="AX1273">
        <v>20</v>
      </c>
      <c r="AY1273" s="1">
        <v>32874</v>
      </c>
      <c r="AZ1273" s="1">
        <v>32874</v>
      </c>
      <c r="BA1273" s="1">
        <v>44326</v>
      </c>
      <c r="BB1273" s="1">
        <v>40179</v>
      </c>
      <c r="BC1273" t="s">
        <v>51</v>
      </c>
      <c r="BE1273" t="s">
        <v>54</v>
      </c>
      <c r="BF1273">
        <v>2</v>
      </c>
      <c r="BG1273">
        <v>0</v>
      </c>
      <c r="BH1273" t="s">
        <v>53</v>
      </c>
      <c r="BK1273" t="s">
        <v>65</v>
      </c>
      <c r="BL1273">
        <v>14000</v>
      </c>
      <c r="BM1273" s="1">
        <v>43725</v>
      </c>
      <c r="BN1273" s="1">
        <v>43725</v>
      </c>
      <c r="BO1273" s="1">
        <v>44326</v>
      </c>
      <c r="BP1273" s="1">
        <v>44892</v>
      </c>
      <c r="BQ1273" t="s">
        <v>51</v>
      </c>
      <c r="BS1273" t="s">
        <v>60</v>
      </c>
      <c r="BT1273" t="s">
        <v>54</v>
      </c>
      <c r="BU1273" t="s">
        <v>61</v>
      </c>
      <c r="BV1273" t="s">
        <v>62</v>
      </c>
      <c r="BX1273">
        <v>36</v>
      </c>
      <c r="BY1273">
        <v>0</v>
      </c>
      <c r="BZ1273">
        <v>0</v>
      </c>
    </row>
    <row r="1274" spans="1:99" x14ac:dyDescent="0.2">
      <c r="A1274" t="s">
        <v>180</v>
      </c>
      <c r="B1274" t="s">
        <v>181</v>
      </c>
      <c r="C1274" t="s">
        <v>184</v>
      </c>
      <c r="D1274" t="s">
        <v>719</v>
      </c>
      <c r="F1274" t="str">
        <f>"250942"</f>
        <v>250942</v>
      </c>
      <c r="G1274" t="s">
        <v>49</v>
      </c>
      <c r="K1274" t="s">
        <v>51</v>
      </c>
      <c r="L1274" t="s">
        <v>52</v>
      </c>
      <c r="M1274">
        <v>136277.01999999999</v>
      </c>
      <c r="N1274">
        <v>472146.07</v>
      </c>
      <c r="O1274" t="s">
        <v>53</v>
      </c>
      <c r="P1274" t="s">
        <v>54</v>
      </c>
      <c r="Q1274" t="s">
        <v>55</v>
      </c>
      <c r="T1274" t="s">
        <v>241</v>
      </c>
      <c r="U1274">
        <v>40</v>
      </c>
      <c r="V1274" s="1">
        <v>32874</v>
      </c>
      <c r="W1274" s="1">
        <v>32874</v>
      </c>
      <c r="X1274" s="1">
        <v>32874</v>
      </c>
      <c r="Y1274" s="1">
        <v>47484</v>
      </c>
      <c r="Z1274" t="s">
        <v>51</v>
      </c>
      <c r="AB1274" t="s">
        <v>54</v>
      </c>
      <c r="AC1274">
        <v>1</v>
      </c>
      <c r="AE1274" t="s">
        <v>222</v>
      </c>
      <c r="AF1274">
        <v>20</v>
      </c>
      <c r="AG1274" s="1">
        <v>32874</v>
      </c>
      <c r="AH1274" s="1">
        <v>32874</v>
      </c>
      <c r="AI1274" s="1">
        <v>32874</v>
      </c>
      <c r="AJ1274" s="1">
        <v>40179</v>
      </c>
      <c r="AK1274" t="s">
        <v>51</v>
      </c>
      <c r="AN1274">
        <v>0</v>
      </c>
      <c r="AO1274" t="s">
        <v>54</v>
      </c>
      <c r="AP1274" t="s">
        <v>53</v>
      </c>
      <c r="AQ1274">
        <v>0</v>
      </c>
      <c r="AR1274" t="s">
        <v>53</v>
      </c>
      <c r="AS1274">
        <v>0</v>
      </c>
      <c r="AT1274">
        <v>0</v>
      </c>
      <c r="AW1274" t="s">
        <v>58</v>
      </c>
      <c r="AX1274">
        <v>20</v>
      </c>
      <c r="AY1274" s="1">
        <v>32874</v>
      </c>
      <c r="AZ1274" s="1">
        <v>32874</v>
      </c>
      <c r="BA1274" s="1">
        <v>32874</v>
      </c>
      <c r="BB1274" s="1">
        <v>40179</v>
      </c>
      <c r="BC1274" t="s">
        <v>51</v>
      </c>
      <c r="BE1274" t="s">
        <v>54</v>
      </c>
      <c r="BF1274">
        <v>2</v>
      </c>
      <c r="BG1274">
        <v>0</v>
      </c>
      <c r="BH1274" t="s">
        <v>53</v>
      </c>
      <c r="BK1274" t="s">
        <v>65</v>
      </c>
      <c r="BL1274">
        <v>14000</v>
      </c>
      <c r="BM1274" s="1">
        <v>42917</v>
      </c>
      <c r="BN1274" s="1">
        <v>42917</v>
      </c>
      <c r="BO1274" s="1">
        <v>42917</v>
      </c>
      <c r="BP1274" s="1">
        <v>44117</v>
      </c>
      <c r="BQ1274" t="s">
        <v>51</v>
      </c>
      <c r="BS1274" t="s">
        <v>60</v>
      </c>
      <c r="BT1274" t="s">
        <v>54</v>
      </c>
      <c r="BU1274" t="s">
        <v>61</v>
      </c>
      <c r="BV1274" t="s">
        <v>62</v>
      </c>
      <c r="BX1274">
        <v>36</v>
      </c>
      <c r="BY1274">
        <v>0</v>
      </c>
      <c r="BZ1274">
        <v>0</v>
      </c>
    </row>
    <row r="1275" spans="1:99" x14ac:dyDescent="0.2">
      <c r="A1275" t="s">
        <v>180</v>
      </c>
      <c r="B1275" t="s">
        <v>181</v>
      </c>
      <c r="C1275" t="s">
        <v>184</v>
      </c>
      <c r="D1275" t="s">
        <v>719</v>
      </c>
      <c r="F1275" t="str">
        <f>"250943"</f>
        <v>250943</v>
      </c>
      <c r="G1275" t="s">
        <v>49</v>
      </c>
      <c r="H1275" t="s">
        <v>219</v>
      </c>
      <c r="K1275" t="s">
        <v>51</v>
      </c>
      <c r="L1275" t="s">
        <v>52</v>
      </c>
      <c r="M1275">
        <v>136259.13</v>
      </c>
      <c r="N1275">
        <v>472134.63</v>
      </c>
      <c r="O1275" t="s">
        <v>53</v>
      </c>
      <c r="P1275" t="s">
        <v>54</v>
      </c>
      <c r="Q1275" t="s">
        <v>55</v>
      </c>
      <c r="T1275" t="s">
        <v>241</v>
      </c>
      <c r="U1275">
        <v>40</v>
      </c>
      <c r="V1275" s="1">
        <v>32874</v>
      </c>
      <c r="W1275" s="1">
        <v>32874</v>
      </c>
      <c r="X1275" s="1">
        <v>32874</v>
      </c>
      <c r="Y1275" s="1">
        <v>47484</v>
      </c>
      <c r="Z1275" t="s">
        <v>51</v>
      </c>
      <c r="AB1275" t="s">
        <v>54</v>
      </c>
      <c r="AC1275">
        <v>1</v>
      </c>
      <c r="AE1275" t="s">
        <v>222</v>
      </c>
      <c r="AF1275">
        <v>20</v>
      </c>
      <c r="AG1275" s="1">
        <v>32874</v>
      </c>
      <c r="AH1275" s="1">
        <v>32874</v>
      </c>
      <c r="AI1275" s="1">
        <v>32874</v>
      </c>
      <c r="AJ1275" s="1">
        <v>40179</v>
      </c>
      <c r="AK1275" t="s">
        <v>51</v>
      </c>
      <c r="AN1275">
        <v>0</v>
      </c>
      <c r="AO1275" t="s">
        <v>54</v>
      </c>
      <c r="AP1275" t="s">
        <v>53</v>
      </c>
      <c r="AQ1275">
        <v>0</v>
      </c>
      <c r="AR1275" t="s">
        <v>53</v>
      </c>
      <c r="AS1275">
        <v>0</v>
      </c>
      <c r="AT1275">
        <v>0</v>
      </c>
      <c r="AW1275" t="s">
        <v>58</v>
      </c>
      <c r="AX1275">
        <v>20</v>
      </c>
      <c r="AY1275" s="1">
        <v>32874</v>
      </c>
      <c r="AZ1275" s="1">
        <v>32874</v>
      </c>
      <c r="BA1275" s="1">
        <v>32874</v>
      </c>
      <c r="BB1275" s="1">
        <v>40179</v>
      </c>
      <c r="BC1275" t="s">
        <v>51</v>
      </c>
      <c r="BE1275" t="s">
        <v>54</v>
      </c>
      <c r="BF1275">
        <v>2</v>
      </c>
      <c r="BG1275">
        <v>0</v>
      </c>
      <c r="BH1275" t="s">
        <v>53</v>
      </c>
      <c r="BK1275" t="s">
        <v>65</v>
      </c>
      <c r="BL1275">
        <v>14000</v>
      </c>
      <c r="BM1275" s="1">
        <v>43864</v>
      </c>
      <c r="BN1275" s="1">
        <v>43864</v>
      </c>
      <c r="BO1275" s="1">
        <v>43864</v>
      </c>
      <c r="BP1275" s="1">
        <v>45045</v>
      </c>
      <c r="BQ1275" t="s">
        <v>51</v>
      </c>
      <c r="BS1275" t="s">
        <v>60</v>
      </c>
      <c r="BT1275" t="s">
        <v>54</v>
      </c>
      <c r="BU1275" t="s">
        <v>61</v>
      </c>
      <c r="BV1275" t="s">
        <v>62</v>
      </c>
      <c r="BX1275">
        <v>36</v>
      </c>
      <c r="BY1275">
        <v>0</v>
      </c>
      <c r="BZ1275">
        <v>0</v>
      </c>
    </row>
    <row r="1276" spans="1:99" x14ac:dyDescent="0.2">
      <c r="A1276" t="s">
        <v>180</v>
      </c>
      <c r="B1276" t="s">
        <v>181</v>
      </c>
      <c r="C1276" t="s">
        <v>184</v>
      </c>
      <c r="D1276" t="s">
        <v>719</v>
      </c>
      <c r="F1276" t="str">
        <f>"250944"</f>
        <v>250944</v>
      </c>
      <c r="G1276" t="s">
        <v>49</v>
      </c>
      <c r="K1276" t="s">
        <v>51</v>
      </c>
      <c r="L1276" t="s">
        <v>52</v>
      </c>
      <c r="M1276">
        <v>136257.93</v>
      </c>
      <c r="N1276">
        <v>472114.39</v>
      </c>
      <c r="O1276" t="s">
        <v>53</v>
      </c>
      <c r="P1276" t="s">
        <v>54</v>
      </c>
      <c r="Q1276" t="s">
        <v>55</v>
      </c>
      <c r="T1276" t="s">
        <v>241</v>
      </c>
      <c r="U1276">
        <v>40</v>
      </c>
      <c r="V1276" s="1">
        <v>32874</v>
      </c>
      <c r="W1276" s="1">
        <v>32874</v>
      </c>
      <c r="X1276" s="1">
        <v>32874</v>
      </c>
      <c r="Y1276" s="1">
        <v>47484</v>
      </c>
      <c r="Z1276" t="s">
        <v>51</v>
      </c>
      <c r="AB1276" t="s">
        <v>54</v>
      </c>
      <c r="AC1276">
        <v>1</v>
      </c>
      <c r="AE1276" t="s">
        <v>222</v>
      </c>
      <c r="AF1276">
        <v>20</v>
      </c>
      <c r="AG1276" s="1">
        <v>32874</v>
      </c>
      <c r="AH1276" s="1">
        <v>32874</v>
      </c>
      <c r="AI1276" s="1">
        <v>32874</v>
      </c>
      <c r="AJ1276" s="1">
        <v>40179</v>
      </c>
      <c r="AK1276" t="s">
        <v>51</v>
      </c>
      <c r="AN1276">
        <v>0</v>
      </c>
      <c r="AO1276" t="s">
        <v>54</v>
      </c>
      <c r="AP1276" t="s">
        <v>53</v>
      </c>
      <c r="AQ1276">
        <v>0</v>
      </c>
      <c r="AR1276" t="s">
        <v>53</v>
      </c>
      <c r="AS1276">
        <v>0</v>
      </c>
      <c r="AT1276">
        <v>0</v>
      </c>
      <c r="AW1276" t="s">
        <v>58</v>
      </c>
      <c r="AX1276">
        <v>20</v>
      </c>
      <c r="AY1276" s="1">
        <v>32874</v>
      </c>
      <c r="AZ1276" s="1">
        <v>32874</v>
      </c>
      <c r="BA1276" s="1">
        <v>32874</v>
      </c>
      <c r="BB1276" s="1">
        <v>40179</v>
      </c>
      <c r="BC1276" t="s">
        <v>51</v>
      </c>
      <c r="BE1276" t="s">
        <v>54</v>
      </c>
      <c r="BF1276">
        <v>2</v>
      </c>
      <c r="BG1276">
        <v>0</v>
      </c>
      <c r="BH1276" t="s">
        <v>53</v>
      </c>
      <c r="BK1276" t="s">
        <v>65</v>
      </c>
      <c r="BL1276">
        <v>14000</v>
      </c>
      <c r="BM1276" s="1">
        <v>42917</v>
      </c>
      <c r="BN1276" s="1">
        <v>42917</v>
      </c>
      <c r="BO1276" s="1">
        <v>42917</v>
      </c>
      <c r="BP1276" s="1">
        <v>44117</v>
      </c>
      <c r="BQ1276" t="s">
        <v>51</v>
      </c>
      <c r="BS1276" t="s">
        <v>60</v>
      </c>
      <c r="BT1276" t="s">
        <v>54</v>
      </c>
      <c r="BU1276" t="s">
        <v>61</v>
      </c>
      <c r="BV1276" t="s">
        <v>62</v>
      </c>
      <c r="BX1276">
        <v>36</v>
      </c>
      <c r="BY1276">
        <v>0</v>
      </c>
      <c r="BZ1276">
        <v>0</v>
      </c>
    </row>
    <row r="1277" spans="1:99" x14ac:dyDescent="0.2">
      <c r="A1277" t="s">
        <v>180</v>
      </c>
      <c r="B1277" t="s">
        <v>181</v>
      </c>
      <c r="C1277" t="s">
        <v>184</v>
      </c>
      <c r="D1277" t="s">
        <v>719</v>
      </c>
      <c r="F1277" t="str">
        <f>"250945"</f>
        <v>250945</v>
      </c>
      <c r="G1277" t="s">
        <v>49</v>
      </c>
      <c r="K1277" t="s">
        <v>51</v>
      </c>
      <c r="L1277" t="s">
        <v>52</v>
      </c>
      <c r="M1277">
        <v>136247.033</v>
      </c>
      <c r="N1277">
        <v>472093.02799999999</v>
      </c>
      <c r="O1277" t="s">
        <v>53</v>
      </c>
      <c r="P1277" t="s">
        <v>54</v>
      </c>
      <c r="Q1277" t="s">
        <v>55</v>
      </c>
      <c r="T1277" t="s">
        <v>241</v>
      </c>
      <c r="U1277">
        <v>40</v>
      </c>
      <c r="V1277" s="1">
        <v>32874</v>
      </c>
      <c r="W1277" s="1">
        <v>32874</v>
      </c>
      <c r="X1277" s="1">
        <v>32874</v>
      </c>
      <c r="Y1277" s="1">
        <v>47484</v>
      </c>
      <c r="Z1277" t="s">
        <v>51</v>
      </c>
      <c r="AB1277" t="s">
        <v>54</v>
      </c>
      <c r="AC1277">
        <v>1</v>
      </c>
      <c r="AE1277" t="s">
        <v>222</v>
      </c>
      <c r="AF1277">
        <v>20</v>
      </c>
      <c r="AG1277" s="1">
        <v>32874</v>
      </c>
      <c r="AH1277" s="1">
        <v>32874</v>
      </c>
      <c r="AI1277" s="1">
        <v>32874</v>
      </c>
      <c r="AJ1277" s="1">
        <v>40179</v>
      </c>
      <c r="AK1277" t="s">
        <v>51</v>
      </c>
      <c r="AN1277">
        <v>0</v>
      </c>
      <c r="AO1277" t="s">
        <v>54</v>
      </c>
      <c r="AP1277" t="s">
        <v>53</v>
      </c>
      <c r="AQ1277">
        <v>0</v>
      </c>
      <c r="AR1277" t="s">
        <v>53</v>
      </c>
      <c r="AS1277">
        <v>0</v>
      </c>
      <c r="AT1277">
        <v>0</v>
      </c>
      <c r="AW1277" t="s">
        <v>58</v>
      </c>
      <c r="AX1277">
        <v>20</v>
      </c>
      <c r="AY1277" s="1">
        <v>32874</v>
      </c>
      <c r="AZ1277" s="1">
        <v>32874</v>
      </c>
      <c r="BA1277" s="1">
        <v>32874</v>
      </c>
      <c r="BB1277" s="1">
        <v>40179</v>
      </c>
      <c r="BC1277" t="s">
        <v>51</v>
      </c>
      <c r="BE1277" t="s">
        <v>54</v>
      </c>
      <c r="BF1277">
        <v>2</v>
      </c>
      <c r="BG1277">
        <v>0</v>
      </c>
      <c r="BH1277" t="s">
        <v>53</v>
      </c>
      <c r="BK1277" t="s">
        <v>65</v>
      </c>
      <c r="BL1277">
        <v>14000</v>
      </c>
      <c r="BM1277" s="1">
        <v>42917</v>
      </c>
      <c r="BN1277" s="1">
        <v>42917</v>
      </c>
      <c r="BO1277" s="1">
        <v>42917</v>
      </c>
      <c r="BP1277" s="1">
        <v>44117</v>
      </c>
      <c r="BQ1277" t="s">
        <v>51</v>
      </c>
      <c r="BS1277" t="s">
        <v>60</v>
      </c>
      <c r="BT1277" t="s">
        <v>54</v>
      </c>
      <c r="BU1277" t="s">
        <v>61</v>
      </c>
      <c r="BV1277" t="s">
        <v>62</v>
      </c>
      <c r="BX1277">
        <v>36</v>
      </c>
      <c r="BY1277">
        <v>0</v>
      </c>
      <c r="BZ1277">
        <v>0</v>
      </c>
    </row>
    <row r="1278" spans="1:99" x14ac:dyDescent="0.2">
      <c r="A1278" t="s">
        <v>180</v>
      </c>
      <c r="B1278" t="s">
        <v>181</v>
      </c>
      <c r="C1278" t="s">
        <v>184</v>
      </c>
      <c r="D1278" t="s">
        <v>719</v>
      </c>
      <c r="F1278" t="str">
        <f>"250946"</f>
        <v>250946</v>
      </c>
      <c r="G1278" t="s">
        <v>49</v>
      </c>
      <c r="K1278" t="s">
        <v>51</v>
      </c>
      <c r="L1278" t="s">
        <v>52</v>
      </c>
      <c r="M1278">
        <v>136231.54999999999</v>
      </c>
      <c r="N1278">
        <v>472078.33</v>
      </c>
      <c r="O1278" t="s">
        <v>53</v>
      </c>
      <c r="P1278" t="s">
        <v>54</v>
      </c>
      <c r="Q1278" t="s">
        <v>55</v>
      </c>
      <c r="T1278" t="s">
        <v>241</v>
      </c>
      <c r="U1278">
        <v>40</v>
      </c>
      <c r="V1278" s="1">
        <v>32874</v>
      </c>
      <c r="W1278" s="1">
        <v>32874</v>
      </c>
      <c r="X1278" s="1">
        <v>32874</v>
      </c>
      <c r="Y1278" s="1">
        <v>47484</v>
      </c>
      <c r="Z1278" t="s">
        <v>51</v>
      </c>
      <c r="AB1278" t="s">
        <v>54</v>
      </c>
      <c r="AC1278">
        <v>1</v>
      </c>
      <c r="AE1278" t="s">
        <v>222</v>
      </c>
      <c r="AF1278">
        <v>20</v>
      </c>
      <c r="AG1278" s="1">
        <v>32874</v>
      </c>
      <c r="AH1278" s="1">
        <v>32874</v>
      </c>
      <c r="AI1278" s="1">
        <v>32874</v>
      </c>
      <c r="AJ1278" s="1">
        <v>40179</v>
      </c>
      <c r="AK1278" t="s">
        <v>51</v>
      </c>
      <c r="AN1278">
        <v>0</v>
      </c>
      <c r="AO1278" t="s">
        <v>54</v>
      </c>
      <c r="AP1278" t="s">
        <v>53</v>
      </c>
      <c r="AQ1278">
        <v>0</v>
      </c>
      <c r="AR1278" t="s">
        <v>53</v>
      </c>
      <c r="AS1278">
        <v>0</v>
      </c>
      <c r="AT1278">
        <v>0</v>
      </c>
      <c r="AW1278" t="s">
        <v>58</v>
      </c>
      <c r="AX1278">
        <v>20</v>
      </c>
      <c r="AY1278" s="1">
        <v>32874</v>
      </c>
      <c r="AZ1278" s="1">
        <v>32874</v>
      </c>
      <c r="BA1278" s="1">
        <v>32874</v>
      </c>
      <c r="BB1278" s="1">
        <v>40179</v>
      </c>
      <c r="BC1278" t="s">
        <v>51</v>
      </c>
      <c r="BE1278" t="s">
        <v>54</v>
      </c>
      <c r="BF1278">
        <v>2</v>
      </c>
      <c r="BG1278">
        <v>0</v>
      </c>
      <c r="BH1278" t="s">
        <v>53</v>
      </c>
      <c r="BK1278" t="s">
        <v>65</v>
      </c>
      <c r="BL1278">
        <v>14000</v>
      </c>
      <c r="BM1278" s="1">
        <v>42917</v>
      </c>
      <c r="BN1278" s="1">
        <v>42917</v>
      </c>
      <c r="BO1278" s="1">
        <v>42917</v>
      </c>
      <c r="BP1278" s="1">
        <v>44117</v>
      </c>
      <c r="BQ1278" t="s">
        <v>51</v>
      </c>
      <c r="BS1278" t="s">
        <v>60</v>
      </c>
      <c r="BT1278" t="s">
        <v>54</v>
      </c>
      <c r="BU1278" t="s">
        <v>61</v>
      </c>
      <c r="BV1278" t="s">
        <v>62</v>
      </c>
      <c r="BX1278">
        <v>36</v>
      </c>
      <c r="BY1278">
        <v>0</v>
      </c>
      <c r="BZ1278">
        <v>0</v>
      </c>
    </row>
    <row r="1279" spans="1:99" x14ac:dyDescent="0.2">
      <c r="A1279" t="s">
        <v>180</v>
      </c>
      <c r="B1279" t="s">
        <v>181</v>
      </c>
      <c r="C1279" t="s">
        <v>184</v>
      </c>
      <c r="D1279" t="s">
        <v>719</v>
      </c>
      <c r="F1279" t="str">
        <f>"250947"</f>
        <v>250947</v>
      </c>
      <c r="G1279" t="s">
        <v>49</v>
      </c>
      <c r="K1279" t="s">
        <v>51</v>
      </c>
      <c r="L1279" t="s">
        <v>52</v>
      </c>
      <c r="M1279">
        <v>136377.06</v>
      </c>
      <c r="N1279">
        <v>472106.81</v>
      </c>
      <c r="O1279" t="s">
        <v>145</v>
      </c>
      <c r="P1279" t="s">
        <v>54</v>
      </c>
      <c r="Q1279" t="s">
        <v>55</v>
      </c>
      <c r="T1279" t="s">
        <v>241</v>
      </c>
      <c r="U1279">
        <v>40</v>
      </c>
      <c r="V1279" s="1">
        <v>32874</v>
      </c>
      <c r="W1279" s="1">
        <v>32874</v>
      </c>
      <c r="X1279" s="1">
        <v>32874</v>
      </c>
      <c r="Y1279" s="1">
        <v>47484</v>
      </c>
      <c r="Z1279" t="s">
        <v>51</v>
      </c>
      <c r="AB1279" t="s">
        <v>54</v>
      </c>
      <c r="AC1279">
        <v>1</v>
      </c>
      <c r="AE1279" t="s">
        <v>222</v>
      </c>
      <c r="AF1279">
        <v>20</v>
      </c>
      <c r="AG1279" s="1">
        <v>32874</v>
      </c>
      <c r="AH1279" s="1">
        <v>32874</v>
      </c>
      <c r="AI1279" s="1">
        <v>32874</v>
      </c>
      <c r="AJ1279" s="1">
        <v>40179</v>
      </c>
      <c r="AK1279" t="s">
        <v>51</v>
      </c>
      <c r="AN1279">
        <v>0</v>
      </c>
      <c r="AO1279" t="s">
        <v>54</v>
      </c>
      <c r="AP1279" t="s">
        <v>53</v>
      </c>
      <c r="AQ1279">
        <v>0</v>
      </c>
      <c r="AR1279" t="s">
        <v>53</v>
      </c>
      <c r="AS1279">
        <v>0</v>
      </c>
      <c r="AT1279">
        <v>0</v>
      </c>
      <c r="AW1279" t="s">
        <v>58</v>
      </c>
      <c r="AX1279">
        <v>20</v>
      </c>
      <c r="AY1279" s="1">
        <v>32874</v>
      </c>
      <c r="AZ1279" s="1">
        <v>32874</v>
      </c>
      <c r="BA1279" s="1">
        <v>32874</v>
      </c>
      <c r="BB1279" s="1">
        <v>40179</v>
      </c>
      <c r="BC1279" t="s">
        <v>51</v>
      </c>
      <c r="BE1279" t="s">
        <v>54</v>
      </c>
      <c r="BF1279">
        <v>2</v>
      </c>
      <c r="BG1279">
        <v>0</v>
      </c>
      <c r="BH1279" t="s">
        <v>53</v>
      </c>
      <c r="BK1279" t="s">
        <v>65</v>
      </c>
      <c r="BL1279">
        <v>14000</v>
      </c>
      <c r="BM1279" s="1">
        <v>44039</v>
      </c>
      <c r="BN1279" s="1">
        <v>44039</v>
      </c>
      <c r="BO1279" s="1">
        <v>44039</v>
      </c>
      <c r="BP1279" s="1">
        <v>45226</v>
      </c>
      <c r="BQ1279" t="s">
        <v>51</v>
      </c>
      <c r="BS1279" t="s">
        <v>60</v>
      </c>
      <c r="BT1279" t="s">
        <v>54</v>
      </c>
      <c r="BU1279" t="s">
        <v>61</v>
      </c>
      <c r="BV1279" t="s">
        <v>62</v>
      </c>
      <c r="BX1279">
        <v>36</v>
      </c>
      <c r="BY1279">
        <v>0</v>
      </c>
      <c r="BZ1279">
        <v>0</v>
      </c>
    </row>
    <row r="1280" spans="1:99" x14ac:dyDescent="0.2">
      <c r="A1280" t="s">
        <v>180</v>
      </c>
      <c r="B1280" t="s">
        <v>181</v>
      </c>
      <c r="C1280" t="s">
        <v>184</v>
      </c>
      <c r="D1280" t="s">
        <v>590</v>
      </c>
      <c r="F1280" t="str">
        <f>"250948"</f>
        <v>250948</v>
      </c>
      <c r="G1280" t="s">
        <v>49</v>
      </c>
      <c r="K1280" t="s">
        <v>51</v>
      </c>
      <c r="L1280" t="s">
        <v>52</v>
      </c>
      <c r="M1280">
        <v>136542.26999999999</v>
      </c>
      <c r="N1280">
        <v>472211.81</v>
      </c>
      <c r="O1280" t="s">
        <v>53</v>
      </c>
      <c r="P1280" t="s">
        <v>54</v>
      </c>
      <c r="Q1280" t="s">
        <v>55</v>
      </c>
      <c r="T1280" t="s">
        <v>466</v>
      </c>
      <c r="U1280">
        <v>40</v>
      </c>
      <c r="V1280" s="1">
        <v>26299</v>
      </c>
      <c r="W1280" s="1">
        <v>26299</v>
      </c>
      <c r="X1280" s="1">
        <v>26299</v>
      </c>
      <c r="Y1280" s="1">
        <v>40909</v>
      </c>
      <c r="Z1280" t="s">
        <v>51</v>
      </c>
      <c r="AB1280" t="s">
        <v>54</v>
      </c>
      <c r="AC1280">
        <v>1</v>
      </c>
      <c r="AE1280" t="s">
        <v>84</v>
      </c>
      <c r="AF1280">
        <v>20</v>
      </c>
      <c r="AG1280" s="1">
        <v>26299</v>
      </c>
      <c r="AH1280" s="1">
        <v>26299</v>
      </c>
      <c r="AI1280" s="1">
        <v>26299</v>
      </c>
      <c r="AJ1280" s="1">
        <v>33604</v>
      </c>
      <c r="AK1280" t="s">
        <v>51</v>
      </c>
      <c r="AN1280">
        <v>0</v>
      </c>
      <c r="AO1280" t="s">
        <v>54</v>
      </c>
      <c r="AP1280" t="s">
        <v>53</v>
      </c>
      <c r="AQ1280">
        <v>0</v>
      </c>
      <c r="AR1280" t="s">
        <v>53</v>
      </c>
      <c r="AS1280">
        <v>0</v>
      </c>
      <c r="AT1280">
        <v>0</v>
      </c>
      <c r="AW1280" t="s">
        <v>58</v>
      </c>
      <c r="AX1280">
        <v>20</v>
      </c>
      <c r="AY1280" s="1">
        <v>43374</v>
      </c>
      <c r="AZ1280" s="1">
        <v>43374</v>
      </c>
      <c r="BA1280" s="1">
        <v>43374</v>
      </c>
      <c r="BB1280" s="1">
        <v>50679</v>
      </c>
      <c r="BC1280" t="s">
        <v>51</v>
      </c>
      <c r="BE1280" t="s">
        <v>54</v>
      </c>
      <c r="BF1280">
        <v>2</v>
      </c>
      <c r="BG1280">
        <v>0</v>
      </c>
      <c r="BH1280" t="s">
        <v>53</v>
      </c>
      <c r="BK1280" t="s">
        <v>59</v>
      </c>
      <c r="BL1280">
        <v>14000</v>
      </c>
      <c r="BM1280" s="1">
        <v>43808</v>
      </c>
      <c r="BN1280" s="1">
        <v>43808</v>
      </c>
      <c r="BO1280" s="1">
        <v>43808</v>
      </c>
      <c r="BP1280" s="1">
        <v>44967</v>
      </c>
      <c r="BQ1280" t="s">
        <v>51</v>
      </c>
      <c r="BS1280" t="s">
        <v>60</v>
      </c>
      <c r="BT1280" t="s">
        <v>54</v>
      </c>
      <c r="BU1280" t="s">
        <v>61</v>
      </c>
      <c r="BV1280" t="s">
        <v>62</v>
      </c>
      <c r="BX1280">
        <v>24</v>
      </c>
      <c r="BY1280">
        <v>0</v>
      </c>
      <c r="BZ1280">
        <v>0</v>
      </c>
    </row>
    <row r="1281" spans="1:78" x14ac:dyDescent="0.2">
      <c r="A1281" t="s">
        <v>180</v>
      </c>
      <c r="B1281" t="s">
        <v>181</v>
      </c>
      <c r="C1281" t="s">
        <v>184</v>
      </c>
      <c r="D1281" t="s">
        <v>590</v>
      </c>
      <c r="F1281" t="str">
        <f>"250949"</f>
        <v>250949</v>
      </c>
      <c r="G1281" t="s">
        <v>49</v>
      </c>
      <c r="H1281" t="s">
        <v>537</v>
      </c>
      <c r="K1281" t="s">
        <v>51</v>
      </c>
      <c r="L1281" t="s">
        <v>52</v>
      </c>
      <c r="M1281">
        <v>136576.34</v>
      </c>
      <c r="N1281">
        <v>472197.06</v>
      </c>
      <c r="O1281" t="s">
        <v>53</v>
      </c>
      <c r="P1281" t="s">
        <v>54</v>
      </c>
      <c r="Q1281" t="s">
        <v>55</v>
      </c>
      <c r="T1281" t="s">
        <v>706</v>
      </c>
      <c r="U1281">
        <v>40</v>
      </c>
      <c r="V1281" s="1">
        <v>25750</v>
      </c>
      <c r="W1281" s="1">
        <v>25750</v>
      </c>
      <c r="X1281" s="1">
        <v>25750</v>
      </c>
      <c r="Y1281" s="1">
        <v>40360</v>
      </c>
      <c r="Z1281" t="s">
        <v>51</v>
      </c>
      <c r="AB1281" t="s">
        <v>54</v>
      </c>
      <c r="AC1281">
        <v>1</v>
      </c>
      <c r="AE1281" t="s">
        <v>621</v>
      </c>
      <c r="AF1281">
        <v>20</v>
      </c>
      <c r="AG1281" s="1">
        <v>25750</v>
      </c>
      <c r="AH1281" s="1">
        <v>25750</v>
      </c>
      <c r="AI1281" s="1">
        <v>25750</v>
      </c>
      <c r="AJ1281" s="1">
        <v>33055</v>
      </c>
      <c r="AK1281" t="s">
        <v>51</v>
      </c>
      <c r="AN1281">
        <v>0</v>
      </c>
      <c r="AO1281" t="s">
        <v>54</v>
      </c>
      <c r="AP1281" t="s">
        <v>53</v>
      </c>
      <c r="AQ1281">
        <v>0</v>
      </c>
      <c r="AR1281" t="s">
        <v>53</v>
      </c>
      <c r="AS1281">
        <v>0</v>
      </c>
      <c r="AT1281">
        <v>0</v>
      </c>
      <c r="AW1281" t="s">
        <v>58</v>
      </c>
      <c r="AX1281">
        <v>20</v>
      </c>
      <c r="AY1281" s="1">
        <v>25750</v>
      </c>
      <c r="AZ1281" s="1">
        <v>25750</v>
      </c>
      <c r="BA1281" s="1">
        <v>25750</v>
      </c>
      <c r="BB1281" s="1">
        <v>33055</v>
      </c>
      <c r="BC1281" t="s">
        <v>51</v>
      </c>
      <c r="BE1281" t="s">
        <v>54</v>
      </c>
      <c r="BF1281">
        <v>2</v>
      </c>
      <c r="BG1281">
        <v>0</v>
      </c>
      <c r="BH1281" t="s">
        <v>53</v>
      </c>
      <c r="BI1281">
        <v>1</v>
      </c>
      <c r="BK1281" t="s">
        <v>720</v>
      </c>
      <c r="BL1281">
        <v>17000</v>
      </c>
      <c r="BM1281" s="1">
        <v>43808</v>
      </c>
      <c r="BN1281" s="1">
        <v>43808</v>
      </c>
      <c r="BO1281" s="1">
        <v>43808</v>
      </c>
      <c r="BP1281" s="1">
        <v>45250</v>
      </c>
      <c r="BQ1281" t="s">
        <v>51</v>
      </c>
      <c r="BS1281" t="s">
        <v>60</v>
      </c>
      <c r="BT1281" t="s">
        <v>54</v>
      </c>
      <c r="BU1281" t="s">
        <v>721</v>
      </c>
      <c r="BV1281" t="s">
        <v>722</v>
      </c>
      <c r="BX1281">
        <v>18</v>
      </c>
      <c r="BY1281">
        <v>0</v>
      </c>
      <c r="BZ1281">
        <v>0</v>
      </c>
    </row>
    <row r="1282" spans="1:78" x14ac:dyDescent="0.2">
      <c r="A1282" t="s">
        <v>180</v>
      </c>
      <c r="B1282" t="s">
        <v>181</v>
      </c>
      <c r="C1282" t="s">
        <v>184</v>
      </c>
      <c r="D1282" t="s">
        <v>590</v>
      </c>
      <c r="F1282" t="str">
        <f>"250950"</f>
        <v>250950</v>
      </c>
      <c r="G1282" t="s">
        <v>49</v>
      </c>
      <c r="H1282" t="s">
        <v>723</v>
      </c>
      <c r="K1282" t="s">
        <v>51</v>
      </c>
      <c r="L1282" t="s">
        <v>52</v>
      </c>
      <c r="M1282">
        <v>136589.06</v>
      </c>
      <c r="N1282">
        <v>472186.66</v>
      </c>
      <c r="O1282" t="s">
        <v>53</v>
      </c>
      <c r="P1282" t="s">
        <v>54</v>
      </c>
      <c r="Q1282" t="s">
        <v>55</v>
      </c>
      <c r="T1282" t="s">
        <v>706</v>
      </c>
      <c r="U1282">
        <v>40</v>
      </c>
      <c r="V1282" s="1">
        <v>25750</v>
      </c>
      <c r="W1282" s="1">
        <v>25750</v>
      </c>
      <c r="X1282" s="1">
        <v>25750</v>
      </c>
      <c r="Y1282" s="1">
        <v>40360</v>
      </c>
      <c r="Z1282" t="s">
        <v>51</v>
      </c>
      <c r="AB1282" t="s">
        <v>54</v>
      </c>
      <c r="AC1282">
        <v>1</v>
      </c>
      <c r="AE1282" t="s">
        <v>84</v>
      </c>
      <c r="AF1282">
        <v>20</v>
      </c>
      <c r="AG1282" s="1">
        <v>25750</v>
      </c>
      <c r="AH1282" s="1">
        <v>25750</v>
      </c>
      <c r="AI1282" s="1">
        <v>25750</v>
      </c>
      <c r="AJ1282" s="1">
        <v>33055</v>
      </c>
      <c r="AK1282" t="s">
        <v>51</v>
      </c>
      <c r="AN1282">
        <v>0</v>
      </c>
      <c r="AO1282" t="s">
        <v>54</v>
      </c>
      <c r="AP1282" t="s">
        <v>53</v>
      </c>
      <c r="AQ1282">
        <v>0</v>
      </c>
      <c r="AR1282" t="s">
        <v>53</v>
      </c>
      <c r="AS1282">
        <v>0</v>
      </c>
      <c r="AT1282">
        <v>0</v>
      </c>
      <c r="AW1282" t="s">
        <v>58</v>
      </c>
      <c r="AX1282">
        <v>20</v>
      </c>
      <c r="AY1282" s="1">
        <v>25750</v>
      </c>
      <c r="AZ1282" s="1">
        <v>25750</v>
      </c>
      <c r="BA1282" s="1">
        <v>25750</v>
      </c>
      <c r="BB1282" s="1">
        <v>33055</v>
      </c>
      <c r="BC1282" t="s">
        <v>51</v>
      </c>
      <c r="BE1282" t="s">
        <v>54</v>
      </c>
      <c r="BF1282">
        <v>2</v>
      </c>
      <c r="BG1282">
        <v>0</v>
      </c>
      <c r="BH1282" t="s">
        <v>53</v>
      </c>
      <c r="BI1282">
        <v>1</v>
      </c>
      <c r="BK1282" t="s">
        <v>59</v>
      </c>
      <c r="BL1282">
        <v>14000</v>
      </c>
      <c r="BM1282" s="1">
        <v>42917</v>
      </c>
      <c r="BN1282" s="1">
        <v>42917</v>
      </c>
      <c r="BO1282" s="1">
        <v>42917</v>
      </c>
      <c r="BP1282" s="1">
        <v>44117</v>
      </c>
      <c r="BQ1282" t="s">
        <v>51</v>
      </c>
      <c r="BS1282" t="s">
        <v>60</v>
      </c>
      <c r="BT1282" t="s">
        <v>54</v>
      </c>
      <c r="BU1282" t="s">
        <v>61</v>
      </c>
      <c r="BV1282" t="s">
        <v>62</v>
      </c>
      <c r="BX1282">
        <v>24</v>
      </c>
      <c r="BY1282">
        <v>0</v>
      </c>
      <c r="BZ1282">
        <v>0</v>
      </c>
    </row>
    <row r="1283" spans="1:78" x14ac:dyDescent="0.2">
      <c r="A1283" t="s">
        <v>180</v>
      </c>
      <c r="B1283" t="s">
        <v>181</v>
      </c>
      <c r="C1283" t="s">
        <v>184</v>
      </c>
      <c r="D1283" t="s">
        <v>590</v>
      </c>
      <c r="F1283" t="str">
        <f>"250951"</f>
        <v>250951</v>
      </c>
      <c r="G1283" t="s">
        <v>49</v>
      </c>
      <c r="H1283" t="s">
        <v>504</v>
      </c>
      <c r="K1283" t="s">
        <v>51</v>
      </c>
      <c r="L1283" t="s">
        <v>52</v>
      </c>
      <c r="M1283">
        <v>136604.10999999999</v>
      </c>
      <c r="N1283">
        <v>472165.59</v>
      </c>
      <c r="O1283" t="s">
        <v>53</v>
      </c>
      <c r="P1283" t="s">
        <v>54</v>
      </c>
      <c r="Q1283" t="s">
        <v>55</v>
      </c>
      <c r="T1283" t="s">
        <v>706</v>
      </c>
      <c r="U1283">
        <v>40</v>
      </c>
      <c r="V1283" s="1">
        <v>25750</v>
      </c>
      <c r="W1283" s="1">
        <v>25750</v>
      </c>
      <c r="X1283" s="1">
        <v>25750</v>
      </c>
      <c r="Y1283" s="1">
        <v>40360</v>
      </c>
      <c r="Z1283" t="s">
        <v>51</v>
      </c>
      <c r="AB1283" t="s">
        <v>54</v>
      </c>
      <c r="AC1283">
        <v>1</v>
      </c>
      <c r="AE1283" t="s">
        <v>84</v>
      </c>
      <c r="AF1283">
        <v>20</v>
      </c>
      <c r="AG1283" s="1">
        <v>25750</v>
      </c>
      <c r="AH1283" s="1">
        <v>25750</v>
      </c>
      <c r="AI1283" s="1">
        <v>25750</v>
      </c>
      <c r="AJ1283" s="1">
        <v>33055</v>
      </c>
      <c r="AK1283" t="s">
        <v>51</v>
      </c>
      <c r="AN1283">
        <v>0</v>
      </c>
      <c r="AO1283" t="s">
        <v>54</v>
      </c>
      <c r="AP1283" t="s">
        <v>53</v>
      </c>
      <c r="AQ1283">
        <v>0</v>
      </c>
      <c r="AR1283" t="s">
        <v>53</v>
      </c>
      <c r="AS1283">
        <v>0</v>
      </c>
      <c r="AT1283">
        <v>0</v>
      </c>
      <c r="AW1283" t="s">
        <v>58</v>
      </c>
      <c r="AX1283">
        <v>20</v>
      </c>
      <c r="AY1283" s="1">
        <v>25750</v>
      </c>
      <c r="AZ1283" s="1">
        <v>25750</v>
      </c>
      <c r="BA1283" s="1">
        <v>25750</v>
      </c>
      <c r="BB1283" s="1">
        <v>33055</v>
      </c>
      <c r="BC1283" t="s">
        <v>51</v>
      </c>
      <c r="BE1283" t="s">
        <v>54</v>
      </c>
      <c r="BF1283">
        <v>2</v>
      </c>
      <c r="BG1283">
        <v>0</v>
      </c>
      <c r="BH1283" t="s">
        <v>53</v>
      </c>
      <c r="BI1283">
        <v>1</v>
      </c>
      <c r="BK1283" t="s">
        <v>59</v>
      </c>
      <c r="BL1283">
        <v>14000</v>
      </c>
      <c r="BM1283" s="1">
        <v>42917</v>
      </c>
      <c r="BN1283" s="1">
        <v>42917</v>
      </c>
      <c r="BO1283" s="1">
        <v>42917</v>
      </c>
      <c r="BP1283" s="1">
        <v>44117</v>
      </c>
      <c r="BQ1283" t="s">
        <v>51</v>
      </c>
      <c r="BS1283" t="s">
        <v>60</v>
      </c>
      <c r="BT1283" t="s">
        <v>54</v>
      </c>
      <c r="BU1283" t="s">
        <v>61</v>
      </c>
      <c r="BV1283" t="s">
        <v>62</v>
      </c>
      <c r="BX1283">
        <v>24</v>
      </c>
      <c r="BY1283">
        <v>0</v>
      </c>
      <c r="BZ1283">
        <v>0</v>
      </c>
    </row>
    <row r="1284" spans="1:78" x14ac:dyDescent="0.2">
      <c r="A1284" t="s">
        <v>180</v>
      </c>
      <c r="B1284" t="s">
        <v>181</v>
      </c>
      <c r="C1284" t="s">
        <v>184</v>
      </c>
      <c r="D1284" t="s">
        <v>590</v>
      </c>
      <c r="F1284" t="str">
        <f>"250952"</f>
        <v>250952</v>
      </c>
      <c r="G1284" t="s">
        <v>49</v>
      </c>
      <c r="H1284" t="s">
        <v>581</v>
      </c>
      <c r="K1284" t="s">
        <v>51</v>
      </c>
      <c r="L1284" t="s">
        <v>52</v>
      </c>
      <c r="M1284">
        <v>136627.39000000001</v>
      </c>
      <c r="N1284">
        <v>472160.56</v>
      </c>
      <c r="O1284" t="s">
        <v>53</v>
      </c>
      <c r="P1284" t="s">
        <v>54</v>
      </c>
      <c r="Q1284" t="s">
        <v>55</v>
      </c>
      <c r="T1284" t="s">
        <v>706</v>
      </c>
      <c r="U1284">
        <v>40</v>
      </c>
      <c r="V1284" s="1">
        <v>25750</v>
      </c>
      <c r="W1284" s="1">
        <v>25750</v>
      </c>
      <c r="X1284" s="1">
        <v>25750</v>
      </c>
      <c r="Y1284" s="1">
        <v>40360</v>
      </c>
      <c r="Z1284" t="s">
        <v>51</v>
      </c>
      <c r="AB1284" t="s">
        <v>54</v>
      </c>
      <c r="AC1284">
        <v>1</v>
      </c>
      <c r="AE1284" t="s">
        <v>84</v>
      </c>
      <c r="AF1284">
        <v>20</v>
      </c>
      <c r="AG1284" s="1">
        <v>25750</v>
      </c>
      <c r="AH1284" s="1">
        <v>25750</v>
      </c>
      <c r="AI1284" s="1">
        <v>25750</v>
      </c>
      <c r="AJ1284" s="1">
        <v>33055</v>
      </c>
      <c r="AK1284" t="s">
        <v>51</v>
      </c>
      <c r="AN1284">
        <v>0</v>
      </c>
      <c r="AO1284" t="s">
        <v>54</v>
      </c>
      <c r="AP1284" t="s">
        <v>53</v>
      </c>
      <c r="AQ1284">
        <v>0</v>
      </c>
      <c r="AR1284" t="s">
        <v>53</v>
      </c>
      <c r="AS1284">
        <v>0</v>
      </c>
      <c r="AT1284">
        <v>0</v>
      </c>
      <c r="AW1284" t="s">
        <v>58</v>
      </c>
      <c r="AX1284">
        <v>20</v>
      </c>
      <c r="AY1284" s="1">
        <v>44214</v>
      </c>
      <c r="AZ1284" s="1">
        <v>44214</v>
      </c>
      <c r="BA1284" s="1">
        <v>44214</v>
      </c>
      <c r="BB1284" s="1">
        <v>51519</v>
      </c>
      <c r="BC1284" t="s">
        <v>51</v>
      </c>
      <c r="BE1284" t="s">
        <v>54</v>
      </c>
      <c r="BF1284">
        <v>2</v>
      </c>
      <c r="BG1284">
        <v>0</v>
      </c>
      <c r="BH1284" t="s">
        <v>53</v>
      </c>
      <c r="BK1284" t="s">
        <v>59</v>
      </c>
      <c r="BL1284">
        <v>14000</v>
      </c>
      <c r="BM1284" s="1">
        <v>44214</v>
      </c>
      <c r="BN1284" s="1">
        <v>44214</v>
      </c>
      <c r="BO1284" s="1">
        <v>44214</v>
      </c>
      <c r="BP1284" s="1">
        <v>45385</v>
      </c>
      <c r="BQ1284" t="s">
        <v>51</v>
      </c>
      <c r="BS1284" t="s">
        <v>60</v>
      </c>
      <c r="BT1284" t="s">
        <v>54</v>
      </c>
      <c r="BU1284" t="s">
        <v>61</v>
      </c>
      <c r="BV1284" t="s">
        <v>62</v>
      </c>
      <c r="BX1284">
        <v>24</v>
      </c>
      <c r="BY1284">
        <v>0</v>
      </c>
      <c r="BZ1284">
        <v>0</v>
      </c>
    </row>
    <row r="1285" spans="1:78" x14ac:dyDescent="0.2">
      <c r="A1285" t="s">
        <v>180</v>
      </c>
      <c r="B1285" t="s">
        <v>181</v>
      </c>
      <c r="C1285" t="s">
        <v>184</v>
      </c>
      <c r="D1285" t="s">
        <v>590</v>
      </c>
      <c r="F1285" t="str">
        <f>"250953"</f>
        <v>250953</v>
      </c>
      <c r="G1285" t="s">
        <v>49</v>
      </c>
      <c r="H1285" t="s">
        <v>724</v>
      </c>
      <c r="K1285" t="s">
        <v>51</v>
      </c>
      <c r="L1285" t="s">
        <v>52</v>
      </c>
      <c r="M1285">
        <v>136642.29999999999</v>
      </c>
      <c r="N1285">
        <v>472144.34</v>
      </c>
      <c r="O1285" t="s">
        <v>53</v>
      </c>
      <c r="P1285" t="s">
        <v>54</v>
      </c>
      <c r="Q1285" t="s">
        <v>55</v>
      </c>
      <c r="T1285" t="s">
        <v>706</v>
      </c>
      <c r="U1285">
        <v>40</v>
      </c>
      <c r="V1285" s="1">
        <v>25750</v>
      </c>
      <c r="W1285" s="1">
        <v>25750</v>
      </c>
      <c r="X1285" s="1">
        <v>25750</v>
      </c>
      <c r="Y1285" s="1">
        <v>40360</v>
      </c>
      <c r="Z1285" t="s">
        <v>51</v>
      </c>
      <c r="AB1285" t="s">
        <v>54</v>
      </c>
      <c r="AC1285">
        <v>1</v>
      </c>
      <c r="AE1285" t="s">
        <v>84</v>
      </c>
      <c r="AF1285">
        <v>20</v>
      </c>
      <c r="AG1285" s="1">
        <v>25750</v>
      </c>
      <c r="AH1285" s="1">
        <v>25750</v>
      </c>
      <c r="AI1285" s="1">
        <v>25750</v>
      </c>
      <c r="AJ1285" s="1">
        <v>33055</v>
      </c>
      <c r="AK1285" t="s">
        <v>51</v>
      </c>
      <c r="AN1285">
        <v>0</v>
      </c>
      <c r="AO1285" t="s">
        <v>54</v>
      </c>
      <c r="AP1285" t="s">
        <v>53</v>
      </c>
      <c r="AQ1285">
        <v>0</v>
      </c>
      <c r="AR1285" t="s">
        <v>53</v>
      </c>
      <c r="AS1285">
        <v>0</v>
      </c>
      <c r="AT1285">
        <v>0</v>
      </c>
      <c r="AW1285" t="s">
        <v>58</v>
      </c>
      <c r="AX1285">
        <v>20</v>
      </c>
      <c r="AY1285" s="1">
        <v>25750</v>
      </c>
      <c r="AZ1285" s="1">
        <v>25750</v>
      </c>
      <c r="BA1285" s="1">
        <v>25750</v>
      </c>
      <c r="BB1285" s="1">
        <v>33055</v>
      </c>
      <c r="BC1285" t="s">
        <v>51</v>
      </c>
      <c r="BE1285" t="s">
        <v>54</v>
      </c>
      <c r="BF1285">
        <v>2</v>
      </c>
      <c r="BG1285">
        <v>0</v>
      </c>
      <c r="BH1285" t="s">
        <v>53</v>
      </c>
      <c r="BI1285">
        <v>1</v>
      </c>
      <c r="BK1285" t="s">
        <v>59</v>
      </c>
      <c r="BL1285">
        <v>14000</v>
      </c>
      <c r="BM1285" s="1">
        <v>42917</v>
      </c>
      <c r="BN1285" s="1">
        <v>42917</v>
      </c>
      <c r="BO1285" s="1">
        <v>42917</v>
      </c>
      <c r="BP1285" s="1">
        <v>44117</v>
      </c>
      <c r="BQ1285" t="s">
        <v>51</v>
      </c>
      <c r="BS1285" t="s">
        <v>60</v>
      </c>
      <c r="BT1285" t="s">
        <v>54</v>
      </c>
      <c r="BU1285" t="s">
        <v>61</v>
      </c>
      <c r="BV1285" t="s">
        <v>62</v>
      </c>
      <c r="BX1285">
        <v>24</v>
      </c>
      <c r="BY1285">
        <v>0</v>
      </c>
      <c r="BZ1285">
        <v>0</v>
      </c>
    </row>
    <row r="1286" spans="1:78" x14ac:dyDescent="0.2">
      <c r="A1286" t="s">
        <v>180</v>
      </c>
      <c r="B1286" t="s">
        <v>181</v>
      </c>
      <c r="C1286" t="s">
        <v>184</v>
      </c>
      <c r="D1286" t="s">
        <v>590</v>
      </c>
      <c r="F1286" t="str">
        <f>"250954"</f>
        <v>250954</v>
      </c>
      <c r="G1286" t="s">
        <v>49</v>
      </c>
      <c r="H1286" t="s">
        <v>725</v>
      </c>
      <c r="K1286" t="s">
        <v>51</v>
      </c>
      <c r="L1286" t="s">
        <v>52</v>
      </c>
      <c r="M1286">
        <v>136664.35999999999</v>
      </c>
      <c r="N1286">
        <v>472141.56</v>
      </c>
      <c r="O1286" t="s">
        <v>53</v>
      </c>
      <c r="P1286" t="s">
        <v>54</v>
      </c>
      <c r="Q1286" t="s">
        <v>55</v>
      </c>
      <c r="T1286" t="s">
        <v>706</v>
      </c>
      <c r="U1286">
        <v>40</v>
      </c>
      <c r="V1286" s="1">
        <v>44225</v>
      </c>
      <c r="W1286" s="1">
        <v>44225</v>
      </c>
      <c r="X1286" s="1">
        <v>44225</v>
      </c>
      <c r="Y1286" s="1">
        <v>58835</v>
      </c>
      <c r="Z1286" t="s">
        <v>51</v>
      </c>
      <c r="AB1286" t="s">
        <v>54</v>
      </c>
      <c r="AC1286">
        <v>1</v>
      </c>
      <c r="AE1286" t="s">
        <v>84</v>
      </c>
      <c r="AF1286">
        <v>20</v>
      </c>
      <c r="AG1286" s="1">
        <v>25750</v>
      </c>
      <c r="AH1286" s="1">
        <v>25750</v>
      </c>
      <c r="AI1286" s="1">
        <v>44225</v>
      </c>
      <c r="AJ1286" s="1">
        <v>33055</v>
      </c>
      <c r="AK1286" t="s">
        <v>51</v>
      </c>
      <c r="AN1286">
        <v>0</v>
      </c>
      <c r="AO1286" t="s">
        <v>54</v>
      </c>
      <c r="AP1286" t="s">
        <v>53</v>
      </c>
      <c r="AQ1286">
        <v>0</v>
      </c>
      <c r="AR1286" t="s">
        <v>53</v>
      </c>
      <c r="AS1286">
        <v>0</v>
      </c>
      <c r="AT1286">
        <v>0</v>
      </c>
      <c r="AW1286" t="s">
        <v>58</v>
      </c>
      <c r="AX1286">
        <v>20</v>
      </c>
      <c r="AY1286" s="1">
        <v>25750</v>
      </c>
      <c r="AZ1286" s="1">
        <v>25750</v>
      </c>
      <c r="BA1286" s="1">
        <v>44225</v>
      </c>
      <c r="BB1286" s="1">
        <v>33055</v>
      </c>
      <c r="BC1286" t="s">
        <v>51</v>
      </c>
      <c r="BE1286" t="s">
        <v>54</v>
      </c>
      <c r="BF1286">
        <v>2</v>
      </c>
      <c r="BG1286">
        <v>0</v>
      </c>
      <c r="BH1286" t="s">
        <v>53</v>
      </c>
      <c r="BI1286">
        <v>1</v>
      </c>
      <c r="BK1286" t="s">
        <v>59</v>
      </c>
      <c r="BL1286">
        <v>14000</v>
      </c>
      <c r="BM1286" s="1">
        <v>43374</v>
      </c>
      <c r="BN1286" s="1">
        <v>43374</v>
      </c>
      <c r="BO1286" s="1">
        <v>44225</v>
      </c>
      <c r="BP1286" s="1">
        <v>44539</v>
      </c>
      <c r="BQ1286" t="s">
        <v>51</v>
      </c>
      <c r="BS1286" t="s">
        <v>60</v>
      </c>
      <c r="BT1286" t="s">
        <v>54</v>
      </c>
      <c r="BU1286" t="s">
        <v>61</v>
      </c>
      <c r="BV1286" t="s">
        <v>62</v>
      </c>
      <c r="BX1286">
        <v>24</v>
      </c>
      <c r="BY1286">
        <v>0</v>
      </c>
      <c r="BZ1286">
        <v>0</v>
      </c>
    </row>
    <row r="1287" spans="1:78" x14ac:dyDescent="0.2">
      <c r="A1287" t="s">
        <v>180</v>
      </c>
      <c r="B1287" t="s">
        <v>181</v>
      </c>
      <c r="C1287" t="s">
        <v>184</v>
      </c>
      <c r="D1287" t="s">
        <v>590</v>
      </c>
      <c r="F1287" t="str">
        <f>"250955"</f>
        <v>250955</v>
      </c>
      <c r="G1287" t="s">
        <v>49</v>
      </c>
      <c r="H1287" t="s">
        <v>726</v>
      </c>
      <c r="K1287" t="s">
        <v>51</v>
      </c>
      <c r="L1287" t="s">
        <v>52</v>
      </c>
      <c r="M1287">
        <v>136683.48000000001</v>
      </c>
      <c r="N1287">
        <v>472124.19</v>
      </c>
      <c r="O1287" t="s">
        <v>53</v>
      </c>
      <c r="P1287" t="s">
        <v>54</v>
      </c>
      <c r="Q1287" t="s">
        <v>55</v>
      </c>
      <c r="T1287" t="s">
        <v>466</v>
      </c>
      <c r="U1287">
        <v>40</v>
      </c>
      <c r="V1287" s="1">
        <v>25750</v>
      </c>
      <c r="W1287" s="1">
        <v>25750</v>
      </c>
      <c r="X1287" s="1">
        <v>25750</v>
      </c>
      <c r="Y1287" s="1">
        <v>40360</v>
      </c>
      <c r="Z1287" t="s">
        <v>51</v>
      </c>
      <c r="AB1287" t="s">
        <v>54</v>
      </c>
      <c r="AC1287">
        <v>1</v>
      </c>
      <c r="AE1287" t="s">
        <v>84</v>
      </c>
      <c r="AF1287">
        <v>20</v>
      </c>
      <c r="AG1287" s="1">
        <v>25750</v>
      </c>
      <c r="AH1287" s="1">
        <v>25750</v>
      </c>
      <c r="AI1287" s="1">
        <v>25750</v>
      </c>
      <c r="AJ1287" s="1">
        <v>33055</v>
      </c>
      <c r="AK1287" t="s">
        <v>51</v>
      </c>
      <c r="AN1287">
        <v>0</v>
      </c>
      <c r="AO1287" t="s">
        <v>54</v>
      </c>
      <c r="AP1287" t="s">
        <v>53</v>
      </c>
      <c r="AQ1287">
        <v>0</v>
      </c>
      <c r="AR1287" t="s">
        <v>53</v>
      </c>
      <c r="AS1287">
        <v>0</v>
      </c>
      <c r="AT1287">
        <v>0</v>
      </c>
      <c r="AW1287" t="s">
        <v>58</v>
      </c>
      <c r="AX1287">
        <v>20</v>
      </c>
      <c r="AY1287" s="1">
        <v>25750</v>
      </c>
      <c r="AZ1287" s="1">
        <v>25750</v>
      </c>
      <c r="BA1287" s="1">
        <v>25750</v>
      </c>
      <c r="BB1287" s="1">
        <v>33055</v>
      </c>
      <c r="BC1287" t="s">
        <v>51</v>
      </c>
      <c r="BE1287" t="s">
        <v>54</v>
      </c>
      <c r="BF1287">
        <v>2</v>
      </c>
      <c r="BG1287">
        <v>0</v>
      </c>
      <c r="BH1287" t="s">
        <v>53</v>
      </c>
      <c r="BI1287">
        <v>1</v>
      </c>
      <c r="BK1287" t="s">
        <v>59</v>
      </c>
      <c r="BL1287">
        <v>14000</v>
      </c>
      <c r="BM1287" s="1">
        <v>42917</v>
      </c>
      <c r="BN1287" s="1">
        <v>42917</v>
      </c>
      <c r="BO1287" s="1">
        <v>42917</v>
      </c>
      <c r="BP1287" s="1">
        <v>44117</v>
      </c>
      <c r="BQ1287" t="s">
        <v>51</v>
      </c>
      <c r="BS1287" t="s">
        <v>60</v>
      </c>
      <c r="BT1287" t="s">
        <v>54</v>
      </c>
      <c r="BU1287" t="s">
        <v>61</v>
      </c>
      <c r="BV1287" t="s">
        <v>62</v>
      </c>
      <c r="BX1287">
        <v>24</v>
      </c>
      <c r="BY1287">
        <v>0</v>
      </c>
      <c r="BZ1287">
        <v>0</v>
      </c>
    </row>
    <row r="1288" spans="1:78" x14ac:dyDescent="0.2">
      <c r="A1288" t="s">
        <v>180</v>
      </c>
      <c r="B1288" t="s">
        <v>181</v>
      </c>
      <c r="C1288" t="s">
        <v>184</v>
      </c>
      <c r="D1288" t="s">
        <v>590</v>
      </c>
      <c r="F1288" t="str">
        <f>"250956"</f>
        <v>250956</v>
      </c>
      <c r="G1288" t="s">
        <v>49</v>
      </c>
      <c r="H1288" t="s">
        <v>727</v>
      </c>
      <c r="K1288" t="s">
        <v>51</v>
      </c>
      <c r="L1288" t="s">
        <v>52</v>
      </c>
      <c r="M1288">
        <v>136706.04999999999</v>
      </c>
      <c r="N1288">
        <v>472123.16</v>
      </c>
      <c r="O1288" t="s">
        <v>53</v>
      </c>
      <c r="P1288" t="s">
        <v>54</v>
      </c>
      <c r="Q1288" t="s">
        <v>55</v>
      </c>
      <c r="T1288" t="s">
        <v>706</v>
      </c>
      <c r="U1288">
        <v>40</v>
      </c>
      <c r="V1288" s="1">
        <v>25750</v>
      </c>
      <c r="W1288" s="1">
        <v>25750</v>
      </c>
      <c r="X1288" s="1">
        <v>25750</v>
      </c>
      <c r="Y1288" s="1">
        <v>40360</v>
      </c>
      <c r="Z1288" t="s">
        <v>51</v>
      </c>
      <c r="AB1288" t="s">
        <v>54</v>
      </c>
      <c r="AC1288">
        <v>1</v>
      </c>
      <c r="AE1288" t="s">
        <v>84</v>
      </c>
      <c r="AF1288">
        <v>20</v>
      </c>
      <c r="AG1288" s="1">
        <v>25750</v>
      </c>
      <c r="AH1288" s="1">
        <v>25750</v>
      </c>
      <c r="AI1288" s="1">
        <v>25750</v>
      </c>
      <c r="AJ1288" s="1">
        <v>33055</v>
      </c>
      <c r="AK1288" t="s">
        <v>51</v>
      </c>
      <c r="AN1288">
        <v>0</v>
      </c>
      <c r="AO1288" t="s">
        <v>54</v>
      </c>
      <c r="AP1288" t="s">
        <v>53</v>
      </c>
      <c r="AQ1288">
        <v>0</v>
      </c>
      <c r="AR1288" t="s">
        <v>53</v>
      </c>
      <c r="AS1288">
        <v>0</v>
      </c>
      <c r="AT1288">
        <v>0</v>
      </c>
      <c r="AW1288" t="s">
        <v>58</v>
      </c>
      <c r="AX1288">
        <v>20</v>
      </c>
      <c r="AY1288" s="1">
        <v>25750</v>
      </c>
      <c r="AZ1288" s="1">
        <v>25750</v>
      </c>
      <c r="BA1288" s="1">
        <v>25750</v>
      </c>
      <c r="BB1288" s="1">
        <v>33055</v>
      </c>
      <c r="BC1288" t="s">
        <v>51</v>
      </c>
      <c r="BE1288" t="s">
        <v>54</v>
      </c>
      <c r="BF1288">
        <v>2</v>
      </c>
      <c r="BG1288">
        <v>0</v>
      </c>
      <c r="BH1288" t="s">
        <v>53</v>
      </c>
      <c r="BI1288">
        <v>1</v>
      </c>
      <c r="BK1288" t="s">
        <v>59</v>
      </c>
      <c r="BL1288">
        <v>14000</v>
      </c>
      <c r="BM1288" s="1">
        <v>42917</v>
      </c>
      <c r="BN1288" s="1">
        <v>42917</v>
      </c>
      <c r="BO1288" s="1">
        <v>42917</v>
      </c>
      <c r="BP1288" s="1">
        <v>44117</v>
      </c>
      <c r="BQ1288" t="s">
        <v>51</v>
      </c>
      <c r="BS1288" t="s">
        <v>60</v>
      </c>
      <c r="BT1288" t="s">
        <v>54</v>
      </c>
      <c r="BU1288" t="s">
        <v>61</v>
      </c>
      <c r="BV1288" t="s">
        <v>62</v>
      </c>
      <c r="BX1288">
        <v>24</v>
      </c>
      <c r="BY1288">
        <v>0</v>
      </c>
      <c r="BZ1288">
        <v>0</v>
      </c>
    </row>
    <row r="1289" spans="1:78" x14ac:dyDescent="0.2">
      <c r="A1289" t="s">
        <v>180</v>
      </c>
      <c r="B1289" t="s">
        <v>181</v>
      </c>
      <c r="C1289" t="s">
        <v>184</v>
      </c>
      <c r="D1289" t="s">
        <v>590</v>
      </c>
      <c r="F1289" t="str">
        <f>"250957"</f>
        <v>250957</v>
      </c>
      <c r="G1289" t="s">
        <v>49</v>
      </c>
      <c r="K1289" t="s">
        <v>51</v>
      </c>
      <c r="L1289" t="s">
        <v>52</v>
      </c>
      <c r="M1289">
        <v>136727.44099999999</v>
      </c>
      <c r="N1289">
        <v>472111.70299999998</v>
      </c>
      <c r="O1289" t="s">
        <v>53</v>
      </c>
      <c r="P1289" t="s">
        <v>54</v>
      </c>
      <c r="Q1289" t="s">
        <v>55</v>
      </c>
      <c r="T1289" t="s">
        <v>706</v>
      </c>
      <c r="U1289">
        <v>40</v>
      </c>
      <c r="V1289" s="1">
        <v>25750</v>
      </c>
      <c r="W1289" s="1">
        <v>25750</v>
      </c>
      <c r="X1289" s="1">
        <v>25750</v>
      </c>
      <c r="Y1289" s="1">
        <v>40360</v>
      </c>
      <c r="Z1289" t="s">
        <v>51</v>
      </c>
      <c r="AB1289" t="s">
        <v>54</v>
      </c>
      <c r="AC1289">
        <v>1</v>
      </c>
      <c r="AE1289" t="s">
        <v>84</v>
      </c>
      <c r="AF1289">
        <v>20</v>
      </c>
      <c r="AG1289" s="1">
        <v>25750</v>
      </c>
      <c r="AH1289" s="1">
        <v>25750</v>
      </c>
      <c r="AI1289" s="1">
        <v>25750</v>
      </c>
      <c r="AJ1289" s="1">
        <v>33055</v>
      </c>
      <c r="AK1289" t="s">
        <v>51</v>
      </c>
      <c r="AN1289">
        <v>0</v>
      </c>
      <c r="AO1289" t="s">
        <v>54</v>
      </c>
      <c r="AP1289" t="s">
        <v>53</v>
      </c>
      <c r="AQ1289">
        <v>0</v>
      </c>
      <c r="AR1289" t="s">
        <v>53</v>
      </c>
      <c r="AS1289">
        <v>0</v>
      </c>
      <c r="AT1289">
        <v>0</v>
      </c>
      <c r="AW1289" t="s">
        <v>58</v>
      </c>
      <c r="AX1289">
        <v>20</v>
      </c>
      <c r="AY1289" s="1">
        <v>25750</v>
      </c>
      <c r="AZ1289" s="1">
        <v>25750</v>
      </c>
      <c r="BA1289" s="1">
        <v>25750</v>
      </c>
      <c r="BB1289" s="1">
        <v>33055</v>
      </c>
      <c r="BC1289" t="s">
        <v>51</v>
      </c>
      <c r="BE1289" t="s">
        <v>54</v>
      </c>
      <c r="BF1289">
        <v>2</v>
      </c>
      <c r="BG1289">
        <v>0</v>
      </c>
      <c r="BH1289" t="s">
        <v>53</v>
      </c>
      <c r="BI1289">
        <v>1</v>
      </c>
      <c r="BK1289" t="s">
        <v>59</v>
      </c>
      <c r="BL1289">
        <v>14000</v>
      </c>
      <c r="BM1289" s="1">
        <v>42917</v>
      </c>
      <c r="BN1289" s="1">
        <v>42917</v>
      </c>
      <c r="BO1289" s="1">
        <v>42917</v>
      </c>
      <c r="BP1289" s="1">
        <v>44117</v>
      </c>
      <c r="BQ1289" t="s">
        <v>51</v>
      </c>
      <c r="BS1289" t="s">
        <v>60</v>
      </c>
      <c r="BT1289" t="s">
        <v>54</v>
      </c>
      <c r="BU1289" t="s">
        <v>61</v>
      </c>
      <c r="BV1289" t="s">
        <v>62</v>
      </c>
      <c r="BX1289">
        <v>24</v>
      </c>
      <c r="BY1289">
        <v>0</v>
      </c>
      <c r="BZ1289">
        <v>0</v>
      </c>
    </row>
    <row r="1290" spans="1:78" x14ac:dyDescent="0.2">
      <c r="A1290" t="s">
        <v>180</v>
      </c>
      <c r="B1290" t="s">
        <v>181</v>
      </c>
      <c r="C1290" t="s">
        <v>184</v>
      </c>
      <c r="D1290" t="s">
        <v>590</v>
      </c>
      <c r="F1290" t="str">
        <f>"250958"</f>
        <v>250958</v>
      </c>
      <c r="G1290" t="s">
        <v>49</v>
      </c>
      <c r="K1290" t="s">
        <v>51</v>
      </c>
      <c r="L1290" t="s">
        <v>52</v>
      </c>
      <c r="M1290">
        <v>136740.63</v>
      </c>
      <c r="N1290">
        <v>472102.38</v>
      </c>
      <c r="O1290" t="s">
        <v>53</v>
      </c>
      <c r="P1290" t="s">
        <v>54</v>
      </c>
      <c r="Q1290" t="s">
        <v>55</v>
      </c>
      <c r="T1290" t="s">
        <v>706</v>
      </c>
      <c r="U1290">
        <v>40</v>
      </c>
      <c r="V1290" s="1">
        <v>25750</v>
      </c>
      <c r="W1290" s="1">
        <v>25750</v>
      </c>
      <c r="X1290" s="1">
        <v>25750</v>
      </c>
      <c r="Y1290" s="1">
        <v>40360</v>
      </c>
      <c r="Z1290" t="s">
        <v>51</v>
      </c>
      <c r="AB1290" t="s">
        <v>54</v>
      </c>
      <c r="AC1290">
        <v>1</v>
      </c>
      <c r="AE1290" t="s">
        <v>84</v>
      </c>
      <c r="AF1290">
        <v>20</v>
      </c>
      <c r="AG1290" s="1">
        <v>36342</v>
      </c>
      <c r="AH1290" s="1">
        <v>36342</v>
      </c>
      <c r="AI1290" s="1">
        <v>36342</v>
      </c>
      <c r="AJ1290" s="1">
        <v>43647</v>
      </c>
      <c r="AK1290" t="s">
        <v>51</v>
      </c>
      <c r="AN1290">
        <v>0</v>
      </c>
      <c r="AO1290" t="s">
        <v>54</v>
      </c>
      <c r="AP1290" t="s">
        <v>53</v>
      </c>
      <c r="AQ1290">
        <v>0</v>
      </c>
      <c r="AR1290" t="s">
        <v>53</v>
      </c>
      <c r="AS1290">
        <v>0</v>
      </c>
      <c r="AT1290">
        <v>0</v>
      </c>
      <c r="AW1290" t="s">
        <v>58</v>
      </c>
      <c r="AX1290">
        <v>20</v>
      </c>
      <c r="AY1290" s="1">
        <v>36342</v>
      </c>
      <c r="AZ1290" s="1">
        <v>36342</v>
      </c>
      <c r="BA1290" s="1">
        <v>36342</v>
      </c>
      <c r="BB1290" s="1">
        <v>43647</v>
      </c>
      <c r="BC1290" t="s">
        <v>51</v>
      </c>
      <c r="BE1290" t="s">
        <v>54</v>
      </c>
      <c r="BF1290">
        <v>2</v>
      </c>
      <c r="BG1290">
        <v>0</v>
      </c>
      <c r="BH1290" t="s">
        <v>53</v>
      </c>
      <c r="BK1290" t="s">
        <v>59</v>
      </c>
      <c r="BL1290">
        <v>14000</v>
      </c>
      <c r="BM1290" s="1">
        <v>42917</v>
      </c>
      <c r="BN1290" s="1">
        <v>42917</v>
      </c>
      <c r="BO1290" s="1">
        <v>42917</v>
      </c>
      <c r="BP1290" s="1">
        <v>44117</v>
      </c>
      <c r="BQ1290" t="s">
        <v>51</v>
      </c>
      <c r="BS1290" t="s">
        <v>60</v>
      </c>
      <c r="BT1290" t="s">
        <v>54</v>
      </c>
      <c r="BU1290" t="s">
        <v>61</v>
      </c>
      <c r="BV1290" t="s">
        <v>62</v>
      </c>
      <c r="BX1290">
        <v>24</v>
      </c>
      <c r="BY1290">
        <v>0</v>
      </c>
      <c r="BZ1290">
        <v>0</v>
      </c>
    </row>
    <row r="1291" spans="1:78" x14ac:dyDescent="0.2">
      <c r="A1291" t="s">
        <v>180</v>
      </c>
      <c r="B1291" t="s">
        <v>181</v>
      </c>
      <c r="C1291" t="s">
        <v>184</v>
      </c>
      <c r="D1291" t="s">
        <v>590</v>
      </c>
      <c r="F1291" t="str">
        <f>"250959"</f>
        <v>250959</v>
      </c>
      <c r="G1291" t="s">
        <v>49</v>
      </c>
      <c r="K1291" t="s">
        <v>51</v>
      </c>
      <c r="L1291" t="s">
        <v>52</v>
      </c>
      <c r="M1291">
        <v>136749.60999999999</v>
      </c>
      <c r="N1291">
        <v>472082.25</v>
      </c>
      <c r="O1291" t="s">
        <v>53</v>
      </c>
      <c r="P1291" t="s">
        <v>54</v>
      </c>
      <c r="Q1291" t="s">
        <v>55</v>
      </c>
      <c r="T1291" t="s">
        <v>706</v>
      </c>
      <c r="U1291">
        <v>40</v>
      </c>
      <c r="V1291" s="1">
        <v>25750</v>
      </c>
      <c r="W1291" s="1">
        <v>25750</v>
      </c>
      <c r="X1291" s="1">
        <v>25750</v>
      </c>
      <c r="Y1291" s="1">
        <v>40360</v>
      </c>
      <c r="Z1291" t="s">
        <v>51</v>
      </c>
      <c r="AB1291" t="s">
        <v>54</v>
      </c>
      <c r="AC1291">
        <v>1</v>
      </c>
      <c r="AE1291" t="s">
        <v>84</v>
      </c>
      <c r="AF1291">
        <v>20</v>
      </c>
      <c r="AG1291" s="1">
        <v>25750</v>
      </c>
      <c r="AH1291" s="1">
        <v>25750</v>
      </c>
      <c r="AI1291" s="1">
        <v>25750</v>
      </c>
      <c r="AJ1291" s="1">
        <v>33055</v>
      </c>
      <c r="AK1291" t="s">
        <v>51</v>
      </c>
      <c r="AN1291">
        <v>0</v>
      </c>
      <c r="AO1291" t="s">
        <v>54</v>
      </c>
      <c r="AP1291" t="s">
        <v>53</v>
      </c>
      <c r="AQ1291">
        <v>0</v>
      </c>
      <c r="AR1291" t="s">
        <v>53</v>
      </c>
      <c r="AS1291">
        <v>0</v>
      </c>
      <c r="AT1291">
        <v>0</v>
      </c>
      <c r="AW1291" t="s">
        <v>58</v>
      </c>
      <c r="AX1291">
        <v>20</v>
      </c>
      <c r="AY1291" s="1">
        <v>25750</v>
      </c>
      <c r="AZ1291" s="1">
        <v>25750</v>
      </c>
      <c r="BA1291" s="1">
        <v>25750</v>
      </c>
      <c r="BB1291" s="1">
        <v>33055</v>
      </c>
      <c r="BC1291" t="s">
        <v>51</v>
      </c>
      <c r="BE1291" t="s">
        <v>54</v>
      </c>
      <c r="BF1291">
        <v>2</v>
      </c>
      <c r="BG1291">
        <v>0</v>
      </c>
      <c r="BH1291" t="s">
        <v>53</v>
      </c>
      <c r="BI1291">
        <v>1</v>
      </c>
      <c r="BK1291" t="s">
        <v>59</v>
      </c>
      <c r="BL1291">
        <v>14000</v>
      </c>
      <c r="BM1291" s="1">
        <v>43199</v>
      </c>
      <c r="BN1291" s="1">
        <v>43199</v>
      </c>
      <c r="BO1291" s="1">
        <v>43199</v>
      </c>
      <c r="BP1291" s="1">
        <v>44422</v>
      </c>
      <c r="BQ1291" t="s">
        <v>51</v>
      </c>
      <c r="BS1291" t="s">
        <v>60</v>
      </c>
      <c r="BT1291" t="s">
        <v>54</v>
      </c>
      <c r="BU1291" t="s">
        <v>61</v>
      </c>
      <c r="BV1291" t="s">
        <v>62</v>
      </c>
      <c r="BX1291">
        <v>24</v>
      </c>
      <c r="BY1291">
        <v>0</v>
      </c>
      <c r="BZ1291">
        <v>0</v>
      </c>
    </row>
    <row r="1292" spans="1:78" x14ac:dyDescent="0.2">
      <c r="A1292" t="s">
        <v>180</v>
      </c>
      <c r="B1292" t="s">
        <v>181</v>
      </c>
      <c r="C1292" t="s">
        <v>184</v>
      </c>
      <c r="D1292" t="s">
        <v>590</v>
      </c>
      <c r="F1292" t="str">
        <f>"250960"</f>
        <v>250960</v>
      </c>
      <c r="G1292" t="s">
        <v>49</v>
      </c>
      <c r="K1292" t="s">
        <v>51</v>
      </c>
      <c r="L1292" t="s">
        <v>52</v>
      </c>
      <c r="M1292">
        <v>136763.17000000001</v>
      </c>
      <c r="N1292">
        <v>472054.84</v>
      </c>
      <c r="O1292" t="s">
        <v>53</v>
      </c>
      <c r="P1292" t="s">
        <v>54</v>
      </c>
      <c r="Q1292" t="s">
        <v>55</v>
      </c>
      <c r="T1292" t="s">
        <v>706</v>
      </c>
      <c r="U1292">
        <v>40</v>
      </c>
      <c r="V1292" s="1">
        <v>25750</v>
      </c>
      <c r="W1292" s="1">
        <v>25750</v>
      </c>
      <c r="X1292" s="1">
        <v>25750</v>
      </c>
      <c r="Y1292" s="1">
        <v>40360</v>
      </c>
      <c r="Z1292" t="s">
        <v>51</v>
      </c>
      <c r="AB1292" t="s">
        <v>54</v>
      </c>
      <c r="AC1292">
        <v>1</v>
      </c>
      <c r="AE1292" t="s">
        <v>84</v>
      </c>
      <c r="AF1292">
        <v>20</v>
      </c>
      <c r="AG1292" s="1">
        <v>36342</v>
      </c>
      <c r="AH1292" s="1">
        <v>36342</v>
      </c>
      <c r="AI1292" s="1">
        <v>36342</v>
      </c>
      <c r="AJ1292" s="1">
        <v>43647</v>
      </c>
      <c r="AK1292" t="s">
        <v>51</v>
      </c>
      <c r="AN1292">
        <v>0</v>
      </c>
      <c r="AO1292" t="s">
        <v>54</v>
      </c>
      <c r="AP1292" t="s">
        <v>53</v>
      </c>
      <c r="AQ1292">
        <v>0</v>
      </c>
      <c r="AR1292" t="s">
        <v>53</v>
      </c>
      <c r="AS1292">
        <v>0</v>
      </c>
      <c r="AT1292">
        <v>0</v>
      </c>
      <c r="AW1292" t="s">
        <v>58</v>
      </c>
      <c r="AX1292">
        <v>20</v>
      </c>
      <c r="AY1292" s="1">
        <v>36342</v>
      </c>
      <c r="AZ1292" s="1">
        <v>36342</v>
      </c>
      <c r="BA1292" s="1">
        <v>36342</v>
      </c>
      <c r="BB1292" s="1">
        <v>43647</v>
      </c>
      <c r="BC1292" t="s">
        <v>51</v>
      </c>
      <c r="BE1292" t="s">
        <v>54</v>
      </c>
      <c r="BF1292">
        <v>2</v>
      </c>
      <c r="BG1292">
        <v>0</v>
      </c>
      <c r="BH1292" t="s">
        <v>53</v>
      </c>
      <c r="BI1292">
        <v>1</v>
      </c>
      <c r="BK1292" t="s">
        <v>59</v>
      </c>
      <c r="BL1292">
        <v>14000</v>
      </c>
      <c r="BM1292" s="1">
        <v>42917</v>
      </c>
      <c r="BN1292" s="1">
        <v>42917</v>
      </c>
      <c r="BO1292" s="1">
        <v>42917</v>
      </c>
      <c r="BP1292" s="1">
        <v>44117</v>
      </c>
      <c r="BQ1292" t="s">
        <v>51</v>
      </c>
      <c r="BS1292" t="s">
        <v>60</v>
      </c>
      <c r="BT1292" t="s">
        <v>54</v>
      </c>
      <c r="BU1292" t="s">
        <v>61</v>
      </c>
      <c r="BV1292" t="s">
        <v>62</v>
      </c>
      <c r="BX1292">
        <v>24</v>
      </c>
      <c r="BY1292">
        <v>0</v>
      </c>
      <c r="BZ1292">
        <v>0</v>
      </c>
    </row>
    <row r="1293" spans="1:78" x14ac:dyDescent="0.2">
      <c r="A1293" t="s">
        <v>180</v>
      </c>
      <c r="B1293" t="s">
        <v>181</v>
      </c>
      <c r="C1293" t="s">
        <v>184</v>
      </c>
      <c r="D1293" t="s">
        <v>590</v>
      </c>
      <c r="F1293" t="str">
        <f>"250961"</f>
        <v>250961</v>
      </c>
      <c r="G1293" t="s">
        <v>49</v>
      </c>
      <c r="H1293" t="s">
        <v>284</v>
      </c>
      <c r="K1293" t="s">
        <v>51</v>
      </c>
      <c r="L1293" t="s">
        <v>52</v>
      </c>
      <c r="M1293">
        <v>136727.16</v>
      </c>
      <c r="N1293">
        <v>472076.88</v>
      </c>
      <c r="O1293" t="s">
        <v>53</v>
      </c>
      <c r="P1293" t="s">
        <v>54</v>
      </c>
      <c r="Q1293" t="s">
        <v>55</v>
      </c>
      <c r="T1293" t="s">
        <v>239</v>
      </c>
      <c r="U1293">
        <v>40</v>
      </c>
      <c r="V1293" s="1">
        <v>25750</v>
      </c>
      <c r="W1293" s="1">
        <v>25750</v>
      </c>
      <c r="X1293" s="1">
        <v>25750</v>
      </c>
      <c r="Y1293" s="1">
        <v>40360</v>
      </c>
      <c r="Z1293" t="s">
        <v>51</v>
      </c>
      <c r="AB1293" t="s">
        <v>54</v>
      </c>
      <c r="AC1293">
        <v>1</v>
      </c>
      <c r="AE1293" t="s">
        <v>222</v>
      </c>
      <c r="AF1293">
        <v>20</v>
      </c>
      <c r="AG1293" s="1">
        <v>33055</v>
      </c>
      <c r="AH1293" s="1">
        <v>33055</v>
      </c>
      <c r="AI1293" s="1">
        <v>33055</v>
      </c>
      <c r="AJ1293" s="1">
        <v>40360</v>
      </c>
      <c r="AK1293" t="s">
        <v>51</v>
      </c>
      <c r="AN1293">
        <v>0</v>
      </c>
      <c r="AO1293" t="s">
        <v>54</v>
      </c>
      <c r="AP1293" t="s">
        <v>53</v>
      </c>
      <c r="AQ1293">
        <v>0</v>
      </c>
      <c r="AR1293" t="s">
        <v>53</v>
      </c>
      <c r="AS1293">
        <v>0</v>
      </c>
      <c r="AT1293">
        <v>0</v>
      </c>
      <c r="AW1293" t="s">
        <v>58</v>
      </c>
      <c r="AX1293">
        <v>20</v>
      </c>
      <c r="AY1293" s="1">
        <v>33055</v>
      </c>
      <c r="AZ1293" s="1">
        <v>33055</v>
      </c>
      <c r="BA1293" s="1">
        <v>33055</v>
      </c>
      <c r="BB1293" s="1">
        <v>40360</v>
      </c>
      <c r="BC1293" t="s">
        <v>51</v>
      </c>
      <c r="BE1293" t="s">
        <v>54</v>
      </c>
      <c r="BF1293">
        <v>2</v>
      </c>
      <c r="BG1293">
        <v>0</v>
      </c>
      <c r="BH1293" t="s">
        <v>53</v>
      </c>
      <c r="BK1293" t="s">
        <v>59</v>
      </c>
      <c r="BL1293">
        <v>14000</v>
      </c>
      <c r="BM1293" s="1">
        <v>42917</v>
      </c>
      <c r="BN1293" s="1">
        <v>42917</v>
      </c>
      <c r="BO1293" s="1">
        <v>42917</v>
      </c>
      <c r="BP1293" s="1">
        <v>44117</v>
      </c>
      <c r="BQ1293" t="s">
        <v>51</v>
      </c>
      <c r="BS1293" t="s">
        <v>60</v>
      </c>
      <c r="BT1293" t="s">
        <v>54</v>
      </c>
      <c r="BU1293" t="s">
        <v>61</v>
      </c>
      <c r="BV1293" t="s">
        <v>62</v>
      </c>
      <c r="BX1293">
        <v>24</v>
      </c>
      <c r="BY1293">
        <v>0</v>
      </c>
      <c r="BZ1293">
        <v>0</v>
      </c>
    </row>
    <row r="1294" spans="1:78" x14ac:dyDescent="0.2">
      <c r="A1294" t="s">
        <v>180</v>
      </c>
      <c r="B1294" t="s">
        <v>181</v>
      </c>
      <c r="C1294" t="s">
        <v>184</v>
      </c>
      <c r="D1294" t="s">
        <v>590</v>
      </c>
      <c r="F1294" t="str">
        <f>"250962"</f>
        <v>250962</v>
      </c>
      <c r="G1294" t="s">
        <v>49</v>
      </c>
      <c r="H1294" t="s">
        <v>728</v>
      </c>
      <c r="K1294" t="s">
        <v>51</v>
      </c>
      <c r="L1294" t="s">
        <v>52</v>
      </c>
      <c r="M1294">
        <v>136710.22</v>
      </c>
      <c r="N1294">
        <v>472063.78</v>
      </c>
      <c r="O1294" t="s">
        <v>53</v>
      </c>
      <c r="P1294" t="s">
        <v>54</v>
      </c>
      <c r="Q1294" t="s">
        <v>55</v>
      </c>
      <c r="T1294" t="s">
        <v>239</v>
      </c>
      <c r="U1294">
        <v>40</v>
      </c>
      <c r="V1294" s="1">
        <v>25750</v>
      </c>
      <c r="W1294" s="1">
        <v>25750</v>
      </c>
      <c r="X1294" s="1">
        <v>25750</v>
      </c>
      <c r="Y1294" s="1">
        <v>40360</v>
      </c>
      <c r="Z1294" t="s">
        <v>51</v>
      </c>
      <c r="AB1294" t="s">
        <v>54</v>
      </c>
      <c r="AC1294">
        <v>1</v>
      </c>
      <c r="AE1294" t="s">
        <v>222</v>
      </c>
      <c r="AF1294">
        <v>20</v>
      </c>
      <c r="AG1294" s="1">
        <v>36342</v>
      </c>
      <c r="AH1294" s="1">
        <v>36342</v>
      </c>
      <c r="AI1294" s="1">
        <v>36342</v>
      </c>
      <c r="AJ1294" s="1">
        <v>43647</v>
      </c>
      <c r="AK1294" t="s">
        <v>51</v>
      </c>
      <c r="AN1294">
        <v>0</v>
      </c>
      <c r="AO1294" t="s">
        <v>54</v>
      </c>
      <c r="AP1294" t="s">
        <v>53</v>
      </c>
      <c r="AQ1294">
        <v>0</v>
      </c>
      <c r="AR1294" t="s">
        <v>53</v>
      </c>
      <c r="AS1294">
        <v>0</v>
      </c>
      <c r="AT1294">
        <v>0</v>
      </c>
      <c r="AW1294" t="s">
        <v>58</v>
      </c>
      <c r="AX1294">
        <v>20</v>
      </c>
      <c r="AY1294" s="1">
        <v>36342</v>
      </c>
      <c r="AZ1294" s="1">
        <v>36342</v>
      </c>
      <c r="BA1294" s="1">
        <v>36342</v>
      </c>
      <c r="BB1294" s="1">
        <v>43647</v>
      </c>
      <c r="BC1294" t="s">
        <v>51</v>
      </c>
      <c r="BE1294" t="s">
        <v>54</v>
      </c>
      <c r="BF1294">
        <v>2</v>
      </c>
      <c r="BG1294">
        <v>0</v>
      </c>
      <c r="BH1294" t="s">
        <v>53</v>
      </c>
      <c r="BK1294" t="s">
        <v>59</v>
      </c>
      <c r="BL1294">
        <v>14000</v>
      </c>
      <c r="BM1294" s="1">
        <v>43123</v>
      </c>
      <c r="BN1294" s="1">
        <v>43123</v>
      </c>
      <c r="BO1294" s="1">
        <v>43123</v>
      </c>
      <c r="BP1294" s="1">
        <v>44297</v>
      </c>
      <c r="BQ1294" t="s">
        <v>51</v>
      </c>
      <c r="BS1294" t="s">
        <v>60</v>
      </c>
      <c r="BT1294" t="s">
        <v>54</v>
      </c>
      <c r="BU1294" t="s">
        <v>61</v>
      </c>
      <c r="BV1294" t="s">
        <v>62</v>
      </c>
      <c r="BX1294">
        <v>24</v>
      </c>
      <c r="BY1294">
        <v>0</v>
      </c>
      <c r="BZ1294">
        <v>0</v>
      </c>
    </row>
    <row r="1295" spans="1:78" x14ac:dyDescent="0.2">
      <c r="A1295" t="s">
        <v>180</v>
      </c>
      <c r="B1295" t="s">
        <v>181</v>
      </c>
      <c r="C1295" t="s">
        <v>184</v>
      </c>
      <c r="D1295" t="s">
        <v>590</v>
      </c>
      <c r="F1295" t="str">
        <f>"250963"</f>
        <v>250963</v>
      </c>
      <c r="G1295" t="s">
        <v>49</v>
      </c>
      <c r="K1295" t="s">
        <v>51</v>
      </c>
      <c r="L1295" t="s">
        <v>52</v>
      </c>
      <c r="M1295">
        <v>136690.56</v>
      </c>
      <c r="N1295">
        <v>472066.84</v>
      </c>
      <c r="O1295" t="s">
        <v>53</v>
      </c>
      <c r="P1295" t="s">
        <v>54</v>
      </c>
      <c r="Q1295" t="s">
        <v>55</v>
      </c>
      <c r="T1295" t="s">
        <v>588</v>
      </c>
      <c r="U1295">
        <v>40</v>
      </c>
      <c r="V1295" s="1">
        <v>25750</v>
      </c>
      <c r="W1295" s="1">
        <v>25750</v>
      </c>
      <c r="X1295" s="1">
        <v>25750</v>
      </c>
      <c r="Y1295" s="1">
        <v>40360</v>
      </c>
      <c r="Z1295" t="s">
        <v>51</v>
      </c>
      <c r="AB1295" t="s">
        <v>54</v>
      </c>
      <c r="AC1295">
        <v>1</v>
      </c>
      <c r="AE1295" t="s">
        <v>222</v>
      </c>
      <c r="AF1295">
        <v>20</v>
      </c>
      <c r="AG1295" s="1">
        <v>36342</v>
      </c>
      <c r="AH1295" s="1">
        <v>36342</v>
      </c>
      <c r="AI1295" s="1">
        <v>36342</v>
      </c>
      <c r="AJ1295" s="1">
        <v>43647</v>
      </c>
      <c r="AK1295" t="s">
        <v>51</v>
      </c>
      <c r="AN1295">
        <v>0</v>
      </c>
      <c r="AO1295" t="s">
        <v>54</v>
      </c>
      <c r="AP1295" t="s">
        <v>53</v>
      </c>
      <c r="AQ1295">
        <v>0</v>
      </c>
      <c r="AR1295" t="s">
        <v>53</v>
      </c>
      <c r="AS1295">
        <v>0</v>
      </c>
      <c r="AT1295">
        <v>0</v>
      </c>
      <c r="AW1295" t="s">
        <v>58</v>
      </c>
      <c r="AX1295">
        <v>20</v>
      </c>
      <c r="AY1295" s="1">
        <v>36342</v>
      </c>
      <c r="AZ1295" s="1">
        <v>36342</v>
      </c>
      <c r="BA1295" s="1">
        <v>36342</v>
      </c>
      <c r="BB1295" s="1">
        <v>43647</v>
      </c>
      <c r="BC1295" t="s">
        <v>51</v>
      </c>
      <c r="BE1295" t="s">
        <v>54</v>
      </c>
      <c r="BF1295">
        <v>2</v>
      </c>
      <c r="BG1295">
        <v>0</v>
      </c>
      <c r="BH1295" t="s">
        <v>53</v>
      </c>
      <c r="BK1295" t="s">
        <v>59</v>
      </c>
      <c r="BL1295">
        <v>14000</v>
      </c>
      <c r="BM1295" s="1">
        <v>42917</v>
      </c>
      <c r="BN1295" s="1">
        <v>42917</v>
      </c>
      <c r="BO1295" s="1">
        <v>42917</v>
      </c>
      <c r="BP1295" s="1">
        <v>44117</v>
      </c>
      <c r="BQ1295" t="s">
        <v>51</v>
      </c>
      <c r="BS1295" t="s">
        <v>60</v>
      </c>
      <c r="BT1295" t="s">
        <v>54</v>
      </c>
      <c r="BU1295" t="s">
        <v>61</v>
      </c>
      <c r="BV1295" t="s">
        <v>62</v>
      </c>
      <c r="BX1295">
        <v>24</v>
      </c>
      <c r="BY1295">
        <v>0</v>
      </c>
      <c r="BZ1295">
        <v>0</v>
      </c>
    </row>
    <row r="1296" spans="1:78" x14ac:dyDescent="0.2">
      <c r="A1296" t="s">
        <v>180</v>
      </c>
      <c r="B1296" t="s">
        <v>181</v>
      </c>
      <c r="C1296" t="s">
        <v>184</v>
      </c>
      <c r="D1296" t="s">
        <v>590</v>
      </c>
      <c r="F1296" t="str">
        <f>"250965"</f>
        <v>250965</v>
      </c>
      <c r="G1296" t="s">
        <v>49</v>
      </c>
      <c r="K1296" t="s">
        <v>51</v>
      </c>
      <c r="L1296" t="s">
        <v>52</v>
      </c>
      <c r="M1296">
        <v>136648.37400000001</v>
      </c>
      <c r="N1296">
        <v>472114.495</v>
      </c>
      <c r="O1296" t="s">
        <v>53</v>
      </c>
      <c r="P1296" t="s">
        <v>54</v>
      </c>
      <c r="Q1296" t="s">
        <v>55</v>
      </c>
      <c r="T1296" t="s">
        <v>588</v>
      </c>
      <c r="U1296">
        <v>40</v>
      </c>
      <c r="V1296" s="1">
        <v>25750</v>
      </c>
      <c r="W1296" s="1">
        <v>25750</v>
      </c>
      <c r="X1296" s="1">
        <v>25750</v>
      </c>
      <c r="Y1296" s="1">
        <v>40360</v>
      </c>
      <c r="Z1296" t="s">
        <v>51</v>
      </c>
      <c r="AB1296" t="s">
        <v>54</v>
      </c>
      <c r="AC1296">
        <v>1</v>
      </c>
      <c r="AE1296" t="s">
        <v>222</v>
      </c>
      <c r="AF1296">
        <v>20</v>
      </c>
      <c r="AG1296" s="1">
        <v>36342</v>
      </c>
      <c r="AH1296" s="1">
        <v>36342</v>
      </c>
      <c r="AI1296" s="1">
        <v>36342</v>
      </c>
      <c r="AJ1296" s="1">
        <v>43647</v>
      </c>
      <c r="AK1296" t="s">
        <v>51</v>
      </c>
      <c r="AN1296">
        <v>0</v>
      </c>
      <c r="AO1296" t="s">
        <v>54</v>
      </c>
      <c r="AP1296" t="s">
        <v>53</v>
      </c>
      <c r="AQ1296">
        <v>0</v>
      </c>
      <c r="AR1296" t="s">
        <v>53</v>
      </c>
      <c r="AS1296">
        <v>0</v>
      </c>
      <c r="AT1296">
        <v>0</v>
      </c>
      <c r="AW1296" t="s">
        <v>58</v>
      </c>
      <c r="AX1296">
        <v>20</v>
      </c>
      <c r="AY1296" s="1">
        <v>36342</v>
      </c>
      <c r="AZ1296" s="1">
        <v>36342</v>
      </c>
      <c r="BA1296" s="1">
        <v>36342</v>
      </c>
      <c r="BB1296" s="1">
        <v>43647</v>
      </c>
      <c r="BC1296" t="s">
        <v>51</v>
      </c>
      <c r="BE1296" t="s">
        <v>54</v>
      </c>
      <c r="BF1296">
        <v>2</v>
      </c>
      <c r="BG1296">
        <v>0</v>
      </c>
      <c r="BH1296" t="s">
        <v>53</v>
      </c>
      <c r="BK1296" t="s">
        <v>59</v>
      </c>
      <c r="BL1296">
        <v>14000</v>
      </c>
      <c r="BM1296" s="1">
        <v>42917</v>
      </c>
      <c r="BN1296" s="1">
        <v>42917</v>
      </c>
      <c r="BO1296" s="1">
        <v>42917</v>
      </c>
      <c r="BP1296" s="1">
        <v>44117</v>
      </c>
      <c r="BQ1296" t="s">
        <v>51</v>
      </c>
      <c r="BS1296" t="s">
        <v>60</v>
      </c>
      <c r="BT1296" t="s">
        <v>54</v>
      </c>
      <c r="BU1296" t="s">
        <v>61</v>
      </c>
      <c r="BV1296" t="s">
        <v>62</v>
      </c>
      <c r="BX1296">
        <v>24</v>
      </c>
      <c r="BY1296">
        <v>0</v>
      </c>
      <c r="BZ1296">
        <v>0</v>
      </c>
    </row>
    <row r="1297" spans="1:78" x14ac:dyDescent="0.2">
      <c r="A1297" t="s">
        <v>180</v>
      </c>
      <c r="B1297" t="s">
        <v>181</v>
      </c>
      <c r="C1297" t="s">
        <v>184</v>
      </c>
      <c r="D1297" t="s">
        <v>590</v>
      </c>
      <c r="F1297" t="str">
        <f>"250966"</f>
        <v>250966</v>
      </c>
      <c r="G1297" t="s">
        <v>49</v>
      </c>
      <c r="K1297" t="s">
        <v>51</v>
      </c>
      <c r="L1297" t="s">
        <v>52</v>
      </c>
      <c r="M1297">
        <v>136646.65900000001</v>
      </c>
      <c r="N1297">
        <v>472098.70799999998</v>
      </c>
      <c r="O1297" t="s">
        <v>53</v>
      </c>
      <c r="P1297" t="s">
        <v>54</v>
      </c>
      <c r="Q1297" t="s">
        <v>55</v>
      </c>
      <c r="T1297" t="s">
        <v>588</v>
      </c>
      <c r="U1297">
        <v>40</v>
      </c>
      <c r="V1297" s="1">
        <v>25750</v>
      </c>
      <c r="W1297" s="1">
        <v>25750</v>
      </c>
      <c r="X1297" s="1">
        <v>25750</v>
      </c>
      <c r="Y1297" s="1">
        <v>40360</v>
      </c>
      <c r="Z1297" t="s">
        <v>51</v>
      </c>
      <c r="AB1297" t="s">
        <v>54</v>
      </c>
      <c r="AC1297">
        <v>1</v>
      </c>
      <c r="AE1297" t="s">
        <v>222</v>
      </c>
      <c r="AF1297">
        <v>20</v>
      </c>
      <c r="AG1297" s="1">
        <v>36342</v>
      </c>
      <c r="AH1297" s="1">
        <v>36342</v>
      </c>
      <c r="AI1297" s="1">
        <v>36342</v>
      </c>
      <c r="AJ1297" s="1">
        <v>43647</v>
      </c>
      <c r="AK1297" t="s">
        <v>51</v>
      </c>
      <c r="AN1297">
        <v>0</v>
      </c>
      <c r="AO1297" t="s">
        <v>54</v>
      </c>
      <c r="AP1297" t="s">
        <v>53</v>
      </c>
      <c r="AQ1297">
        <v>0</v>
      </c>
      <c r="AR1297" t="s">
        <v>53</v>
      </c>
      <c r="AS1297">
        <v>0</v>
      </c>
      <c r="AT1297">
        <v>0</v>
      </c>
      <c r="AW1297" t="s">
        <v>58</v>
      </c>
      <c r="AX1297">
        <v>20</v>
      </c>
      <c r="AY1297" s="1">
        <v>36342</v>
      </c>
      <c r="AZ1297" s="1">
        <v>36342</v>
      </c>
      <c r="BA1297" s="1">
        <v>36342</v>
      </c>
      <c r="BB1297" s="1">
        <v>43647</v>
      </c>
      <c r="BC1297" t="s">
        <v>51</v>
      </c>
      <c r="BE1297" t="s">
        <v>54</v>
      </c>
      <c r="BF1297">
        <v>2</v>
      </c>
      <c r="BG1297">
        <v>0</v>
      </c>
      <c r="BH1297" t="s">
        <v>53</v>
      </c>
      <c r="BK1297" t="s">
        <v>59</v>
      </c>
      <c r="BL1297">
        <v>14000</v>
      </c>
      <c r="BM1297" s="1">
        <v>42917</v>
      </c>
      <c r="BN1297" s="1">
        <v>42917</v>
      </c>
      <c r="BO1297" s="1">
        <v>42917</v>
      </c>
      <c r="BP1297" s="1">
        <v>44117</v>
      </c>
      <c r="BQ1297" t="s">
        <v>51</v>
      </c>
      <c r="BS1297" t="s">
        <v>60</v>
      </c>
      <c r="BT1297" t="s">
        <v>54</v>
      </c>
      <c r="BU1297" t="s">
        <v>61</v>
      </c>
      <c r="BV1297" t="s">
        <v>62</v>
      </c>
      <c r="BX1297">
        <v>24</v>
      </c>
      <c r="BY1297">
        <v>0</v>
      </c>
      <c r="BZ1297">
        <v>0</v>
      </c>
    </row>
    <row r="1298" spans="1:78" x14ac:dyDescent="0.2">
      <c r="A1298" t="s">
        <v>180</v>
      </c>
      <c r="B1298" t="s">
        <v>181</v>
      </c>
      <c r="C1298" t="s">
        <v>184</v>
      </c>
      <c r="D1298" t="s">
        <v>590</v>
      </c>
      <c r="F1298" t="str">
        <f>"250967"</f>
        <v>250967</v>
      </c>
      <c r="G1298" t="s">
        <v>49</v>
      </c>
      <c r="K1298" t="s">
        <v>51</v>
      </c>
      <c r="L1298" t="s">
        <v>52</v>
      </c>
      <c r="M1298">
        <v>136698.56</v>
      </c>
      <c r="N1298">
        <v>472074.84</v>
      </c>
      <c r="O1298" t="s">
        <v>53</v>
      </c>
      <c r="P1298" t="s">
        <v>54</v>
      </c>
      <c r="Q1298" t="s">
        <v>55</v>
      </c>
      <c r="T1298" t="s">
        <v>588</v>
      </c>
      <c r="U1298">
        <v>40</v>
      </c>
      <c r="V1298" s="1">
        <v>25750</v>
      </c>
      <c r="W1298" s="1">
        <v>25750</v>
      </c>
      <c r="X1298" s="1">
        <v>25750</v>
      </c>
      <c r="Y1298" s="1">
        <v>40360</v>
      </c>
      <c r="Z1298" t="s">
        <v>51</v>
      </c>
      <c r="AB1298" t="s">
        <v>54</v>
      </c>
      <c r="AC1298">
        <v>1</v>
      </c>
      <c r="AE1298" t="s">
        <v>222</v>
      </c>
      <c r="AF1298">
        <v>20</v>
      </c>
      <c r="AG1298" s="1">
        <v>36342</v>
      </c>
      <c r="AH1298" s="1">
        <v>36342</v>
      </c>
      <c r="AI1298" s="1">
        <v>36342</v>
      </c>
      <c r="AJ1298" s="1">
        <v>43647</v>
      </c>
      <c r="AK1298" t="s">
        <v>51</v>
      </c>
      <c r="AN1298">
        <v>0</v>
      </c>
      <c r="AO1298" t="s">
        <v>54</v>
      </c>
      <c r="AP1298" t="s">
        <v>53</v>
      </c>
      <c r="AQ1298">
        <v>0</v>
      </c>
      <c r="AR1298" t="s">
        <v>53</v>
      </c>
      <c r="AS1298">
        <v>0</v>
      </c>
      <c r="AT1298">
        <v>0</v>
      </c>
      <c r="AW1298" t="s">
        <v>58</v>
      </c>
      <c r="AX1298">
        <v>20</v>
      </c>
      <c r="AY1298" s="1">
        <v>36342</v>
      </c>
      <c r="AZ1298" s="1">
        <v>36342</v>
      </c>
      <c r="BA1298" s="1">
        <v>36342</v>
      </c>
      <c r="BB1298" s="1">
        <v>43647</v>
      </c>
      <c r="BC1298" t="s">
        <v>51</v>
      </c>
      <c r="BE1298" t="s">
        <v>54</v>
      </c>
      <c r="BF1298">
        <v>2</v>
      </c>
      <c r="BG1298">
        <v>0</v>
      </c>
      <c r="BH1298" t="s">
        <v>53</v>
      </c>
      <c r="BK1298" t="s">
        <v>59</v>
      </c>
      <c r="BL1298">
        <v>14000</v>
      </c>
      <c r="BM1298" s="1">
        <v>42917</v>
      </c>
      <c r="BN1298" s="1">
        <v>42917</v>
      </c>
      <c r="BO1298" s="1">
        <v>42917</v>
      </c>
      <c r="BP1298" s="1">
        <v>44117</v>
      </c>
      <c r="BQ1298" t="s">
        <v>51</v>
      </c>
      <c r="BS1298" t="s">
        <v>60</v>
      </c>
      <c r="BT1298" t="s">
        <v>54</v>
      </c>
      <c r="BU1298" t="s">
        <v>61</v>
      </c>
      <c r="BV1298" t="s">
        <v>62</v>
      </c>
      <c r="BX1298">
        <v>24</v>
      </c>
      <c r="BY1298">
        <v>0</v>
      </c>
      <c r="BZ1298">
        <v>0</v>
      </c>
    </row>
    <row r="1299" spans="1:78" x14ac:dyDescent="0.2">
      <c r="A1299" t="s">
        <v>180</v>
      </c>
      <c r="B1299" t="s">
        <v>181</v>
      </c>
      <c r="C1299" t="s">
        <v>184</v>
      </c>
      <c r="D1299" t="s">
        <v>590</v>
      </c>
      <c r="F1299" t="str">
        <f>"250968"</f>
        <v>250968</v>
      </c>
      <c r="G1299" t="s">
        <v>49</v>
      </c>
      <c r="K1299" t="s">
        <v>51</v>
      </c>
      <c r="L1299" t="s">
        <v>52</v>
      </c>
      <c r="M1299">
        <v>136605.51500000001</v>
      </c>
      <c r="N1299">
        <v>472099.16600000003</v>
      </c>
      <c r="O1299" t="s">
        <v>53</v>
      </c>
      <c r="P1299" t="s">
        <v>54</v>
      </c>
      <c r="Q1299" t="s">
        <v>55</v>
      </c>
      <c r="T1299" t="s">
        <v>588</v>
      </c>
      <c r="U1299">
        <v>40</v>
      </c>
      <c r="V1299" s="1">
        <v>25750</v>
      </c>
      <c r="W1299" s="1">
        <v>25750</v>
      </c>
      <c r="X1299" s="1">
        <v>25750</v>
      </c>
      <c r="Y1299" s="1">
        <v>40360</v>
      </c>
      <c r="Z1299" t="s">
        <v>51</v>
      </c>
      <c r="AB1299" t="s">
        <v>54</v>
      </c>
      <c r="AC1299">
        <v>1</v>
      </c>
      <c r="AE1299" t="s">
        <v>222</v>
      </c>
      <c r="AF1299">
        <v>20</v>
      </c>
      <c r="AG1299" s="1">
        <v>36342</v>
      </c>
      <c r="AH1299" s="1">
        <v>36342</v>
      </c>
      <c r="AI1299" s="1">
        <v>36342</v>
      </c>
      <c r="AJ1299" s="1">
        <v>43647</v>
      </c>
      <c r="AK1299" t="s">
        <v>51</v>
      </c>
      <c r="AN1299">
        <v>0</v>
      </c>
      <c r="AO1299" t="s">
        <v>54</v>
      </c>
      <c r="AP1299" t="s">
        <v>53</v>
      </c>
      <c r="AQ1299">
        <v>0</v>
      </c>
      <c r="AR1299" t="s">
        <v>53</v>
      </c>
      <c r="AS1299">
        <v>0</v>
      </c>
      <c r="AT1299">
        <v>0</v>
      </c>
      <c r="AW1299" t="s">
        <v>58</v>
      </c>
      <c r="AX1299">
        <v>20</v>
      </c>
      <c r="AY1299" s="1">
        <v>36342</v>
      </c>
      <c r="AZ1299" s="1">
        <v>36342</v>
      </c>
      <c r="BA1299" s="1">
        <v>36342</v>
      </c>
      <c r="BB1299" s="1">
        <v>43647</v>
      </c>
      <c r="BC1299" t="s">
        <v>51</v>
      </c>
      <c r="BE1299" t="s">
        <v>54</v>
      </c>
      <c r="BF1299">
        <v>2</v>
      </c>
      <c r="BG1299">
        <v>0</v>
      </c>
      <c r="BH1299" t="s">
        <v>53</v>
      </c>
      <c r="BK1299" t="s">
        <v>59</v>
      </c>
      <c r="BL1299">
        <v>14000</v>
      </c>
      <c r="BM1299" s="1">
        <v>42917</v>
      </c>
      <c r="BN1299" s="1">
        <v>42917</v>
      </c>
      <c r="BO1299" s="1">
        <v>42917</v>
      </c>
      <c r="BP1299" s="1">
        <v>44117</v>
      </c>
      <c r="BQ1299" t="s">
        <v>51</v>
      </c>
      <c r="BS1299" t="s">
        <v>60</v>
      </c>
      <c r="BT1299" t="s">
        <v>54</v>
      </c>
      <c r="BU1299" t="s">
        <v>61</v>
      </c>
      <c r="BV1299" t="s">
        <v>62</v>
      </c>
      <c r="BX1299">
        <v>24</v>
      </c>
      <c r="BY1299">
        <v>0</v>
      </c>
      <c r="BZ1299">
        <v>0</v>
      </c>
    </row>
    <row r="1300" spans="1:78" x14ac:dyDescent="0.2">
      <c r="A1300" t="s">
        <v>180</v>
      </c>
      <c r="B1300" t="s">
        <v>181</v>
      </c>
      <c r="C1300" t="s">
        <v>184</v>
      </c>
      <c r="D1300" t="s">
        <v>590</v>
      </c>
      <c r="F1300" t="str">
        <f>"250969"</f>
        <v>250969</v>
      </c>
      <c r="G1300" t="s">
        <v>49</v>
      </c>
      <c r="H1300" t="s">
        <v>729</v>
      </c>
      <c r="K1300" t="s">
        <v>51</v>
      </c>
      <c r="L1300" t="s">
        <v>52</v>
      </c>
      <c r="M1300">
        <v>136621.29999999999</v>
      </c>
      <c r="N1300">
        <v>472125.94</v>
      </c>
      <c r="O1300" t="s">
        <v>53</v>
      </c>
      <c r="P1300" t="s">
        <v>54</v>
      </c>
      <c r="Q1300" t="s">
        <v>55</v>
      </c>
      <c r="T1300" t="s">
        <v>588</v>
      </c>
      <c r="U1300">
        <v>40</v>
      </c>
      <c r="V1300" s="1">
        <v>25750</v>
      </c>
      <c r="W1300" s="1">
        <v>25750</v>
      </c>
      <c r="X1300" s="1">
        <v>25750</v>
      </c>
      <c r="Y1300" s="1">
        <v>40360</v>
      </c>
      <c r="Z1300" t="s">
        <v>51</v>
      </c>
      <c r="AB1300" t="s">
        <v>54</v>
      </c>
      <c r="AC1300">
        <v>1</v>
      </c>
      <c r="AE1300" t="s">
        <v>222</v>
      </c>
      <c r="AF1300">
        <v>20</v>
      </c>
      <c r="AG1300" s="1">
        <v>36342</v>
      </c>
      <c r="AH1300" s="1">
        <v>36342</v>
      </c>
      <c r="AI1300" s="1">
        <v>36342</v>
      </c>
      <c r="AJ1300" s="1">
        <v>43647</v>
      </c>
      <c r="AK1300" t="s">
        <v>51</v>
      </c>
      <c r="AN1300">
        <v>0</v>
      </c>
      <c r="AO1300" t="s">
        <v>54</v>
      </c>
      <c r="AP1300" t="s">
        <v>53</v>
      </c>
      <c r="AQ1300">
        <v>0</v>
      </c>
      <c r="AR1300" t="s">
        <v>53</v>
      </c>
      <c r="AS1300">
        <v>0</v>
      </c>
      <c r="AT1300">
        <v>0</v>
      </c>
      <c r="AW1300" t="s">
        <v>58</v>
      </c>
      <c r="AX1300">
        <v>20</v>
      </c>
      <c r="AY1300" s="1">
        <v>36342</v>
      </c>
      <c r="AZ1300" s="1">
        <v>36342</v>
      </c>
      <c r="BA1300" s="1">
        <v>36342</v>
      </c>
      <c r="BB1300" s="1">
        <v>43647</v>
      </c>
      <c r="BC1300" t="s">
        <v>51</v>
      </c>
      <c r="BE1300" t="s">
        <v>54</v>
      </c>
      <c r="BF1300">
        <v>2</v>
      </c>
      <c r="BG1300">
        <v>0</v>
      </c>
      <c r="BH1300" t="s">
        <v>53</v>
      </c>
      <c r="BK1300" t="s">
        <v>59</v>
      </c>
      <c r="BL1300">
        <v>14000</v>
      </c>
      <c r="BM1300" s="1">
        <v>42917</v>
      </c>
      <c r="BN1300" s="1">
        <v>42917</v>
      </c>
      <c r="BO1300" s="1">
        <v>42917</v>
      </c>
      <c r="BP1300" s="1">
        <v>44117</v>
      </c>
      <c r="BQ1300" t="s">
        <v>51</v>
      </c>
      <c r="BS1300" t="s">
        <v>60</v>
      </c>
      <c r="BT1300" t="s">
        <v>54</v>
      </c>
      <c r="BU1300" t="s">
        <v>61</v>
      </c>
      <c r="BV1300" t="s">
        <v>62</v>
      </c>
      <c r="BX1300">
        <v>24</v>
      </c>
      <c r="BY1300">
        <v>0</v>
      </c>
      <c r="BZ1300">
        <v>0</v>
      </c>
    </row>
    <row r="1301" spans="1:78" x14ac:dyDescent="0.2">
      <c r="A1301" t="s">
        <v>180</v>
      </c>
      <c r="B1301" t="s">
        <v>181</v>
      </c>
      <c r="C1301" t="s">
        <v>184</v>
      </c>
      <c r="D1301" t="s">
        <v>590</v>
      </c>
      <c r="F1301" t="str">
        <f>"250970"</f>
        <v>250970</v>
      </c>
      <c r="G1301" t="s">
        <v>49</v>
      </c>
      <c r="K1301" t="s">
        <v>51</v>
      </c>
      <c r="L1301" t="s">
        <v>52</v>
      </c>
      <c r="M1301">
        <v>136572.62899999999</v>
      </c>
      <c r="N1301">
        <v>472164.11800000002</v>
      </c>
      <c r="O1301" t="s">
        <v>53</v>
      </c>
      <c r="P1301" t="s">
        <v>54</v>
      </c>
      <c r="Q1301" t="s">
        <v>55</v>
      </c>
      <c r="T1301" t="s">
        <v>588</v>
      </c>
      <c r="U1301">
        <v>40</v>
      </c>
      <c r="V1301" s="1">
        <v>25750</v>
      </c>
      <c r="W1301" s="1">
        <v>25750</v>
      </c>
      <c r="X1301" s="1">
        <v>25750</v>
      </c>
      <c r="Y1301" s="1">
        <v>40360</v>
      </c>
      <c r="Z1301" t="s">
        <v>51</v>
      </c>
      <c r="AB1301" t="s">
        <v>54</v>
      </c>
      <c r="AC1301">
        <v>1</v>
      </c>
      <c r="AE1301" t="s">
        <v>222</v>
      </c>
      <c r="AF1301">
        <v>20</v>
      </c>
      <c r="AG1301" s="1">
        <v>36342</v>
      </c>
      <c r="AH1301" s="1">
        <v>36342</v>
      </c>
      <c r="AI1301" s="1">
        <v>36342</v>
      </c>
      <c r="AJ1301" s="1">
        <v>43647</v>
      </c>
      <c r="AK1301" t="s">
        <v>51</v>
      </c>
      <c r="AN1301">
        <v>0</v>
      </c>
      <c r="AO1301" t="s">
        <v>54</v>
      </c>
      <c r="AP1301" t="s">
        <v>53</v>
      </c>
      <c r="AQ1301">
        <v>0</v>
      </c>
      <c r="AR1301" t="s">
        <v>53</v>
      </c>
      <c r="AS1301">
        <v>0</v>
      </c>
      <c r="AT1301">
        <v>0</v>
      </c>
      <c r="AW1301" t="s">
        <v>58</v>
      </c>
      <c r="AX1301">
        <v>20</v>
      </c>
      <c r="AY1301" s="1">
        <v>36342</v>
      </c>
      <c r="AZ1301" s="1">
        <v>36342</v>
      </c>
      <c r="BA1301" s="1">
        <v>36342</v>
      </c>
      <c r="BB1301" s="1">
        <v>43647</v>
      </c>
      <c r="BC1301" t="s">
        <v>51</v>
      </c>
      <c r="BE1301" t="s">
        <v>54</v>
      </c>
      <c r="BF1301">
        <v>2</v>
      </c>
      <c r="BG1301">
        <v>0</v>
      </c>
      <c r="BH1301" t="s">
        <v>53</v>
      </c>
      <c r="BK1301" t="s">
        <v>59</v>
      </c>
      <c r="BL1301">
        <v>14000</v>
      </c>
      <c r="BM1301" s="1">
        <v>42917</v>
      </c>
      <c r="BN1301" s="1">
        <v>42917</v>
      </c>
      <c r="BO1301" s="1">
        <v>42917</v>
      </c>
      <c r="BP1301" s="1">
        <v>44117</v>
      </c>
      <c r="BQ1301" t="s">
        <v>51</v>
      </c>
      <c r="BS1301" t="s">
        <v>60</v>
      </c>
      <c r="BT1301" t="s">
        <v>54</v>
      </c>
      <c r="BU1301" t="s">
        <v>61</v>
      </c>
      <c r="BV1301" t="s">
        <v>62</v>
      </c>
      <c r="BX1301">
        <v>24</v>
      </c>
      <c r="BY1301">
        <v>0</v>
      </c>
      <c r="BZ1301">
        <v>0</v>
      </c>
    </row>
    <row r="1302" spans="1:78" x14ac:dyDescent="0.2">
      <c r="A1302" t="s">
        <v>180</v>
      </c>
      <c r="B1302" t="s">
        <v>181</v>
      </c>
      <c r="C1302" t="s">
        <v>184</v>
      </c>
      <c r="D1302" t="s">
        <v>590</v>
      </c>
      <c r="F1302" t="str">
        <f>"250971"</f>
        <v>250971</v>
      </c>
      <c r="G1302" t="s">
        <v>49</v>
      </c>
      <c r="K1302" t="s">
        <v>51</v>
      </c>
      <c r="L1302" t="s">
        <v>52</v>
      </c>
      <c r="M1302">
        <v>136567.77600000001</v>
      </c>
      <c r="N1302">
        <v>472142.85</v>
      </c>
      <c r="O1302" t="s">
        <v>53</v>
      </c>
      <c r="P1302" t="s">
        <v>54</v>
      </c>
      <c r="Q1302" t="s">
        <v>55</v>
      </c>
      <c r="T1302" t="s">
        <v>588</v>
      </c>
      <c r="U1302">
        <v>40</v>
      </c>
      <c r="V1302" s="1">
        <v>25750</v>
      </c>
      <c r="W1302" s="1">
        <v>25750</v>
      </c>
      <c r="X1302" s="1">
        <v>25750</v>
      </c>
      <c r="Y1302" s="1">
        <v>40360</v>
      </c>
      <c r="Z1302" t="s">
        <v>51</v>
      </c>
      <c r="AB1302" t="s">
        <v>54</v>
      </c>
      <c r="AC1302">
        <v>1</v>
      </c>
      <c r="AE1302" t="s">
        <v>222</v>
      </c>
      <c r="AF1302">
        <v>20</v>
      </c>
      <c r="AG1302" s="1">
        <v>36342</v>
      </c>
      <c r="AH1302" s="1">
        <v>36342</v>
      </c>
      <c r="AI1302" s="1">
        <v>36342</v>
      </c>
      <c r="AJ1302" s="1">
        <v>43647</v>
      </c>
      <c r="AK1302" t="s">
        <v>51</v>
      </c>
      <c r="AN1302">
        <v>0</v>
      </c>
      <c r="AO1302" t="s">
        <v>54</v>
      </c>
      <c r="AP1302" t="s">
        <v>53</v>
      </c>
      <c r="AQ1302">
        <v>0</v>
      </c>
      <c r="AR1302" t="s">
        <v>53</v>
      </c>
      <c r="AS1302">
        <v>0</v>
      </c>
      <c r="AT1302">
        <v>0</v>
      </c>
      <c r="AW1302" t="s">
        <v>58</v>
      </c>
      <c r="AX1302">
        <v>20</v>
      </c>
      <c r="AY1302" s="1">
        <v>36342</v>
      </c>
      <c r="AZ1302" s="1">
        <v>36342</v>
      </c>
      <c r="BA1302" s="1">
        <v>36342</v>
      </c>
      <c r="BB1302" s="1">
        <v>43647</v>
      </c>
      <c r="BC1302" t="s">
        <v>51</v>
      </c>
      <c r="BE1302" t="s">
        <v>54</v>
      </c>
      <c r="BF1302">
        <v>2</v>
      </c>
      <c r="BG1302">
        <v>0</v>
      </c>
      <c r="BH1302" t="s">
        <v>53</v>
      </c>
      <c r="BK1302" t="s">
        <v>59</v>
      </c>
      <c r="BL1302">
        <v>14000</v>
      </c>
      <c r="BM1302" s="1">
        <v>42917</v>
      </c>
      <c r="BN1302" s="1">
        <v>42917</v>
      </c>
      <c r="BO1302" s="1">
        <v>42917</v>
      </c>
      <c r="BP1302" s="1">
        <v>44117</v>
      </c>
      <c r="BQ1302" t="s">
        <v>51</v>
      </c>
      <c r="BS1302" t="s">
        <v>60</v>
      </c>
      <c r="BT1302" t="s">
        <v>54</v>
      </c>
      <c r="BU1302" t="s">
        <v>61</v>
      </c>
      <c r="BV1302" t="s">
        <v>62</v>
      </c>
      <c r="BX1302">
        <v>24</v>
      </c>
      <c r="BY1302">
        <v>0</v>
      </c>
      <c r="BZ1302">
        <v>0</v>
      </c>
    </row>
    <row r="1303" spans="1:78" x14ac:dyDescent="0.2">
      <c r="A1303" t="s">
        <v>180</v>
      </c>
      <c r="B1303" t="s">
        <v>181</v>
      </c>
      <c r="C1303" t="s">
        <v>184</v>
      </c>
      <c r="D1303" t="s">
        <v>590</v>
      </c>
      <c r="F1303" t="str">
        <f>"250972"</f>
        <v>250972</v>
      </c>
      <c r="G1303" t="s">
        <v>49</v>
      </c>
      <c r="K1303" t="s">
        <v>51</v>
      </c>
      <c r="L1303" t="s">
        <v>52</v>
      </c>
      <c r="M1303">
        <v>136552.92000000001</v>
      </c>
      <c r="N1303">
        <v>472127.74800000002</v>
      </c>
      <c r="O1303" t="s">
        <v>53</v>
      </c>
      <c r="P1303" t="s">
        <v>54</v>
      </c>
      <c r="Q1303" t="s">
        <v>55</v>
      </c>
      <c r="T1303" t="s">
        <v>588</v>
      </c>
      <c r="U1303">
        <v>40</v>
      </c>
      <c r="V1303" s="1">
        <v>25750</v>
      </c>
      <c r="W1303" s="1">
        <v>25750</v>
      </c>
      <c r="X1303" s="1">
        <v>25750</v>
      </c>
      <c r="Y1303" s="1">
        <v>40360</v>
      </c>
      <c r="Z1303" t="s">
        <v>51</v>
      </c>
      <c r="AB1303" t="s">
        <v>54</v>
      </c>
      <c r="AC1303">
        <v>1</v>
      </c>
      <c r="AE1303" t="s">
        <v>222</v>
      </c>
      <c r="AF1303">
        <v>20</v>
      </c>
      <c r="AG1303" s="1">
        <v>36342</v>
      </c>
      <c r="AH1303" s="1">
        <v>36342</v>
      </c>
      <c r="AI1303" s="1">
        <v>36342</v>
      </c>
      <c r="AJ1303" s="1">
        <v>43647</v>
      </c>
      <c r="AK1303" t="s">
        <v>51</v>
      </c>
      <c r="AN1303">
        <v>0</v>
      </c>
      <c r="AO1303" t="s">
        <v>54</v>
      </c>
      <c r="AP1303" t="s">
        <v>53</v>
      </c>
      <c r="AQ1303">
        <v>0</v>
      </c>
      <c r="AR1303" t="s">
        <v>53</v>
      </c>
      <c r="AS1303">
        <v>0</v>
      </c>
      <c r="AT1303">
        <v>0</v>
      </c>
      <c r="AW1303" t="s">
        <v>58</v>
      </c>
      <c r="AX1303">
        <v>20</v>
      </c>
      <c r="AY1303" s="1">
        <v>36342</v>
      </c>
      <c r="AZ1303" s="1">
        <v>36342</v>
      </c>
      <c r="BA1303" s="1">
        <v>36342</v>
      </c>
      <c r="BB1303" s="1">
        <v>43647</v>
      </c>
      <c r="BC1303" t="s">
        <v>51</v>
      </c>
      <c r="BE1303" t="s">
        <v>54</v>
      </c>
      <c r="BF1303">
        <v>2</v>
      </c>
      <c r="BG1303">
        <v>0</v>
      </c>
      <c r="BH1303" t="s">
        <v>53</v>
      </c>
      <c r="BK1303" t="s">
        <v>59</v>
      </c>
      <c r="BL1303">
        <v>14000</v>
      </c>
      <c r="BM1303" s="1">
        <v>42917</v>
      </c>
      <c r="BN1303" s="1">
        <v>42917</v>
      </c>
      <c r="BO1303" s="1">
        <v>42917</v>
      </c>
      <c r="BP1303" s="1">
        <v>44117</v>
      </c>
      <c r="BQ1303" t="s">
        <v>51</v>
      </c>
      <c r="BS1303" t="s">
        <v>60</v>
      </c>
      <c r="BT1303" t="s">
        <v>54</v>
      </c>
      <c r="BU1303" t="s">
        <v>61</v>
      </c>
      <c r="BV1303" t="s">
        <v>62</v>
      </c>
      <c r="BX1303">
        <v>24</v>
      </c>
      <c r="BY1303">
        <v>0</v>
      </c>
      <c r="BZ1303">
        <v>0</v>
      </c>
    </row>
    <row r="1304" spans="1:78" x14ac:dyDescent="0.2">
      <c r="A1304" t="s">
        <v>180</v>
      </c>
      <c r="B1304" t="s">
        <v>181</v>
      </c>
      <c r="C1304" t="s">
        <v>184</v>
      </c>
      <c r="D1304" t="s">
        <v>590</v>
      </c>
      <c r="F1304" t="str">
        <f>"250973"</f>
        <v>250973</v>
      </c>
      <c r="G1304" t="s">
        <v>49</v>
      </c>
      <c r="K1304" t="s">
        <v>51</v>
      </c>
      <c r="L1304" t="s">
        <v>52</v>
      </c>
      <c r="M1304">
        <v>136531.56200000001</v>
      </c>
      <c r="N1304">
        <v>472141.90899999999</v>
      </c>
      <c r="O1304" t="s">
        <v>53</v>
      </c>
      <c r="P1304" t="s">
        <v>54</v>
      </c>
      <c r="Q1304" t="s">
        <v>55</v>
      </c>
      <c r="T1304" t="s">
        <v>588</v>
      </c>
      <c r="U1304">
        <v>40</v>
      </c>
      <c r="V1304" s="1">
        <v>25750</v>
      </c>
      <c r="W1304" s="1">
        <v>25750</v>
      </c>
      <c r="X1304" s="1">
        <v>25750</v>
      </c>
      <c r="Y1304" s="1">
        <v>40360</v>
      </c>
      <c r="Z1304" t="s">
        <v>51</v>
      </c>
      <c r="AB1304" t="s">
        <v>54</v>
      </c>
      <c r="AC1304">
        <v>1</v>
      </c>
      <c r="AE1304" t="s">
        <v>222</v>
      </c>
      <c r="AF1304">
        <v>20</v>
      </c>
      <c r="AG1304" s="1">
        <v>36342</v>
      </c>
      <c r="AH1304" s="1">
        <v>36342</v>
      </c>
      <c r="AI1304" s="1">
        <v>36342</v>
      </c>
      <c r="AJ1304" s="1">
        <v>43647</v>
      </c>
      <c r="AK1304" t="s">
        <v>51</v>
      </c>
      <c r="AN1304">
        <v>0</v>
      </c>
      <c r="AO1304" t="s">
        <v>54</v>
      </c>
      <c r="AP1304" t="s">
        <v>53</v>
      </c>
      <c r="AQ1304">
        <v>0</v>
      </c>
      <c r="AR1304" t="s">
        <v>53</v>
      </c>
      <c r="AS1304">
        <v>0</v>
      </c>
      <c r="AT1304">
        <v>0</v>
      </c>
      <c r="AW1304" t="s">
        <v>58</v>
      </c>
      <c r="AX1304">
        <v>20</v>
      </c>
      <c r="AY1304" s="1">
        <v>36342</v>
      </c>
      <c r="AZ1304" s="1">
        <v>36342</v>
      </c>
      <c r="BA1304" s="1">
        <v>36342</v>
      </c>
      <c r="BB1304" s="1">
        <v>43647</v>
      </c>
      <c r="BC1304" t="s">
        <v>51</v>
      </c>
      <c r="BE1304" t="s">
        <v>54</v>
      </c>
      <c r="BF1304">
        <v>2</v>
      </c>
      <c r="BG1304">
        <v>0</v>
      </c>
      <c r="BH1304" t="s">
        <v>53</v>
      </c>
      <c r="BK1304" t="s">
        <v>59</v>
      </c>
      <c r="BL1304">
        <v>14000</v>
      </c>
      <c r="BM1304" s="1">
        <v>42917</v>
      </c>
      <c r="BN1304" s="1">
        <v>42917</v>
      </c>
      <c r="BO1304" s="1">
        <v>42917</v>
      </c>
      <c r="BP1304" s="1">
        <v>44117</v>
      </c>
      <c r="BQ1304" t="s">
        <v>51</v>
      </c>
      <c r="BS1304" t="s">
        <v>60</v>
      </c>
      <c r="BT1304" t="s">
        <v>54</v>
      </c>
      <c r="BU1304" t="s">
        <v>61</v>
      </c>
      <c r="BV1304" t="s">
        <v>62</v>
      </c>
      <c r="BX1304">
        <v>24</v>
      </c>
      <c r="BY1304">
        <v>0</v>
      </c>
      <c r="BZ1304">
        <v>0</v>
      </c>
    </row>
    <row r="1305" spans="1:78" x14ac:dyDescent="0.2">
      <c r="A1305" t="s">
        <v>180</v>
      </c>
      <c r="B1305" t="s">
        <v>181</v>
      </c>
      <c r="C1305" t="s">
        <v>184</v>
      </c>
      <c r="D1305" t="s">
        <v>590</v>
      </c>
      <c r="F1305" t="str">
        <f>"250974"</f>
        <v>250974</v>
      </c>
      <c r="G1305" t="s">
        <v>49</v>
      </c>
      <c r="H1305" t="s">
        <v>730</v>
      </c>
      <c r="K1305" t="s">
        <v>51</v>
      </c>
      <c r="L1305" t="s">
        <v>52</v>
      </c>
      <c r="M1305">
        <v>136548.20000000001</v>
      </c>
      <c r="N1305">
        <v>472173.5</v>
      </c>
      <c r="O1305" t="s">
        <v>53</v>
      </c>
      <c r="P1305" t="s">
        <v>54</v>
      </c>
      <c r="Q1305" t="s">
        <v>55</v>
      </c>
      <c r="T1305" t="s">
        <v>588</v>
      </c>
      <c r="U1305">
        <v>40</v>
      </c>
      <c r="V1305" s="1">
        <v>25750</v>
      </c>
      <c r="W1305" s="1">
        <v>25750</v>
      </c>
      <c r="X1305" s="1">
        <v>25750</v>
      </c>
      <c r="Y1305" s="1">
        <v>40360</v>
      </c>
      <c r="Z1305" t="s">
        <v>51</v>
      </c>
      <c r="AB1305" t="s">
        <v>54</v>
      </c>
      <c r="AC1305">
        <v>1</v>
      </c>
      <c r="AE1305" t="s">
        <v>222</v>
      </c>
      <c r="AF1305">
        <v>20</v>
      </c>
      <c r="AG1305" s="1">
        <v>33055</v>
      </c>
      <c r="AH1305" s="1">
        <v>33055</v>
      </c>
      <c r="AI1305" s="1">
        <v>33055</v>
      </c>
      <c r="AJ1305" s="1">
        <v>40360</v>
      </c>
      <c r="AK1305" t="s">
        <v>51</v>
      </c>
      <c r="AN1305">
        <v>0</v>
      </c>
      <c r="AO1305" t="s">
        <v>54</v>
      </c>
      <c r="AP1305" t="s">
        <v>53</v>
      </c>
      <c r="AQ1305">
        <v>0</v>
      </c>
      <c r="AR1305" t="s">
        <v>53</v>
      </c>
      <c r="AS1305">
        <v>0</v>
      </c>
      <c r="AT1305">
        <v>0</v>
      </c>
      <c r="AW1305" t="s">
        <v>58</v>
      </c>
      <c r="AX1305">
        <v>20</v>
      </c>
      <c r="AY1305" s="1">
        <v>44795</v>
      </c>
      <c r="AZ1305" s="1">
        <v>44795</v>
      </c>
      <c r="BA1305" s="1">
        <v>44795</v>
      </c>
      <c r="BB1305" s="1">
        <v>52100</v>
      </c>
      <c r="BC1305" t="s">
        <v>51</v>
      </c>
      <c r="BE1305" t="s">
        <v>54</v>
      </c>
      <c r="BF1305">
        <v>2</v>
      </c>
      <c r="BG1305">
        <v>0</v>
      </c>
      <c r="BH1305" t="s">
        <v>53</v>
      </c>
      <c r="BK1305" t="s">
        <v>59</v>
      </c>
      <c r="BL1305">
        <v>14000</v>
      </c>
      <c r="BM1305" s="1">
        <v>44795</v>
      </c>
      <c r="BN1305" s="1">
        <v>44795</v>
      </c>
      <c r="BO1305" s="1">
        <v>44795</v>
      </c>
      <c r="BP1305" s="1">
        <v>45971</v>
      </c>
      <c r="BQ1305" t="s">
        <v>51</v>
      </c>
      <c r="BS1305" t="s">
        <v>60</v>
      </c>
      <c r="BT1305" t="s">
        <v>54</v>
      </c>
      <c r="BU1305" t="s">
        <v>61</v>
      </c>
      <c r="BV1305" t="s">
        <v>62</v>
      </c>
      <c r="BX1305">
        <v>24</v>
      </c>
      <c r="BY1305">
        <v>0</v>
      </c>
      <c r="BZ1305">
        <v>0</v>
      </c>
    </row>
    <row r="1306" spans="1:78" x14ac:dyDescent="0.2">
      <c r="A1306" t="s">
        <v>180</v>
      </c>
      <c r="B1306" t="s">
        <v>181</v>
      </c>
      <c r="C1306" t="s">
        <v>184</v>
      </c>
      <c r="D1306" t="s">
        <v>731</v>
      </c>
      <c r="F1306" t="str">
        <f>"250975"</f>
        <v>250975</v>
      </c>
      <c r="G1306" t="s">
        <v>49</v>
      </c>
      <c r="H1306" t="s">
        <v>261</v>
      </c>
      <c r="K1306" t="s">
        <v>51</v>
      </c>
      <c r="L1306" t="s">
        <v>52</v>
      </c>
      <c r="M1306">
        <v>136797.42000000001</v>
      </c>
      <c r="N1306">
        <v>472115.25</v>
      </c>
      <c r="O1306" t="s">
        <v>53</v>
      </c>
      <c r="P1306" t="s">
        <v>54</v>
      </c>
      <c r="Q1306" t="s">
        <v>55</v>
      </c>
      <c r="T1306" t="s">
        <v>241</v>
      </c>
      <c r="U1306">
        <v>40</v>
      </c>
      <c r="V1306" s="1">
        <v>31594</v>
      </c>
      <c r="W1306" s="1">
        <v>31594</v>
      </c>
      <c r="X1306" s="1">
        <v>31594</v>
      </c>
      <c r="Y1306" s="1">
        <v>46204</v>
      </c>
      <c r="Z1306" t="s">
        <v>51</v>
      </c>
      <c r="AB1306" t="s">
        <v>54</v>
      </c>
      <c r="AC1306">
        <v>1</v>
      </c>
      <c r="AE1306" t="s">
        <v>222</v>
      </c>
      <c r="AF1306">
        <v>20</v>
      </c>
      <c r="AG1306" s="1">
        <v>38169</v>
      </c>
      <c r="AH1306" s="1">
        <v>38169</v>
      </c>
      <c r="AI1306" s="1">
        <v>38169</v>
      </c>
      <c r="AJ1306" s="1">
        <v>45474</v>
      </c>
      <c r="AK1306" t="s">
        <v>51</v>
      </c>
      <c r="AN1306">
        <v>0</v>
      </c>
      <c r="AO1306" t="s">
        <v>54</v>
      </c>
      <c r="AP1306" t="s">
        <v>53</v>
      </c>
      <c r="AQ1306">
        <v>0</v>
      </c>
      <c r="AR1306" t="s">
        <v>53</v>
      </c>
      <c r="AS1306">
        <v>0</v>
      </c>
      <c r="AT1306">
        <v>0</v>
      </c>
      <c r="AW1306" t="s">
        <v>58</v>
      </c>
      <c r="AX1306">
        <v>20</v>
      </c>
      <c r="AY1306" s="1">
        <v>38169</v>
      </c>
      <c r="AZ1306" s="1">
        <v>38169</v>
      </c>
      <c r="BA1306" s="1">
        <v>38169</v>
      </c>
      <c r="BB1306" s="1">
        <v>45474</v>
      </c>
      <c r="BC1306" t="s">
        <v>51</v>
      </c>
      <c r="BE1306" t="s">
        <v>54</v>
      </c>
      <c r="BF1306">
        <v>2</v>
      </c>
      <c r="BG1306">
        <v>0</v>
      </c>
      <c r="BH1306" t="s">
        <v>53</v>
      </c>
      <c r="BK1306" t="s">
        <v>59</v>
      </c>
      <c r="BL1306">
        <v>14000</v>
      </c>
      <c r="BM1306" s="1">
        <v>42917</v>
      </c>
      <c r="BN1306" s="1">
        <v>42917</v>
      </c>
      <c r="BO1306" s="1">
        <v>42917</v>
      </c>
      <c r="BP1306" s="1">
        <v>44117</v>
      </c>
      <c r="BQ1306" t="s">
        <v>51</v>
      </c>
      <c r="BS1306" t="s">
        <v>60</v>
      </c>
      <c r="BT1306" t="s">
        <v>54</v>
      </c>
      <c r="BU1306" t="s">
        <v>61</v>
      </c>
      <c r="BV1306" t="s">
        <v>62</v>
      </c>
      <c r="BX1306">
        <v>24</v>
      </c>
      <c r="BY1306">
        <v>0</v>
      </c>
      <c r="BZ1306">
        <v>0</v>
      </c>
    </row>
    <row r="1307" spans="1:78" x14ac:dyDescent="0.2">
      <c r="A1307" t="s">
        <v>180</v>
      </c>
      <c r="B1307" t="s">
        <v>181</v>
      </c>
      <c r="C1307" t="s">
        <v>184</v>
      </c>
      <c r="D1307" t="s">
        <v>731</v>
      </c>
      <c r="F1307" t="str">
        <f>"250976"</f>
        <v>250976</v>
      </c>
      <c r="G1307" t="s">
        <v>49</v>
      </c>
      <c r="H1307" t="s">
        <v>510</v>
      </c>
      <c r="K1307" t="s">
        <v>51</v>
      </c>
      <c r="L1307" t="s">
        <v>52</v>
      </c>
      <c r="M1307">
        <v>136786.10999999999</v>
      </c>
      <c r="N1307">
        <v>472091.81</v>
      </c>
      <c r="O1307" t="s">
        <v>53</v>
      </c>
      <c r="P1307" t="s">
        <v>54</v>
      </c>
      <c r="Q1307" t="s">
        <v>55</v>
      </c>
      <c r="T1307" t="s">
        <v>241</v>
      </c>
      <c r="U1307">
        <v>40</v>
      </c>
      <c r="V1307" s="1">
        <v>31594</v>
      </c>
      <c r="W1307" s="1">
        <v>31594</v>
      </c>
      <c r="X1307" s="1">
        <v>31594</v>
      </c>
      <c r="Y1307" s="1">
        <v>46204</v>
      </c>
      <c r="Z1307" t="s">
        <v>51</v>
      </c>
      <c r="AB1307" t="s">
        <v>54</v>
      </c>
      <c r="AC1307">
        <v>1</v>
      </c>
      <c r="AE1307" t="s">
        <v>222</v>
      </c>
      <c r="AF1307">
        <v>20</v>
      </c>
      <c r="AG1307" s="1">
        <v>38169</v>
      </c>
      <c r="AH1307" s="1">
        <v>38169</v>
      </c>
      <c r="AI1307" s="1">
        <v>38169</v>
      </c>
      <c r="AJ1307" s="1">
        <v>45474</v>
      </c>
      <c r="AK1307" t="s">
        <v>51</v>
      </c>
      <c r="AN1307">
        <v>0</v>
      </c>
      <c r="AO1307" t="s">
        <v>54</v>
      </c>
      <c r="AP1307" t="s">
        <v>53</v>
      </c>
      <c r="AQ1307">
        <v>0</v>
      </c>
      <c r="AR1307" t="s">
        <v>53</v>
      </c>
      <c r="AS1307">
        <v>0</v>
      </c>
      <c r="AT1307">
        <v>0</v>
      </c>
      <c r="AW1307" t="s">
        <v>58</v>
      </c>
      <c r="AX1307">
        <v>20</v>
      </c>
      <c r="AY1307" s="1">
        <v>38169</v>
      </c>
      <c r="AZ1307" s="1">
        <v>38169</v>
      </c>
      <c r="BA1307" s="1">
        <v>38169</v>
      </c>
      <c r="BB1307" s="1">
        <v>45474</v>
      </c>
      <c r="BC1307" t="s">
        <v>51</v>
      </c>
      <c r="BE1307" t="s">
        <v>54</v>
      </c>
      <c r="BF1307">
        <v>2</v>
      </c>
      <c r="BG1307">
        <v>0</v>
      </c>
      <c r="BH1307" t="s">
        <v>53</v>
      </c>
      <c r="BK1307" t="s">
        <v>59</v>
      </c>
      <c r="BL1307">
        <v>14000</v>
      </c>
      <c r="BM1307" s="1">
        <v>42917</v>
      </c>
      <c r="BN1307" s="1">
        <v>42917</v>
      </c>
      <c r="BO1307" s="1">
        <v>42917</v>
      </c>
      <c r="BP1307" s="1">
        <v>44117</v>
      </c>
      <c r="BQ1307" t="s">
        <v>51</v>
      </c>
      <c r="BS1307" t="s">
        <v>60</v>
      </c>
      <c r="BT1307" t="s">
        <v>54</v>
      </c>
      <c r="BU1307" t="s">
        <v>61</v>
      </c>
      <c r="BV1307" t="s">
        <v>62</v>
      </c>
      <c r="BX1307">
        <v>24</v>
      </c>
      <c r="BY1307">
        <v>0</v>
      </c>
      <c r="BZ1307">
        <v>0</v>
      </c>
    </row>
    <row r="1308" spans="1:78" x14ac:dyDescent="0.2">
      <c r="A1308" t="s">
        <v>180</v>
      </c>
      <c r="B1308" t="s">
        <v>181</v>
      </c>
      <c r="C1308" t="s">
        <v>184</v>
      </c>
      <c r="D1308" t="s">
        <v>731</v>
      </c>
      <c r="F1308" t="str">
        <f>"250977"</f>
        <v>250977</v>
      </c>
      <c r="G1308" t="s">
        <v>49</v>
      </c>
      <c r="H1308" t="s">
        <v>510</v>
      </c>
      <c r="K1308" t="s">
        <v>51</v>
      </c>
      <c r="L1308" t="s">
        <v>52</v>
      </c>
      <c r="M1308">
        <v>136802.29999999999</v>
      </c>
      <c r="N1308">
        <v>472080.31</v>
      </c>
      <c r="O1308" t="s">
        <v>53</v>
      </c>
      <c r="P1308" t="s">
        <v>54</v>
      </c>
      <c r="Q1308" t="s">
        <v>55</v>
      </c>
      <c r="T1308" t="s">
        <v>241</v>
      </c>
      <c r="U1308">
        <v>40</v>
      </c>
      <c r="V1308" s="1">
        <v>31594</v>
      </c>
      <c r="W1308" s="1">
        <v>31594</v>
      </c>
      <c r="X1308" s="1">
        <v>31594</v>
      </c>
      <c r="Y1308" s="1">
        <v>46204</v>
      </c>
      <c r="Z1308" t="s">
        <v>51</v>
      </c>
      <c r="AB1308" t="s">
        <v>54</v>
      </c>
      <c r="AC1308">
        <v>1</v>
      </c>
      <c r="AE1308" t="s">
        <v>222</v>
      </c>
      <c r="AF1308">
        <v>20</v>
      </c>
      <c r="AG1308" s="1">
        <v>38169</v>
      </c>
      <c r="AH1308" s="1">
        <v>38169</v>
      </c>
      <c r="AI1308" s="1">
        <v>38169</v>
      </c>
      <c r="AJ1308" s="1">
        <v>45474</v>
      </c>
      <c r="AK1308" t="s">
        <v>51</v>
      </c>
      <c r="AN1308">
        <v>0</v>
      </c>
      <c r="AO1308" t="s">
        <v>54</v>
      </c>
      <c r="AP1308" t="s">
        <v>53</v>
      </c>
      <c r="AQ1308">
        <v>0</v>
      </c>
      <c r="AR1308" t="s">
        <v>53</v>
      </c>
      <c r="AS1308">
        <v>0</v>
      </c>
      <c r="AT1308">
        <v>0</v>
      </c>
      <c r="AW1308" t="s">
        <v>58</v>
      </c>
      <c r="AX1308">
        <v>20</v>
      </c>
      <c r="AY1308" s="1">
        <v>38169</v>
      </c>
      <c r="AZ1308" s="1">
        <v>38169</v>
      </c>
      <c r="BA1308" s="1">
        <v>38169</v>
      </c>
      <c r="BB1308" s="1">
        <v>45474</v>
      </c>
      <c r="BC1308" t="s">
        <v>51</v>
      </c>
      <c r="BE1308" t="s">
        <v>54</v>
      </c>
      <c r="BF1308">
        <v>2</v>
      </c>
      <c r="BG1308">
        <v>0</v>
      </c>
      <c r="BH1308" t="s">
        <v>53</v>
      </c>
      <c r="BK1308" t="s">
        <v>59</v>
      </c>
      <c r="BL1308">
        <v>14000</v>
      </c>
      <c r="BM1308" s="1">
        <v>42917</v>
      </c>
      <c r="BN1308" s="1">
        <v>42917</v>
      </c>
      <c r="BO1308" s="1">
        <v>42917</v>
      </c>
      <c r="BP1308" s="1">
        <v>44117</v>
      </c>
      <c r="BQ1308" t="s">
        <v>51</v>
      </c>
      <c r="BS1308" t="s">
        <v>60</v>
      </c>
      <c r="BT1308" t="s">
        <v>54</v>
      </c>
      <c r="BU1308" t="s">
        <v>61</v>
      </c>
      <c r="BV1308" t="s">
        <v>62</v>
      </c>
      <c r="BX1308">
        <v>24</v>
      </c>
      <c r="BY1308">
        <v>0</v>
      </c>
      <c r="BZ1308">
        <v>0</v>
      </c>
    </row>
    <row r="1309" spans="1:78" x14ac:dyDescent="0.2">
      <c r="A1309" t="s">
        <v>180</v>
      </c>
      <c r="B1309" t="s">
        <v>181</v>
      </c>
      <c r="C1309" t="s">
        <v>184</v>
      </c>
      <c r="D1309" t="s">
        <v>732</v>
      </c>
      <c r="F1309" t="str">
        <f>"250979"</f>
        <v>250979</v>
      </c>
      <c r="G1309" t="s">
        <v>49</v>
      </c>
      <c r="H1309" t="s">
        <v>510</v>
      </c>
      <c r="K1309" t="s">
        <v>51</v>
      </c>
      <c r="L1309" t="s">
        <v>52</v>
      </c>
      <c r="M1309">
        <v>136744.19</v>
      </c>
      <c r="N1309">
        <v>472117.91</v>
      </c>
      <c r="O1309" t="s">
        <v>53</v>
      </c>
      <c r="P1309" t="s">
        <v>54</v>
      </c>
      <c r="Q1309" t="s">
        <v>55</v>
      </c>
      <c r="T1309" t="s">
        <v>706</v>
      </c>
      <c r="U1309">
        <v>40</v>
      </c>
      <c r="V1309" s="1">
        <v>25750</v>
      </c>
      <c r="W1309" s="1">
        <v>25750</v>
      </c>
      <c r="X1309" s="1">
        <v>25750</v>
      </c>
      <c r="Y1309" s="1">
        <v>40360</v>
      </c>
      <c r="Z1309" t="s">
        <v>51</v>
      </c>
      <c r="AB1309" t="s">
        <v>54</v>
      </c>
      <c r="AC1309">
        <v>1</v>
      </c>
      <c r="AE1309" t="s">
        <v>84</v>
      </c>
      <c r="AF1309">
        <v>20</v>
      </c>
      <c r="AG1309" s="1">
        <v>25750</v>
      </c>
      <c r="AH1309" s="1">
        <v>25750</v>
      </c>
      <c r="AI1309" s="1">
        <v>25750</v>
      </c>
      <c r="AJ1309" s="1">
        <v>33055</v>
      </c>
      <c r="AK1309" t="s">
        <v>51</v>
      </c>
      <c r="AN1309">
        <v>0</v>
      </c>
      <c r="AO1309" t="s">
        <v>54</v>
      </c>
      <c r="AP1309" t="s">
        <v>53</v>
      </c>
      <c r="AQ1309">
        <v>0</v>
      </c>
      <c r="AR1309" t="s">
        <v>53</v>
      </c>
      <c r="AS1309">
        <v>0</v>
      </c>
      <c r="AT1309">
        <v>0</v>
      </c>
      <c r="AW1309" t="s">
        <v>58</v>
      </c>
      <c r="AX1309">
        <v>20</v>
      </c>
      <c r="AY1309" s="1">
        <v>25750</v>
      </c>
      <c r="AZ1309" s="1">
        <v>25750</v>
      </c>
      <c r="BA1309" s="1">
        <v>25750</v>
      </c>
      <c r="BB1309" s="1">
        <v>33055</v>
      </c>
      <c r="BC1309" t="s">
        <v>51</v>
      </c>
      <c r="BE1309" t="s">
        <v>54</v>
      </c>
      <c r="BF1309">
        <v>2</v>
      </c>
      <c r="BG1309">
        <v>0</v>
      </c>
      <c r="BH1309" t="s">
        <v>53</v>
      </c>
      <c r="BI1309">
        <v>1</v>
      </c>
      <c r="BK1309" t="s">
        <v>59</v>
      </c>
      <c r="BL1309">
        <v>14000</v>
      </c>
      <c r="BM1309" s="1">
        <v>42917</v>
      </c>
      <c r="BN1309" s="1">
        <v>42917</v>
      </c>
      <c r="BO1309" s="1">
        <v>42917</v>
      </c>
      <c r="BP1309" s="1">
        <v>44117</v>
      </c>
      <c r="BQ1309" t="s">
        <v>51</v>
      </c>
      <c r="BS1309" t="s">
        <v>60</v>
      </c>
      <c r="BT1309" t="s">
        <v>54</v>
      </c>
      <c r="BU1309" t="s">
        <v>61</v>
      </c>
      <c r="BV1309" t="s">
        <v>62</v>
      </c>
      <c r="BX1309">
        <v>24</v>
      </c>
      <c r="BY1309">
        <v>0</v>
      </c>
      <c r="BZ1309">
        <v>0</v>
      </c>
    </row>
    <row r="1310" spans="1:78" x14ac:dyDescent="0.2">
      <c r="A1310" t="s">
        <v>180</v>
      </c>
      <c r="B1310" t="s">
        <v>181</v>
      </c>
      <c r="C1310" t="s">
        <v>184</v>
      </c>
      <c r="D1310" t="s">
        <v>732</v>
      </c>
      <c r="F1310" t="str">
        <f>"250980"</f>
        <v>250980</v>
      </c>
      <c r="G1310" t="s">
        <v>49</v>
      </c>
      <c r="H1310" t="s">
        <v>324</v>
      </c>
      <c r="K1310" t="s">
        <v>51</v>
      </c>
      <c r="L1310" t="s">
        <v>52</v>
      </c>
      <c r="M1310">
        <v>136747.22</v>
      </c>
      <c r="N1310">
        <v>472139.88</v>
      </c>
      <c r="O1310" t="s">
        <v>53</v>
      </c>
      <c r="P1310" t="s">
        <v>54</v>
      </c>
      <c r="Q1310" t="s">
        <v>55</v>
      </c>
      <c r="T1310" t="s">
        <v>706</v>
      </c>
      <c r="U1310">
        <v>40</v>
      </c>
      <c r="V1310" s="1">
        <v>25750</v>
      </c>
      <c r="W1310" s="1">
        <v>25750</v>
      </c>
      <c r="X1310" s="1">
        <v>25750</v>
      </c>
      <c r="Y1310" s="1">
        <v>40360</v>
      </c>
      <c r="Z1310" t="s">
        <v>51</v>
      </c>
      <c r="AB1310" t="s">
        <v>54</v>
      </c>
      <c r="AC1310">
        <v>1</v>
      </c>
      <c r="AE1310" t="s">
        <v>84</v>
      </c>
      <c r="AF1310">
        <v>20</v>
      </c>
      <c r="AG1310" s="1">
        <v>25750</v>
      </c>
      <c r="AH1310" s="1">
        <v>25750</v>
      </c>
      <c r="AI1310" s="1">
        <v>25750</v>
      </c>
      <c r="AJ1310" s="1">
        <v>33055</v>
      </c>
      <c r="AK1310" t="s">
        <v>51</v>
      </c>
      <c r="AN1310">
        <v>0</v>
      </c>
      <c r="AO1310" t="s">
        <v>54</v>
      </c>
      <c r="AP1310" t="s">
        <v>53</v>
      </c>
      <c r="AQ1310">
        <v>0</v>
      </c>
      <c r="AR1310" t="s">
        <v>53</v>
      </c>
      <c r="AS1310">
        <v>0</v>
      </c>
      <c r="AT1310">
        <v>0</v>
      </c>
      <c r="AW1310" t="s">
        <v>58</v>
      </c>
      <c r="AX1310">
        <v>20</v>
      </c>
      <c r="AY1310" s="1">
        <v>25750</v>
      </c>
      <c r="AZ1310" s="1">
        <v>25750</v>
      </c>
      <c r="BA1310" s="1">
        <v>25750</v>
      </c>
      <c r="BB1310" s="1">
        <v>33055</v>
      </c>
      <c r="BC1310" t="s">
        <v>51</v>
      </c>
      <c r="BE1310" t="s">
        <v>54</v>
      </c>
      <c r="BF1310">
        <v>2</v>
      </c>
      <c r="BG1310">
        <v>0</v>
      </c>
      <c r="BH1310" t="s">
        <v>53</v>
      </c>
      <c r="BK1310" t="s">
        <v>59</v>
      </c>
      <c r="BL1310">
        <v>14000</v>
      </c>
      <c r="BM1310" s="1">
        <v>42917</v>
      </c>
      <c r="BN1310" s="1">
        <v>42917</v>
      </c>
      <c r="BO1310" s="1">
        <v>42917</v>
      </c>
      <c r="BP1310" s="1">
        <v>44117</v>
      </c>
      <c r="BQ1310" t="s">
        <v>51</v>
      </c>
      <c r="BS1310" t="s">
        <v>60</v>
      </c>
      <c r="BT1310" t="s">
        <v>54</v>
      </c>
      <c r="BU1310" t="s">
        <v>61</v>
      </c>
      <c r="BV1310" t="s">
        <v>62</v>
      </c>
      <c r="BX1310">
        <v>24</v>
      </c>
      <c r="BY1310">
        <v>0</v>
      </c>
      <c r="BZ1310">
        <v>0</v>
      </c>
    </row>
    <row r="1311" spans="1:78" x14ac:dyDescent="0.2">
      <c r="A1311" t="s">
        <v>180</v>
      </c>
      <c r="B1311" t="s">
        <v>181</v>
      </c>
      <c r="C1311" t="s">
        <v>184</v>
      </c>
      <c r="D1311" t="s">
        <v>733</v>
      </c>
      <c r="F1311" t="str">
        <f>"250981"</f>
        <v>250981</v>
      </c>
      <c r="G1311" t="s">
        <v>49</v>
      </c>
      <c r="H1311" t="s">
        <v>734</v>
      </c>
      <c r="K1311" t="s">
        <v>51</v>
      </c>
      <c r="L1311" t="s">
        <v>52</v>
      </c>
      <c r="M1311">
        <v>136489.41</v>
      </c>
      <c r="N1311">
        <v>472132.96</v>
      </c>
      <c r="O1311" t="s">
        <v>53</v>
      </c>
      <c r="P1311" t="s">
        <v>54</v>
      </c>
      <c r="Q1311" t="s">
        <v>55</v>
      </c>
      <c r="T1311" t="s">
        <v>682</v>
      </c>
      <c r="U1311">
        <v>40</v>
      </c>
      <c r="V1311" s="1">
        <v>36708</v>
      </c>
      <c r="W1311" s="1">
        <v>36708</v>
      </c>
      <c r="X1311" s="1">
        <v>36708</v>
      </c>
      <c r="Y1311" s="1">
        <v>51318</v>
      </c>
      <c r="Z1311" t="s">
        <v>51</v>
      </c>
      <c r="AB1311" t="s">
        <v>54</v>
      </c>
      <c r="AC1311">
        <v>1</v>
      </c>
      <c r="AE1311" t="s">
        <v>222</v>
      </c>
      <c r="AF1311">
        <v>20</v>
      </c>
      <c r="AG1311" s="1">
        <v>36708</v>
      </c>
      <c r="AH1311" s="1">
        <v>36708</v>
      </c>
      <c r="AI1311" s="1">
        <v>36708</v>
      </c>
      <c r="AJ1311" s="1">
        <v>44013</v>
      </c>
      <c r="AK1311" t="s">
        <v>51</v>
      </c>
      <c r="AN1311">
        <v>0</v>
      </c>
      <c r="AO1311" t="s">
        <v>54</v>
      </c>
      <c r="AP1311" t="s">
        <v>53</v>
      </c>
      <c r="AQ1311">
        <v>0</v>
      </c>
      <c r="AR1311" t="s">
        <v>53</v>
      </c>
      <c r="AS1311">
        <v>0</v>
      </c>
      <c r="AT1311">
        <v>0</v>
      </c>
      <c r="AW1311" t="s">
        <v>58</v>
      </c>
      <c r="AX1311">
        <v>20</v>
      </c>
      <c r="AY1311" s="1">
        <v>36708</v>
      </c>
      <c r="AZ1311" s="1">
        <v>36708</v>
      </c>
      <c r="BA1311" s="1">
        <v>36708</v>
      </c>
      <c r="BB1311" s="1">
        <v>44013</v>
      </c>
      <c r="BC1311" t="s">
        <v>51</v>
      </c>
      <c r="BE1311" t="s">
        <v>54</v>
      </c>
      <c r="BF1311">
        <v>2</v>
      </c>
      <c r="BG1311">
        <v>0</v>
      </c>
      <c r="BH1311" t="s">
        <v>53</v>
      </c>
      <c r="BK1311" t="s">
        <v>59</v>
      </c>
      <c r="BL1311">
        <v>14000</v>
      </c>
      <c r="BM1311" s="1">
        <v>42917</v>
      </c>
      <c r="BN1311" s="1">
        <v>42917</v>
      </c>
      <c r="BO1311" s="1">
        <v>42917</v>
      </c>
      <c r="BP1311" s="1">
        <v>44117</v>
      </c>
      <c r="BQ1311" t="s">
        <v>51</v>
      </c>
      <c r="BS1311" t="s">
        <v>60</v>
      </c>
      <c r="BT1311" t="s">
        <v>54</v>
      </c>
      <c r="BU1311" t="s">
        <v>61</v>
      </c>
      <c r="BV1311" t="s">
        <v>62</v>
      </c>
      <c r="BX1311">
        <v>24</v>
      </c>
      <c r="BY1311">
        <v>0</v>
      </c>
      <c r="BZ1311">
        <v>0</v>
      </c>
    </row>
    <row r="1312" spans="1:78" x14ac:dyDescent="0.2">
      <c r="A1312" t="s">
        <v>180</v>
      </c>
      <c r="B1312" t="s">
        <v>181</v>
      </c>
      <c r="C1312" t="s">
        <v>184</v>
      </c>
      <c r="D1312" t="s">
        <v>733</v>
      </c>
      <c r="F1312" t="str">
        <f>"250982"</f>
        <v>250982</v>
      </c>
      <c r="G1312" t="s">
        <v>49</v>
      </c>
      <c r="H1312" t="s">
        <v>313</v>
      </c>
      <c r="K1312" t="s">
        <v>51</v>
      </c>
      <c r="L1312" t="s">
        <v>52</v>
      </c>
      <c r="M1312">
        <v>136504.31</v>
      </c>
      <c r="N1312">
        <v>472144.41</v>
      </c>
      <c r="O1312" t="s">
        <v>53</v>
      </c>
      <c r="P1312" t="s">
        <v>54</v>
      </c>
      <c r="Q1312" t="s">
        <v>55</v>
      </c>
      <c r="T1312" t="s">
        <v>682</v>
      </c>
      <c r="U1312">
        <v>40</v>
      </c>
      <c r="V1312" s="1">
        <v>36708</v>
      </c>
      <c r="W1312" s="1">
        <v>36708</v>
      </c>
      <c r="X1312" s="1">
        <v>36708</v>
      </c>
      <c r="Y1312" s="1">
        <v>51318</v>
      </c>
      <c r="Z1312" t="s">
        <v>51</v>
      </c>
      <c r="AB1312" t="s">
        <v>54</v>
      </c>
      <c r="AC1312">
        <v>1</v>
      </c>
      <c r="AE1312" t="s">
        <v>222</v>
      </c>
      <c r="AF1312">
        <v>20</v>
      </c>
      <c r="AG1312" s="1">
        <v>36708</v>
      </c>
      <c r="AH1312" s="1">
        <v>36708</v>
      </c>
      <c r="AI1312" s="1">
        <v>36708</v>
      </c>
      <c r="AJ1312" s="1">
        <v>44013</v>
      </c>
      <c r="AK1312" t="s">
        <v>51</v>
      </c>
      <c r="AN1312">
        <v>0</v>
      </c>
      <c r="AO1312" t="s">
        <v>54</v>
      </c>
      <c r="AP1312" t="s">
        <v>53</v>
      </c>
      <c r="AQ1312">
        <v>0</v>
      </c>
      <c r="AR1312" t="s">
        <v>53</v>
      </c>
      <c r="AS1312">
        <v>0</v>
      </c>
      <c r="AT1312">
        <v>0</v>
      </c>
      <c r="AW1312" t="s">
        <v>58</v>
      </c>
      <c r="AX1312">
        <v>20</v>
      </c>
      <c r="AY1312" s="1">
        <v>36708</v>
      </c>
      <c r="AZ1312" s="1">
        <v>36708</v>
      </c>
      <c r="BA1312" s="1">
        <v>36708</v>
      </c>
      <c r="BB1312" s="1">
        <v>44013</v>
      </c>
      <c r="BC1312" t="s">
        <v>51</v>
      </c>
      <c r="BE1312" t="s">
        <v>54</v>
      </c>
      <c r="BF1312">
        <v>2</v>
      </c>
      <c r="BG1312">
        <v>0</v>
      </c>
      <c r="BH1312" t="s">
        <v>53</v>
      </c>
      <c r="BK1312" t="s">
        <v>65</v>
      </c>
      <c r="BL1312">
        <v>14000</v>
      </c>
      <c r="BM1312" s="1">
        <v>42917</v>
      </c>
      <c r="BN1312" s="1">
        <v>42917</v>
      </c>
      <c r="BO1312" s="1">
        <v>42917</v>
      </c>
      <c r="BP1312" s="1">
        <v>44117</v>
      </c>
      <c r="BQ1312" t="s">
        <v>51</v>
      </c>
      <c r="BS1312" t="s">
        <v>60</v>
      </c>
      <c r="BT1312" t="s">
        <v>54</v>
      </c>
      <c r="BU1312" t="s">
        <v>61</v>
      </c>
      <c r="BV1312" t="s">
        <v>62</v>
      </c>
      <c r="BX1312">
        <v>36</v>
      </c>
      <c r="BY1312">
        <v>0</v>
      </c>
      <c r="BZ1312">
        <v>0</v>
      </c>
    </row>
    <row r="1313" spans="1:99" x14ac:dyDescent="0.2">
      <c r="A1313" t="s">
        <v>180</v>
      </c>
      <c r="B1313" t="s">
        <v>181</v>
      </c>
      <c r="C1313" t="s">
        <v>184</v>
      </c>
      <c r="D1313" t="s">
        <v>733</v>
      </c>
      <c r="F1313" t="str">
        <f>"250983"</f>
        <v>250983</v>
      </c>
      <c r="G1313" t="s">
        <v>49</v>
      </c>
      <c r="H1313" t="s">
        <v>735</v>
      </c>
      <c r="K1313" t="s">
        <v>51</v>
      </c>
      <c r="L1313" t="s">
        <v>52</v>
      </c>
      <c r="M1313">
        <v>136504.73000000001</v>
      </c>
      <c r="N1313">
        <v>472164.69</v>
      </c>
      <c r="O1313" t="s">
        <v>53</v>
      </c>
      <c r="P1313" t="s">
        <v>54</v>
      </c>
      <c r="Q1313" t="s">
        <v>55</v>
      </c>
      <c r="T1313" t="s">
        <v>682</v>
      </c>
      <c r="U1313">
        <v>40</v>
      </c>
      <c r="V1313" s="1">
        <v>36708</v>
      </c>
      <c r="W1313" s="1">
        <v>36708</v>
      </c>
      <c r="X1313" s="1">
        <v>36708</v>
      </c>
      <c r="Y1313" s="1">
        <v>51318</v>
      </c>
      <c r="Z1313" t="s">
        <v>51</v>
      </c>
      <c r="AB1313" t="s">
        <v>54</v>
      </c>
      <c r="AC1313">
        <v>1</v>
      </c>
      <c r="AE1313" t="s">
        <v>222</v>
      </c>
      <c r="AF1313">
        <v>20</v>
      </c>
      <c r="AG1313" s="1">
        <v>36708</v>
      </c>
      <c r="AH1313" s="1">
        <v>36708</v>
      </c>
      <c r="AI1313" s="1">
        <v>36708</v>
      </c>
      <c r="AJ1313" s="1">
        <v>44013</v>
      </c>
      <c r="AK1313" t="s">
        <v>51</v>
      </c>
      <c r="AN1313">
        <v>0</v>
      </c>
      <c r="AO1313" t="s">
        <v>54</v>
      </c>
      <c r="AP1313" t="s">
        <v>53</v>
      </c>
      <c r="AQ1313">
        <v>0</v>
      </c>
      <c r="AR1313" t="s">
        <v>53</v>
      </c>
      <c r="AS1313">
        <v>0</v>
      </c>
      <c r="AT1313">
        <v>0</v>
      </c>
      <c r="AW1313" t="s">
        <v>58</v>
      </c>
      <c r="AX1313">
        <v>20</v>
      </c>
      <c r="AY1313" s="1">
        <v>36708</v>
      </c>
      <c r="AZ1313" s="1">
        <v>36708</v>
      </c>
      <c r="BA1313" s="1">
        <v>36708</v>
      </c>
      <c r="BB1313" s="1">
        <v>44013</v>
      </c>
      <c r="BC1313" t="s">
        <v>51</v>
      </c>
      <c r="BE1313" t="s">
        <v>54</v>
      </c>
      <c r="BF1313">
        <v>2</v>
      </c>
      <c r="BG1313">
        <v>0</v>
      </c>
      <c r="BH1313" t="s">
        <v>53</v>
      </c>
      <c r="BK1313" t="s">
        <v>65</v>
      </c>
      <c r="BL1313">
        <v>14000</v>
      </c>
      <c r="BM1313" s="1">
        <v>42917</v>
      </c>
      <c r="BN1313" s="1">
        <v>42917</v>
      </c>
      <c r="BO1313" s="1">
        <v>42917</v>
      </c>
      <c r="BP1313" s="1">
        <v>44117</v>
      </c>
      <c r="BQ1313" t="s">
        <v>51</v>
      </c>
      <c r="BS1313" t="s">
        <v>60</v>
      </c>
      <c r="BT1313" t="s">
        <v>54</v>
      </c>
      <c r="BU1313" t="s">
        <v>61</v>
      </c>
      <c r="BV1313" t="s">
        <v>62</v>
      </c>
      <c r="BX1313">
        <v>36</v>
      </c>
      <c r="BY1313">
        <v>0</v>
      </c>
      <c r="BZ1313">
        <v>0</v>
      </c>
    </row>
    <row r="1314" spans="1:99" x14ac:dyDescent="0.2">
      <c r="A1314" t="s">
        <v>180</v>
      </c>
      <c r="B1314" t="s">
        <v>181</v>
      </c>
      <c r="C1314" t="s">
        <v>184</v>
      </c>
      <c r="D1314" t="s">
        <v>733</v>
      </c>
      <c r="F1314" t="str">
        <f>"250984"</f>
        <v>250984</v>
      </c>
      <c r="G1314" t="s">
        <v>49</v>
      </c>
      <c r="H1314" t="s">
        <v>736</v>
      </c>
      <c r="K1314" t="s">
        <v>51</v>
      </c>
      <c r="L1314" t="s">
        <v>52</v>
      </c>
      <c r="M1314">
        <v>136519.70000000001</v>
      </c>
      <c r="N1314">
        <v>472177.31</v>
      </c>
      <c r="O1314" t="s">
        <v>53</v>
      </c>
      <c r="P1314" t="s">
        <v>54</v>
      </c>
      <c r="Q1314" t="s">
        <v>55</v>
      </c>
      <c r="T1314" t="s">
        <v>682</v>
      </c>
      <c r="U1314">
        <v>40</v>
      </c>
      <c r="V1314" s="1">
        <v>26299</v>
      </c>
      <c r="W1314" s="1">
        <v>26299</v>
      </c>
      <c r="X1314" s="1">
        <v>26299</v>
      </c>
      <c r="Y1314" s="1">
        <v>40909</v>
      </c>
      <c r="Z1314" t="s">
        <v>51</v>
      </c>
      <c r="AB1314" t="s">
        <v>54</v>
      </c>
      <c r="AC1314">
        <v>1</v>
      </c>
      <c r="AE1314" t="s">
        <v>222</v>
      </c>
      <c r="AF1314">
        <v>20</v>
      </c>
      <c r="AG1314" s="1">
        <v>26299</v>
      </c>
      <c r="AH1314" s="1">
        <v>26299</v>
      </c>
      <c r="AI1314" s="1">
        <v>26299</v>
      </c>
      <c r="AJ1314" s="1">
        <v>33604</v>
      </c>
      <c r="AK1314" t="s">
        <v>51</v>
      </c>
      <c r="AN1314">
        <v>0</v>
      </c>
      <c r="AO1314" t="s">
        <v>54</v>
      </c>
      <c r="AP1314" t="s">
        <v>53</v>
      </c>
      <c r="AQ1314">
        <v>0</v>
      </c>
      <c r="AR1314" t="s">
        <v>53</v>
      </c>
      <c r="AS1314">
        <v>0</v>
      </c>
      <c r="AT1314">
        <v>0</v>
      </c>
      <c r="AW1314" t="s">
        <v>58</v>
      </c>
      <c r="AX1314">
        <v>20</v>
      </c>
      <c r="AY1314" s="1">
        <v>44795</v>
      </c>
      <c r="AZ1314" s="1">
        <v>44795</v>
      </c>
      <c r="BA1314" s="1">
        <v>44795</v>
      </c>
      <c r="BB1314" s="1">
        <v>52100</v>
      </c>
      <c r="BC1314" t="s">
        <v>51</v>
      </c>
      <c r="BE1314" t="s">
        <v>54</v>
      </c>
      <c r="BF1314">
        <v>2</v>
      </c>
      <c r="BG1314">
        <v>0</v>
      </c>
      <c r="BH1314" t="s">
        <v>53</v>
      </c>
      <c r="BK1314" t="s">
        <v>65</v>
      </c>
      <c r="BL1314">
        <v>14000</v>
      </c>
      <c r="BM1314" s="1">
        <v>44795</v>
      </c>
      <c r="BN1314" s="1">
        <v>44795</v>
      </c>
      <c r="BO1314" s="1">
        <v>44795</v>
      </c>
      <c r="BP1314" s="1">
        <v>45971</v>
      </c>
      <c r="BQ1314" t="s">
        <v>51</v>
      </c>
      <c r="BS1314" t="s">
        <v>60</v>
      </c>
      <c r="BT1314" t="s">
        <v>54</v>
      </c>
      <c r="BU1314" t="s">
        <v>61</v>
      </c>
      <c r="BV1314" t="s">
        <v>62</v>
      </c>
      <c r="BX1314">
        <v>36</v>
      </c>
      <c r="BY1314">
        <v>0</v>
      </c>
      <c r="BZ1314">
        <v>0</v>
      </c>
    </row>
    <row r="1315" spans="1:99" x14ac:dyDescent="0.2">
      <c r="A1315" t="s">
        <v>180</v>
      </c>
      <c r="B1315" t="s">
        <v>181</v>
      </c>
      <c r="C1315" t="s">
        <v>184</v>
      </c>
      <c r="D1315" t="s">
        <v>733</v>
      </c>
      <c r="F1315" t="str">
        <f>"250985"</f>
        <v>250985</v>
      </c>
      <c r="G1315" t="s">
        <v>49</v>
      </c>
      <c r="K1315" t="s">
        <v>51</v>
      </c>
      <c r="L1315" t="s">
        <v>52</v>
      </c>
      <c r="M1315">
        <v>136518.39000000001</v>
      </c>
      <c r="N1315">
        <v>472193.78</v>
      </c>
      <c r="O1315" t="s">
        <v>53</v>
      </c>
      <c r="P1315" t="s">
        <v>54</v>
      </c>
      <c r="Q1315" t="s">
        <v>55</v>
      </c>
      <c r="T1315" t="s">
        <v>682</v>
      </c>
      <c r="U1315">
        <v>40</v>
      </c>
      <c r="V1315" s="1">
        <v>26299</v>
      </c>
      <c r="W1315" s="1">
        <v>26299</v>
      </c>
      <c r="X1315" s="1">
        <v>26299</v>
      </c>
      <c r="Y1315" s="1">
        <v>40909</v>
      </c>
      <c r="Z1315" t="s">
        <v>51</v>
      </c>
      <c r="AB1315" t="s">
        <v>54</v>
      </c>
      <c r="AC1315">
        <v>1</v>
      </c>
      <c r="AE1315" t="s">
        <v>222</v>
      </c>
      <c r="AF1315">
        <v>20</v>
      </c>
      <c r="AG1315" s="1">
        <v>26299</v>
      </c>
      <c r="AH1315" s="1">
        <v>26299</v>
      </c>
      <c r="AI1315" s="1">
        <v>26299</v>
      </c>
      <c r="AJ1315" s="1">
        <v>33604</v>
      </c>
      <c r="AK1315" t="s">
        <v>51</v>
      </c>
      <c r="AN1315">
        <v>0</v>
      </c>
      <c r="AO1315" t="s">
        <v>54</v>
      </c>
      <c r="AP1315" t="s">
        <v>53</v>
      </c>
      <c r="AQ1315">
        <v>0</v>
      </c>
      <c r="AR1315" t="s">
        <v>53</v>
      </c>
      <c r="AS1315">
        <v>0</v>
      </c>
      <c r="AT1315">
        <v>0</v>
      </c>
      <c r="AW1315" t="s">
        <v>58</v>
      </c>
      <c r="AX1315">
        <v>20</v>
      </c>
      <c r="AY1315" s="1">
        <v>26299</v>
      </c>
      <c r="AZ1315" s="1">
        <v>26299</v>
      </c>
      <c r="BA1315" s="1">
        <v>26299</v>
      </c>
      <c r="BB1315" s="1">
        <v>33604</v>
      </c>
      <c r="BC1315" t="s">
        <v>51</v>
      </c>
      <c r="BE1315" t="s">
        <v>54</v>
      </c>
      <c r="BF1315">
        <v>2</v>
      </c>
      <c r="BG1315">
        <v>0</v>
      </c>
      <c r="BH1315" t="s">
        <v>53</v>
      </c>
      <c r="BK1315" t="s">
        <v>65</v>
      </c>
      <c r="BL1315">
        <v>14000</v>
      </c>
      <c r="BM1315" s="1">
        <v>42917</v>
      </c>
      <c r="BN1315" s="1">
        <v>42917</v>
      </c>
      <c r="BO1315" s="1">
        <v>42917</v>
      </c>
      <c r="BP1315" s="1">
        <v>44117</v>
      </c>
      <c r="BQ1315" t="s">
        <v>51</v>
      </c>
      <c r="BS1315" t="s">
        <v>60</v>
      </c>
      <c r="BT1315" t="s">
        <v>54</v>
      </c>
      <c r="BU1315" t="s">
        <v>61</v>
      </c>
      <c r="BV1315" t="s">
        <v>62</v>
      </c>
      <c r="BX1315">
        <v>36</v>
      </c>
      <c r="BY1315">
        <v>0</v>
      </c>
      <c r="BZ1315">
        <v>0</v>
      </c>
    </row>
    <row r="1316" spans="1:99" x14ac:dyDescent="0.2">
      <c r="A1316" t="s">
        <v>180</v>
      </c>
      <c r="B1316" t="s">
        <v>181</v>
      </c>
      <c r="C1316" t="s">
        <v>184</v>
      </c>
      <c r="D1316" t="s">
        <v>733</v>
      </c>
      <c r="F1316" t="str">
        <f>"250986"</f>
        <v>250986</v>
      </c>
      <c r="G1316" t="s">
        <v>49</v>
      </c>
      <c r="K1316" t="s">
        <v>51</v>
      </c>
      <c r="L1316" t="s">
        <v>52</v>
      </c>
      <c r="M1316">
        <v>136535.34400000001</v>
      </c>
      <c r="N1316">
        <v>472197.56199999998</v>
      </c>
      <c r="O1316" t="s">
        <v>53</v>
      </c>
      <c r="P1316" t="s">
        <v>54</v>
      </c>
      <c r="Q1316" t="s">
        <v>55</v>
      </c>
      <c r="T1316" t="s">
        <v>682</v>
      </c>
      <c r="U1316">
        <v>40</v>
      </c>
      <c r="V1316" s="1">
        <v>26299</v>
      </c>
      <c r="W1316" s="1">
        <v>26299</v>
      </c>
      <c r="X1316" s="1">
        <v>26299</v>
      </c>
      <c r="Y1316" s="1">
        <v>40909</v>
      </c>
      <c r="Z1316" t="s">
        <v>51</v>
      </c>
      <c r="AB1316" t="s">
        <v>54</v>
      </c>
      <c r="AC1316">
        <v>1</v>
      </c>
      <c r="AE1316" t="s">
        <v>222</v>
      </c>
      <c r="AF1316">
        <v>20</v>
      </c>
      <c r="AG1316" s="1">
        <v>26299</v>
      </c>
      <c r="AH1316" s="1">
        <v>26299</v>
      </c>
      <c r="AI1316" s="1">
        <v>26299</v>
      </c>
      <c r="AJ1316" s="1">
        <v>33604</v>
      </c>
      <c r="AK1316" t="s">
        <v>51</v>
      </c>
      <c r="AN1316">
        <v>0</v>
      </c>
      <c r="AO1316" t="s">
        <v>54</v>
      </c>
      <c r="AP1316" t="s">
        <v>53</v>
      </c>
      <c r="AQ1316">
        <v>0</v>
      </c>
      <c r="AR1316" t="s">
        <v>53</v>
      </c>
      <c r="AS1316">
        <v>0</v>
      </c>
      <c r="AT1316">
        <v>0</v>
      </c>
      <c r="AW1316" t="s">
        <v>58</v>
      </c>
      <c r="AX1316">
        <v>20</v>
      </c>
      <c r="AY1316" s="1">
        <v>26299</v>
      </c>
      <c r="AZ1316" s="1">
        <v>26299</v>
      </c>
      <c r="BA1316" s="1">
        <v>26299</v>
      </c>
      <c r="BB1316" s="1">
        <v>33604</v>
      </c>
      <c r="BC1316" t="s">
        <v>51</v>
      </c>
      <c r="BE1316" t="s">
        <v>54</v>
      </c>
      <c r="BF1316">
        <v>2</v>
      </c>
      <c r="BG1316">
        <v>0</v>
      </c>
      <c r="BH1316" t="s">
        <v>53</v>
      </c>
      <c r="BK1316" t="s">
        <v>65</v>
      </c>
      <c r="BL1316">
        <v>14000</v>
      </c>
      <c r="BM1316" s="1">
        <v>42917</v>
      </c>
      <c r="BN1316" s="1">
        <v>42917</v>
      </c>
      <c r="BO1316" s="1">
        <v>42917</v>
      </c>
      <c r="BP1316" s="1">
        <v>44117</v>
      </c>
      <c r="BQ1316" t="s">
        <v>51</v>
      </c>
      <c r="BS1316" t="s">
        <v>60</v>
      </c>
      <c r="BT1316" t="s">
        <v>54</v>
      </c>
      <c r="BU1316" t="s">
        <v>61</v>
      </c>
      <c r="BV1316" t="s">
        <v>62</v>
      </c>
      <c r="BX1316">
        <v>36</v>
      </c>
      <c r="BY1316">
        <v>0</v>
      </c>
      <c r="BZ1316">
        <v>0</v>
      </c>
    </row>
    <row r="1317" spans="1:99" x14ac:dyDescent="0.2">
      <c r="A1317" t="s">
        <v>180</v>
      </c>
      <c r="B1317" t="s">
        <v>181</v>
      </c>
      <c r="C1317" t="s">
        <v>184</v>
      </c>
      <c r="D1317" t="s">
        <v>733</v>
      </c>
      <c r="F1317" t="str">
        <f>"250987"</f>
        <v>250987</v>
      </c>
      <c r="G1317" t="s">
        <v>49</v>
      </c>
      <c r="H1317" t="s">
        <v>576</v>
      </c>
      <c r="K1317" t="s">
        <v>51</v>
      </c>
      <c r="L1317" t="s">
        <v>52</v>
      </c>
      <c r="M1317">
        <v>136526.98000000001</v>
      </c>
      <c r="N1317">
        <v>472212.19</v>
      </c>
      <c r="O1317" t="s">
        <v>53</v>
      </c>
      <c r="P1317" t="s">
        <v>54</v>
      </c>
      <c r="Q1317" t="s">
        <v>55</v>
      </c>
      <c r="T1317" t="s">
        <v>682</v>
      </c>
      <c r="U1317">
        <v>40</v>
      </c>
      <c r="V1317" s="1">
        <v>36708</v>
      </c>
      <c r="W1317" s="1">
        <v>36708</v>
      </c>
      <c r="X1317" s="1">
        <v>36708</v>
      </c>
      <c r="Y1317" s="1">
        <v>51318</v>
      </c>
      <c r="Z1317" t="s">
        <v>51</v>
      </c>
      <c r="AB1317" t="s">
        <v>54</v>
      </c>
      <c r="AC1317">
        <v>1</v>
      </c>
      <c r="AE1317" t="s">
        <v>222</v>
      </c>
      <c r="AF1317">
        <v>20</v>
      </c>
      <c r="AG1317" s="1">
        <v>36708</v>
      </c>
      <c r="AH1317" s="1">
        <v>36708</v>
      </c>
      <c r="AI1317" s="1">
        <v>36708</v>
      </c>
      <c r="AJ1317" s="1">
        <v>44013</v>
      </c>
      <c r="AK1317" t="s">
        <v>51</v>
      </c>
      <c r="AN1317">
        <v>0</v>
      </c>
      <c r="AO1317" t="s">
        <v>54</v>
      </c>
      <c r="AP1317" t="s">
        <v>53</v>
      </c>
      <c r="AQ1317">
        <v>0</v>
      </c>
      <c r="AR1317" t="s">
        <v>53</v>
      </c>
      <c r="AS1317">
        <v>0</v>
      </c>
      <c r="AT1317">
        <v>0</v>
      </c>
      <c r="AW1317" t="s">
        <v>58</v>
      </c>
      <c r="AX1317">
        <v>20</v>
      </c>
      <c r="AY1317" s="1">
        <v>36708</v>
      </c>
      <c r="AZ1317" s="1">
        <v>36708</v>
      </c>
      <c r="BA1317" s="1">
        <v>36708</v>
      </c>
      <c r="BB1317" s="1">
        <v>44013</v>
      </c>
      <c r="BC1317" t="s">
        <v>51</v>
      </c>
      <c r="BE1317" t="s">
        <v>54</v>
      </c>
      <c r="BF1317">
        <v>2</v>
      </c>
      <c r="BG1317">
        <v>0</v>
      </c>
      <c r="BH1317" t="s">
        <v>53</v>
      </c>
      <c r="BK1317" t="s">
        <v>65</v>
      </c>
      <c r="BL1317">
        <v>14000</v>
      </c>
      <c r="BM1317" s="1">
        <v>42917</v>
      </c>
      <c r="BN1317" s="1">
        <v>42917</v>
      </c>
      <c r="BO1317" s="1">
        <v>42917</v>
      </c>
      <c r="BP1317" s="1">
        <v>44117</v>
      </c>
      <c r="BQ1317" t="s">
        <v>51</v>
      </c>
      <c r="BS1317" t="s">
        <v>60</v>
      </c>
      <c r="BT1317" t="s">
        <v>54</v>
      </c>
      <c r="BU1317" t="s">
        <v>61</v>
      </c>
      <c r="BV1317" t="s">
        <v>62</v>
      </c>
      <c r="BX1317">
        <v>36</v>
      </c>
      <c r="BY1317">
        <v>0</v>
      </c>
      <c r="BZ1317">
        <v>0</v>
      </c>
    </row>
    <row r="1318" spans="1:99" x14ac:dyDescent="0.2">
      <c r="A1318" t="s">
        <v>180</v>
      </c>
      <c r="B1318" t="s">
        <v>181</v>
      </c>
      <c r="C1318" t="s">
        <v>184</v>
      </c>
      <c r="D1318" t="s">
        <v>733</v>
      </c>
      <c r="F1318" t="str">
        <f>"250988"</f>
        <v>250988</v>
      </c>
      <c r="G1318" t="s">
        <v>49</v>
      </c>
      <c r="K1318" t="s">
        <v>51</v>
      </c>
      <c r="L1318" t="s">
        <v>52</v>
      </c>
      <c r="M1318">
        <v>136545.23000000001</v>
      </c>
      <c r="N1318">
        <v>472230</v>
      </c>
      <c r="O1318" t="s">
        <v>53</v>
      </c>
      <c r="P1318" t="s">
        <v>54</v>
      </c>
      <c r="Q1318" t="s">
        <v>55</v>
      </c>
      <c r="T1318" t="s">
        <v>682</v>
      </c>
      <c r="U1318">
        <v>40</v>
      </c>
      <c r="V1318" s="1">
        <v>36708</v>
      </c>
      <c r="W1318" s="1">
        <v>36708</v>
      </c>
      <c r="X1318" s="1">
        <v>36708</v>
      </c>
      <c r="Y1318" s="1">
        <v>51318</v>
      </c>
      <c r="Z1318" t="s">
        <v>51</v>
      </c>
      <c r="AB1318" t="s">
        <v>54</v>
      </c>
      <c r="AC1318">
        <v>1</v>
      </c>
      <c r="AE1318" t="s">
        <v>222</v>
      </c>
      <c r="AF1318">
        <v>20</v>
      </c>
      <c r="AG1318" s="1">
        <v>36708</v>
      </c>
      <c r="AH1318" s="1">
        <v>36708</v>
      </c>
      <c r="AI1318" s="1">
        <v>36708</v>
      </c>
      <c r="AJ1318" s="1">
        <v>44013</v>
      </c>
      <c r="AK1318" t="s">
        <v>51</v>
      </c>
      <c r="AN1318">
        <v>0</v>
      </c>
      <c r="AO1318" t="s">
        <v>54</v>
      </c>
      <c r="AP1318" t="s">
        <v>53</v>
      </c>
      <c r="AQ1318">
        <v>0</v>
      </c>
      <c r="AR1318" t="s">
        <v>53</v>
      </c>
      <c r="AS1318">
        <v>0</v>
      </c>
      <c r="AT1318">
        <v>0</v>
      </c>
      <c r="AW1318" t="s">
        <v>58</v>
      </c>
      <c r="AX1318">
        <v>20</v>
      </c>
      <c r="AY1318" s="1">
        <v>36708</v>
      </c>
      <c r="AZ1318" s="1">
        <v>36708</v>
      </c>
      <c r="BA1318" s="1">
        <v>36708</v>
      </c>
      <c r="BB1318" s="1">
        <v>44013</v>
      </c>
      <c r="BC1318" t="s">
        <v>51</v>
      </c>
      <c r="BE1318" t="s">
        <v>54</v>
      </c>
      <c r="BF1318">
        <v>2</v>
      </c>
      <c r="BG1318">
        <v>0</v>
      </c>
      <c r="BH1318" t="s">
        <v>53</v>
      </c>
      <c r="BK1318" t="s">
        <v>65</v>
      </c>
      <c r="BL1318">
        <v>14000</v>
      </c>
      <c r="BM1318" s="1">
        <v>42917</v>
      </c>
      <c r="BN1318" s="1">
        <v>42917</v>
      </c>
      <c r="BO1318" s="1">
        <v>42917</v>
      </c>
      <c r="BP1318" s="1">
        <v>44117</v>
      </c>
      <c r="BQ1318" t="s">
        <v>51</v>
      </c>
      <c r="BS1318" t="s">
        <v>60</v>
      </c>
      <c r="BT1318" t="s">
        <v>54</v>
      </c>
      <c r="BU1318" t="s">
        <v>61</v>
      </c>
      <c r="BV1318" t="s">
        <v>62</v>
      </c>
      <c r="BX1318">
        <v>36</v>
      </c>
      <c r="BY1318">
        <v>0</v>
      </c>
      <c r="BZ1318">
        <v>0</v>
      </c>
    </row>
    <row r="1319" spans="1:99" x14ac:dyDescent="0.2">
      <c r="A1319" t="s">
        <v>180</v>
      </c>
      <c r="B1319" t="s">
        <v>181</v>
      </c>
      <c r="C1319" t="s">
        <v>184</v>
      </c>
      <c r="D1319" t="s">
        <v>733</v>
      </c>
      <c r="F1319" t="str">
        <f>"250989"</f>
        <v>250989</v>
      </c>
      <c r="G1319" t="s">
        <v>49</v>
      </c>
      <c r="K1319" t="s">
        <v>51</v>
      </c>
      <c r="L1319" t="s">
        <v>52</v>
      </c>
      <c r="M1319">
        <v>136543.79999999999</v>
      </c>
      <c r="N1319">
        <v>472244.78</v>
      </c>
      <c r="O1319" t="s">
        <v>53</v>
      </c>
      <c r="P1319" t="s">
        <v>54</v>
      </c>
      <c r="Q1319" t="s">
        <v>55</v>
      </c>
      <c r="T1319" t="s">
        <v>682</v>
      </c>
      <c r="U1319">
        <v>40</v>
      </c>
      <c r="V1319" s="1">
        <v>36708</v>
      </c>
      <c r="W1319" s="1">
        <v>36708</v>
      </c>
      <c r="X1319" s="1">
        <v>36708</v>
      </c>
      <c r="Y1319" s="1">
        <v>51318</v>
      </c>
      <c r="Z1319" t="s">
        <v>51</v>
      </c>
      <c r="AB1319" t="s">
        <v>54</v>
      </c>
      <c r="AC1319">
        <v>1</v>
      </c>
      <c r="AE1319" t="s">
        <v>222</v>
      </c>
      <c r="AF1319">
        <v>20</v>
      </c>
      <c r="AG1319" s="1">
        <v>36708</v>
      </c>
      <c r="AH1319" s="1">
        <v>36708</v>
      </c>
      <c r="AI1319" s="1">
        <v>36708</v>
      </c>
      <c r="AJ1319" s="1">
        <v>44013</v>
      </c>
      <c r="AK1319" t="s">
        <v>51</v>
      </c>
      <c r="AN1319">
        <v>0</v>
      </c>
      <c r="AO1319" t="s">
        <v>54</v>
      </c>
      <c r="AP1319" t="s">
        <v>53</v>
      </c>
      <c r="AQ1319">
        <v>0</v>
      </c>
      <c r="AR1319" t="s">
        <v>53</v>
      </c>
      <c r="AS1319">
        <v>0</v>
      </c>
      <c r="AT1319">
        <v>0</v>
      </c>
      <c r="AW1319" t="s">
        <v>58</v>
      </c>
      <c r="AX1319">
        <v>20</v>
      </c>
      <c r="AY1319" s="1">
        <v>36708</v>
      </c>
      <c r="AZ1319" s="1">
        <v>36708</v>
      </c>
      <c r="BA1319" s="1">
        <v>36708</v>
      </c>
      <c r="BB1319" s="1">
        <v>44013</v>
      </c>
      <c r="BC1319" t="s">
        <v>51</v>
      </c>
      <c r="BE1319" t="s">
        <v>54</v>
      </c>
      <c r="BF1319">
        <v>2</v>
      </c>
      <c r="BG1319">
        <v>0</v>
      </c>
      <c r="BH1319" t="s">
        <v>53</v>
      </c>
      <c r="BK1319" t="s">
        <v>65</v>
      </c>
      <c r="BL1319">
        <v>14000</v>
      </c>
      <c r="BM1319" s="1">
        <v>42917</v>
      </c>
      <c r="BN1319" s="1">
        <v>42917</v>
      </c>
      <c r="BO1319" s="1">
        <v>42917</v>
      </c>
      <c r="BP1319" s="1">
        <v>44117</v>
      </c>
      <c r="BQ1319" t="s">
        <v>51</v>
      </c>
      <c r="BS1319" t="s">
        <v>60</v>
      </c>
      <c r="BT1319" t="s">
        <v>54</v>
      </c>
      <c r="BU1319" t="s">
        <v>61</v>
      </c>
      <c r="BV1319" t="s">
        <v>62</v>
      </c>
      <c r="BX1319">
        <v>36</v>
      </c>
      <c r="BY1319">
        <v>0</v>
      </c>
      <c r="BZ1319">
        <v>0</v>
      </c>
    </row>
    <row r="1320" spans="1:99" x14ac:dyDescent="0.2">
      <c r="A1320" t="s">
        <v>180</v>
      </c>
      <c r="B1320" t="s">
        <v>181</v>
      </c>
      <c r="C1320" t="s">
        <v>184</v>
      </c>
      <c r="D1320" t="s">
        <v>733</v>
      </c>
      <c r="F1320" t="str">
        <f>"250990"</f>
        <v>250990</v>
      </c>
      <c r="G1320" t="s">
        <v>49</v>
      </c>
      <c r="H1320" t="s">
        <v>737</v>
      </c>
      <c r="K1320" t="s">
        <v>51</v>
      </c>
      <c r="L1320" t="s">
        <v>52</v>
      </c>
      <c r="M1320">
        <v>136562.73000000001</v>
      </c>
      <c r="N1320">
        <v>472266.93</v>
      </c>
      <c r="O1320" t="s">
        <v>53</v>
      </c>
      <c r="P1320" t="s">
        <v>54</v>
      </c>
      <c r="Q1320" t="s">
        <v>55</v>
      </c>
      <c r="T1320" t="s">
        <v>682</v>
      </c>
      <c r="U1320">
        <v>40</v>
      </c>
      <c r="V1320" s="1">
        <v>36708</v>
      </c>
      <c r="W1320" s="1">
        <v>36708</v>
      </c>
      <c r="X1320" s="1">
        <v>36708</v>
      </c>
      <c r="Y1320" s="1">
        <v>51318</v>
      </c>
      <c r="Z1320" t="s">
        <v>51</v>
      </c>
      <c r="AB1320" t="s">
        <v>54</v>
      </c>
      <c r="AC1320">
        <v>1</v>
      </c>
      <c r="AE1320" t="s">
        <v>222</v>
      </c>
      <c r="AF1320">
        <v>20</v>
      </c>
      <c r="AG1320" s="1">
        <v>36708</v>
      </c>
      <c r="AH1320" s="1">
        <v>36708</v>
      </c>
      <c r="AI1320" s="1">
        <v>36708</v>
      </c>
      <c r="AJ1320" s="1">
        <v>44013</v>
      </c>
      <c r="AK1320" t="s">
        <v>51</v>
      </c>
      <c r="AN1320">
        <v>0</v>
      </c>
      <c r="AO1320" t="s">
        <v>54</v>
      </c>
      <c r="AP1320" t="s">
        <v>53</v>
      </c>
      <c r="AQ1320">
        <v>0</v>
      </c>
      <c r="AR1320" t="s">
        <v>53</v>
      </c>
      <c r="AS1320">
        <v>0</v>
      </c>
      <c r="AT1320">
        <v>0</v>
      </c>
      <c r="AW1320" t="s">
        <v>58</v>
      </c>
      <c r="AX1320">
        <v>20</v>
      </c>
      <c r="AY1320" s="1">
        <v>36708</v>
      </c>
      <c r="AZ1320" s="1">
        <v>36708</v>
      </c>
      <c r="BA1320" s="1">
        <v>36708</v>
      </c>
      <c r="BB1320" s="1">
        <v>44013</v>
      </c>
      <c r="BC1320" t="s">
        <v>51</v>
      </c>
      <c r="BE1320" t="s">
        <v>54</v>
      </c>
      <c r="BF1320">
        <v>2</v>
      </c>
      <c r="BG1320">
        <v>0</v>
      </c>
      <c r="BH1320" t="s">
        <v>53</v>
      </c>
      <c r="BK1320" t="s">
        <v>59</v>
      </c>
      <c r="BL1320">
        <v>14000</v>
      </c>
      <c r="BM1320" s="1">
        <v>42917</v>
      </c>
      <c r="BN1320" s="1">
        <v>42917</v>
      </c>
      <c r="BO1320" s="1">
        <v>42917</v>
      </c>
      <c r="BP1320" s="1">
        <v>44117</v>
      </c>
      <c r="BQ1320" t="s">
        <v>51</v>
      </c>
      <c r="BS1320" t="s">
        <v>60</v>
      </c>
      <c r="BT1320" t="s">
        <v>54</v>
      </c>
      <c r="BU1320" t="s">
        <v>61</v>
      </c>
      <c r="BV1320" t="s">
        <v>62</v>
      </c>
      <c r="BX1320">
        <v>24</v>
      </c>
      <c r="BY1320">
        <v>0</v>
      </c>
      <c r="BZ1320">
        <v>0</v>
      </c>
    </row>
    <row r="1321" spans="1:99" x14ac:dyDescent="0.2">
      <c r="A1321" t="s">
        <v>180</v>
      </c>
      <c r="B1321" t="s">
        <v>181</v>
      </c>
      <c r="C1321" t="s">
        <v>184</v>
      </c>
      <c r="D1321" t="s">
        <v>733</v>
      </c>
      <c r="F1321" t="str">
        <f>"250991"</f>
        <v>250991</v>
      </c>
      <c r="G1321" t="s">
        <v>49</v>
      </c>
      <c r="K1321" t="s">
        <v>51</v>
      </c>
      <c r="L1321" t="s">
        <v>52</v>
      </c>
      <c r="M1321">
        <v>136573.09</v>
      </c>
      <c r="N1321">
        <v>472288.29300000001</v>
      </c>
      <c r="O1321" t="s">
        <v>53</v>
      </c>
      <c r="P1321" t="s">
        <v>54</v>
      </c>
      <c r="Q1321" t="s">
        <v>55</v>
      </c>
      <c r="T1321" t="s">
        <v>682</v>
      </c>
      <c r="U1321">
        <v>40</v>
      </c>
      <c r="V1321" s="1">
        <v>36708</v>
      </c>
      <c r="W1321" s="1">
        <v>36708</v>
      </c>
      <c r="X1321" s="1">
        <v>36708</v>
      </c>
      <c r="Y1321" s="1">
        <v>51318</v>
      </c>
      <c r="Z1321" t="s">
        <v>51</v>
      </c>
      <c r="AB1321" t="s">
        <v>54</v>
      </c>
      <c r="AC1321">
        <v>1</v>
      </c>
      <c r="AE1321" t="s">
        <v>222</v>
      </c>
      <c r="AF1321">
        <v>20</v>
      </c>
      <c r="AG1321" s="1">
        <v>36708</v>
      </c>
      <c r="AH1321" s="1">
        <v>36708</v>
      </c>
      <c r="AI1321" s="1">
        <v>36708</v>
      </c>
      <c r="AJ1321" s="1">
        <v>44013</v>
      </c>
      <c r="AK1321" t="s">
        <v>51</v>
      </c>
      <c r="AN1321">
        <v>0</v>
      </c>
      <c r="AO1321" t="s">
        <v>54</v>
      </c>
      <c r="AP1321" t="s">
        <v>53</v>
      </c>
      <c r="AQ1321">
        <v>0</v>
      </c>
      <c r="AR1321" t="s">
        <v>53</v>
      </c>
      <c r="AS1321">
        <v>0</v>
      </c>
      <c r="AT1321">
        <v>0</v>
      </c>
      <c r="AW1321" t="s">
        <v>58</v>
      </c>
      <c r="AX1321">
        <v>20</v>
      </c>
      <c r="AY1321" s="1">
        <v>36708</v>
      </c>
      <c r="AZ1321" s="1">
        <v>36708</v>
      </c>
      <c r="BA1321" s="1">
        <v>36708</v>
      </c>
      <c r="BB1321" s="1">
        <v>44013</v>
      </c>
      <c r="BC1321" t="s">
        <v>51</v>
      </c>
      <c r="BE1321" t="s">
        <v>54</v>
      </c>
      <c r="BF1321">
        <v>2</v>
      </c>
      <c r="BG1321">
        <v>0</v>
      </c>
      <c r="BH1321" t="s">
        <v>53</v>
      </c>
      <c r="BK1321" t="s">
        <v>65</v>
      </c>
      <c r="BL1321">
        <v>14000</v>
      </c>
      <c r="BM1321" s="1">
        <v>42917</v>
      </c>
      <c r="BN1321" s="1">
        <v>42917</v>
      </c>
      <c r="BO1321" s="1">
        <v>42917</v>
      </c>
      <c r="BP1321" s="1">
        <v>44117</v>
      </c>
      <c r="BQ1321" t="s">
        <v>51</v>
      </c>
      <c r="BS1321" t="s">
        <v>60</v>
      </c>
      <c r="BT1321" t="s">
        <v>54</v>
      </c>
      <c r="BU1321" t="s">
        <v>61</v>
      </c>
      <c r="BV1321" t="s">
        <v>62</v>
      </c>
      <c r="BX1321">
        <v>36</v>
      </c>
      <c r="BY1321">
        <v>0</v>
      </c>
      <c r="BZ1321">
        <v>0</v>
      </c>
    </row>
    <row r="1322" spans="1:99" x14ac:dyDescent="0.2">
      <c r="A1322" t="s">
        <v>180</v>
      </c>
      <c r="B1322" t="s">
        <v>181</v>
      </c>
      <c r="C1322" t="s">
        <v>184</v>
      </c>
      <c r="D1322" t="s">
        <v>733</v>
      </c>
      <c r="F1322" t="str">
        <f>"250992"</f>
        <v>250992</v>
      </c>
      <c r="G1322" t="s">
        <v>49</v>
      </c>
      <c r="H1322" t="s">
        <v>169</v>
      </c>
      <c r="K1322" t="s">
        <v>51</v>
      </c>
      <c r="L1322" t="s">
        <v>52</v>
      </c>
      <c r="M1322">
        <v>136576.1</v>
      </c>
      <c r="N1322">
        <v>472314.34</v>
      </c>
      <c r="O1322" t="s">
        <v>53</v>
      </c>
      <c r="P1322" t="s">
        <v>54</v>
      </c>
      <c r="Q1322" t="s">
        <v>55</v>
      </c>
      <c r="T1322" t="s">
        <v>682</v>
      </c>
      <c r="U1322">
        <v>40</v>
      </c>
      <c r="V1322" s="1">
        <v>36708</v>
      </c>
      <c r="W1322" s="1">
        <v>36708</v>
      </c>
      <c r="X1322" s="1">
        <v>36708</v>
      </c>
      <c r="Y1322" s="1">
        <v>51318</v>
      </c>
      <c r="Z1322" t="s">
        <v>51</v>
      </c>
      <c r="AB1322" t="s">
        <v>54</v>
      </c>
      <c r="AC1322">
        <v>1</v>
      </c>
      <c r="AE1322" t="s">
        <v>222</v>
      </c>
      <c r="AF1322">
        <v>20</v>
      </c>
      <c r="AG1322" s="1">
        <v>36708</v>
      </c>
      <c r="AH1322" s="1">
        <v>36708</v>
      </c>
      <c r="AI1322" s="1">
        <v>36708</v>
      </c>
      <c r="AJ1322" s="1">
        <v>44013</v>
      </c>
      <c r="AK1322" t="s">
        <v>51</v>
      </c>
      <c r="AN1322">
        <v>0</v>
      </c>
      <c r="AO1322" t="s">
        <v>54</v>
      </c>
      <c r="AP1322" t="s">
        <v>53</v>
      </c>
      <c r="AQ1322">
        <v>0</v>
      </c>
      <c r="AR1322" t="s">
        <v>53</v>
      </c>
      <c r="AS1322">
        <v>0</v>
      </c>
      <c r="AT1322">
        <v>0</v>
      </c>
      <c r="AW1322" t="s">
        <v>58</v>
      </c>
      <c r="AX1322">
        <v>20</v>
      </c>
      <c r="AY1322" s="1">
        <v>36708</v>
      </c>
      <c r="AZ1322" s="1">
        <v>36708</v>
      </c>
      <c r="BA1322" s="1">
        <v>36708</v>
      </c>
      <c r="BB1322" s="1">
        <v>44013</v>
      </c>
      <c r="BC1322" t="s">
        <v>51</v>
      </c>
      <c r="BE1322" t="s">
        <v>54</v>
      </c>
      <c r="BF1322">
        <v>2</v>
      </c>
      <c r="BG1322">
        <v>0</v>
      </c>
      <c r="BH1322" t="s">
        <v>53</v>
      </c>
      <c r="BK1322" t="s">
        <v>65</v>
      </c>
      <c r="BL1322">
        <v>14000</v>
      </c>
      <c r="BM1322" s="1">
        <v>42917</v>
      </c>
      <c r="BN1322" s="1">
        <v>42917</v>
      </c>
      <c r="BO1322" s="1">
        <v>42917</v>
      </c>
      <c r="BP1322" s="1">
        <v>44117</v>
      </c>
      <c r="BQ1322" t="s">
        <v>51</v>
      </c>
      <c r="BS1322" t="s">
        <v>60</v>
      </c>
      <c r="BT1322" t="s">
        <v>54</v>
      </c>
      <c r="BU1322" t="s">
        <v>61</v>
      </c>
      <c r="BV1322" t="s">
        <v>62</v>
      </c>
      <c r="BX1322">
        <v>36</v>
      </c>
      <c r="BY1322">
        <v>0</v>
      </c>
      <c r="BZ1322">
        <v>0</v>
      </c>
    </row>
    <row r="1323" spans="1:99" x14ac:dyDescent="0.2">
      <c r="A1323" t="s">
        <v>180</v>
      </c>
      <c r="B1323" t="s">
        <v>181</v>
      </c>
      <c r="C1323" t="s">
        <v>184</v>
      </c>
      <c r="D1323" t="s">
        <v>733</v>
      </c>
      <c r="F1323" t="str">
        <f>"250993"</f>
        <v>250993</v>
      </c>
      <c r="G1323" t="s">
        <v>49</v>
      </c>
      <c r="H1323" t="s">
        <v>573</v>
      </c>
      <c r="K1323" t="s">
        <v>51</v>
      </c>
      <c r="L1323" t="s">
        <v>52</v>
      </c>
      <c r="M1323">
        <v>136594.06</v>
      </c>
      <c r="N1323">
        <v>472332.21</v>
      </c>
      <c r="O1323" t="s">
        <v>53</v>
      </c>
      <c r="P1323" t="s">
        <v>54</v>
      </c>
      <c r="Q1323" t="s">
        <v>55</v>
      </c>
      <c r="T1323" t="s">
        <v>682</v>
      </c>
      <c r="U1323">
        <v>40</v>
      </c>
      <c r="V1323" s="1">
        <v>36708</v>
      </c>
      <c r="W1323" s="1">
        <v>36708</v>
      </c>
      <c r="X1323" s="1">
        <v>36708</v>
      </c>
      <c r="Y1323" s="1">
        <v>51318</v>
      </c>
      <c r="Z1323" t="s">
        <v>51</v>
      </c>
      <c r="AB1323" t="s">
        <v>54</v>
      </c>
      <c r="AC1323">
        <v>1</v>
      </c>
      <c r="AE1323" t="s">
        <v>222</v>
      </c>
      <c r="AF1323">
        <v>20</v>
      </c>
      <c r="AG1323" s="1">
        <v>36708</v>
      </c>
      <c r="AH1323" s="1">
        <v>36708</v>
      </c>
      <c r="AI1323" s="1">
        <v>36708</v>
      </c>
      <c r="AJ1323" s="1">
        <v>44013</v>
      </c>
      <c r="AK1323" t="s">
        <v>51</v>
      </c>
      <c r="AN1323">
        <v>0</v>
      </c>
      <c r="AO1323" t="s">
        <v>54</v>
      </c>
      <c r="AP1323" t="s">
        <v>53</v>
      </c>
      <c r="AQ1323">
        <v>0</v>
      </c>
      <c r="AR1323" t="s">
        <v>53</v>
      </c>
      <c r="AS1323">
        <v>0</v>
      </c>
      <c r="AT1323">
        <v>0</v>
      </c>
      <c r="AW1323" t="s">
        <v>58</v>
      </c>
      <c r="AX1323">
        <v>20</v>
      </c>
      <c r="AY1323" s="1">
        <v>36708</v>
      </c>
      <c r="AZ1323" s="1">
        <v>36708</v>
      </c>
      <c r="BA1323" s="1">
        <v>36708</v>
      </c>
      <c r="BB1323" s="1">
        <v>44013</v>
      </c>
      <c r="BC1323" t="s">
        <v>51</v>
      </c>
      <c r="BE1323" t="s">
        <v>54</v>
      </c>
      <c r="BF1323">
        <v>2</v>
      </c>
      <c r="BG1323">
        <v>0</v>
      </c>
      <c r="BH1323" t="s">
        <v>53</v>
      </c>
      <c r="BK1323" t="s">
        <v>65</v>
      </c>
      <c r="BL1323">
        <v>14000</v>
      </c>
      <c r="BM1323" s="1">
        <v>42917</v>
      </c>
      <c r="BN1323" s="1">
        <v>42917</v>
      </c>
      <c r="BO1323" s="1">
        <v>42917</v>
      </c>
      <c r="BP1323" s="1">
        <v>44117</v>
      </c>
      <c r="BQ1323" t="s">
        <v>51</v>
      </c>
      <c r="BS1323" t="s">
        <v>60</v>
      </c>
      <c r="BT1323" t="s">
        <v>54</v>
      </c>
      <c r="BU1323" t="s">
        <v>61</v>
      </c>
      <c r="BV1323" t="s">
        <v>62</v>
      </c>
      <c r="BX1323">
        <v>36</v>
      </c>
      <c r="BY1323">
        <v>0</v>
      </c>
      <c r="BZ1323">
        <v>0</v>
      </c>
    </row>
    <row r="1324" spans="1:99" x14ac:dyDescent="0.2">
      <c r="A1324" t="s">
        <v>180</v>
      </c>
      <c r="B1324" t="s">
        <v>181</v>
      </c>
      <c r="C1324" t="s">
        <v>184</v>
      </c>
      <c r="D1324" t="s">
        <v>733</v>
      </c>
      <c r="F1324" t="str">
        <f>"250994"</f>
        <v>250994</v>
      </c>
      <c r="G1324" t="s">
        <v>49</v>
      </c>
      <c r="H1324" t="s">
        <v>219</v>
      </c>
      <c r="K1324" t="s">
        <v>51</v>
      </c>
      <c r="L1324" t="s">
        <v>52</v>
      </c>
      <c r="M1324">
        <v>136597.81</v>
      </c>
      <c r="N1324">
        <v>472359.14</v>
      </c>
      <c r="O1324" t="s">
        <v>53</v>
      </c>
      <c r="P1324" t="s">
        <v>54</v>
      </c>
      <c r="Q1324" t="s">
        <v>55</v>
      </c>
      <c r="T1324" t="s">
        <v>682</v>
      </c>
      <c r="U1324">
        <v>40</v>
      </c>
      <c r="V1324" s="1">
        <v>36708</v>
      </c>
      <c r="W1324" s="1">
        <v>36708</v>
      </c>
      <c r="X1324" s="1">
        <v>36708</v>
      </c>
      <c r="Y1324" s="1">
        <v>51318</v>
      </c>
      <c r="Z1324" t="s">
        <v>51</v>
      </c>
      <c r="AB1324" t="s">
        <v>54</v>
      </c>
      <c r="AC1324">
        <v>1</v>
      </c>
      <c r="AE1324" t="s">
        <v>222</v>
      </c>
      <c r="AF1324">
        <v>20</v>
      </c>
      <c r="AG1324" s="1">
        <v>36708</v>
      </c>
      <c r="AH1324" s="1">
        <v>36708</v>
      </c>
      <c r="AI1324" s="1">
        <v>36708</v>
      </c>
      <c r="AJ1324" s="1">
        <v>44013</v>
      </c>
      <c r="AK1324" t="s">
        <v>51</v>
      </c>
      <c r="AN1324">
        <v>0</v>
      </c>
      <c r="AO1324" t="s">
        <v>54</v>
      </c>
      <c r="AP1324" t="s">
        <v>53</v>
      </c>
      <c r="AQ1324">
        <v>0</v>
      </c>
      <c r="AR1324" t="s">
        <v>53</v>
      </c>
      <c r="AS1324">
        <v>0</v>
      </c>
      <c r="AT1324">
        <v>0</v>
      </c>
      <c r="AW1324" t="s">
        <v>58</v>
      </c>
      <c r="AX1324">
        <v>20</v>
      </c>
      <c r="AY1324" s="1">
        <v>36708</v>
      </c>
      <c r="AZ1324" s="1">
        <v>36708</v>
      </c>
      <c r="BA1324" s="1">
        <v>36708</v>
      </c>
      <c r="BB1324" s="1">
        <v>44013</v>
      </c>
      <c r="BC1324" t="s">
        <v>51</v>
      </c>
      <c r="BE1324" t="s">
        <v>54</v>
      </c>
      <c r="BF1324">
        <v>2</v>
      </c>
      <c r="BG1324">
        <v>0</v>
      </c>
      <c r="BH1324" t="s">
        <v>53</v>
      </c>
      <c r="BK1324" t="s">
        <v>65</v>
      </c>
      <c r="BL1324">
        <v>14000</v>
      </c>
      <c r="BM1324" s="1">
        <v>42917</v>
      </c>
      <c r="BN1324" s="1">
        <v>42917</v>
      </c>
      <c r="BO1324" s="1">
        <v>42917</v>
      </c>
      <c r="BP1324" s="1">
        <v>44117</v>
      </c>
      <c r="BQ1324" t="s">
        <v>51</v>
      </c>
      <c r="BS1324" t="s">
        <v>60</v>
      </c>
      <c r="BT1324" t="s">
        <v>54</v>
      </c>
      <c r="BU1324" t="s">
        <v>61</v>
      </c>
      <c r="BV1324" t="s">
        <v>62</v>
      </c>
      <c r="BX1324">
        <v>36</v>
      </c>
      <c r="BY1324">
        <v>0</v>
      </c>
      <c r="BZ1324">
        <v>0</v>
      </c>
    </row>
    <row r="1325" spans="1:99" x14ac:dyDescent="0.2">
      <c r="A1325" t="s">
        <v>180</v>
      </c>
      <c r="B1325" t="s">
        <v>181</v>
      </c>
      <c r="C1325" t="s">
        <v>184</v>
      </c>
      <c r="D1325" t="s">
        <v>733</v>
      </c>
      <c r="F1325" t="str">
        <f>"250995"</f>
        <v>250995</v>
      </c>
      <c r="G1325" t="s">
        <v>49</v>
      </c>
      <c r="H1325" t="s">
        <v>233</v>
      </c>
      <c r="K1325" t="s">
        <v>51</v>
      </c>
      <c r="L1325" t="s">
        <v>52</v>
      </c>
      <c r="M1325">
        <v>136613.70000000001</v>
      </c>
      <c r="N1325">
        <v>472373.07</v>
      </c>
      <c r="O1325" t="s">
        <v>53</v>
      </c>
      <c r="P1325" t="s">
        <v>54</v>
      </c>
      <c r="Q1325" t="s">
        <v>55</v>
      </c>
      <c r="T1325" t="s">
        <v>682</v>
      </c>
      <c r="U1325">
        <v>40</v>
      </c>
      <c r="V1325" s="1">
        <v>37073</v>
      </c>
      <c r="W1325" s="1">
        <v>37073</v>
      </c>
      <c r="X1325" s="1">
        <v>37073</v>
      </c>
      <c r="Y1325" s="1">
        <v>51683</v>
      </c>
      <c r="Z1325" t="s">
        <v>51</v>
      </c>
      <c r="AB1325" t="s">
        <v>54</v>
      </c>
      <c r="AC1325">
        <v>1</v>
      </c>
      <c r="AE1325" t="s">
        <v>222</v>
      </c>
      <c r="AF1325">
        <v>20</v>
      </c>
      <c r="AG1325" s="1">
        <v>37073</v>
      </c>
      <c r="AH1325" s="1">
        <v>37073</v>
      </c>
      <c r="AI1325" s="1">
        <v>37073</v>
      </c>
      <c r="AJ1325" s="1">
        <v>44378</v>
      </c>
      <c r="AK1325" t="s">
        <v>51</v>
      </c>
      <c r="AN1325">
        <v>0</v>
      </c>
      <c r="AO1325" t="s">
        <v>54</v>
      </c>
      <c r="AP1325" t="s">
        <v>53</v>
      </c>
      <c r="AQ1325">
        <v>0</v>
      </c>
      <c r="AR1325" t="s">
        <v>53</v>
      </c>
      <c r="AS1325">
        <v>0</v>
      </c>
      <c r="AT1325">
        <v>0</v>
      </c>
      <c r="AW1325" t="s">
        <v>58</v>
      </c>
      <c r="AX1325">
        <v>20</v>
      </c>
      <c r="AY1325" s="1">
        <v>37073</v>
      </c>
      <c r="AZ1325" s="1">
        <v>37073</v>
      </c>
      <c r="BA1325" s="1">
        <v>37073</v>
      </c>
      <c r="BB1325" s="1">
        <v>44378</v>
      </c>
      <c r="BC1325" t="s">
        <v>51</v>
      </c>
      <c r="BE1325" t="s">
        <v>54</v>
      </c>
      <c r="BF1325">
        <v>2</v>
      </c>
      <c r="BG1325">
        <v>0</v>
      </c>
      <c r="BH1325" t="s">
        <v>53</v>
      </c>
      <c r="BK1325" t="s">
        <v>65</v>
      </c>
      <c r="BL1325">
        <v>14000</v>
      </c>
      <c r="BM1325" s="1">
        <v>41091</v>
      </c>
      <c r="BN1325" s="1">
        <v>41091</v>
      </c>
      <c r="BO1325" s="1">
        <v>41091</v>
      </c>
      <c r="BP1325" s="1">
        <v>42291</v>
      </c>
      <c r="BQ1325" t="s">
        <v>51</v>
      </c>
      <c r="BS1325" t="s">
        <v>60</v>
      </c>
      <c r="BT1325" t="s">
        <v>54</v>
      </c>
      <c r="BU1325" t="s">
        <v>61</v>
      </c>
      <c r="BV1325" t="s">
        <v>62</v>
      </c>
      <c r="BX1325">
        <v>36</v>
      </c>
      <c r="BY1325">
        <v>0</v>
      </c>
      <c r="BZ1325">
        <v>0</v>
      </c>
    </row>
    <row r="1326" spans="1:99" x14ac:dyDescent="0.2">
      <c r="A1326" t="s">
        <v>180</v>
      </c>
      <c r="B1326" t="s">
        <v>181</v>
      </c>
      <c r="C1326" t="s">
        <v>184</v>
      </c>
      <c r="D1326" t="s">
        <v>733</v>
      </c>
      <c r="F1326" t="str">
        <f>"250996"</f>
        <v>250996</v>
      </c>
      <c r="G1326" t="s">
        <v>49</v>
      </c>
      <c r="K1326" t="s">
        <v>51</v>
      </c>
      <c r="L1326" t="s">
        <v>52</v>
      </c>
      <c r="M1326">
        <v>136630.20699999999</v>
      </c>
      <c r="N1326">
        <v>472309.12800000003</v>
      </c>
      <c r="O1326" t="s">
        <v>53</v>
      </c>
      <c r="P1326" t="s">
        <v>54</v>
      </c>
      <c r="Q1326" t="s">
        <v>55</v>
      </c>
      <c r="T1326" t="s">
        <v>738</v>
      </c>
      <c r="U1326">
        <v>40</v>
      </c>
      <c r="V1326" s="1">
        <v>25385</v>
      </c>
      <c r="W1326" s="1">
        <v>25385</v>
      </c>
      <c r="X1326" s="1">
        <v>25385</v>
      </c>
      <c r="Y1326" s="1">
        <v>39995</v>
      </c>
      <c r="Z1326" t="s">
        <v>51</v>
      </c>
      <c r="AB1326" t="s">
        <v>54</v>
      </c>
      <c r="AC1326">
        <v>1</v>
      </c>
      <c r="AE1326" t="s">
        <v>621</v>
      </c>
      <c r="AF1326">
        <v>20</v>
      </c>
      <c r="AG1326" s="1">
        <v>25385</v>
      </c>
      <c r="AH1326" s="1">
        <v>25385</v>
      </c>
      <c r="AI1326" s="1">
        <v>25385</v>
      </c>
      <c r="AJ1326" s="1">
        <v>32690</v>
      </c>
      <c r="AK1326" t="s">
        <v>51</v>
      </c>
      <c r="AN1326">
        <v>0</v>
      </c>
      <c r="AO1326" t="s">
        <v>54</v>
      </c>
      <c r="AP1326" t="s">
        <v>53</v>
      </c>
      <c r="AQ1326">
        <v>0</v>
      </c>
      <c r="AR1326" t="s">
        <v>53</v>
      </c>
      <c r="AS1326">
        <v>0</v>
      </c>
      <c r="AT1326">
        <v>0</v>
      </c>
      <c r="AW1326" t="s">
        <v>58</v>
      </c>
      <c r="AX1326">
        <v>20</v>
      </c>
      <c r="AY1326" s="1">
        <v>25385</v>
      </c>
      <c r="AZ1326" s="1">
        <v>25385</v>
      </c>
      <c r="BA1326" s="1">
        <v>25385</v>
      </c>
      <c r="BB1326" s="1">
        <v>32690</v>
      </c>
      <c r="BC1326" t="s">
        <v>51</v>
      </c>
      <c r="BE1326" t="s">
        <v>54</v>
      </c>
      <c r="BF1326">
        <v>2</v>
      </c>
      <c r="BG1326">
        <v>0</v>
      </c>
      <c r="BH1326" t="s">
        <v>53</v>
      </c>
      <c r="BI1326">
        <v>1</v>
      </c>
      <c r="BK1326" t="s">
        <v>739</v>
      </c>
      <c r="BL1326">
        <v>10000</v>
      </c>
      <c r="BM1326" s="1">
        <v>42917</v>
      </c>
      <c r="BN1326" s="1">
        <v>42917</v>
      </c>
      <c r="BO1326" s="1">
        <v>42917</v>
      </c>
      <c r="BP1326" s="1">
        <v>43774</v>
      </c>
      <c r="BQ1326" t="s">
        <v>51</v>
      </c>
      <c r="BS1326" t="s">
        <v>60</v>
      </c>
      <c r="BT1326" t="s">
        <v>54</v>
      </c>
      <c r="BU1326" t="s">
        <v>740</v>
      </c>
      <c r="BV1326" t="s">
        <v>741</v>
      </c>
      <c r="BX1326">
        <v>20</v>
      </c>
      <c r="BY1326">
        <v>0</v>
      </c>
      <c r="BZ1326">
        <v>0</v>
      </c>
    </row>
    <row r="1327" spans="1:99" x14ac:dyDescent="0.2">
      <c r="A1327" t="s">
        <v>180</v>
      </c>
      <c r="B1327" t="s">
        <v>181</v>
      </c>
      <c r="C1327" t="s">
        <v>184</v>
      </c>
      <c r="D1327" t="s">
        <v>733</v>
      </c>
      <c r="F1327" t="str">
        <f>"250997"</f>
        <v>250997</v>
      </c>
      <c r="G1327" t="s">
        <v>49</v>
      </c>
      <c r="K1327" t="s">
        <v>51</v>
      </c>
      <c r="L1327" t="s">
        <v>52</v>
      </c>
      <c r="M1327">
        <v>136626.65</v>
      </c>
      <c r="N1327">
        <v>472286.35</v>
      </c>
      <c r="O1327" t="s">
        <v>53</v>
      </c>
      <c r="P1327" t="s">
        <v>54</v>
      </c>
      <c r="Q1327" t="s">
        <v>55</v>
      </c>
      <c r="T1327" t="s">
        <v>497</v>
      </c>
      <c r="U1327">
        <v>40</v>
      </c>
      <c r="V1327" s="1">
        <v>36708</v>
      </c>
      <c r="W1327" s="1">
        <v>36708</v>
      </c>
      <c r="X1327" s="1">
        <v>36708</v>
      </c>
      <c r="Y1327" s="1">
        <v>51318</v>
      </c>
      <c r="Z1327" t="s">
        <v>51</v>
      </c>
      <c r="AB1327" t="s">
        <v>54</v>
      </c>
      <c r="AC1327">
        <v>1</v>
      </c>
      <c r="AE1327" t="s">
        <v>84</v>
      </c>
      <c r="AF1327">
        <v>20</v>
      </c>
      <c r="AG1327" s="1">
        <v>36708</v>
      </c>
      <c r="AH1327" s="1">
        <v>36708</v>
      </c>
      <c r="AI1327" s="1">
        <v>36708</v>
      </c>
      <c r="AJ1327" s="1">
        <v>44013</v>
      </c>
      <c r="AK1327" t="s">
        <v>51</v>
      </c>
      <c r="AN1327">
        <v>0</v>
      </c>
      <c r="AO1327" t="s">
        <v>54</v>
      </c>
      <c r="AP1327" t="s">
        <v>53</v>
      </c>
      <c r="AQ1327">
        <v>0</v>
      </c>
      <c r="AR1327" t="s">
        <v>53</v>
      </c>
      <c r="AS1327">
        <v>0</v>
      </c>
      <c r="AT1327">
        <v>0</v>
      </c>
      <c r="AW1327" t="s">
        <v>58</v>
      </c>
      <c r="AX1327">
        <v>20</v>
      </c>
      <c r="AY1327" s="1">
        <v>36708</v>
      </c>
      <c r="AZ1327" s="1">
        <v>36708</v>
      </c>
      <c r="BA1327" s="1">
        <v>36708</v>
      </c>
      <c r="BB1327" s="1">
        <v>44013</v>
      </c>
      <c r="BC1327" t="s">
        <v>51</v>
      </c>
      <c r="BE1327" t="s">
        <v>54</v>
      </c>
      <c r="BF1327">
        <v>2</v>
      </c>
      <c r="BG1327">
        <v>0</v>
      </c>
      <c r="BH1327" t="s">
        <v>53</v>
      </c>
      <c r="BI1327">
        <v>1</v>
      </c>
      <c r="BK1327" t="s">
        <v>59</v>
      </c>
      <c r="BL1327">
        <v>14000</v>
      </c>
      <c r="BM1327" s="1">
        <v>43444</v>
      </c>
      <c r="BN1327" s="1">
        <v>43444</v>
      </c>
      <c r="BO1327" s="1">
        <v>43444</v>
      </c>
      <c r="BP1327" s="1">
        <v>44605</v>
      </c>
      <c r="BQ1327" t="s">
        <v>51</v>
      </c>
      <c r="BS1327" t="s">
        <v>60</v>
      </c>
      <c r="BT1327" t="s">
        <v>54</v>
      </c>
      <c r="BU1327" t="s">
        <v>61</v>
      </c>
      <c r="BV1327" t="s">
        <v>62</v>
      </c>
      <c r="BX1327">
        <v>24</v>
      </c>
      <c r="BY1327">
        <v>0</v>
      </c>
      <c r="BZ1327">
        <v>0</v>
      </c>
    </row>
    <row r="1328" spans="1:99" x14ac:dyDescent="0.2">
      <c r="A1328" t="s">
        <v>180</v>
      </c>
      <c r="B1328" t="s">
        <v>181</v>
      </c>
      <c r="C1328" t="s">
        <v>184</v>
      </c>
      <c r="D1328" t="s">
        <v>742</v>
      </c>
      <c r="F1328" t="str">
        <f>"250998"</f>
        <v>250998</v>
      </c>
      <c r="G1328" t="s">
        <v>49</v>
      </c>
      <c r="H1328" t="s">
        <v>547</v>
      </c>
      <c r="K1328" t="s">
        <v>51</v>
      </c>
      <c r="L1328" t="s">
        <v>52</v>
      </c>
      <c r="M1328">
        <v>136385.17000000001</v>
      </c>
      <c r="N1328">
        <v>472302.29</v>
      </c>
      <c r="O1328" t="s">
        <v>53</v>
      </c>
      <c r="P1328" t="s">
        <v>54</v>
      </c>
      <c r="Q1328" t="s">
        <v>55</v>
      </c>
      <c r="T1328" t="s">
        <v>706</v>
      </c>
      <c r="U1328">
        <v>40</v>
      </c>
      <c r="V1328" s="1">
        <v>42186</v>
      </c>
      <c r="W1328" s="1">
        <v>42186</v>
      </c>
      <c r="X1328" s="1">
        <v>42186</v>
      </c>
      <c r="Y1328" s="1">
        <v>56796</v>
      </c>
      <c r="Z1328" t="s">
        <v>51</v>
      </c>
      <c r="AB1328" t="s">
        <v>54</v>
      </c>
      <c r="AC1328">
        <v>1</v>
      </c>
      <c r="AE1328" t="s">
        <v>79</v>
      </c>
      <c r="AF1328">
        <v>20</v>
      </c>
      <c r="AG1328" s="1">
        <v>42186</v>
      </c>
      <c r="AH1328" s="1">
        <v>42186</v>
      </c>
      <c r="AI1328" s="1">
        <v>42186</v>
      </c>
      <c r="AJ1328" s="1">
        <v>49491</v>
      </c>
      <c r="AK1328" t="s">
        <v>51</v>
      </c>
      <c r="AN1328">
        <v>0</v>
      </c>
      <c r="AO1328" t="s">
        <v>54</v>
      </c>
      <c r="AP1328" t="s">
        <v>53</v>
      </c>
      <c r="AQ1328">
        <v>0</v>
      </c>
      <c r="AR1328" t="s">
        <v>145</v>
      </c>
      <c r="AS1328">
        <v>0</v>
      </c>
      <c r="AT1328">
        <v>0</v>
      </c>
      <c r="CA1328">
        <v>1</v>
      </c>
      <c r="CC1328" t="s">
        <v>555</v>
      </c>
      <c r="CD1328">
        <v>85000</v>
      </c>
      <c r="CE1328" s="1">
        <v>42186</v>
      </c>
      <c r="CF1328" s="1">
        <v>42186</v>
      </c>
      <c r="CG1328" s="1">
        <v>42186</v>
      </c>
      <c r="CH1328" s="1">
        <v>49348</v>
      </c>
      <c r="CI1328" t="s">
        <v>51</v>
      </c>
      <c r="CK1328" t="s">
        <v>78</v>
      </c>
      <c r="CM1328" t="s">
        <v>54</v>
      </c>
      <c r="CN1328" t="s">
        <v>174</v>
      </c>
      <c r="CO1328" t="s">
        <v>86</v>
      </c>
      <c r="CR1328">
        <v>20</v>
      </c>
      <c r="CS1328">
        <v>0</v>
      </c>
      <c r="CT1328">
        <v>0</v>
      </c>
      <c r="CU1328">
        <v>0</v>
      </c>
    </row>
    <row r="1329" spans="1:99" x14ac:dyDescent="0.2">
      <c r="A1329" t="s">
        <v>180</v>
      </c>
      <c r="B1329" t="s">
        <v>181</v>
      </c>
      <c r="C1329" t="s">
        <v>184</v>
      </c>
      <c r="D1329" t="s">
        <v>742</v>
      </c>
      <c r="F1329" t="str">
        <f>"250999"</f>
        <v>250999</v>
      </c>
      <c r="G1329" t="s">
        <v>49</v>
      </c>
      <c r="H1329" t="s">
        <v>542</v>
      </c>
      <c r="K1329" t="s">
        <v>51</v>
      </c>
      <c r="L1329" t="s">
        <v>52</v>
      </c>
      <c r="M1329">
        <v>136409.04999999999</v>
      </c>
      <c r="N1329">
        <v>472290.03</v>
      </c>
      <c r="O1329" t="s">
        <v>53</v>
      </c>
      <c r="P1329" t="s">
        <v>54</v>
      </c>
      <c r="Q1329" t="s">
        <v>55</v>
      </c>
      <c r="T1329" t="s">
        <v>706</v>
      </c>
      <c r="U1329">
        <v>40</v>
      </c>
      <c r="V1329" s="1">
        <v>42186</v>
      </c>
      <c r="W1329" s="1">
        <v>42186</v>
      </c>
      <c r="X1329" s="1">
        <v>42186</v>
      </c>
      <c r="Y1329" s="1">
        <v>56796</v>
      </c>
      <c r="Z1329" t="s">
        <v>51</v>
      </c>
      <c r="AB1329" t="s">
        <v>54</v>
      </c>
      <c r="AC1329">
        <v>1</v>
      </c>
      <c r="AE1329" t="s">
        <v>79</v>
      </c>
      <c r="AF1329">
        <v>20</v>
      </c>
      <c r="AG1329" s="1">
        <v>42186</v>
      </c>
      <c r="AH1329" s="1">
        <v>42186</v>
      </c>
      <c r="AI1329" s="1">
        <v>42186</v>
      </c>
      <c r="AJ1329" s="1">
        <v>49491</v>
      </c>
      <c r="AK1329" t="s">
        <v>51</v>
      </c>
      <c r="AN1329">
        <v>0</v>
      </c>
      <c r="AO1329" t="s">
        <v>54</v>
      </c>
      <c r="AP1329" t="s">
        <v>53</v>
      </c>
      <c r="AQ1329">
        <v>0</v>
      </c>
      <c r="AR1329" t="s">
        <v>145</v>
      </c>
      <c r="AS1329">
        <v>0</v>
      </c>
      <c r="AT1329">
        <v>0</v>
      </c>
      <c r="CA1329">
        <v>1</v>
      </c>
      <c r="CC1329" t="s">
        <v>555</v>
      </c>
      <c r="CD1329">
        <v>85000</v>
      </c>
      <c r="CE1329" s="1">
        <v>42186</v>
      </c>
      <c r="CF1329" s="1">
        <v>42186</v>
      </c>
      <c r="CG1329" s="1">
        <v>42186</v>
      </c>
      <c r="CH1329" s="1">
        <v>49348</v>
      </c>
      <c r="CI1329" t="s">
        <v>51</v>
      </c>
      <c r="CK1329" t="s">
        <v>78</v>
      </c>
      <c r="CM1329" t="s">
        <v>54</v>
      </c>
      <c r="CN1329" t="s">
        <v>174</v>
      </c>
      <c r="CO1329" t="s">
        <v>86</v>
      </c>
      <c r="CR1329">
        <v>20</v>
      </c>
      <c r="CS1329">
        <v>0</v>
      </c>
      <c r="CT1329">
        <v>0</v>
      </c>
      <c r="CU1329">
        <v>0</v>
      </c>
    </row>
    <row r="1330" spans="1:99" x14ac:dyDescent="0.2">
      <c r="A1330" t="s">
        <v>180</v>
      </c>
      <c r="B1330" t="s">
        <v>181</v>
      </c>
      <c r="C1330" t="s">
        <v>184</v>
      </c>
      <c r="D1330" t="s">
        <v>742</v>
      </c>
      <c r="F1330" t="str">
        <f>"251000"</f>
        <v>251000</v>
      </c>
      <c r="G1330" t="s">
        <v>49</v>
      </c>
      <c r="K1330" t="s">
        <v>51</v>
      </c>
      <c r="L1330" t="s">
        <v>52</v>
      </c>
      <c r="M1330">
        <v>136426.514</v>
      </c>
      <c r="N1330">
        <v>472279.60100000002</v>
      </c>
      <c r="O1330" t="s">
        <v>53</v>
      </c>
      <c r="P1330" t="s">
        <v>54</v>
      </c>
      <c r="Q1330" t="s">
        <v>55</v>
      </c>
      <c r="T1330" t="s">
        <v>706</v>
      </c>
      <c r="U1330">
        <v>40</v>
      </c>
      <c r="V1330" s="1">
        <v>42186</v>
      </c>
      <c r="W1330" s="1">
        <v>42186</v>
      </c>
      <c r="X1330" s="1">
        <v>42186</v>
      </c>
      <c r="Y1330" s="1">
        <v>56796</v>
      </c>
      <c r="Z1330" t="s">
        <v>51</v>
      </c>
      <c r="AB1330" t="s">
        <v>54</v>
      </c>
      <c r="AC1330">
        <v>1</v>
      </c>
      <c r="AE1330" t="s">
        <v>79</v>
      </c>
      <c r="AF1330">
        <v>20</v>
      </c>
      <c r="AG1330" s="1">
        <v>42186</v>
      </c>
      <c r="AH1330" s="1">
        <v>42186</v>
      </c>
      <c r="AI1330" s="1">
        <v>42186</v>
      </c>
      <c r="AJ1330" s="1">
        <v>49491</v>
      </c>
      <c r="AK1330" t="s">
        <v>51</v>
      </c>
      <c r="AN1330">
        <v>0</v>
      </c>
      <c r="AO1330" t="s">
        <v>54</v>
      </c>
      <c r="AP1330" t="s">
        <v>53</v>
      </c>
      <c r="AQ1330">
        <v>0</v>
      </c>
      <c r="AR1330" t="s">
        <v>145</v>
      </c>
      <c r="AS1330">
        <v>0</v>
      </c>
      <c r="AT1330">
        <v>0</v>
      </c>
      <c r="CA1330">
        <v>1</v>
      </c>
      <c r="CC1330" t="s">
        <v>555</v>
      </c>
      <c r="CD1330">
        <v>85000</v>
      </c>
      <c r="CE1330" s="1">
        <v>42186</v>
      </c>
      <c r="CF1330" s="1">
        <v>42186</v>
      </c>
      <c r="CG1330" s="1">
        <v>42186</v>
      </c>
      <c r="CH1330" s="1">
        <v>49348</v>
      </c>
      <c r="CI1330" t="s">
        <v>51</v>
      </c>
      <c r="CK1330" t="s">
        <v>78</v>
      </c>
      <c r="CM1330" t="s">
        <v>54</v>
      </c>
      <c r="CN1330" t="s">
        <v>174</v>
      </c>
      <c r="CO1330" t="s">
        <v>86</v>
      </c>
      <c r="CR1330">
        <v>20</v>
      </c>
      <c r="CS1330">
        <v>0</v>
      </c>
      <c r="CT1330">
        <v>0</v>
      </c>
      <c r="CU1330">
        <v>0</v>
      </c>
    </row>
    <row r="1331" spans="1:99" x14ac:dyDescent="0.2">
      <c r="A1331" t="s">
        <v>180</v>
      </c>
      <c r="B1331" t="s">
        <v>181</v>
      </c>
      <c r="C1331" t="s">
        <v>184</v>
      </c>
      <c r="D1331" t="s">
        <v>742</v>
      </c>
      <c r="F1331" t="str">
        <f>"251001"</f>
        <v>251001</v>
      </c>
      <c r="G1331" t="s">
        <v>49</v>
      </c>
      <c r="H1331" t="s">
        <v>233</v>
      </c>
      <c r="K1331" t="s">
        <v>51</v>
      </c>
      <c r="L1331" t="s">
        <v>52</v>
      </c>
      <c r="M1331">
        <v>136446.03</v>
      </c>
      <c r="N1331">
        <v>472258</v>
      </c>
      <c r="O1331" t="s">
        <v>53</v>
      </c>
      <c r="P1331" t="s">
        <v>54</v>
      </c>
      <c r="Q1331" t="s">
        <v>55</v>
      </c>
      <c r="T1331" t="s">
        <v>706</v>
      </c>
      <c r="U1331">
        <v>40</v>
      </c>
      <c r="V1331" s="1">
        <v>26299</v>
      </c>
      <c r="W1331" s="1">
        <v>26299</v>
      </c>
      <c r="X1331" s="1">
        <v>26299</v>
      </c>
      <c r="Y1331" s="1">
        <v>40909</v>
      </c>
      <c r="Z1331" t="s">
        <v>51</v>
      </c>
      <c r="AB1331" t="s">
        <v>54</v>
      </c>
      <c r="AC1331">
        <v>1</v>
      </c>
      <c r="AE1331" t="s">
        <v>621</v>
      </c>
      <c r="AF1331">
        <v>20</v>
      </c>
      <c r="AG1331" s="1">
        <v>26299</v>
      </c>
      <c r="AH1331" s="1">
        <v>26299</v>
      </c>
      <c r="AI1331" s="1">
        <v>26299</v>
      </c>
      <c r="AJ1331" s="1">
        <v>33604</v>
      </c>
      <c r="AK1331" t="s">
        <v>51</v>
      </c>
      <c r="AN1331">
        <v>0</v>
      </c>
      <c r="AO1331" t="s">
        <v>54</v>
      </c>
      <c r="AP1331" t="s">
        <v>53</v>
      </c>
      <c r="AQ1331">
        <v>0</v>
      </c>
      <c r="AR1331" t="s">
        <v>53</v>
      </c>
      <c r="AS1331">
        <v>0</v>
      </c>
      <c r="AT1331">
        <v>0</v>
      </c>
      <c r="AW1331" t="s">
        <v>58</v>
      </c>
      <c r="AX1331">
        <v>20</v>
      </c>
      <c r="AY1331" s="1">
        <v>26299</v>
      </c>
      <c r="AZ1331" s="1">
        <v>26299</v>
      </c>
      <c r="BA1331" s="1">
        <v>26299</v>
      </c>
      <c r="BB1331" s="1">
        <v>33604</v>
      </c>
      <c r="BC1331" t="s">
        <v>51</v>
      </c>
      <c r="BE1331" t="s">
        <v>54</v>
      </c>
      <c r="BF1331">
        <v>2</v>
      </c>
      <c r="BG1331">
        <v>0</v>
      </c>
      <c r="BH1331" t="s">
        <v>53</v>
      </c>
      <c r="BK1331" t="s">
        <v>59</v>
      </c>
      <c r="BL1331">
        <v>14000</v>
      </c>
      <c r="BM1331" s="1">
        <v>42917</v>
      </c>
      <c r="BN1331" s="1">
        <v>42917</v>
      </c>
      <c r="BO1331" s="1">
        <v>42917</v>
      </c>
      <c r="BP1331" s="1">
        <v>44117</v>
      </c>
      <c r="BQ1331" t="s">
        <v>51</v>
      </c>
      <c r="BS1331" t="s">
        <v>60</v>
      </c>
      <c r="BT1331" t="s">
        <v>54</v>
      </c>
      <c r="BU1331" t="s">
        <v>61</v>
      </c>
      <c r="BV1331" t="s">
        <v>62</v>
      </c>
      <c r="BX1331">
        <v>24</v>
      </c>
      <c r="BY1331">
        <v>0</v>
      </c>
      <c r="BZ1331">
        <v>0</v>
      </c>
    </row>
    <row r="1332" spans="1:99" x14ac:dyDescent="0.2">
      <c r="A1332" t="s">
        <v>180</v>
      </c>
      <c r="B1332" t="s">
        <v>181</v>
      </c>
      <c r="C1332" t="s">
        <v>184</v>
      </c>
      <c r="D1332" t="s">
        <v>742</v>
      </c>
      <c r="F1332" t="str">
        <f>"251002"</f>
        <v>251002</v>
      </c>
      <c r="G1332" t="s">
        <v>49</v>
      </c>
      <c r="K1332" t="s">
        <v>51</v>
      </c>
      <c r="L1332" t="s">
        <v>52</v>
      </c>
      <c r="M1332">
        <v>136471.01999999999</v>
      </c>
      <c r="N1332">
        <v>472252.06</v>
      </c>
      <c r="O1332" t="s">
        <v>53</v>
      </c>
      <c r="P1332" t="s">
        <v>54</v>
      </c>
      <c r="Q1332" t="s">
        <v>55</v>
      </c>
      <c r="T1332" t="s">
        <v>431</v>
      </c>
      <c r="U1332">
        <v>40</v>
      </c>
      <c r="V1332" s="1">
        <v>26299</v>
      </c>
      <c r="W1332" s="1">
        <v>26299</v>
      </c>
      <c r="X1332" s="1">
        <v>26299</v>
      </c>
      <c r="Y1332" s="1">
        <v>40909</v>
      </c>
      <c r="Z1332" t="s">
        <v>51</v>
      </c>
      <c r="AB1332" t="s">
        <v>54</v>
      </c>
      <c r="AC1332">
        <v>1</v>
      </c>
      <c r="AE1332" t="s">
        <v>79</v>
      </c>
      <c r="AF1332">
        <v>20</v>
      </c>
      <c r="AG1332" s="1">
        <v>26299</v>
      </c>
      <c r="AH1332" s="1">
        <v>26299</v>
      </c>
      <c r="AI1332" s="1">
        <v>26299</v>
      </c>
      <c r="AJ1332" s="1">
        <v>33604</v>
      </c>
      <c r="AK1332" t="s">
        <v>51</v>
      </c>
      <c r="AN1332">
        <v>0</v>
      </c>
      <c r="AO1332" t="s">
        <v>54</v>
      </c>
      <c r="AP1332" t="s">
        <v>53</v>
      </c>
      <c r="AQ1332">
        <v>0</v>
      </c>
      <c r="AR1332" t="s">
        <v>145</v>
      </c>
      <c r="AS1332">
        <v>0</v>
      </c>
      <c r="AT1332">
        <v>0</v>
      </c>
      <c r="AW1332" t="s">
        <v>79</v>
      </c>
      <c r="AX1332">
        <v>20</v>
      </c>
      <c r="AY1332" s="1">
        <v>26299</v>
      </c>
      <c r="AZ1332" s="1">
        <v>26299</v>
      </c>
      <c r="BA1332" s="1">
        <v>26299</v>
      </c>
      <c r="BB1332" s="1">
        <v>33604</v>
      </c>
      <c r="BC1332" t="s">
        <v>51</v>
      </c>
      <c r="BE1332" t="s">
        <v>54</v>
      </c>
      <c r="BF1332">
        <v>5</v>
      </c>
      <c r="BG1332">
        <v>0</v>
      </c>
      <c r="BH1332" t="s">
        <v>53</v>
      </c>
      <c r="BK1332" t="s">
        <v>59</v>
      </c>
      <c r="BL1332">
        <v>14000</v>
      </c>
      <c r="BM1332" s="1">
        <v>42917</v>
      </c>
      <c r="BN1332" s="1">
        <v>42917</v>
      </c>
      <c r="BO1332" s="1">
        <v>42917</v>
      </c>
      <c r="BP1332" s="1">
        <v>44117</v>
      </c>
      <c r="BQ1332" t="s">
        <v>51</v>
      </c>
      <c r="BS1332" t="s">
        <v>60</v>
      </c>
      <c r="BT1332" t="s">
        <v>54</v>
      </c>
      <c r="BU1332" t="s">
        <v>61</v>
      </c>
      <c r="BV1332" t="s">
        <v>62</v>
      </c>
      <c r="BX1332">
        <v>24</v>
      </c>
      <c r="BY1332">
        <v>0</v>
      </c>
      <c r="BZ1332">
        <v>0</v>
      </c>
    </row>
    <row r="1333" spans="1:99" x14ac:dyDescent="0.2">
      <c r="A1333" t="s">
        <v>180</v>
      </c>
      <c r="B1333" t="s">
        <v>181</v>
      </c>
      <c r="C1333" t="s">
        <v>184</v>
      </c>
      <c r="D1333" t="s">
        <v>742</v>
      </c>
      <c r="F1333" t="str">
        <f>"251003"</f>
        <v>251003</v>
      </c>
      <c r="G1333" t="s">
        <v>49</v>
      </c>
      <c r="H1333" t="s">
        <v>233</v>
      </c>
      <c r="K1333" t="s">
        <v>51</v>
      </c>
      <c r="L1333" t="s">
        <v>52</v>
      </c>
      <c r="M1333">
        <v>136485.94</v>
      </c>
      <c r="N1333">
        <v>472234.31</v>
      </c>
      <c r="O1333" t="s">
        <v>53</v>
      </c>
      <c r="P1333" t="s">
        <v>54</v>
      </c>
      <c r="Q1333" t="s">
        <v>55</v>
      </c>
      <c r="T1333" t="s">
        <v>706</v>
      </c>
      <c r="U1333">
        <v>40</v>
      </c>
      <c r="V1333" s="1">
        <v>26299</v>
      </c>
      <c r="W1333" s="1">
        <v>26299</v>
      </c>
      <c r="X1333" s="1">
        <v>26299</v>
      </c>
      <c r="Y1333" s="1">
        <v>40909</v>
      </c>
      <c r="Z1333" t="s">
        <v>51</v>
      </c>
      <c r="AB1333" t="s">
        <v>54</v>
      </c>
      <c r="AC1333">
        <v>1</v>
      </c>
      <c r="AE1333" t="s">
        <v>84</v>
      </c>
      <c r="AF1333">
        <v>20</v>
      </c>
      <c r="AG1333" s="1">
        <v>26299</v>
      </c>
      <c r="AH1333" s="1">
        <v>26299</v>
      </c>
      <c r="AI1333" s="1">
        <v>26299</v>
      </c>
      <c r="AJ1333" s="1">
        <v>33604</v>
      </c>
      <c r="AK1333" t="s">
        <v>51</v>
      </c>
      <c r="AN1333">
        <v>0</v>
      </c>
      <c r="AO1333" t="s">
        <v>54</v>
      </c>
      <c r="AP1333" t="s">
        <v>53</v>
      </c>
      <c r="AQ1333">
        <v>0</v>
      </c>
      <c r="AR1333" t="s">
        <v>53</v>
      </c>
      <c r="AS1333">
        <v>0</v>
      </c>
      <c r="AT1333">
        <v>0</v>
      </c>
      <c r="AW1333" t="s">
        <v>58</v>
      </c>
      <c r="AX1333">
        <v>20</v>
      </c>
      <c r="AY1333" s="1">
        <v>26299</v>
      </c>
      <c r="AZ1333" s="1">
        <v>26299</v>
      </c>
      <c r="BA1333" s="1">
        <v>26299</v>
      </c>
      <c r="BB1333" s="1">
        <v>33604</v>
      </c>
      <c r="BC1333" t="s">
        <v>51</v>
      </c>
      <c r="BE1333" t="s">
        <v>54</v>
      </c>
      <c r="BF1333">
        <v>2</v>
      </c>
      <c r="BG1333">
        <v>0</v>
      </c>
      <c r="BH1333" t="s">
        <v>53</v>
      </c>
      <c r="BK1333" t="s">
        <v>59</v>
      </c>
      <c r="BL1333">
        <v>14000</v>
      </c>
      <c r="BM1333" s="1">
        <v>42917</v>
      </c>
      <c r="BN1333" s="1">
        <v>42917</v>
      </c>
      <c r="BO1333" s="1">
        <v>42917</v>
      </c>
      <c r="BP1333" s="1">
        <v>44117</v>
      </c>
      <c r="BQ1333" t="s">
        <v>51</v>
      </c>
      <c r="BS1333" t="s">
        <v>60</v>
      </c>
      <c r="BT1333" t="s">
        <v>54</v>
      </c>
      <c r="BU1333" t="s">
        <v>61</v>
      </c>
      <c r="BV1333" t="s">
        <v>62</v>
      </c>
      <c r="BX1333">
        <v>24</v>
      </c>
      <c r="BY1333">
        <v>0</v>
      </c>
      <c r="BZ1333">
        <v>0</v>
      </c>
    </row>
    <row r="1334" spans="1:99" x14ac:dyDescent="0.2">
      <c r="A1334" t="s">
        <v>180</v>
      </c>
      <c r="B1334" t="s">
        <v>181</v>
      </c>
      <c r="C1334" t="s">
        <v>184</v>
      </c>
      <c r="D1334" t="s">
        <v>742</v>
      </c>
      <c r="F1334" t="str">
        <f>"251004"</f>
        <v>251004</v>
      </c>
      <c r="G1334" t="s">
        <v>49</v>
      </c>
      <c r="K1334" t="s">
        <v>51</v>
      </c>
      <c r="L1334" t="s">
        <v>52</v>
      </c>
      <c r="M1334">
        <v>136503.59</v>
      </c>
      <c r="N1334">
        <v>472234</v>
      </c>
      <c r="O1334" t="s">
        <v>53</v>
      </c>
      <c r="P1334" t="s">
        <v>54</v>
      </c>
      <c r="Q1334" t="s">
        <v>55</v>
      </c>
      <c r="T1334" t="s">
        <v>431</v>
      </c>
      <c r="U1334">
        <v>40</v>
      </c>
      <c r="V1334" s="1">
        <v>26299</v>
      </c>
      <c r="W1334" s="1">
        <v>26299</v>
      </c>
      <c r="X1334" s="1">
        <v>26299</v>
      </c>
      <c r="Y1334" s="1">
        <v>40909</v>
      </c>
      <c r="Z1334" t="s">
        <v>51</v>
      </c>
      <c r="AB1334" t="s">
        <v>54</v>
      </c>
      <c r="AC1334">
        <v>1</v>
      </c>
      <c r="AE1334" t="s">
        <v>79</v>
      </c>
      <c r="AF1334">
        <v>20</v>
      </c>
      <c r="AG1334" s="1">
        <v>26299</v>
      </c>
      <c r="AH1334" s="1">
        <v>26299</v>
      </c>
      <c r="AI1334" s="1">
        <v>26299</v>
      </c>
      <c r="AJ1334" s="1">
        <v>33604</v>
      </c>
      <c r="AK1334" t="s">
        <v>51</v>
      </c>
      <c r="AN1334">
        <v>0</v>
      </c>
      <c r="AO1334" t="s">
        <v>54</v>
      </c>
      <c r="AP1334" t="s">
        <v>53</v>
      </c>
      <c r="AQ1334">
        <v>0</v>
      </c>
      <c r="AR1334" t="s">
        <v>145</v>
      </c>
      <c r="AS1334">
        <v>0</v>
      </c>
      <c r="AT1334">
        <v>0</v>
      </c>
      <c r="AW1334" t="s">
        <v>79</v>
      </c>
      <c r="AX1334">
        <v>20</v>
      </c>
      <c r="AY1334" s="1">
        <v>26299</v>
      </c>
      <c r="AZ1334" s="1">
        <v>26299</v>
      </c>
      <c r="BA1334" s="1">
        <v>26299</v>
      </c>
      <c r="BB1334" s="1">
        <v>33604</v>
      </c>
      <c r="BC1334" t="s">
        <v>51</v>
      </c>
      <c r="BE1334" t="s">
        <v>54</v>
      </c>
      <c r="BF1334">
        <v>5</v>
      </c>
      <c r="BG1334">
        <v>0</v>
      </c>
      <c r="BH1334" t="s">
        <v>53</v>
      </c>
      <c r="BK1334" t="s">
        <v>59</v>
      </c>
      <c r="BL1334">
        <v>14000</v>
      </c>
      <c r="BM1334" s="1">
        <v>42917</v>
      </c>
      <c r="BN1334" s="1">
        <v>42917</v>
      </c>
      <c r="BO1334" s="1">
        <v>42917</v>
      </c>
      <c r="BP1334" s="1">
        <v>44117</v>
      </c>
      <c r="BQ1334" t="s">
        <v>51</v>
      </c>
      <c r="BS1334" t="s">
        <v>60</v>
      </c>
      <c r="BT1334" t="s">
        <v>54</v>
      </c>
      <c r="BU1334" t="s">
        <v>61</v>
      </c>
      <c r="BV1334" t="s">
        <v>62</v>
      </c>
      <c r="BX1334">
        <v>24</v>
      </c>
      <c r="BY1334">
        <v>0</v>
      </c>
      <c r="BZ1334">
        <v>0</v>
      </c>
    </row>
    <row r="1335" spans="1:99" x14ac:dyDescent="0.2">
      <c r="A1335" t="s">
        <v>180</v>
      </c>
      <c r="B1335" t="s">
        <v>181</v>
      </c>
      <c r="C1335" t="s">
        <v>184</v>
      </c>
      <c r="D1335" t="s">
        <v>742</v>
      </c>
      <c r="F1335" t="str">
        <f>"251005"</f>
        <v>251005</v>
      </c>
      <c r="G1335" t="s">
        <v>49</v>
      </c>
      <c r="H1335" t="s">
        <v>233</v>
      </c>
      <c r="K1335" t="s">
        <v>51</v>
      </c>
      <c r="L1335" t="s">
        <v>52</v>
      </c>
      <c r="M1335">
        <v>136525.47</v>
      </c>
      <c r="N1335">
        <v>472226.69</v>
      </c>
      <c r="O1335" t="s">
        <v>53</v>
      </c>
      <c r="P1335" t="s">
        <v>54</v>
      </c>
      <c r="Q1335" t="s">
        <v>55</v>
      </c>
      <c r="T1335" t="s">
        <v>706</v>
      </c>
      <c r="U1335">
        <v>40</v>
      </c>
      <c r="V1335" s="1">
        <v>26299</v>
      </c>
      <c r="W1335" s="1">
        <v>26299</v>
      </c>
      <c r="X1335" s="1">
        <v>26299</v>
      </c>
      <c r="Y1335" s="1">
        <v>40909</v>
      </c>
      <c r="Z1335" t="s">
        <v>51</v>
      </c>
      <c r="AB1335" t="s">
        <v>54</v>
      </c>
      <c r="AC1335">
        <v>1</v>
      </c>
      <c r="AE1335" t="s">
        <v>621</v>
      </c>
      <c r="AF1335">
        <v>20</v>
      </c>
      <c r="AG1335" s="1">
        <v>26299</v>
      </c>
      <c r="AH1335" s="1">
        <v>26299</v>
      </c>
      <c r="AI1335" s="1">
        <v>26299</v>
      </c>
      <c r="AJ1335" s="1">
        <v>33604</v>
      </c>
      <c r="AK1335" t="s">
        <v>51</v>
      </c>
      <c r="AN1335">
        <v>0</v>
      </c>
      <c r="AO1335" t="s">
        <v>54</v>
      </c>
      <c r="AP1335" t="s">
        <v>53</v>
      </c>
      <c r="AQ1335">
        <v>0</v>
      </c>
      <c r="AR1335" t="s">
        <v>53</v>
      </c>
      <c r="AS1335">
        <v>0</v>
      </c>
      <c r="AT1335">
        <v>0</v>
      </c>
      <c r="AW1335" t="s">
        <v>58</v>
      </c>
      <c r="AX1335">
        <v>20</v>
      </c>
      <c r="AY1335" s="1">
        <v>26299</v>
      </c>
      <c r="AZ1335" s="1">
        <v>26299</v>
      </c>
      <c r="BA1335" s="1">
        <v>26299</v>
      </c>
      <c r="BB1335" s="1">
        <v>33604</v>
      </c>
      <c r="BC1335" t="s">
        <v>51</v>
      </c>
      <c r="BE1335" t="s">
        <v>54</v>
      </c>
      <c r="BF1335">
        <v>2</v>
      </c>
      <c r="BG1335">
        <v>0</v>
      </c>
      <c r="BH1335" t="s">
        <v>53</v>
      </c>
      <c r="BI1335">
        <v>1</v>
      </c>
      <c r="BK1335" t="s">
        <v>739</v>
      </c>
      <c r="BL1335">
        <v>10000</v>
      </c>
      <c r="BM1335" s="1">
        <v>42917</v>
      </c>
      <c r="BN1335" s="1">
        <v>42917</v>
      </c>
      <c r="BO1335" s="1">
        <v>42917</v>
      </c>
      <c r="BP1335" s="1">
        <v>43774</v>
      </c>
      <c r="BQ1335" t="s">
        <v>51</v>
      </c>
      <c r="BS1335" t="s">
        <v>60</v>
      </c>
      <c r="BT1335" t="s">
        <v>54</v>
      </c>
      <c r="BU1335" t="s">
        <v>740</v>
      </c>
      <c r="BV1335" t="s">
        <v>741</v>
      </c>
      <c r="BX1335">
        <v>20</v>
      </c>
      <c r="BY1335">
        <v>0</v>
      </c>
      <c r="BZ1335">
        <v>0</v>
      </c>
    </row>
    <row r="1336" spans="1:99" x14ac:dyDescent="0.2">
      <c r="A1336" t="s">
        <v>180</v>
      </c>
      <c r="B1336" t="s">
        <v>181</v>
      </c>
      <c r="C1336" t="s">
        <v>184</v>
      </c>
      <c r="D1336" t="s">
        <v>742</v>
      </c>
      <c r="F1336" t="str">
        <f>"251006"</f>
        <v>251006</v>
      </c>
      <c r="G1336" t="s">
        <v>49</v>
      </c>
      <c r="H1336" t="s">
        <v>672</v>
      </c>
      <c r="K1336" t="s">
        <v>51</v>
      </c>
      <c r="L1336" t="s">
        <v>52</v>
      </c>
      <c r="M1336">
        <v>136466.94</v>
      </c>
      <c r="N1336">
        <v>472217.91</v>
      </c>
      <c r="O1336" t="s">
        <v>53</v>
      </c>
      <c r="P1336" t="s">
        <v>54</v>
      </c>
      <c r="Q1336" t="s">
        <v>55</v>
      </c>
      <c r="T1336" t="s">
        <v>588</v>
      </c>
      <c r="U1336">
        <v>40</v>
      </c>
      <c r="V1336" s="1">
        <v>26299</v>
      </c>
      <c r="W1336" s="1">
        <v>26299</v>
      </c>
      <c r="X1336" s="1">
        <v>26299</v>
      </c>
      <c r="Y1336" s="1">
        <v>40909</v>
      </c>
      <c r="Z1336" t="s">
        <v>51</v>
      </c>
      <c r="AB1336" t="s">
        <v>54</v>
      </c>
      <c r="AC1336">
        <v>1</v>
      </c>
      <c r="AE1336" t="s">
        <v>222</v>
      </c>
      <c r="AF1336">
        <v>20</v>
      </c>
      <c r="AG1336" s="1">
        <v>26299</v>
      </c>
      <c r="AH1336" s="1">
        <v>26299</v>
      </c>
      <c r="AI1336" s="1">
        <v>26299</v>
      </c>
      <c r="AJ1336" s="1">
        <v>33604</v>
      </c>
      <c r="AK1336" t="s">
        <v>51</v>
      </c>
      <c r="AN1336">
        <v>0</v>
      </c>
      <c r="AO1336" t="s">
        <v>54</v>
      </c>
      <c r="AP1336" t="s">
        <v>53</v>
      </c>
      <c r="AQ1336">
        <v>0</v>
      </c>
      <c r="AR1336" t="s">
        <v>53</v>
      </c>
      <c r="AS1336">
        <v>0</v>
      </c>
      <c r="AT1336">
        <v>0</v>
      </c>
      <c r="AW1336" t="s">
        <v>58</v>
      </c>
      <c r="AX1336">
        <v>20</v>
      </c>
      <c r="AY1336" s="1">
        <v>26299</v>
      </c>
      <c r="AZ1336" s="1">
        <v>26299</v>
      </c>
      <c r="BA1336" s="1">
        <v>26299</v>
      </c>
      <c r="BB1336" s="1">
        <v>33604</v>
      </c>
      <c r="BC1336" t="s">
        <v>51</v>
      </c>
      <c r="BE1336" t="s">
        <v>54</v>
      </c>
      <c r="BF1336">
        <v>2</v>
      </c>
      <c r="BG1336">
        <v>0</v>
      </c>
      <c r="BH1336" t="s">
        <v>53</v>
      </c>
      <c r="BK1336" t="s">
        <v>59</v>
      </c>
      <c r="BL1336">
        <v>14000</v>
      </c>
      <c r="BM1336" s="1">
        <v>42917</v>
      </c>
      <c r="BN1336" s="1">
        <v>42917</v>
      </c>
      <c r="BO1336" s="1">
        <v>42917</v>
      </c>
      <c r="BP1336" s="1">
        <v>44117</v>
      </c>
      <c r="BQ1336" t="s">
        <v>51</v>
      </c>
      <c r="BS1336" t="s">
        <v>60</v>
      </c>
      <c r="BT1336" t="s">
        <v>54</v>
      </c>
      <c r="BU1336" t="s">
        <v>61</v>
      </c>
      <c r="BV1336" t="s">
        <v>62</v>
      </c>
      <c r="BX1336">
        <v>24</v>
      </c>
      <c r="BY1336">
        <v>0</v>
      </c>
      <c r="BZ1336">
        <v>0</v>
      </c>
    </row>
    <row r="1337" spans="1:99" x14ac:dyDescent="0.2">
      <c r="A1337" t="s">
        <v>180</v>
      </c>
      <c r="B1337" t="s">
        <v>181</v>
      </c>
      <c r="C1337" t="s">
        <v>184</v>
      </c>
      <c r="D1337" t="s">
        <v>742</v>
      </c>
      <c r="F1337" t="str">
        <f>"251007"</f>
        <v>251007</v>
      </c>
      <c r="G1337" t="s">
        <v>49</v>
      </c>
      <c r="K1337" t="s">
        <v>51</v>
      </c>
      <c r="L1337" t="s">
        <v>52</v>
      </c>
      <c r="M1337">
        <v>136445.587</v>
      </c>
      <c r="N1337">
        <v>472183.82699999999</v>
      </c>
      <c r="O1337" t="s">
        <v>53</v>
      </c>
      <c r="P1337" t="s">
        <v>54</v>
      </c>
      <c r="Q1337" t="s">
        <v>55</v>
      </c>
      <c r="T1337" t="s">
        <v>588</v>
      </c>
      <c r="U1337">
        <v>40</v>
      </c>
      <c r="V1337" s="1">
        <v>26299</v>
      </c>
      <c r="W1337" s="1">
        <v>26299</v>
      </c>
      <c r="X1337" s="1">
        <v>26299</v>
      </c>
      <c r="Y1337" s="1">
        <v>40909</v>
      </c>
      <c r="Z1337" t="s">
        <v>51</v>
      </c>
      <c r="AB1337" t="s">
        <v>54</v>
      </c>
      <c r="AC1337">
        <v>1</v>
      </c>
      <c r="AE1337" t="s">
        <v>222</v>
      </c>
      <c r="AF1337">
        <v>20</v>
      </c>
      <c r="AG1337" s="1">
        <v>26299</v>
      </c>
      <c r="AH1337" s="1">
        <v>26299</v>
      </c>
      <c r="AI1337" s="1">
        <v>26299</v>
      </c>
      <c r="AJ1337" s="1">
        <v>33604</v>
      </c>
      <c r="AK1337" t="s">
        <v>51</v>
      </c>
      <c r="AN1337">
        <v>0</v>
      </c>
      <c r="AO1337" t="s">
        <v>54</v>
      </c>
      <c r="AP1337" t="s">
        <v>53</v>
      </c>
      <c r="AQ1337">
        <v>0</v>
      </c>
      <c r="AR1337" t="s">
        <v>53</v>
      </c>
      <c r="AS1337">
        <v>0</v>
      </c>
      <c r="AT1337">
        <v>0</v>
      </c>
      <c r="AW1337" t="s">
        <v>58</v>
      </c>
      <c r="AX1337">
        <v>20</v>
      </c>
      <c r="AY1337" s="1">
        <v>26299</v>
      </c>
      <c r="AZ1337" s="1">
        <v>26299</v>
      </c>
      <c r="BA1337" s="1">
        <v>26299</v>
      </c>
      <c r="BB1337" s="1">
        <v>33604</v>
      </c>
      <c r="BC1337" t="s">
        <v>51</v>
      </c>
      <c r="BE1337" t="s">
        <v>54</v>
      </c>
      <c r="BF1337">
        <v>2</v>
      </c>
      <c r="BG1337">
        <v>0</v>
      </c>
      <c r="BH1337" t="s">
        <v>53</v>
      </c>
      <c r="BK1337" t="s">
        <v>743</v>
      </c>
      <c r="BL1337">
        <v>14000</v>
      </c>
      <c r="BM1337" s="1">
        <v>42917</v>
      </c>
      <c r="BN1337" s="1">
        <v>42917</v>
      </c>
      <c r="BO1337" s="1">
        <v>42917</v>
      </c>
      <c r="BP1337" s="1">
        <v>44117</v>
      </c>
      <c r="BQ1337" t="s">
        <v>51</v>
      </c>
      <c r="BS1337" t="s">
        <v>60</v>
      </c>
      <c r="BT1337" t="s">
        <v>54</v>
      </c>
      <c r="BU1337" t="s">
        <v>61</v>
      </c>
      <c r="BV1337" t="s">
        <v>62</v>
      </c>
      <c r="BX1337">
        <v>50</v>
      </c>
      <c r="BY1337">
        <v>0</v>
      </c>
      <c r="BZ1337">
        <v>0</v>
      </c>
    </row>
    <row r="1338" spans="1:99" x14ac:dyDescent="0.2">
      <c r="A1338" t="s">
        <v>180</v>
      </c>
      <c r="B1338" t="s">
        <v>181</v>
      </c>
      <c r="C1338" t="s">
        <v>184</v>
      </c>
      <c r="D1338" t="s">
        <v>742</v>
      </c>
      <c r="F1338" t="str">
        <f>"251008"</f>
        <v>251008</v>
      </c>
      <c r="G1338" t="s">
        <v>49</v>
      </c>
      <c r="K1338" t="s">
        <v>51</v>
      </c>
      <c r="L1338" t="s">
        <v>52</v>
      </c>
      <c r="M1338">
        <v>136470.31700000001</v>
      </c>
      <c r="N1338">
        <v>472168.76899999997</v>
      </c>
      <c r="O1338" t="s">
        <v>53</v>
      </c>
      <c r="P1338" t="s">
        <v>54</v>
      </c>
      <c r="Q1338" t="s">
        <v>55</v>
      </c>
      <c r="T1338" t="s">
        <v>588</v>
      </c>
      <c r="U1338">
        <v>40</v>
      </c>
      <c r="V1338" s="1">
        <v>26299</v>
      </c>
      <c r="W1338" s="1">
        <v>26299</v>
      </c>
      <c r="X1338" s="1">
        <v>26299</v>
      </c>
      <c r="Y1338" s="1">
        <v>40909</v>
      </c>
      <c r="Z1338" t="s">
        <v>51</v>
      </c>
      <c r="AB1338" t="s">
        <v>54</v>
      </c>
      <c r="AC1338">
        <v>1</v>
      </c>
      <c r="AE1338" t="s">
        <v>222</v>
      </c>
      <c r="AF1338">
        <v>20</v>
      </c>
      <c r="AG1338" s="1">
        <v>26299</v>
      </c>
      <c r="AH1338" s="1">
        <v>26299</v>
      </c>
      <c r="AI1338" s="1">
        <v>26299</v>
      </c>
      <c r="AJ1338" s="1">
        <v>33604</v>
      </c>
      <c r="AK1338" t="s">
        <v>51</v>
      </c>
      <c r="AN1338">
        <v>0</v>
      </c>
      <c r="AO1338" t="s">
        <v>54</v>
      </c>
      <c r="AP1338" t="s">
        <v>53</v>
      </c>
      <c r="AQ1338">
        <v>0</v>
      </c>
      <c r="AR1338" t="s">
        <v>53</v>
      </c>
      <c r="AS1338">
        <v>0</v>
      </c>
      <c r="AT1338">
        <v>0</v>
      </c>
      <c r="AW1338" t="s">
        <v>58</v>
      </c>
      <c r="AX1338">
        <v>20</v>
      </c>
      <c r="AY1338" s="1">
        <v>26299</v>
      </c>
      <c r="AZ1338" s="1">
        <v>26299</v>
      </c>
      <c r="BA1338" s="1">
        <v>26299</v>
      </c>
      <c r="BB1338" s="1">
        <v>33604</v>
      </c>
      <c r="BC1338" t="s">
        <v>51</v>
      </c>
      <c r="BE1338" t="s">
        <v>54</v>
      </c>
      <c r="BF1338">
        <v>2</v>
      </c>
      <c r="BG1338">
        <v>0</v>
      </c>
      <c r="BH1338" t="s">
        <v>53</v>
      </c>
      <c r="BK1338" t="s">
        <v>743</v>
      </c>
      <c r="BL1338">
        <v>14000</v>
      </c>
      <c r="BM1338" s="1">
        <v>42917</v>
      </c>
      <c r="BN1338" s="1">
        <v>42917</v>
      </c>
      <c r="BO1338" s="1">
        <v>42917</v>
      </c>
      <c r="BP1338" s="1">
        <v>44117</v>
      </c>
      <c r="BQ1338" t="s">
        <v>51</v>
      </c>
      <c r="BS1338" t="s">
        <v>60</v>
      </c>
      <c r="BT1338" t="s">
        <v>54</v>
      </c>
      <c r="BU1338" t="s">
        <v>61</v>
      </c>
      <c r="BV1338" t="s">
        <v>62</v>
      </c>
      <c r="BX1338">
        <v>50</v>
      </c>
      <c r="BY1338">
        <v>0</v>
      </c>
      <c r="BZ1338">
        <v>0</v>
      </c>
    </row>
    <row r="1339" spans="1:99" x14ac:dyDescent="0.2">
      <c r="A1339" t="s">
        <v>180</v>
      </c>
      <c r="B1339" t="s">
        <v>181</v>
      </c>
      <c r="C1339" t="s">
        <v>184</v>
      </c>
      <c r="D1339" t="s">
        <v>742</v>
      </c>
      <c r="F1339" t="str">
        <f>"251009"</f>
        <v>251009</v>
      </c>
      <c r="G1339" t="s">
        <v>49</v>
      </c>
      <c r="K1339" t="s">
        <v>51</v>
      </c>
      <c r="L1339" t="s">
        <v>52</v>
      </c>
      <c r="M1339">
        <v>136485.715</v>
      </c>
      <c r="N1339">
        <v>472188.08399999997</v>
      </c>
      <c r="O1339" t="s">
        <v>53</v>
      </c>
      <c r="P1339" t="s">
        <v>54</v>
      </c>
      <c r="Q1339" t="s">
        <v>55</v>
      </c>
      <c r="T1339" t="s">
        <v>588</v>
      </c>
      <c r="U1339">
        <v>40</v>
      </c>
      <c r="V1339" s="1">
        <v>26299</v>
      </c>
      <c r="W1339" s="1">
        <v>26299</v>
      </c>
      <c r="X1339" s="1">
        <v>26299</v>
      </c>
      <c r="Y1339" s="1">
        <v>40909</v>
      </c>
      <c r="Z1339" t="s">
        <v>51</v>
      </c>
      <c r="AB1339" t="s">
        <v>54</v>
      </c>
      <c r="AC1339">
        <v>1</v>
      </c>
      <c r="AE1339" t="s">
        <v>222</v>
      </c>
      <c r="AF1339">
        <v>20</v>
      </c>
      <c r="AG1339" s="1">
        <v>26299</v>
      </c>
      <c r="AH1339" s="1">
        <v>26299</v>
      </c>
      <c r="AI1339" s="1">
        <v>26299</v>
      </c>
      <c r="AJ1339" s="1">
        <v>33604</v>
      </c>
      <c r="AK1339" t="s">
        <v>51</v>
      </c>
      <c r="AN1339">
        <v>0</v>
      </c>
      <c r="AO1339" t="s">
        <v>54</v>
      </c>
      <c r="AP1339" t="s">
        <v>53</v>
      </c>
      <c r="AQ1339">
        <v>0</v>
      </c>
      <c r="AR1339" t="s">
        <v>53</v>
      </c>
      <c r="AS1339">
        <v>0</v>
      </c>
      <c r="AT1339">
        <v>0</v>
      </c>
      <c r="AW1339" t="s">
        <v>58</v>
      </c>
      <c r="AX1339">
        <v>20</v>
      </c>
      <c r="AY1339" s="1">
        <v>26299</v>
      </c>
      <c r="AZ1339" s="1">
        <v>26299</v>
      </c>
      <c r="BA1339" s="1">
        <v>26299</v>
      </c>
      <c r="BB1339" s="1">
        <v>33604</v>
      </c>
      <c r="BC1339" t="s">
        <v>51</v>
      </c>
      <c r="BE1339" t="s">
        <v>54</v>
      </c>
      <c r="BF1339">
        <v>2</v>
      </c>
      <c r="BG1339">
        <v>0</v>
      </c>
      <c r="BH1339" t="s">
        <v>53</v>
      </c>
      <c r="BK1339" t="s">
        <v>743</v>
      </c>
      <c r="BL1339">
        <v>14000</v>
      </c>
      <c r="BM1339" s="1">
        <v>42917</v>
      </c>
      <c r="BN1339" s="1">
        <v>42917</v>
      </c>
      <c r="BO1339" s="1">
        <v>42917</v>
      </c>
      <c r="BP1339" s="1">
        <v>44117</v>
      </c>
      <c r="BQ1339" t="s">
        <v>51</v>
      </c>
      <c r="BS1339" t="s">
        <v>60</v>
      </c>
      <c r="BT1339" t="s">
        <v>54</v>
      </c>
      <c r="BU1339" t="s">
        <v>61</v>
      </c>
      <c r="BV1339" t="s">
        <v>62</v>
      </c>
      <c r="BX1339">
        <v>50</v>
      </c>
      <c r="BY1339">
        <v>0</v>
      </c>
      <c r="BZ1339">
        <v>0</v>
      </c>
    </row>
    <row r="1340" spans="1:99" x14ac:dyDescent="0.2">
      <c r="A1340" t="s">
        <v>180</v>
      </c>
      <c r="B1340" t="s">
        <v>181</v>
      </c>
      <c r="C1340" t="s">
        <v>184</v>
      </c>
      <c r="D1340" t="s">
        <v>742</v>
      </c>
      <c r="F1340" t="str">
        <f>"251010"</f>
        <v>251010</v>
      </c>
      <c r="G1340" t="s">
        <v>49</v>
      </c>
      <c r="K1340" t="s">
        <v>51</v>
      </c>
      <c r="L1340" t="s">
        <v>52</v>
      </c>
      <c r="M1340">
        <v>136497.56200000001</v>
      </c>
      <c r="N1340">
        <v>472214.38900000002</v>
      </c>
      <c r="O1340" t="s">
        <v>53</v>
      </c>
      <c r="P1340" t="s">
        <v>54</v>
      </c>
      <c r="Q1340" t="s">
        <v>55</v>
      </c>
      <c r="T1340" t="s">
        <v>682</v>
      </c>
      <c r="U1340">
        <v>40</v>
      </c>
      <c r="V1340" s="1">
        <v>26299</v>
      </c>
      <c r="W1340" s="1">
        <v>26299</v>
      </c>
      <c r="X1340" s="1">
        <v>26299</v>
      </c>
      <c r="Y1340" s="1">
        <v>40909</v>
      </c>
      <c r="Z1340" t="s">
        <v>51</v>
      </c>
      <c r="AB1340" t="s">
        <v>54</v>
      </c>
      <c r="AC1340">
        <v>1</v>
      </c>
      <c r="AE1340" t="s">
        <v>222</v>
      </c>
      <c r="AF1340">
        <v>20</v>
      </c>
      <c r="AG1340" s="1">
        <v>26299</v>
      </c>
      <c r="AH1340" s="1">
        <v>26299</v>
      </c>
      <c r="AI1340" s="1">
        <v>26299</v>
      </c>
      <c r="AJ1340" s="1">
        <v>33604</v>
      </c>
      <c r="AK1340" t="s">
        <v>51</v>
      </c>
      <c r="AN1340">
        <v>0</v>
      </c>
      <c r="AO1340" t="s">
        <v>54</v>
      </c>
      <c r="AP1340" t="s">
        <v>53</v>
      </c>
      <c r="AQ1340">
        <v>0</v>
      </c>
      <c r="AR1340" t="s">
        <v>53</v>
      </c>
      <c r="AS1340">
        <v>0</v>
      </c>
      <c r="AT1340">
        <v>0</v>
      </c>
      <c r="AW1340" t="s">
        <v>58</v>
      </c>
      <c r="AX1340">
        <v>20</v>
      </c>
      <c r="AY1340" s="1">
        <v>26299</v>
      </c>
      <c r="AZ1340" s="1">
        <v>26299</v>
      </c>
      <c r="BA1340" s="1">
        <v>26299</v>
      </c>
      <c r="BB1340" s="1">
        <v>33604</v>
      </c>
      <c r="BC1340" t="s">
        <v>51</v>
      </c>
      <c r="BE1340" t="s">
        <v>54</v>
      </c>
      <c r="BF1340">
        <v>2</v>
      </c>
      <c r="BG1340">
        <v>0</v>
      </c>
      <c r="BH1340" t="s">
        <v>53</v>
      </c>
      <c r="BK1340" t="s">
        <v>59</v>
      </c>
      <c r="BL1340">
        <v>14000</v>
      </c>
      <c r="BM1340" s="1">
        <v>42917</v>
      </c>
      <c r="BN1340" s="1">
        <v>42917</v>
      </c>
      <c r="BO1340" s="1">
        <v>42917</v>
      </c>
      <c r="BP1340" s="1">
        <v>44117</v>
      </c>
      <c r="BQ1340" t="s">
        <v>51</v>
      </c>
      <c r="BS1340" t="s">
        <v>60</v>
      </c>
      <c r="BT1340" t="s">
        <v>54</v>
      </c>
      <c r="BU1340" t="s">
        <v>61</v>
      </c>
      <c r="BV1340" t="s">
        <v>62</v>
      </c>
      <c r="BX1340">
        <v>24</v>
      </c>
      <c r="BY1340">
        <v>0</v>
      </c>
      <c r="BZ1340">
        <v>0</v>
      </c>
    </row>
    <row r="1341" spans="1:99" x14ac:dyDescent="0.2">
      <c r="A1341" t="s">
        <v>180</v>
      </c>
      <c r="B1341" t="s">
        <v>181</v>
      </c>
      <c r="C1341" t="s">
        <v>184</v>
      </c>
      <c r="D1341" t="s">
        <v>742</v>
      </c>
      <c r="F1341" t="str">
        <f>"251011"</f>
        <v>251011</v>
      </c>
      <c r="G1341" t="s">
        <v>49</v>
      </c>
      <c r="K1341" t="s">
        <v>51</v>
      </c>
      <c r="L1341" t="s">
        <v>52</v>
      </c>
      <c r="M1341">
        <v>136476.94</v>
      </c>
      <c r="N1341">
        <v>472227.91</v>
      </c>
      <c r="O1341" t="s">
        <v>53</v>
      </c>
      <c r="P1341" t="s">
        <v>54</v>
      </c>
      <c r="Q1341" t="s">
        <v>55</v>
      </c>
      <c r="T1341" t="s">
        <v>588</v>
      </c>
      <c r="U1341">
        <v>40</v>
      </c>
      <c r="V1341" s="1">
        <v>26299</v>
      </c>
      <c r="W1341" s="1">
        <v>26299</v>
      </c>
      <c r="X1341" s="1">
        <v>26299</v>
      </c>
      <c r="Y1341" s="1">
        <v>40909</v>
      </c>
      <c r="Z1341" t="s">
        <v>51</v>
      </c>
      <c r="AB1341" t="s">
        <v>54</v>
      </c>
      <c r="AC1341">
        <v>1</v>
      </c>
      <c r="AE1341" t="s">
        <v>222</v>
      </c>
      <c r="AF1341">
        <v>20</v>
      </c>
      <c r="AG1341" s="1">
        <v>26299</v>
      </c>
      <c r="AH1341" s="1">
        <v>26299</v>
      </c>
      <c r="AI1341" s="1">
        <v>26299</v>
      </c>
      <c r="AJ1341" s="1">
        <v>33604</v>
      </c>
      <c r="AK1341" t="s">
        <v>51</v>
      </c>
      <c r="AN1341">
        <v>0</v>
      </c>
      <c r="AO1341" t="s">
        <v>54</v>
      </c>
      <c r="AP1341" t="s">
        <v>53</v>
      </c>
      <c r="AQ1341">
        <v>0</v>
      </c>
      <c r="AR1341" t="s">
        <v>53</v>
      </c>
      <c r="AS1341">
        <v>0</v>
      </c>
      <c r="AT1341">
        <v>0</v>
      </c>
      <c r="AW1341" t="s">
        <v>58</v>
      </c>
      <c r="AX1341">
        <v>20</v>
      </c>
      <c r="AY1341" s="1">
        <v>26299</v>
      </c>
      <c r="AZ1341" s="1">
        <v>26299</v>
      </c>
      <c r="BA1341" s="1">
        <v>26299</v>
      </c>
      <c r="BB1341" s="1">
        <v>33604</v>
      </c>
      <c r="BC1341" t="s">
        <v>51</v>
      </c>
      <c r="BE1341" t="s">
        <v>54</v>
      </c>
      <c r="BF1341">
        <v>2</v>
      </c>
      <c r="BG1341">
        <v>0</v>
      </c>
      <c r="BH1341" t="s">
        <v>53</v>
      </c>
      <c r="BK1341" t="s">
        <v>59</v>
      </c>
      <c r="BL1341">
        <v>14000</v>
      </c>
      <c r="BM1341" s="1">
        <v>42917</v>
      </c>
      <c r="BN1341" s="1">
        <v>42917</v>
      </c>
      <c r="BO1341" s="1">
        <v>42917</v>
      </c>
      <c r="BP1341" s="1">
        <v>44117</v>
      </c>
      <c r="BQ1341" t="s">
        <v>51</v>
      </c>
      <c r="BS1341" t="s">
        <v>60</v>
      </c>
      <c r="BT1341" t="s">
        <v>54</v>
      </c>
      <c r="BU1341" t="s">
        <v>61</v>
      </c>
      <c r="BV1341" t="s">
        <v>62</v>
      </c>
      <c r="BX1341">
        <v>24</v>
      </c>
      <c r="BY1341">
        <v>0</v>
      </c>
      <c r="BZ1341">
        <v>0</v>
      </c>
    </row>
    <row r="1342" spans="1:99" x14ac:dyDescent="0.2">
      <c r="A1342" t="s">
        <v>180</v>
      </c>
      <c r="B1342" t="s">
        <v>181</v>
      </c>
      <c r="C1342" t="s">
        <v>184</v>
      </c>
      <c r="D1342" t="s">
        <v>742</v>
      </c>
      <c r="F1342" t="str">
        <f>"251012"</f>
        <v>251012</v>
      </c>
      <c r="G1342" t="s">
        <v>49</v>
      </c>
      <c r="K1342" t="s">
        <v>51</v>
      </c>
      <c r="L1342" t="s">
        <v>52</v>
      </c>
      <c r="M1342">
        <v>136383.35200000001</v>
      </c>
      <c r="N1342">
        <v>472262.36700000003</v>
      </c>
      <c r="O1342" t="s">
        <v>53</v>
      </c>
      <c r="P1342" t="s">
        <v>54</v>
      </c>
      <c r="Q1342" t="s">
        <v>55</v>
      </c>
      <c r="T1342" t="s">
        <v>588</v>
      </c>
      <c r="U1342">
        <v>40</v>
      </c>
      <c r="V1342" s="1">
        <v>42186</v>
      </c>
      <c r="W1342" s="1">
        <v>42186</v>
      </c>
      <c r="X1342" s="1">
        <v>42186</v>
      </c>
      <c r="Y1342" s="1">
        <v>56796</v>
      </c>
      <c r="Z1342" t="s">
        <v>51</v>
      </c>
      <c r="AB1342" t="s">
        <v>54</v>
      </c>
      <c r="AC1342">
        <v>1</v>
      </c>
      <c r="AE1342" t="s">
        <v>79</v>
      </c>
      <c r="AF1342">
        <v>20</v>
      </c>
      <c r="AG1342" s="1">
        <v>42186</v>
      </c>
      <c r="AH1342" s="1">
        <v>42186</v>
      </c>
      <c r="AI1342" s="1">
        <v>42186</v>
      </c>
      <c r="AJ1342" s="1">
        <v>49491</v>
      </c>
      <c r="AK1342" t="s">
        <v>51</v>
      </c>
      <c r="AN1342">
        <v>0</v>
      </c>
      <c r="AO1342" t="s">
        <v>54</v>
      </c>
      <c r="AP1342" t="s">
        <v>53</v>
      </c>
      <c r="AQ1342">
        <v>0</v>
      </c>
      <c r="AR1342" t="s">
        <v>145</v>
      </c>
      <c r="AS1342">
        <v>0</v>
      </c>
      <c r="AT1342">
        <v>0</v>
      </c>
      <c r="CC1342" t="s">
        <v>432</v>
      </c>
      <c r="CD1342">
        <v>85000</v>
      </c>
      <c r="CE1342" s="1">
        <v>42186</v>
      </c>
      <c r="CF1342" s="1">
        <v>42186</v>
      </c>
      <c r="CG1342" s="1">
        <v>42186</v>
      </c>
      <c r="CH1342" s="1">
        <v>49348</v>
      </c>
      <c r="CI1342" t="s">
        <v>51</v>
      </c>
      <c r="CK1342" t="s">
        <v>78</v>
      </c>
      <c r="CM1342" t="s">
        <v>54</v>
      </c>
      <c r="CN1342" t="s">
        <v>174</v>
      </c>
      <c r="CO1342" t="s">
        <v>86</v>
      </c>
      <c r="CR1342">
        <v>24</v>
      </c>
      <c r="CS1342">
        <v>0</v>
      </c>
      <c r="CT1342">
        <v>0</v>
      </c>
      <c r="CU1342">
        <v>0</v>
      </c>
    </row>
    <row r="1343" spans="1:99" x14ac:dyDescent="0.2">
      <c r="A1343" t="s">
        <v>180</v>
      </c>
      <c r="B1343" t="s">
        <v>181</v>
      </c>
      <c r="C1343" t="s">
        <v>184</v>
      </c>
      <c r="D1343" t="s">
        <v>744</v>
      </c>
      <c r="F1343" t="str">
        <f>"251013"</f>
        <v>251013</v>
      </c>
      <c r="G1343" t="s">
        <v>49</v>
      </c>
      <c r="K1343" t="s">
        <v>51</v>
      </c>
      <c r="L1343" t="s">
        <v>52</v>
      </c>
      <c r="M1343">
        <v>136402.45000000001</v>
      </c>
      <c r="N1343">
        <v>472224.44</v>
      </c>
      <c r="O1343" t="s">
        <v>53</v>
      </c>
      <c r="P1343" t="s">
        <v>54</v>
      </c>
      <c r="Q1343" t="s">
        <v>55</v>
      </c>
      <c r="T1343" t="s">
        <v>431</v>
      </c>
      <c r="U1343">
        <v>40</v>
      </c>
      <c r="V1343" s="1">
        <v>42186</v>
      </c>
      <c r="W1343" s="1">
        <v>42186</v>
      </c>
      <c r="X1343" s="1">
        <v>42186</v>
      </c>
      <c r="Y1343" s="1">
        <v>56796</v>
      </c>
      <c r="Z1343" t="s">
        <v>51</v>
      </c>
      <c r="AB1343" t="s">
        <v>54</v>
      </c>
      <c r="AC1343">
        <v>1</v>
      </c>
      <c r="AE1343" t="s">
        <v>79</v>
      </c>
      <c r="AF1343">
        <v>20</v>
      </c>
      <c r="AG1343" s="1">
        <v>42186</v>
      </c>
      <c r="AH1343" s="1">
        <v>42186</v>
      </c>
      <c r="AI1343" s="1">
        <v>42186</v>
      </c>
      <c r="AJ1343" s="1">
        <v>49491</v>
      </c>
      <c r="AK1343" t="s">
        <v>51</v>
      </c>
      <c r="AN1343">
        <v>0</v>
      </c>
      <c r="AO1343" t="s">
        <v>54</v>
      </c>
      <c r="AP1343" t="s">
        <v>53</v>
      </c>
      <c r="AQ1343">
        <v>0</v>
      </c>
      <c r="AR1343" t="s">
        <v>145</v>
      </c>
      <c r="AS1343">
        <v>0</v>
      </c>
      <c r="AT1343">
        <v>0</v>
      </c>
      <c r="CC1343" t="s">
        <v>432</v>
      </c>
      <c r="CD1343">
        <v>85000</v>
      </c>
      <c r="CE1343" s="1">
        <v>42186</v>
      </c>
      <c r="CF1343" s="1">
        <v>42186</v>
      </c>
      <c r="CG1343" s="1">
        <v>42186</v>
      </c>
      <c r="CH1343" s="1">
        <v>49348</v>
      </c>
      <c r="CI1343" t="s">
        <v>51</v>
      </c>
      <c r="CK1343" t="s">
        <v>78</v>
      </c>
      <c r="CM1343" t="s">
        <v>54</v>
      </c>
      <c r="CN1343" t="s">
        <v>174</v>
      </c>
      <c r="CO1343" t="s">
        <v>86</v>
      </c>
      <c r="CR1343">
        <v>24</v>
      </c>
      <c r="CS1343">
        <v>0</v>
      </c>
      <c r="CT1343">
        <v>0</v>
      </c>
      <c r="CU1343">
        <v>0</v>
      </c>
    </row>
    <row r="1344" spans="1:99" x14ac:dyDescent="0.2">
      <c r="A1344" t="s">
        <v>180</v>
      </c>
      <c r="B1344" t="s">
        <v>181</v>
      </c>
      <c r="C1344" t="s">
        <v>184</v>
      </c>
      <c r="D1344" t="s">
        <v>744</v>
      </c>
      <c r="F1344" t="str">
        <f>"251014"</f>
        <v>251014</v>
      </c>
      <c r="G1344" t="s">
        <v>49</v>
      </c>
      <c r="K1344" t="s">
        <v>51</v>
      </c>
      <c r="L1344" t="s">
        <v>52</v>
      </c>
      <c r="M1344">
        <v>136388.10999999999</v>
      </c>
      <c r="N1344">
        <v>472211.19</v>
      </c>
      <c r="O1344" t="s">
        <v>53</v>
      </c>
      <c r="P1344" t="s">
        <v>54</v>
      </c>
      <c r="Q1344" t="s">
        <v>55</v>
      </c>
      <c r="T1344" t="s">
        <v>431</v>
      </c>
      <c r="U1344">
        <v>40</v>
      </c>
      <c r="V1344" s="1">
        <v>42186</v>
      </c>
      <c r="W1344" s="1">
        <v>42186</v>
      </c>
      <c r="X1344" s="1">
        <v>42186</v>
      </c>
      <c r="Y1344" s="1">
        <v>56796</v>
      </c>
      <c r="Z1344" t="s">
        <v>51</v>
      </c>
      <c r="AB1344" t="s">
        <v>54</v>
      </c>
      <c r="AC1344">
        <v>1</v>
      </c>
      <c r="AE1344" t="s">
        <v>79</v>
      </c>
      <c r="AF1344">
        <v>20</v>
      </c>
      <c r="AG1344" s="1">
        <v>42186</v>
      </c>
      <c r="AH1344" s="1">
        <v>42186</v>
      </c>
      <c r="AI1344" s="1">
        <v>42186</v>
      </c>
      <c r="AJ1344" s="1">
        <v>49491</v>
      </c>
      <c r="AK1344" t="s">
        <v>51</v>
      </c>
      <c r="AN1344">
        <v>0</v>
      </c>
      <c r="AO1344" t="s">
        <v>54</v>
      </c>
      <c r="AP1344" t="s">
        <v>53</v>
      </c>
      <c r="AQ1344">
        <v>0</v>
      </c>
      <c r="AR1344" t="s">
        <v>145</v>
      </c>
      <c r="AS1344">
        <v>0</v>
      </c>
      <c r="AT1344">
        <v>0</v>
      </c>
      <c r="CC1344" t="s">
        <v>432</v>
      </c>
      <c r="CD1344">
        <v>85000</v>
      </c>
      <c r="CE1344" s="1">
        <v>42186</v>
      </c>
      <c r="CF1344" s="1">
        <v>42186</v>
      </c>
      <c r="CG1344" s="1">
        <v>42186</v>
      </c>
      <c r="CH1344" s="1">
        <v>49348</v>
      </c>
      <c r="CI1344" t="s">
        <v>51</v>
      </c>
      <c r="CK1344" t="s">
        <v>78</v>
      </c>
      <c r="CM1344" t="s">
        <v>54</v>
      </c>
      <c r="CN1344" t="s">
        <v>174</v>
      </c>
      <c r="CO1344" t="s">
        <v>86</v>
      </c>
      <c r="CR1344">
        <v>24</v>
      </c>
      <c r="CS1344">
        <v>0</v>
      </c>
      <c r="CT1344">
        <v>0</v>
      </c>
      <c r="CU1344">
        <v>0</v>
      </c>
    </row>
    <row r="1345" spans="1:99" x14ac:dyDescent="0.2">
      <c r="A1345" t="s">
        <v>180</v>
      </c>
      <c r="B1345" t="s">
        <v>181</v>
      </c>
      <c r="C1345" t="s">
        <v>184</v>
      </c>
      <c r="D1345" t="s">
        <v>742</v>
      </c>
      <c r="F1345" t="str">
        <f>"251015"</f>
        <v>251015</v>
      </c>
      <c r="G1345" t="s">
        <v>49</v>
      </c>
      <c r="H1345" t="s">
        <v>547</v>
      </c>
      <c r="K1345" t="s">
        <v>51</v>
      </c>
      <c r="L1345" t="s">
        <v>52</v>
      </c>
      <c r="M1345">
        <v>136364.21</v>
      </c>
      <c r="N1345">
        <v>472223.43699999998</v>
      </c>
      <c r="O1345" t="s">
        <v>53</v>
      </c>
      <c r="P1345" t="s">
        <v>54</v>
      </c>
      <c r="Q1345" t="s">
        <v>55</v>
      </c>
      <c r="T1345" t="s">
        <v>588</v>
      </c>
      <c r="U1345">
        <v>40</v>
      </c>
      <c r="V1345" s="1">
        <v>42186</v>
      </c>
      <c r="W1345" s="1">
        <v>42186</v>
      </c>
      <c r="X1345" s="1">
        <v>42186</v>
      </c>
      <c r="Y1345" s="1">
        <v>56796</v>
      </c>
      <c r="Z1345" t="s">
        <v>51</v>
      </c>
      <c r="AB1345" t="s">
        <v>54</v>
      </c>
      <c r="AC1345">
        <v>1</v>
      </c>
      <c r="AE1345" t="s">
        <v>79</v>
      </c>
      <c r="AF1345">
        <v>20</v>
      </c>
      <c r="AG1345" s="1">
        <v>42186</v>
      </c>
      <c r="AH1345" s="1">
        <v>42186</v>
      </c>
      <c r="AI1345" s="1">
        <v>42186</v>
      </c>
      <c r="AJ1345" s="1">
        <v>49491</v>
      </c>
      <c r="AK1345" t="s">
        <v>51</v>
      </c>
      <c r="AN1345">
        <v>0</v>
      </c>
      <c r="AO1345" t="s">
        <v>54</v>
      </c>
      <c r="AP1345" t="s">
        <v>53</v>
      </c>
      <c r="AQ1345">
        <v>0</v>
      </c>
      <c r="AR1345" t="s">
        <v>145</v>
      </c>
      <c r="AS1345">
        <v>0</v>
      </c>
      <c r="AT1345">
        <v>0</v>
      </c>
      <c r="CC1345" t="s">
        <v>432</v>
      </c>
      <c r="CD1345">
        <v>85000</v>
      </c>
      <c r="CE1345" s="1">
        <v>42186</v>
      </c>
      <c r="CF1345" s="1">
        <v>42186</v>
      </c>
      <c r="CG1345" s="1">
        <v>42186</v>
      </c>
      <c r="CH1345" s="1">
        <v>49348</v>
      </c>
      <c r="CI1345" t="s">
        <v>51</v>
      </c>
      <c r="CK1345" t="s">
        <v>78</v>
      </c>
      <c r="CM1345" t="s">
        <v>54</v>
      </c>
      <c r="CN1345" t="s">
        <v>174</v>
      </c>
      <c r="CO1345" t="s">
        <v>86</v>
      </c>
      <c r="CR1345">
        <v>24</v>
      </c>
      <c r="CS1345">
        <v>0</v>
      </c>
      <c r="CT1345">
        <v>0</v>
      </c>
      <c r="CU1345">
        <v>0</v>
      </c>
    </row>
    <row r="1346" spans="1:99" x14ac:dyDescent="0.2">
      <c r="A1346" t="s">
        <v>180</v>
      </c>
      <c r="B1346" t="s">
        <v>181</v>
      </c>
      <c r="C1346" t="s">
        <v>184</v>
      </c>
      <c r="D1346" t="s">
        <v>745</v>
      </c>
      <c r="F1346" t="str">
        <f>"251016"</f>
        <v>251016</v>
      </c>
      <c r="G1346" t="s">
        <v>49</v>
      </c>
      <c r="K1346" t="s">
        <v>51</v>
      </c>
      <c r="L1346" t="s">
        <v>52</v>
      </c>
      <c r="M1346">
        <v>136506.76999999999</v>
      </c>
      <c r="N1346">
        <v>472431.08</v>
      </c>
      <c r="O1346" t="s">
        <v>53</v>
      </c>
      <c r="P1346" t="s">
        <v>54</v>
      </c>
      <c r="Q1346" t="s">
        <v>55</v>
      </c>
      <c r="T1346" t="s">
        <v>241</v>
      </c>
      <c r="U1346">
        <v>40</v>
      </c>
      <c r="V1346" s="1">
        <v>32690</v>
      </c>
      <c r="W1346" s="1">
        <v>32690</v>
      </c>
      <c r="X1346" s="1">
        <v>32690</v>
      </c>
      <c r="Y1346" s="1">
        <v>47300</v>
      </c>
      <c r="Z1346" t="s">
        <v>51</v>
      </c>
      <c r="AB1346" t="s">
        <v>54</v>
      </c>
      <c r="AC1346">
        <v>1</v>
      </c>
      <c r="AE1346" t="s">
        <v>222</v>
      </c>
      <c r="AF1346">
        <v>20</v>
      </c>
      <c r="AG1346" s="1">
        <v>32690</v>
      </c>
      <c r="AH1346" s="1">
        <v>32690</v>
      </c>
      <c r="AI1346" s="1">
        <v>32690</v>
      </c>
      <c r="AJ1346" s="1">
        <v>39995</v>
      </c>
      <c r="AK1346" t="s">
        <v>51</v>
      </c>
      <c r="AN1346">
        <v>0</v>
      </c>
      <c r="AO1346" t="s">
        <v>54</v>
      </c>
      <c r="AP1346" t="s">
        <v>53</v>
      </c>
      <c r="AQ1346">
        <v>0</v>
      </c>
      <c r="AR1346" t="s">
        <v>53</v>
      </c>
      <c r="AS1346">
        <v>0</v>
      </c>
      <c r="AT1346">
        <v>0</v>
      </c>
      <c r="AW1346" t="s">
        <v>58</v>
      </c>
      <c r="AX1346">
        <v>20</v>
      </c>
      <c r="AY1346" s="1">
        <v>32690</v>
      </c>
      <c r="AZ1346" s="1">
        <v>32690</v>
      </c>
      <c r="BA1346" s="1">
        <v>32690</v>
      </c>
      <c r="BB1346" s="1">
        <v>39995</v>
      </c>
      <c r="BC1346" t="s">
        <v>51</v>
      </c>
      <c r="BE1346" t="s">
        <v>54</v>
      </c>
      <c r="BF1346">
        <v>2</v>
      </c>
      <c r="BG1346">
        <v>0</v>
      </c>
      <c r="BH1346" t="s">
        <v>53</v>
      </c>
      <c r="BK1346" t="s">
        <v>746</v>
      </c>
      <c r="BL1346">
        <v>9000</v>
      </c>
      <c r="BM1346" s="1">
        <v>42917</v>
      </c>
      <c r="BN1346" s="1">
        <v>42917</v>
      </c>
      <c r="BO1346" s="1">
        <v>42917</v>
      </c>
      <c r="BP1346" s="1">
        <v>43692</v>
      </c>
      <c r="BQ1346" t="s">
        <v>51</v>
      </c>
      <c r="BS1346" t="s">
        <v>60</v>
      </c>
      <c r="BT1346" t="s">
        <v>54</v>
      </c>
      <c r="BU1346" t="s">
        <v>747</v>
      </c>
      <c r="BV1346" t="s">
        <v>748</v>
      </c>
      <c r="BX1346">
        <v>40</v>
      </c>
      <c r="BY1346">
        <v>0</v>
      </c>
      <c r="BZ1346">
        <v>0</v>
      </c>
    </row>
    <row r="1347" spans="1:99" x14ac:dyDescent="0.2">
      <c r="A1347" t="s">
        <v>180</v>
      </c>
      <c r="B1347" t="s">
        <v>181</v>
      </c>
      <c r="C1347" t="s">
        <v>184</v>
      </c>
      <c r="D1347" t="s">
        <v>745</v>
      </c>
      <c r="F1347" t="str">
        <f>"251017"</f>
        <v>251017</v>
      </c>
      <c r="G1347" t="s">
        <v>49</v>
      </c>
      <c r="H1347">
        <v>1</v>
      </c>
      <c r="K1347" t="s">
        <v>51</v>
      </c>
      <c r="L1347" t="s">
        <v>52</v>
      </c>
      <c r="M1347">
        <v>136475.12</v>
      </c>
      <c r="N1347">
        <v>472397.74</v>
      </c>
      <c r="O1347" t="s">
        <v>53</v>
      </c>
      <c r="P1347" t="s">
        <v>54</v>
      </c>
      <c r="Q1347" t="s">
        <v>55</v>
      </c>
      <c r="T1347" t="s">
        <v>241</v>
      </c>
      <c r="U1347">
        <v>40</v>
      </c>
      <c r="V1347" s="1">
        <v>32690</v>
      </c>
      <c r="W1347" s="1">
        <v>32690</v>
      </c>
      <c r="X1347" s="1">
        <v>32690</v>
      </c>
      <c r="Y1347" s="1">
        <v>47300</v>
      </c>
      <c r="Z1347" t="s">
        <v>51</v>
      </c>
      <c r="AB1347" t="s">
        <v>54</v>
      </c>
      <c r="AC1347">
        <v>1</v>
      </c>
      <c r="AE1347" t="s">
        <v>222</v>
      </c>
      <c r="AF1347">
        <v>20</v>
      </c>
      <c r="AG1347" s="1">
        <v>38169</v>
      </c>
      <c r="AH1347" s="1">
        <v>38169</v>
      </c>
      <c r="AI1347" s="1">
        <v>38169</v>
      </c>
      <c r="AJ1347" s="1">
        <v>45474</v>
      </c>
      <c r="AK1347" t="s">
        <v>51</v>
      </c>
      <c r="AN1347">
        <v>0</v>
      </c>
      <c r="AO1347" t="s">
        <v>54</v>
      </c>
      <c r="AP1347" t="s">
        <v>53</v>
      </c>
      <c r="AQ1347">
        <v>0</v>
      </c>
      <c r="AR1347" t="s">
        <v>53</v>
      </c>
      <c r="AS1347">
        <v>0</v>
      </c>
      <c r="AT1347">
        <v>0</v>
      </c>
      <c r="AW1347" t="s">
        <v>58</v>
      </c>
      <c r="AX1347">
        <v>20</v>
      </c>
      <c r="AY1347" s="1">
        <v>38169</v>
      </c>
      <c r="AZ1347" s="1">
        <v>38169</v>
      </c>
      <c r="BA1347" s="1">
        <v>38169</v>
      </c>
      <c r="BB1347" s="1">
        <v>45474</v>
      </c>
      <c r="BC1347" t="s">
        <v>51</v>
      </c>
      <c r="BE1347" t="s">
        <v>54</v>
      </c>
      <c r="BF1347">
        <v>2</v>
      </c>
      <c r="BG1347">
        <v>0</v>
      </c>
      <c r="BH1347" t="s">
        <v>53</v>
      </c>
      <c r="BK1347" t="s">
        <v>59</v>
      </c>
      <c r="BL1347">
        <v>14000</v>
      </c>
      <c r="BM1347" s="1">
        <v>42917</v>
      </c>
      <c r="BN1347" s="1">
        <v>42917</v>
      </c>
      <c r="BO1347" s="1">
        <v>42917</v>
      </c>
      <c r="BP1347" s="1">
        <v>44117</v>
      </c>
      <c r="BQ1347" t="s">
        <v>51</v>
      </c>
      <c r="BS1347" t="s">
        <v>60</v>
      </c>
      <c r="BT1347" t="s">
        <v>54</v>
      </c>
      <c r="BU1347" t="s">
        <v>61</v>
      </c>
      <c r="BV1347" t="s">
        <v>62</v>
      </c>
      <c r="BX1347">
        <v>24</v>
      </c>
      <c r="BY1347">
        <v>0</v>
      </c>
      <c r="BZ1347">
        <v>0</v>
      </c>
    </row>
    <row r="1348" spans="1:99" x14ac:dyDescent="0.2">
      <c r="A1348" t="s">
        <v>180</v>
      </c>
      <c r="B1348" t="s">
        <v>181</v>
      </c>
      <c r="C1348" t="s">
        <v>184</v>
      </c>
      <c r="D1348" t="s">
        <v>745</v>
      </c>
      <c r="F1348" t="str">
        <f>"251018"</f>
        <v>251018</v>
      </c>
      <c r="G1348" t="s">
        <v>49</v>
      </c>
      <c r="K1348" t="s">
        <v>51</v>
      </c>
      <c r="L1348" t="s">
        <v>52</v>
      </c>
      <c r="M1348">
        <v>136467.97</v>
      </c>
      <c r="N1348">
        <v>472372.91</v>
      </c>
      <c r="O1348" t="s">
        <v>53</v>
      </c>
      <c r="P1348" t="s">
        <v>54</v>
      </c>
      <c r="Q1348" t="s">
        <v>55</v>
      </c>
      <c r="T1348" t="s">
        <v>241</v>
      </c>
      <c r="U1348">
        <v>40</v>
      </c>
      <c r="V1348" s="1">
        <v>32690</v>
      </c>
      <c r="W1348" s="1">
        <v>32690</v>
      </c>
      <c r="X1348" s="1">
        <v>32690</v>
      </c>
      <c r="Y1348" s="1">
        <v>47300</v>
      </c>
      <c r="Z1348" t="s">
        <v>51</v>
      </c>
      <c r="AB1348" t="s">
        <v>54</v>
      </c>
      <c r="AC1348">
        <v>1</v>
      </c>
      <c r="AE1348" t="s">
        <v>222</v>
      </c>
      <c r="AF1348">
        <v>20</v>
      </c>
      <c r="AG1348" s="1">
        <v>38169</v>
      </c>
      <c r="AH1348" s="1">
        <v>38169</v>
      </c>
      <c r="AI1348" s="1">
        <v>38169</v>
      </c>
      <c r="AJ1348" s="1">
        <v>45474</v>
      </c>
      <c r="AK1348" t="s">
        <v>51</v>
      </c>
      <c r="AN1348">
        <v>0</v>
      </c>
      <c r="AO1348" t="s">
        <v>54</v>
      </c>
      <c r="AP1348" t="s">
        <v>53</v>
      </c>
      <c r="AQ1348">
        <v>0</v>
      </c>
      <c r="AR1348" t="s">
        <v>53</v>
      </c>
      <c r="AS1348">
        <v>0</v>
      </c>
      <c r="AT1348">
        <v>0</v>
      </c>
      <c r="AW1348" t="s">
        <v>58</v>
      </c>
      <c r="AX1348">
        <v>20</v>
      </c>
      <c r="AY1348" s="1">
        <v>38169</v>
      </c>
      <c r="AZ1348" s="1">
        <v>38169</v>
      </c>
      <c r="BA1348" s="1">
        <v>38169</v>
      </c>
      <c r="BB1348" s="1">
        <v>45474</v>
      </c>
      <c r="BC1348" t="s">
        <v>51</v>
      </c>
      <c r="BE1348" t="s">
        <v>54</v>
      </c>
      <c r="BF1348">
        <v>2</v>
      </c>
      <c r="BG1348">
        <v>0</v>
      </c>
      <c r="BH1348" t="s">
        <v>53</v>
      </c>
      <c r="BK1348" t="s">
        <v>59</v>
      </c>
      <c r="BL1348">
        <v>14000</v>
      </c>
      <c r="BM1348" s="1">
        <v>42917</v>
      </c>
      <c r="BN1348" s="1">
        <v>42917</v>
      </c>
      <c r="BO1348" s="1">
        <v>42917</v>
      </c>
      <c r="BP1348" s="1">
        <v>44117</v>
      </c>
      <c r="BQ1348" t="s">
        <v>51</v>
      </c>
      <c r="BS1348" t="s">
        <v>60</v>
      </c>
      <c r="BT1348" t="s">
        <v>54</v>
      </c>
      <c r="BU1348" t="s">
        <v>61</v>
      </c>
      <c r="BV1348" t="s">
        <v>62</v>
      </c>
      <c r="BX1348">
        <v>24</v>
      </c>
      <c r="BY1348">
        <v>0</v>
      </c>
      <c r="BZ1348">
        <v>0</v>
      </c>
    </row>
    <row r="1349" spans="1:99" x14ac:dyDescent="0.2">
      <c r="A1349" t="s">
        <v>180</v>
      </c>
      <c r="B1349" t="s">
        <v>181</v>
      </c>
      <c r="C1349" t="s">
        <v>184</v>
      </c>
      <c r="D1349" t="s">
        <v>745</v>
      </c>
      <c r="F1349" t="str">
        <f>"251019"</f>
        <v>251019</v>
      </c>
      <c r="G1349" t="s">
        <v>49</v>
      </c>
      <c r="H1349" t="s">
        <v>749</v>
      </c>
      <c r="K1349" t="s">
        <v>51</v>
      </c>
      <c r="L1349" t="s">
        <v>52</v>
      </c>
      <c r="M1349">
        <v>136460.01999999999</v>
      </c>
      <c r="N1349">
        <v>472346.34</v>
      </c>
      <c r="O1349" t="s">
        <v>53</v>
      </c>
      <c r="P1349" t="s">
        <v>54</v>
      </c>
      <c r="Q1349" t="s">
        <v>55</v>
      </c>
      <c r="T1349" t="s">
        <v>241</v>
      </c>
      <c r="U1349">
        <v>40</v>
      </c>
      <c r="V1349" s="1">
        <v>32690</v>
      </c>
      <c r="W1349" s="1">
        <v>32690</v>
      </c>
      <c r="X1349" s="1">
        <v>32690</v>
      </c>
      <c r="Y1349" s="1">
        <v>47300</v>
      </c>
      <c r="Z1349" t="s">
        <v>51</v>
      </c>
      <c r="AB1349" t="s">
        <v>54</v>
      </c>
      <c r="AC1349">
        <v>1</v>
      </c>
      <c r="AE1349" t="s">
        <v>222</v>
      </c>
      <c r="AF1349">
        <v>20</v>
      </c>
      <c r="AG1349" s="1">
        <v>38169</v>
      </c>
      <c r="AH1349" s="1">
        <v>38169</v>
      </c>
      <c r="AI1349" s="1">
        <v>38169</v>
      </c>
      <c r="AJ1349" s="1">
        <v>45474</v>
      </c>
      <c r="AK1349" t="s">
        <v>51</v>
      </c>
      <c r="AN1349">
        <v>0</v>
      </c>
      <c r="AO1349" t="s">
        <v>54</v>
      </c>
      <c r="AP1349" t="s">
        <v>53</v>
      </c>
      <c r="AQ1349">
        <v>0</v>
      </c>
      <c r="AR1349" t="s">
        <v>53</v>
      </c>
      <c r="AS1349">
        <v>0</v>
      </c>
      <c r="AT1349">
        <v>0</v>
      </c>
      <c r="AW1349" t="s">
        <v>58</v>
      </c>
      <c r="AX1349">
        <v>20</v>
      </c>
      <c r="AY1349" s="1">
        <v>38169</v>
      </c>
      <c r="AZ1349" s="1">
        <v>38169</v>
      </c>
      <c r="BA1349" s="1">
        <v>38169</v>
      </c>
      <c r="BB1349" s="1">
        <v>45474</v>
      </c>
      <c r="BC1349" t="s">
        <v>51</v>
      </c>
      <c r="BE1349" t="s">
        <v>54</v>
      </c>
      <c r="BF1349">
        <v>2</v>
      </c>
      <c r="BG1349">
        <v>0</v>
      </c>
      <c r="BH1349" t="s">
        <v>53</v>
      </c>
      <c r="BK1349" t="s">
        <v>59</v>
      </c>
      <c r="BL1349">
        <v>14000</v>
      </c>
      <c r="BM1349" s="1">
        <v>42917</v>
      </c>
      <c r="BN1349" s="1">
        <v>42917</v>
      </c>
      <c r="BO1349" s="1">
        <v>42917</v>
      </c>
      <c r="BP1349" s="1">
        <v>44117</v>
      </c>
      <c r="BQ1349" t="s">
        <v>51</v>
      </c>
      <c r="BS1349" t="s">
        <v>60</v>
      </c>
      <c r="BT1349" t="s">
        <v>54</v>
      </c>
      <c r="BU1349" t="s">
        <v>61</v>
      </c>
      <c r="BV1349" t="s">
        <v>62</v>
      </c>
      <c r="BX1349">
        <v>24</v>
      </c>
      <c r="BY1349">
        <v>0</v>
      </c>
      <c r="BZ1349">
        <v>0</v>
      </c>
    </row>
    <row r="1350" spans="1:99" x14ac:dyDescent="0.2">
      <c r="A1350" t="s">
        <v>180</v>
      </c>
      <c r="B1350" t="s">
        <v>181</v>
      </c>
      <c r="C1350" t="s">
        <v>184</v>
      </c>
      <c r="D1350" t="s">
        <v>750</v>
      </c>
      <c r="F1350" t="str">
        <f>"251020"</f>
        <v>251020</v>
      </c>
      <c r="G1350" t="s">
        <v>49</v>
      </c>
      <c r="K1350" t="s">
        <v>51</v>
      </c>
      <c r="L1350" t="s">
        <v>52</v>
      </c>
      <c r="M1350">
        <v>136458.68</v>
      </c>
      <c r="N1350">
        <v>472373.89</v>
      </c>
      <c r="O1350" t="s">
        <v>53</v>
      </c>
      <c r="P1350" t="s">
        <v>54</v>
      </c>
      <c r="Q1350" t="s">
        <v>55</v>
      </c>
      <c r="T1350" t="s">
        <v>466</v>
      </c>
      <c r="U1350">
        <v>40</v>
      </c>
      <c r="V1350" s="1">
        <v>36708</v>
      </c>
      <c r="W1350" s="1">
        <v>36708</v>
      </c>
      <c r="X1350" s="1">
        <v>36708</v>
      </c>
      <c r="Y1350" s="1">
        <v>51318</v>
      </c>
      <c r="Z1350" t="s">
        <v>51</v>
      </c>
      <c r="AB1350" t="s">
        <v>54</v>
      </c>
      <c r="AC1350">
        <v>1</v>
      </c>
      <c r="AE1350" t="s">
        <v>116</v>
      </c>
      <c r="AF1350">
        <v>20</v>
      </c>
      <c r="AG1350" s="1">
        <v>36708</v>
      </c>
      <c r="AH1350" s="1">
        <v>36708</v>
      </c>
      <c r="AI1350" s="1">
        <v>36708</v>
      </c>
      <c r="AJ1350" s="1">
        <v>44013</v>
      </c>
      <c r="AK1350" t="s">
        <v>51</v>
      </c>
      <c r="AN1350">
        <v>0</v>
      </c>
      <c r="AO1350" t="s">
        <v>54</v>
      </c>
      <c r="AP1350" t="s">
        <v>53</v>
      </c>
      <c r="AQ1350">
        <v>0</v>
      </c>
      <c r="AR1350" t="s">
        <v>53</v>
      </c>
      <c r="AS1350">
        <v>0</v>
      </c>
      <c r="AT1350">
        <v>0</v>
      </c>
      <c r="AW1350" t="s">
        <v>58</v>
      </c>
      <c r="AX1350">
        <v>20</v>
      </c>
      <c r="AY1350" s="1">
        <v>36708</v>
      </c>
      <c r="AZ1350" s="1">
        <v>36708</v>
      </c>
      <c r="BA1350" s="1">
        <v>36708</v>
      </c>
      <c r="BB1350" s="1">
        <v>44013</v>
      </c>
      <c r="BC1350" t="s">
        <v>51</v>
      </c>
      <c r="BE1350" t="s">
        <v>54</v>
      </c>
      <c r="BF1350">
        <v>2</v>
      </c>
      <c r="BG1350">
        <v>0</v>
      </c>
      <c r="BH1350" t="s">
        <v>53</v>
      </c>
      <c r="BK1350" t="s">
        <v>65</v>
      </c>
      <c r="BL1350">
        <v>14000</v>
      </c>
      <c r="BM1350" s="1">
        <v>44530</v>
      </c>
      <c r="BN1350" s="1">
        <v>44530</v>
      </c>
      <c r="BO1350" s="1">
        <v>44530</v>
      </c>
      <c r="BP1350" s="1">
        <v>45690</v>
      </c>
      <c r="BQ1350" t="s">
        <v>51</v>
      </c>
      <c r="BS1350" t="s">
        <v>60</v>
      </c>
      <c r="BT1350" t="s">
        <v>54</v>
      </c>
      <c r="BU1350" t="s">
        <v>61</v>
      </c>
      <c r="BV1350" t="s">
        <v>62</v>
      </c>
      <c r="BX1350">
        <v>36</v>
      </c>
      <c r="BY1350">
        <v>0</v>
      </c>
      <c r="BZ1350">
        <v>0</v>
      </c>
    </row>
    <row r="1351" spans="1:99" x14ac:dyDescent="0.2">
      <c r="A1351" t="s">
        <v>180</v>
      </c>
      <c r="B1351" t="s">
        <v>181</v>
      </c>
      <c r="C1351" t="s">
        <v>184</v>
      </c>
      <c r="D1351" t="s">
        <v>750</v>
      </c>
      <c r="F1351" t="str">
        <f>"251021"</f>
        <v>251021</v>
      </c>
      <c r="G1351" t="s">
        <v>49</v>
      </c>
      <c r="H1351">
        <v>2</v>
      </c>
      <c r="K1351" t="s">
        <v>51</v>
      </c>
      <c r="L1351" t="s">
        <v>52</v>
      </c>
      <c r="M1351">
        <v>136440.45000000001</v>
      </c>
      <c r="N1351">
        <v>472381.03</v>
      </c>
      <c r="O1351" t="s">
        <v>53</v>
      </c>
      <c r="P1351" t="s">
        <v>54</v>
      </c>
      <c r="Q1351" t="s">
        <v>55</v>
      </c>
      <c r="T1351" t="s">
        <v>466</v>
      </c>
      <c r="U1351">
        <v>40</v>
      </c>
      <c r="V1351" s="1">
        <v>36708</v>
      </c>
      <c r="W1351" s="1">
        <v>36708</v>
      </c>
      <c r="X1351" s="1">
        <v>36708</v>
      </c>
      <c r="Y1351" s="1">
        <v>51318</v>
      </c>
      <c r="Z1351" t="s">
        <v>51</v>
      </c>
      <c r="AB1351" t="s">
        <v>54</v>
      </c>
      <c r="AC1351">
        <v>1</v>
      </c>
      <c r="AE1351" t="s">
        <v>116</v>
      </c>
      <c r="AF1351">
        <v>20</v>
      </c>
      <c r="AG1351" s="1">
        <v>36708</v>
      </c>
      <c r="AH1351" s="1">
        <v>36708</v>
      </c>
      <c r="AI1351" s="1">
        <v>36708</v>
      </c>
      <c r="AJ1351" s="1">
        <v>44013</v>
      </c>
      <c r="AK1351" t="s">
        <v>51</v>
      </c>
      <c r="AN1351">
        <v>0</v>
      </c>
      <c r="AO1351" t="s">
        <v>54</v>
      </c>
      <c r="AP1351" t="s">
        <v>53</v>
      </c>
      <c r="AQ1351">
        <v>0</v>
      </c>
      <c r="AR1351" t="s">
        <v>53</v>
      </c>
      <c r="AS1351">
        <v>0</v>
      </c>
      <c r="AT1351">
        <v>0</v>
      </c>
      <c r="AW1351" t="s">
        <v>58</v>
      </c>
      <c r="AX1351">
        <v>20</v>
      </c>
      <c r="AY1351" s="1">
        <v>36708</v>
      </c>
      <c r="AZ1351" s="1">
        <v>36708</v>
      </c>
      <c r="BA1351" s="1">
        <v>36708</v>
      </c>
      <c r="BB1351" s="1">
        <v>44013</v>
      </c>
      <c r="BC1351" t="s">
        <v>51</v>
      </c>
      <c r="BE1351" t="s">
        <v>54</v>
      </c>
      <c r="BF1351">
        <v>2</v>
      </c>
      <c r="BG1351">
        <v>0</v>
      </c>
      <c r="BH1351" t="s">
        <v>53</v>
      </c>
      <c r="BK1351" t="s">
        <v>65</v>
      </c>
      <c r="BL1351">
        <v>14000</v>
      </c>
      <c r="BM1351" s="1">
        <v>44494</v>
      </c>
      <c r="BN1351" s="1">
        <v>44494</v>
      </c>
      <c r="BO1351" s="1">
        <v>44494</v>
      </c>
      <c r="BP1351" s="1">
        <v>45655</v>
      </c>
      <c r="BQ1351" t="s">
        <v>51</v>
      </c>
      <c r="BS1351" t="s">
        <v>60</v>
      </c>
      <c r="BT1351" t="s">
        <v>54</v>
      </c>
      <c r="BU1351" t="s">
        <v>61</v>
      </c>
      <c r="BV1351" t="s">
        <v>62</v>
      </c>
      <c r="BX1351">
        <v>36</v>
      </c>
      <c r="BY1351">
        <v>0</v>
      </c>
      <c r="BZ1351">
        <v>0</v>
      </c>
    </row>
    <row r="1352" spans="1:99" x14ac:dyDescent="0.2">
      <c r="A1352" t="s">
        <v>180</v>
      </c>
      <c r="B1352" t="s">
        <v>181</v>
      </c>
      <c r="C1352" t="s">
        <v>184</v>
      </c>
      <c r="D1352" t="s">
        <v>750</v>
      </c>
      <c r="F1352" t="str">
        <f>"251022"</f>
        <v>251022</v>
      </c>
      <c r="G1352" t="s">
        <v>49</v>
      </c>
      <c r="H1352">
        <v>8</v>
      </c>
      <c r="K1352" t="s">
        <v>51</v>
      </c>
      <c r="L1352" t="s">
        <v>52</v>
      </c>
      <c r="M1352">
        <v>136426.42000000001</v>
      </c>
      <c r="N1352">
        <v>472388.97</v>
      </c>
      <c r="O1352" t="s">
        <v>53</v>
      </c>
      <c r="P1352" t="s">
        <v>54</v>
      </c>
      <c r="Q1352" t="s">
        <v>55</v>
      </c>
      <c r="T1352" t="s">
        <v>466</v>
      </c>
      <c r="U1352">
        <v>40</v>
      </c>
      <c r="V1352" s="1">
        <v>36708</v>
      </c>
      <c r="W1352" s="1">
        <v>36708</v>
      </c>
      <c r="X1352" s="1">
        <v>36708</v>
      </c>
      <c r="Y1352" s="1">
        <v>51318</v>
      </c>
      <c r="Z1352" t="s">
        <v>51</v>
      </c>
      <c r="AB1352" t="s">
        <v>54</v>
      </c>
      <c r="AC1352">
        <v>1</v>
      </c>
      <c r="AE1352" t="s">
        <v>116</v>
      </c>
      <c r="AF1352">
        <v>20</v>
      </c>
      <c r="AG1352" s="1">
        <v>36708</v>
      </c>
      <c r="AH1352" s="1">
        <v>36708</v>
      </c>
      <c r="AI1352" s="1">
        <v>36708</v>
      </c>
      <c r="AJ1352" s="1">
        <v>44013</v>
      </c>
      <c r="AK1352" t="s">
        <v>51</v>
      </c>
      <c r="AN1352">
        <v>0</v>
      </c>
      <c r="AO1352" t="s">
        <v>54</v>
      </c>
      <c r="AP1352" t="s">
        <v>53</v>
      </c>
      <c r="AQ1352">
        <v>0</v>
      </c>
      <c r="AR1352" t="s">
        <v>53</v>
      </c>
      <c r="AS1352">
        <v>0</v>
      </c>
      <c r="AT1352">
        <v>0</v>
      </c>
      <c r="AW1352" t="s">
        <v>58</v>
      </c>
      <c r="AX1352">
        <v>20</v>
      </c>
      <c r="AY1352" s="1">
        <v>36708</v>
      </c>
      <c r="AZ1352" s="1">
        <v>36708</v>
      </c>
      <c r="BA1352" s="1">
        <v>36708</v>
      </c>
      <c r="BB1352" s="1">
        <v>44013</v>
      </c>
      <c r="BC1352" t="s">
        <v>51</v>
      </c>
      <c r="BE1352" t="s">
        <v>54</v>
      </c>
      <c r="BF1352">
        <v>2</v>
      </c>
      <c r="BG1352">
        <v>0</v>
      </c>
      <c r="BH1352" t="s">
        <v>53</v>
      </c>
      <c r="BK1352" t="s">
        <v>65</v>
      </c>
      <c r="BL1352">
        <v>14000</v>
      </c>
      <c r="BM1352" s="1">
        <v>42917</v>
      </c>
      <c r="BN1352" s="1">
        <v>42917</v>
      </c>
      <c r="BO1352" s="1">
        <v>42917</v>
      </c>
      <c r="BP1352" s="1">
        <v>44117</v>
      </c>
      <c r="BQ1352" t="s">
        <v>51</v>
      </c>
      <c r="BS1352" t="s">
        <v>60</v>
      </c>
      <c r="BT1352" t="s">
        <v>54</v>
      </c>
      <c r="BU1352" t="s">
        <v>61</v>
      </c>
      <c r="BV1352" t="s">
        <v>62</v>
      </c>
      <c r="BX1352">
        <v>36</v>
      </c>
      <c r="BY1352">
        <v>0</v>
      </c>
      <c r="BZ1352">
        <v>0</v>
      </c>
    </row>
    <row r="1353" spans="1:99" x14ac:dyDescent="0.2">
      <c r="A1353" t="s">
        <v>180</v>
      </c>
      <c r="B1353" t="s">
        <v>181</v>
      </c>
      <c r="C1353" t="s">
        <v>184</v>
      </c>
      <c r="D1353" t="s">
        <v>750</v>
      </c>
      <c r="F1353" t="str">
        <f>"251023"</f>
        <v>251023</v>
      </c>
      <c r="G1353" t="s">
        <v>49</v>
      </c>
      <c r="H1353">
        <v>14</v>
      </c>
      <c r="K1353" t="s">
        <v>51</v>
      </c>
      <c r="L1353" t="s">
        <v>52</v>
      </c>
      <c r="M1353">
        <v>136410.13</v>
      </c>
      <c r="N1353">
        <v>472396.41</v>
      </c>
      <c r="O1353" t="s">
        <v>53</v>
      </c>
      <c r="P1353" t="s">
        <v>54</v>
      </c>
      <c r="Q1353" t="s">
        <v>55</v>
      </c>
      <c r="T1353" t="s">
        <v>466</v>
      </c>
      <c r="U1353">
        <v>40</v>
      </c>
      <c r="V1353" s="1">
        <v>36708</v>
      </c>
      <c r="W1353" s="1">
        <v>36708</v>
      </c>
      <c r="X1353" s="1">
        <v>36708</v>
      </c>
      <c r="Y1353" s="1">
        <v>51318</v>
      </c>
      <c r="Z1353" t="s">
        <v>51</v>
      </c>
      <c r="AB1353" t="s">
        <v>54</v>
      </c>
      <c r="AC1353">
        <v>1</v>
      </c>
      <c r="AE1353" t="s">
        <v>116</v>
      </c>
      <c r="AF1353">
        <v>20</v>
      </c>
      <c r="AG1353" s="1">
        <v>36708</v>
      </c>
      <c r="AH1353" s="1">
        <v>36708</v>
      </c>
      <c r="AI1353" s="1">
        <v>36708</v>
      </c>
      <c r="AJ1353" s="1">
        <v>44013</v>
      </c>
      <c r="AK1353" t="s">
        <v>51</v>
      </c>
      <c r="AN1353">
        <v>0</v>
      </c>
      <c r="AO1353" t="s">
        <v>54</v>
      </c>
      <c r="AP1353" t="s">
        <v>53</v>
      </c>
      <c r="AQ1353">
        <v>0</v>
      </c>
      <c r="AR1353" t="s">
        <v>53</v>
      </c>
      <c r="AS1353">
        <v>0</v>
      </c>
      <c r="AT1353">
        <v>0</v>
      </c>
      <c r="AW1353" t="s">
        <v>58</v>
      </c>
      <c r="AX1353">
        <v>20</v>
      </c>
      <c r="AY1353" s="1">
        <v>36708</v>
      </c>
      <c r="AZ1353" s="1">
        <v>36708</v>
      </c>
      <c r="BA1353" s="1">
        <v>36708</v>
      </c>
      <c r="BB1353" s="1">
        <v>44013</v>
      </c>
      <c r="BC1353" t="s">
        <v>51</v>
      </c>
      <c r="BE1353" t="s">
        <v>54</v>
      </c>
      <c r="BF1353">
        <v>2</v>
      </c>
      <c r="BG1353">
        <v>0</v>
      </c>
      <c r="BH1353" t="s">
        <v>53</v>
      </c>
      <c r="BK1353" t="s">
        <v>65</v>
      </c>
      <c r="BL1353">
        <v>14000</v>
      </c>
      <c r="BM1353" s="1">
        <v>42917</v>
      </c>
      <c r="BN1353" s="1">
        <v>42917</v>
      </c>
      <c r="BO1353" s="1">
        <v>42917</v>
      </c>
      <c r="BP1353" s="1">
        <v>44117</v>
      </c>
      <c r="BQ1353" t="s">
        <v>51</v>
      </c>
      <c r="BS1353" t="s">
        <v>60</v>
      </c>
      <c r="BT1353" t="s">
        <v>54</v>
      </c>
      <c r="BU1353" t="s">
        <v>61</v>
      </c>
      <c r="BV1353" t="s">
        <v>62</v>
      </c>
      <c r="BX1353">
        <v>36</v>
      </c>
      <c r="BY1353">
        <v>0</v>
      </c>
      <c r="BZ1353">
        <v>0</v>
      </c>
    </row>
    <row r="1354" spans="1:99" x14ac:dyDescent="0.2">
      <c r="A1354" t="s">
        <v>180</v>
      </c>
      <c r="B1354" t="s">
        <v>181</v>
      </c>
      <c r="C1354" t="s">
        <v>184</v>
      </c>
      <c r="D1354" t="s">
        <v>750</v>
      </c>
      <c r="F1354" t="str">
        <f>"251024"</f>
        <v>251024</v>
      </c>
      <c r="G1354" t="s">
        <v>49</v>
      </c>
      <c r="H1354">
        <v>20</v>
      </c>
      <c r="K1354" t="s">
        <v>51</v>
      </c>
      <c r="L1354" t="s">
        <v>52</v>
      </c>
      <c r="M1354">
        <v>136389.29</v>
      </c>
      <c r="N1354">
        <v>472406.73</v>
      </c>
      <c r="O1354" t="s">
        <v>53</v>
      </c>
      <c r="P1354" t="s">
        <v>54</v>
      </c>
      <c r="Q1354" t="s">
        <v>55</v>
      </c>
      <c r="T1354" t="s">
        <v>466</v>
      </c>
      <c r="U1354">
        <v>40</v>
      </c>
      <c r="V1354" s="1">
        <v>36708</v>
      </c>
      <c r="W1354" s="1">
        <v>36708</v>
      </c>
      <c r="X1354" s="1">
        <v>36708</v>
      </c>
      <c r="Y1354" s="1">
        <v>51318</v>
      </c>
      <c r="Z1354" t="s">
        <v>51</v>
      </c>
      <c r="AB1354" t="s">
        <v>54</v>
      </c>
      <c r="AC1354">
        <v>1</v>
      </c>
      <c r="AE1354" t="s">
        <v>116</v>
      </c>
      <c r="AF1354">
        <v>20</v>
      </c>
      <c r="AG1354" s="1">
        <v>36708</v>
      </c>
      <c r="AH1354" s="1">
        <v>36708</v>
      </c>
      <c r="AI1354" s="1">
        <v>36708</v>
      </c>
      <c r="AJ1354" s="1">
        <v>44013</v>
      </c>
      <c r="AK1354" t="s">
        <v>51</v>
      </c>
      <c r="AN1354">
        <v>0</v>
      </c>
      <c r="AO1354" t="s">
        <v>54</v>
      </c>
      <c r="AP1354" t="s">
        <v>53</v>
      </c>
      <c r="AQ1354">
        <v>0</v>
      </c>
      <c r="AR1354" t="s">
        <v>53</v>
      </c>
      <c r="AS1354">
        <v>0</v>
      </c>
      <c r="AT1354">
        <v>0</v>
      </c>
      <c r="AW1354" t="s">
        <v>58</v>
      </c>
      <c r="AX1354">
        <v>20</v>
      </c>
      <c r="AY1354" s="1">
        <v>36708</v>
      </c>
      <c r="AZ1354" s="1">
        <v>36708</v>
      </c>
      <c r="BA1354" s="1">
        <v>36708</v>
      </c>
      <c r="BB1354" s="1">
        <v>44013</v>
      </c>
      <c r="BC1354" t="s">
        <v>51</v>
      </c>
      <c r="BE1354" t="s">
        <v>54</v>
      </c>
      <c r="BF1354">
        <v>2</v>
      </c>
      <c r="BG1354">
        <v>0</v>
      </c>
      <c r="BH1354" t="s">
        <v>53</v>
      </c>
      <c r="BK1354" t="s">
        <v>65</v>
      </c>
      <c r="BL1354">
        <v>14000</v>
      </c>
      <c r="BM1354" s="1">
        <v>42917</v>
      </c>
      <c r="BN1354" s="1">
        <v>42917</v>
      </c>
      <c r="BO1354" s="1">
        <v>42917</v>
      </c>
      <c r="BP1354" s="1">
        <v>44117</v>
      </c>
      <c r="BQ1354" t="s">
        <v>51</v>
      </c>
      <c r="BS1354" t="s">
        <v>60</v>
      </c>
      <c r="BT1354" t="s">
        <v>54</v>
      </c>
      <c r="BU1354" t="s">
        <v>61</v>
      </c>
      <c r="BV1354" t="s">
        <v>62</v>
      </c>
      <c r="BX1354">
        <v>36</v>
      </c>
      <c r="BY1354">
        <v>0</v>
      </c>
      <c r="BZ1354">
        <v>0</v>
      </c>
    </row>
    <row r="1355" spans="1:99" x14ac:dyDescent="0.2">
      <c r="A1355" t="s">
        <v>180</v>
      </c>
      <c r="B1355" t="s">
        <v>181</v>
      </c>
      <c r="C1355" t="s">
        <v>184</v>
      </c>
      <c r="D1355" t="s">
        <v>750</v>
      </c>
      <c r="F1355" t="str">
        <f>"251025"</f>
        <v>251025</v>
      </c>
      <c r="G1355" t="s">
        <v>49</v>
      </c>
      <c r="H1355" t="s">
        <v>576</v>
      </c>
      <c r="K1355" t="s">
        <v>51</v>
      </c>
      <c r="L1355" t="s">
        <v>52</v>
      </c>
      <c r="M1355">
        <v>136375.15</v>
      </c>
      <c r="N1355">
        <v>472415.25</v>
      </c>
      <c r="O1355" t="s">
        <v>53</v>
      </c>
      <c r="P1355" t="s">
        <v>54</v>
      </c>
      <c r="Q1355" t="s">
        <v>55</v>
      </c>
      <c r="T1355" t="s">
        <v>466</v>
      </c>
      <c r="U1355">
        <v>40</v>
      </c>
      <c r="V1355" s="1">
        <v>36708</v>
      </c>
      <c r="W1355" s="1">
        <v>36708</v>
      </c>
      <c r="X1355" s="1">
        <v>36708</v>
      </c>
      <c r="Y1355" s="1">
        <v>51318</v>
      </c>
      <c r="Z1355" t="s">
        <v>51</v>
      </c>
      <c r="AB1355" t="s">
        <v>54</v>
      </c>
      <c r="AC1355">
        <v>1</v>
      </c>
      <c r="AE1355" t="s">
        <v>116</v>
      </c>
      <c r="AF1355">
        <v>20</v>
      </c>
      <c r="AG1355" s="1">
        <v>36708</v>
      </c>
      <c r="AH1355" s="1">
        <v>36708</v>
      </c>
      <c r="AI1355" s="1">
        <v>36708</v>
      </c>
      <c r="AJ1355" s="1">
        <v>44013</v>
      </c>
      <c r="AK1355" t="s">
        <v>51</v>
      </c>
      <c r="AN1355">
        <v>0</v>
      </c>
      <c r="AO1355" t="s">
        <v>54</v>
      </c>
      <c r="AP1355" t="s">
        <v>53</v>
      </c>
      <c r="AQ1355">
        <v>0</v>
      </c>
      <c r="AR1355" t="s">
        <v>53</v>
      </c>
      <c r="AS1355">
        <v>0</v>
      </c>
      <c r="AT1355">
        <v>0</v>
      </c>
      <c r="AW1355" t="s">
        <v>58</v>
      </c>
      <c r="AX1355">
        <v>20</v>
      </c>
      <c r="AY1355" s="1">
        <v>36708</v>
      </c>
      <c r="AZ1355" s="1">
        <v>36708</v>
      </c>
      <c r="BA1355" s="1">
        <v>36708</v>
      </c>
      <c r="BB1355" s="1">
        <v>44013</v>
      </c>
      <c r="BC1355" t="s">
        <v>51</v>
      </c>
      <c r="BE1355" t="s">
        <v>54</v>
      </c>
      <c r="BF1355">
        <v>2</v>
      </c>
      <c r="BG1355">
        <v>0</v>
      </c>
      <c r="BH1355" t="s">
        <v>53</v>
      </c>
      <c r="BK1355" t="s">
        <v>65</v>
      </c>
      <c r="BL1355">
        <v>14000</v>
      </c>
      <c r="BM1355" s="1">
        <v>42917</v>
      </c>
      <c r="BN1355" s="1">
        <v>42917</v>
      </c>
      <c r="BO1355" s="1">
        <v>42917</v>
      </c>
      <c r="BP1355" s="1">
        <v>44117</v>
      </c>
      <c r="BQ1355" t="s">
        <v>51</v>
      </c>
      <c r="BS1355" t="s">
        <v>60</v>
      </c>
      <c r="BT1355" t="s">
        <v>54</v>
      </c>
      <c r="BU1355" t="s">
        <v>61</v>
      </c>
      <c r="BV1355" t="s">
        <v>62</v>
      </c>
      <c r="BX1355">
        <v>36</v>
      </c>
      <c r="BY1355">
        <v>0</v>
      </c>
      <c r="BZ1355">
        <v>0</v>
      </c>
    </row>
    <row r="1356" spans="1:99" x14ac:dyDescent="0.2">
      <c r="A1356" t="s">
        <v>180</v>
      </c>
      <c r="B1356" t="s">
        <v>181</v>
      </c>
      <c r="C1356" t="s">
        <v>184</v>
      </c>
      <c r="D1356" t="s">
        <v>750</v>
      </c>
      <c r="F1356" t="str">
        <f>"251026"</f>
        <v>251026</v>
      </c>
      <c r="G1356" t="s">
        <v>49</v>
      </c>
      <c r="H1356" t="s">
        <v>751</v>
      </c>
      <c r="K1356" t="s">
        <v>51</v>
      </c>
      <c r="L1356" t="s">
        <v>52</v>
      </c>
      <c r="M1356">
        <v>136356.54</v>
      </c>
      <c r="N1356">
        <v>472424.36</v>
      </c>
      <c r="O1356" t="s">
        <v>53</v>
      </c>
      <c r="P1356" t="s">
        <v>54</v>
      </c>
      <c r="Q1356" t="s">
        <v>55</v>
      </c>
      <c r="T1356" t="s">
        <v>466</v>
      </c>
      <c r="U1356">
        <v>40</v>
      </c>
      <c r="V1356" s="1">
        <v>36708</v>
      </c>
      <c r="W1356" s="1">
        <v>36708</v>
      </c>
      <c r="X1356" s="1">
        <v>36708</v>
      </c>
      <c r="Y1356" s="1">
        <v>51318</v>
      </c>
      <c r="Z1356" t="s">
        <v>51</v>
      </c>
      <c r="AB1356" t="s">
        <v>54</v>
      </c>
      <c r="AC1356">
        <v>1</v>
      </c>
      <c r="AE1356" t="s">
        <v>116</v>
      </c>
      <c r="AF1356">
        <v>20</v>
      </c>
      <c r="AG1356" s="1">
        <v>36708</v>
      </c>
      <c r="AH1356" s="1">
        <v>36708</v>
      </c>
      <c r="AI1356" s="1">
        <v>36708</v>
      </c>
      <c r="AJ1356" s="1">
        <v>44013</v>
      </c>
      <c r="AK1356" t="s">
        <v>51</v>
      </c>
      <c r="AN1356">
        <v>0</v>
      </c>
      <c r="AO1356" t="s">
        <v>54</v>
      </c>
      <c r="AP1356" t="s">
        <v>53</v>
      </c>
      <c r="AQ1356">
        <v>0</v>
      </c>
      <c r="AR1356" t="s">
        <v>53</v>
      </c>
      <c r="AS1356">
        <v>0</v>
      </c>
      <c r="AT1356">
        <v>0</v>
      </c>
      <c r="AW1356" t="s">
        <v>58</v>
      </c>
      <c r="AX1356">
        <v>20</v>
      </c>
      <c r="AY1356" s="1">
        <v>36708</v>
      </c>
      <c r="AZ1356" s="1">
        <v>36708</v>
      </c>
      <c r="BA1356" s="1">
        <v>36708</v>
      </c>
      <c r="BB1356" s="1">
        <v>44013</v>
      </c>
      <c r="BC1356" t="s">
        <v>51</v>
      </c>
      <c r="BE1356" t="s">
        <v>54</v>
      </c>
      <c r="BF1356">
        <v>2</v>
      </c>
      <c r="BG1356">
        <v>0</v>
      </c>
      <c r="BH1356" t="s">
        <v>53</v>
      </c>
      <c r="BK1356" t="s">
        <v>65</v>
      </c>
      <c r="BL1356">
        <v>14000</v>
      </c>
      <c r="BM1356" s="1">
        <v>43409</v>
      </c>
      <c r="BN1356" s="1">
        <v>43409</v>
      </c>
      <c r="BO1356" s="1">
        <v>43409</v>
      </c>
      <c r="BP1356" s="1">
        <v>44569</v>
      </c>
      <c r="BQ1356" t="s">
        <v>51</v>
      </c>
      <c r="BS1356" t="s">
        <v>60</v>
      </c>
      <c r="BT1356" t="s">
        <v>54</v>
      </c>
      <c r="BU1356" t="s">
        <v>61</v>
      </c>
      <c r="BV1356" t="s">
        <v>62</v>
      </c>
      <c r="BX1356">
        <v>36</v>
      </c>
      <c r="BY1356">
        <v>0</v>
      </c>
      <c r="BZ1356">
        <v>0</v>
      </c>
    </row>
    <row r="1357" spans="1:99" x14ac:dyDescent="0.2">
      <c r="A1357" t="s">
        <v>180</v>
      </c>
      <c r="B1357" t="s">
        <v>181</v>
      </c>
      <c r="C1357" t="s">
        <v>184</v>
      </c>
      <c r="D1357" t="s">
        <v>752</v>
      </c>
      <c r="F1357" t="str">
        <f>"251027"</f>
        <v>251027</v>
      </c>
      <c r="G1357" t="s">
        <v>49</v>
      </c>
      <c r="H1357" t="s">
        <v>753</v>
      </c>
      <c r="K1357" t="s">
        <v>51</v>
      </c>
      <c r="L1357" t="s">
        <v>52</v>
      </c>
      <c r="M1357">
        <v>136355.70000000001</v>
      </c>
      <c r="N1357">
        <v>472473.09</v>
      </c>
      <c r="O1357" t="s">
        <v>53</v>
      </c>
      <c r="P1357" t="s">
        <v>54</v>
      </c>
      <c r="Q1357" t="s">
        <v>55</v>
      </c>
      <c r="T1357" t="s">
        <v>241</v>
      </c>
      <c r="U1357">
        <v>40</v>
      </c>
      <c r="V1357" s="1">
        <v>36708</v>
      </c>
      <c r="W1357" s="1">
        <v>36708</v>
      </c>
      <c r="X1357" s="1">
        <v>36708</v>
      </c>
      <c r="Y1357" s="1">
        <v>51318</v>
      </c>
      <c r="Z1357" t="s">
        <v>51</v>
      </c>
      <c r="AB1357" t="s">
        <v>54</v>
      </c>
      <c r="AC1357">
        <v>1</v>
      </c>
      <c r="AE1357" t="s">
        <v>222</v>
      </c>
      <c r="AF1357">
        <v>20</v>
      </c>
      <c r="AG1357" s="1">
        <v>36708</v>
      </c>
      <c r="AH1357" s="1">
        <v>36708</v>
      </c>
      <c r="AI1357" s="1">
        <v>36708</v>
      </c>
      <c r="AJ1357" s="1">
        <v>44013</v>
      </c>
      <c r="AK1357" t="s">
        <v>51</v>
      </c>
      <c r="AN1357">
        <v>0</v>
      </c>
      <c r="AO1357" t="s">
        <v>54</v>
      </c>
      <c r="AP1357" t="s">
        <v>53</v>
      </c>
      <c r="AQ1357">
        <v>0</v>
      </c>
      <c r="AR1357" t="s">
        <v>53</v>
      </c>
      <c r="AS1357">
        <v>0</v>
      </c>
      <c r="AT1357">
        <v>0</v>
      </c>
      <c r="AW1357" t="s">
        <v>58</v>
      </c>
      <c r="AX1357">
        <v>20</v>
      </c>
      <c r="AY1357" s="1">
        <v>36708</v>
      </c>
      <c r="AZ1357" s="1">
        <v>36708</v>
      </c>
      <c r="BA1357" s="1">
        <v>36708</v>
      </c>
      <c r="BB1357" s="1">
        <v>44013</v>
      </c>
      <c r="BC1357" t="s">
        <v>51</v>
      </c>
      <c r="BE1357" t="s">
        <v>54</v>
      </c>
      <c r="BF1357">
        <v>2</v>
      </c>
      <c r="BG1357">
        <v>0</v>
      </c>
      <c r="BH1357" t="s">
        <v>53</v>
      </c>
      <c r="BK1357" t="s">
        <v>65</v>
      </c>
      <c r="BL1357">
        <v>14000</v>
      </c>
      <c r="BM1357" s="1">
        <v>42917</v>
      </c>
      <c r="BN1357" s="1">
        <v>42917</v>
      </c>
      <c r="BO1357" s="1">
        <v>42917</v>
      </c>
      <c r="BP1357" s="1">
        <v>44117</v>
      </c>
      <c r="BQ1357" t="s">
        <v>51</v>
      </c>
      <c r="BS1357" t="s">
        <v>60</v>
      </c>
      <c r="BT1357" t="s">
        <v>54</v>
      </c>
      <c r="BU1357" t="s">
        <v>61</v>
      </c>
      <c r="BV1357" t="s">
        <v>62</v>
      </c>
      <c r="BX1357">
        <v>36</v>
      </c>
      <c r="BY1357">
        <v>0</v>
      </c>
      <c r="BZ1357">
        <v>0</v>
      </c>
    </row>
    <row r="1358" spans="1:99" x14ac:dyDescent="0.2">
      <c r="A1358" t="s">
        <v>180</v>
      </c>
      <c r="B1358" t="s">
        <v>181</v>
      </c>
      <c r="C1358" t="s">
        <v>184</v>
      </c>
      <c r="D1358" t="s">
        <v>752</v>
      </c>
      <c r="F1358" t="str">
        <f>"251028"</f>
        <v>251028</v>
      </c>
      <c r="G1358" t="s">
        <v>49</v>
      </c>
      <c r="H1358" t="s">
        <v>754</v>
      </c>
      <c r="K1358" t="s">
        <v>51</v>
      </c>
      <c r="L1358" t="s">
        <v>52</v>
      </c>
      <c r="M1358">
        <v>136347.26999999999</v>
      </c>
      <c r="N1358">
        <v>472470.9</v>
      </c>
      <c r="O1358" t="s">
        <v>53</v>
      </c>
      <c r="P1358" t="s">
        <v>54</v>
      </c>
      <c r="Q1358" t="s">
        <v>55</v>
      </c>
      <c r="T1358" t="s">
        <v>691</v>
      </c>
      <c r="U1358">
        <v>40</v>
      </c>
      <c r="V1358" s="1">
        <v>36708</v>
      </c>
      <c r="W1358" s="1">
        <v>36708</v>
      </c>
      <c r="X1358" s="1">
        <v>36708</v>
      </c>
      <c r="Y1358" s="1">
        <v>51318</v>
      </c>
      <c r="Z1358" t="s">
        <v>51</v>
      </c>
      <c r="AB1358" t="s">
        <v>54</v>
      </c>
      <c r="AC1358">
        <v>1</v>
      </c>
      <c r="AE1358" t="s">
        <v>564</v>
      </c>
      <c r="AF1358">
        <v>20</v>
      </c>
      <c r="AG1358" s="1">
        <v>36708</v>
      </c>
      <c r="AH1358" s="1">
        <v>36708</v>
      </c>
      <c r="AI1358" s="1">
        <v>36708</v>
      </c>
      <c r="AJ1358" s="1">
        <v>44013</v>
      </c>
      <c r="AK1358" t="s">
        <v>51</v>
      </c>
      <c r="AN1358">
        <v>0</v>
      </c>
      <c r="AO1358" t="s">
        <v>54</v>
      </c>
      <c r="AP1358" t="s">
        <v>53</v>
      </c>
      <c r="AQ1358">
        <v>0</v>
      </c>
      <c r="AR1358" t="s">
        <v>53</v>
      </c>
      <c r="AS1358">
        <v>0</v>
      </c>
      <c r="AT1358">
        <v>0</v>
      </c>
      <c r="AW1358" t="s">
        <v>58</v>
      </c>
      <c r="AX1358">
        <v>20</v>
      </c>
      <c r="AY1358" s="1">
        <v>36708</v>
      </c>
      <c r="AZ1358" s="1">
        <v>36708</v>
      </c>
      <c r="BA1358" s="1">
        <v>36708</v>
      </c>
      <c r="BB1358" s="1">
        <v>44013</v>
      </c>
      <c r="BC1358" t="s">
        <v>51</v>
      </c>
      <c r="BE1358" t="s">
        <v>54</v>
      </c>
      <c r="BF1358">
        <v>2</v>
      </c>
      <c r="BG1358">
        <v>0</v>
      </c>
      <c r="BH1358" t="s">
        <v>53</v>
      </c>
      <c r="BI1358">
        <v>1</v>
      </c>
      <c r="BK1358" t="s">
        <v>59</v>
      </c>
      <c r="BL1358">
        <v>14000</v>
      </c>
      <c r="BM1358" s="1">
        <v>42917</v>
      </c>
      <c r="BN1358" s="1">
        <v>42917</v>
      </c>
      <c r="BO1358" s="1">
        <v>42917</v>
      </c>
      <c r="BP1358" s="1">
        <v>44117</v>
      </c>
      <c r="BQ1358" t="s">
        <v>51</v>
      </c>
      <c r="BS1358" t="s">
        <v>60</v>
      </c>
      <c r="BT1358" t="s">
        <v>54</v>
      </c>
      <c r="BU1358" t="s">
        <v>61</v>
      </c>
      <c r="BV1358" t="s">
        <v>62</v>
      </c>
      <c r="BX1358">
        <v>24</v>
      </c>
      <c r="BY1358">
        <v>0</v>
      </c>
      <c r="BZ1358">
        <v>0</v>
      </c>
    </row>
    <row r="1359" spans="1:99" x14ac:dyDescent="0.2">
      <c r="A1359" t="s">
        <v>180</v>
      </c>
      <c r="B1359" t="s">
        <v>181</v>
      </c>
      <c r="C1359" t="s">
        <v>184</v>
      </c>
      <c r="D1359" t="s">
        <v>752</v>
      </c>
      <c r="F1359" t="str">
        <f>"251029"</f>
        <v>251029</v>
      </c>
      <c r="G1359" t="s">
        <v>49</v>
      </c>
      <c r="H1359" t="s">
        <v>755</v>
      </c>
      <c r="K1359" t="s">
        <v>51</v>
      </c>
      <c r="L1359" t="s">
        <v>52</v>
      </c>
      <c r="M1359">
        <v>136367.34</v>
      </c>
      <c r="N1359">
        <v>472463.75</v>
      </c>
      <c r="O1359" t="s">
        <v>53</v>
      </c>
      <c r="P1359" t="s">
        <v>54</v>
      </c>
      <c r="Q1359" t="s">
        <v>55</v>
      </c>
      <c r="T1359" t="s">
        <v>239</v>
      </c>
      <c r="U1359">
        <v>40</v>
      </c>
      <c r="V1359" s="1">
        <v>36708</v>
      </c>
      <c r="W1359" s="1">
        <v>36708</v>
      </c>
      <c r="X1359" s="1">
        <v>36708</v>
      </c>
      <c r="Y1359" s="1">
        <v>51318</v>
      </c>
      <c r="Z1359" t="s">
        <v>51</v>
      </c>
      <c r="AB1359" t="s">
        <v>54</v>
      </c>
      <c r="AC1359">
        <v>1</v>
      </c>
      <c r="AE1359" t="s">
        <v>222</v>
      </c>
      <c r="AF1359">
        <v>20</v>
      </c>
      <c r="AG1359" s="1">
        <v>36708</v>
      </c>
      <c r="AH1359" s="1">
        <v>36708</v>
      </c>
      <c r="AI1359" s="1">
        <v>36708</v>
      </c>
      <c r="AJ1359" s="1">
        <v>44013</v>
      </c>
      <c r="AK1359" t="s">
        <v>51</v>
      </c>
      <c r="AN1359">
        <v>0</v>
      </c>
      <c r="AO1359" t="s">
        <v>54</v>
      </c>
      <c r="AP1359" t="s">
        <v>53</v>
      </c>
      <c r="AQ1359">
        <v>0</v>
      </c>
      <c r="AR1359" t="s">
        <v>53</v>
      </c>
      <c r="AS1359">
        <v>0</v>
      </c>
      <c r="AT1359">
        <v>0</v>
      </c>
      <c r="AW1359" t="s">
        <v>58</v>
      </c>
      <c r="AX1359">
        <v>20</v>
      </c>
      <c r="AY1359" s="1">
        <v>36708</v>
      </c>
      <c r="AZ1359" s="1">
        <v>36708</v>
      </c>
      <c r="BA1359" s="1">
        <v>36708</v>
      </c>
      <c r="BB1359" s="1">
        <v>44013</v>
      </c>
      <c r="BC1359" t="s">
        <v>51</v>
      </c>
      <c r="BE1359" t="s">
        <v>54</v>
      </c>
      <c r="BF1359">
        <v>2</v>
      </c>
      <c r="BG1359">
        <v>0</v>
      </c>
      <c r="BH1359" t="s">
        <v>53</v>
      </c>
      <c r="BK1359" t="s">
        <v>59</v>
      </c>
      <c r="BL1359">
        <v>14000</v>
      </c>
      <c r="BM1359" s="1">
        <v>42917</v>
      </c>
      <c r="BN1359" s="1">
        <v>42917</v>
      </c>
      <c r="BO1359" s="1">
        <v>42917</v>
      </c>
      <c r="BP1359" s="1">
        <v>44117</v>
      </c>
      <c r="BQ1359" t="s">
        <v>51</v>
      </c>
      <c r="BS1359" t="s">
        <v>60</v>
      </c>
      <c r="BT1359" t="s">
        <v>54</v>
      </c>
      <c r="BU1359" t="s">
        <v>61</v>
      </c>
      <c r="BV1359" t="s">
        <v>62</v>
      </c>
      <c r="BX1359">
        <v>24</v>
      </c>
      <c r="BY1359">
        <v>0</v>
      </c>
      <c r="BZ1359">
        <v>0</v>
      </c>
    </row>
    <row r="1360" spans="1:99" x14ac:dyDescent="0.2">
      <c r="A1360" t="s">
        <v>180</v>
      </c>
      <c r="B1360" t="s">
        <v>181</v>
      </c>
      <c r="C1360" t="s">
        <v>184</v>
      </c>
      <c r="D1360" t="s">
        <v>752</v>
      </c>
      <c r="F1360" t="str">
        <f>"251030"</f>
        <v>251030</v>
      </c>
      <c r="G1360" t="s">
        <v>49</v>
      </c>
      <c r="H1360" t="s">
        <v>573</v>
      </c>
      <c r="K1360" t="s">
        <v>51</v>
      </c>
      <c r="L1360" t="s">
        <v>52</v>
      </c>
      <c r="M1360">
        <v>136354.07999999999</v>
      </c>
      <c r="N1360">
        <v>472453.59</v>
      </c>
      <c r="O1360" t="s">
        <v>53</v>
      </c>
      <c r="P1360" t="s">
        <v>54</v>
      </c>
      <c r="Q1360" t="s">
        <v>55</v>
      </c>
      <c r="T1360" t="s">
        <v>241</v>
      </c>
      <c r="U1360">
        <v>40</v>
      </c>
      <c r="V1360" s="1">
        <v>36708</v>
      </c>
      <c r="W1360" s="1">
        <v>36708</v>
      </c>
      <c r="X1360" s="1">
        <v>36708</v>
      </c>
      <c r="Y1360" s="1">
        <v>51318</v>
      </c>
      <c r="Z1360" t="s">
        <v>51</v>
      </c>
      <c r="AB1360" t="s">
        <v>54</v>
      </c>
      <c r="AC1360">
        <v>1</v>
      </c>
      <c r="AE1360" t="s">
        <v>222</v>
      </c>
      <c r="AF1360">
        <v>20</v>
      </c>
      <c r="AG1360" s="1">
        <v>36708</v>
      </c>
      <c r="AH1360" s="1">
        <v>36708</v>
      </c>
      <c r="AI1360" s="1">
        <v>36708</v>
      </c>
      <c r="AJ1360" s="1">
        <v>44013</v>
      </c>
      <c r="AK1360" t="s">
        <v>51</v>
      </c>
      <c r="AN1360">
        <v>0</v>
      </c>
      <c r="AO1360" t="s">
        <v>54</v>
      </c>
      <c r="AP1360" t="s">
        <v>53</v>
      </c>
      <c r="AQ1360">
        <v>0</v>
      </c>
      <c r="AR1360" t="s">
        <v>53</v>
      </c>
      <c r="AS1360">
        <v>0</v>
      </c>
      <c r="AT1360">
        <v>0</v>
      </c>
      <c r="AW1360" t="s">
        <v>58</v>
      </c>
      <c r="AX1360">
        <v>20</v>
      </c>
      <c r="AY1360" s="1">
        <v>36708</v>
      </c>
      <c r="AZ1360" s="1">
        <v>36708</v>
      </c>
      <c r="BA1360" s="1">
        <v>36708</v>
      </c>
      <c r="BB1360" s="1">
        <v>44013</v>
      </c>
      <c r="BC1360" t="s">
        <v>51</v>
      </c>
      <c r="BE1360" t="s">
        <v>54</v>
      </c>
      <c r="BF1360">
        <v>2</v>
      </c>
      <c r="BG1360">
        <v>0</v>
      </c>
      <c r="BH1360" t="s">
        <v>53</v>
      </c>
      <c r="BK1360" t="s">
        <v>65</v>
      </c>
      <c r="BL1360">
        <v>14000</v>
      </c>
      <c r="BM1360" s="1">
        <v>42917</v>
      </c>
      <c r="BN1360" s="1">
        <v>42917</v>
      </c>
      <c r="BO1360" s="1">
        <v>42917</v>
      </c>
      <c r="BP1360" s="1">
        <v>44117</v>
      </c>
      <c r="BQ1360" t="s">
        <v>51</v>
      </c>
      <c r="BS1360" t="s">
        <v>60</v>
      </c>
      <c r="BT1360" t="s">
        <v>54</v>
      </c>
      <c r="BU1360" t="s">
        <v>61</v>
      </c>
      <c r="BV1360" t="s">
        <v>62</v>
      </c>
      <c r="BX1360">
        <v>36</v>
      </c>
      <c r="BY1360">
        <v>0</v>
      </c>
      <c r="BZ1360">
        <v>0</v>
      </c>
    </row>
    <row r="1361" spans="1:78" x14ac:dyDescent="0.2">
      <c r="A1361" t="s">
        <v>180</v>
      </c>
      <c r="B1361" t="s">
        <v>181</v>
      </c>
      <c r="C1361" t="s">
        <v>184</v>
      </c>
      <c r="D1361" t="s">
        <v>752</v>
      </c>
      <c r="F1361" t="str">
        <f>"251031"</f>
        <v>251031</v>
      </c>
      <c r="G1361" t="s">
        <v>49</v>
      </c>
      <c r="H1361" t="s">
        <v>756</v>
      </c>
      <c r="K1361" t="s">
        <v>51</v>
      </c>
      <c r="L1361" t="s">
        <v>52</v>
      </c>
      <c r="M1361">
        <v>136339.47</v>
      </c>
      <c r="N1361">
        <v>472451.38</v>
      </c>
      <c r="O1361" t="s">
        <v>53</v>
      </c>
      <c r="P1361" t="s">
        <v>54</v>
      </c>
      <c r="Q1361" t="s">
        <v>55</v>
      </c>
      <c r="T1361" t="s">
        <v>691</v>
      </c>
      <c r="U1361">
        <v>40</v>
      </c>
      <c r="V1361" s="1">
        <v>36708</v>
      </c>
      <c r="W1361" s="1">
        <v>36708</v>
      </c>
      <c r="X1361" s="1">
        <v>36708</v>
      </c>
      <c r="Y1361" s="1">
        <v>51318</v>
      </c>
      <c r="Z1361" t="s">
        <v>51</v>
      </c>
      <c r="AB1361" t="s">
        <v>54</v>
      </c>
      <c r="AC1361">
        <v>1</v>
      </c>
      <c r="AE1361" t="s">
        <v>564</v>
      </c>
      <c r="AF1361">
        <v>20</v>
      </c>
      <c r="AG1361" s="1">
        <v>36708</v>
      </c>
      <c r="AH1361" s="1">
        <v>36708</v>
      </c>
      <c r="AI1361" s="1">
        <v>36708</v>
      </c>
      <c r="AJ1361" s="1">
        <v>44013</v>
      </c>
      <c r="AK1361" t="s">
        <v>51</v>
      </c>
      <c r="AN1361">
        <v>0</v>
      </c>
      <c r="AO1361" t="s">
        <v>54</v>
      </c>
      <c r="AP1361" t="s">
        <v>53</v>
      </c>
      <c r="AQ1361">
        <v>0</v>
      </c>
      <c r="AR1361" t="s">
        <v>53</v>
      </c>
      <c r="AS1361">
        <v>0</v>
      </c>
      <c r="AT1361">
        <v>0</v>
      </c>
      <c r="AW1361" t="s">
        <v>58</v>
      </c>
      <c r="AX1361">
        <v>20</v>
      </c>
      <c r="AY1361" s="1">
        <v>36708</v>
      </c>
      <c r="AZ1361" s="1">
        <v>36708</v>
      </c>
      <c r="BA1361" s="1">
        <v>36708</v>
      </c>
      <c r="BB1361" s="1">
        <v>44013</v>
      </c>
      <c r="BC1361" t="s">
        <v>51</v>
      </c>
      <c r="BE1361" t="s">
        <v>54</v>
      </c>
      <c r="BF1361">
        <v>2</v>
      </c>
      <c r="BG1361">
        <v>0</v>
      </c>
      <c r="BH1361" t="s">
        <v>53</v>
      </c>
      <c r="BI1361">
        <v>1</v>
      </c>
      <c r="BK1361" t="s">
        <v>59</v>
      </c>
      <c r="BL1361">
        <v>14000</v>
      </c>
      <c r="BM1361" s="1">
        <v>44935</v>
      </c>
      <c r="BN1361" s="1">
        <v>44935</v>
      </c>
      <c r="BO1361" s="1">
        <v>44935</v>
      </c>
      <c r="BP1361" s="1">
        <v>46102</v>
      </c>
      <c r="BQ1361" t="s">
        <v>51</v>
      </c>
      <c r="BS1361" t="s">
        <v>60</v>
      </c>
      <c r="BT1361" t="s">
        <v>54</v>
      </c>
      <c r="BU1361" t="s">
        <v>61</v>
      </c>
      <c r="BV1361" t="s">
        <v>62</v>
      </c>
      <c r="BX1361">
        <v>24</v>
      </c>
      <c r="BY1361">
        <v>0</v>
      </c>
      <c r="BZ1361">
        <v>0</v>
      </c>
    </row>
    <row r="1362" spans="1:78" x14ac:dyDescent="0.2">
      <c r="A1362" t="s">
        <v>180</v>
      </c>
      <c r="B1362" t="s">
        <v>181</v>
      </c>
      <c r="C1362" t="s">
        <v>184</v>
      </c>
      <c r="D1362" t="s">
        <v>752</v>
      </c>
      <c r="F1362" t="str">
        <f>"251032"</f>
        <v>251032</v>
      </c>
      <c r="G1362" t="s">
        <v>49</v>
      </c>
      <c r="H1362" t="s">
        <v>275</v>
      </c>
      <c r="K1362" t="s">
        <v>51</v>
      </c>
      <c r="L1362" t="s">
        <v>52</v>
      </c>
      <c r="M1362">
        <v>136354.44</v>
      </c>
      <c r="N1362">
        <v>472436.33</v>
      </c>
      <c r="O1362" t="s">
        <v>53</v>
      </c>
      <c r="P1362" t="s">
        <v>54</v>
      </c>
      <c r="Q1362" t="s">
        <v>55</v>
      </c>
      <c r="T1362" t="s">
        <v>239</v>
      </c>
      <c r="U1362">
        <v>40</v>
      </c>
      <c r="V1362" s="1">
        <v>36708</v>
      </c>
      <c r="W1362" s="1">
        <v>36708</v>
      </c>
      <c r="X1362" s="1">
        <v>36708</v>
      </c>
      <c r="Y1362" s="1">
        <v>51318</v>
      </c>
      <c r="Z1362" t="s">
        <v>51</v>
      </c>
      <c r="AB1362" t="s">
        <v>54</v>
      </c>
      <c r="AC1362">
        <v>1</v>
      </c>
      <c r="AE1362" t="s">
        <v>222</v>
      </c>
      <c r="AF1362">
        <v>20</v>
      </c>
      <c r="AG1362" s="1">
        <v>36708</v>
      </c>
      <c r="AH1362" s="1">
        <v>36708</v>
      </c>
      <c r="AI1362" s="1">
        <v>36708</v>
      </c>
      <c r="AJ1362" s="1">
        <v>44013</v>
      </c>
      <c r="AK1362" t="s">
        <v>51</v>
      </c>
      <c r="AN1362">
        <v>0</v>
      </c>
      <c r="AO1362" t="s">
        <v>54</v>
      </c>
      <c r="AP1362" t="s">
        <v>53</v>
      </c>
      <c r="AQ1362">
        <v>0</v>
      </c>
      <c r="AR1362" t="s">
        <v>53</v>
      </c>
      <c r="AS1362">
        <v>0</v>
      </c>
      <c r="AT1362">
        <v>0</v>
      </c>
      <c r="AW1362" t="s">
        <v>58</v>
      </c>
      <c r="AX1362">
        <v>20</v>
      </c>
      <c r="AY1362" s="1">
        <v>43837</v>
      </c>
      <c r="AZ1362" s="1">
        <v>43837</v>
      </c>
      <c r="BA1362" s="1">
        <v>43837</v>
      </c>
      <c r="BB1362" s="1">
        <v>51142</v>
      </c>
      <c r="BC1362" t="s">
        <v>51</v>
      </c>
      <c r="BE1362" t="s">
        <v>54</v>
      </c>
      <c r="BF1362">
        <v>2</v>
      </c>
      <c r="BG1362">
        <v>0</v>
      </c>
      <c r="BH1362" t="s">
        <v>53</v>
      </c>
      <c r="BK1362" t="s">
        <v>59</v>
      </c>
      <c r="BL1362">
        <v>14000</v>
      </c>
      <c r="BM1362" s="1">
        <v>43837</v>
      </c>
      <c r="BN1362" s="1">
        <v>43837</v>
      </c>
      <c r="BO1362" s="1">
        <v>43837</v>
      </c>
      <c r="BP1362" s="1">
        <v>45003</v>
      </c>
      <c r="BQ1362" t="s">
        <v>51</v>
      </c>
      <c r="BS1362" t="s">
        <v>60</v>
      </c>
      <c r="BT1362" t="s">
        <v>54</v>
      </c>
      <c r="BU1362" t="s">
        <v>61</v>
      </c>
      <c r="BV1362" t="s">
        <v>62</v>
      </c>
      <c r="BX1362">
        <v>24</v>
      </c>
      <c r="BY1362">
        <v>0</v>
      </c>
      <c r="BZ1362">
        <v>0</v>
      </c>
    </row>
    <row r="1363" spans="1:78" x14ac:dyDescent="0.2">
      <c r="A1363" t="s">
        <v>180</v>
      </c>
      <c r="B1363" t="s">
        <v>181</v>
      </c>
      <c r="C1363" t="s">
        <v>184</v>
      </c>
      <c r="D1363" t="s">
        <v>752</v>
      </c>
      <c r="F1363" t="str">
        <f>"251033"</f>
        <v>251033</v>
      </c>
      <c r="G1363" t="s">
        <v>49</v>
      </c>
      <c r="K1363" t="s">
        <v>51</v>
      </c>
      <c r="L1363" t="s">
        <v>52</v>
      </c>
      <c r="M1363">
        <v>136338.67499999999</v>
      </c>
      <c r="N1363">
        <v>472420.38</v>
      </c>
      <c r="O1363" t="s">
        <v>53</v>
      </c>
      <c r="P1363" t="s">
        <v>54</v>
      </c>
      <c r="Q1363" t="s">
        <v>55</v>
      </c>
      <c r="T1363" t="s">
        <v>241</v>
      </c>
      <c r="U1363">
        <v>40</v>
      </c>
      <c r="V1363" s="1">
        <v>36708</v>
      </c>
      <c r="W1363" s="1">
        <v>36708</v>
      </c>
      <c r="X1363" s="1">
        <v>36708</v>
      </c>
      <c r="Y1363" s="1">
        <v>51318</v>
      </c>
      <c r="Z1363" t="s">
        <v>51</v>
      </c>
      <c r="AB1363" t="s">
        <v>54</v>
      </c>
      <c r="AC1363">
        <v>1</v>
      </c>
      <c r="AE1363" t="s">
        <v>222</v>
      </c>
      <c r="AF1363">
        <v>20</v>
      </c>
      <c r="AG1363" s="1">
        <v>36708</v>
      </c>
      <c r="AH1363" s="1">
        <v>36708</v>
      </c>
      <c r="AI1363" s="1">
        <v>36708</v>
      </c>
      <c r="AJ1363" s="1">
        <v>44013</v>
      </c>
      <c r="AK1363" t="s">
        <v>51</v>
      </c>
      <c r="AN1363">
        <v>0</v>
      </c>
      <c r="AO1363" t="s">
        <v>54</v>
      </c>
      <c r="AP1363" t="s">
        <v>53</v>
      </c>
      <c r="AQ1363">
        <v>0</v>
      </c>
      <c r="AR1363" t="s">
        <v>53</v>
      </c>
      <c r="AS1363">
        <v>0</v>
      </c>
      <c r="AT1363">
        <v>0</v>
      </c>
      <c r="AW1363" t="s">
        <v>58</v>
      </c>
      <c r="AX1363">
        <v>20</v>
      </c>
      <c r="AY1363" s="1">
        <v>36708</v>
      </c>
      <c r="AZ1363" s="1">
        <v>36708</v>
      </c>
      <c r="BA1363" s="1">
        <v>36708</v>
      </c>
      <c r="BB1363" s="1">
        <v>44013</v>
      </c>
      <c r="BC1363" t="s">
        <v>51</v>
      </c>
      <c r="BE1363" t="s">
        <v>54</v>
      </c>
      <c r="BF1363">
        <v>2</v>
      </c>
      <c r="BG1363">
        <v>0</v>
      </c>
      <c r="BH1363" t="s">
        <v>53</v>
      </c>
      <c r="BK1363" t="s">
        <v>65</v>
      </c>
      <c r="BL1363">
        <v>14000</v>
      </c>
      <c r="BM1363" s="1">
        <v>42917</v>
      </c>
      <c r="BN1363" s="1">
        <v>42917</v>
      </c>
      <c r="BO1363" s="1">
        <v>42917</v>
      </c>
      <c r="BP1363" s="1">
        <v>44117</v>
      </c>
      <c r="BQ1363" t="s">
        <v>51</v>
      </c>
      <c r="BS1363" t="s">
        <v>60</v>
      </c>
      <c r="BT1363" t="s">
        <v>54</v>
      </c>
      <c r="BU1363" t="s">
        <v>61</v>
      </c>
      <c r="BV1363" t="s">
        <v>62</v>
      </c>
      <c r="BX1363">
        <v>36</v>
      </c>
      <c r="BY1363">
        <v>0</v>
      </c>
      <c r="BZ1363">
        <v>0</v>
      </c>
    </row>
    <row r="1364" spans="1:78" x14ac:dyDescent="0.2">
      <c r="A1364" t="s">
        <v>180</v>
      </c>
      <c r="B1364" t="s">
        <v>181</v>
      </c>
      <c r="C1364" t="s">
        <v>184</v>
      </c>
      <c r="D1364" t="s">
        <v>752</v>
      </c>
      <c r="F1364" t="str">
        <f>"251034"</f>
        <v>251034</v>
      </c>
      <c r="G1364" t="s">
        <v>49</v>
      </c>
      <c r="H1364" t="s">
        <v>312</v>
      </c>
      <c r="K1364" t="s">
        <v>51</v>
      </c>
      <c r="L1364" t="s">
        <v>52</v>
      </c>
      <c r="M1364">
        <v>136331.03</v>
      </c>
      <c r="N1364">
        <v>472404.75</v>
      </c>
      <c r="O1364" t="s">
        <v>53</v>
      </c>
      <c r="P1364" t="s">
        <v>54</v>
      </c>
      <c r="Q1364" t="s">
        <v>55</v>
      </c>
      <c r="T1364" t="s">
        <v>241</v>
      </c>
      <c r="U1364">
        <v>40</v>
      </c>
      <c r="V1364" s="1">
        <v>36708</v>
      </c>
      <c r="W1364" s="1">
        <v>36708</v>
      </c>
      <c r="X1364" s="1">
        <v>36708</v>
      </c>
      <c r="Y1364" s="1">
        <v>51318</v>
      </c>
      <c r="Z1364" t="s">
        <v>51</v>
      </c>
      <c r="AB1364" t="s">
        <v>54</v>
      </c>
      <c r="AC1364">
        <v>1</v>
      </c>
      <c r="AE1364" t="s">
        <v>222</v>
      </c>
      <c r="AF1364">
        <v>20</v>
      </c>
      <c r="AG1364" s="1">
        <v>36708</v>
      </c>
      <c r="AH1364" s="1">
        <v>36708</v>
      </c>
      <c r="AI1364" s="1">
        <v>36708</v>
      </c>
      <c r="AJ1364" s="1">
        <v>44013</v>
      </c>
      <c r="AK1364" t="s">
        <v>51</v>
      </c>
      <c r="AN1364">
        <v>0</v>
      </c>
      <c r="AO1364" t="s">
        <v>54</v>
      </c>
      <c r="AP1364" t="s">
        <v>53</v>
      </c>
      <c r="AQ1364">
        <v>0</v>
      </c>
      <c r="AR1364" t="s">
        <v>53</v>
      </c>
      <c r="AS1364">
        <v>0</v>
      </c>
      <c r="AT1364">
        <v>0</v>
      </c>
      <c r="AW1364" t="s">
        <v>58</v>
      </c>
      <c r="AX1364">
        <v>20</v>
      </c>
      <c r="AY1364" s="1">
        <v>36708</v>
      </c>
      <c r="AZ1364" s="1">
        <v>36708</v>
      </c>
      <c r="BA1364" s="1">
        <v>36708</v>
      </c>
      <c r="BB1364" s="1">
        <v>44013</v>
      </c>
      <c r="BC1364" t="s">
        <v>51</v>
      </c>
      <c r="BE1364" t="s">
        <v>54</v>
      </c>
      <c r="BF1364">
        <v>2</v>
      </c>
      <c r="BG1364">
        <v>0</v>
      </c>
      <c r="BH1364" t="s">
        <v>53</v>
      </c>
      <c r="BK1364" t="s">
        <v>65</v>
      </c>
      <c r="BL1364">
        <v>14000</v>
      </c>
      <c r="BM1364" s="1">
        <v>42917</v>
      </c>
      <c r="BN1364" s="1">
        <v>42917</v>
      </c>
      <c r="BO1364" s="1">
        <v>42917</v>
      </c>
      <c r="BP1364" s="1">
        <v>44117</v>
      </c>
      <c r="BQ1364" t="s">
        <v>51</v>
      </c>
      <c r="BS1364" t="s">
        <v>60</v>
      </c>
      <c r="BT1364" t="s">
        <v>54</v>
      </c>
      <c r="BU1364" t="s">
        <v>61</v>
      </c>
      <c r="BV1364" t="s">
        <v>62</v>
      </c>
      <c r="BX1364">
        <v>36</v>
      </c>
      <c r="BY1364">
        <v>0</v>
      </c>
      <c r="BZ1364">
        <v>0</v>
      </c>
    </row>
    <row r="1365" spans="1:78" x14ac:dyDescent="0.2">
      <c r="A1365" t="s">
        <v>180</v>
      </c>
      <c r="B1365" t="s">
        <v>181</v>
      </c>
      <c r="C1365" t="s">
        <v>184</v>
      </c>
      <c r="D1365" t="s">
        <v>752</v>
      </c>
      <c r="F1365" t="str">
        <f>"251035"</f>
        <v>251035</v>
      </c>
      <c r="G1365" t="s">
        <v>49</v>
      </c>
      <c r="H1365" t="s">
        <v>230</v>
      </c>
      <c r="K1365" t="s">
        <v>51</v>
      </c>
      <c r="L1365" t="s">
        <v>52</v>
      </c>
      <c r="M1365">
        <v>136341.54</v>
      </c>
      <c r="N1365">
        <v>472409.18</v>
      </c>
      <c r="O1365" t="s">
        <v>53</v>
      </c>
      <c r="P1365" t="s">
        <v>54</v>
      </c>
      <c r="Q1365" t="s">
        <v>55</v>
      </c>
      <c r="T1365" t="s">
        <v>239</v>
      </c>
      <c r="U1365">
        <v>40</v>
      </c>
      <c r="V1365" s="1">
        <v>36708</v>
      </c>
      <c r="W1365" s="1">
        <v>36708</v>
      </c>
      <c r="X1365" s="1">
        <v>36708</v>
      </c>
      <c r="Y1365" s="1">
        <v>51318</v>
      </c>
      <c r="Z1365" t="s">
        <v>51</v>
      </c>
      <c r="AB1365" t="s">
        <v>54</v>
      </c>
      <c r="AC1365">
        <v>1</v>
      </c>
      <c r="AE1365" t="s">
        <v>222</v>
      </c>
      <c r="AF1365">
        <v>20</v>
      </c>
      <c r="AG1365" s="1">
        <v>36708</v>
      </c>
      <c r="AH1365" s="1">
        <v>36708</v>
      </c>
      <c r="AI1365" s="1">
        <v>36708</v>
      </c>
      <c r="AJ1365" s="1">
        <v>44013</v>
      </c>
      <c r="AK1365" t="s">
        <v>51</v>
      </c>
      <c r="AN1365">
        <v>0</v>
      </c>
      <c r="AO1365" t="s">
        <v>54</v>
      </c>
      <c r="AP1365" t="s">
        <v>53</v>
      </c>
      <c r="AQ1365">
        <v>0</v>
      </c>
      <c r="AR1365" t="s">
        <v>53</v>
      </c>
      <c r="AS1365">
        <v>0</v>
      </c>
      <c r="AT1365">
        <v>0</v>
      </c>
      <c r="AW1365" t="s">
        <v>58</v>
      </c>
      <c r="AX1365">
        <v>20</v>
      </c>
      <c r="AY1365" s="1">
        <v>36708</v>
      </c>
      <c r="AZ1365" s="1">
        <v>36708</v>
      </c>
      <c r="BA1365" s="1">
        <v>36708</v>
      </c>
      <c r="BB1365" s="1">
        <v>44013</v>
      </c>
      <c r="BC1365" t="s">
        <v>51</v>
      </c>
      <c r="BE1365" t="s">
        <v>54</v>
      </c>
      <c r="BF1365">
        <v>2</v>
      </c>
      <c r="BG1365">
        <v>0</v>
      </c>
      <c r="BH1365" t="s">
        <v>53</v>
      </c>
      <c r="BK1365" t="s">
        <v>59</v>
      </c>
      <c r="BL1365">
        <v>14000</v>
      </c>
      <c r="BM1365" s="1">
        <v>42917</v>
      </c>
      <c r="BN1365" s="1">
        <v>42917</v>
      </c>
      <c r="BO1365" s="1">
        <v>42917</v>
      </c>
      <c r="BP1365" s="1">
        <v>44117</v>
      </c>
      <c r="BQ1365" t="s">
        <v>51</v>
      </c>
      <c r="BS1365" t="s">
        <v>60</v>
      </c>
      <c r="BT1365" t="s">
        <v>54</v>
      </c>
      <c r="BU1365" t="s">
        <v>61</v>
      </c>
      <c r="BV1365" t="s">
        <v>62</v>
      </c>
      <c r="BX1365">
        <v>24</v>
      </c>
      <c r="BY1365">
        <v>0</v>
      </c>
      <c r="BZ1365">
        <v>0</v>
      </c>
    </row>
    <row r="1366" spans="1:78" x14ac:dyDescent="0.2">
      <c r="A1366" t="s">
        <v>180</v>
      </c>
      <c r="B1366" t="s">
        <v>181</v>
      </c>
      <c r="C1366" t="s">
        <v>184</v>
      </c>
      <c r="D1366" t="s">
        <v>752</v>
      </c>
      <c r="F1366" t="str">
        <f>"251036"</f>
        <v>251036</v>
      </c>
      <c r="G1366" t="s">
        <v>49</v>
      </c>
      <c r="H1366" t="s">
        <v>544</v>
      </c>
      <c r="K1366" t="s">
        <v>51</v>
      </c>
      <c r="L1366" t="s">
        <v>52</v>
      </c>
      <c r="M1366">
        <v>136320.60999999999</v>
      </c>
      <c r="N1366">
        <v>472413.29</v>
      </c>
      <c r="O1366" t="s">
        <v>53</v>
      </c>
      <c r="P1366" t="s">
        <v>54</v>
      </c>
      <c r="Q1366" t="s">
        <v>55</v>
      </c>
      <c r="T1366" t="s">
        <v>691</v>
      </c>
      <c r="U1366">
        <v>40</v>
      </c>
      <c r="V1366" s="1">
        <v>36708</v>
      </c>
      <c r="W1366" s="1">
        <v>36708</v>
      </c>
      <c r="X1366" s="1">
        <v>36708</v>
      </c>
      <c r="Y1366" s="1">
        <v>51318</v>
      </c>
      <c r="Z1366" t="s">
        <v>51</v>
      </c>
      <c r="AB1366" t="s">
        <v>54</v>
      </c>
      <c r="AC1366">
        <v>1</v>
      </c>
      <c r="AE1366" t="s">
        <v>564</v>
      </c>
      <c r="AF1366">
        <v>20</v>
      </c>
      <c r="AG1366" s="1">
        <v>36708</v>
      </c>
      <c r="AH1366" s="1">
        <v>36708</v>
      </c>
      <c r="AI1366" s="1">
        <v>36708</v>
      </c>
      <c r="AJ1366" s="1">
        <v>44013</v>
      </c>
      <c r="AK1366" t="s">
        <v>51</v>
      </c>
      <c r="AN1366">
        <v>0</v>
      </c>
      <c r="AO1366" t="s">
        <v>54</v>
      </c>
      <c r="AP1366" t="s">
        <v>53</v>
      </c>
      <c r="AQ1366">
        <v>0</v>
      </c>
      <c r="AR1366" t="s">
        <v>53</v>
      </c>
      <c r="AS1366">
        <v>0</v>
      </c>
      <c r="AT1366">
        <v>0</v>
      </c>
      <c r="AW1366" t="s">
        <v>58</v>
      </c>
      <c r="AX1366">
        <v>20</v>
      </c>
      <c r="AY1366" s="1">
        <v>36708</v>
      </c>
      <c r="AZ1366" s="1">
        <v>36708</v>
      </c>
      <c r="BA1366" s="1">
        <v>36708</v>
      </c>
      <c r="BB1366" s="1">
        <v>44013</v>
      </c>
      <c r="BC1366" t="s">
        <v>51</v>
      </c>
      <c r="BE1366" t="s">
        <v>54</v>
      </c>
      <c r="BF1366">
        <v>2</v>
      </c>
      <c r="BG1366">
        <v>0</v>
      </c>
      <c r="BH1366" t="s">
        <v>53</v>
      </c>
      <c r="BK1366" t="s">
        <v>59</v>
      </c>
      <c r="BL1366">
        <v>14000</v>
      </c>
      <c r="BM1366" s="1">
        <v>42917</v>
      </c>
      <c r="BN1366" s="1">
        <v>42917</v>
      </c>
      <c r="BO1366" s="1">
        <v>42917</v>
      </c>
      <c r="BP1366" s="1">
        <v>44117</v>
      </c>
      <c r="BQ1366" t="s">
        <v>51</v>
      </c>
      <c r="BS1366" t="s">
        <v>60</v>
      </c>
      <c r="BT1366" t="s">
        <v>54</v>
      </c>
      <c r="BU1366" t="s">
        <v>61</v>
      </c>
      <c r="BV1366" t="s">
        <v>62</v>
      </c>
      <c r="BX1366">
        <v>24</v>
      </c>
      <c r="BY1366">
        <v>0</v>
      </c>
      <c r="BZ1366">
        <v>0</v>
      </c>
    </row>
    <row r="1367" spans="1:78" x14ac:dyDescent="0.2">
      <c r="A1367" t="s">
        <v>180</v>
      </c>
      <c r="B1367" t="s">
        <v>181</v>
      </c>
      <c r="C1367" t="s">
        <v>184</v>
      </c>
      <c r="D1367" t="s">
        <v>752</v>
      </c>
      <c r="F1367" t="str">
        <f>"251037"</f>
        <v>251037</v>
      </c>
      <c r="G1367" t="s">
        <v>49</v>
      </c>
      <c r="H1367" t="s">
        <v>593</v>
      </c>
      <c r="K1367" t="s">
        <v>51</v>
      </c>
      <c r="L1367" t="s">
        <v>52</v>
      </c>
      <c r="M1367">
        <v>136319.76999999999</v>
      </c>
      <c r="N1367">
        <v>472398.41</v>
      </c>
      <c r="O1367" t="s">
        <v>53</v>
      </c>
      <c r="P1367" t="s">
        <v>54</v>
      </c>
      <c r="Q1367" t="s">
        <v>55</v>
      </c>
      <c r="T1367" t="s">
        <v>241</v>
      </c>
      <c r="U1367">
        <v>40</v>
      </c>
      <c r="V1367" s="1">
        <v>36708</v>
      </c>
      <c r="W1367" s="1">
        <v>36708</v>
      </c>
      <c r="X1367" s="1">
        <v>36708</v>
      </c>
      <c r="Y1367" s="1">
        <v>51318</v>
      </c>
      <c r="Z1367" t="s">
        <v>51</v>
      </c>
      <c r="AB1367" t="s">
        <v>54</v>
      </c>
      <c r="AC1367">
        <v>1</v>
      </c>
      <c r="AE1367" t="s">
        <v>222</v>
      </c>
      <c r="AF1367">
        <v>20</v>
      </c>
      <c r="AG1367" s="1">
        <v>36708</v>
      </c>
      <c r="AH1367" s="1">
        <v>36708</v>
      </c>
      <c r="AI1367" s="1">
        <v>36708</v>
      </c>
      <c r="AJ1367" s="1">
        <v>44013</v>
      </c>
      <c r="AK1367" t="s">
        <v>51</v>
      </c>
      <c r="AN1367">
        <v>0</v>
      </c>
      <c r="AO1367" t="s">
        <v>54</v>
      </c>
      <c r="AP1367" t="s">
        <v>53</v>
      </c>
      <c r="AQ1367">
        <v>0</v>
      </c>
      <c r="AR1367" t="s">
        <v>53</v>
      </c>
      <c r="AS1367">
        <v>0</v>
      </c>
      <c r="AT1367">
        <v>0</v>
      </c>
      <c r="AW1367" t="s">
        <v>58</v>
      </c>
      <c r="AX1367">
        <v>20</v>
      </c>
      <c r="AY1367" s="1">
        <v>36708</v>
      </c>
      <c r="AZ1367" s="1">
        <v>36708</v>
      </c>
      <c r="BA1367" s="1">
        <v>36708</v>
      </c>
      <c r="BB1367" s="1">
        <v>44013</v>
      </c>
      <c r="BC1367" t="s">
        <v>51</v>
      </c>
      <c r="BE1367" t="s">
        <v>54</v>
      </c>
      <c r="BF1367">
        <v>2</v>
      </c>
      <c r="BG1367">
        <v>0</v>
      </c>
      <c r="BH1367" t="s">
        <v>53</v>
      </c>
      <c r="BK1367" t="s">
        <v>65</v>
      </c>
      <c r="BL1367">
        <v>14000</v>
      </c>
      <c r="BM1367" s="1">
        <v>42917</v>
      </c>
      <c r="BN1367" s="1">
        <v>42917</v>
      </c>
      <c r="BO1367" s="1">
        <v>42917</v>
      </c>
      <c r="BP1367" s="1">
        <v>44117</v>
      </c>
      <c r="BQ1367" t="s">
        <v>51</v>
      </c>
      <c r="BS1367" t="s">
        <v>60</v>
      </c>
      <c r="BT1367" t="s">
        <v>54</v>
      </c>
      <c r="BU1367" t="s">
        <v>61</v>
      </c>
      <c r="BV1367" t="s">
        <v>62</v>
      </c>
      <c r="BX1367">
        <v>36</v>
      </c>
      <c r="BY1367">
        <v>0</v>
      </c>
      <c r="BZ1367">
        <v>0</v>
      </c>
    </row>
    <row r="1368" spans="1:78" x14ac:dyDescent="0.2">
      <c r="A1368" t="s">
        <v>180</v>
      </c>
      <c r="B1368" t="s">
        <v>181</v>
      </c>
      <c r="C1368" t="s">
        <v>184</v>
      </c>
      <c r="D1368" t="s">
        <v>752</v>
      </c>
      <c r="F1368" t="str">
        <f>"251038"</f>
        <v>251038</v>
      </c>
      <c r="G1368" t="s">
        <v>49</v>
      </c>
      <c r="H1368" t="s">
        <v>593</v>
      </c>
      <c r="K1368" t="s">
        <v>51</v>
      </c>
      <c r="L1368" t="s">
        <v>52</v>
      </c>
      <c r="M1368">
        <v>136300.09</v>
      </c>
      <c r="N1368">
        <v>472409.06</v>
      </c>
      <c r="O1368" t="s">
        <v>53</v>
      </c>
      <c r="P1368" t="s">
        <v>54</v>
      </c>
      <c r="Q1368" t="s">
        <v>55</v>
      </c>
      <c r="T1368" t="s">
        <v>241</v>
      </c>
      <c r="U1368">
        <v>40</v>
      </c>
      <c r="V1368" s="1">
        <v>35977</v>
      </c>
      <c r="W1368" s="1">
        <v>35977</v>
      </c>
      <c r="X1368" s="1">
        <v>35977</v>
      </c>
      <c r="Y1368" s="1">
        <v>50587</v>
      </c>
      <c r="Z1368" t="s">
        <v>51</v>
      </c>
      <c r="AB1368" t="s">
        <v>54</v>
      </c>
      <c r="AC1368">
        <v>1</v>
      </c>
      <c r="AE1368" t="s">
        <v>79</v>
      </c>
      <c r="AF1368">
        <v>20</v>
      </c>
      <c r="AG1368" s="1">
        <v>35977</v>
      </c>
      <c r="AH1368" s="1">
        <v>35977</v>
      </c>
      <c r="AI1368" s="1">
        <v>35977</v>
      </c>
      <c r="AJ1368" s="1">
        <v>43282</v>
      </c>
      <c r="AK1368" t="s">
        <v>51</v>
      </c>
      <c r="AN1368">
        <v>0</v>
      </c>
      <c r="AO1368" t="s">
        <v>54</v>
      </c>
      <c r="AP1368" t="s">
        <v>53</v>
      </c>
      <c r="AQ1368">
        <v>0</v>
      </c>
      <c r="AR1368" t="s">
        <v>145</v>
      </c>
      <c r="AS1368">
        <v>0</v>
      </c>
      <c r="AT1368">
        <v>0</v>
      </c>
      <c r="AW1368" t="s">
        <v>58</v>
      </c>
      <c r="AX1368">
        <v>20</v>
      </c>
      <c r="AY1368" s="1">
        <v>35977</v>
      </c>
      <c r="AZ1368" s="1">
        <v>35977</v>
      </c>
      <c r="BA1368" s="1">
        <v>35977</v>
      </c>
      <c r="BB1368" s="1">
        <v>43282</v>
      </c>
      <c r="BC1368" t="s">
        <v>51</v>
      </c>
      <c r="BE1368" t="s">
        <v>54</v>
      </c>
      <c r="BF1368">
        <v>2</v>
      </c>
      <c r="BG1368">
        <v>0</v>
      </c>
      <c r="BH1368" t="s">
        <v>53</v>
      </c>
      <c r="BK1368" t="s">
        <v>59</v>
      </c>
      <c r="BL1368">
        <v>14000</v>
      </c>
      <c r="BM1368" s="1">
        <v>42917</v>
      </c>
      <c r="BN1368" s="1">
        <v>42917</v>
      </c>
      <c r="BO1368" s="1">
        <v>42917</v>
      </c>
      <c r="BP1368" s="1">
        <v>44117</v>
      </c>
      <c r="BQ1368" t="s">
        <v>51</v>
      </c>
      <c r="BS1368" t="s">
        <v>60</v>
      </c>
      <c r="BT1368" t="s">
        <v>54</v>
      </c>
      <c r="BU1368" t="s">
        <v>61</v>
      </c>
      <c r="BV1368" t="s">
        <v>62</v>
      </c>
      <c r="BX1368">
        <v>24</v>
      </c>
      <c r="BY1368">
        <v>0</v>
      </c>
      <c r="BZ1368">
        <v>0</v>
      </c>
    </row>
    <row r="1369" spans="1:78" x14ac:dyDescent="0.2">
      <c r="A1369" t="s">
        <v>180</v>
      </c>
      <c r="B1369" t="s">
        <v>181</v>
      </c>
      <c r="C1369" t="s">
        <v>184</v>
      </c>
      <c r="D1369" t="s">
        <v>752</v>
      </c>
      <c r="F1369" t="str">
        <f>"251039"</f>
        <v>251039</v>
      </c>
      <c r="G1369" t="s">
        <v>49</v>
      </c>
      <c r="H1369" t="s">
        <v>214</v>
      </c>
      <c r="K1369" t="s">
        <v>51</v>
      </c>
      <c r="L1369" t="s">
        <v>52</v>
      </c>
      <c r="M1369">
        <v>136331.59</v>
      </c>
      <c r="N1369">
        <v>472387.53</v>
      </c>
      <c r="O1369" t="s">
        <v>53</v>
      </c>
      <c r="P1369" t="s">
        <v>54</v>
      </c>
      <c r="Q1369" t="s">
        <v>55</v>
      </c>
      <c r="T1369" t="s">
        <v>239</v>
      </c>
      <c r="U1369">
        <v>40</v>
      </c>
      <c r="V1369" s="1">
        <v>36708</v>
      </c>
      <c r="W1369" s="1">
        <v>36708</v>
      </c>
      <c r="X1369" s="1">
        <v>36708</v>
      </c>
      <c r="Y1369" s="1">
        <v>51318</v>
      </c>
      <c r="Z1369" t="s">
        <v>51</v>
      </c>
      <c r="AB1369" t="s">
        <v>54</v>
      </c>
      <c r="AC1369">
        <v>1</v>
      </c>
      <c r="AE1369" t="s">
        <v>222</v>
      </c>
      <c r="AF1369">
        <v>20</v>
      </c>
      <c r="AG1369" s="1">
        <v>36708</v>
      </c>
      <c r="AH1369" s="1">
        <v>36708</v>
      </c>
      <c r="AI1369" s="1">
        <v>36708</v>
      </c>
      <c r="AJ1369" s="1">
        <v>44013</v>
      </c>
      <c r="AK1369" t="s">
        <v>51</v>
      </c>
      <c r="AN1369">
        <v>0</v>
      </c>
      <c r="AO1369" t="s">
        <v>54</v>
      </c>
      <c r="AP1369" t="s">
        <v>53</v>
      </c>
      <c r="AQ1369">
        <v>0</v>
      </c>
      <c r="AR1369" t="s">
        <v>53</v>
      </c>
      <c r="AS1369">
        <v>0</v>
      </c>
      <c r="AT1369">
        <v>0</v>
      </c>
      <c r="AW1369" t="s">
        <v>58</v>
      </c>
      <c r="AX1369">
        <v>20</v>
      </c>
      <c r="AY1369" s="1">
        <v>36708</v>
      </c>
      <c r="AZ1369" s="1">
        <v>36708</v>
      </c>
      <c r="BA1369" s="1">
        <v>36708</v>
      </c>
      <c r="BB1369" s="1">
        <v>44013</v>
      </c>
      <c r="BC1369" t="s">
        <v>51</v>
      </c>
      <c r="BE1369" t="s">
        <v>54</v>
      </c>
      <c r="BF1369">
        <v>2</v>
      </c>
      <c r="BG1369">
        <v>0</v>
      </c>
      <c r="BH1369" t="s">
        <v>53</v>
      </c>
      <c r="BK1369" t="s">
        <v>59</v>
      </c>
      <c r="BL1369">
        <v>14000</v>
      </c>
      <c r="BM1369" s="1">
        <v>42917</v>
      </c>
      <c r="BN1369" s="1">
        <v>42917</v>
      </c>
      <c r="BO1369" s="1">
        <v>42917</v>
      </c>
      <c r="BP1369" s="1">
        <v>44117</v>
      </c>
      <c r="BQ1369" t="s">
        <v>51</v>
      </c>
      <c r="BS1369" t="s">
        <v>60</v>
      </c>
      <c r="BT1369" t="s">
        <v>54</v>
      </c>
      <c r="BU1369" t="s">
        <v>61</v>
      </c>
      <c r="BV1369" t="s">
        <v>62</v>
      </c>
      <c r="BX1369">
        <v>24</v>
      </c>
      <c r="BY1369">
        <v>0</v>
      </c>
      <c r="BZ1369">
        <v>0</v>
      </c>
    </row>
    <row r="1370" spans="1:78" x14ac:dyDescent="0.2">
      <c r="A1370" t="s">
        <v>180</v>
      </c>
      <c r="B1370" t="s">
        <v>181</v>
      </c>
      <c r="C1370" t="s">
        <v>184</v>
      </c>
      <c r="D1370" t="s">
        <v>752</v>
      </c>
      <c r="F1370" t="str">
        <f>"254501"</f>
        <v>254501</v>
      </c>
      <c r="G1370" t="s">
        <v>49</v>
      </c>
      <c r="H1370" t="s">
        <v>97</v>
      </c>
      <c r="K1370" t="s">
        <v>51</v>
      </c>
      <c r="L1370" t="s">
        <v>52</v>
      </c>
      <c r="M1370">
        <v>136317.60999999999</v>
      </c>
      <c r="N1370">
        <v>472375.78</v>
      </c>
      <c r="O1370" t="s">
        <v>53</v>
      </c>
      <c r="P1370" t="s">
        <v>54</v>
      </c>
      <c r="Q1370" t="s">
        <v>55</v>
      </c>
      <c r="T1370" t="s">
        <v>100</v>
      </c>
      <c r="U1370">
        <v>40</v>
      </c>
      <c r="V1370" s="1">
        <v>44760</v>
      </c>
      <c r="W1370" s="1">
        <v>44760</v>
      </c>
      <c r="X1370" s="1">
        <v>44760</v>
      </c>
      <c r="Y1370" s="1">
        <v>59370</v>
      </c>
      <c r="Z1370" t="s">
        <v>51</v>
      </c>
      <c r="AB1370" t="s">
        <v>54</v>
      </c>
      <c r="AC1370">
        <v>1</v>
      </c>
      <c r="AE1370" t="s">
        <v>222</v>
      </c>
      <c r="AF1370">
        <v>20</v>
      </c>
      <c r="AG1370" s="1">
        <v>36708</v>
      </c>
      <c r="AH1370" s="1">
        <v>36708</v>
      </c>
      <c r="AI1370" s="1">
        <v>44760</v>
      </c>
      <c r="AJ1370" s="1">
        <v>44013</v>
      </c>
      <c r="AK1370" t="s">
        <v>51</v>
      </c>
      <c r="AN1370">
        <v>0</v>
      </c>
      <c r="AO1370" t="s">
        <v>54</v>
      </c>
      <c r="AP1370" t="s">
        <v>53</v>
      </c>
      <c r="AQ1370">
        <v>0</v>
      </c>
      <c r="AR1370" t="s">
        <v>53</v>
      </c>
      <c r="AS1370">
        <v>0</v>
      </c>
      <c r="AT1370">
        <v>0</v>
      </c>
      <c r="AW1370" t="s">
        <v>58</v>
      </c>
      <c r="AX1370">
        <v>20</v>
      </c>
      <c r="AY1370" s="1">
        <v>36708</v>
      </c>
      <c r="AZ1370" s="1">
        <v>36708</v>
      </c>
      <c r="BA1370" s="1">
        <v>44760</v>
      </c>
      <c r="BB1370" s="1">
        <v>44013</v>
      </c>
      <c r="BC1370" t="s">
        <v>51</v>
      </c>
      <c r="BE1370" t="s">
        <v>54</v>
      </c>
      <c r="BF1370">
        <v>2</v>
      </c>
      <c r="BG1370">
        <v>0</v>
      </c>
      <c r="BH1370" t="s">
        <v>53</v>
      </c>
      <c r="BK1370" t="s">
        <v>65</v>
      </c>
      <c r="BL1370">
        <v>14000</v>
      </c>
      <c r="BM1370" s="1">
        <v>42917</v>
      </c>
      <c r="BN1370" s="1">
        <v>42917</v>
      </c>
      <c r="BO1370" s="1">
        <v>44760</v>
      </c>
      <c r="BP1370" s="1">
        <v>44117</v>
      </c>
      <c r="BQ1370" t="s">
        <v>51</v>
      </c>
      <c r="BS1370" t="s">
        <v>60</v>
      </c>
      <c r="BT1370" t="s">
        <v>54</v>
      </c>
      <c r="BU1370" t="s">
        <v>61</v>
      </c>
      <c r="BV1370" t="s">
        <v>62</v>
      </c>
      <c r="BX1370">
        <v>36</v>
      </c>
      <c r="BY1370">
        <v>0</v>
      </c>
      <c r="BZ1370">
        <v>0</v>
      </c>
    </row>
    <row r="1371" spans="1:78" x14ac:dyDescent="0.2">
      <c r="A1371" t="s">
        <v>180</v>
      </c>
      <c r="B1371" t="s">
        <v>181</v>
      </c>
      <c r="C1371" t="s">
        <v>184</v>
      </c>
      <c r="D1371" t="s">
        <v>752</v>
      </c>
      <c r="F1371" t="str">
        <f>"251041"</f>
        <v>251041</v>
      </c>
      <c r="G1371" t="s">
        <v>49</v>
      </c>
      <c r="K1371" t="s">
        <v>51</v>
      </c>
      <c r="L1371" t="s">
        <v>52</v>
      </c>
      <c r="M1371">
        <v>136326.103</v>
      </c>
      <c r="N1371">
        <v>472362.70299999998</v>
      </c>
      <c r="O1371" t="s">
        <v>53</v>
      </c>
      <c r="P1371" t="s">
        <v>54</v>
      </c>
      <c r="Q1371" t="s">
        <v>55</v>
      </c>
      <c r="T1371" t="s">
        <v>608</v>
      </c>
      <c r="U1371">
        <v>40</v>
      </c>
      <c r="V1371" s="1">
        <v>36708</v>
      </c>
      <c r="W1371" s="1">
        <v>36708</v>
      </c>
      <c r="X1371" s="1">
        <v>36708</v>
      </c>
      <c r="Y1371" s="1">
        <v>51318</v>
      </c>
      <c r="Z1371" t="s">
        <v>51</v>
      </c>
      <c r="AB1371" t="s">
        <v>54</v>
      </c>
      <c r="AC1371">
        <v>1</v>
      </c>
      <c r="AE1371" t="s">
        <v>84</v>
      </c>
      <c r="AF1371">
        <v>20</v>
      </c>
      <c r="AG1371" s="1">
        <v>36708</v>
      </c>
      <c r="AH1371" s="1">
        <v>36708</v>
      </c>
      <c r="AI1371" s="1">
        <v>36708</v>
      </c>
      <c r="AJ1371" s="1">
        <v>44013</v>
      </c>
      <c r="AK1371" t="s">
        <v>51</v>
      </c>
      <c r="AN1371">
        <v>0</v>
      </c>
      <c r="AO1371" t="s">
        <v>54</v>
      </c>
      <c r="AP1371" t="s">
        <v>53</v>
      </c>
      <c r="AQ1371">
        <v>0</v>
      </c>
      <c r="AR1371" t="s">
        <v>53</v>
      </c>
      <c r="AS1371">
        <v>0</v>
      </c>
      <c r="AT1371">
        <v>0</v>
      </c>
      <c r="AW1371" t="s">
        <v>58</v>
      </c>
      <c r="AX1371">
        <v>20</v>
      </c>
      <c r="AY1371" s="1">
        <v>36708</v>
      </c>
      <c r="AZ1371" s="1">
        <v>36708</v>
      </c>
      <c r="BA1371" s="1">
        <v>36708</v>
      </c>
      <c r="BB1371" s="1">
        <v>44013</v>
      </c>
      <c r="BC1371" t="s">
        <v>51</v>
      </c>
      <c r="BE1371" t="s">
        <v>54</v>
      </c>
      <c r="BF1371">
        <v>2</v>
      </c>
      <c r="BG1371">
        <v>0</v>
      </c>
      <c r="BH1371" t="s">
        <v>53</v>
      </c>
      <c r="BK1371" t="s">
        <v>59</v>
      </c>
      <c r="BL1371">
        <v>14000</v>
      </c>
      <c r="BM1371" s="1">
        <v>42917</v>
      </c>
      <c r="BN1371" s="1">
        <v>42917</v>
      </c>
      <c r="BO1371" s="1">
        <v>42917</v>
      </c>
      <c r="BP1371" s="1">
        <v>44117</v>
      </c>
      <c r="BQ1371" t="s">
        <v>51</v>
      </c>
      <c r="BS1371" t="s">
        <v>60</v>
      </c>
      <c r="BT1371" t="s">
        <v>54</v>
      </c>
      <c r="BU1371" t="s">
        <v>61</v>
      </c>
      <c r="BV1371" t="s">
        <v>62</v>
      </c>
      <c r="BX1371">
        <v>24</v>
      </c>
      <c r="BY1371">
        <v>0</v>
      </c>
      <c r="BZ1371">
        <v>0</v>
      </c>
    </row>
    <row r="1372" spans="1:78" x14ac:dyDescent="0.2">
      <c r="A1372" t="s">
        <v>180</v>
      </c>
      <c r="B1372" t="s">
        <v>181</v>
      </c>
      <c r="C1372" t="s">
        <v>184</v>
      </c>
      <c r="D1372" t="s">
        <v>757</v>
      </c>
      <c r="F1372" t="str">
        <f>"251042"</f>
        <v>251042</v>
      </c>
      <c r="G1372" t="s">
        <v>49</v>
      </c>
      <c r="K1372" t="s">
        <v>51</v>
      </c>
      <c r="L1372" t="s">
        <v>52</v>
      </c>
      <c r="M1372">
        <v>136670.1</v>
      </c>
      <c r="N1372">
        <v>472676.47</v>
      </c>
      <c r="O1372" t="s">
        <v>53</v>
      </c>
      <c r="P1372" t="s">
        <v>54</v>
      </c>
      <c r="Q1372" t="s">
        <v>55</v>
      </c>
      <c r="T1372" t="s">
        <v>241</v>
      </c>
      <c r="U1372">
        <v>40</v>
      </c>
      <c r="V1372" s="1">
        <v>35247</v>
      </c>
      <c r="W1372" s="1">
        <v>35247</v>
      </c>
      <c r="X1372" s="1">
        <v>35247</v>
      </c>
      <c r="Y1372" s="1">
        <v>49857</v>
      </c>
      <c r="Z1372" t="s">
        <v>51</v>
      </c>
      <c r="AB1372" t="s">
        <v>54</v>
      </c>
      <c r="AC1372">
        <v>1</v>
      </c>
      <c r="AE1372" t="s">
        <v>222</v>
      </c>
      <c r="AF1372">
        <v>20</v>
      </c>
      <c r="AG1372" s="1">
        <v>35247</v>
      </c>
      <c r="AH1372" s="1">
        <v>35247</v>
      </c>
      <c r="AI1372" s="1">
        <v>35247</v>
      </c>
      <c r="AJ1372" s="1">
        <v>42552</v>
      </c>
      <c r="AK1372" t="s">
        <v>51</v>
      </c>
      <c r="AN1372">
        <v>0</v>
      </c>
      <c r="AO1372" t="s">
        <v>54</v>
      </c>
      <c r="AP1372" t="s">
        <v>53</v>
      </c>
      <c r="AQ1372">
        <v>0</v>
      </c>
      <c r="AR1372" t="s">
        <v>53</v>
      </c>
      <c r="AS1372">
        <v>0</v>
      </c>
      <c r="AT1372">
        <v>0</v>
      </c>
      <c r="AW1372" t="s">
        <v>58</v>
      </c>
      <c r="AX1372">
        <v>20</v>
      </c>
      <c r="AY1372" s="1">
        <v>35247</v>
      </c>
      <c r="AZ1372" s="1">
        <v>35247</v>
      </c>
      <c r="BA1372" s="1">
        <v>35247</v>
      </c>
      <c r="BB1372" s="1">
        <v>42552</v>
      </c>
      <c r="BC1372" t="s">
        <v>51</v>
      </c>
      <c r="BE1372" t="s">
        <v>54</v>
      </c>
      <c r="BF1372">
        <v>2</v>
      </c>
      <c r="BG1372">
        <v>0</v>
      </c>
      <c r="BH1372" t="s">
        <v>53</v>
      </c>
      <c r="BK1372" t="s">
        <v>65</v>
      </c>
      <c r="BL1372">
        <v>14000</v>
      </c>
      <c r="BM1372" s="1">
        <v>44551</v>
      </c>
      <c r="BN1372" s="1">
        <v>44551</v>
      </c>
      <c r="BO1372" s="1">
        <v>44551</v>
      </c>
      <c r="BP1372" s="1">
        <v>45712</v>
      </c>
      <c r="BQ1372" t="s">
        <v>51</v>
      </c>
      <c r="BS1372" t="s">
        <v>60</v>
      </c>
      <c r="BT1372" t="s">
        <v>54</v>
      </c>
      <c r="BU1372" t="s">
        <v>61</v>
      </c>
      <c r="BV1372" t="s">
        <v>62</v>
      </c>
      <c r="BX1372">
        <v>36</v>
      </c>
      <c r="BY1372">
        <v>0</v>
      </c>
      <c r="BZ1372">
        <v>0</v>
      </c>
    </row>
    <row r="1373" spans="1:78" x14ac:dyDescent="0.2">
      <c r="A1373" t="s">
        <v>180</v>
      </c>
      <c r="B1373" t="s">
        <v>181</v>
      </c>
      <c r="C1373" t="s">
        <v>184</v>
      </c>
      <c r="D1373" t="s">
        <v>757</v>
      </c>
      <c r="F1373" t="str">
        <f>"251043"</f>
        <v>251043</v>
      </c>
      <c r="G1373" t="s">
        <v>49</v>
      </c>
      <c r="K1373" t="s">
        <v>51</v>
      </c>
      <c r="L1373" t="s">
        <v>52</v>
      </c>
      <c r="M1373">
        <v>136679.10999999999</v>
      </c>
      <c r="N1373">
        <v>472695.94</v>
      </c>
      <c r="O1373" t="s">
        <v>53</v>
      </c>
      <c r="P1373" t="s">
        <v>54</v>
      </c>
      <c r="Q1373" t="s">
        <v>55</v>
      </c>
      <c r="T1373" t="s">
        <v>241</v>
      </c>
      <c r="U1373">
        <v>40</v>
      </c>
      <c r="V1373" s="1">
        <v>35247</v>
      </c>
      <c r="W1373" s="1">
        <v>35247</v>
      </c>
      <c r="X1373" s="1">
        <v>35247</v>
      </c>
      <c r="Y1373" s="1">
        <v>49857</v>
      </c>
      <c r="Z1373" t="s">
        <v>51</v>
      </c>
      <c r="AB1373" t="s">
        <v>54</v>
      </c>
      <c r="AC1373">
        <v>1</v>
      </c>
      <c r="AE1373" t="s">
        <v>222</v>
      </c>
      <c r="AF1373">
        <v>20</v>
      </c>
      <c r="AG1373" s="1">
        <v>35247</v>
      </c>
      <c r="AH1373" s="1">
        <v>35247</v>
      </c>
      <c r="AI1373" s="1">
        <v>35247</v>
      </c>
      <c r="AJ1373" s="1">
        <v>42552</v>
      </c>
      <c r="AK1373" t="s">
        <v>51</v>
      </c>
      <c r="AN1373">
        <v>0</v>
      </c>
      <c r="AO1373" t="s">
        <v>54</v>
      </c>
      <c r="AP1373" t="s">
        <v>53</v>
      </c>
      <c r="AQ1373">
        <v>0</v>
      </c>
      <c r="AR1373" t="s">
        <v>53</v>
      </c>
      <c r="AS1373">
        <v>0</v>
      </c>
      <c r="AT1373">
        <v>0</v>
      </c>
      <c r="AW1373" t="s">
        <v>58</v>
      </c>
      <c r="AX1373">
        <v>20</v>
      </c>
      <c r="AY1373" s="1">
        <v>35247</v>
      </c>
      <c r="AZ1373" s="1">
        <v>35247</v>
      </c>
      <c r="BA1373" s="1">
        <v>35247</v>
      </c>
      <c r="BB1373" s="1">
        <v>42552</v>
      </c>
      <c r="BC1373" t="s">
        <v>51</v>
      </c>
      <c r="BE1373" t="s">
        <v>54</v>
      </c>
      <c r="BF1373">
        <v>2</v>
      </c>
      <c r="BG1373">
        <v>0</v>
      </c>
      <c r="BH1373" t="s">
        <v>53</v>
      </c>
      <c r="BK1373" t="s">
        <v>65</v>
      </c>
      <c r="BL1373">
        <v>14000</v>
      </c>
      <c r="BM1373" s="1">
        <v>44551</v>
      </c>
      <c r="BN1373" s="1">
        <v>44551</v>
      </c>
      <c r="BO1373" s="1">
        <v>44551</v>
      </c>
      <c r="BP1373" s="1">
        <v>45712</v>
      </c>
      <c r="BQ1373" t="s">
        <v>51</v>
      </c>
      <c r="BS1373" t="s">
        <v>60</v>
      </c>
      <c r="BT1373" t="s">
        <v>54</v>
      </c>
      <c r="BU1373" t="s">
        <v>61</v>
      </c>
      <c r="BV1373" t="s">
        <v>62</v>
      </c>
      <c r="BX1373">
        <v>36</v>
      </c>
      <c r="BY1373">
        <v>0</v>
      </c>
      <c r="BZ1373">
        <v>0</v>
      </c>
    </row>
    <row r="1374" spans="1:78" x14ac:dyDescent="0.2">
      <c r="A1374" t="s">
        <v>180</v>
      </c>
      <c r="B1374" t="s">
        <v>181</v>
      </c>
      <c r="C1374" t="s">
        <v>184</v>
      </c>
      <c r="D1374" t="s">
        <v>757</v>
      </c>
      <c r="F1374" t="str">
        <f>"251044"</f>
        <v>251044</v>
      </c>
      <c r="G1374" t="s">
        <v>49</v>
      </c>
      <c r="K1374" t="s">
        <v>51</v>
      </c>
      <c r="L1374" t="s">
        <v>52</v>
      </c>
      <c r="M1374">
        <v>136689.03</v>
      </c>
      <c r="N1374">
        <v>472718.41</v>
      </c>
      <c r="O1374" t="s">
        <v>53</v>
      </c>
      <c r="P1374" t="s">
        <v>54</v>
      </c>
      <c r="Q1374" t="s">
        <v>55</v>
      </c>
      <c r="T1374" t="s">
        <v>241</v>
      </c>
      <c r="U1374">
        <v>40</v>
      </c>
      <c r="V1374" s="1">
        <v>35247</v>
      </c>
      <c r="W1374" s="1">
        <v>35247</v>
      </c>
      <c r="X1374" s="1">
        <v>35247</v>
      </c>
      <c r="Y1374" s="1">
        <v>49857</v>
      </c>
      <c r="Z1374" t="s">
        <v>51</v>
      </c>
      <c r="AB1374" t="s">
        <v>54</v>
      </c>
      <c r="AC1374">
        <v>1</v>
      </c>
      <c r="AE1374" t="s">
        <v>222</v>
      </c>
      <c r="AF1374">
        <v>20</v>
      </c>
      <c r="AG1374" s="1">
        <v>35247</v>
      </c>
      <c r="AH1374" s="1">
        <v>35247</v>
      </c>
      <c r="AI1374" s="1">
        <v>35247</v>
      </c>
      <c r="AJ1374" s="1">
        <v>42552</v>
      </c>
      <c r="AK1374" t="s">
        <v>51</v>
      </c>
      <c r="AN1374">
        <v>0</v>
      </c>
      <c r="AO1374" t="s">
        <v>54</v>
      </c>
      <c r="AP1374" t="s">
        <v>53</v>
      </c>
      <c r="AQ1374">
        <v>0</v>
      </c>
      <c r="AR1374" t="s">
        <v>53</v>
      </c>
      <c r="AS1374">
        <v>0</v>
      </c>
      <c r="AT1374">
        <v>0</v>
      </c>
      <c r="AW1374" t="s">
        <v>58</v>
      </c>
      <c r="AX1374">
        <v>20</v>
      </c>
      <c r="AY1374" s="1">
        <v>44452</v>
      </c>
      <c r="AZ1374" s="1">
        <v>44452</v>
      </c>
      <c r="BA1374" s="1">
        <v>44452</v>
      </c>
      <c r="BB1374" s="1">
        <v>51757</v>
      </c>
      <c r="BC1374" t="s">
        <v>51</v>
      </c>
      <c r="BE1374" t="s">
        <v>54</v>
      </c>
      <c r="BF1374">
        <v>2</v>
      </c>
      <c r="BG1374">
        <v>0</v>
      </c>
      <c r="BH1374" t="s">
        <v>53</v>
      </c>
      <c r="BK1374" t="s">
        <v>65</v>
      </c>
      <c r="BL1374">
        <v>14000</v>
      </c>
      <c r="BM1374" s="1">
        <v>44452</v>
      </c>
      <c r="BN1374" s="1">
        <v>44452</v>
      </c>
      <c r="BO1374" s="1">
        <v>44452</v>
      </c>
      <c r="BP1374" s="1">
        <v>45620</v>
      </c>
      <c r="BQ1374" t="s">
        <v>51</v>
      </c>
      <c r="BS1374" t="s">
        <v>60</v>
      </c>
      <c r="BT1374" t="s">
        <v>54</v>
      </c>
      <c r="BU1374" t="s">
        <v>61</v>
      </c>
      <c r="BV1374" t="s">
        <v>62</v>
      </c>
      <c r="BX1374">
        <v>36</v>
      </c>
      <c r="BY1374">
        <v>0</v>
      </c>
      <c r="BZ1374">
        <v>0</v>
      </c>
    </row>
    <row r="1375" spans="1:78" x14ac:dyDescent="0.2">
      <c r="A1375" t="s">
        <v>180</v>
      </c>
      <c r="B1375" t="s">
        <v>181</v>
      </c>
      <c r="C1375" t="s">
        <v>184</v>
      </c>
      <c r="D1375" t="s">
        <v>757</v>
      </c>
      <c r="F1375" t="str">
        <f>"251045"</f>
        <v>251045</v>
      </c>
      <c r="G1375" t="s">
        <v>49</v>
      </c>
      <c r="H1375" t="s">
        <v>233</v>
      </c>
      <c r="K1375" t="s">
        <v>51</v>
      </c>
      <c r="L1375" t="s">
        <v>52</v>
      </c>
      <c r="M1375">
        <v>136699.14000000001</v>
      </c>
      <c r="N1375">
        <v>472739.75</v>
      </c>
      <c r="O1375" t="s">
        <v>53</v>
      </c>
      <c r="P1375" t="s">
        <v>54</v>
      </c>
      <c r="Q1375" t="s">
        <v>55</v>
      </c>
      <c r="T1375" t="s">
        <v>241</v>
      </c>
      <c r="U1375">
        <v>40</v>
      </c>
      <c r="V1375" s="1">
        <v>35247</v>
      </c>
      <c r="W1375" s="1">
        <v>35247</v>
      </c>
      <c r="X1375" s="1">
        <v>35247</v>
      </c>
      <c r="Y1375" s="1">
        <v>49857</v>
      </c>
      <c r="Z1375" t="s">
        <v>51</v>
      </c>
      <c r="AB1375" t="s">
        <v>54</v>
      </c>
      <c r="AC1375">
        <v>1</v>
      </c>
      <c r="AE1375" t="s">
        <v>222</v>
      </c>
      <c r="AF1375">
        <v>20</v>
      </c>
      <c r="AG1375" s="1">
        <v>35247</v>
      </c>
      <c r="AH1375" s="1">
        <v>35247</v>
      </c>
      <c r="AI1375" s="1">
        <v>35247</v>
      </c>
      <c r="AJ1375" s="1">
        <v>42552</v>
      </c>
      <c r="AK1375" t="s">
        <v>51</v>
      </c>
      <c r="AN1375">
        <v>0</v>
      </c>
      <c r="AO1375" t="s">
        <v>54</v>
      </c>
      <c r="AP1375" t="s">
        <v>53</v>
      </c>
      <c r="AQ1375">
        <v>0</v>
      </c>
      <c r="AR1375" t="s">
        <v>53</v>
      </c>
      <c r="AS1375">
        <v>0</v>
      </c>
      <c r="AT1375">
        <v>0</v>
      </c>
      <c r="AW1375" t="s">
        <v>58</v>
      </c>
      <c r="AX1375">
        <v>20</v>
      </c>
      <c r="AY1375" s="1">
        <v>35247</v>
      </c>
      <c r="AZ1375" s="1">
        <v>35247</v>
      </c>
      <c r="BA1375" s="1">
        <v>35247</v>
      </c>
      <c r="BB1375" s="1">
        <v>42552</v>
      </c>
      <c r="BC1375" t="s">
        <v>51</v>
      </c>
      <c r="BE1375" t="s">
        <v>54</v>
      </c>
      <c r="BF1375">
        <v>2</v>
      </c>
      <c r="BG1375">
        <v>0</v>
      </c>
      <c r="BH1375" t="s">
        <v>53</v>
      </c>
      <c r="BK1375" t="s">
        <v>65</v>
      </c>
      <c r="BL1375">
        <v>14000</v>
      </c>
      <c r="BM1375" s="1">
        <v>41091</v>
      </c>
      <c r="BN1375" s="1">
        <v>41091</v>
      </c>
      <c r="BO1375" s="1">
        <v>41091</v>
      </c>
      <c r="BP1375" s="1">
        <v>42291</v>
      </c>
      <c r="BQ1375" t="s">
        <v>51</v>
      </c>
      <c r="BS1375" t="s">
        <v>60</v>
      </c>
      <c r="BT1375" t="s">
        <v>54</v>
      </c>
      <c r="BU1375" t="s">
        <v>61</v>
      </c>
      <c r="BV1375" t="s">
        <v>62</v>
      </c>
      <c r="BX1375">
        <v>36</v>
      </c>
      <c r="BY1375">
        <v>0</v>
      </c>
      <c r="BZ1375">
        <v>0</v>
      </c>
    </row>
    <row r="1376" spans="1:78" x14ac:dyDescent="0.2">
      <c r="A1376" t="s">
        <v>180</v>
      </c>
      <c r="B1376" t="s">
        <v>181</v>
      </c>
      <c r="C1376" t="s">
        <v>184</v>
      </c>
      <c r="D1376" t="s">
        <v>757</v>
      </c>
      <c r="F1376" t="str">
        <f>"251046"</f>
        <v>251046</v>
      </c>
      <c r="G1376" t="s">
        <v>49</v>
      </c>
      <c r="K1376" t="s">
        <v>51</v>
      </c>
      <c r="L1376" t="s">
        <v>52</v>
      </c>
      <c r="M1376">
        <v>136709.59</v>
      </c>
      <c r="N1376">
        <v>472763.69</v>
      </c>
      <c r="O1376" t="s">
        <v>53</v>
      </c>
      <c r="P1376" t="s">
        <v>54</v>
      </c>
      <c r="Q1376" t="s">
        <v>55</v>
      </c>
      <c r="T1376" t="s">
        <v>241</v>
      </c>
      <c r="U1376">
        <v>40</v>
      </c>
      <c r="V1376" s="1">
        <v>35247</v>
      </c>
      <c r="W1376" s="1">
        <v>35247</v>
      </c>
      <c r="X1376" s="1">
        <v>35247</v>
      </c>
      <c r="Y1376" s="1">
        <v>49857</v>
      </c>
      <c r="Z1376" t="s">
        <v>51</v>
      </c>
      <c r="AB1376" t="s">
        <v>54</v>
      </c>
      <c r="AC1376">
        <v>1</v>
      </c>
      <c r="AE1376" t="s">
        <v>222</v>
      </c>
      <c r="AF1376">
        <v>20</v>
      </c>
      <c r="AG1376" s="1">
        <v>35247</v>
      </c>
      <c r="AH1376" s="1">
        <v>35247</v>
      </c>
      <c r="AI1376" s="1">
        <v>35247</v>
      </c>
      <c r="AJ1376" s="1">
        <v>42552</v>
      </c>
      <c r="AK1376" t="s">
        <v>51</v>
      </c>
      <c r="AN1376">
        <v>0</v>
      </c>
      <c r="AO1376" t="s">
        <v>54</v>
      </c>
      <c r="AP1376" t="s">
        <v>53</v>
      </c>
      <c r="AQ1376">
        <v>0</v>
      </c>
      <c r="AR1376" t="s">
        <v>53</v>
      </c>
      <c r="AS1376">
        <v>0</v>
      </c>
      <c r="AT1376">
        <v>0</v>
      </c>
      <c r="AW1376" t="s">
        <v>58</v>
      </c>
      <c r="AX1376">
        <v>20</v>
      </c>
      <c r="AY1376" s="1">
        <v>35247</v>
      </c>
      <c r="AZ1376" s="1">
        <v>35247</v>
      </c>
      <c r="BA1376" s="1">
        <v>35247</v>
      </c>
      <c r="BB1376" s="1">
        <v>42552</v>
      </c>
      <c r="BC1376" t="s">
        <v>51</v>
      </c>
      <c r="BE1376" t="s">
        <v>54</v>
      </c>
      <c r="BF1376">
        <v>2</v>
      </c>
      <c r="BG1376">
        <v>0</v>
      </c>
      <c r="BH1376" t="s">
        <v>53</v>
      </c>
      <c r="BK1376" t="s">
        <v>65</v>
      </c>
      <c r="BL1376">
        <v>14000</v>
      </c>
      <c r="BM1376" s="1">
        <v>41091</v>
      </c>
      <c r="BN1376" s="1">
        <v>41091</v>
      </c>
      <c r="BO1376" s="1">
        <v>41091</v>
      </c>
      <c r="BP1376" s="1">
        <v>42291</v>
      </c>
      <c r="BQ1376" t="s">
        <v>51</v>
      </c>
      <c r="BS1376" t="s">
        <v>60</v>
      </c>
      <c r="BT1376" t="s">
        <v>54</v>
      </c>
      <c r="BU1376" t="s">
        <v>61</v>
      </c>
      <c r="BV1376" t="s">
        <v>62</v>
      </c>
      <c r="BX1376">
        <v>36</v>
      </c>
      <c r="BY1376">
        <v>0</v>
      </c>
      <c r="BZ1376">
        <v>0</v>
      </c>
    </row>
    <row r="1377" spans="1:78" x14ac:dyDescent="0.2">
      <c r="A1377" t="s">
        <v>180</v>
      </c>
      <c r="B1377" t="s">
        <v>181</v>
      </c>
      <c r="C1377" t="s">
        <v>184</v>
      </c>
      <c r="D1377" t="s">
        <v>757</v>
      </c>
      <c r="F1377" t="str">
        <f>"251047"</f>
        <v>251047</v>
      </c>
      <c r="G1377" t="s">
        <v>49</v>
      </c>
      <c r="H1377" t="s">
        <v>288</v>
      </c>
      <c r="K1377" t="s">
        <v>51</v>
      </c>
      <c r="L1377" t="s">
        <v>52</v>
      </c>
      <c r="M1377">
        <v>136719.10999999999</v>
      </c>
      <c r="N1377">
        <v>472785.46</v>
      </c>
      <c r="O1377" t="s">
        <v>53</v>
      </c>
      <c r="P1377" t="s">
        <v>54</v>
      </c>
      <c r="Q1377" t="s">
        <v>55</v>
      </c>
      <c r="T1377" t="s">
        <v>241</v>
      </c>
      <c r="U1377">
        <v>40</v>
      </c>
      <c r="V1377" s="1">
        <v>35247</v>
      </c>
      <c r="W1377" s="1">
        <v>35247</v>
      </c>
      <c r="X1377" s="1">
        <v>35247</v>
      </c>
      <c r="Y1377" s="1">
        <v>49857</v>
      </c>
      <c r="Z1377" t="s">
        <v>51</v>
      </c>
      <c r="AB1377" t="s">
        <v>54</v>
      </c>
      <c r="AC1377">
        <v>1</v>
      </c>
      <c r="AE1377" t="s">
        <v>222</v>
      </c>
      <c r="AF1377">
        <v>20</v>
      </c>
      <c r="AG1377" s="1">
        <v>35247</v>
      </c>
      <c r="AH1377" s="1">
        <v>35247</v>
      </c>
      <c r="AI1377" s="1">
        <v>35247</v>
      </c>
      <c r="AJ1377" s="1">
        <v>42552</v>
      </c>
      <c r="AK1377" t="s">
        <v>51</v>
      </c>
      <c r="AN1377">
        <v>0</v>
      </c>
      <c r="AO1377" t="s">
        <v>54</v>
      </c>
      <c r="AP1377" t="s">
        <v>53</v>
      </c>
      <c r="AQ1377">
        <v>0</v>
      </c>
      <c r="AR1377" t="s">
        <v>53</v>
      </c>
      <c r="AS1377">
        <v>0</v>
      </c>
      <c r="AT1377">
        <v>0</v>
      </c>
      <c r="AW1377" t="s">
        <v>58</v>
      </c>
      <c r="AX1377">
        <v>20</v>
      </c>
      <c r="AY1377" s="1">
        <v>35247</v>
      </c>
      <c r="AZ1377" s="1">
        <v>35247</v>
      </c>
      <c r="BA1377" s="1">
        <v>35247</v>
      </c>
      <c r="BB1377" s="1">
        <v>42552</v>
      </c>
      <c r="BC1377" t="s">
        <v>51</v>
      </c>
      <c r="BE1377" t="s">
        <v>54</v>
      </c>
      <c r="BF1377">
        <v>2</v>
      </c>
      <c r="BG1377">
        <v>0</v>
      </c>
      <c r="BH1377" t="s">
        <v>53</v>
      </c>
      <c r="BK1377" t="s">
        <v>65</v>
      </c>
      <c r="BL1377">
        <v>14000</v>
      </c>
      <c r="BM1377" s="1">
        <v>45054</v>
      </c>
      <c r="BN1377" s="1">
        <v>45054</v>
      </c>
      <c r="BO1377" s="1">
        <v>45054</v>
      </c>
      <c r="BP1377" s="1">
        <v>46274</v>
      </c>
      <c r="BQ1377" t="s">
        <v>51</v>
      </c>
      <c r="BS1377" t="s">
        <v>60</v>
      </c>
      <c r="BT1377" t="s">
        <v>54</v>
      </c>
      <c r="BU1377" t="s">
        <v>61</v>
      </c>
      <c r="BV1377" t="s">
        <v>62</v>
      </c>
      <c r="BX1377">
        <v>36</v>
      </c>
      <c r="BY1377">
        <v>0</v>
      </c>
      <c r="BZ1377">
        <v>0</v>
      </c>
    </row>
    <row r="1378" spans="1:78" x14ac:dyDescent="0.2">
      <c r="A1378" t="s">
        <v>180</v>
      </c>
      <c r="B1378" t="s">
        <v>181</v>
      </c>
      <c r="C1378" t="s">
        <v>184</v>
      </c>
      <c r="D1378" t="s">
        <v>757</v>
      </c>
      <c r="F1378" t="str">
        <f>"251048"</f>
        <v>251048</v>
      </c>
      <c r="G1378" t="s">
        <v>49</v>
      </c>
      <c r="H1378" t="s">
        <v>758</v>
      </c>
      <c r="K1378" t="s">
        <v>51</v>
      </c>
      <c r="L1378" t="s">
        <v>52</v>
      </c>
      <c r="M1378">
        <v>136711.41</v>
      </c>
      <c r="N1378">
        <v>472799.91</v>
      </c>
      <c r="O1378" t="s">
        <v>53</v>
      </c>
      <c r="P1378" t="s">
        <v>54</v>
      </c>
      <c r="Q1378" t="s">
        <v>55</v>
      </c>
      <c r="T1378" t="s">
        <v>241</v>
      </c>
      <c r="U1378">
        <v>40</v>
      </c>
      <c r="V1378" s="1">
        <v>35247</v>
      </c>
      <c r="W1378" s="1">
        <v>35247</v>
      </c>
      <c r="X1378" s="1">
        <v>35247</v>
      </c>
      <c r="Y1378" s="1">
        <v>49857</v>
      </c>
      <c r="Z1378" t="s">
        <v>51</v>
      </c>
      <c r="AB1378" t="s">
        <v>54</v>
      </c>
      <c r="AC1378">
        <v>1</v>
      </c>
      <c r="AE1378" t="s">
        <v>222</v>
      </c>
      <c r="AF1378">
        <v>20</v>
      </c>
      <c r="AG1378" s="1">
        <v>35247</v>
      </c>
      <c r="AH1378" s="1">
        <v>35247</v>
      </c>
      <c r="AI1378" s="1">
        <v>35247</v>
      </c>
      <c r="AJ1378" s="1">
        <v>42552</v>
      </c>
      <c r="AK1378" t="s">
        <v>51</v>
      </c>
      <c r="AN1378">
        <v>0</v>
      </c>
      <c r="AO1378" t="s">
        <v>54</v>
      </c>
      <c r="AP1378" t="s">
        <v>53</v>
      </c>
      <c r="AQ1378">
        <v>0</v>
      </c>
      <c r="AR1378" t="s">
        <v>53</v>
      </c>
      <c r="AS1378">
        <v>0</v>
      </c>
      <c r="AT1378">
        <v>0</v>
      </c>
      <c r="AW1378" t="s">
        <v>58</v>
      </c>
      <c r="AX1378">
        <v>20</v>
      </c>
      <c r="AY1378" s="1">
        <v>35247</v>
      </c>
      <c r="AZ1378" s="1">
        <v>35247</v>
      </c>
      <c r="BA1378" s="1">
        <v>35247</v>
      </c>
      <c r="BB1378" s="1">
        <v>42552</v>
      </c>
      <c r="BC1378" t="s">
        <v>51</v>
      </c>
      <c r="BE1378" t="s">
        <v>54</v>
      </c>
      <c r="BF1378">
        <v>2</v>
      </c>
      <c r="BG1378">
        <v>0</v>
      </c>
      <c r="BH1378" t="s">
        <v>53</v>
      </c>
      <c r="BK1378" t="s">
        <v>59</v>
      </c>
      <c r="BL1378">
        <v>14000</v>
      </c>
      <c r="BM1378" s="1">
        <v>41091</v>
      </c>
      <c r="BN1378" s="1">
        <v>41091</v>
      </c>
      <c r="BO1378" s="1">
        <v>41091</v>
      </c>
      <c r="BP1378" s="1">
        <v>42291</v>
      </c>
      <c r="BQ1378" t="s">
        <v>51</v>
      </c>
      <c r="BS1378" t="s">
        <v>60</v>
      </c>
      <c r="BT1378" t="s">
        <v>54</v>
      </c>
      <c r="BU1378" t="s">
        <v>61</v>
      </c>
      <c r="BV1378" t="s">
        <v>62</v>
      </c>
      <c r="BX1378">
        <v>24</v>
      </c>
      <c r="BY1378">
        <v>0</v>
      </c>
      <c r="BZ1378">
        <v>0</v>
      </c>
    </row>
    <row r="1379" spans="1:78" x14ac:dyDescent="0.2">
      <c r="A1379" t="s">
        <v>180</v>
      </c>
      <c r="B1379" t="s">
        <v>181</v>
      </c>
      <c r="C1379" t="s">
        <v>184</v>
      </c>
      <c r="D1379" t="s">
        <v>757</v>
      </c>
      <c r="F1379" t="str">
        <f>"251049"</f>
        <v>251049</v>
      </c>
      <c r="G1379" t="s">
        <v>49</v>
      </c>
      <c r="K1379" t="s">
        <v>51</v>
      </c>
      <c r="L1379" t="s">
        <v>52</v>
      </c>
      <c r="M1379">
        <v>136694.81</v>
      </c>
      <c r="N1379">
        <v>472806.81</v>
      </c>
      <c r="O1379" t="s">
        <v>53</v>
      </c>
      <c r="P1379" t="s">
        <v>54</v>
      </c>
      <c r="Q1379" t="s">
        <v>55</v>
      </c>
      <c r="T1379" t="s">
        <v>241</v>
      </c>
      <c r="U1379">
        <v>40</v>
      </c>
      <c r="V1379" s="1">
        <v>35247</v>
      </c>
      <c r="W1379" s="1">
        <v>35247</v>
      </c>
      <c r="X1379" s="1">
        <v>35247</v>
      </c>
      <c r="Y1379" s="1">
        <v>49857</v>
      </c>
      <c r="Z1379" t="s">
        <v>51</v>
      </c>
      <c r="AB1379" t="s">
        <v>54</v>
      </c>
      <c r="AC1379">
        <v>1</v>
      </c>
      <c r="AE1379" t="s">
        <v>222</v>
      </c>
      <c r="AF1379">
        <v>20</v>
      </c>
      <c r="AG1379" s="1">
        <v>35247</v>
      </c>
      <c r="AH1379" s="1">
        <v>35247</v>
      </c>
      <c r="AI1379" s="1">
        <v>35247</v>
      </c>
      <c r="AJ1379" s="1">
        <v>42552</v>
      </c>
      <c r="AK1379" t="s">
        <v>51</v>
      </c>
      <c r="AN1379">
        <v>0</v>
      </c>
      <c r="AO1379" t="s">
        <v>54</v>
      </c>
      <c r="AP1379" t="s">
        <v>53</v>
      </c>
      <c r="AQ1379">
        <v>0</v>
      </c>
      <c r="AR1379" t="s">
        <v>53</v>
      </c>
      <c r="AS1379">
        <v>0</v>
      </c>
      <c r="AT1379">
        <v>0</v>
      </c>
      <c r="AW1379" t="s">
        <v>58</v>
      </c>
      <c r="AX1379">
        <v>20</v>
      </c>
      <c r="AY1379" s="1">
        <v>35247</v>
      </c>
      <c r="AZ1379" s="1">
        <v>35247</v>
      </c>
      <c r="BA1379" s="1">
        <v>35247</v>
      </c>
      <c r="BB1379" s="1">
        <v>42552</v>
      </c>
      <c r="BC1379" t="s">
        <v>51</v>
      </c>
      <c r="BE1379" t="s">
        <v>54</v>
      </c>
      <c r="BF1379">
        <v>2</v>
      </c>
      <c r="BG1379">
        <v>0</v>
      </c>
      <c r="BH1379" t="s">
        <v>53</v>
      </c>
      <c r="BK1379" t="s">
        <v>59</v>
      </c>
      <c r="BL1379">
        <v>14000</v>
      </c>
      <c r="BM1379" s="1">
        <v>41091</v>
      </c>
      <c r="BN1379" s="1">
        <v>41091</v>
      </c>
      <c r="BO1379" s="1">
        <v>41091</v>
      </c>
      <c r="BP1379" s="1">
        <v>42291</v>
      </c>
      <c r="BQ1379" t="s">
        <v>51</v>
      </c>
      <c r="BS1379" t="s">
        <v>60</v>
      </c>
      <c r="BT1379" t="s">
        <v>54</v>
      </c>
      <c r="BU1379" t="s">
        <v>61</v>
      </c>
      <c r="BV1379" t="s">
        <v>62</v>
      </c>
      <c r="BX1379">
        <v>24</v>
      </c>
      <c r="BY1379">
        <v>0</v>
      </c>
      <c r="BZ1379">
        <v>0</v>
      </c>
    </row>
    <row r="1380" spans="1:78" x14ac:dyDescent="0.2">
      <c r="A1380" t="s">
        <v>180</v>
      </c>
      <c r="B1380" t="s">
        <v>181</v>
      </c>
      <c r="C1380" t="s">
        <v>184</v>
      </c>
      <c r="D1380" t="s">
        <v>757</v>
      </c>
      <c r="F1380" t="str">
        <f>"251050"</f>
        <v>251050</v>
      </c>
      <c r="G1380" t="s">
        <v>49</v>
      </c>
      <c r="H1380" t="s">
        <v>759</v>
      </c>
      <c r="K1380" t="s">
        <v>51</v>
      </c>
      <c r="L1380" t="s">
        <v>52</v>
      </c>
      <c r="M1380">
        <v>136702.5</v>
      </c>
      <c r="N1380">
        <v>472776.52</v>
      </c>
      <c r="O1380" t="s">
        <v>53</v>
      </c>
      <c r="P1380" t="s">
        <v>54</v>
      </c>
      <c r="Q1380" t="s">
        <v>55</v>
      </c>
      <c r="T1380" t="s">
        <v>241</v>
      </c>
      <c r="U1380">
        <v>40</v>
      </c>
      <c r="V1380" s="1">
        <v>35247</v>
      </c>
      <c r="W1380" s="1">
        <v>35247</v>
      </c>
      <c r="X1380" s="1">
        <v>35247</v>
      </c>
      <c r="Y1380" s="1">
        <v>49857</v>
      </c>
      <c r="Z1380" t="s">
        <v>51</v>
      </c>
      <c r="AB1380" t="s">
        <v>54</v>
      </c>
      <c r="AC1380">
        <v>1</v>
      </c>
      <c r="AE1380" t="s">
        <v>222</v>
      </c>
      <c r="AF1380">
        <v>20</v>
      </c>
      <c r="AG1380" s="1">
        <v>35247</v>
      </c>
      <c r="AH1380" s="1">
        <v>35247</v>
      </c>
      <c r="AI1380" s="1">
        <v>35247</v>
      </c>
      <c r="AJ1380" s="1">
        <v>42552</v>
      </c>
      <c r="AK1380" t="s">
        <v>51</v>
      </c>
      <c r="AN1380">
        <v>0</v>
      </c>
      <c r="AO1380" t="s">
        <v>54</v>
      </c>
      <c r="AP1380" t="s">
        <v>53</v>
      </c>
      <c r="AQ1380">
        <v>0</v>
      </c>
      <c r="AR1380" t="s">
        <v>53</v>
      </c>
      <c r="AS1380">
        <v>0</v>
      </c>
      <c r="AT1380">
        <v>0</v>
      </c>
      <c r="AW1380" t="s">
        <v>58</v>
      </c>
      <c r="AX1380">
        <v>20</v>
      </c>
      <c r="AY1380" s="1">
        <v>35247</v>
      </c>
      <c r="AZ1380" s="1">
        <v>35247</v>
      </c>
      <c r="BA1380" s="1">
        <v>35247</v>
      </c>
      <c r="BB1380" s="1">
        <v>42552</v>
      </c>
      <c r="BC1380" t="s">
        <v>51</v>
      </c>
      <c r="BE1380" t="s">
        <v>54</v>
      </c>
      <c r="BF1380">
        <v>2</v>
      </c>
      <c r="BG1380">
        <v>0</v>
      </c>
      <c r="BH1380" t="s">
        <v>53</v>
      </c>
      <c r="BK1380" t="s">
        <v>59</v>
      </c>
      <c r="BL1380">
        <v>14000</v>
      </c>
      <c r="BM1380" s="1">
        <v>41091</v>
      </c>
      <c r="BN1380" s="1">
        <v>41091</v>
      </c>
      <c r="BO1380" s="1">
        <v>41091</v>
      </c>
      <c r="BP1380" s="1">
        <v>42291</v>
      </c>
      <c r="BQ1380" t="s">
        <v>51</v>
      </c>
      <c r="BS1380" t="s">
        <v>60</v>
      </c>
      <c r="BT1380" t="s">
        <v>54</v>
      </c>
      <c r="BU1380" t="s">
        <v>61</v>
      </c>
      <c r="BV1380" t="s">
        <v>62</v>
      </c>
      <c r="BX1380">
        <v>24</v>
      </c>
      <c r="BY1380">
        <v>0</v>
      </c>
      <c r="BZ1380">
        <v>0</v>
      </c>
    </row>
    <row r="1381" spans="1:78" x14ac:dyDescent="0.2">
      <c r="A1381" t="s">
        <v>180</v>
      </c>
      <c r="B1381" t="s">
        <v>181</v>
      </c>
      <c r="C1381" t="s">
        <v>184</v>
      </c>
      <c r="D1381" t="s">
        <v>757</v>
      </c>
      <c r="F1381" t="str">
        <f>"251051"</f>
        <v>251051</v>
      </c>
      <c r="G1381" t="s">
        <v>49</v>
      </c>
      <c r="H1381" t="s">
        <v>760</v>
      </c>
      <c r="K1381" t="s">
        <v>51</v>
      </c>
      <c r="L1381" t="s">
        <v>52</v>
      </c>
      <c r="M1381">
        <v>136690.06</v>
      </c>
      <c r="N1381">
        <v>472755.6</v>
      </c>
      <c r="O1381" t="s">
        <v>53</v>
      </c>
      <c r="P1381" t="s">
        <v>54</v>
      </c>
      <c r="Q1381" t="s">
        <v>55</v>
      </c>
      <c r="T1381" t="s">
        <v>241</v>
      </c>
      <c r="U1381">
        <v>40</v>
      </c>
      <c r="V1381" s="1">
        <v>35247</v>
      </c>
      <c r="W1381" s="1">
        <v>35247</v>
      </c>
      <c r="X1381" s="1">
        <v>35247</v>
      </c>
      <c r="Y1381" s="1">
        <v>49857</v>
      </c>
      <c r="Z1381" t="s">
        <v>51</v>
      </c>
      <c r="AB1381" t="s">
        <v>54</v>
      </c>
      <c r="AC1381">
        <v>1</v>
      </c>
      <c r="AE1381" t="s">
        <v>222</v>
      </c>
      <c r="AF1381">
        <v>20</v>
      </c>
      <c r="AG1381" s="1">
        <v>35247</v>
      </c>
      <c r="AH1381" s="1">
        <v>35247</v>
      </c>
      <c r="AI1381" s="1">
        <v>35247</v>
      </c>
      <c r="AJ1381" s="1">
        <v>42552</v>
      </c>
      <c r="AK1381" t="s">
        <v>51</v>
      </c>
      <c r="AN1381">
        <v>0</v>
      </c>
      <c r="AO1381" t="s">
        <v>54</v>
      </c>
      <c r="AP1381" t="s">
        <v>53</v>
      </c>
      <c r="AQ1381">
        <v>0</v>
      </c>
      <c r="AR1381" t="s">
        <v>53</v>
      </c>
      <c r="AS1381">
        <v>0</v>
      </c>
      <c r="AT1381">
        <v>0</v>
      </c>
      <c r="AW1381" t="s">
        <v>58</v>
      </c>
      <c r="AX1381">
        <v>20</v>
      </c>
      <c r="AY1381" s="1">
        <v>35247</v>
      </c>
      <c r="AZ1381" s="1">
        <v>35247</v>
      </c>
      <c r="BA1381" s="1">
        <v>35247</v>
      </c>
      <c r="BB1381" s="1">
        <v>42552</v>
      </c>
      <c r="BC1381" t="s">
        <v>51</v>
      </c>
      <c r="BE1381" t="s">
        <v>54</v>
      </c>
      <c r="BF1381">
        <v>2</v>
      </c>
      <c r="BG1381">
        <v>0</v>
      </c>
      <c r="BH1381" t="s">
        <v>53</v>
      </c>
      <c r="BK1381" t="s">
        <v>59</v>
      </c>
      <c r="BL1381">
        <v>14000</v>
      </c>
      <c r="BM1381" s="1">
        <v>41091</v>
      </c>
      <c r="BN1381" s="1">
        <v>41091</v>
      </c>
      <c r="BO1381" s="1">
        <v>41091</v>
      </c>
      <c r="BP1381" s="1">
        <v>42291</v>
      </c>
      <c r="BQ1381" t="s">
        <v>51</v>
      </c>
      <c r="BS1381" t="s">
        <v>60</v>
      </c>
      <c r="BT1381" t="s">
        <v>54</v>
      </c>
      <c r="BU1381" t="s">
        <v>61</v>
      </c>
      <c r="BV1381" t="s">
        <v>62</v>
      </c>
      <c r="BX1381">
        <v>24</v>
      </c>
      <c r="BY1381">
        <v>0</v>
      </c>
      <c r="BZ1381">
        <v>0</v>
      </c>
    </row>
    <row r="1382" spans="1:78" x14ac:dyDescent="0.2">
      <c r="A1382" t="s">
        <v>180</v>
      </c>
      <c r="B1382" t="s">
        <v>181</v>
      </c>
      <c r="C1382" t="s">
        <v>184</v>
      </c>
      <c r="D1382" t="s">
        <v>757</v>
      </c>
      <c r="F1382" t="str">
        <f>"251052"</f>
        <v>251052</v>
      </c>
      <c r="G1382" t="s">
        <v>49</v>
      </c>
      <c r="K1382" t="s">
        <v>51</v>
      </c>
      <c r="L1382" t="s">
        <v>52</v>
      </c>
      <c r="M1382">
        <v>136681.85</v>
      </c>
      <c r="N1382">
        <v>472772.64</v>
      </c>
      <c r="O1382" t="s">
        <v>53</v>
      </c>
      <c r="P1382" t="s">
        <v>54</v>
      </c>
      <c r="Q1382" t="s">
        <v>55</v>
      </c>
      <c r="T1382" t="s">
        <v>241</v>
      </c>
      <c r="U1382">
        <v>40</v>
      </c>
      <c r="V1382" s="1">
        <v>35247</v>
      </c>
      <c r="W1382" s="1">
        <v>35247</v>
      </c>
      <c r="X1382" s="1">
        <v>35247</v>
      </c>
      <c r="Y1382" s="1">
        <v>49857</v>
      </c>
      <c r="Z1382" t="s">
        <v>51</v>
      </c>
      <c r="AB1382" t="s">
        <v>54</v>
      </c>
      <c r="AC1382">
        <v>1</v>
      </c>
      <c r="AE1382" t="s">
        <v>222</v>
      </c>
      <c r="AF1382">
        <v>20</v>
      </c>
      <c r="AG1382" s="1">
        <v>35247</v>
      </c>
      <c r="AH1382" s="1">
        <v>35247</v>
      </c>
      <c r="AI1382" s="1">
        <v>35247</v>
      </c>
      <c r="AJ1382" s="1">
        <v>42552</v>
      </c>
      <c r="AK1382" t="s">
        <v>51</v>
      </c>
      <c r="AN1382">
        <v>0</v>
      </c>
      <c r="AO1382" t="s">
        <v>54</v>
      </c>
      <c r="AP1382" t="s">
        <v>53</v>
      </c>
      <c r="AQ1382">
        <v>0</v>
      </c>
      <c r="AR1382" t="s">
        <v>53</v>
      </c>
      <c r="AS1382">
        <v>0</v>
      </c>
      <c r="AT1382">
        <v>0</v>
      </c>
      <c r="AW1382" t="s">
        <v>58</v>
      </c>
      <c r="AX1382">
        <v>20</v>
      </c>
      <c r="AY1382" s="1">
        <v>35247</v>
      </c>
      <c r="AZ1382" s="1">
        <v>35247</v>
      </c>
      <c r="BA1382" s="1">
        <v>35247</v>
      </c>
      <c r="BB1382" s="1">
        <v>42552</v>
      </c>
      <c r="BC1382" t="s">
        <v>51</v>
      </c>
      <c r="BE1382" t="s">
        <v>54</v>
      </c>
      <c r="BF1382">
        <v>2</v>
      </c>
      <c r="BG1382">
        <v>0</v>
      </c>
      <c r="BH1382" t="s">
        <v>53</v>
      </c>
      <c r="BK1382" t="s">
        <v>59</v>
      </c>
      <c r="BL1382">
        <v>14000</v>
      </c>
      <c r="BM1382" s="1">
        <v>41091</v>
      </c>
      <c r="BN1382" s="1">
        <v>41091</v>
      </c>
      <c r="BO1382" s="1">
        <v>41091</v>
      </c>
      <c r="BP1382" s="1">
        <v>42291</v>
      </c>
      <c r="BQ1382" t="s">
        <v>51</v>
      </c>
      <c r="BS1382" t="s">
        <v>60</v>
      </c>
      <c r="BT1382" t="s">
        <v>54</v>
      </c>
      <c r="BU1382" t="s">
        <v>61</v>
      </c>
      <c r="BV1382" t="s">
        <v>62</v>
      </c>
      <c r="BX1382">
        <v>24</v>
      </c>
      <c r="BY1382">
        <v>0</v>
      </c>
      <c r="BZ1382">
        <v>0</v>
      </c>
    </row>
    <row r="1383" spans="1:78" x14ac:dyDescent="0.2">
      <c r="A1383" t="s">
        <v>180</v>
      </c>
      <c r="B1383" t="s">
        <v>181</v>
      </c>
      <c r="C1383" t="s">
        <v>184</v>
      </c>
      <c r="D1383" t="s">
        <v>761</v>
      </c>
      <c r="F1383" t="str">
        <f>"251053"</f>
        <v>251053</v>
      </c>
      <c r="G1383" t="s">
        <v>49</v>
      </c>
      <c r="H1383" t="s">
        <v>762</v>
      </c>
      <c r="K1383" t="s">
        <v>51</v>
      </c>
      <c r="L1383" t="s">
        <v>52</v>
      </c>
      <c r="M1383">
        <v>136371.06</v>
      </c>
      <c r="N1383">
        <v>472777.24</v>
      </c>
      <c r="O1383" t="s">
        <v>53</v>
      </c>
      <c r="P1383" t="s">
        <v>54</v>
      </c>
      <c r="Q1383" t="s">
        <v>55</v>
      </c>
      <c r="T1383" t="s">
        <v>241</v>
      </c>
      <c r="U1383">
        <v>40</v>
      </c>
      <c r="V1383" s="1">
        <v>33786</v>
      </c>
      <c r="W1383" s="1">
        <v>33786</v>
      </c>
      <c r="X1383" s="1">
        <v>33786</v>
      </c>
      <c r="Y1383" s="1">
        <v>48396</v>
      </c>
      <c r="Z1383" t="s">
        <v>51</v>
      </c>
      <c r="AB1383" t="s">
        <v>54</v>
      </c>
      <c r="AC1383">
        <v>1</v>
      </c>
      <c r="AE1383" t="s">
        <v>222</v>
      </c>
      <c r="AF1383">
        <v>20</v>
      </c>
      <c r="AG1383" s="1">
        <v>33786</v>
      </c>
      <c r="AH1383" s="1">
        <v>33786</v>
      </c>
      <c r="AI1383" s="1">
        <v>33786</v>
      </c>
      <c r="AJ1383" s="1">
        <v>41091</v>
      </c>
      <c r="AK1383" t="s">
        <v>51</v>
      </c>
      <c r="AN1383">
        <v>0</v>
      </c>
      <c r="AO1383" t="s">
        <v>54</v>
      </c>
      <c r="AP1383" t="s">
        <v>53</v>
      </c>
      <c r="AQ1383">
        <v>0</v>
      </c>
      <c r="AR1383" t="s">
        <v>53</v>
      </c>
      <c r="AS1383">
        <v>0</v>
      </c>
      <c r="AT1383">
        <v>0</v>
      </c>
      <c r="AW1383" t="s">
        <v>58</v>
      </c>
      <c r="AX1383">
        <v>20</v>
      </c>
      <c r="AY1383" s="1">
        <v>33786</v>
      </c>
      <c r="AZ1383" s="1">
        <v>33786</v>
      </c>
      <c r="BA1383" s="1">
        <v>33786</v>
      </c>
      <c r="BB1383" s="1">
        <v>41091</v>
      </c>
      <c r="BC1383" t="s">
        <v>51</v>
      </c>
      <c r="BE1383" t="s">
        <v>54</v>
      </c>
      <c r="BF1383">
        <v>2</v>
      </c>
      <c r="BG1383">
        <v>0</v>
      </c>
      <c r="BH1383" t="s">
        <v>53</v>
      </c>
      <c r="BK1383" t="s">
        <v>65</v>
      </c>
      <c r="BL1383">
        <v>14000</v>
      </c>
      <c r="BM1383" s="1">
        <v>44908</v>
      </c>
      <c r="BN1383" s="1">
        <v>44908</v>
      </c>
      <c r="BO1383" s="1">
        <v>44908</v>
      </c>
      <c r="BP1383" s="1">
        <v>46068</v>
      </c>
      <c r="BQ1383" t="s">
        <v>51</v>
      </c>
      <c r="BS1383" t="s">
        <v>60</v>
      </c>
      <c r="BT1383" t="s">
        <v>54</v>
      </c>
      <c r="BU1383" t="s">
        <v>61</v>
      </c>
      <c r="BV1383" t="s">
        <v>62</v>
      </c>
      <c r="BX1383">
        <v>36</v>
      </c>
      <c r="BY1383">
        <v>0</v>
      </c>
      <c r="BZ1383">
        <v>0</v>
      </c>
    </row>
    <row r="1384" spans="1:78" x14ac:dyDescent="0.2">
      <c r="A1384" t="s">
        <v>180</v>
      </c>
      <c r="B1384" t="s">
        <v>181</v>
      </c>
      <c r="C1384" t="s">
        <v>184</v>
      </c>
      <c r="D1384" t="s">
        <v>761</v>
      </c>
      <c r="F1384" t="str">
        <f>"251054"</f>
        <v>251054</v>
      </c>
      <c r="G1384" t="s">
        <v>49</v>
      </c>
      <c r="H1384" t="s">
        <v>276</v>
      </c>
      <c r="K1384" t="s">
        <v>51</v>
      </c>
      <c r="L1384" t="s">
        <v>52</v>
      </c>
      <c r="M1384">
        <v>136371.66</v>
      </c>
      <c r="N1384">
        <v>472755.81</v>
      </c>
      <c r="O1384" t="s">
        <v>53</v>
      </c>
      <c r="P1384" t="s">
        <v>54</v>
      </c>
      <c r="Q1384" t="s">
        <v>55</v>
      </c>
      <c r="T1384" t="s">
        <v>241</v>
      </c>
      <c r="U1384">
        <v>40</v>
      </c>
      <c r="V1384" s="1">
        <v>33786</v>
      </c>
      <c r="W1384" s="1">
        <v>33786</v>
      </c>
      <c r="X1384" s="1">
        <v>33786</v>
      </c>
      <c r="Y1384" s="1">
        <v>48396</v>
      </c>
      <c r="Z1384" t="s">
        <v>51</v>
      </c>
      <c r="AB1384" t="s">
        <v>54</v>
      </c>
      <c r="AC1384">
        <v>1</v>
      </c>
      <c r="AE1384" t="s">
        <v>222</v>
      </c>
      <c r="AF1384">
        <v>20</v>
      </c>
      <c r="AG1384" s="1">
        <v>33786</v>
      </c>
      <c r="AH1384" s="1">
        <v>33786</v>
      </c>
      <c r="AI1384" s="1">
        <v>33786</v>
      </c>
      <c r="AJ1384" s="1">
        <v>41091</v>
      </c>
      <c r="AK1384" t="s">
        <v>51</v>
      </c>
      <c r="AN1384">
        <v>0</v>
      </c>
      <c r="AO1384" t="s">
        <v>54</v>
      </c>
      <c r="AP1384" t="s">
        <v>53</v>
      </c>
      <c r="AQ1384">
        <v>0</v>
      </c>
      <c r="AR1384" t="s">
        <v>53</v>
      </c>
      <c r="AS1384">
        <v>0</v>
      </c>
      <c r="AT1384">
        <v>0</v>
      </c>
      <c r="AW1384" t="s">
        <v>58</v>
      </c>
      <c r="AX1384">
        <v>20</v>
      </c>
      <c r="AY1384" s="1">
        <v>33786</v>
      </c>
      <c r="AZ1384" s="1">
        <v>33786</v>
      </c>
      <c r="BA1384" s="1">
        <v>33786</v>
      </c>
      <c r="BB1384" s="1">
        <v>41091</v>
      </c>
      <c r="BC1384" t="s">
        <v>51</v>
      </c>
      <c r="BE1384" t="s">
        <v>54</v>
      </c>
      <c r="BF1384">
        <v>2</v>
      </c>
      <c r="BG1384">
        <v>0</v>
      </c>
      <c r="BH1384" t="s">
        <v>53</v>
      </c>
      <c r="BK1384" t="s">
        <v>65</v>
      </c>
      <c r="BL1384">
        <v>14000</v>
      </c>
      <c r="BM1384" s="1">
        <v>44578</v>
      </c>
      <c r="BN1384" s="1">
        <v>44578</v>
      </c>
      <c r="BO1384" s="1">
        <v>44578</v>
      </c>
      <c r="BP1384" s="1">
        <v>45749</v>
      </c>
      <c r="BQ1384" t="s">
        <v>51</v>
      </c>
      <c r="BS1384" t="s">
        <v>60</v>
      </c>
      <c r="BT1384" t="s">
        <v>54</v>
      </c>
      <c r="BU1384" t="s">
        <v>61</v>
      </c>
      <c r="BV1384" t="s">
        <v>62</v>
      </c>
      <c r="BX1384">
        <v>36</v>
      </c>
      <c r="BY1384">
        <v>0</v>
      </c>
      <c r="BZ1384">
        <v>0</v>
      </c>
    </row>
    <row r="1385" spans="1:78" x14ac:dyDescent="0.2">
      <c r="A1385" t="s">
        <v>180</v>
      </c>
      <c r="B1385" t="s">
        <v>181</v>
      </c>
      <c r="C1385" t="s">
        <v>184</v>
      </c>
      <c r="D1385" t="s">
        <v>761</v>
      </c>
      <c r="F1385" t="str">
        <f>"251055"</f>
        <v>251055</v>
      </c>
      <c r="G1385" t="s">
        <v>49</v>
      </c>
      <c r="H1385" t="s">
        <v>594</v>
      </c>
      <c r="K1385" t="s">
        <v>51</v>
      </c>
      <c r="L1385" t="s">
        <v>52</v>
      </c>
      <c r="M1385">
        <v>136354.91</v>
      </c>
      <c r="N1385">
        <v>472735.34</v>
      </c>
      <c r="O1385" t="s">
        <v>53</v>
      </c>
      <c r="P1385" t="s">
        <v>54</v>
      </c>
      <c r="Q1385" t="s">
        <v>55</v>
      </c>
      <c r="T1385" t="s">
        <v>241</v>
      </c>
      <c r="U1385">
        <v>40</v>
      </c>
      <c r="V1385" s="1">
        <v>33786</v>
      </c>
      <c r="W1385" s="1">
        <v>33786</v>
      </c>
      <c r="X1385" s="1">
        <v>33786</v>
      </c>
      <c r="Y1385" s="1">
        <v>48396</v>
      </c>
      <c r="Z1385" t="s">
        <v>51</v>
      </c>
      <c r="AB1385" t="s">
        <v>54</v>
      </c>
      <c r="AC1385">
        <v>1</v>
      </c>
      <c r="AE1385" t="s">
        <v>222</v>
      </c>
      <c r="AF1385">
        <v>20</v>
      </c>
      <c r="AG1385" s="1">
        <v>33786</v>
      </c>
      <c r="AH1385" s="1">
        <v>33786</v>
      </c>
      <c r="AI1385" s="1">
        <v>33786</v>
      </c>
      <c r="AJ1385" s="1">
        <v>41091</v>
      </c>
      <c r="AK1385" t="s">
        <v>51</v>
      </c>
      <c r="AN1385">
        <v>0</v>
      </c>
      <c r="AO1385" t="s">
        <v>54</v>
      </c>
      <c r="AP1385" t="s">
        <v>53</v>
      </c>
      <c r="AQ1385">
        <v>0</v>
      </c>
      <c r="AR1385" t="s">
        <v>53</v>
      </c>
      <c r="AS1385">
        <v>0</v>
      </c>
      <c r="AT1385">
        <v>0</v>
      </c>
      <c r="AW1385" t="s">
        <v>58</v>
      </c>
      <c r="AX1385">
        <v>20</v>
      </c>
      <c r="AY1385" s="1">
        <v>33786</v>
      </c>
      <c r="AZ1385" s="1">
        <v>33786</v>
      </c>
      <c r="BA1385" s="1">
        <v>33786</v>
      </c>
      <c r="BB1385" s="1">
        <v>41091</v>
      </c>
      <c r="BC1385" t="s">
        <v>51</v>
      </c>
      <c r="BE1385" t="s">
        <v>54</v>
      </c>
      <c r="BF1385">
        <v>2</v>
      </c>
      <c r="BG1385">
        <v>0</v>
      </c>
      <c r="BH1385" t="s">
        <v>53</v>
      </c>
      <c r="BK1385" t="s">
        <v>65</v>
      </c>
      <c r="BL1385">
        <v>14000</v>
      </c>
      <c r="BM1385" s="1">
        <v>44445</v>
      </c>
      <c r="BN1385" s="1">
        <v>44445</v>
      </c>
      <c r="BO1385" s="1">
        <v>44445</v>
      </c>
      <c r="BP1385" s="1">
        <v>45616</v>
      </c>
      <c r="BQ1385" t="s">
        <v>51</v>
      </c>
      <c r="BS1385" t="s">
        <v>60</v>
      </c>
      <c r="BT1385" t="s">
        <v>54</v>
      </c>
      <c r="BU1385" t="s">
        <v>61</v>
      </c>
      <c r="BV1385" t="s">
        <v>62</v>
      </c>
      <c r="BX1385">
        <v>36</v>
      </c>
      <c r="BY1385">
        <v>0</v>
      </c>
      <c r="BZ1385">
        <v>0</v>
      </c>
    </row>
    <row r="1386" spans="1:78" x14ac:dyDescent="0.2">
      <c r="A1386" t="s">
        <v>180</v>
      </c>
      <c r="B1386" t="s">
        <v>181</v>
      </c>
      <c r="C1386" t="s">
        <v>184</v>
      </c>
      <c r="D1386" t="s">
        <v>761</v>
      </c>
      <c r="F1386" t="str">
        <f>"251056"</f>
        <v>251056</v>
      </c>
      <c r="G1386" t="s">
        <v>49</v>
      </c>
      <c r="H1386" t="s">
        <v>262</v>
      </c>
      <c r="K1386" t="s">
        <v>51</v>
      </c>
      <c r="L1386" t="s">
        <v>52</v>
      </c>
      <c r="M1386">
        <v>136350.42000000001</v>
      </c>
      <c r="N1386">
        <v>472708.38</v>
      </c>
      <c r="O1386" t="s">
        <v>53</v>
      </c>
      <c r="P1386" t="s">
        <v>54</v>
      </c>
      <c r="Q1386" t="s">
        <v>55</v>
      </c>
      <c r="T1386" t="s">
        <v>241</v>
      </c>
      <c r="U1386">
        <v>40</v>
      </c>
      <c r="V1386" s="1">
        <v>33786</v>
      </c>
      <c r="W1386" s="1">
        <v>33786</v>
      </c>
      <c r="X1386" s="1">
        <v>33786</v>
      </c>
      <c r="Y1386" s="1">
        <v>48396</v>
      </c>
      <c r="Z1386" t="s">
        <v>51</v>
      </c>
      <c r="AB1386" t="s">
        <v>54</v>
      </c>
      <c r="AC1386">
        <v>1</v>
      </c>
      <c r="AE1386" t="s">
        <v>222</v>
      </c>
      <c r="AF1386">
        <v>20</v>
      </c>
      <c r="AG1386" s="1">
        <v>33786</v>
      </c>
      <c r="AH1386" s="1">
        <v>33786</v>
      </c>
      <c r="AI1386" s="1">
        <v>33786</v>
      </c>
      <c r="AJ1386" s="1">
        <v>41091</v>
      </c>
      <c r="AK1386" t="s">
        <v>51</v>
      </c>
      <c r="AN1386">
        <v>0</v>
      </c>
      <c r="AO1386" t="s">
        <v>54</v>
      </c>
      <c r="AP1386" t="s">
        <v>53</v>
      </c>
      <c r="AQ1386">
        <v>0</v>
      </c>
      <c r="AR1386" t="s">
        <v>53</v>
      </c>
      <c r="AS1386">
        <v>0</v>
      </c>
      <c r="AT1386">
        <v>0</v>
      </c>
      <c r="AW1386" t="s">
        <v>58</v>
      </c>
      <c r="AX1386">
        <v>20</v>
      </c>
      <c r="AY1386" s="1">
        <v>33786</v>
      </c>
      <c r="AZ1386" s="1">
        <v>33786</v>
      </c>
      <c r="BA1386" s="1">
        <v>33786</v>
      </c>
      <c r="BB1386" s="1">
        <v>41091</v>
      </c>
      <c r="BC1386" t="s">
        <v>51</v>
      </c>
      <c r="BE1386" t="s">
        <v>54</v>
      </c>
      <c r="BF1386">
        <v>2</v>
      </c>
      <c r="BG1386">
        <v>0</v>
      </c>
      <c r="BH1386" t="s">
        <v>53</v>
      </c>
      <c r="BK1386" t="s">
        <v>65</v>
      </c>
      <c r="BL1386">
        <v>14000</v>
      </c>
      <c r="BM1386" s="1">
        <v>41091</v>
      </c>
      <c r="BN1386" s="1">
        <v>41091</v>
      </c>
      <c r="BO1386" s="1">
        <v>41091</v>
      </c>
      <c r="BP1386" s="1">
        <v>42291</v>
      </c>
      <c r="BQ1386" t="s">
        <v>51</v>
      </c>
      <c r="BS1386" t="s">
        <v>60</v>
      </c>
      <c r="BT1386" t="s">
        <v>54</v>
      </c>
      <c r="BU1386" t="s">
        <v>61</v>
      </c>
      <c r="BV1386" t="s">
        <v>62</v>
      </c>
      <c r="BX1386">
        <v>36</v>
      </c>
      <c r="BY1386">
        <v>0</v>
      </c>
      <c r="BZ1386">
        <v>0</v>
      </c>
    </row>
    <row r="1387" spans="1:78" x14ac:dyDescent="0.2">
      <c r="A1387" t="s">
        <v>180</v>
      </c>
      <c r="B1387" t="s">
        <v>181</v>
      </c>
      <c r="C1387" t="s">
        <v>184</v>
      </c>
      <c r="D1387" t="s">
        <v>761</v>
      </c>
      <c r="F1387" t="str">
        <f>"251057"</f>
        <v>251057</v>
      </c>
      <c r="G1387" t="s">
        <v>49</v>
      </c>
      <c r="K1387" t="s">
        <v>51</v>
      </c>
      <c r="L1387" t="s">
        <v>52</v>
      </c>
      <c r="M1387">
        <v>136329.28</v>
      </c>
      <c r="N1387">
        <v>472691.53</v>
      </c>
      <c r="O1387" t="s">
        <v>53</v>
      </c>
      <c r="P1387" t="s">
        <v>54</v>
      </c>
      <c r="Q1387" t="s">
        <v>55</v>
      </c>
      <c r="T1387" t="s">
        <v>431</v>
      </c>
      <c r="U1387">
        <v>40</v>
      </c>
      <c r="V1387" s="1">
        <v>25569</v>
      </c>
      <c r="W1387" s="1">
        <v>25569</v>
      </c>
      <c r="X1387" s="1">
        <v>25569</v>
      </c>
      <c r="Y1387" s="1">
        <v>40179</v>
      </c>
      <c r="Z1387" t="s">
        <v>51</v>
      </c>
      <c r="AB1387" t="s">
        <v>54</v>
      </c>
      <c r="AC1387">
        <v>1</v>
      </c>
      <c r="AE1387" t="s">
        <v>79</v>
      </c>
      <c r="AF1387">
        <v>20</v>
      </c>
      <c r="AG1387" s="1">
        <v>25569</v>
      </c>
      <c r="AH1387" s="1">
        <v>25569</v>
      </c>
      <c r="AI1387" s="1">
        <v>25569</v>
      </c>
      <c r="AJ1387" s="1">
        <v>32874</v>
      </c>
      <c r="AK1387" t="s">
        <v>51</v>
      </c>
      <c r="AN1387">
        <v>0</v>
      </c>
      <c r="AO1387" t="s">
        <v>54</v>
      </c>
      <c r="AP1387" t="s">
        <v>53</v>
      </c>
      <c r="AQ1387">
        <v>0</v>
      </c>
      <c r="AR1387" t="s">
        <v>145</v>
      </c>
      <c r="AS1387">
        <v>0</v>
      </c>
      <c r="AT1387">
        <v>0</v>
      </c>
      <c r="AW1387" t="s">
        <v>79</v>
      </c>
      <c r="AX1387">
        <v>20</v>
      </c>
      <c r="AY1387" s="1">
        <v>25569</v>
      </c>
      <c r="AZ1387" s="1">
        <v>25569</v>
      </c>
      <c r="BA1387" s="1">
        <v>25569</v>
      </c>
      <c r="BB1387" s="1">
        <v>32874</v>
      </c>
      <c r="BC1387" t="s">
        <v>51</v>
      </c>
      <c r="BE1387" t="s">
        <v>54</v>
      </c>
      <c r="BF1387">
        <v>5</v>
      </c>
      <c r="BG1387">
        <v>0</v>
      </c>
      <c r="BH1387" t="s">
        <v>53</v>
      </c>
      <c r="BK1387" t="s">
        <v>65</v>
      </c>
      <c r="BL1387">
        <v>14000</v>
      </c>
      <c r="BM1387" s="1">
        <v>44578</v>
      </c>
      <c r="BN1387" s="1">
        <v>44578</v>
      </c>
      <c r="BO1387" s="1">
        <v>44578</v>
      </c>
      <c r="BP1387" s="1">
        <v>45749</v>
      </c>
      <c r="BQ1387" t="s">
        <v>51</v>
      </c>
      <c r="BS1387" t="s">
        <v>60</v>
      </c>
      <c r="BT1387" t="s">
        <v>54</v>
      </c>
      <c r="BU1387" t="s">
        <v>61</v>
      </c>
      <c r="BV1387" t="s">
        <v>62</v>
      </c>
      <c r="BX1387">
        <v>36</v>
      </c>
      <c r="BY1387">
        <v>0</v>
      </c>
      <c r="BZ1387">
        <v>0</v>
      </c>
    </row>
    <row r="1388" spans="1:78" x14ac:dyDescent="0.2">
      <c r="A1388" t="s">
        <v>180</v>
      </c>
      <c r="B1388" t="s">
        <v>181</v>
      </c>
      <c r="C1388" t="s">
        <v>184</v>
      </c>
      <c r="D1388" t="s">
        <v>761</v>
      </c>
      <c r="F1388" t="str">
        <f>"251059"</f>
        <v>251059</v>
      </c>
      <c r="G1388" t="s">
        <v>49</v>
      </c>
      <c r="H1388" t="s">
        <v>609</v>
      </c>
      <c r="K1388" t="s">
        <v>51</v>
      </c>
      <c r="L1388" t="s">
        <v>52</v>
      </c>
      <c r="M1388">
        <v>136314.35999999999</v>
      </c>
      <c r="N1388">
        <v>472650.66</v>
      </c>
      <c r="O1388" t="s">
        <v>53</v>
      </c>
      <c r="P1388" t="s">
        <v>54</v>
      </c>
      <c r="Q1388" t="s">
        <v>55</v>
      </c>
      <c r="T1388" t="s">
        <v>241</v>
      </c>
      <c r="U1388">
        <v>40</v>
      </c>
      <c r="V1388" s="1">
        <v>33786</v>
      </c>
      <c r="W1388" s="1">
        <v>33786</v>
      </c>
      <c r="X1388" s="1">
        <v>33786</v>
      </c>
      <c r="Y1388" s="1">
        <v>48396</v>
      </c>
      <c r="Z1388" t="s">
        <v>51</v>
      </c>
      <c r="AB1388" t="s">
        <v>54</v>
      </c>
      <c r="AC1388">
        <v>1</v>
      </c>
      <c r="AE1388" t="s">
        <v>222</v>
      </c>
      <c r="AF1388">
        <v>20</v>
      </c>
      <c r="AG1388" s="1">
        <v>33786</v>
      </c>
      <c r="AH1388" s="1">
        <v>33786</v>
      </c>
      <c r="AI1388" s="1">
        <v>33786</v>
      </c>
      <c r="AJ1388" s="1">
        <v>41091</v>
      </c>
      <c r="AK1388" t="s">
        <v>51</v>
      </c>
      <c r="AN1388">
        <v>0</v>
      </c>
      <c r="AO1388" t="s">
        <v>54</v>
      </c>
      <c r="AP1388" t="s">
        <v>53</v>
      </c>
      <c r="AQ1388">
        <v>0</v>
      </c>
      <c r="AR1388" t="s">
        <v>53</v>
      </c>
      <c r="AS1388">
        <v>0</v>
      </c>
      <c r="AT1388">
        <v>0</v>
      </c>
      <c r="AW1388" t="s">
        <v>58</v>
      </c>
      <c r="AX1388">
        <v>20</v>
      </c>
      <c r="AY1388" s="1">
        <v>33786</v>
      </c>
      <c r="AZ1388" s="1">
        <v>33786</v>
      </c>
      <c r="BA1388" s="1">
        <v>33786</v>
      </c>
      <c r="BB1388" s="1">
        <v>41091</v>
      </c>
      <c r="BC1388" t="s">
        <v>51</v>
      </c>
      <c r="BE1388" t="s">
        <v>54</v>
      </c>
      <c r="BF1388">
        <v>2</v>
      </c>
      <c r="BG1388">
        <v>0</v>
      </c>
      <c r="BH1388" t="s">
        <v>53</v>
      </c>
      <c r="BK1388" t="s">
        <v>65</v>
      </c>
      <c r="BL1388">
        <v>14000</v>
      </c>
      <c r="BM1388" s="1">
        <v>44935</v>
      </c>
      <c r="BN1388" s="1">
        <v>44935</v>
      </c>
      <c r="BO1388" s="1">
        <v>44935</v>
      </c>
      <c r="BP1388" s="1">
        <v>46102</v>
      </c>
      <c r="BQ1388" t="s">
        <v>51</v>
      </c>
      <c r="BS1388" t="s">
        <v>60</v>
      </c>
      <c r="BT1388" t="s">
        <v>54</v>
      </c>
      <c r="BU1388" t="s">
        <v>61</v>
      </c>
      <c r="BV1388" t="s">
        <v>62</v>
      </c>
      <c r="BX1388">
        <v>36</v>
      </c>
      <c r="BY1388">
        <v>0</v>
      </c>
      <c r="BZ1388">
        <v>0</v>
      </c>
    </row>
    <row r="1389" spans="1:78" x14ac:dyDescent="0.2">
      <c r="A1389" t="s">
        <v>180</v>
      </c>
      <c r="B1389" t="s">
        <v>181</v>
      </c>
      <c r="C1389" t="s">
        <v>184</v>
      </c>
      <c r="D1389" t="s">
        <v>643</v>
      </c>
      <c r="F1389" t="str">
        <f>"251060"</f>
        <v>251060</v>
      </c>
      <c r="G1389" t="s">
        <v>49</v>
      </c>
      <c r="K1389" t="s">
        <v>51</v>
      </c>
      <c r="L1389" t="s">
        <v>52</v>
      </c>
      <c r="M1389">
        <v>136755.56</v>
      </c>
      <c r="N1389">
        <v>472422.39</v>
      </c>
      <c r="O1389" t="s">
        <v>53</v>
      </c>
      <c r="P1389" t="s">
        <v>54</v>
      </c>
      <c r="Q1389" t="s">
        <v>55</v>
      </c>
      <c r="T1389" t="s">
        <v>431</v>
      </c>
      <c r="U1389">
        <v>40</v>
      </c>
      <c r="V1389" s="1">
        <v>31413</v>
      </c>
      <c r="W1389" s="1">
        <v>31413</v>
      </c>
      <c r="X1389" s="1">
        <v>31413</v>
      </c>
      <c r="Y1389" s="1">
        <v>46023</v>
      </c>
      <c r="Z1389" t="s">
        <v>51</v>
      </c>
      <c r="AB1389" t="s">
        <v>54</v>
      </c>
      <c r="AC1389">
        <v>1</v>
      </c>
      <c r="AE1389" t="s">
        <v>79</v>
      </c>
      <c r="AF1389">
        <v>20</v>
      </c>
      <c r="AG1389" s="1">
        <v>31413</v>
      </c>
      <c r="AH1389" s="1">
        <v>31413</v>
      </c>
      <c r="AI1389" s="1">
        <v>31413</v>
      </c>
      <c r="AJ1389" s="1">
        <v>38718</v>
      </c>
      <c r="AK1389" t="s">
        <v>51</v>
      </c>
      <c r="AN1389">
        <v>0</v>
      </c>
      <c r="AO1389" t="s">
        <v>54</v>
      </c>
      <c r="AP1389" t="s">
        <v>53</v>
      </c>
      <c r="AQ1389">
        <v>0</v>
      </c>
      <c r="AR1389" t="s">
        <v>145</v>
      </c>
      <c r="AS1389">
        <v>0</v>
      </c>
      <c r="AT1389">
        <v>0</v>
      </c>
      <c r="AW1389" t="s">
        <v>79</v>
      </c>
      <c r="AX1389">
        <v>20</v>
      </c>
      <c r="AY1389" s="1">
        <v>31413</v>
      </c>
      <c r="AZ1389" s="1">
        <v>31413</v>
      </c>
      <c r="BA1389" s="1">
        <v>31413</v>
      </c>
      <c r="BB1389" s="1">
        <v>38718</v>
      </c>
      <c r="BC1389" t="s">
        <v>51</v>
      </c>
      <c r="BE1389" t="s">
        <v>54</v>
      </c>
      <c r="BF1389">
        <v>5</v>
      </c>
      <c r="BG1389">
        <v>0</v>
      </c>
      <c r="BH1389" t="s">
        <v>53</v>
      </c>
      <c r="BK1389" t="s">
        <v>763</v>
      </c>
      <c r="BL1389">
        <v>14000</v>
      </c>
      <c r="BM1389" s="1">
        <v>43216</v>
      </c>
      <c r="BN1389" s="1">
        <v>43216</v>
      </c>
      <c r="BO1389" s="1">
        <v>43216</v>
      </c>
      <c r="BP1389" s="1">
        <v>44439</v>
      </c>
      <c r="BQ1389" t="s">
        <v>51</v>
      </c>
      <c r="BS1389" t="s">
        <v>60</v>
      </c>
      <c r="BT1389" t="s">
        <v>54</v>
      </c>
      <c r="BU1389" t="s">
        <v>61</v>
      </c>
      <c r="BV1389" t="s">
        <v>62</v>
      </c>
      <c r="BW1389">
        <v>830</v>
      </c>
      <c r="BX1389">
        <v>36</v>
      </c>
      <c r="BY1389">
        <v>0</v>
      </c>
      <c r="BZ1389">
        <v>0</v>
      </c>
    </row>
    <row r="1390" spans="1:78" x14ac:dyDescent="0.2">
      <c r="A1390" t="s">
        <v>180</v>
      </c>
      <c r="B1390" t="s">
        <v>181</v>
      </c>
      <c r="C1390" t="s">
        <v>184</v>
      </c>
      <c r="D1390" t="s">
        <v>764</v>
      </c>
      <c r="F1390" t="str">
        <f>"251061"</f>
        <v>251061</v>
      </c>
      <c r="G1390" t="s">
        <v>49</v>
      </c>
      <c r="H1390" t="s">
        <v>654</v>
      </c>
      <c r="K1390" t="s">
        <v>51</v>
      </c>
      <c r="L1390" t="s">
        <v>52</v>
      </c>
      <c r="M1390">
        <v>136806.92000000001</v>
      </c>
      <c r="N1390">
        <v>472413.84</v>
      </c>
      <c r="O1390" t="s">
        <v>53</v>
      </c>
      <c r="P1390" t="s">
        <v>54</v>
      </c>
      <c r="Q1390" t="s">
        <v>55</v>
      </c>
      <c r="T1390" t="s">
        <v>241</v>
      </c>
      <c r="U1390">
        <v>40</v>
      </c>
      <c r="V1390" s="1">
        <v>23743</v>
      </c>
      <c r="W1390" s="1">
        <v>23743</v>
      </c>
      <c r="X1390" s="1">
        <v>23743</v>
      </c>
      <c r="Y1390" s="1">
        <v>38353</v>
      </c>
      <c r="Z1390" t="s">
        <v>51</v>
      </c>
      <c r="AB1390" t="s">
        <v>54</v>
      </c>
      <c r="AC1390">
        <v>1</v>
      </c>
      <c r="AE1390" t="s">
        <v>222</v>
      </c>
      <c r="AF1390">
        <v>20</v>
      </c>
      <c r="AG1390" s="1">
        <v>36342</v>
      </c>
      <c r="AH1390" s="1">
        <v>36342</v>
      </c>
      <c r="AI1390" s="1">
        <v>36342</v>
      </c>
      <c r="AJ1390" s="1">
        <v>43647</v>
      </c>
      <c r="AK1390" t="s">
        <v>51</v>
      </c>
      <c r="AN1390">
        <v>0</v>
      </c>
      <c r="AO1390" t="s">
        <v>54</v>
      </c>
      <c r="AP1390" t="s">
        <v>53</v>
      </c>
      <c r="AQ1390">
        <v>0</v>
      </c>
      <c r="AR1390" t="s">
        <v>53</v>
      </c>
      <c r="AS1390">
        <v>0</v>
      </c>
      <c r="AT1390">
        <v>0</v>
      </c>
      <c r="AW1390" t="s">
        <v>58</v>
      </c>
      <c r="AX1390">
        <v>20</v>
      </c>
      <c r="AY1390" s="1">
        <v>36342</v>
      </c>
      <c r="AZ1390" s="1">
        <v>36342</v>
      </c>
      <c r="BA1390" s="1">
        <v>36342</v>
      </c>
      <c r="BB1390" s="1">
        <v>43647</v>
      </c>
      <c r="BC1390" t="s">
        <v>51</v>
      </c>
      <c r="BE1390" t="s">
        <v>54</v>
      </c>
      <c r="BF1390">
        <v>2</v>
      </c>
      <c r="BG1390">
        <v>0</v>
      </c>
      <c r="BH1390" t="s">
        <v>53</v>
      </c>
      <c r="BK1390" t="s">
        <v>59</v>
      </c>
      <c r="BL1390">
        <v>14000</v>
      </c>
      <c r="BM1390" s="1">
        <v>41091</v>
      </c>
      <c r="BN1390" s="1">
        <v>41091</v>
      </c>
      <c r="BO1390" s="1">
        <v>41091</v>
      </c>
      <c r="BP1390" s="1">
        <v>42291</v>
      </c>
      <c r="BQ1390" t="s">
        <v>51</v>
      </c>
      <c r="BS1390" t="s">
        <v>60</v>
      </c>
      <c r="BT1390" t="s">
        <v>54</v>
      </c>
      <c r="BU1390" t="s">
        <v>61</v>
      </c>
      <c r="BV1390" t="s">
        <v>62</v>
      </c>
      <c r="BX1390">
        <v>24</v>
      </c>
      <c r="BY1390">
        <v>0</v>
      </c>
      <c r="BZ1390">
        <v>0</v>
      </c>
    </row>
    <row r="1391" spans="1:78" x14ac:dyDescent="0.2">
      <c r="A1391" t="s">
        <v>180</v>
      </c>
      <c r="B1391" t="s">
        <v>181</v>
      </c>
      <c r="C1391" t="s">
        <v>184</v>
      </c>
      <c r="D1391" t="s">
        <v>764</v>
      </c>
      <c r="F1391" t="str">
        <f>"251062"</f>
        <v>251062</v>
      </c>
      <c r="G1391" t="s">
        <v>49</v>
      </c>
      <c r="H1391" t="s">
        <v>765</v>
      </c>
      <c r="K1391" t="s">
        <v>51</v>
      </c>
      <c r="L1391" t="s">
        <v>52</v>
      </c>
      <c r="M1391">
        <v>136780.95000000001</v>
      </c>
      <c r="N1391">
        <v>472412.97</v>
      </c>
      <c r="O1391" t="s">
        <v>53</v>
      </c>
      <c r="P1391" t="s">
        <v>54</v>
      </c>
      <c r="Q1391" t="s">
        <v>55</v>
      </c>
      <c r="T1391" t="s">
        <v>241</v>
      </c>
      <c r="U1391">
        <v>40</v>
      </c>
      <c r="V1391" s="1">
        <v>23743</v>
      </c>
      <c r="W1391" s="1">
        <v>23743</v>
      </c>
      <c r="X1391" s="1">
        <v>23743</v>
      </c>
      <c r="Y1391" s="1">
        <v>38353</v>
      </c>
      <c r="Z1391" t="s">
        <v>51</v>
      </c>
      <c r="AB1391" t="s">
        <v>54</v>
      </c>
      <c r="AC1391">
        <v>1</v>
      </c>
      <c r="AE1391" t="s">
        <v>222</v>
      </c>
      <c r="AF1391">
        <v>20</v>
      </c>
      <c r="AG1391" s="1">
        <v>36342</v>
      </c>
      <c r="AH1391" s="1">
        <v>36342</v>
      </c>
      <c r="AI1391" s="1">
        <v>36342</v>
      </c>
      <c r="AJ1391" s="1">
        <v>43647</v>
      </c>
      <c r="AK1391" t="s">
        <v>51</v>
      </c>
      <c r="AN1391">
        <v>0</v>
      </c>
      <c r="AO1391" t="s">
        <v>54</v>
      </c>
      <c r="AP1391" t="s">
        <v>53</v>
      </c>
      <c r="AQ1391">
        <v>0</v>
      </c>
      <c r="AR1391" t="s">
        <v>53</v>
      </c>
      <c r="AS1391">
        <v>0</v>
      </c>
      <c r="AT1391">
        <v>0</v>
      </c>
      <c r="AW1391" t="s">
        <v>58</v>
      </c>
      <c r="AX1391">
        <v>20</v>
      </c>
      <c r="AY1391" s="1">
        <v>36342</v>
      </c>
      <c r="AZ1391" s="1">
        <v>36342</v>
      </c>
      <c r="BA1391" s="1">
        <v>36342</v>
      </c>
      <c r="BB1391" s="1">
        <v>43647</v>
      </c>
      <c r="BC1391" t="s">
        <v>51</v>
      </c>
      <c r="BE1391" t="s">
        <v>54</v>
      </c>
      <c r="BF1391">
        <v>2</v>
      </c>
      <c r="BG1391">
        <v>0</v>
      </c>
      <c r="BH1391" t="s">
        <v>53</v>
      </c>
      <c r="BK1391" t="s">
        <v>59</v>
      </c>
      <c r="BL1391">
        <v>14000</v>
      </c>
      <c r="BM1391" s="1">
        <v>41091</v>
      </c>
      <c r="BN1391" s="1">
        <v>41091</v>
      </c>
      <c r="BO1391" s="1">
        <v>41091</v>
      </c>
      <c r="BP1391" s="1">
        <v>42291</v>
      </c>
      <c r="BQ1391" t="s">
        <v>51</v>
      </c>
      <c r="BS1391" t="s">
        <v>60</v>
      </c>
      <c r="BT1391" t="s">
        <v>54</v>
      </c>
      <c r="BU1391" t="s">
        <v>61</v>
      </c>
      <c r="BV1391" t="s">
        <v>62</v>
      </c>
      <c r="BX1391">
        <v>24</v>
      </c>
      <c r="BY1391">
        <v>0</v>
      </c>
      <c r="BZ1391">
        <v>0</v>
      </c>
    </row>
    <row r="1392" spans="1:78" x14ac:dyDescent="0.2">
      <c r="A1392" t="s">
        <v>180</v>
      </c>
      <c r="B1392" t="s">
        <v>181</v>
      </c>
      <c r="C1392" t="s">
        <v>184</v>
      </c>
      <c r="D1392" t="s">
        <v>764</v>
      </c>
      <c r="F1392" t="str">
        <f>"251063"</f>
        <v>251063</v>
      </c>
      <c r="G1392" t="s">
        <v>49</v>
      </c>
      <c r="H1392" t="s">
        <v>219</v>
      </c>
      <c r="K1392" t="s">
        <v>51</v>
      </c>
      <c r="L1392" t="s">
        <v>52</v>
      </c>
      <c r="M1392">
        <v>136794.101</v>
      </c>
      <c r="N1392">
        <v>472392.36700000003</v>
      </c>
      <c r="O1392" t="s">
        <v>53</v>
      </c>
      <c r="P1392" t="s">
        <v>54</v>
      </c>
      <c r="Q1392" t="s">
        <v>55</v>
      </c>
      <c r="T1392" t="s">
        <v>241</v>
      </c>
      <c r="U1392">
        <v>40</v>
      </c>
      <c r="V1392" s="1">
        <v>23743</v>
      </c>
      <c r="W1392" s="1">
        <v>23743</v>
      </c>
      <c r="X1392" s="1">
        <v>23743</v>
      </c>
      <c r="Y1392" s="1">
        <v>38353</v>
      </c>
      <c r="Z1392" t="s">
        <v>51</v>
      </c>
      <c r="AB1392" t="s">
        <v>54</v>
      </c>
      <c r="AC1392">
        <v>1</v>
      </c>
      <c r="AE1392" t="s">
        <v>222</v>
      </c>
      <c r="AF1392">
        <v>20</v>
      </c>
      <c r="AG1392" s="1">
        <v>36342</v>
      </c>
      <c r="AH1392" s="1">
        <v>36342</v>
      </c>
      <c r="AI1392" s="1">
        <v>36342</v>
      </c>
      <c r="AJ1392" s="1">
        <v>43647</v>
      </c>
      <c r="AK1392" t="s">
        <v>51</v>
      </c>
      <c r="AN1392">
        <v>0</v>
      </c>
      <c r="AO1392" t="s">
        <v>54</v>
      </c>
      <c r="AP1392" t="s">
        <v>53</v>
      </c>
      <c r="AQ1392">
        <v>0</v>
      </c>
      <c r="AR1392" t="s">
        <v>53</v>
      </c>
      <c r="AS1392">
        <v>0</v>
      </c>
      <c r="AT1392">
        <v>0</v>
      </c>
      <c r="AW1392" t="s">
        <v>58</v>
      </c>
      <c r="AX1392">
        <v>20</v>
      </c>
      <c r="AY1392" s="1">
        <v>36342</v>
      </c>
      <c r="AZ1392" s="1">
        <v>36342</v>
      </c>
      <c r="BA1392" s="1">
        <v>36342</v>
      </c>
      <c r="BB1392" s="1">
        <v>43647</v>
      </c>
      <c r="BC1392" t="s">
        <v>51</v>
      </c>
      <c r="BE1392" t="s">
        <v>54</v>
      </c>
      <c r="BF1392">
        <v>2</v>
      </c>
      <c r="BG1392">
        <v>0</v>
      </c>
      <c r="BH1392" t="s">
        <v>53</v>
      </c>
      <c r="BK1392" t="s">
        <v>59</v>
      </c>
      <c r="BL1392">
        <v>14000</v>
      </c>
      <c r="BM1392" s="1">
        <v>41091</v>
      </c>
      <c r="BN1392" s="1">
        <v>41091</v>
      </c>
      <c r="BO1392" s="1">
        <v>41091</v>
      </c>
      <c r="BP1392" s="1">
        <v>42291</v>
      </c>
      <c r="BQ1392" t="s">
        <v>51</v>
      </c>
      <c r="BS1392" t="s">
        <v>60</v>
      </c>
      <c r="BT1392" t="s">
        <v>54</v>
      </c>
      <c r="BU1392" t="s">
        <v>61</v>
      </c>
      <c r="BV1392" t="s">
        <v>62</v>
      </c>
      <c r="BX1392">
        <v>24</v>
      </c>
      <c r="BY1392">
        <v>0</v>
      </c>
      <c r="BZ1392">
        <v>0</v>
      </c>
    </row>
    <row r="1393" spans="1:99" x14ac:dyDescent="0.2">
      <c r="A1393" t="s">
        <v>180</v>
      </c>
      <c r="B1393" t="s">
        <v>181</v>
      </c>
      <c r="C1393" t="s">
        <v>184</v>
      </c>
      <c r="D1393" t="s">
        <v>766</v>
      </c>
      <c r="F1393" t="str">
        <f>"251064"</f>
        <v>251064</v>
      </c>
      <c r="G1393" t="s">
        <v>49</v>
      </c>
      <c r="H1393" t="s">
        <v>233</v>
      </c>
      <c r="K1393" t="s">
        <v>51</v>
      </c>
      <c r="L1393" t="s">
        <v>52</v>
      </c>
      <c r="M1393">
        <v>136792.94</v>
      </c>
      <c r="N1393">
        <v>472681.41</v>
      </c>
      <c r="O1393" t="s">
        <v>53</v>
      </c>
      <c r="P1393" t="s">
        <v>54</v>
      </c>
      <c r="Q1393" t="s">
        <v>55</v>
      </c>
      <c r="T1393" t="s">
        <v>241</v>
      </c>
      <c r="U1393">
        <v>40</v>
      </c>
      <c r="V1393" s="1">
        <v>33786</v>
      </c>
      <c r="W1393" s="1">
        <v>33786</v>
      </c>
      <c r="X1393" s="1">
        <v>33786</v>
      </c>
      <c r="Y1393" s="1">
        <v>48396</v>
      </c>
      <c r="Z1393" t="s">
        <v>51</v>
      </c>
      <c r="AB1393" t="s">
        <v>54</v>
      </c>
      <c r="AC1393">
        <v>1</v>
      </c>
      <c r="AE1393" t="s">
        <v>621</v>
      </c>
      <c r="AF1393">
        <v>20</v>
      </c>
      <c r="AG1393" s="1">
        <v>33786</v>
      </c>
      <c r="AH1393" s="1">
        <v>33786</v>
      </c>
      <c r="AI1393" s="1">
        <v>33786</v>
      </c>
      <c r="AJ1393" s="1">
        <v>41091</v>
      </c>
      <c r="AK1393" t="s">
        <v>51</v>
      </c>
      <c r="AN1393">
        <v>0</v>
      </c>
      <c r="AO1393" t="s">
        <v>54</v>
      </c>
      <c r="AP1393" t="s">
        <v>53</v>
      </c>
      <c r="AQ1393">
        <v>0</v>
      </c>
      <c r="AR1393" t="s">
        <v>53</v>
      </c>
      <c r="AS1393">
        <v>0</v>
      </c>
      <c r="AT1393">
        <v>0</v>
      </c>
      <c r="AW1393" t="s">
        <v>58</v>
      </c>
      <c r="AX1393">
        <v>20</v>
      </c>
      <c r="AY1393" s="1">
        <v>33786</v>
      </c>
      <c r="AZ1393" s="1">
        <v>33786</v>
      </c>
      <c r="BA1393" s="1">
        <v>33786</v>
      </c>
      <c r="BB1393" s="1">
        <v>41091</v>
      </c>
      <c r="BC1393" t="s">
        <v>51</v>
      </c>
      <c r="BE1393" t="s">
        <v>54</v>
      </c>
      <c r="BF1393">
        <v>2</v>
      </c>
      <c r="BG1393">
        <v>0</v>
      </c>
      <c r="BH1393" t="s">
        <v>53</v>
      </c>
      <c r="BK1393" t="s">
        <v>65</v>
      </c>
      <c r="BL1393">
        <v>14000</v>
      </c>
      <c r="BM1393" s="1">
        <v>44719</v>
      </c>
      <c r="BN1393" s="1">
        <v>44719</v>
      </c>
      <c r="BO1393" s="1">
        <v>44719</v>
      </c>
      <c r="BP1393" s="1">
        <v>45929</v>
      </c>
      <c r="BQ1393" t="s">
        <v>51</v>
      </c>
      <c r="BS1393" t="s">
        <v>60</v>
      </c>
      <c r="BT1393" t="s">
        <v>54</v>
      </c>
      <c r="BU1393" t="s">
        <v>61</v>
      </c>
      <c r="BV1393" t="s">
        <v>62</v>
      </c>
      <c r="BX1393">
        <v>36</v>
      </c>
      <c r="BY1393">
        <v>0</v>
      </c>
      <c r="BZ1393">
        <v>0</v>
      </c>
    </row>
    <row r="1394" spans="1:99" x14ac:dyDescent="0.2">
      <c r="A1394" t="s">
        <v>180</v>
      </c>
      <c r="B1394" t="s">
        <v>181</v>
      </c>
      <c r="C1394" t="s">
        <v>184</v>
      </c>
      <c r="D1394" t="s">
        <v>766</v>
      </c>
      <c r="F1394" t="str">
        <f>"251065"</f>
        <v>251065</v>
      </c>
      <c r="G1394" t="s">
        <v>49</v>
      </c>
      <c r="H1394" t="s">
        <v>573</v>
      </c>
      <c r="K1394" t="s">
        <v>51</v>
      </c>
      <c r="L1394" t="s">
        <v>52</v>
      </c>
      <c r="M1394">
        <v>136764.98000000001</v>
      </c>
      <c r="N1394">
        <v>472693.78</v>
      </c>
      <c r="O1394" t="s">
        <v>53</v>
      </c>
      <c r="P1394" t="s">
        <v>54</v>
      </c>
      <c r="Q1394" t="s">
        <v>55</v>
      </c>
      <c r="T1394" t="s">
        <v>241</v>
      </c>
      <c r="U1394">
        <v>40</v>
      </c>
      <c r="V1394" s="1">
        <v>33786</v>
      </c>
      <c r="W1394" s="1">
        <v>33786</v>
      </c>
      <c r="X1394" s="1">
        <v>33786</v>
      </c>
      <c r="Y1394" s="1">
        <v>48396</v>
      </c>
      <c r="Z1394" t="s">
        <v>51</v>
      </c>
      <c r="AB1394" t="s">
        <v>54</v>
      </c>
      <c r="AC1394">
        <v>1</v>
      </c>
      <c r="AE1394" t="s">
        <v>621</v>
      </c>
      <c r="AF1394">
        <v>20</v>
      </c>
      <c r="AG1394" s="1">
        <v>33786</v>
      </c>
      <c r="AH1394" s="1">
        <v>33786</v>
      </c>
      <c r="AI1394" s="1">
        <v>33786</v>
      </c>
      <c r="AJ1394" s="1">
        <v>41091</v>
      </c>
      <c r="AK1394" t="s">
        <v>51</v>
      </c>
      <c r="AN1394">
        <v>0</v>
      </c>
      <c r="AO1394" t="s">
        <v>54</v>
      </c>
      <c r="AP1394" t="s">
        <v>53</v>
      </c>
      <c r="AQ1394">
        <v>0</v>
      </c>
      <c r="AR1394" t="s">
        <v>53</v>
      </c>
      <c r="AS1394">
        <v>0</v>
      </c>
      <c r="AT1394">
        <v>0</v>
      </c>
      <c r="AW1394" t="s">
        <v>58</v>
      </c>
      <c r="AX1394">
        <v>20</v>
      </c>
      <c r="AY1394" s="1">
        <v>33786</v>
      </c>
      <c r="AZ1394" s="1">
        <v>33786</v>
      </c>
      <c r="BA1394" s="1">
        <v>33786</v>
      </c>
      <c r="BB1394" s="1">
        <v>41091</v>
      </c>
      <c r="BC1394" t="s">
        <v>51</v>
      </c>
      <c r="BE1394" t="s">
        <v>54</v>
      </c>
      <c r="BF1394">
        <v>2</v>
      </c>
      <c r="BG1394">
        <v>0</v>
      </c>
      <c r="BH1394" t="s">
        <v>53</v>
      </c>
      <c r="BK1394" t="s">
        <v>65</v>
      </c>
      <c r="BL1394">
        <v>14000</v>
      </c>
      <c r="BM1394" s="1">
        <v>44487</v>
      </c>
      <c r="BN1394" s="1">
        <v>44487</v>
      </c>
      <c r="BO1394" s="1">
        <v>44487</v>
      </c>
      <c r="BP1394" s="1">
        <v>45648</v>
      </c>
      <c r="BQ1394" t="s">
        <v>51</v>
      </c>
      <c r="BS1394" t="s">
        <v>60</v>
      </c>
      <c r="BT1394" t="s">
        <v>54</v>
      </c>
      <c r="BU1394" t="s">
        <v>61</v>
      </c>
      <c r="BV1394" t="s">
        <v>62</v>
      </c>
      <c r="BX1394">
        <v>36</v>
      </c>
      <c r="BY1394">
        <v>0</v>
      </c>
      <c r="BZ1394">
        <v>0</v>
      </c>
    </row>
    <row r="1395" spans="1:99" x14ac:dyDescent="0.2">
      <c r="A1395" t="s">
        <v>180</v>
      </c>
      <c r="B1395" t="s">
        <v>181</v>
      </c>
      <c r="C1395" t="s">
        <v>184</v>
      </c>
      <c r="D1395" t="s">
        <v>766</v>
      </c>
      <c r="F1395" t="str">
        <f>"251066"</f>
        <v>251066</v>
      </c>
      <c r="G1395" t="s">
        <v>49</v>
      </c>
      <c r="H1395" t="s">
        <v>578</v>
      </c>
      <c r="K1395" t="s">
        <v>51</v>
      </c>
      <c r="L1395" t="s">
        <v>52</v>
      </c>
      <c r="M1395">
        <v>136745.47</v>
      </c>
      <c r="N1395">
        <v>472710.44</v>
      </c>
      <c r="O1395" t="s">
        <v>53</v>
      </c>
      <c r="P1395" t="s">
        <v>54</v>
      </c>
      <c r="Q1395" t="s">
        <v>55</v>
      </c>
      <c r="T1395" t="s">
        <v>241</v>
      </c>
      <c r="U1395">
        <v>40</v>
      </c>
      <c r="V1395" s="1">
        <v>33786</v>
      </c>
      <c r="W1395" s="1">
        <v>33786</v>
      </c>
      <c r="X1395" s="1">
        <v>33786</v>
      </c>
      <c r="Y1395" s="1">
        <v>48396</v>
      </c>
      <c r="Z1395" t="s">
        <v>51</v>
      </c>
      <c r="AB1395" t="s">
        <v>54</v>
      </c>
      <c r="AC1395">
        <v>1</v>
      </c>
      <c r="AE1395" t="s">
        <v>621</v>
      </c>
      <c r="AF1395">
        <v>20</v>
      </c>
      <c r="AG1395" s="1">
        <v>33786</v>
      </c>
      <c r="AH1395" s="1">
        <v>33786</v>
      </c>
      <c r="AI1395" s="1">
        <v>33786</v>
      </c>
      <c r="AJ1395" s="1">
        <v>41091</v>
      </c>
      <c r="AK1395" t="s">
        <v>51</v>
      </c>
      <c r="AN1395">
        <v>0</v>
      </c>
      <c r="AO1395" t="s">
        <v>54</v>
      </c>
      <c r="AP1395" t="s">
        <v>53</v>
      </c>
      <c r="AQ1395">
        <v>0</v>
      </c>
      <c r="AR1395" t="s">
        <v>53</v>
      </c>
      <c r="AS1395">
        <v>0</v>
      </c>
      <c r="AT1395">
        <v>0</v>
      </c>
      <c r="AW1395" t="s">
        <v>58</v>
      </c>
      <c r="AX1395">
        <v>20</v>
      </c>
      <c r="AY1395" s="1">
        <v>33786</v>
      </c>
      <c r="AZ1395" s="1">
        <v>33786</v>
      </c>
      <c r="BA1395" s="1">
        <v>33786</v>
      </c>
      <c r="BB1395" s="1">
        <v>41091</v>
      </c>
      <c r="BC1395" t="s">
        <v>51</v>
      </c>
      <c r="BE1395" t="s">
        <v>54</v>
      </c>
      <c r="BF1395">
        <v>2</v>
      </c>
      <c r="BG1395">
        <v>0</v>
      </c>
      <c r="BH1395" t="s">
        <v>53</v>
      </c>
      <c r="BK1395" t="s">
        <v>65</v>
      </c>
      <c r="BL1395">
        <v>14000</v>
      </c>
      <c r="BM1395" s="1">
        <v>44574</v>
      </c>
      <c r="BN1395" s="1">
        <v>44574</v>
      </c>
      <c r="BO1395" s="1">
        <v>44574</v>
      </c>
      <c r="BP1395" s="1">
        <v>45743</v>
      </c>
      <c r="BQ1395" t="s">
        <v>51</v>
      </c>
      <c r="BS1395" t="s">
        <v>60</v>
      </c>
      <c r="BT1395" t="s">
        <v>54</v>
      </c>
      <c r="BU1395" t="s">
        <v>61</v>
      </c>
      <c r="BV1395" t="s">
        <v>62</v>
      </c>
      <c r="BX1395">
        <v>36</v>
      </c>
      <c r="BY1395">
        <v>0</v>
      </c>
      <c r="BZ1395">
        <v>0</v>
      </c>
    </row>
    <row r="1396" spans="1:99" x14ac:dyDescent="0.2">
      <c r="A1396" t="s">
        <v>180</v>
      </c>
      <c r="B1396" t="s">
        <v>181</v>
      </c>
      <c r="C1396" t="s">
        <v>184</v>
      </c>
      <c r="D1396" t="s">
        <v>766</v>
      </c>
      <c r="F1396" t="str">
        <f>"251067"</f>
        <v>251067</v>
      </c>
      <c r="G1396" t="s">
        <v>49</v>
      </c>
      <c r="K1396" t="s">
        <v>51</v>
      </c>
      <c r="L1396" t="s">
        <v>52</v>
      </c>
      <c r="M1396">
        <v>136760.5</v>
      </c>
      <c r="N1396">
        <v>472744.31</v>
      </c>
      <c r="O1396" t="s">
        <v>53</v>
      </c>
      <c r="P1396" t="s">
        <v>54</v>
      </c>
      <c r="Q1396" t="s">
        <v>55</v>
      </c>
      <c r="T1396" t="s">
        <v>241</v>
      </c>
      <c r="U1396">
        <v>40</v>
      </c>
      <c r="V1396" s="1">
        <v>33786</v>
      </c>
      <c r="W1396" s="1">
        <v>33786</v>
      </c>
      <c r="X1396" s="1">
        <v>33786</v>
      </c>
      <c r="Y1396" s="1">
        <v>48396</v>
      </c>
      <c r="Z1396" t="s">
        <v>51</v>
      </c>
      <c r="AB1396" t="s">
        <v>54</v>
      </c>
      <c r="AC1396">
        <v>1</v>
      </c>
      <c r="AE1396" t="s">
        <v>621</v>
      </c>
      <c r="AF1396">
        <v>20</v>
      </c>
      <c r="AG1396" s="1">
        <v>33786</v>
      </c>
      <c r="AH1396" s="1">
        <v>33786</v>
      </c>
      <c r="AI1396" s="1">
        <v>33786</v>
      </c>
      <c r="AJ1396" s="1">
        <v>41091</v>
      </c>
      <c r="AK1396" t="s">
        <v>51</v>
      </c>
      <c r="AN1396">
        <v>0</v>
      </c>
      <c r="AO1396" t="s">
        <v>54</v>
      </c>
      <c r="AP1396" t="s">
        <v>53</v>
      </c>
      <c r="AQ1396">
        <v>0</v>
      </c>
      <c r="AR1396" t="s">
        <v>53</v>
      </c>
      <c r="AS1396">
        <v>0</v>
      </c>
      <c r="AT1396">
        <v>0</v>
      </c>
      <c r="AW1396" t="s">
        <v>58</v>
      </c>
      <c r="AX1396">
        <v>20</v>
      </c>
      <c r="AY1396" s="1">
        <v>33786</v>
      </c>
      <c r="AZ1396" s="1">
        <v>33786</v>
      </c>
      <c r="BA1396" s="1">
        <v>33786</v>
      </c>
      <c r="BB1396" s="1">
        <v>41091</v>
      </c>
      <c r="BC1396" t="s">
        <v>51</v>
      </c>
      <c r="BE1396" t="s">
        <v>54</v>
      </c>
      <c r="BF1396">
        <v>2</v>
      </c>
      <c r="BG1396">
        <v>0</v>
      </c>
      <c r="BH1396" t="s">
        <v>53</v>
      </c>
      <c r="BK1396" t="s">
        <v>65</v>
      </c>
      <c r="BL1396">
        <v>14000</v>
      </c>
      <c r="BM1396" s="1">
        <v>44341</v>
      </c>
      <c r="BN1396" s="1">
        <v>44341</v>
      </c>
      <c r="BO1396" s="1">
        <v>44341</v>
      </c>
      <c r="BP1396" s="1">
        <v>45556</v>
      </c>
      <c r="BQ1396" t="s">
        <v>51</v>
      </c>
      <c r="BS1396" t="s">
        <v>60</v>
      </c>
      <c r="BT1396" t="s">
        <v>54</v>
      </c>
      <c r="BU1396" t="s">
        <v>61</v>
      </c>
      <c r="BV1396" t="s">
        <v>62</v>
      </c>
      <c r="BX1396">
        <v>36</v>
      </c>
      <c r="BY1396">
        <v>0</v>
      </c>
      <c r="BZ1396">
        <v>0</v>
      </c>
    </row>
    <row r="1397" spans="1:99" x14ac:dyDescent="0.2">
      <c r="A1397" t="s">
        <v>180</v>
      </c>
      <c r="B1397" t="s">
        <v>181</v>
      </c>
      <c r="C1397" t="s">
        <v>184</v>
      </c>
      <c r="D1397" t="s">
        <v>766</v>
      </c>
      <c r="F1397" t="str">
        <f>"251068"</f>
        <v>251068</v>
      </c>
      <c r="G1397" t="s">
        <v>49</v>
      </c>
      <c r="K1397" t="s">
        <v>51</v>
      </c>
      <c r="L1397" t="s">
        <v>52</v>
      </c>
      <c r="M1397">
        <v>136729.88</v>
      </c>
      <c r="N1397">
        <v>472746.88</v>
      </c>
      <c r="O1397" t="s">
        <v>53</v>
      </c>
      <c r="P1397" t="s">
        <v>54</v>
      </c>
      <c r="Q1397" t="s">
        <v>55</v>
      </c>
      <c r="T1397" t="s">
        <v>241</v>
      </c>
      <c r="U1397">
        <v>40</v>
      </c>
      <c r="V1397" s="1">
        <v>33786</v>
      </c>
      <c r="W1397" s="1">
        <v>33786</v>
      </c>
      <c r="X1397" s="1">
        <v>33786</v>
      </c>
      <c r="Y1397" s="1">
        <v>48396</v>
      </c>
      <c r="Z1397" t="s">
        <v>51</v>
      </c>
      <c r="AB1397" t="s">
        <v>54</v>
      </c>
      <c r="AC1397">
        <v>1</v>
      </c>
      <c r="AE1397" t="s">
        <v>621</v>
      </c>
      <c r="AF1397">
        <v>20</v>
      </c>
      <c r="AG1397" s="1">
        <v>33786</v>
      </c>
      <c r="AH1397" s="1">
        <v>33786</v>
      </c>
      <c r="AI1397" s="1">
        <v>33786</v>
      </c>
      <c r="AJ1397" s="1">
        <v>41091</v>
      </c>
      <c r="AK1397" t="s">
        <v>51</v>
      </c>
      <c r="AN1397">
        <v>0</v>
      </c>
      <c r="AO1397" t="s">
        <v>54</v>
      </c>
      <c r="AP1397" t="s">
        <v>53</v>
      </c>
      <c r="AQ1397">
        <v>0</v>
      </c>
      <c r="AR1397" t="s">
        <v>53</v>
      </c>
      <c r="AS1397">
        <v>0</v>
      </c>
      <c r="AT1397">
        <v>0</v>
      </c>
      <c r="AW1397" t="s">
        <v>58</v>
      </c>
      <c r="AX1397">
        <v>20</v>
      </c>
      <c r="AY1397" s="1">
        <v>33786</v>
      </c>
      <c r="AZ1397" s="1">
        <v>33786</v>
      </c>
      <c r="BA1397" s="1">
        <v>33786</v>
      </c>
      <c r="BB1397" s="1">
        <v>41091</v>
      </c>
      <c r="BC1397" t="s">
        <v>51</v>
      </c>
      <c r="BE1397" t="s">
        <v>54</v>
      </c>
      <c r="BF1397">
        <v>2</v>
      </c>
      <c r="BG1397">
        <v>0</v>
      </c>
      <c r="BH1397" t="s">
        <v>53</v>
      </c>
      <c r="BK1397" t="s">
        <v>65</v>
      </c>
      <c r="BL1397">
        <v>14000</v>
      </c>
      <c r="BM1397" s="1">
        <v>44719</v>
      </c>
      <c r="BN1397" s="1">
        <v>44719</v>
      </c>
      <c r="BO1397" s="1">
        <v>44719</v>
      </c>
      <c r="BP1397" s="1">
        <v>45929</v>
      </c>
      <c r="BQ1397" t="s">
        <v>51</v>
      </c>
      <c r="BS1397" t="s">
        <v>60</v>
      </c>
      <c r="BT1397" t="s">
        <v>54</v>
      </c>
      <c r="BU1397" t="s">
        <v>61</v>
      </c>
      <c r="BV1397" t="s">
        <v>62</v>
      </c>
      <c r="BX1397">
        <v>36</v>
      </c>
      <c r="BY1397">
        <v>0</v>
      </c>
      <c r="BZ1397">
        <v>0</v>
      </c>
    </row>
    <row r="1398" spans="1:99" x14ac:dyDescent="0.2">
      <c r="A1398" t="s">
        <v>180</v>
      </c>
      <c r="B1398" t="s">
        <v>181</v>
      </c>
      <c r="C1398" t="s">
        <v>184</v>
      </c>
      <c r="D1398" t="s">
        <v>767</v>
      </c>
      <c r="F1398" t="str">
        <f>"251069"</f>
        <v>251069</v>
      </c>
      <c r="G1398" t="s">
        <v>49</v>
      </c>
      <c r="K1398" t="s">
        <v>51</v>
      </c>
      <c r="L1398" t="s">
        <v>52</v>
      </c>
      <c r="M1398">
        <v>136015.67999999999</v>
      </c>
      <c r="N1398">
        <v>472494.12</v>
      </c>
      <c r="O1398" t="s">
        <v>53</v>
      </c>
      <c r="P1398" t="s">
        <v>54</v>
      </c>
      <c r="Q1398" t="s">
        <v>55</v>
      </c>
      <c r="T1398" t="s">
        <v>466</v>
      </c>
      <c r="U1398">
        <v>40</v>
      </c>
      <c r="V1398" s="1">
        <v>31229</v>
      </c>
      <c r="W1398" s="1">
        <v>31229</v>
      </c>
      <c r="X1398" s="1">
        <v>31229</v>
      </c>
      <c r="Y1398" s="1">
        <v>45839</v>
      </c>
      <c r="Z1398" t="s">
        <v>51</v>
      </c>
      <c r="AB1398" t="s">
        <v>54</v>
      </c>
      <c r="AC1398">
        <v>1</v>
      </c>
      <c r="AE1398" t="s">
        <v>84</v>
      </c>
      <c r="AF1398">
        <v>20</v>
      </c>
      <c r="AG1398" s="1">
        <v>31229</v>
      </c>
      <c r="AH1398" s="1">
        <v>31229</v>
      </c>
      <c r="AI1398" s="1">
        <v>31229</v>
      </c>
      <c r="AJ1398" s="1">
        <v>38534</v>
      </c>
      <c r="AK1398" t="s">
        <v>51</v>
      </c>
      <c r="AN1398">
        <v>0</v>
      </c>
      <c r="AO1398" t="s">
        <v>54</v>
      </c>
      <c r="AP1398" t="s">
        <v>53</v>
      </c>
      <c r="AQ1398">
        <v>0</v>
      </c>
      <c r="AR1398" t="s">
        <v>53</v>
      </c>
      <c r="AS1398">
        <v>0</v>
      </c>
      <c r="AT1398">
        <v>0</v>
      </c>
      <c r="CC1398" t="s">
        <v>185</v>
      </c>
      <c r="CD1398">
        <v>85000</v>
      </c>
      <c r="CE1398" s="1">
        <v>42552</v>
      </c>
      <c r="CF1398" s="1">
        <v>42552</v>
      </c>
      <c r="CG1398" s="1">
        <v>42552</v>
      </c>
      <c r="CH1398" s="1">
        <v>49714</v>
      </c>
      <c r="CI1398" t="s">
        <v>51</v>
      </c>
      <c r="CK1398" t="s">
        <v>78</v>
      </c>
      <c r="CM1398" t="s">
        <v>54</v>
      </c>
      <c r="CN1398" t="s">
        <v>174</v>
      </c>
      <c r="CO1398" t="s">
        <v>86</v>
      </c>
      <c r="CR1398">
        <v>15</v>
      </c>
      <c r="CS1398">
        <v>0</v>
      </c>
      <c r="CT1398">
        <v>0</v>
      </c>
      <c r="CU1398">
        <v>0</v>
      </c>
    </row>
    <row r="1399" spans="1:99" x14ac:dyDescent="0.2">
      <c r="A1399" t="s">
        <v>180</v>
      </c>
      <c r="B1399" t="s">
        <v>181</v>
      </c>
      <c r="C1399" t="s">
        <v>184</v>
      </c>
      <c r="D1399" t="s">
        <v>767</v>
      </c>
      <c r="F1399" t="str">
        <f>"251070"</f>
        <v>251070</v>
      </c>
      <c r="G1399" t="s">
        <v>49</v>
      </c>
      <c r="H1399" t="s">
        <v>236</v>
      </c>
      <c r="K1399" t="s">
        <v>51</v>
      </c>
      <c r="L1399" t="s">
        <v>52</v>
      </c>
      <c r="M1399">
        <v>135988.75</v>
      </c>
      <c r="N1399">
        <v>472498.59</v>
      </c>
      <c r="O1399" t="s">
        <v>53</v>
      </c>
      <c r="P1399" t="s">
        <v>54</v>
      </c>
      <c r="Q1399" t="s">
        <v>55</v>
      </c>
      <c r="T1399" t="s">
        <v>241</v>
      </c>
      <c r="U1399">
        <v>40</v>
      </c>
      <c r="V1399" s="1">
        <v>31229</v>
      </c>
      <c r="W1399" s="1">
        <v>31229</v>
      </c>
      <c r="X1399" s="1">
        <v>31229</v>
      </c>
      <c r="Y1399" s="1">
        <v>45839</v>
      </c>
      <c r="Z1399" t="s">
        <v>51</v>
      </c>
      <c r="AB1399" t="s">
        <v>54</v>
      </c>
      <c r="AC1399">
        <v>1</v>
      </c>
      <c r="AE1399" t="s">
        <v>222</v>
      </c>
      <c r="AF1399">
        <v>20</v>
      </c>
      <c r="AG1399" s="1">
        <v>31229</v>
      </c>
      <c r="AH1399" s="1">
        <v>31229</v>
      </c>
      <c r="AI1399" s="1">
        <v>31229</v>
      </c>
      <c r="AJ1399" s="1">
        <v>38534</v>
      </c>
      <c r="AK1399" t="s">
        <v>51</v>
      </c>
      <c r="AN1399">
        <v>0</v>
      </c>
      <c r="AO1399" t="s">
        <v>54</v>
      </c>
      <c r="AP1399" t="s">
        <v>53</v>
      </c>
      <c r="AQ1399">
        <v>0</v>
      </c>
      <c r="AR1399" t="s">
        <v>53</v>
      </c>
      <c r="AS1399">
        <v>0</v>
      </c>
      <c r="AT1399">
        <v>0</v>
      </c>
      <c r="CC1399" t="s">
        <v>432</v>
      </c>
      <c r="CD1399">
        <v>85000</v>
      </c>
      <c r="CE1399" s="1">
        <v>42552</v>
      </c>
      <c r="CF1399" s="1">
        <v>42552</v>
      </c>
      <c r="CG1399" s="1">
        <v>42552</v>
      </c>
      <c r="CH1399" s="1">
        <v>49714</v>
      </c>
      <c r="CI1399" t="s">
        <v>51</v>
      </c>
      <c r="CK1399" t="s">
        <v>78</v>
      </c>
      <c r="CM1399" t="s">
        <v>54</v>
      </c>
      <c r="CN1399" t="s">
        <v>174</v>
      </c>
      <c r="CO1399" t="s">
        <v>86</v>
      </c>
      <c r="CR1399">
        <v>24</v>
      </c>
      <c r="CS1399">
        <v>0</v>
      </c>
      <c r="CT1399">
        <v>0</v>
      </c>
      <c r="CU1399">
        <v>0</v>
      </c>
    </row>
    <row r="1400" spans="1:99" x14ac:dyDescent="0.2">
      <c r="A1400" t="s">
        <v>180</v>
      </c>
      <c r="B1400" t="s">
        <v>181</v>
      </c>
      <c r="C1400" t="s">
        <v>184</v>
      </c>
      <c r="D1400" t="s">
        <v>767</v>
      </c>
      <c r="F1400" t="str">
        <f>"251071"</f>
        <v>251071</v>
      </c>
      <c r="G1400" t="s">
        <v>49</v>
      </c>
      <c r="H1400" t="s">
        <v>169</v>
      </c>
      <c r="K1400" t="s">
        <v>51</v>
      </c>
      <c r="L1400" t="s">
        <v>52</v>
      </c>
      <c r="M1400">
        <v>135973.53</v>
      </c>
      <c r="N1400">
        <v>472509.13</v>
      </c>
      <c r="O1400" t="s">
        <v>53</v>
      </c>
      <c r="P1400" t="s">
        <v>54</v>
      </c>
      <c r="Q1400" t="s">
        <v>55</v>
      </c>
      <c r="T1400" t="s">
        <v>241</v>
      </c>
      <c r="U1400">
        <v>40</v>
      </c>
      <c r="V1400" s="1">
        <v>31229</v>
      </c>
      <c r="W1400" s="1">
        <v>31229</v>
      </c>
      <c r="X1400" s="1">
        <v>31229</v>
      </c>
      <c r="Y1400" s="1">
        <v>45839</v>
      </c>
      <c r="Z1400" t="s">
        <v>51</v>
      </c>
      <c r="AB1400" t="s">
        <v>54</v>
      </c>
      <c r="AC1400">
        <v>1</v>
      </c>
      <c r="AE1400" t="s">
        <v>222</v>
      </c>
      <c r="AF1400">
        <v>20</v>
      </c>
      <c r="AG1400" s="1">
        <v>31229</v>
      </c>
      <c r="AH1400" s="1">
        <v>31229</v>
      </c>
      <c r="AI1400" s="1">
        <v>31229</v>
      </c>
      <c r="AJ1400" s="1">
        <v>38534</v>
      </c>
      <c r="AK1400" t="s">
        <v>51</v>
      </c>
      <c r="AN1400">
        <v>0</v>
      </c>
      <c r="AO1400" t="s">
        <v>54</v>
      </c>
      <c r="AP1400" t="s">
        <v>53</v>
      </c>
      <c r="AQ1400">
        <v>0</v>
      </c>
      <c r="AR1400" t="s">
        <v>53</v>
      </c>
      <c r="AS1400">
        <v>0</v>
      </c>
      <c r="AT1400">
        <v>0</v>
      </c>
      <c r="CC1400" t="s">
        <v>432</v>
      </c>
      <c r="CD1400">
        <v>85000</v>
      </c>
      <c r="CE1400" s="1">
        <v>42552</v>
      </c>
      <c r="CF1400" s="1">
        <v>42552</v>
      </c>
      <c r="CG1400" s="1">
        <v>42552</v>
      </c>
      <c r="CH1400" s="1">
        <v>49714</v>
      </c>
      <c r="CI1400" t="s">
        <v>51</v>
      </c>
      <c r="CK1400" t="s">
        <v>78</v>
      </c>
      <c r="CM1400" t="s">
        <v>54</v>
      </c>
      <c r="CN1400" t="s">
        <v>174</v>
      </c>
      <c r="CO1400" t="s">
        <v>86</v>
      </c>
      <c r="CR1400">
        <v>24</v>
      </c>
      <c r="CS1400">
        <v>0</v>
      </c>
      <c r="CT1400">
        <v>0</v>
      </c>
      <c r="CU1400">
        <v>0</v>
      </c>
    </row>
    <row r="1401" spans="1:99" x14ac:dyDescent="0.2">
      <c r="A1401" t="s">
        <v>180</v>
      </c>
      <c r="B1401" t="s">
        <v>181</v>
      </c>
      <c r="C1401" t="s">
        <v>184</v>
      </c>
      <c r="D1401" t="s">
        <v>768</v>
      </c>
      <c r="F1401" t="str">
        <f>"251072"</f>
        <v>251072</v>
      </c>
      <c r="G1401" t="s">
        <v>49</v>
      </c>
      <c r="K1401" t="s">
        <v>51</v>
      </c>
      <c r="L1401" t="s">
        <v>52</v>
      </c>
      <c r="M1401">
        <v>136102.70300000001</v>
      </c>
      <c r="N1401">
        <v>472537.12599999999</v>
      </c>
      <c r="O1401" t="s">
        <v>53</v>
      </c>
      <c r="P1401" t="s">
        <v>54</v>
      </c>
      <c r="Q1401" t="s">
        <v>55</v>
      </c>
      <c r="T1401" t="s">
        <v>241</v>
      </c>
      <c r="U1401">
        <v>40</v>
      </c>
      <c r="V1401" s="1">
        <v>29768</v>
      </c>
      <c r="W1401" s="1">
        <v>29768</v>
      </c>
      <c r="X1401" s="1">
        <v>29768</v>
      </c>
      <c r="Y1401" s="1">
        <v>44378</v>
      </c>
      <c r="Z1401" t="s">
        <v>51</v>
      </c>
      <c r="AB1401" t="s">
        <v>54</v>
      </c>
      <c r="AC1401">
        <v>1</v>
      </c>
      <c r="AE1401" t="s">
        <v>222</v>
      </c>
      <c r="AF1401">
        <v>20</v>
      </c>
      <c r="AG1401" s="1">
        <v>38169</v>
      </c>
      <c r="AH1401" s="1">
        <v>38169</v>
      </c>
      <c r="AI1401" s="1">
        <v>38169</v>
      </c>
      <c r="AJ1401" s="1">
        <v>45474</v>
      </c>
      <c r="AK1401" t="s">
        <v>51</v>
      </c>
      <c r="AN1401">
        <v>0</v>
      </c>
      <c r="AO1401" t="s">
        <v>54</v>
      </c>
      <c r="AP1401" t="s">
        <v>53</v>
      </c>
      <c r="AQ1401">
        <v>0</v>
      </c>
      <c r="AR1401" t="s">
        <v>53</v>
      </c>
      <c r="AS1401">
        <v>0</v>
      </c>
      <c r="AT1401">
        <v>0</v>
      </c>
      <c r="CC1401" t="s">
        <v>432</v>
      </c>
      <c r="CD1401">
        <v>85000</v>
      </c>
      <c r="CE1401" s="1">
        <v>42552</v>
      </c>
      <c r="CF1401" s="1">
        <v>42552</v>
      </c>
      <c r="CG1401" s="1">
        <v>42552</v>
      </c>
      <c r="CH1401" s="1">
        <v>49714</v>
      </c>
      <c r="CI1401" t="s">
        <v>51</v>
      </c>
      <c r="CK1401" t="s">
        <v>78</v>
      </c>
      <c r="CM1401" t="s">
        <v>54</v>
      </c>
      <c r="CN1401" t="s">
        <v>174</v>
      </c>
      <c r="CO1401" t="s">
        <v>86</v>
      </c>
      <c r="CR1401">
        <v>24</v>
      </c>
      <c r="CS1401">
        <v>0</v>
      </c>
      <c r="CT1401">
        <v>0</v>
      </c>
      <c r="CU1401">
        <v>0</v>
      </c>
    </row>
    <row r="1402" spans="1:99" x14ac:dyDescent="0.2">
      <c r="A1402" t="s">
        <v>180</v>
      </c>
      <c r="B1402" t="s">
        <v>181</v>
      </c>
      <c r="C1402" t="s">
        <v>184</v>
      </c>
      <c r="D1402" t="s">
        <v>768</v>
      </c>
      <c r="F1402" t="str">
        <f>"251073"</f>
        <v>251073</v>
      </c>
      <c r="G1402" t="s">
        <v>49</v>
      </c>
      <c r="K1402" t="s">
        <v>51</v>
      </c>
      <c r="L1402" t="s">
        <v>52</v>
      </c>
      <c r="M1402">
        <v>136120.12</v>
      </c>
      <c r="N1402">
        <v>472531.97</v>
      </c>
      <c r="O1402" t="s">
        <v>53</v>
      </c>
      <c r="P1402" t="s">
        <v>54</v>
      </c>
      <c r="Q1402" t="s">
        <v>55</v>
      </c>
      <c r="T1402" t="s">
        <v>241</v>
      </c>
      <c r="U1402">
        <v>40</v>
      </c>
      <c r="V1402" s="1">
        <v>29768</v>
      </c>
      <c r="W1402" s="1">
        <v>29768</v>
      </c>
      <c r="X1402" s="1">
        <v>29768</v>
      </c>
      <c r="Y1402" s="1">
        <v>44378</v>
      </c>
      <c r="Z1402" t="s">
        <v>51</v>
      </c>
      <c r="AB1402" t="s">
        <v>54</v>
      </c>
      <c r="AC1402">
        <v>1</v>
      </c>
      <c r="AE1402" t="s">
        <v>222</v>
      </c>
      <c r="AF1402">
        <v>20</v>
      </c>
      <c r="AG1402" s="1">
        <v>38169</v>
      </c>
      <c r="AH1402" s="1">
        <v>38169</v>
      </c>
      <c r="AI1402" s="1">
        <v>38169</v>
      </c>
      <c r="AJ1402" s="1">
        <v>45474</v>
      </c>
      <c r="AK1402" t="s">
        <v>51</v>
      </c>
      <c r="AN1402">
        <v>0</v>
      </c>
      <c r="AO1402" t="s">
        <v>54</v>
      </c>
      <c r="AP1402" t="s">
        <v>53</v>
      </c>
      <c r="AQ1402">
        <v>0</v>
      </c>
      <c r="AR1402" t="s">
        <v>53</v>
      </c>
      <c r="AS1402">
        <v>0</v>
      </c>
      <c r="AT1402">
        <v>0</v>
      </c>
      <c r="CC1402" t="s">
        <v>432</v>
      </c>
      <c r="CD1402">
        <v>85000</v>
      </c>
      <c r="CE1402" s="1">
        <v>42552</v>
      </c>
      <c r="CF1402" s="1">
        <v>42552</v>
      </c>
      <c r="CG1402" s="1">
        <v>42552</v>
      </c>
      <c r="CH1402" s="1">
        <v>49714</v>
      </c>
      <c r="CI1402" t="s">
        <v>51</v>
      </c>
      <c r="CK1402" t="s">
        <v>78</v>
      </c>
      <c r="CM1402" t="s">
        <v>54</v>
      </c>
      <c r="CN1402" t="s">
        <v>174</v>
      </c>
      <c r="CO1402" t="s">
        <v>86</v>
      </c>
      <c r="CR1402">
        <v>24</v>
      </c>
      <c r="CS1402">
        <v>0</v>
      </c>
      <c r="CT1402">
        <v>0</v>
      </c>
      <c r="CU1402">
        <v>0</v>
      </c>
    </row>
    <row r="1403" spans="1:99" x14ac:dyDescent="0.2">
      <c r="A1403" t="s">
        <v>180</v>
      </c>
      <c r="B1403" t="s">
        <v>181</v>
      </c>
      <c r="C1403" t="s">
        <v>184</v>
      </c>
      <c r="D1403" t="s">
        <v>768</v>
      </c>
      <c r="F1403" t="str">
        <f>"251074"</f>
        <v>251074</v>
      </c>
      <c r="G1403" t="s">
        <v>49</v>
      </c>
      <c r="H1403">
        <v>21</v>
      </c>
      <c r="K1403" t="s">
        <v>51</v>
      </c>
      <c r="L1403" t="s">
        <v>52</v>
      </c>
      <c r="M1403">
        <v>136131.89000000001</v>
      </c>
      <c r="N1403">
        <v>472519.89</v>
      </c>
      <c r="O1403" t="s">
        <v>53</v>
      </c>
      <c r="P1403" t="s">
        <v>54</v>
      </c>
      <c r="Q1403" t="s">
        <v>55</v>
      </c>
      <c r="T1403" t="s">
        <v>241</v>
      </c>
      <c r="U1403">
        <v>40</v>
      </c>
      <c r="V1403" s="1">
        <v>29587</v>
      </c>
      <c r="W1403" s="1">
        <v>29587</v>
      </c>
      <c r="X1403" s="1">
        <v>29587</v>
      </c>
      <c r="Y1403" s="1">
        <v>44197</v>
      </c>
      <c r="Z1403" t="s">
        <v>51</v>
      </c>
      <c r="AB1403" t="s">
        <v>54</v>
      </c>
      <c r="AC1403">
        <v>1</v>
      </c>
      <c r="AE1403" t="s">
        <v>222</v>
      </c>
      <c r="AF1403">
        <v>20</v>
      </c>
      <c r="AG1403" s="1">
        <v>37987</v>
      </c>
      <c r="AH1403" s="1">
        <v>37987</v>
      </c>
      <c r="AI1403" s="1">
        <v>37987</v>
      </c>
      <c r="AJ1403" s="1">
        <v>45292</v>
      </c>
      <c r="AK1403" t="s">
        <v>51</v>
      </c>
      <c r="AN1403">
        <v>0</v>
      </c>
      <c r="AO1403" t="s">
        <v>54</v>
      </c>
      <c r="AP1403" t="s">
        <v>53</v>
      </c>
      <c r="AQ1403">
        <v>0</v>
      </c>
      <c r="AR1403" t="s">
        <v>53</v>
      </c>
      <c r="AS1403">
        <v>0</v>
      </c>
      <c r="AT1403">
        <v>0</v>
      </c>
      <c r="CC1403" t="s">
        <v>432</v>
      </c>
      <c r="CD1403">
        <v>85000</v>
      </c>
      <c r="CE1403" s="1">
        <v>42552</v>
      </c>
      <c r="CF1403" s="1">
        <v>42552</v>
      </c>
      <c r="CG1403" s="1">
        <v>42552</v>
      </c>
      <c r="CH1403" s="1">
        <v>49714</v>
      </c>
      <c r="CI1403" t="s">
        <v>51</v>
      </c>
      <c r="CK1403" t="s">
        <v>78</v>
      </c>
      <c r="CM1403" t="s">
        <v>54</v>
      </c>
      <c r="CN1403" t="s">
        <v>174</v>
      </c>
      <c r="CO1403" t="s">
        <v>86</v>
      </c>
      <c r="CR1403">
        <v>24</v>
      </c>
      <c r="CS1403">
        <v>0</v>
      </c>
      <c r="CT1403">
        <v>0</v>
      </c>
      <c r="CU1403">
        <v>0</v>
      </c>
    </row>
    <row r="1404" spans="1:99" x14ac:dyDescent="0.2">
      <c r="A1404" t="s">
        <v>180</v>
      </c>
      <c r="B1404" t="s">
        <v>181</v>
      </c>
      <c r="C1404" t="s">
        <v>184</v>
      </c>
      <c r="D1404" t="s">
        <v>768</v>
      </c>
      <c r="F1404" t="str">
        <f>"251075"</f>
        <v>251075</v>
      </c>
      <c r="G1404" t="s">
        <v>49</v>
      </c>
      <c r="K1404" t="s">
        <v>51</v>
      </c>
      <c r="L1404" t="s">
        <v>52</v>
      </c>
      <c r="M1404">
        <v>136147.79</v>
      </c>
      <c r="N1404">
        <v>472511.79</v>
      </c>
      <c r="O1404" t="s">
        <v>53</v>
      </c>
      <c r="P1404" t="s">
        <v>54</v>
      </c>
      <c r="Q1404" t="s">
        <v>55</v>
      </c>
      <c r="T1404" t="s">
        <v>241</v>
      </c>
      <c r="U1404">
        <v>40</v>
      </c>
      <c r="V1404" s="1">
        <v>29768</v>
      </c>
      <c r="W1404" s="1">
        <v>29768</v>
      </c>
      <c r="X1404" s="1">
        <v>29768</v>
      </c>
      <c r="Y1404" s="1">
        <v>44378</v>
      </c>
      <c r="Z1404" t="s">
        <v>51</v>
      </c>
      <c r="AB1404" t="s">
        <v>54</v>
      </c>
      <c r="AC1404">
        <v>1</v>
      </c>
      <c r="AE1404" t="s">
        <v>222</v>
      </c>
      <c r="AF1404">
        <v>20</v>
      </c>
      <c r="AG1404" s="1">
        <v>38169</v>
      </c>
      <c r="AH1404" s="1">
        <v>38169</v>
      </c>
      <c r="AI1404" s="1">
        <v>38169</v>
      </c>
      <c r="AJ1404" s="1">
        <v>45474</v>
      </c>
      <c r="AK1404" t="s">
        <v>51</v>
      </c>
      <c r="AN1404">
        <v>0</v>
      </c>
      <c r="AO1404" t="s">
        <v>54</v>
      </c>
      <c r="AP1404" t="s">
        <v>53</v>
      </c>
      <c r="AQ1404">
        <v>0</v>
      </c>
      <c r="AR1404" t="s">
        <v>53</v>
      </c>
      <c r="AS1404">
        <v>0</v>
      </c>
      <c r="AT1404">
        <v>0</v>
      </c>
      <c r="CC1404" t="s">
        <v>432</v>
      </c>
      <c r="CD1404">
        <v>85000</v>
      </c>
      <c r="CE1404" s="1">
        <v>42552</v>
      </c>
      <c r="CF1404" s="1">
        <v>42552</v>
      </c>
      <c r="CG1404" s="1">
        <v>42552</v>
      </c>
      <c r="CH1404" s="1">
        <v>49714</v>
      </c>
      <c r="CI1404" t="s">
        <v>51</v>
      </c>
      <c r="CK1404" t="s">
        <v>78</v>
      </c>
      <c r="CM1404" t="s">
        <v>54</v>
      </c>
      <c r="CN1404" t="s">
        <v>174</v>
      </c>
      <c r="CO1404" t="s">
        <v>86</v>
      </c>
      <c r="CR1404">
        <v>24</v>
      </c>
      <c r="CS1404">
        <v>0</v>
      </c>
      <c r="CT1404">
        <v>0</v>
      </c>
      <c r="CU1404">
        <v>0</v>
      </c>
    </row>
    <row r="1405" spans="1:99" x14ac:dyDescent="0.2">
      <c r="A1405" t="s">
        <v>180</v>
      </c>
      <c r="B1405" t="s">
        <v>181</v>
      </c>
      <c r="C1405" t="s">
        <v>184</v>
      </c>
      <c r="D1405" t="s">
        <v>768</v>
      </c>
      <c r="F1405" t="str">
        <f>"251076"</f>
        <v>251076</v>
      </c>
      <c r="G1405" t="s">
        <v>49</v>
      </c>
      <c r="H1405" t="s">
        <v>769</v>
      </c>
      <c r="K1405" t="s">
        <v>51</v>
      </c>
      <c r="L1405" t="s">
        <v>52</v>
      </c>
      <c r="M1405">
        <v>136146.09</v>
      </c>
      <c r="N1405">
        <v>472529.87</v>
      </c>
      <c r="O1405" t="s">
        <v>53</v>
      </c>
      <c r="P1405" t="s">
        <v>54</v>
      </c>
      <c r="Q1405" t="s">
        <v>55</v>
      </c>
      <c r="T1405" t="s">
        <v>241</v>
      </c>
      <c r="U1405">
        <v>40</v>
      </c>
      <c r="V1405" s="1">
        <v>29768</v>
      </c>
      <c r="W1405" s="1">
        <v>29768</v>
      </c>
      <c r="X1405" s="1">
        <v>29768</v>
      </c>
      <c r="Y1405" s="1">
        <v>44378</v>
      </c>
      <c r="Z1405" t="s">
        <v>51</v>
      </c>
      <c r="AB1405" t="s">
        <v>54</v>
      </c>
      <c r="AC1405">
        <v>1</v>
      </c>
      <c r="AE1405" t="s">
        <v>222</v>
      </c>
      <c r="AF1405">
        <v>20</v>
      </c>
      <c r="AG1405" s="1">
        <v>38169</v>
      </c>
      <c r="AH1405" s="1">
        <v>38169</v>
      </c>
      <c r="AI1405" s="1">
        <v>38169</v>
      </c>
      <c r="AJ1405" s="1">
        <v>45474</v>
      </c>
      <c r="AK1405" t="s">
        <v>51</v>
      </c>
      <c r="AN1405">
        <v>0</v>
      </c>
      <c r="AO1405" t="s">
        <v>54</v>
      </c>
      <c r="AP1405" t="s">
        <v>53</v>
      </c>
      <c r="AQ1405">
        <v>0</v>
      </c>
      <c r="AR1405" t="s">
        <v>53</v>
      </c>
      <c r="AS1405">
        <v>0</v>
      </c>
      <c r="AT1405">
        <v>0</v>
      </c>
      <c r="CC1405" t="s">
        <v>432</v>
      </c>
      <c r="CD1405">
        <v>85000</v>
      </c>
      <c r="CE1405" s="1">
        <v>42552</v>
      </c>
      <c r="CF1405" s="1">
        <v>42552</v>
      </c>
      <c r="CG1405" s="1">
        <v>42552</v>
      </c>
      <c r="CH1405" s="1">
        <v>49714</v>
      </c>
      <c r="CI1405" t="s">
        <v>51</v>
      </c>
      <c r="CK1405" t="s">
        <v>78</v>
      </c>
      <c r="CM1405" t="s">
        <v>54</v>
      </c>
      <c r="CN1405" t="s">
        <v>174</v>
      </c>
      <c r="CO1405" t="s">
        <v>86</v>
      </c>
      <c r="CR1405">
        <v>24</v>
      </c>
      <c r="CS1405">
        <v>0</v>
      </c>
      <c r="CT1405">
        <v>0</v>
      </c>
      <c r="CU1405">
        <v>0</v>
      </c>
    </row>
    <row r="1406" spans="1:99" x14ac:dyDescent="0.2">
      <c r="A1406" t="s">
        <v>180</v>
      </c>
      <c r="B1406" t="s">
        <v>181</v>
      </c>
      <c r="C1406" t="s">
        <v>184</v>
      </c>
      <c r="D1406" t="s">
        <v>768</v>
      </c>
      <c r="F1406" t="str">
        <f>"251077"</f>
        <v>251077</v>
      </c>
      <c r="G1406" t="s">
        <v>49</v>
      </c>
      <c r="H1406">
        <v>10</v>
      </c>
      <c r="K1406" t="s">
        <v>51</v>
      </c>
      <c r="L1406" t="s">
        <v>52</v>
      </c>
      <c r="M1406">
        <v>136158.29999999999</v>
      </c>
      <c r="N1406">
        <v>472555.32</v>
      </c>
      <c r="O1406" t="s">
        <v>53</v>
      </c>
      <c r="P1406" t="s">
        <v>54</v>
      </c>
      <c r="Q1406" t="s">
        <v>55</v>
      </c>
      <c r="T1406" t="s">
        <v>241</v>
      </c>
      <c r="U1406">
        <v>40</v>
      </c>
      <c r="V1406" s="1">
        <v>29403</v>
      </c>
      <c r="W1406" s="1">
        <v>29403</v>
      </c>
      <c r="X1406" s="1">
        <v>29403</v>
      </c>
      <c r="Y1406" s="1">
        <v>44013</v>
      </c>
      <c r="Z1406" t="s">
        <v>51</v>
      </c>
      <c r="AB1406" t="s">
        <v>54</v>
      </c>
      <c r="AC1406">
        <v>1</v>
      </c>
      <c r="AE1406" t="s">
        <v>222</v>
      </c>
      <c r="AF1406">
        <v>20</v>
      </c>
      <c r="AG1406" s="1">
        <v>38169</v>
      </c>
      <c r="AH1406" s="1">
        <v>38169</v>
      </c>
      <c r="AI1406" s="1">
        <v>38169</v>
      </c>
      <c r="AJ1406" s="1">
        <v>45474</v>
      </c>
      <c r="AK1406" t="s">
        <v>51</v>
      </c>
      <c r="AN1406">
        <v>0</v>
      </c>
      <c r="AO1406" t="s">
        <v>54</v>
      </c>
      <c r="AP1406" t="s">
        <v>53</v>
      </c>
      <c r="AQ1406">
        <v>0</v>
      </c>
      <c r="AR1406" t="s">
        <v>53</v>
      </c>
      <c r="AS1406">
        <v>0</v>
      </c>
      <c r="AT1406">
        <v>0</v>
      </c>
      <c r="CC1406" t="s">
        <v>432</v>
      </c>
      <c r="CD1406">
        <v>85000</v>
      </c>
      <c r="CE1406" s="1">
        <v>42552</v>
      </c>
      <c r="CF1406" s="1">
        <v>42552</v>
      </c>
      <c r="CG1406" s="1">
        <v>42552</v>
      </c>
      <c r="CH1406" s="1">
        <v>49714</v>
      </c>
      <c r="CI1406" t="s">
        <v>51</v>
      </c>
      <c r="CK1406" t="s">
        <v>78</v>
      </c>
      <c r="CM1406" t="s">
        <v>54</v>
      </c>
      <c r="CN1406" t="s">
        <v>174</v>
      </c>
      <c r="CO1406" t="s">
        <v>86</v>
      </c>
      <c r="CR1406">
        <v>24</v>
      </c>
      <c r="CS1406">
        <v>0</v>
      </c>
      <c r="CT1406">
        <v>0</v>
      </c>
      <c r="CU1406">
        <v>0</v>
      </c>
    </row>
    <row r="1407" spans="1:99" x14ac:dyDescent="0.2">
      <c r="A1407" t="s">
        <v>180</v>
      </c>
      <c r="B1407" t="s">
        <v>181</v>
      </c>
      <c r="C1407" t="s">
        <v>184</v>
      </c>
      <c r="D1407" t="s">
        <v>768</v>
      </c>
      <c r="F1407" t="str">
        <f>"251078"</f>
        <v>251078</v>
      </c>
      <c r="G1407" t="s">
        <v>49</v>
      </c>
      <c r="H1407">
        <v>2</v>
      </c>
      <c r="K1407" t="s">
        <v>51</v>
      </c>
      <c r="L1407" t="s">
        <v>52</v>
      </c>
      <c r="M1407">
        <v>136167.98000000001</v>
      </c>
      <c r="N1407">
        <v>472576.13</v>
      </c>
      <c r="O1407" t="s">
        <v>53</v>
      </c>
      <c r="P1407" t="s">
        <v>54</v>
      </c>
      <c r="Q1407" t="s">
        <v>55</v>
      </c>
      <c r="T1407" t="s">
        <v>241</v>
      </c>
      <c r="U1407">
        <v>40</v>
      </c>
      <c r="V1407" s="1">
        <v>29403</v>
      </c>
      <c r="W1407" s="1">
        <v>29403</v>
      </c>
      <c r="X1407" s="1">
        <v>29403</v>
      </c>
      <c r="Y1407" s="1">
        <v>44013</v>
      </c>
      <c r="Z1407" t="s">
        <v>51</v>
      </c>
      <c r="AB1407" t="s">
        <v>54</v>
      </c>
      <c r="AC1407">
        <v>1</v>
      </c>
      <c r="AE1407" t="s">
        <v>222</v>
      </c>
      <c r="AF1407">
        <v>20</v>
      </c>
      <c r="AG1407" s="1">
        <v>37987</v>
      </c>
      <c r="AH1407" s="1">
        <v>37987</v>
      </c>
      <c r="AI1407" s="1">
        <v>37987</v>
      </c>
      <c r="AJ1407" s="1">
        <v>45292</v>
      </c>
      <c r="AK1407" t="s">
        <v>51</v>
      </c>
      <c r="AN1407">
        <v>0</v>
      </c>
      <c r="AO1407" t="s">
        <v>54</v>
      </c>
      <c r="AP1407" t="s">
        <v>53</v>
      </c>
      <c r="AQ1407">
        <v>0</v>
      </c>
      <c r="AR1407" t="s">
        <v>53</v>
      </c>
      <c r="AS1407">
        <v>0</v>
      </c>
      <c r="AT1407">
        <v>0</v>
      </c>
      <c r="AW1407" t="s">
        <v>58</v>
      </c>
      <c r="AX1407">
        <v>20</v>
      </c>
      <c r="AY1407" s="1">
        <v>37987</v>
      </c>
      <c r="AZ1407" s="1">
        <v>37987</v>
      </c>
      <c r="BA1407" s="1">
        <v>37987</v>
      </c>
      <c r="BB1407" s="1">
        <v>45292</v>
      </c>
      <c r="BC1407" t="s">
        <v>51</v>
      </c>
      <c r="BE1407" t="s">
        <v>54</v>
      </c>
      <c r="BF1407">
        <v>2</v>
      </c>
      <c r="BG1407">
        <v>0</v>
      </c>
      <c r="BH1407" t="s">
        <v>53</v>
      </c>
      <c r="BK1407" t="s">
        <v>65</v>
      </c>
      <c r="BL1407">
        <v>14000</v>
      </c>
      <c r="BM1407" s="1">
        <v>41091</v>
      </c>
      <c r="BN1407" s="1">
        <v>41091</v>
      </c>
      <c r="BO1407" s="1">
        <v>41091</v>
      </c>
      <c r="BP1407" s="1">
        <v>42291</v>
      </c>
      <c r="BQ1407" t="s">
        <v>51</v>
      </c>
      <c r="BS1407" t="s">
        <v>60</v>
      </c>
      <c r="BT1407" t="s">
        <v>54</v>
      </c>
      <c r="BU1407" t="s">
        <v>61</v>
      </c>
      <c r="BV1407" t="s">
        <v>62</v>
      </c>
      <c r="BX1407">
        <v>36</v>
      </c>
      <c r="BY1407">
        <v>0</v>
      </c>
      <c r="BZ1407">
        <v>0</v>
      </c>
    </row>
    <row r="1408" spans="1:99" x14ac:dyDescent="0.2">
      <c r="A1408" t="s">
        <v>180</v>
      </c>
      <c r="B1408" t="s">
        <v>181</v>
      </c>
      <c r="C1408" t="s">
        <v>184</v>
      </c>
      <c r="D1408" t="s">
        <v>768</v>
      </c>
      <c r="F1408" t="str">
        <f>"251079"</f>
        <v>251079</v>
      </c>
      <c r="G1408" t="s">
        <v>49</v>
      </c>
      <c r="H1408" t="s">
        <v>306</v>
      </c>
      <c r="K1408" t="s">
        <v>51</v>
      </c>
      <c r="L1408" t="s">
        <v>52</v>
      </c>
      <c r="M1408">
        <v>136174.91</v>
      </c>
      <c r="N1408">
        <v>472537.36</v>
      </c>
      <c r="O1408" t="s">
        <v>53</v>
      </c>
      <c r="P1408" t="s">
        <v>54</v>
      </c>
      <c r="Q1408" t="s">
        <v>55</v>
      </c>
      <c r="T1408" t="s">
        <v>241</v>
      </c>
      <c r="U1408">
        <v>40</v>
      </c>
      <c r="V1408" s="1">
        <v>29768</v>
      </c>
      <c r="W1408" s="1">
        <v>29768</v>
      </c>
      <c r="X1408" s="1">
        <v>29768</v>
      </c>
      <c r="Y1408" s="1">
        <v>44378</v>
      </c>
      <c r="Z1408" t="s">
        <v>51</v>
      </c>
      <c r="AB1408" t="s">
        <v>54</v>
      </c>
      <c r="AC1408">
        <v>1</v>
      </c>
      <c r="AE1408" t="s">
        <v>222</v>
      </c>
      <c r="AF1408">
        <v>20</v>
      </c>
      <c r="AG1408" s="1">
        <v>38169</v>
      </c>
      <c r="AH1408" s="1">
        <v>38169</v>
      </c>
      <c r="AI1408" s="1">
        <v>38169</v>
      </c>
      <c r="AJ1408" s="1">
        <v>45474</v>
      </c>
      <c r="AK1408" t="s">
        <v>51</v>
      </c>
      <c r="AN1408">
        <v>0</v>
      </c>
      <c r="AO1408" t="s">
        <v>54</v>
      </c>
      <c r="AP1408" t="s">
        <v>53</v>
      </c>
      <c r="AQ1408">
        <v>0</v>
      </c>
      <c r="AR1408" t="s">
        <v>53</v>
      </c>
      <c r="AS1408">
        <v>0</v>
      </c>
      <c r="AT1408">
        <v>0</v>
      </c>
      <c r="CC1408" t="s">
        <v>432</v>
      </c>
      <c r="CD1408">
        <v>85000</v>
      </c>
      <c r="CE1408" s="1">
        <v>42552</v>
      </c>
      <c r="CF1408" s="1">
        <v>42552</v>
      </c>
      <c r="CG1408" s="1">
        <v>42552</v>
      </c>
      <c r="CH1408" s="1">
        <v>49714</v>
      </c>
      <c r="CI1408" t="s">
        <v>51</v>
      </c>
      <c r="CK1408" t="s">
        <v>78</v>
      </c>
      <c r="CM1408" t="s">
        <v>54</v>
      </c>
      <c r="CN1408" t="s">
        <v>174</v>
      </c>
      <c r="CO1408" t="s">
        <v>86</v>
      </c>
      <c r="CR1408">
        <v>24</v>
      </c>
      <c r="CS1408">
        <v>0</v>
      </c>
      <c r="CT1408">
        <v>0</v>
      </c>
      <c r="CU1408">
        <v>0</v>
      </c>
    </row>
    <row r="1409" spans="1:99" x14ac:dyDescent="0.2">
      <c r="A1409" t="s">
        <v>180</v>
      </c>
      <c r="B1409" t="s">
        <v>181</v>
      </c>
      <c r="C1409" t="s">
        <v>184</v>
      </c>
      <c r="D1409" t="s">
        <v>770</v>
      </c>
      <c r="F1409" t="str">
        <f>"251080"</f>
        <v>251080</v>
      </c>
      <c r="G1409" t="s">
        <v>49</v>
      </c>
      <c r="K1409" t="s">
        <v>51</v>
      </c>
      <c r="L1409" t="s">
        <v>52</v>
      </c>
      <c r="M1409">
        <v>136023.54999999999</v>
      </c>
      <c r="N1409">
        <v>472264.16</v>
      </c>
      <c r="O1409" t="s">
        <v>53</v>
      </c>
      <c r="P1409" t="s">
        <v>54</v>
      </c>
      <c r="Q1409" t="s">
        <v>55</v>
      </c>
      <c r="T1409" t="s">
        <v>241</v>
      </c>
      <c r="U1409">
        <v>40</v>
      </c>
      <c r="V1409" s="1">
        <v>35247</v>
      </c>
      <c r="W1409" s="1">
        <v>35247</v>
      </c>
      <c r="X1409" s="1">
        <v>35247</v>
      </c>
      <c r="Y1409" s="1">
        <v>49857</v>
      </c>
      <c r="Z1409" t="s">
        <v>51</v>
      </c>
      <c r="AB1409" t="s">
        <v>54</v>
      </c>
      <c r="AC1409">
        <v>1</v>
      </c>
      <c r="AE1409" t="s">
        <v>222</v>
      </c>
      <c r="AF1409">
        <v>20</v>
      </c>
      <c r="AG1409" s="1">
        <v>35247</v>
      </c>
      <c r="AH1409" s="1">
        <v>35247</v>
      </c>
      <c r="AI1409" s="1">
        <v>35247</v>
      </c>
      <c r="AJ1409" s="1">
        <v>42552</v>
      </c>
      <c r="AK1409" t="s">
        <v>51</v>
      </c>
      <c r="AN1409">
        <v>0</v>
      </c>
      <c r="AO1409" t="s">
        <v>54</v>
      </c>
      <c r="AP1409" t="s">
        <v>53</v>
      </c>
      <c r="AQ1409">
        <v>0</v>
      </c>
      <c r="AR1409" t="s">
        <v>53</v>
      </c>
      <c r="AS1409">
        <v>0</v>
      </c>
      <c r="AT1409">
        <v>0</v>
      </c>
      <c r="AW1409" t="s">
        <v>58</v>
      </c>
      <c r="AX1409">
        <v>20</v>
      </c>
      <c r="AY1409" s="1">
        <v>35247</v>
      </c>
      <c r="AZ1409" s="1">
        <v>35247</v>
      </c>
      <c r="BA1409" s="1">
        <v>35247</v>
      </c>
      <c r="BB1409" s="1">
        <v>42552</v>
      </c>
      <c r="BC1409" t="s">
        <v>51</v>
      </c>
      <c r="BE1409" t="s">
        <v>54</v>
      </c>
      <c r="BF1409">
        <v>2</v>
      </c>
      <c r="BG1409">
        <v>0</v>
      </c>
      <c r="BH1409" t="s">
        <v>53</v>
      </c>
      <c r="BK1409" t="s">
        <v>65</v>
      </c>
      <c r="BL1409">
        <v>14000</v>
      </c>
      <c r="BM1409" s="1">
        <v>42917</v>
      </c>
      <c r="BN1409" s="1">
        <v>42917</v>
      </c>
      <c r="BO1409" s="1">
        <v>42917</v>
      </c>
      <c r="BP1409" s="1">
        <v>44117</v>
      </c>
      <c r="BQ1409" t="s">
        <v>51</v>
      </c>
      <c r="BS1409" t="s">
        <v>60</v>
      </c>
      <c r="BT1409" t="s">
        <v>54</v>
      </c>
      <c r="BU1409" t="s">
        <v>61</v>
      </c>
      <c r="BV1409" t="s">
        <v>62</v>
      </c>
      <c r="BX1409">
        <v>36</v>
      </c>
      <c r="BY1409">
        <v>0</v>
      </c>
      <c r="BZ1409">
        <v>0</v>
      </c>
    </row>
    <row r="1410" spans="1:99" x14ac:dyDescent="0.2">
      <c r="A1410" t="s">
        <v>180</v>
      </c>
      <c r="B1410" t="s">
        <v>181</v>
      </c>
      <c r="C1410" t="s">
        <v>184</v>
      </c>
      <c r="D1410" t="s">
        <v>770</v>
      </c>
      <c r="F1410" t="str">
        <f>"251081"</f>
        <v>251081</v>
      </c>
      <c r="G1410" t="s">
        <v>49</v>
      </c>
      <c r="H1410" t="s">
        <v>261</v>
      </c>
      <c r="K1410" t="s">
        <v>51</v>
      </c>
      <c r="L1410" t="s">
        <v>52</v>
      </c>
      <c r="M1410">
        <v>136005.06</v>
      </c>
      <c r="N1410">
        <v>472273.38</v>
      </c>
      <c r="O1410" t="s">
        <v>53</v>
      </c>
      <c r="P1410" t="s">
        <v>54</v>
      </c>
      <c r="Q1410" t="s">
        <v>55</v>
      </c>
      <c r="T1410" t="s">
        <v>241</v>
      </c>
      <c r="U1410">
        <v>40</v>
      </c>
      <c r="V1410" s="1">
        <v>35247</v>
      </c>
      <c r="W1410" s="1">
        <v>35247</v>
      </c>
      <c r="X1410" s="1">
        <v>35247</v>
      </c>
      <c r="Y1410" s="1">
        <v>49857</v>
      </c>
      <c r="Z1410" t="s">
        <v>51</v>
      </c>
      <c r="AB1410" t="s">
        <v>54</v>
      </c>
      <c r="AC1410">
        <v>1</v>
      </c>
      <c r="AE1410" t="s">
        <v>222</v>
      </c>
      <c r="AF1410">
        <v>20</v>
      </c>
      <c r="AG1410" s="1">
        <v>35247</v>
      </c>
      <c r="AH1410" s="1">
        <v>35247</v>
      </c>
      <c r="AI1410" s="1">
        <v>35247</v>
      </c>
      <c r="AJ1410" s="1">
        <v>42552</v>
      </c>
      <c r="AK1410" t="s">
        <v>51</v>
      </c>
      <c r="AN1410">
        <v>0</v>
      </c>
      <c r="AO1410" t="s">
        <v>54</v>
      </c>
      <c r="AP1410" t="s">
        <v>53</v>
      </c>
      <c r="AQ1410">
        <v>0</v>
      </c>
      <c r="AR1410" t="s">
        <v>53</v>
      </c>
      <c r="AS1410">
        <v>0</v>
      </c>
      <c r="AT1410">
        <v>0</v>
      </c>
      <c r="AW1410" t="s">
        <v>58</v>
      </c>
      <c r="AX1410">
        <v>20</v>
      </c>
      <c r="AY1410" s="1">
        <v>35247</v>
      </c>
      <c r="AZ1410" s="1">
        <v>35247</v>
      </c>
      <c r="BA1410" s="1">
        <v>35247</v>
      </c>
      <c r="BB1410" s="1">
        <v>42552</v>
      </c>
      <c r="BC1410" t="s">
        <v>51</v>
      </c>
      <c r="BE1410" t="s">
        <v>54</v>
      </c>
      <c r="BF1410">
        <v>2</v>
      </c>
      <c r="BG1410">
        <v>0</v>
      </c>
      <c r="BH1410" t="s">
        <v>53</v>
      </c>
      <c r="BK1410" t="s">
        <v>65</v>
      </c>
      <c r="BL1410">
        <v>14000</v>
      </c>
      <c r="BM1410" s="1">
        <v>42917</v>
      </c>
      <c r="BN1410" s="1">
        <v>42917</v>
      </c>
      <c r="BO1410" s="1">
        <v>42917</v>
      </c>
      <c r="BP1410" s="1">
        <v>44117</v>
      </c>
      <c r="BQ1410" t="s">
        <v>51</v>
      </c>
      <c r="BS1410" t="s">
        <v>60</v>
      </c>
      <c r="BT1410" t="s">
        <v>54</v>
      </c>
      <c r="BU1410" t="s">
        <v>61</v>
      </c>
      <c r="BV1410" t="s">
        <v>62</v>
      </c>
      <c r="BX1410">
        <v>36</v>
      </c>
      <c r="BY1410">
        <v>0</v>
      </c>
      <c r="BZ1410">
        <v>0</v>
      </c>
    </row>
    <row r="1411" spans="1:99" x14ac:dyDescent="0.2">
      <c r="A1411" t="s">
        <v>180</v>
      </c>
      <c r="B1411" t="s">
        <v>181</v>
      </c>
      <c r="C1411" t="s">
        <v>184</v>
      </c>
      <c r="D1411" t="s">
        <v>770</v>
      </c>
      <c r="F1411" t="str">
        <f>"251082"</f>
        <v>251082</v>
      </c>
      <c r="G1411" t="s">
        <v>49</v>
      </c>
      <c r="K1411" t="s">
        <v>51</v>
      </c>
      <c r="L1411" t="s">
        <v>52</v>
      </c>
      <c r="M1411">
        <v>135982.68</v>
      </c>
      <c r="N1411">
        <v>472285.07</v>
      </c>
      <c r="O1411" t="s">
        <v>53</v>
      </c>
      <c r="P1411" t="s">
        <v>54</v>
      </c>
      <c r="Q1411" t="s">
        <v>55</v>
      </c>
      <c r="T1411" t="s">
        <v>241</v>
      </c>
      <c r="U1411">
        <v>40</v>
      </c>
      <c r="V1411" s="1">
        <v>38534</v>
      </c>
      <c r="W1411" s="1">
        <v>38534</v>
      </c>
      <c r="X1411" s="1">
        <v>38534</v>
      </c>
      <c r="Y1411" s="1">
        <v>53144</v>
      </c>
      <c r="Z1411" t="s">
        <v>51</v>
      </c>
      <c r="AB1411" t="s">
        <v>54</v>
      </c>
      <c r="AC1411">
        <v>1</v>
      </c>
      <c r="AE1411" t="s">
        <v>222</v>
      </c>
      <c r="AF1411">
        <v>20</v>
      </c>
      <c r="AG1411" s="1">
        <v>35247</v>
      </c>
      <c r="AH1411" s="1">
        <v>35247</v>
      </c>
      <c r="AI1411" s="1">
        <v>38534</v>
      </c>
      <c r="AJ1411" s="1">
        <v>42552</v>
      </c>
      <c r="AK1411" t="s">
        <v>51</v>
      </c>
      <c r="AN1411">
        <v>0</v>
      </c>
      <c r="AO1411" t="s">
        <v>54</v>
      </c>
      <c r="AP1411" t="s">
        <v>53</v>
      </c>
      <c r="AQ1411">
        <v>0</v>
      </c>
      <c r="AR1411" t="s">
        <v>53</v>
      </c>
      <c r="AS1411">
        <v>0</v>
      </c>
      <c r="AT1411">
        <v>0</v>
      </c>
      <c r="AW1411" t="s">
        <v>58</v>
      </c>
      <c r="AX1411">
        <v>20</v>
      </c>
      <c r="AY1411" s="1">
        <v>35247</v>
      </c>
      <c r="AZ1411" s="1">
        <v>35247</v>
      </c>
      <c r="BA1411" s="1">
        <v>38534</v>
      </c>
      <c r="BB1411" s="1">
        <v>42552</v>
      </c>
      <c r="BC1411" t="s">
        <v>51</v>
      </c>
      <c r="BE1411" t="s">
        <v>54</v>
      </c>
      <c r="BF1411">
        <v>2</v>
      </c>
      <c r="BG1411">
        <v>0</v>
      </c>
      <c r="BH1411" t="s">
        <v>53</v>
      </c>
      <c r="BK1411" t="s">
        <v>65</v>
      </c>
      <c r="BL1411">
        <v>14000</v>
      </c>
      <c r="BM1411" s="1">
        <v>42917</v>
      </c>
      <c r="BN1411" s="1">
        <v>42917</v>
      </c>
      <c r="BO1411" s="1">
        <v>42917</v>
      </c>
      <c r="BP1411" s="1">
        <v>44117</v>
      </c>
      <c r="BQ1411" t="s">
        <v>51</v>
      </c>
      <c r="BS1411" t="s">
        <v>60</v>
      </c>
      <c r="BT1411" t="s">
        <v>54</v>
      </c>
      <c r="BU1411" t="s">
        <v>61</v>
      </c>
      <c r="BV1411" t="s">
        <v>62</v>
      </c>
      <c r="BX1411">
        <v>36</v>
      </c>
      <c r="BY1411">
        <v>0</v>
      </c>
      <c r="BZ1411">
        <v>0</v>
      </c>
    </row>
    <row r="1412" spans="1:99" x14ac:dyDescent="0.2">
      <c r="A1412" t="s">
        <v>180</v>
      </c>
      <c r="B1412" t="s">
        <v>181</v>
      </c>
      <c r="C1412" t="s">
        <v>184</v>
      </c>
      <c r="D1412" t="s">
        <v>770</v>
      </c>
      <c r="F1412" t="str">
        <f>"251083"</f>
        <v>251083</v>
      </c>
      <c r="G1412" t="s">
        <v>49</v>
      </c>
      <c r="H1412" t="s">
        <v>471</v>
      </c>
      <c r="K1412" t="s">
        <v>51</v>
      </c>
      <c r="L1412" t="s">
        <v>52</v>
      </c>
      <c r="M1412">
        <v>135978.44</v>
      </c>
      <c r="N1412">
        <v>472263.07</v>
      </c>
      <c r="O1412" t="s">
        <v>53</v>
      </c>
      <c r="P1412" t="s">
        <v>54</v>
      </c>
      <c r="Q1412" t="s">
        <v>55</v>
      </c>
      <c r="T1412" t="s">
        <v>241</v>
      </c>
      <c r="U1412">
        <v>40</v>
      </c>
      <c r="V1412" s="1">
        <v>35247</v>
      </c>
      <c r="W1412" s="1">
        <v>35247</v>
      </c>
      <c r="X1412" s="1">
        <v>35247</v>
      </c>
      <c r="Y1412" s="1">
        <v>49857</v>
      </c>
      <c r="Z1412" t="s">
        <v>51</v>
      </c>
      <c r="AB1412" t="s">
        <v>54</v>
      </c>
      <c r="AC1412">
        <v>1</v>
      </c>
      <c r="AE1412" t="s">
        <v>222</v>
      </c>
      <c r="AF1412">
        <v>20</v>
      </c>
      <c r="AG1412" s="1">
        <v>35247</v>
      </c>
      <c r="AH1412" s="1">
        <v>35247</v>
      </c>
      <c r="AI1412" s="1">
        <v>35247</v>
      </c>
      <c r="AJ1412" s="1">
        <v>42552</v>
      </c>
      <c r="AK1412" t="s">
        <v>51</v>
      </c>
      <c r="AN1412">
        <v>0</v>
      </c>
      <c r="AO1412" t="s">
        <v>54</v>
      </c>
      <c r="AP1412" t="s">
        <v>53</v>
      </c>
      <c r="AQ1412">
        <v>0</v>
      </c>
      <c r="AR1412" t="s">
        <v>53</v>
      </c>
      <c r="AS1412">
        <v>0</v>
      </c>
      <c r="AT1412">
        <v>0</v>
      </c>
      <c r="AW1412" t="s">
        <v>58</v>
      </c>
      <c r="AX1412">
        <v>20</v>
      </c>
      <c r="AY1412" s="1">
        <v>35247</v>
      </c>
      <c r="AZ1412" s="1">
        <v>35247</v>
      </c>
      <c r="BA1412" s="1">
        <v>35247</v>
      </c>
      <c r="BB1412" s="1">
        <v>42552</v>
      </c>
      <c r="BC1412" t="s">
        <v>51</v>
      </c>
      <c r="BE1412" t="s">
        <v>54</v>
      </c>
      <c r="BF1412">
        <v>2</v>
      </c>
      <c r="BG1412">
        <v>0</v>
      </c>
      <c r="BH1412" t="s">
        <v>53</v>
      </c>
      <c r="BK1412" t="s">
        <v>65</v>
      </c>
      <c r="BL1412">
        <v>14000</v>
      </c>
      <c r="BM1412" s="1">
        <v>42917</v>
      </c>
      <c r="BN1412" s="1">
        <v>42917</v>
      </c>
      <c r="BO1412" s="1">
        <v>42917</v>
      </c>
      <c r="BP1412" s="1">
        <v>44117</v>
      </c>
      <c r="BQ1412" t="s">
        <v>51</v>
      </c>
      <c r="BS1412" t="s">
        <v>60</v>
      </c>
      <c r="BT1412" t="s">
        <v>54</v>
      </c>
      <c r="BU1412" t="s">
        <v>61</v>
      </c>
      <c r="BV1412" t="s">
        <v>62</v>
      </c>
      <c r="BX1412">
        <v>36</v>
      </c>
      <c r="BY1412">
        <v>0</v>
      </c>
      <c r="BZ1412">
        <v>0</v>
      </c>
    </row>
    <row r="1413" spans="1:99" x14ac:dyDescent="0.2">
      <c r="A1413" t="s">
        <v>180</v>
      </c>
      <c r="B1413" t="s">
        <v>181</v>
      </c>
      <c r="C1413" t="s">
        <v>184</v>
      </c>
      <c r="D1413" t="s">
        <v>770</v>
      </c>
      <c r="F1413" t="str">
        <f>"251084"</f>
        <v>251084</v>
      </c>
      <c r="G1413" t="s">
        <v>49</v>
      </c>
      <c r="H1413" t="s">
        <v>219</v>
      </c>
      <c r="K1413" t="s">
        <v>51</v>
      </c>
      <c r="L1413" t="s">
        <v>52</v>
      </c>
      <c r="M1413">
        <v>136001.91</v>
      </c>
      <c r="N1413">
        <v>472251.67</v>
      </c>
      <c r="O1413" t="s">
        <v>53</v>
      </c>
      <c r="P1413" t="s">
        <v>54</v>
      </c>
      <c r="Q1413" t="s">
        <v>55</v>
      </c>
      <c r="T1413" t="s">
        <v>241</v>
      </c>
      <c r="U1413">
        <v>40</v>
      </c>
      <c r="V1413" s="1">
        <v>35247</v>
      </c>
      <c r="W1413" s="1">
        <v>35247</v>
      </c>
      <c r="X1413" s="1">
        <v>35247</v>
      </c>
      <c r="Y1413" s="1">
        <v>49857</v>
      </c>
      <c r="Z1413" t="s">
        <v>51</v>
      </c>
      <c r="AB1413" t="s">
        <v>54</v>
      </c>
      <c r="AC1413">
        <v>1</v>
      </c>
      <c r="AE1413" t="s">
        <v>222</v>
      </c>
      <c r="AF1413">
        <v>20</v>
      </c>
      <c r="AG1413" s="1">
        <v>35247</v>
      </c>
      <c r="AH1413" s="1">
        <v>35247</v>
      </c>
      <c r="AI1413" s="1">
        <v>35247</v>
      </c>
      <c r="AJ1413" s="1">
        <v>42552</v>
      </c>
      <c r="AK1413" t="s">
        <v>51</v>
      </c>
      <c r="AN1413">
        <v>0</v>
      </c>
      <c r="AO1413" t="s">
        <v>54</v>
      </c>
      <c r="AP1413" t="s">
        <v>53</v>
      </c>
      <c r="AQ1413">
        <v>0</v>
      </c>
      <c r="AR1413" t="s">
        <v>53</v>
      </c>
      <c r="AS1413">
        <v>0</v>
      </c>
      <c r="AT1413">
        <v>0</v>
      </c>
      <c r="AW1413" t="s">
        <v>58</v>
      </c>
      <c r="AX1413">
        <v>20</v>
      </c>
      <c r="AY1413" s="1">
        <v>35247</v>
      </c>
      <c r="AZ1413" s="1">
        <v>35247</v>
      </c>
      <c r="BA1413" s="1">
        <v>35247</v>
      </c>
      <c r="BB1413" s="1">
        <v>42552</v>
      </c>
      <c r="BC1413" t="s">
        <v>51</v>
      </c>
      <c r="BE1413" t="s">
        <v>54</v>
      </c>
      <c r="BF1413">
        <v>2</v>
      </c>
      <c r="BG1413">
        <v>0</v>
      </c>
      <c r="BH1413" t="s">
        <v>53</v>
      </c>
      <c r="BK1413" t="s">
        <v>65</v>
      </c>
      <c r="BL1413">
        <v>14000</v>
      </c>
      <c r="BM1413" s="1">
        <v>42917</v>
      </c>
      <c r="BN1413" s="1">
        <v>42917</v>
      </c>
      <c r="BO1413" s="1">
        <v>42917</v>
      </c>
      <c r="BP1413" s="1">
        <v>44117</v>
      </c>
      <c r="BQ1413" t="s">
        <v>51</v>
      </c>
      <c r="BS1413" t="s">
        <v>60</v>
      </c>
      <c r="BT1413" t="s">
        <v>54</v>
      </c>
      <c r="BU1413" t="s">
        <v>61</v>
      </c>
      <c r="BV1413" t="s">
        <v>62</v>
      </c>
      <c r="BX1413">
        <v>36</v>
      </c>
      <c r="BY1413">
        <v>0</v>
      </c>
      <c r="BZ1413">
        <v>0</v>
      </c>
    </row>
    <row r="1414" spans="1:99" x14ac:dyDescent="0.2">
      <c r="A1414" t="s">
        <v>180</v>
      </c>
      <c r="B1414" t="s">
        <v>181</v>
      </c>
      <c r="C1414" t="s">
        <v>184</v>
      </c>
      <c r="D1414" t="s">
        <v>710</v>
      </c>
      <c r="F1414" t="str">
        <f>"251085"</f>
        <v>251085</v>
      </c>
      <c r="G1414" t="s">
        <v>49</v>
      </c>
      <c r="H1414" t="s">
        <v>297</v>
      </c>
      <c r="K1414" t="s">
        <v>51</v>
      </c>
      <c r="L1414" t="s">
        <v>52</v>
      </c>
      <c r="M1414">
        <v>136095.57</v>
      </c>
      <c r="N1414">
        <v>472231.2</v>
      </c>
      <c r="O1414" t="s">
        <v>53</v>
      </c>
      <c r="P1414" t="s">
        <v>54</v>
      </c>
      <c r="Q1414" t="s">
        <v>55</v>
      </c>
      <c r="T1414" t="s">
        <v>241</v>
      </c>
      <c r="U1414">
        <v>40</v>
      </c>
      <c r="V1414" s="1">
        <v>33420</v>
      </c>
      <c r="W1414" s="1">
        <v>33420</v>
      </c>
      <c r="X1414" s="1">
        <v>33420</v>
      </c>
      <c r="Y1414" s="1">
        <v>48030</v>
      </c>
      <c r="Z1414" t="s">
        <v>51</v>
      </c>
      <c r="AB1414" t="s">
        <v>54</v>
      </c>
      <c r="AC1414">
        <v>1</v>
      </c>
      <c r="AE1414" t="s">
        <v>222</v>
      </c>
      <c r="AF1414">
        <v>20</v>
      </c>
      <c r="AG1414" s="1">
        <v>33420</v>
      </c>
      <c r="AH1414" s="1">
        <v>33420</v>
      </c>
      <c r="AI1414" s="1">
        <v>33420</v>
      </c>
      <c r="AJ1414" s="1">
        <v>40725</v>
      </c>
      <c r="AK1414" t="s">
        <v>51</v>
      </c>
      <c r="AN1414">
        <v>0</v>
      </c>
      <c r="AO1414" t="s">
        <v>54</v>
      </c>
      <c r="AP1414" t="s">
        <v>53</v>
      </c>
      <c r="AQ1414">
        <v>0</v>
      </c>
      <c r="AR1414" t="s">
        <v>53</v>
      </c>
      <c r="AS1414">
        <v>0</v>
      </c>
      <c r="AT1414">
        <v>0</v>
      </c>
      <c r="AW1414" t="s">
        <v>58</v>
      </c>
      <c r="AX1414">
        <v>20</v>
      </c>
      <c r="AY1414" s="1">
        <v>33420</v>
      </c>
      <c r="AZ1414" s="1">
        <v>33420</v>
      </c>
      <c r="BA1414" s="1">
        <v>33420</v>
      </c>
      <c r="BB1414" s="1">
        <v>40725</v>
      </c>
      <c r="BC1414" t="s">
        <v>51</v>
      </c>
      <c r="BE1414" t="s">
        <v>54</v>
      </c>
      <c r="BF1414">
        <v>2</v>
      </c>
      <c r="BG1414">
        <v>0</v>
      </c>
      <c r="BH1414" t="s">
        <v>53</v>
      </c>
      <c r="BK1414" t="s">
        <v>65</v>
      </c>
      <c r="BL1414">
        <v>14000</v>
      </c>
      <c r="BM1414" s="1">
        <v>42917</v>
      </c>
      <c r="BN1414" s="1">
        <v>42917</v>
      </c>
      <c r="BO1414" s="1">
        <v>42917</v>
      </c>
      <c r="BP1414" s="1">
        <v>44117</v>
      </c>
      <c r="BQ1414" t="s">
        <v>51</v>
      </c>
      <c r="BS1414" t="s">
        <v>60</v>
      </c>
      <c r="BT1414" t="s">
        <v>54</v>
      </c>
      <c r="BU1414" t="s">
        <v>61</v>
      </c>
      <c r="BV1414" t="s">
        <v>62</v>
      </c>
      <c r="BX1414">
        <v>36</v>
      </c>
      <c r="BY1414">
        <v>0</v>
      </c>
      <c r="BZ1414">
        <v>0</v>
      </c>
    </row>
    <row r="1415" spans="1:99" x14ac:dyDescent="0.2">
      <c r="A1415" t="s">
        <v>180</v>
      </c>
      <c r="B1415" t="s">
        <v>181</v>
      </c>
      <c r="C1415" t="s">
        <v>184</v>
      </c>
      <c r="D1415" t="s">
        <v>710</v>
      </c>
      <c r="F1415" t="str">
        <f>"251086"</f>
        <v>251086</v>
      </c>
      <c r="G1415" t="s">
        <v>49</v>
      </c>
      <c r="H1415" t="s">
        <v>273</v>
      </c>
      <c r="K1415" t="s">
        <v>51</v>
      </c>
      <c r="L1415" t="s">
        <v>52</v>
      </c>
      <c r="M1415">
        <v>136115.82</v>
      </c>
      <c r="N1415">
        <v>472236.11</v>
      </c>
      <c r="O1415" t="s">
        <v>53</v>
      </c>
      <c r="P1415" t="s">
        <v>54</v>
      </c>
      <c r="Q1415" t="s">
        <v>55</v>
      </c>
      <c r="T1415" t="s">
        <v>241</v>
      </c>
      <c r="U1415">
        <v>40</v>
      </c>
      <c r="V1415" s="1">
        <v>33420</v>
      </c>
      <c r="W1415" s="1">
        <v>33420</v>
      </c>
      <c r="X1415" s="1">
        <v>33420</v>
      </c>
      <c r="Y1415" s="1">
        <v>48030</v>
      </c>
      <c r="Z1415" t="s">
        <v>51</v>
      </c>
      <c r="AB1415" t="s">
        <v>54</v>
      </c>
      <c r="AC1415">
        <v>1</v>
      </c>
      <c r="AE1415" t="s">
        <v>222</v>
      </c>
      <c r="AF1415">
        <v>20</v>
      </c>
      <c r="AG1415" s="1">
        <v>33420</v>
      </c>
      <c r="AH1415" s="1">
        <v>33420</v>
      </c>
      <c r="AI1415" s="1">
        <v>33420</v>
      </c>
      <c r="AJ1415" s="1">
        <v>40725</v>
      </c>
      <c r="AK1415" t="s">
        <v>51</v>
      </c>
      <c r="AN1415">
        <v>0</v>
      </c>
      <c r="AO1415" t="s">
        <v>54</v>
      </c>
      <c r="AP1415" t="s">
        <v>53</v>
      </c>
      <c r="AQ1415">
        <v>0</v>
      </c>
      <c r="AR1415" t="s">
        <v>53</v>
      </c>
      <c r="AS1415">
        <v>0</v>
      </c>
      <c r="AT1415">
        <v>0</v>
      </c>
      <c r="AW1415" t="s">
        <v>58</v>
      </c>
      <c r="AX1415">
        <v>20</v>
      </c>
      <c r="AY1415" s="1">
        <v>33420</v>
      </c>
      <c r="AZ1415" s="1">
        <v>33420</v>
      </c>
      <c r="BA1415" s="1">
        <v>33420</v>
      </c>
      <c r="BB1415" s="1">
        <v>40725</v>
      </c>
      <c r="BC1415" t="s">
        <v>51</v>
      </c>
      <c r="BE1415" t="s">
        <v>54</v>
      </c>
      <c r="BF1415">
        <v>2</v>
      </c>
      <c r="BG1415">
        <v>0</v>
      </c>
      <c r="BH1415" t="s">
        <v>53</v>
      </c>
      <c r="BK1415" t="s">
        <v>65</v>
      </c>
      <c r="BL1415">
        <v>14000</v>
      </c>
      <c r="BM1415" s="1">
        <v>43270</v>
      </c>
      <c r="BN1415" s="1">
        <v>43270</v>
      </c>
      <c r="BO1415" s="1">
        <v>43270</v>
      </c>
      <c r="BP1415" s="1">
        <v>44475</v>
      </c>
      <c r="BQ1415" t="s">
        <v>51</v>
      </c>
      <c r="BS1415" t="s">
        <v>60</v>
      </c>
      <c r="BT1415" t="s">
        <v>54</v>
      </c>
      <c r="BU1415" t="s">
        <v>61</v>
      </c>
      <c r="BV1415" t="s">
        <v>62</v>
      </c>
      <c r="BX1415">
        <v>36</v>
      </c>
      <c r="BY1415">
        <v>0</v>
      </c>
      <c r="BZ1415">
        <v>0</v>
      </c>
    </row>
    <row r="1416" spans="1:99" x14ac:dyDescent="0.2">
      <c r="A1416" t="s">
        <v>180</v>
      </c>
      <c r="B1416" t="s">
        <v>181</v>
      </c>
      <c r="C1416" t="s">
        <v>184</v>
      </c>
      <c r="D1416" t="s">
        <v>710</v>
      </c>
      <c r="F1416" t="str">
        <f>"251087"</f>
        <v>251087</v>
      </c>
      <c r="G1416" t="s">
        <v>49</v>
      </c>
      <c r="H1416" t="s">
        <v>544</v>
      </c>
      <c r="K1416" t="s">
        <v>51</v>
      </c>
      <c r="L1416" t="s">
        <v>52</v>
      </c>
      <c r="M1416">
        <v>136123.82999999999</v>
      </c>
      <c r="N1416">
        <v>472251.7</v>
      </c>
      <c r="O1416" t="s">
        <v>53</v>
      </c>
      <c r="P1416" t="s">
        <v>54</v>
      </c>
      <c r="Q1416" t="s">
        <v>55</v>
      </c>
      <c r="T1416" t="s">
        <v>241</v>
      </c>
      <c r="U1416">
        <v>40</v>
      </c>
      <c r="V1416" s="1">
        <v>33420</v>
      </c>
      <c r="W1416" s="1">
        <v>33420</v>
      </c>
      <c r="X1416" s="1">
        <v>33420</v>
      </c>
      <c r="Y1416" s="1">
        <v>48030</v>
      </c>
      <c r="Z1416" t="s">
        <v>51</v>
      </c>
      <c r="AB1416" t="s">
        <v>54</v>
      </c>
      <c r="AC1416">
        <v>1</v>
      </c>
      <c r="AE1416" t="s">
        <v>222</v>
      </c>
      <c r="AF1416">
        <v>20</v>
      </c>
      <c r="AG1416" s="1">
        <v>33420</v>
      </c>
      <c r="AH1416" s="1">
        <v>33420</v>
      </c>
      <c r="AI1416" s="1">
        <v>33420</v>
      </c>
      <c r="AJ1416" s="1">
        <v>40725</v>
      </c>
      <c r="AK1416" t="s">
        <v>51</v>
      </c>
      <c r="AN1416">
        <v>0</v>
      </c>
      <c r="AO1416" t="s">
        <v>54</v>
      </c>
      <c r="AP1416" t="s">
        <v>53</v>
      </c>
      <c r="AQ1416">
        <v>0</v>
      </c>
      <c r="AR1416" t="s">
        <v>53</v>
      </c>
      <c r="AS1416">
        <v>0</v>
      </c>
      <c r="AT1416">
        <v>0</v>
      </c>
      <c r="AW1416" t="s">
        <v>58</v>
      </c>
      <c r="AX1416">
        <v>20</v>
      </c>
      <c r="AY1416" s="1">
        <v>33420</v>
      </c>
      <c r="AZ1416" s="1">
        <v>33420</v>
      </c>
      <c r="BA1416" s="1">
        <v>33420</v>
      </c>
      <c r="BB1416" s="1">
        <v>40725</v>
      </c>
      <c r="BC1416" t="s">
        <v>51</v>
      </c>
      <c r="BE1416" t="s">
        <v>54</v>
      </c>
      <c r="BF1416">
        <v>2</v>
      </c>
      <c r="BG1416">
        <v>0</v>
      </c>
      <c r="BH1416" t="s">
        <v>53</v>
      </c>
      <c r="BK1416" t="s">
        <v>65</v>
      </c>
      <c r="BL1416">
        <v>14000</v>
      </c>
      <c r="BM1416" s="1">
        <v>44137</v>
      </c>
      <c r="BN1416" s="1">
        <v>44137</v>
      </c>
      <c r="BO1416" s="1">
        <v>44137</v>
      </c>
      <c r="BP1416" s="1">
        <v>45297</v>
      </c>
      <c r="BQ1416" t="s">
        <v>51</v>
      </c>
      <c r="BS1416" t="s">
        <v>60</v>
      </c>
      <c r="BT1416" t="s">
        <v>54</v>
      </c>
      <c r="BU1416" t="s">
        <v>61</v>
      </c>
      <c r="BV1416" t="s">
        <v>62</v>
      </c>
      <c r="BX1416">
        <v>36</v>
      </c>
      <c r="BY1416">
        <v>0</v>
      </c>
      <c r="BZ1416">
        <v>0</v>
      </c>
    </row>
    <row r="1417" spans="1:99" x14ac:dyDescent="0.2">
      <c r="A1417" t="s">
        <v>180</v>
      </c>
      <c r="B1417" t="s">
        <v>181</v>
      </c>
      <c r="C1417" t="s">
        <v>184</v>
      </c>
      <c r="D1417" t="s">
        <v>710</v>
      </c>
      <c r="F1417" t="str">
        <f>"251088"</f>
        <v>251088</v>
      </c>
      <c r="G1417" t="s">
        <v>49</v>
      </c>
      <c r="K1417" t="s">
        <v>51</v>
      </c>
      <c r="L1417" t="s">
        <v>52</v>
      </c>
      <c r="M1417">
        <v>136095.34</v>
      </c>
      <c r="N1417">
        <v>472246.58</v>
      </c>
      <c r="O1417" t="s">
        <v>53</v>
      </c>
      <c r="P1417" t="s">
        <v>54</v>
      </c>
      <c r="Q1417" t="s">
        <v>55</v>
      </c>
      <c r="T1417" t="s">
        <v>241</v>
      </c>
      <c r="U1417">
        <v>40</v>
      </c>
      <c r="V1417" s="1">
        <v>33420</v>
      </c>
      <c r="W1417" s="1">
        <v>33420</v>
      </c>
      <c r="X1417" s="1">
        <v>33420</v>
      </c>
      <c r="Y1417" s="1">
        <v>48030</v>
      </c>
      <c r="Z1417" t="s">
        <v>51</v>
      </c>
      <c r="AB1417" t="s">
        <v>54</v>
      </c>
      <c r="AC1417">
        <v>1</v>
      </c>
      <c r="AE1417" t="s">
        <v>222</v>
      </c>
      <c r="AF1417">
        <v>20</v>
      </c>
      <c r="AG1417" s="1">
        <v>33420</v>
      </c>
      <c r="AH1417" s="1">
        <v>33420</v>
      </c>
      <c r="AI1417" s="1">
        <v>33420</v>
      </c>
      <c r="AJ1417" s="1">
        <v>40725</v>
      </c>
      <c r="AK1417" t="s">
        <v>51</v>
      </c>
      <c r="AN1417">
        <v>0</v>
      </c>
      <c r="AO1417" t="s">
        <v>54</v>
      </c>
      <c r="AP1417" t="s">
        <v>53</v>
      </c>
      <c r="AQ1417">
        <v>0</v>
      </c>
      <c r="AR1417" t="s">
        <v>53</v>
      </c>
      <c r="AS1417">
        <v>0</v>
      </c>
      <c r="AT1417">
        <v>0</v>
      </c>
      <c r="AW1417" t="s">
        <v>58</v>
      </c>
      <c r="AX1417">
        <v>20</v>
      </c>
      <c r="AY1417" s="1">
        <v>33420</v>
      </c>
      <c r="AZ1417" s="1">
        <v>33420</v>
      </c>
      <c r="BA1417" s="1">
        <v>33420</v>
      </c>
      <c r="BB1417" s="1">
        <v>40725</v>
      </c>
      <c r="BC1417" t="s">
        <v>51</v>
      </c>
      <c r="BE1417" t="s">
        <v>54</v>
      </c>
      <c r="BF1417">
        <v>2</v>
      </c>
      <c r="BG1417">
        <v>0</v>
      </c>
      <c r="BH1417" t="s">
        <v>53</v>
      </c>
      <c r="BK1417" t="s">
        <v>65</v>
      </c>
      <c r="BL1417">
        <v>14000</v>
      </c>
      <c r="BM1417" s="1">
        <v>42917</v>
      </c>
      <c r="BN1417" s="1">
        <v>42917</v>
      </c>
      <c r="BO1417" s="1">
        <v>42917</v>
      </c>
      <c r="BP1417" s="1">
        <v>44117</v>
      </c>
      <c r="BQ1417" t="s">
        <v>51</v>
      </c>
      <c r="BS1417" t="s">
        <v>60</v>
      </c>
      <c r="BT1417" t="s">
        <v>54</v>
      </c>
      <c r="BU1417" t="s">
        <v>61</v>
      </c>
      <c r="BV1417" t="s">
        <v>62</v>
      </c>
      <c r="BX1417">
        <v>36</v>
      </c>
      <c r="BY1417">
        <v>0</v>
      </c>
      <c r="BZ1417">
        <v>0</v>
      </c>
    </row>
    <row r="1418" spans="1:99" x14ac:dyDescent="0.2">
      <c r="A1418" t="s">
        <v>180</v>
      </c>
      <c r="B1418" t="s">
        <v>181</v>
      </c>
      <c r="C1418" t="s">
        <v>184</v>
      </c>
      <c r="D1418" t="s">
        <v>710</v>
      </c>
      <c r="F1418" t="str">
        <f>"251089"</f>
        <v>251089</v>
      </c>
      <c r="G1418" t="s">
        <v>49</v>
      </c>
      <c r="H1418" t="s">
        <v>298</v>
      </c>
      <c r="K1418" t="s">
        <v>51</v>
      </c>
      <c r="L1418" t="s">
        <v>52</v>
      </c>
      <c r="M1418">
        <v>136103.63</v>
      </c>
      <c r="N1418">
        <v>472262.47</v>
      </c>
      <c r="O1418" t="s">
        <v>53</v>
      </c>
      <c r="P1418" t="s">
        <v>54</v>
      </c>
      <c r="Q1418" t="s">
        <v>55</v>
      </c>
      <c r="T1418" t="s">
        <v>241</v>
      </c>
      <c r="U1418">
        <v>40</v>
      </c>
      <c r="V1418" s="1">
        <v>33420</v>
      </c>
      <c r="W1418" s="1">
        <v>33420</v>
      </c>
      <c r="X1418" s="1">
        <v>33420</v>
      </c>
      <c r="Y1418" s="1">
        <v>48030</v>
      </c>
      <c r="Z1418" t="s">
        <v>51</v>
      </c>
      <c r="AB1418" t="s">
        <v>54</v>
      </c>
      <c r="AC1418">
        <v>1</v>
      </c>
      <c r="AE1418" t="s">
        <v>222</v>
      </c>
      <c r="AF1418">
        <v>20</v>
      </c>
      <c r="AG1418" s="1">
        <v>33420</v>
      </c>
      <c r="AH1418" s="1">
        <v>33420</v>
      </c>
      <c r="AI1418" s="1">
        <v>33420</v>
      </c>
      <c r="AJ1418" s="1">
        <v>40725</v>
      </c>
      <c r="AK1418" t="s">
        <v>51</v>
      </c>
      <c r="AN1418">
        <v>0</v>
      </c>
      <c r="AO1418" t="s">
        <v>54</v>
      </c>
      <c r="AP1418" t="s">
        <v>53</v>
      </c>
      <c r="AQ1418">
        <v>0</v>
      </c>
      <c r="AR1418" t="s">
        <v>53</v>
      </c>
      <c r="AS1418">
        <v>0</v>
      </c>
      <c r="AT1418">
        <v>0</v>
      </c>
      <c r="AW1418" t="s">
        <v>58</v>
      </c>
      <c r="AX1418">
        <v>20</v>
      </c>
      <c r="AY1418" s="1">
        <v>33420</v>
      </c>
      <c r="AZ1418" s="1">
        <v>33420</v>
      </c>
      <c r="BA1418" s="1">
        <v>33420</v>
      </c>
      <c r="BB1418" s="1">
        <v>40725</v>
      </c>
      <c r="BC1418" t="s">
        <v>51</v>
      </c>
      <c r="BE1418" t="s">
        <v>54</v>
      </c>
      <c r="BF1418">
        <v>2</v>
      </c>
      <c r="BG1418">
        <v>0</v>
      </c>
      <c r="BH1418" t="s">
        <v>53</v>
      </c>
      <c r="BK1418" t="s">
        <v>65</v>
      </c>
      <c r="BL1418">
        <v>14000</v>
      </c>
      <c r="BM1418" s="1">
        <v>42917</v>
      </c>
      <c r="BN1418" s="1">
        <v>42917</v>
      </c>
      <c r="BO1418" s="1">
        <v>42917</v>
      </c>
      <c r="BP1418" s="1">
        <v>44117</v>
      </c>
      <c r="BQ1418" t="s">
        <v>51</v>
      </c>
      <c r="BS1418" t="s">
        <v>60</v>
      </c>
      <c r="BT1418" t="s">
        <v>54</v>
      </c>
      <c r="BU1418" t="s">
        <v>61</v>
      </c>
      <c r="BV1418" t="s">
        <v>62</v>
      </c>
      <c r="BX1418">
        <v>36</v>
      </c>
      <c r="BY1418">
        <v>0</v>
      </c>
      <c r="BZ1418">
        <v>0</v>
      </c>
    </row>
    <row r="1419" spans="1:99" x14ac:dyDescent="0.2">
      <c r="A1419" t="s">
        <v>180</v>
      </c>
      <c r="B1419" t="s">
        <v>181</v>
      </c>
      <c r="C1419" t="s">
        <v>184</v>
      </c>
      <c r="D1419" t="s">
        <v>704</v>
      </c>
      <c r="F1419" t="str">
        <f>"251090"</f>
        <v>251090</v>
      </c>
      <c r="G1419" t="s">
        <v>49</v>
      </c>
      <c r="H1419" t="s">
        <v>219</v>
      </c>
      <c r="K1419" t="s">
        <v>51</v>
      </c>
      <c r="L1419" t="s">
        <v>52</v>
      </c>
      <c r="M1419">
        <v>136062.01999999999</v>
      </c>
      <c r="N1419">
        <v>472453.76</v>
      </c>
      <c r="O1419" t="s">
        <v>53</v>
      </c>
      <c r="P1419" t="s">
        <v>54</v>
      </c>
      <c r="Q1419" t="s">
        <v>55</v>
      </c>
      <c r="T1419" t="s">
        <v>241</v>
      </c>
      <c r="U1419">
        <v>40</v>
      </c>
      <c r="V1419" s="1">
        <v>31594</v>
      </c>
      <c r="W1419" s="1">
        <v>31594</v>
      </c>
      <c r="X1419" s="1">
        <v>31594</v>
      </c>
      <c r="Y1419" s="1">
        <v>46204</v>
      </c>
      <c r="Z1419" t="s">
        <v>51</v>
      </c>
      <c r="AB1419" t="s">
        <v>54</v>
      </c>
      <c r="AC1419">
        <v>1</v>
      </c>
      <c r="AE1419" t="s">
        <v>222</v>
      </c>
      <c r="AF1419">
        <v>20</v>
      </c>
      <c r="AG1419" s="1">
        <v>38169</v>
      </c>
      <c r="AH1419" s="1">
        <v>38169</v>
      </c>
      <c r="AI1419" s="1">
        <v>38169</v>
      </c>
      <c r="AJ1419" s="1">
        <v>45474</v>
      </c>
      <c r="AK1419" t="s">
        <v>51</v>
      </c>
      <c r="AN1419">
        <v>0</v>
      </c>
      <c r="AO1419" t="s">
        <v>54</v>
      </c>
      <c r="AP1419" t="s">
        <v>53</v>
      </c>
      <c r="AQ1419">
        <v>0</v>
      </c>
      <c r="AR1419" t="s">
        <v>53</v>
      </c>
      <c r="AS1419">
        <v>0</v>
      </c>
      <c r="AT1419">
        <v>0</v>
      </c>
      <c r="CC1419" t="s">
        <v>432</v>
      </c>
      <c r="CD1419">
        <v>85000</v>
      </c>
      <c r="CE1419" s="1">
        <v>42552</v>
      </c>
      <c r="CF1419" s="1">
        <v>42552</v>
      </c>
      <c r="CG1419" s="1">
        <v>42552</v>
      </c>
      <c r="CH1419" s="1">
        <v>49714</v>
      </c>
      <c r="CI1419" t="s">
        <v>51</v>
      </c>
      <c r="CK1419" t="s">
        <v>78</v>
      </c>
      <c r="CM1419" t="s">
        <v>54</v>
      </c>
      <c r="CN1419" t="s">
        <v>174</v>
      </c>
      <c r="CO1419" t="s">
        <v>86</v>
      </c>
      <c r="CR1419">
        <v>24</v>
      </c>
      <c r="CS1419">
        <v>0</v>
      </c>
      <c r="CT1419">
        <v>0</v>
      </c>
      <c r="CU1419">
        <v>0</v>
      </c>
    </row>
    <row r="1420" spans="1:99" x14ac:dyDescent="0.2">
      <c r="A1420" t="s">
        <v>180</v>
      </c>
      <c r="B1420" t="s">
        <v>181</v>
      </c>
      <c r="C1420" t="s">
        <v>184</v>
      </c>
      <c r="D1420" t="s">
        <v>704</v>
      </c>
      <c r="F1420" t="str">
        <f>"251091"</f>
        <v>251091</v>
      </c>
      <c r="G1420" t="s">
        <v>49</v>
      </c>
      <c r="H1420" t="s">
        <v>261</v>
      </c>
      <c r="K1420" t="s">
        <v>51</v>
      </c>
      <c r="L1420" t="s">
        <v>52</v>
      </c>
      <c r="M1420">
        <v>136048.60999999999</v>
      </c>
      <c r="N1420">
        <v>472427.94</v>
      </c>
      <c r="O1420" t="s">
        <v>53</v>
      </c>
      <c r="P1420" t="s">
        <v>54</v>
      </c>
      <c r="Q1420" t="s">
        <v>55</v>
      </c>
      <c r="T1420" t="s">
        <v>241</v>
      </c>
      <c r="U1420">
        <v>40</v>
      </c>
      <c r="V1420" s="1">
        <v>31594</v>
      </c>
      <c r="W1420" s="1">
        <v>31594</v>
      </c>
      <c r="X1420" s="1">
        <v>31594</v>
      </c>
      <c r="Y1420" s="1">
        <v>46204</v>
      </c>
      <c r="Z1420" t="s">
        <v>51</v>
      </c>
      <c r="AB1420" t="s">
        <v>54</v>
      </c>
      <c r="AC1420">
        <v>1</v>
      </c>
      <c r="AE1420" t="s">
        <v>222</v>
      </c>
      <c r="AF1420">
        <v>20</v>
      </c>
      <c r="AG1420" s="1">
        <v>38169</v>
      </c>
      <c r="AH1420" s="1">
        <v>38169</v>
      </c>
      <c r="AI1420" s="1">
        <v>38169</v>
      </c>
      <c r="AJ1420" s="1">
        <v>45474</v>
      </c>
      <c r="AK1420" t="s">
        <v>51</v>
      </c>
      <c r="AN1420">
        <v>0</v>
      </c>
      <c r="AO1420" t="s">
        <v>54</v>
      </c>
      <c r="AP1420" t="s">
        <v>53</v>
      </c>
      <c r="AQ1420">
        <v>0</v>
      </c>
      <c r="AR1420" t="s">
        <v>53</v>
      </c>
      <c r="AS1420">
        <v>0</v>
      </c>
      <c r="AT1420">
        <v>0</v>
      </c>
      <c r="CC1420" t="s">
        <v>432</v>
      </c>
      <c r="CD1420">
        <v>85000</v>
      </c>
      <c r="CE1420" s="1">
        <v>42552</v>
      </c>
      <c r="CF1420" s="1">
        <v>42552</v>
      </c>
      <c r="CG1420" s="1">
        <v>42552</v>
      </c>
      <c r="CH1420" s="1">
        <v>49714</v>
      </c>
      <c r="CI1420" t="s">
        <v>51</v>
      </c>
      <c r="CK1420" t="s">
        <v>78</v>
      </c>
      <c r="CM1420" t="s">
        <v>54</v>
      </c>
      <c r="CN1420" t="s">
        <v>174</v>
      </c>
      <c r="CO1420" t="s">
        <v>86</v>
      </c>
      <c r="CR1420">
        <v>24</v>
      </c>
      <c r="CS1420">
        <v>0</v>
      </c>
      <c r="CT1420">
        <v>0</v>
      </c>
      <c r="CU1420">
        <v>0</v>
      </c>
    </row>
    <row r="1421" spans="1:99" x14ac:dyDescent="0.2">
      <c r="A1421" t="s">
        <v>180</v>
      </c>
      <c r="B1421" t="s">
        <v>181</v>
      </c>
      <c r="C1421" t="s">
        <v>184</v>
      </c>
      <c r="D1421" t="s">
        <v>704</v>
      </c>
      <c r="F1421" t="str">
        <f>"251093"</f>
        <v>251093</v>
      </c>
      <c r="G1421" t="s">
        <v>49</v>
      </c>
      <c r="K1421" t="s">
        <v>51</v>
      </c>
      <c r="L1421" t="s">
        <v>52</v>
      </c>
      <c r="M1421">
        <v>136010.45000000001</v>
      </c>
      <c r="N1421">
        <v>472436.5</v>
      </c>
      <c r="O1421" t="s">
        <v>53</v>
      </c>
      <c r="P1421" t="s">
        <v>54</v>
      </c>
      <c r="Q1421" t="s">
        <v>55</v>
      </c>
      <c r="T1421" t="s">
        <v>241</v>
      </c>
      <c r="U1421">
        <v>40</v>
      </c>
      <c r="V1421" s="1">
        <v>31594</v>
      </c>
      <c r="W1421" s="1">
        <v>31594</v>
      </c>
      <c r="X1421" s="1">
        <v>31594</v>
      </c>
      <c r="Y1421" s="1">
        <v>46204</v>
      </c>
      <c r="Z1421" t="s">
        <v>51</v>
      </c>
      <c r="AB1421" t="s">
        <v>54</v>
      </c>
      <c r="AC1421">
        <v>1</v>
      </c>
      <c r="AE1421" t="s">
        <v>222</v>
      </c>
      <c r="AF1421">
        <v>20</v>
      </c>
      <c r="AG1421" s="1">
        <v>38169</v>
      </c>
      <c r="AH1421" s="1">
        <v>38169</v>
      </c>
      <c r="AI1421" s="1">
        <v>38169</v>
      </c>
      <c r="AJ1421" s="1">
        <v>45474</v>
      </c>
      <c r="AK1421" t="s">
        <v>51</v>
      </c>
      <c r="AN1421">
        <v>0</v>
      </c>
      <c r="AO1421" t="s">
        <v>54</v>
      </c>
      <c r="AP1421" t="s">
        <v>53</v>
      </c>
      <c r="AQ1421">
        <v>0</v>
      </c>
      <c r="AR1421" t="s">
        <v>53</v>
      </c>
      <c r="AS1421">
        <v>0</v>
      </c>
      <c r="AT1421">
        <v>0</v>
      </c>
      <c r="CC1421" t="s">
        <v>432</v>
      </c>
      <c r="CD1421">
        <v>85000</v>
      </c>
      <c r="CE1421" s="1">
        <v>43360</v>
      </c>
      <c r="CF1421" s="1">
        <v>43360</v>
      </c>
      <c r="CG1421" s="1">
        <v>43360</v>
      </c>
      <c r="CH1421" s="1">
        <v>50500</v>
      </c>
      <c r="CI1421" t="s">
        <v>51</v>
      </c>
      <c r="CK1421" t="s">
        <v>78</v>
      </c>
      <c r="CM1421" t="s">
        <v>54</v>
      </c>
      <c r="CN1421" t="s">
        <v>174</v>
      </c>
      <c r="CO1421" t="s">
        <v>86</v>
      </c>
      <c r="CR1421">
        <v>24</v>
      </c>
      <c r="CS1421">
        <v>0</v>
      </c>
      <c r="CT1421">
        <v>0</v>
      </c>
      <c r="CU1421">
        <v>0</v>
      </c>
    </row>
    <row r="1422" spans="1:99" x14ac:dyDescent="0.2">
      <c r="A1422" t="s">
        <v>180</v>
      </c>
      <c r="B1422" t="s">
        <v>181</v>
      </c>
      <c r="C1422" t="s">
        <v>184</v>
      </c>
      <c r="D1422" t="s">
        <v>704</v>
      </c>
      <c r="F1422" t="str">
        <f>"251094"</f>
        <v>251094</v>
      </c>
      <c r="G1422" t="s">
        <v>49</v>
      </c>
      <c r="H1422" t="s">
        <v>259</v>
      </c>
      <c r="K1422" t="s">
        <v>51</v>
      </c>
      <c r="L1422" t="s">
        <v>52</v>
      </c>
      <c r="M1422">
        <v>136019.51</v>
      </c>
      <c r="N1422">
        <v>472420.48</v>
      </c>
      <c r="O1422" t="s">
        <v>53</v>
      </c>
      <c r="P1422" t="s">
        <v>54</v>
      </c>
      <c r="Q1422" t="s">
        <v>55</v>
      </c>
      <c r="T1422" t="s">
        <v>241</v>
      </c>
      <c r="U1422">
        <v>40</v>
      </c>
      <c r="V1422" s="1">
        <v>31594</v>
      </c>
      <c r="W1422" s="1">
        <v>31594</v>
      </c>
      <c r="X1422" s="1">
        <v>31594</v>
      </c>
      <c r="Y1422" s="1">
        <v>46204</v>
      </c>
      <c r="Z1422" t="s">
        <v>51</v>
      </c>
      <c r="AB1422" t="s">
        <v>54</v>
      </c>
      <c r="AC1422">
        <v>1</v>
      </c>
      <c r="AE1422" t="s">
        <v>222</v>
      </c>
      <c r="AF1422">
        <v>20</v>
      </c>
      <c r="AG1422" s="1">
        <v>38169</v>
      </c>
      <c r="AH1422" s="1">
        <v>38169</v>
      </c>
      <c r="AI1422" s="1">
        <v>38169</v>
      </c>
      <c r="AJ1422" s="1">
        <v>45474</v>
      </c>
      <c r="AK1422" t="s">
        <v>51</v>
      </c>
      <c r="AN1422">
        <v>0</v>
      </c>
      <c r="AO1422" t="s">
        <v>54</v>
      </c>
      <c r="AP1422" t="s">
        <v>53</v>
      </c>
      <c r="AQ1422">
        <v>0</v>
      </c>
      <c r="AR1422" t="s">
        <v>53</v>
      </c>
      <c r="AS1422">
        <v>0</v>
      </c>
      <c r="AT1422">
        <v>0</v>
      </c>
      <c r="CC1422" t="s">
        <v>432</v>
      </c>
      <c r="CD1422">
        <v>85000</v>
      </c>
      <c r="CE1422" s="1">
        <v>45110</v>
      </c>
      <c r="CF1422" s="1">
        <v>45110</v>
      </c>
      <c r="CG1422" s="1">
        <v>45110</v>
      </c>
      <c r="CH1422" s="1">
        <v>52696</v>
      </c>
      <c r="CI1422" t="s">
        <v>51</v>
      </c>
      <c r="CK1422" t="s">
        <v>78</v>
      </c>
      <c r="CM1422" t="s">
        <v>54</v>
      </c>
      <c r="CN1422" t="s">
        <v>174</v>
      </c>
      <c r="CO1422" t="s">
        <v>86</v>
      </c>
      <c r="CR1422">
        <v>24</v>
      </c>
      <c r="CS1422">
        <v>0</v>
      </c>
      <c r="CT1422">
        <v>0</v>
      </c>
      <c r="CU1422">
        <v>0</v>
      </c>
    </row>
    <row r="1423" spans="1:99" x14ac:dyDescent="0.2">
      <c r="A1423" t="s">
        <v>180</v>
      </c>
      <c r="B1423" t="s">
        <v>181</v>
      </c>
      <c r="C1423" t="s">
        <v>184</v>
      </c>
      <c r="D1423" t="s">
        <v>704</v>
      </c>
      <c r="F1423" t="str">
        <f>"251095"</f>
        <v>251095</v>
      </c>
      <c r="G1423" t="s">
        <v>49</v>
      </c>
      <c r="H1423" t="s">
        <v>260</v>
      </c>
      <c r="K1423" t="s">
        <v>51</v>
      </c>
      <c r="L1423" t="s">
        <v>52</v>
      </c>
      <c r="M1423">
        <v>136040.47</v>
      </c>
      <c r="N1423">
        <v>472410.5</v>
      </c>
      <c r="O1423" t="s">
        <v>53</v>
      </c>
      <c r="P1423" t="s">
        <v>54</v>
      </c>
      <c r="Q1423" t="s">
        <v>55</v>
      </c>
      <c r="T1423" t="s">
        <v>241</v>
      </c>
      <c r="U1423">
        <v>40</v>
      </c>
      <c r="V1423" s="1">
        <v>31594</v>
      </c>
      <c r="W1423" s="1">
        <v>31594</v>
      </c>
      <c r="X1423" s="1">
        <v>31594</v>
      </c>
      <c r="Y1423" s="1">
        <v>46204</v>
      </c>
      <c r="Z1423" t="s">
        <v>51</v>
      </c>
      <c r="AB1423" t="s">
        <v>54</v>
      </c>
      <c r="AC1423">
        <v>1</v>
      </c>
      <c r="AE1423" t="s">
        <v>222</v>
      </c>
      <c r="AF1423">
        <v>20</v>
      </c>
      <c r="AG1423" s="1">
        <v>31594</v>
      </c>
      <c r="AH1423" s="1">
        <v>31594</v>
      </c>
      <c r="AI1423" s="1">
        <v>31594</v>
      </c>
      <c r="AJ1423" s="1">
        <v>38899</v>
      </c>
      <c r="AK1423" t="s">
        <v>51</v>
      </c>
      <c r="AN1423">
        <v>0</v>
      </c>
      <c r="AO1423" t="s">
        <v>54</v>
      </c>
      <c r="AP1423" t="s">
        <v>53</v>
      </c>
      <c r="AQ1423">
        <v>0</v>
      </c>
      <c r="AR1423" t="s">
        <v>53</v>
      </c>
      <c r="AS1423">
        <v>0</v>
      </c>
      <c r="AT1423">
        <v>0</v>
      </c>
      <c r="CC1423" t="s">
        <v>771</v>
      </c>
      <c r="CD1423">
        <v>85000</v>
      </c>
      <c r="CE1423" s="1">
        <v>42552</v>
      </c>
      <c r="CF1423" s="1">
        <v>42552</v>
      </c>
      <c r="CG1423" s="1">
        <v>42552</v>
      </c>
      <c r="CH1423" s="1">
        <v>49714</v>
      </c>
      <c r="CI1423" t="s">
        <v>51</v>
      </c>
      <c r="CK1423" t="s">
        <v>78</v>
      </c>
      <c r="CM1423" t="s">
        <v>54</v>
      </c>
      <c r="CN1423" t="s">
        <v>174</v>
      </c>
      <c r="CO1423" t="s">
        <v>86</v>
      </c>
      <c r="CR1423">
        <v>40</v>
      </c>
      <c r="CS1423">
        <v>0</v>
      </c>
      <c r="CT1423">
        <v>0</v>
      </c>
      <c r="CU1423">
        <v>0</v>
      </c>
    </row>
    <row r="1424" spans="1:99" x14ac:dyDescent="0.2">
      <c r="A1424" t="s">
        <v>180</v>
      </c>
      <c r="B1424" t="s">
        <v>181</v>
      </c>
      <c r="C1424" t="s">
        <v>184</v>
      </c>
      <c r="D1424" t="s">
        <v>704</v>
      </c>
      <c r="F1424" t="str">
        <f>"251096"</f>
        <v>251096</v>
      </c>
      <c r="G1424" t="s">
        <v>49</v>
      </c>
      <c r="H1424" t="s">
        <v>261</v>
      </c>
      <c r="K1424" t="s">
        <v>51</v>
      </c>
      <c r="L1424" t="s">
        <v>52</v>
      </c>
      <c r="M1424">
        <v>136065.28</v>
      </c>
      <c r="N1424">
        <v>472398.63</v>
      </c>
      <c r="O1424" t="s">
        <v>53</v>
      </c>
      <c r="P1424" t="s">
        <v>54</v>
      </c>
      <c r="Q1424" t="s">
        <v>55</v>
      </c>
      <c r="T1424" t="s">
        <v>241</v>
      </c>
      <c r="U1424">
        <v>40</v>
      </c>
      <c r="V1424" s="1">
        <v>31594</v>
      </c>
      <c r="W1424" s="1">
        <v>31594</v>
      </c>
      <c r="X1424" s="1">
        <v>31594</v>
      </c>
      <c r="Y1424" s="1">
        <v>46204</v>
      </c>
      <c r="Z1424" t="s">
        <v>51</v>
      </c>
      <c r="AB1424" t="s">
        <v>54</v>
      </c>
      <c r="AC1424">
        <v>1</v>
      </c>
      <c r="AE1424" t="s">
        <v>222</v>
      </c>
      <c r="AF1424">
        <v>20</v>
      </c>
      <c r="AG1424" s="1">
        <v>38169</v>
      </c>
      <c r="AH1424" s="1">
        <v>38169</v>
      </c>
      <c r="AI1424" s="1">
        <v>38169</v>
      </c>
      <c r="AJ1424" s="1">
        <v>45474</v>
      </c>
      <c r="AK1424" t="s">
        <v>51</v>
      </c>
      <c r="AN1424">
        <v>0</v>
      </c>
      <c r="AO1424" t="s">
        <v>54</v>
      </c>
      <c r="AP1424" t="s">
        <v>53</v>
      </c>
      <c r="AQ1424">
        <v>0</v>
      </c>
      <c r="AR1424" t="s">
        <v>53</v>
      </c>
      <c r="AS1424">
        <v>0</v>
      </c>
      <c r="AT1424">
        <v>0</v>
      </c>
      <c r="CC1424" t="s">
        <v>432</v>
      </c>
      <c r="CD1424">
        <v>85000</v>
      </c>
      <c r="CE1424" s="1">
        <v>42552</v>
      </c>
      <c r="CF1424" s="1">
        <v>42552</v>
      </c>
      <c r="CG1424" s="1">
        <v>42552</v>
      </c>
      <c r="CH1424" s="1">
        <v>49714</v>
      </c>
      <c r="CI1424" t="s">
        <v>51</v>
      </c>
      <c r="CK1424" t="s">
        <v>78</v>
      </c>
      <c r="CM1424" t="s">
        <v>54</v>
      </c>
      <c r="CN1424" t="s">
        <v>174</v>
      </c>
      <c r="CO1424" t="s">
        <v>86</v>
      </c>
      <c r="CR1424">
        <v>24</v>
      </c>
      <c r="CS1424">
        <v>0</v>
      </c>
      <c r="CT1424">
        <v>0</v>
      </c>
      <c r="CU1424">
        <v>0</v>
      </c>
    </row>
    <row r="1425" spans="1:99" x14ac:dyDescent="0.2">
      <c r="A1425" t="s">
        <v>180</v>
      </c>
      <c r="B1425" t="s">
        <v>181</v>
      </c>
      <c r="C1425" t="s">
        <v>184</v>
      </c>
      <c r="D1425" t="s">
        <v>704</v>
      </c>
      <c r="F1425" t="str">
        <f>"251097"</f>
        <v>251097</v>
      </c>
      <c r="G1425" t="s">
        <v>49</v>
      </c>
      <c r="H1425" t="s">
        <v>261</v>
      </c>
      <c r="K1425" t="s">
        <v>51</v>
      </c>
      <c r="L1425" t="s">
        <v>52</v>
      </c>
      <c r="M1425">
        <v>136073.34</v>
      </c>
      <c r="N1425">
        <v>472416.68</v>
      </c>
      <c r="O1425" t="s">
        <v>53</v>
      </c>
      <c r="P1425" t="s">
        <v>54</v>
      </c>
      <c r="Q1425" t="s">
        <v>55</v>
      </c>
      <c r="T1425" t="s">
        <v>241</v>
      </c>
      <c r="U1425">
        <v>40</v>
      </c>
      <c r="V1425" s="1">
        <v>31594</v>
      </c>
      <c r="W1425" s="1">
        <v>31594</v>
      </c>
      <c r="X1425" s="1">
        <v>31594</v>
      </c>
      <c r="Y1425" s="1">
        <v>46204</v>
      </c>
      <c r="Z1425" t="s">
        <v>51</v>
      </c>
      <c r="AB1425" t="s">
        <v>54</v>
      </c>
      <c r="AC1425">
        <v>1</v>
      </c>
      <c r="AE1425" t="s">
        <v>222</v>
      </c>
      <c r="AF1425">
        <v>20</v>
      </c>
      <c r="AG1425" s="1">
        <v>38169</v>
      </c>
      <c r="AH1425" s="1">
        <v>38169</v>
      </c>
      <c r="AI1425" s="1">
        <v>38169</v>
      </c>
      <c r="AJ1425" s="1">
        <v>45474</v>
      </c>
      <c r="AK1425" t="s">
        <v>51</v>
      </c>
      <c r="AN1425">
        <v>0</v>
      </c>
      <c r="AO1425" t="s">
        <v>54</v>
      </c>
      <c r="AP1425" t="s">
        <v>53</v>
      </c>
      <c r="AQ1425">
        <v>0</v>
      </c>
      <c r="AR1425" t="s">
        <v>53</v>
      </c>
      <c r="AS1425">
        <v>0</v>
      </c>
      <c r="AT1425">
        <v>0</v>
      </c>
      <c r="CC1425" t="s">
        <v>432</v>
      </c>
      <c r="CD1425">
        <v>85000</v>
      </c>
      <c r="CE1425" s="1">
        <v>42552</v>
      </c>
      <c r="CF1425" s="1">
        <v>42552</v>
      </c>
      <c r="CG1425" s="1">
        <v>42552</v>
      </c>
      <c r="CH1425" s="1">
        <v>49714</v>
      </c>
      <c r="CI1425" t="s">
        <v>51</v>
      </c>
      <c r="CK1425" t="s">
        <v>78</v>
      </c>
      <c r="CM1425" t="s">
        <v>54</v>
      </c>
      <c r="CN1425" t="s">
        <v>174</v>
      </c>
      <c r="CO1425" t="s">
        <v>86</v>
      </c>
      <c r="CR1425">
        <v>24</v>
      </c>
      <c r="CS1425">
        <v>0</v>
      </c>
      <c r="CT1425">
        <v>0</v>
      </c>
      <c r="CU1425">
        <v>0</v>
      </c>
    </row>
    <row r="1426" spans="1:99" x14ac:dyDescent="0.2">
      <c r="A1426" t="s">
        <v>180</v>
      </c>
      <c r="B1426" t="s">
        <v>181</v>
      </c>
      <c r="C1426" t="s">
        <v>184</v>
      </c>
      <c r="D1426" t="s">
        <v>704</v>
      </c>
      <c r="F1426" t="str">
        <f>"251098"</f>
        <v>251098</v>
      </c>
      <c r="G1426" t="s">
        <v>49</v>
      </c>
      <c r="H1426" t="s">
        <v>472</v>
      </c>
      <c r="K1426" t="s">
        <v>51</v>
      </c>
      <c r="L1426" t="s">
        <v>52</v>
      </c>
      <c r="M1426">
        <v>136031.35999999999</v>
      </c>
      <c r="N1426">
        <v>472389.09</v>
      </c>
      <c r="O1426" t="s">
        <v>53</v>
      </c>
      <c r="P1426" t="s">
        <v>54</v>
      </c>
      <c r="Q1426" t="s">
        <v>55</v>
      </c>
      <c r="T1426" t="s">
        <v>241</v>
      </c>
      <c r="U1426">
        <v>40</v>
      </c>
      <c r="V1426" s="1">
        <v>31594</v>
      </c>
      <c r="W1426" s="1">
        <v>31594</v>
      </c>
      <c r="X1426" s="1">
        <v>31594</v>
      </c>
      <c r="Y1426" s="1">
        <v>46204</v>
      </c>
      <c r="Z1426" t="s">
        <v>51</v>
      </c>
      <c r="AB1426" t="s">
        <v>54</v>
      </c>
      <c r="AC1426">
        <v>1</v>
      </c>
      <c r="AE1426" t="s">
        <v>222</v>
      </c>
      <c r="AF1426">
        <v>20</v>
      </c>
      <c r="AG1426" s="1">
        <v>38169</v>
      </c>
      <c r="AH1426" s="1">
        <v>38169</v>
      </c>
      <c r="AI1426" s="1">
        <v>38169</v>
      </c>
      <c r="AJ1426" s="1">
        <v>45474</v>
      </c>
      <c r="AK1426" t="s">
        <v>51</v>
      </c>
      <c r="AN1426">
        <v>0</v>
      </c>
      <c r="AO1426" t="s">
        <v>54</v>
      </c>
      <c r="AP1426" t="s">
        <v>53</v>
      </c>
      <c r="AQ1426">
        <v>0</v>
      </c>
      <c r="AR1426" t="s">
        <v>53</v>
      </c>
      <c r="AS1426">
        <v>0</v>
      </c>
      <c r="AT1426">
        <v>0</v>
      </c>
      <c r="CC1426" t="s">
        <v>432</v>
      </c>
      <c r="CD1426">
        <v>85000</v>
      </c>
      <c r="CE1426" s="1">
        <v>42552</v>
      </c>
      <c r="CF1426" s="1">
        <v>42552</v>
      </c>
      <c r="CG1426" s="1">
        <v>42552</v>
      </c>
      <c r="CH1426" s="1">
        <v>49714</v>
      </c>
      <c r="CI1426" t="s">
        <v>51</v>
      </c>
      <c r="CK1426" t="s">
        <v>78</v>
      </c>
      <c r="CM1426" t="s">
        <v>54</v>
      </c>
      <c r="CN1426" t="s">
        <v>174</v>
      </c>
      <c r="CO1426" t="s">
        <v>86</v>
      </c>
      <c r="CR1426">
        <v>24</v>
      </c>
      <c r="CS1426">
        <v>0</v>
      </c>
      <c r="CT1426">
        <v>0</v>
      </c>
      <c r="CU1426">
        <v>0</v>
      </c>
    </row>
    <row r="1427" spans="1:99" x14ac:dyDescent="0.2">
      <c r="A1427" t="s">
        <v>180</v>
      </c>
      <c r="B1427" t="s">
        <v>181</v>
      </c>
      <c r="C1427" t="s">
        <v>184</v>
      </c>
      <c r="D1427" t="s">
        <v>430</v>
      </c>
      <c r="F1427" t="str">
        <f>"251099"</f>
        <v>251099</v>
      </c>
      <c r="G1427" t="s">
        <v>49</v>
      </c>
      <c r="H1427" t="s">
        <v>656</v>
      </c>
      <c r="K1427" t="s">
        <v>51</v>
      </c>
      <c r="L1427" t="s">
        <v>52</v>
      </c>
      <c r="M1427">
        <v>136124.81</v>
      </c>
      <c r="N1427">
        <v>472380.59</v>
      </c>
      <c r="O1427" t="s">
        <v>53</v>
      </c>
      <c r="P1427" t="s">
        <v>54</v>
      </c>
      <c r="Q1427" t="s">
        <v>55</v>
      </c>
      <c r="T1427" t="s">
        <v>239</v>
      </c>
      <c r="U1427">
        <v>40</v>
      </c>
      <c r="V1427" s="1">
        <v>42186</v>
      </c>
      <c r="W1427" s="1">
        <v>42186</v>
      </c>
      <c r="X1427" s="1">
        <v>42186</v>
      </c>
      <c r="Y1427" s="1">
        <v>56796</v>
      </c>
      <c r="Z1427" t="s">
        <v>51</v>
      </c>
      <c r="AB1427" t="s">
        <v>54</v>
      </c>
      <c r="AC1427">
        <v>1</v>
      </c>
      <c r="AE1427" t="s">
        <v>79</v>
      </c>
      <c r="AF1427">
        <v>20</v>
      </c>
      <c r="AG1427" s="1">
        <v>42186</v>
      </c>
      <c r="AH1427" s="1">
        <v>42186</v>
      </c>
      <c r="AI1427" s="1">
        <v>42186</v>
      </c>
      <c r="AJ1427" s="1">
        <v>49491</v>
      </c>
      <c r="AK1427" t="s">
        <v>51</v>
      </c>
      <c r="AN1427">
        <v>0</v>
      </c>
      <c r="AO1427" t="s">
        <v>54</v>
      </c>
      <c r="AP1427" t="s">
        <v>53</v>
      </c>
      <c r="AQ1427">
        <v>0</v>
      </c>
      <c r="AR1427" t="s">
        <v>145</v>
      </c>
      <c r="AS1427">
        <v>0</v>
      </c>
      <c r="AT1427">
        <v>0</v>
      </c>
      <c r="CC1427" t="s">
        <v>432</v>
      </c>
      <c r="CD1427">
        <v>85000</v>
      </c>
      <c r="CE1427" s="1">
        <v>42186</v>
      </c>
      <c r="CF1427" s="1">
        <v>42186</v>
      </c>
      <c r="CG1427" s="1">
        <v>42186</v>
      </c>
      <c r="CH1427" s="1">
        <v>49348</v>
      </c>
      <c r="CI1427" t="s">
        <v>51</v>
      </c>
      <c r="CK1427" t="s">
        <v>78</v>
      </c>
      <c r="CM1427" t="s">
        <v>54</v>
      </c>
      <c r="CN1427" t="s">
        <v>174</v>
      </c>
      <c r="CO1427" t="s">
        <v>86</v>
      </c>
      <c r="CR1427">
        <v>24</v>
      </c>
      <c r="CS1427">
        <v>0</v>
      </c>
      <c r="CT1427">
        <v>0</v>
      </c>
      <c r="CU1427">
        <v>0</v>
      </c>
    </row>
    <row r="1428" spans="1:99" x14ac:dyDescent="0.2">
      <c r="A1428" t="s">
        <v>180</v>
      </c>
      <c r="B1428" t="s">
        <v>181</v>
      </c>
      <c r="C1428" t="s">
        <v>184</v>
      </c>
      <c r="D1428" t="s">
        <v>430</v>
      </c>
      <c r="F1428" t="str">
        <f>"251100"</f>
        <v>251100</v>
      </c>
      <c r="G1428" t="s">
        <v>49</v>
      </c>
      <c r="K1428" t="s">
        <v>51</v>
      </c>
      <c r="L1428" t="s">
        <v>52</v>
      </c>
      <c r="M1428">
        <v>136159.06400000001</v>
      </c>
      <c r="N1428">
        <v>472370.77600000001</v>
      </c>
      <c r="O1428" t="s">
        <v>53</v>
      </c>
      <c r="P1428" t="s">
        <v>54</v>
      </c>
      <c r="Q1428" t="s">
        <v>55</v>
      </c>
      <c r="T1428" t="s">
        <v>239</v>
      </c>
      <c r="U1428">
        <v>40</v>
      </c>
      <c r="V1428" s="1">
        <v>42186</v>
      </c>
      <c r="W1428" s="1">
        <v>42186</v>
      </c>
      <c r="X1428" s="1">
        <v>42186</v>
      </c>
      <c r="Y1428" s="1">
        <v>56796</v>
      </c>
      <c r="Z1428" t="s">
        <v>51</v>
      </c>
      <c r="AB1428" t="s">
        <v>54</v>
      </c>
      <c r="AC1428">
        <v>1</v>
      </c>
      <c r="AE1428" t="s">
        <v>79</v>
      </c>
      <c r="AF1428">
        <v>20</v>
      </c>
      <c r="AG1428" s="1">
        <v>42186</v>
      </c>
      <c r="AH1428" s="1">
        <v>42186</v>
      </c>
      <c r="AI1428" s="1">
        <v>42186</v>
      </c>
      <c r="AJ1428" s="1">
        <v>49491</v>
      </c>
      <c r="AK1428" t="s">
        <v>51</v>
      </c>
      <c r="AN1428">
        <v>0</v>
      </c>
      <c r="AO1428" t="s">
        <v>54</v>
      </c>
      <c r="AP1428" t="s">
        <v>53</v>
      </c>
      <c r="AQ1428">
        <v>0</v>
      </c>
      <c r="AR1428" t="s">
        <v>145</v>
      </c>
      <c r="AS1428">
        <v>0</v>
      </c>
      <c r="AT1428">
        <v>0</v>
      </c>
      <c r="CC1428" t="s">
        <v>432</v>
      </c>
      <c r="CD1428">
        <v>85000</v>
      </c>
      <c r="CE1428" s="1">
        <v>42186</v>
      </c>
      <c r="CF1428" s="1">
        <v>42186</v>
      </c>
      <c r="CG1428" s="1">
        <v>42186</v>
      </c>
      <c r="CH1428" s="1">
        <v>49348</v>
      </c>
      <c r="CI1428" t="s">
        <v>51</v>
      </c>
      <c r="CK1428" t="s">
        <v>78</v>
      </c>
      <c r="CM1428" t="s">
        <v>54</v>
      </c>
      <c r="CN1428" t="s">
        <v>174</v>
      </c>
      <c r="CO1428" t="s">
        <v>86</v>
      </c>
      <c r="CR1428">
        <v>24</v>
      </c>
      <c r="CS1428">
        <v>0</v>
      </c>
      <c r="CT1428">
        <v>0</v>
      </c>
      <c r="CU1428">
        <v>0</v>
      </c>
    </row>
    <row r="1429" spans="1:99" x14ac:dyDescent="0.2">
      <c r="A1429" t="s">
        <v>180</v>
      </c>
      <c r="B1429" t="s">
        <v>181</v>
      </c>
      <c r="C1429" t="s">
        <v>184</v>
      </c>
      <c r="D1429" t="s">
        <v>430</v>
      </c>
      <c r="F1429" t="str">
        <f>"251101"</f>
        <v>251101</v>
      </c>
      <c r="G1429" t="s">
        <v>49</v>
      </c>
      <c r="K1429" t="s">
        <v>51</v>
      </c>
      <c r="L1429" t="s">
        <v>52</v>
      </c>
      <c r="M1429">
        <v>136181.71</v>
      </c>
      <c r="N1429">
        <v>472360.02</v>
      </c>
      <c r="O1429" t="s">
        <v>53</v>
      </c>
      <c r="P1429" t="s">
        <v>54</v>
      </c>
      <c r="Q1429" t="s">
        <v>55</v>
      </c>
      <c r="T1429" t="s">
        <v>682</v>
      </c>
      <c r="U1429">
        <v>40</v>
      </c>
      <c r="V1429" s="1">
        <v>42186</v>
      </c>
      <c r="W1429" s="1">
        <v>42186</v>
      </c>
      <c r="X1429" s="1">
        <v>42186</v>
      </c>
      <c r="Y1429" s="1">
        <v>56796</v>
      </c>
      <c r="Z1429" t="s">
        <v>51</v>
      </c>
      <c r="AB1429" t="s">
        <v>54</v>
      </c>
      <c r="AC1429">
        <v>1</v>
      </c>
      <c r="AE1429" t="s">
        <v>79</v>
      </c>
      <c r="AF1429">
        <v>20</v>
      </c>
      <c r="AG1429" s="1">
        <v>42186</v>
      </c>
      <c r="AH1429" s="1">
        <v>42186</v>
      </c>
      <c r="AI1429" s="1">
        <v>42186</v>
      </c>
      <c r="AJ1429" s="1">
        <v>49491</v>
      </c>
      <c r="AK1429" t="s">
        <v>51</v>
      </c>
      <c r="AN1429">
        <v>0</v>
      </c>
      <c r="AO1429" t="s">
        <v>54</v>
      </c>
      <c r="AP1429" t="s">
        <v>53</v>
      </c>
      <c r="AQ1429">
        <v>0</v>
      </c>
      <c r="AR1429" t="s">
        <v>145</v>
      </c>
      <c r="AS1429">
        <v>0</v>
      </c>
      <c r="AT1429">
        <v>0</v>
      </c>
      <c r="CC1429" t="s">
        <v>432</v>
      </c>
      <c r="CD1429">
        <v>85000</v>
      </c>
      <c r="CE1429" s="1">
        <v>42186</v>
      </c>
      <c r="CF1429" s="1">
        <v>42186</v>
      </c>
      <c r="CG1429" s="1">
        <v>42186</v>
      </c>
      <c r="CH1429" s="1">
        <v>49348</v>
      </c>
      <c r="CI1429" t="s">
        <v>51</v>
      </c>
      <c r="CK1429" t="s">
        <v>78</v>
      </c>
      <c r="CM1429" t="s">
        <v>54</v>
      </c>
      <c r="CN1429" t="s">
        <v>174</v>
      </c>
      <c r="CO1429" t="s">
        <v>86</v>
      </c>
      <c r="CR1429">
        <v>24</v>
      </c>
      <c r="CS1429">
        <v>0</v>
      </c>
      <c r="CT1429">
        <v>0</v>
      </c>
      <c r="CU1429">
        <v>0</v>
      </c>
    </row>
    <row r="1430" spans="1:99" x14ac:dyDescent="0.2">
      <c r="A1430" t="s">
        <v>180</v>
      </c>
      <c r="B1430" t="s">
        <v>181</v>
      </c>
      <c r="C1430" t="s">
        <v>184</v>
      </c>
      <c r="D1430" t="s">
        <v>430</v>
      </c>
      <c r="F1430" t="str">
        <f>"251102"</f>
        <v>251102</v>
      </c>
      <c r="G1430" t="s">
        <v>49</v>
      </c>
      <c r="K1430" t="s">
        <v>51</v>
      </c>
      <c r="L1430" t="s">
        <v>52</v>
      </c>
      <c r="M1430">
        <v>136203.17000000001</v>
      </c>
      <c r="N1430">
        <v>472346.96</v>
      </c>
      <c r="O1430" t="s">
        <v>53</v>
      </c>
      <c r="P1430" t="s">
        <v>54</v>
      </c>
      <c r="Q1430" t="s">
        <v>55</v>
      </c>
      <c r="T1430" t="s">
        <v>239</v>
      </c>
      <c r="U1430">
        <v>40</v>
      </c>
      <c r="V1430" s="1">
        <v>42186</v>
      </c>
      <c r="W1430" s="1">
        <v>42186</v>
      </c>
      <c r="X1430" s="1">
        <v>42186</v>
      </c>
      <c r="Y1430" s="1">
        <v>56796</v>
      </c>
      <c r="Z1430" t="s">
        <v>51</v>
      </c>
      <c r="AB1430" t="s">
        <v>54</v>
      </c>
      <c r="AC1430">
        <v>1</v>
      </c>
      <c r="AE1430" t="s">
        <v>79</v>
      </c>
      <c r="AF1430">
        <v>20</v>
      </c>
      <c r="AG1430" s="1">
        <v>42186</v>
      </c>
      <c r="AH1430" s="1">
        <v>42186</v>
      </c>
      <c r="AI1430" s="1">
        <v>42186</v>
      </c>
      <c r="AJ1430" s="1">
        <v>49491</v>
      </c>
      <c r="AK1430" t="s">
        <v>51</v>
      </c>
      <c r="AN1430">
        <v>0</v>
      </c>
      <c r="AO1430" t="s">
        <v>54</v>
      </c>
      <c r="AP1430" t="s">
        <v>53</v>
      </c>
      <c r="AQ1430">
        <v>0</v>
      </c>
      <c r="AR1430" t="s">
        <v>145</v>
      </c>
      <c r="AS1430">
        <v>0</v>
      </c>
      <c r="AT1430">
        <v>0</v>
      </c>
      <c r="CC1430" t="s">
        <v>560</v>
      </c>
      <c r="CD1430">
        <v>85000</v>
      </c>
      <c r="CE1430" s="1">
        <v>42186</v>
      </c>
      <c r="CF1430" s="1">
        <v>42186</v>
      </c>
      <c r="CG1430" s="1">
        <v>42186</v>
      </c>
      <c r="CH1430" s="1">
        <v>49348</v>
      </c>
      <c r="CI1430" t="s">
        <v>51</v>
      </c>
      <c r="CK1430" t="s">
        <v>78</v>
      </c>
      <c r="CM1430" t="s">
        <v>54</v>
      </c>
      <c r="CN1430" t="s">
        <v>174</v>
      </c>
      <c r="CO1430" t="s">
        <v>86</v>
      </c>
      <c r="CR1430">
        <v>36</v>
      </c>
      <c r="CS1430">
        <v>0</v>
      </c>
      <c r="CT1430">
        <v>0</v>
      </c>
      <c r="CU1430">
        <v>0</v>
      </c>
    </row>
    <row r="1431" spans="1:99" x14ac:dyDescent="0.2">
      <c r="A1431" t="s">
        <v>180</v>
      </c>
      <c r="B1431" t="s">
        <v>181</v>
      </c>
      <c r="C1431" t="s">
        <v>184</v>
      </c>
      <c r="D1431" t="s">
        <v>430</v>
      </c>
      <c r="F1431" t="str">
        <f>"251103"</f>
        <v>251103</v>
      </c>
      <c r="G1431" t="s">
        <v>49</v>
      </c>
      <c r="K1431" t="s">
        <v>51</v>
      </c>
      <c r="L1431" t="s">
        <v>52</v>
      </c>
      <c r="M1431">
        <v>136227.39000000001</v>
      </c>
      <c r="N1431">
        <v>472334.73</v>
      </c>
      <c r="O1431" t="s">
        <v>53</v>
      </c>
      <c r="P1431" t="s">
        <v>54</v>
      </c>
      <c r="Q1431" t="s">
        <v>55</v>
      </c>
      <c r="T1431" t="s">
        <v>241</v>
      </c>
      <c r="U1431">
        <v>40</v>
      </c>
      <c r="V1431" s="1">
        <v>42186</v>
      </c>
      <c r="W1431" s="1">
        <v>42186</v>
      </c>
      <c r="X1431" s="1">
        <v>42186</v>
      </c>
      <c r="Y1431" s="1">
        <v>56796</v>
      </c>
      <c r="Z1431" t="s">
        <v>51</v>
      </c>
      <c r="AB1431" t="s">
        <v>54</v>
      </c>
      <c r="AC1431">
        <v>1</v>
      </c>
      <c r="AE1431" t="s">
        <v>79</v>
      </c>
      <c r="AF1431">
        <v>20</v>
      </c>
      <c r="AG1431" s="1">
        <v>42186</v>
      </c>
      <c r="AH1431" s="1">
        <v>42186</v>
      </c>
      <c r="AI1431" s="1">
        <v>42186</v>
      </c>
      <c r="AJ1431" s="1">
        <v>49491</v>
      </c>
      <c r="AK1431" t="s">
        <v>51</v>
      </c>
      <c r="AN1431">
        <v>0</v>
      </c>
      <c r="AO1431" t="s">
        <v>54</v>
      </c>
      <c r="AP1431" t="s">
        <v>53</v>
      </c>
      <c r="AQ1431">
        <v>0</v>
      </c>
      <c r="AR1431" t="s">
        <v>145</v>
      </c>
      <c r="AS1431">
        <v>0</v>
      </c>
      <c r="AT1431">
        <v>0</v>
      </c>
      <c r="CC1431" t="s">
        <v>669</v>
      </c>
      <c r="CD1431">
        <v>85000</v>
      </c>
      <c r="CE1431" s="1">
        <v>42186</v>
      </c>
      <c r="CF1431" s="1">
        <v>42186</v>
      </c>
      <c r="CG1431" s="1">
        <v>42186</v>
      </c>
      <c r="CH1431" s="1">
        <v>49348</v>
      </c>
      <c r="CI1431" t="s">
        <v>51</v>
      </c>
      <c r="CK1431" t="s">
        <v>78</v>
      </c>
      <c r="CM1431" t="s">
        <v>54</v>
      </c>
      <c r="CN1431" t="s">
        <v>174</v>
      </c>
      <c r="CO1431" t="s">
        <v>86</v>
      </c>
      <c r="CR1431">
        <v>50</v>
      </c>
      <c r="CS1431">
        <v>0</v>
      </c>
      <c r="CT1431">
        <v>0</v>
      </c>
      <c r="CU1431">
        <v>0</v>
      </c>
    </row>
    <row r="1432" spans="1:99" x14ac:dyDescent="0.2">
      <c r="A1432" t="s">
        <v>180</v>
      </c>
      <c r="B1432" t="s">
        <v>181</v>
      </c>
      <c r="C1432" t="s">
        <v>184</v>
      </c>
      <c r="D1432" t="s">
        <v>772</v>
      </c>
      <c r="F1432" t="str">
        <f>"251104"</f>
        <v>251104</v>
      </c>
      <c r="G1432" t="s">
        <v>49</v>
      </c>
      <c r="H1432" t="s">
        <v>575</v>
      </c>
      <c r="K1432" t="s">
        <v>51</v>
      </c>
      <c r="L1432" t="s">
        <v>52</v>
      </c>
      <c r="M1432">
        <v>136339.29999999999</v>
      </c>
      <c r="N1432">
        <v>472228.94</v>
      </c>
      <c r="O1432" t="s">
        <v>53</v>
      </c>
      <c r="P1432" t="s">
        <v>54</v>
      </c>
      <c r="Q1432" t="s">
        <v>55</v>
      </c>
      <c r="T1432" t="s">
        <v>773</v>
      </c>
      <c r="U1432">
        <v>40</v>
      </c>
      <c r="V1432" s="1">
        <v>42186</v>
      </c>
      <c r="W1432" s="1">
        <v>42186</v>
      </c>
      <c r="X1432" s="1">
        <v>42186</v>
      </c>
      <c r="Y1432" s="1">
        <v>56796</v>
      </c>
      <c r="Z1432" t="s">
        <v>51</v>
      </c>
      <c r="AB1432" t="s">
        <v>54</v>
      </c>
      <c r="AC1432">
        <v>1</v>
      </c>
      <c r="AE1432" t="s">
        <v>79</v>
      </c>
      <c r="AF1432">
        <v>20</v>
      </c>
      <c r="AG1432" s="1">
        <v>42186</v>
      </c>
      <c r="AH1432" s="1">
        <v>42186</v>
      </c>
      <c r="AI1432" s="1">
        <v>42186</v>
      </c>
      <c r="AJ1432" s="1">
        <v>49491</v>
      </c>
      <c r="AK1432" t="s">
        <v>51</v>
      </c>
      <c r="AN1432">
        <v>0</v>
      </c>
      <c r="AO1432" t="s">
        <v>54</v>
      </c>
      <c r="AP1432" t="s">
        <v>53</v>
      </c>
      <c r="AQ1432">
        <v>0</v>
      </c>
      <c r="AR1432" t="s">
        <v>145</v>
      </c>
      <c r="AS1432">
        <v>0</v>
      </c>
      <c r="AT1432">
        <v>0</v>
      </c>
      <c r="CC1432" t="s">
        <v>669</v>
      </c>
      <c r="CD1432">
        <v>85000</v>
      </c>
      <c r="CE1432" s="1">
        <v>42186</v>
      </c>
      <c r="CF1432" s="1">
        <v>42186</v>
      </c>
      <c r="CG1432" s="1">
        <v>42186</v>
      </c>
      <c r="CH1432" s="1">
        <v>49348</v>
      </c>
      <c r="CI1432" t="s">
        <v>51</v>
      </c>
      <c r="CK1432" t="s">
        <v>78</v>
      </c>
      <c r="CM1432" t="s">
        <v>54</v>
      </c>
      <c r="CN1432" t="s">
        <v>174</v>
      </c>
      <c r="CO1432" t="s">
        <v>86</v>
      </c>
      <c r="CR1432">
        <v>50</v>
      </c>
      <c r="CS1432">
        <v>0</v>
      </c>
      <c r="CT1432">
        <v>0</v>
      </c>
      <c r="CU1432">
        <v>0</v>
      </c>
    </row>
    <row r="1433" spans="1:99" x14ac:dyDescent="0.2">
      <c r="A1433" t="s">
        <v>180</v>
      </c>
      <c r="B1433" t="s">
        <v>181</v>
      </c>
      <c r="C1433" t="s">
        <v>184</v>
      </c>
      <c r="D1433" t="s">
        <v>772</v>
      </c>
      <c r="F1433" t="str">
        <f>"251105"</f>
        <v>251105</v>
      </c>
      <c r="G1433" t="s">
        <v>49</v>
      </c>
      <c r="H1433" t="s">
        <v>573</v>
      </c>
      <c r="K1433" t="s">
        <v>51</v>
      </c>
      <c r="L1433" t="s">
        <v>52</v>
      </c>
      <c r="M1433">
        <v>136350.13</v>
      </c>
      <c r="N1433">
        <v>472250.99</v>
      </c>
      <c r="O1433" t="s">
        <v>53</v>
      </c>
      <c r="P1433" t="s">
        <v>54</v>
      </c>
      <c r="Q1433" t="s">
        <v>55</v>
      </c>
      <c r="T1433" t="s">
        <v>588</v>
      </c>
      <c r="U1433">
        <v>40</v>
      </c>
      <c r="V1433" s="1">
        <v>42186</v>
      </c>
      <c r="W1433" s="1">
        <v>42186</v>
      </c>
      <c r="X1433" s="1">
        <v>42186</v>
      </c>
      <c r="Y1433" s="1">
        <v>56796</v>
      </c>
      <c r="Z1433" t="s">
        <v>51</v>
      </c>
      <c r="AB1433" t="s">
        <v>54</v>
      </c>
      <c r="AC1433">
        <v>1</v>
      </c>
      <c r="AE1433" t="s">
        <v>79</v>
      </c>
      <c r="AF1433">
        <v>20</v>
      </c>
      <c r="AG1433" s="1">
        <v>42186</v>
      </c>
      <c r="AH1433" s="1">
        <v>42186</v>
      </c>
      <c r="AI1433" s="1">
        <v>42186</v>
      </c>
      <c r="AJ1433" s="1">
        <v>49491</v>
      </c>
      <c r="AK1433" t="s">
        <v>51</v>
      </c>
      <c r="AN1433">
        <v>0</v>
      </c>
      <c r="AO1433" t="s">
        <v>54</v>
      </c>
      <c r="AP1433" t="s">
        <v>53</v>
      </c>
      <c r="AQ1433">
        <v>0</v>
      </c>
      <c r="AR1433" t="s">
        <v>145</v>
      </c>
      <c r="AS1433">
        <v>0</v>
      </c>
      <c r="AT1433">
        <v>0</v>
      </c>
      <c r="CC1433" t="s">
        <v>432</v>
      </c>
      <c r="CD1433">
        <v>85000</v>
      </c>
      <c r="CE1433" s="1">
        <v>42186</v>
      </c>
      <c r="CF1433" s="1">
        <v>42186</v>
      </c>
      <c r="CG1433" s="1">
        <v>42186</v>
      </c>
      <c r="CH1433" s="1">
        <v>49348</v>
      </c>
      <c r="CI1433" t="s">
        <v>51</v>
      </c>
      <c r="CK1433" t="s">
        <v>78</v>
      </c>
      <c r="CM1433" t="s">
        <v>54</v>
      </c>
      <c r="CN1433" t="s">
        <v>174</v>
      </c>
      <c r="CO1433" t="s">
        <v>86</v>
      </c>
      <c r="CR1433">
        <v>24</v>
      </c>
      <c r="CS1433">
        <v>0</v>
      </c>
      <c r="CT1433">
        <v>0</v>
      </c>
      <c r="CU1433">
        <v>0</v>
      </c>
    </row>
    <row r="1434" spans="1:99" x14ac:dyDescent="0.2">
      <c r="A1434" t="s">
        <v>180</v>
      </c>
      <c r="B1434" t="s">
        <v>181</v>
      </c>
      <c r="C1434" t="s">
        <v>184</v>
      </c>
      <c r="D1434" t="s">
        <v>772</v>
      </c>
      <c r="F1434" t="str">
        <f>"251106"</f>
        <v>251106</v>
      </c>
      <c r="G1434" t="s">
        <v>49</v>
      </c>
      <c r="K1434" t="s">
        <v>51</v>
      </c>
      <c r="L1434" t="s">
        <v>52</v>
      </c>
      <c r="M1434">
        <v>136361.70499999999</v>
      </c>
      <c r="N1434">
        <v>472273.266</v>
      </c>
      <c r="O1434" t="s">
        <v>53</v>
      </c>
      <c r="P1434" t="s">
        <v>54</v>
      </c>
      <c r="Q1434" t="s">
        <v>55</v>
      </c>
      <c r="T1434" t="s">
        <v>588</v>
      </c>
      <c r="U1434">
        <v>40</v>
      </c>
      <c r="V1434" s="1">
        <v>42186</v>
      </c>
      <c r="W1434" s="1">
        <v>42186</v>
      </c>
      <c r="X1434" s="1">
        <v>42186</v>
      </c>
      <c r="Y1434" s="1">
        <v>56796</v>
      </c>
      <c r="Z1434" t="s">
        <v>51</v>
      </c>
      <c r="AB1434" t="s">
        <v>54</v>
      </c>
      <c r="AC1434">
        <v>1</v>
      </c>
      <c r="AE1434" t="s">
        <v>79</v>
      </c>
      <c r="AF1434">
        <v>20</v>
      </c>
      <c r="AG1434" s="1">
        <v>42186</v>
      </c>
      <c r="AH1434" s="1">
        <v>42186</v>
      </c>
      <c r="AI1434" s="1">
        <v>42186</v>
      </c>
      <c r="AJ1434" s="1">
        <v>49491</v>
      </c>
      <c r="AK1434" t="s">
        <v>51</v>
      </c>
      <c r="AN1434">
        <v>0</v>
      </c>
      <c r="AO1434" t="s">
        <v>54</v>
      </c>
      <c r="AP1434" t="s">
        <v>53</v>
      </c>
      <c r="AQ1434">
        <v>0</v>
      </c>
      <c r="AR1434" t="s">
        <v>145</v>
      </c>
      <c r="AS1434">
        <v>0</v>
      </c>
      <c r="AT1434">
        <v>0</v>
      </c>
      <c r="CC1434" t="s">
        <v>560</v>
      </c>
      <c r="CD1434">
        <v>85000</v>
      </c>
      <c r="CE1434" s="1">
        <v>42186</v>
      </c>
      <c r="CF1434" s="1">
        <v>42186</v>
      </c>
      <c r="CG1434" s="1">
        <v>42186</v>
      </c>
      <c r="CH1434" s="1">
        <v>49348</v>
      </c>
      <c r="CI1434" t="s">
        <v>51</v>
      </c>
      <c r="CK1434" t="s">
        <v>78</v>
      </c>
      <c r="CM1434" t="s">
        <v>54</v>
      </c>
      <c r="CN1434" t="s">
        <v>174</v>
      </c>
      <c r="CO1434" t="s">
        <v>86</v>
      </c>
      <c r="CR1434">
        <v>36</v>
      </c>
      <c r="CS1434">
        <v>0</v>
      </c>
      <c r="CT1434">
        <v>0</v>
      </c>
      <c r="CU1434">
        <v>0</v>
      </c>
    </row>
    <row r="1435" spans="1:99" x14ac:dyDescent="0.2">
      <c r="A1435" t="s">
        <v>180</v>
      </c>
      <c r="B1435" t="s">
        <v>181</v>
      </c>
      <c r="C1435" t="s">
        <v>184</v>
      </c>
      <c r="D1435" t="s">
        <v>772</v>
      </c>
      <c r="F1435" t="str">
        <f>"251107"</f>
        <v>251107</v>
      </c>
      <c r="G1435" t="s">
        <v>49</v>
      </c>
      <c r="K1435" t="s">
        <v>51</v>
      </c>
      <c r="L1435" t="s">
        <v>52</v>
      </c>
      <c r="M1435">
        <v>136353.75</v>
      </c>
      <c r="N1435">
        <v>472253.94</v>
      </c>
      <c r="O1435" t="s">
        <v>53</v>
      </c>
      <c r="P1435" t="s">
        <v>54</v>
      </c>
      <c r="Q1435" t="s">
        <v>55</v>
      </c>
      <c r="T1435" t="s">
        <v>588</v>
      </c>
      <c r="U1435">
        <v>40</v>
      </c>
      <c r="V1435" s="1">
        <v>42186</v>
      </c>
      <c r="W1435" s="1">
        <v>42186</v>
      </c>
      <c r="X1435" s="1">
        <v>42186</v>
      </c>
      <c r="Y1435" s="1">
        <v>56796</v>
      </c>
      <c r="Z1435" t="s">
        <v>51</v>
      </c>
      <c r="AB1435" t="s">
        <v>54</v>
      </c>
      <c r="AC1435">
        <v>1</v>
      </c>
      <c r="AE1435" t="s">
        <v>79</v>
      </c>
      <c r="AF1435">
        <v>20</v>
      </c>
      <c r="AG1435" s="1">
        <v>42186</v>
      </c>
      <c r="AH1435" s="1">
        <v>42186</v>
      </c>
      <c r="AI1435" s="1">
        <v>42186</v>
      </c>
      <c r="AJ1435" s="1">
        <v>49491</v>
      </c>
      <c r="AK1435" t="s">
        <v>51</v>
      </c>
      <c r="AN1435">
        <v>0</v>
      </c>
      <c r="AO1435" t="s">
        <v>54</v>
      </c>
      <c r="AP1435" t="s">
        <v>53</v>
      </c>
      <c r="AQ1435">
        <v>0</v>
      </c>
      <c r="AR1435" t="s">
        <v>145</v>
      </c>
      <c r="AS1435">
        <v>0</v>
      </c>
      <c r="AT1435">
        <v>0</v>
      </c>
      <c r="CC1435" t="s">
        <v>432</v>
      </c>
      <c r="CD1435">
        <v>85000</v>
      </c>
      <c r="CE1435" s="1">
        <v>42186</v>
      </c>
      <c r="CF1435" s="1">
        <v>42186</v>
      </c>
      <c r="CG1435" s="1">
        <v>42186</v>
      </c>
      <c r="CH1435" s="1">
        <v>49348</v>
      </c>
      <c r="CI1435" t="s">
        <v>51</v>
      </c>
      <c r="CK1435" t="s">
        <v>78</v>
      </c>
      <c r="CM1435" t="s">
        <v>54</v>
      </c>
      <c r="CN1435" t="s">
        <v>174</v>
      </c>
      <c r="CO1435" t="s">
        <v>86</v>
      </c>
      <c r="CR1435">
        <v>24</v>
      </c>
      <c r="CS1435">
        <v>0</v>
      </c>
      <c r="CT1435">
        <v>0</v>
      </c>
      <c r="CU1435">
        <v>0</v>
      </c>
    </row>
    <row r="1436" spans="1:99" x14ac:dyDescent="0.2">
      <c r="A1436" t="s">
        <v>180</v>
      </c>
      <c r="B1436" t="s">
        <v>181</v>
      </c>
      <c r="C1436" t="s">
        <v>184</v>
      </c>
      <c r="D1436" t="s">
        <v>744</v>
      </c>
      <c r="F1436" t="str">
        <f>"251108"</f>
        <v>251108</v>
      </c>
      <c r="G1436" t="s">
        <v>49</v>
      </c>
      <c r="H1436" t="s">
        <v>233</v>
      </c>
      <c r="K1436" t="s">
        <v>51</v>
      </c>
      <c r="L1436" t="s">
        <v>52</v>
      </c>
      <c r="M1436">
        <v>136441.42000000001</v>
      </c>
      <c r="N1436">
        <v>472231.13</v>
      </c>
      <c r="O1436" t="s">
        <v>53</v>
      </c>
      <c r="P1436" t="s">
        <v>54</v>
      </c>
      <c r="Q1436" t="s">
        <v>55</v>
      </c>
      <c r="T1436" t="s">
        <v>588</v>
      </c>
      <c r="U1436">
        <v>40</v>
      </c>
      <c r="V1436" s="1">
        <v>26115</v>
      </c>
      <c r="W1436" s="1">
        <v>26115</v>
      </c>
      <c r="X1436" s="1">
        <v>26115</v>
      </c>
      <c r="Y1436" s="1">
        <v>40725</v>
      </c>
      <c r="Z1436" t="s">
        <v>51</v>
      </c>
      <c r="AB1436" t="s">
        <v>54</v>
      </c>
      <c r="AC1436">
        <v>1</v>
      </c>
      <c r="AE1436" t="s">
        <v>222</v>
      </c>
      <c r="AF1436">
        <v>20</v>
      </c>
      <c r="AG1436" s="1">
        <v>26115</v>
      </c>
      <c r="AH1436" s="1">
        <v>26115</v>
      </c>
      <c r="AI1436" s="1">
        <v>26115</v>
      </c>
      <c r="AJ1436" s="1">
        <v>33420</v>
      </c>
      <c r="AK1436" t="s">
        <v>51</v>
      </c>
      <c r="AN1436">
        <v>0</v>
      </c>
      <c r="AO1436" t="s">
        <v>54</v>
      </c>
      <c r="AP1436" t="s">
        <v>53</v>
      </c>
      <c r="AQ1436">
        <v>0</v>
      </c>
      <c r="AR1436" t="s">
        <v>53</v>
      </c>
      <c r="AS1436">
        <v>0</v>
      </c>
      <c r="AT1436">
        <v>0</v>
      </c>
      <c r="AW1436" t="s">
        <v>58</v>
      </c>
      <c r="AX1436">
        <v>20</v>
      </c>
      <c r="AY1436" s="1">
        <v>26115</v>
      </c>
      <c r="AZ1436" s="1">
        <v>26115</v>
      </c>
      <c r="BA1436" s="1">
        <v>26115</v>
      </c>
      <c r="BB1436" s="1">
        <v>33420</v>
      </c>
      <c r="BC1436" t="s">
        <v>51</v>
      </c>
      <c r="BE1436" t="s">
        <v>54</v>
      </c>
      <c r="BF1436">
        <v>2</v>
      </c>
      <c r="BG1436">
        <v>0</v>
      </c>
      <c r="BH1436" t="s">
        <v>53</v>
      </c>
      <c r="BK1436" t="s">
        <v>59</v>
      </c>
      <c r="BL1436">
        <v>14000</v>
      </c>
      <c r="BM1436" s="1">
        <v>42917</v>
      </c>
      <c r="BN1436" s="1">
        <v>42917</v>
      </c>
      <c r="BO1436" s="1">
        <v>42917</v>
      </c>
      <c r="BP1436" s="1">
        <v>44117</v>
      </c>
      <c r="BQ1436" t="s">
        <v>51</v>
      </c>
      <c r="BS1436" t="s">
        <v>60</v>
      </c>
      <c r="BT1436" t="s">
        <v>54</v>
      </c>
      <c r="BU1436" t="s">
        <v>61</v>
      </c>
      <c r="BV1436" t="s">
        <v>62</v>
      </c>
      <c r="BX1436">
        <v>24</v>
      </c>
      <c r="BY1436">
        <v>0</v>
      </c>
      <c r="BZ1436">
        <v>0</v>
      </c>
    </row>
    <row r="1437" spans="1:99" x14ac:dyDescent="0.2">
      <c r="A1437" t="s">
        <v>180</v>
      </c>
      <c r="B1437" t="s">
        <v>181</v>
      </c>
      <c r="C1437" t="s">
        <v>184</v>
      </c>
      <c r="D1437" t="s">
        <v>744</v>
      </c>
      <c r="F1437" t="str">
        <f>"251109"</f>
        <v>251109</v>
      </c>
      <c r="G1437" t="s">
        <v>49</v>
      </c>
      <c r="H1437" t="s">
        <v>573</v>
      </c>
      <c r="K1437" t="s">
        <v>51</v>
      </c>
      <c r="L1437" t="s">
        <v>52</v>
      </c>
      <c r="M1437">
        <v>136429.66</v>
      </c>
      <c r="N1437">
        <v>472215.22</v>
      </c>
      <c r="O1437" t="s">
        <v>53</v>
      </c>
      <c r="P1437" t="s">
        <v>54</v>
      </c>
      <c r="Q1437" t="s">
        <v>55</v>
      </c>
      <c r="T1437" t="s">
        <v>588</v>
      </c>
      <c r="U1437">
        <v>40</v>
      </c>
      <c r="V1437" s="1">
        <v>26115</v>
      </c>
      <c r="W1437" s="1">
        <v>26115</v>
      </c>
      <c r="X1437" s="1">
        <v>26115</v>
      </c>
      <c r="Y1437" s="1">
        <v>40725</v>
      </c>
      <c r="Z1437" t="s">
        <v>51</v>
      </c>
      <c r="AB1437" t="s">
        <v>54</v>
      </c>
      <c r="AC1437">
        <v>1</v>
      </c>
      <c r="AE1437" t="s">
        <v>222</v>
      </c>
      <c r="AF1437">
        <v>20</v>
      </c>
      <c r="AG1437" s="1">
        <v>26115</v>
      </c>
      <c r="AH1437" s="1">
        <v>26115</v>
      </c>
      <c r="AI1437" s="1">
        <v>26115</v>
      </c>
      <c r="AJ1437" s="1">
        <v>33420</v>
      </c>
      <c r="AK1437" t="s">
        <v>51</v>
      </c>
      <c r="AN1437">
        <v>0</v>
      </c>
      <c r="AO1437" t="s">
        <v>54</v>
      </c>
      <c r="AP1437" t="s">
        <v>53</v>
      </c>
      <c r="AQ1437">
        <v>0</v>
      </c>
      <c r="AR1437" t="s">
        <v>53</v>
      </c>
      <c r="AS1437">
        <v>0</v>
      </c>
      <c r="AT1437">
        <v>0</v>
      </c>
      <c r="AW1437" t="s">
        <v>58</v>
      </c>
      <c r="AX1437">
        <v>20</v>
      </c>
      <c r="AY1437" s="1">
        <v>43507</v>
      </c>
      <c r="AZ1437" s="1">
        <v>43507</v>
      </c>
      <c r="BA1437" s="1">
        <v>43507</v>
      </c>
      <c r="BB1437" s="1">
        <v>50812</v>
      </c>
      <c r="BC1437" t="s">
        <v>51</v>
      </c>
      <c r="BE1437" t="s">
        <v>54</v>
      </c>
      <c r="BF1437">
        <v>2</v>
      </c>
      <c r="BG1437">
        <v>0</v>
      </c>
      <c r="BH1437" t="s">
        <v>53</v>
      </c>
      <c r="BK1437" t="s">
        <v>59</v>
      </c>
      <c r="BL1437">
        <v>14000</v>
      </c>
      <c r="BM1437" s="1">
        <v>43865</v>
      </c>
      <c r="BN1437" s="1">
        <v>43865</v>
      </c>
      <c r="BO1437" s="1">
        <v>43865</v>
      </c>
      <c r="BP1437" s="1">
        <v>45047</v>
      </c>
      <c r="BQ1437" t="s">
        <v>51</v>
      </c>
      <c r="BS1437" t="s">
        <v>60</v>
      </c>
      <c r="BT1437" t="s">
        <v>54</v>
      </c>
      <c r="BU1437" t="s">
        <v>61</v>
      </c>
      <c r="BV1437" t="s">
        <v>62</v>
      </c>
      <c r="BX1437">
        <v>24</v>
      </c>
      <c r="BY1437">
        <v>0</v>
      </c>
      <c r="BZ1437">
        <v>0</v>
      </c>
    </row>
    <row r="1438" spans="1:99" x14ac:dyDescent="0.2">
      <c r="A1438" t="s">
        <v>180</v>
      </c>
      <c r="B1438" t="s">
        <v>181</v>
      </c>
      <c r="C1438" t="s">
        <v>184</v>
      </c>
      <c r="D1438" t="s">
        <v>744</v>
      </c>
      <c r="F1438" t="str">
        <f>"251110"</f>
        <v>251110</v>
      </c>
      <c r="G1438" t="s">
        <v>49</v>
      </c>
      <c r="H1438" t="s">
        <v>472</v>
      </c>
      <c r="K1438" t="s">
        <v>51</v>
      </c>
      <c r="L1438" t="s">
        <v>52</v>
      </c>
      <c r="M1438">
        <v>136417.63</v>
      </c>
      <c r="N1438">
        <v>472201.16</v>
      </c>
      <c r="O1438" t="s">
        <v>53</v>
      </c>
      <c r="P1438" t="s">
        <v>54</v>
      </c>
      <c r="Q1438" t="s">
        <v>55</v>
      </c>
      <c r="T1438" t="s">
        <v>588</v>
      </c>
      <c r="U1438">
        <v>40</v>
      </c>
      <c r="V1438" s="1">
        <v>26115</v>
      </c>
      <c r="W1438" s="1">
        <v>26115</v>
      </c>
      <c r="X1438" s="1">
        <v>26115</v>
      </c>
      <c r="Y1438" s="1">
        <v>40725</v>
      </c>
      <c r="Z1438" t="s">
        <v>51</v>
      </c>
      <c r="AB1438" t="s">
        <v>54</v>
      </c>
      <c r="AC1438">
        <v>1</v>
      </c>
      <c r="AE1438" t="s">
        <v>222</v>
      </c>
      <c r="AF1438">
        <v>20</v>
      </c>
      <c r="AG1438" s="1">
        <v>26115</v>
      </c>
      <c r="AH1438" s="1">
        <v>26115</v>
      </c>
      <c r="AI1438" s="1">
        <v>26115</v>
      </c>
      <c r="AJ1438" s="1">
        <v>33420</v>
      </c>
      <c r="AK1438" t="s">
        <v>51</v>
      </c>
      <c r="AN1438">
        <v>0</v>
      </c>
      <c r="AO1438" t="s">
        <v>54</v>
      </c>
      <c r="AP1438" t="s">
        <v>53</v>
      </c>
      <c r="AQ1438">
        <v>0</v>
      </c>
      <c r="AR1438" t="s">
        <v>53</v>
      </c>
      <c r="AS1438">
        <v>0</v>
      </c>
      <c r="AT1438">
        <v>0</v>
      </c>
      <c r="AW1438" t="s">
        <v>58</v>
      </c>
      <c r="AX1438">
        <v>20</v>
      </c>
      <c r="AY1438" s="1">
        <v>26115</v>
      </c>
      <c r="AZ1438" s="1">
        <v>26115</v>
      </c>
      <c r="BA1438" s="1">
        <v>26115</v>
      </c>
      <c r="BB1438" s="1">
        <v>33420</v>
      </c>
      <c r="BC1438" t="s">
        <v>51</v>
      </c>
      <c r="BE1438" t="s">
        <v>54</v>
      </c>
      <c r="BF1438">
        <v>2</v>
      </c>
      <c r="BG1438">
        <v>0</v>
      </c>
      <c r="BH1438" t="s">
        <v>53</v>
      </c>
      <c r="BK1438" t="s">
        <v>65</v>
      </c>
      <c r="BL1438">
        <v>14000</v>
      </c>
      <c r="BM1438" s="1">
        <v>42917</v>
      </c>
      <c r="BN1438" s="1">
        <v>42917</v>
      </c>
      <c r="BO1438" s="1">
        <v>42917</v>
      </c>
      <c r="BP1438" s="1">
        <v>44117</v>
      </c>
      <c r="BQ1438" t="s">
        <v>51</v>
      </c>
      <c r="BS1438" t="s">
        <v>60</v>
      </c>
      <c r="BT1438" t="s">
        <v>54</v>
      </c>
      <c r="BU1438" t="s">
        <v>61</v>
      </c>
      <c r="BV1438" t="s">
        <v>62</v>
      </c>
      <c r="BX1438">
        <v>36</v>
      </c>
      <c r="BY1438">
        <v>0</v>
      </c>
      <c r="BZ1438">
        <v>0</v>
      </c>
    </row>
    <row r="1439" spans="1:99" x14ac:dyDescent="0.2">
      <c r="A1439" t="s">
        <v>180</v>
      </c>
      <c r="B1439" t="s">
        <v>181</v>
      </c>
      <c r="C1439" t="s">
        <v>184</v>
      </c>
      <c r="D1439" t="s">
        <v>744</v>
      </c>
      <c r="F1439" t="str">
        <f>"251111"</f>
        <v>251111</v>
      </c>
      <c r="G1439" t="s">
        <v>49</v>
      </c>
      <c r="K1439" t="s">
        <v>51</v>
      </c>
      <c r="L1439" t="s">
        <v>52</v>
      </c>
      <c r="M1439">
        <v>136416.98000000001</v>
      </c>
      <c r="N1439">
        <v>472183.24699999997</v>
      </c>
      <c r="O1439" t="s">
        <v>53</v>
      </c>
      <c r="P1439" t="s">
        <v>54</v>
      </c>
      <c r="Q1439" t="s">
        <v>55</v>
      </c>
      <c r="T1439" t="s">
        <v>682</v>
      </c>
      <c r="U1439">
        <v>40</v>
      </c>
      <c r="V1439" s="1">
        <v>26299</v>
      </c>
      <c r="W1439" s="1">
        <v>26299</v>
      </c>
      <c r="X1439" s="1">
        <v>26299</v>
      </c>
      <c r="Y1439" s="1">
        <v>40909</v>
      </c>
      <c r="Z1439" t="s">
        <v>51</v>
      </c>
      <c r="AB1439" t="s">
        <v>54</v>
      </c>
      <c r="AC1439">
        <v>1</v>
      </c>
      <c r="AE1439" t="s">
        <v>222</v>
      </c>
      <c r="AF1439">
        <v>20</v>
      </c>
      <c r="AG1439" s="1">
        <v>26299</v>
      </c>
      <c r="AH1439" s="1">
        <v>26299</v>
      </c>
      <c r="AI1439" s="1">
        <v>26299</v>
      </c>
      <c r="AJ1439" s="1">
        <v>33604</v>
      </c>
      <c r="AK1439" t="s">
        <v>51</v>
      </c>
      <c r="AN1439">
        <v>0</v>
      </c>
      <c r="AO1439" t="s">
        <v>54</v>
      </c>
      <c r="AP1439" t="s">
        <v>53</v>
      </c>
      <c r="AQ1439">
        <v>0</v>
      </c>
      <c r="AR1439" t="s">
        <v>53</v>
      </c>
      <c r="AS1439">
        <v>0</v>
      </c>
      <c r="AT1439">
        <v>0</v>
      </c>
      <c r="AW1439" t="s">
        <v>58</v>
      </c>
      <c r="AX1439">
        <v>20</v>
      </c>
      <c r="AY1439" s="1">
        <v>26299</v>
      </c>
      <c r="AZ1439" s="1">
        <v>26299</v>
      </c>
      <c r="BA1439" s="1">
        <v>26299</v>
      </c>
      <c r="BB1439" s="1">
        <v>33604</v>
      </c>
      <c r="BC1439" t="s">
        <v>51</v>
      </c>
      <c r="BE1439" t="s">
        <v>54</v>
      </c>
      <c r="BF1439">
        <v>2</v>
      </c>
      <c r="BG1439">
        <v>0</v>
      </c>
      <c r="BH1439" t="s">
        <v>53</v>
      </c>
      <c r="BK1439" t="s">
        <v>743</v>
      </c>
      <c r="BL1439">
        <v>14000</v>
      </c>
      <c r="BM1439" s="1">
        <v>42917</v>
      </c>
      <c r="BN1439" s="1">
        <v>42917</v>
      </c>
      <c r="BO1439" s="1">
        <v>42917</v>
      </c>
      <c r="BP1439" s="1">
        <v>44117</v>
      </c>
      <c r="BQ1439" t="s">
        <v>51</v>
      </c>
      <c r="BS1439" t="s">
        <v>60</v>
      </c>
      <c r="BT1439" t="s">
        <v>54</v>
      </c>
      <c r="BU1439" t="s">
        <v>61</v>
      </c>
      <c r="BV1439" t="s">
        <v>62</v>
      </c>
      <c r="BX1439">
        <v>50</v>
      </c>
      <c r="BY1439">
        <v>0</v>
      </c>
      <c r="BZ1439">
        <v>0</v>
      </c>
    </row>
    <row r="1440" spans="1:99" x14ac:dyDescent="0.2">
      <c r="A1440" t="s">
        <v>180</v>
      </c>
      <c r="B1440" t="s">
        <v>181</v>
      </c>
      <c r="C1440" t="s">
        <v>184</v>
      </c>
      <c r="D1440" t="s">
        <v>774</v>
      </c>
      <c r="F1440" t="str">
        <f>"251112"</f>
        <v>251112</v>
      </c>
      <c r="G1440" t="s">
        <v>49</v>
      </c>
      <c r="H1440" t="s">
        <v>283</v>
      </c>
      <c r="K1440" t="s">
        <v>51</v>
      </c>
      <c r="L1440" t="s">
        <v>52</v>
      </c>
      <c r="M1440">
        <v>136677.85999999999</v>
      </c>
      <c r="N1440">
        <v>472095.38</v>
      </c>
      <c r="O1440" t="s">
        <v>53</v>
      </c>
      <c r="P1440" t="s">
        <v>54</v>
      </c>
      <c r="Q1440" t="s">
        <v>55</v>
      </c>
      <c r="T1440" t="s">
        <v>588</v>
      </c>
      <c r="U1440">
        <v>40</v>
      </c>
      <c r="V1440" s="1">
        <v>35247</v>
      </c>
      <c r="W1440" s="1">
        <v>35247</v>
      </c>
      <c r="X1440" s="1">
        <v>35247</v>
      </c>
      <c r="Y1440" s="1">
        <v>49857</v>
      </c>
      <c r="Z1440" t="s">
        <v>51</v>
      </c>
      <c r="AB1440" t="s">
        <v>54</v>
      </c>
      <c r="AC1440">
        <v>1</v>
      </c>
      <c r="AE1440" t="s">
        <v>222</v>
      </c>
      <c r="AF1440">
        <v>20</v>
      </c>
      <c r="AG1440" s="1">
        <v>36342</v>
      </c>
      <c r="AH1440" s="1">
        <v>36342</v>
      </c>
      <c r="AI1440" s="1">
        <v>36342</v>
      </c>
      <c r="AJ1440" s="1">
        <v>43647</v>
      </c>
      <c r="AK1440" t="s">
        <v>51</v>
      </c>
      <c r="AN1440">
        <v>0</v>
      </c>
      <c r="AO1440" t="s">
        <v>54</v>
      </c>
      <c r="AP1440" t="s">
        <v>53</v>
      </c>
      <c r="AQ1440">
        <v>0</v>
      </c>
      <c r="AR1440" t="s">
        <v>53</v>
      </c>
      <c r="AS1440">
        <v>0</v>
      </c>
      <c r="AT1440">
        <v>0</v>
      </c>
      <c r="AW1440" t="s">
        <v>58</v>
      </c>
      <c r="AX1440">
        <v>20</v>
      </c>
      <c r="AY1440" s="1">
        <v>36342</v>
      </c>
      <c r="AZ1440" s="1">
        <v>36342</v>
      </c>
      <c r="BA1440" s="1">
        <v>36342</v>
      </c>
      <c r="BB1440" s="1">
        <v>43647</v>
      </c>
      <c r="BC1440" t="s">
        <v>51</v>
      </c>
      <c r="BE1440" t="s">
        <v>54</v>
      </c>
      <c r="BF1440">
        <v>2</v>
      </c>
      <c r="BG1440">
        <v>0</v>
      </c>
      <c r="BH1440" t="s">
        <v>53</v>
      </c>
      <c r="BK1440" t="s">
        <v>59</v>
      </c>
      <c r="BL1440">
        <v>14000</v>
      </c>
      <c r="BM1440" s="1">
        <v>42917</v>
      </c>
      <c r="BN1440" s="1">
        <v>42917</v>
      </c>
      <c r="BO1440" s="1">
        <v>42917</v>
      </c>
      <c r="BP1440" s="1">
        <v>44117</v>
      </c>
      <c r="BQ1440" t="s">
        <v>51</v>
      </c>
      <c r="BS1440" t="s">
        <v>60</v>
      </c>
      <c r="BT1440" t="s">
        <v>54</v>
      </c>
      <c r="BU1440" t="s">
        <v>61</v>
      </c>
      <c r="BV1440" t="s">
        <v>62</v>
      </c>
      <c r="BX1440">
        <v>24</v>
      </c>
      <c r="BY1440">
        <v>0</v>
      </c>
      <c r="BZ1440">
        <v>0</v>
      </c>
    </row>
    <row r="1441" spans="1:99" x14ac:dyDescent="0.2">
      <c r="A1441" t="s">
        <v>180</v>
      </c>
      <c r="B1441" t="s">
        <v>181</v>
      </c>
      <c r="C1441" t="s">
        <v>184</v>
      </c>
      <c r="D1441" t="s">
        <v>774</v>
      </c>
      <c r="F1441" t="str">
        <f>"251113"</f>
        <v>251113</v>
      </c>
      <c r="G1441" t="s">
        <v>49</v>
      </c>
      <c r="H1441" t="s">
        <v>654</v>
      </c>
      <c r="K1441" t="s">
        <v>51</v>
      </c>
      <c r="L1441" t="s">
        <v>52</v>
      </c>
      <c r="M1441">
        <v>136668.19</v>
      </c>
      <c r="N1441">
        <v>472083.19</v>
      </c>
      <c r="O1441" t="s">
        <v>53</v>
      </c>
      <c r="P1441" t="s">
        <v>54</v>
      </c>
      <c r="Q1441" t="s">
        <v>55</v>
      </c>
      <c r="T1441" t="s">
        <v>100</v>
      </c>
      <c r="U1441">
        <v>40</v>
      </c>
      <c r="V1441" s="1">
        <v>45117</v>
      </c>
      <c r="W1441" s="1">
        <v>45117</v>
      </c>
      <c r="X1441" s="1">
        <v>45117</v>
      </c>
      <c r="Y1441" s="1">
        <v>59727</v>
      </c>
      <c r="Z1441" t="s">
        <v>51</v>
      </c>
      <c r="AB1441" t="s">
        <v>54</v>
      </c>
      <c r="AC1441">
        <v>1</v>
      </c>
      <c r="AE1441" t="s">
        <v>552</v>
      </c>
      <c r="AF1441">
        <v>20</v>
      </c>
      <c r="AG1441" s="1">
        <v>45117</v>
      </c>
      <c r="AH1441" s="1">
        <v>45117</v>
      </c>
      <c r="AI1441" s="1">
        <v>45117</v>
      </c>
      <c r="AJ1441" s="1">
        <v>52422</v>
      </c>
      <c r="AK1441" t="s">
        <v>51</v>
      </c>
      <c r="AN1441">
        <v>0</v>
      </c>
      <c r="AO1441" t="s">
        <v>54</v>
      </c>
      <c r="AP1441" t="s">
        <v>53</v>
      </c>
      <c r="AQ1441">
        <v>0</v>
      </c>
      <c r="AR1441" t="s">
        <v>145</v>
      </c>
      <c r="AS1441">
        <v>0</v>
      </c>
      <c r="AT1441">
        <v>0</v>
      </c>
      <c r="CC1441" t="s">
        <v>250</v>
      </c>
      <c r="CD1441">
        <v>100000</v>
      </c>
      <c r="CE1441" s="1">
        <v>45117</v>
      </c>
      <c r="CF1441" s="1">
        <v>45117</v>
      </c>
      <c r="CG1441" s="1">
        <v>45117</v>
      </c>
      <c r="CH1441" s="1">
        <v>54061</v>
      </c>
      <c r="CI1441" t="s">
        <v>51</v>
      </c>
      <c r="CK1441" t="s">
        <v>78</v>
      </c>
      <c r="CM1441" t="s">
        <v>54</v>
      </c>
      <c r="CN1441" t="s">
        <v>174</v>
      </c>
      <c r="CR1441">
        <v>13.2</v>
      </c>
      <c r="CS1441">
        <v>1800</v>
      </c>
      <c r="CT1441">
        <v>0</v>
      </c>
      <c r="CU1441">
        <v>16</v>
      </c>
    </row>
    <row r="1442" spans="1:99" x14ac:dyDescent="0.2">
      <c r="A1442" t="s">
        <v>180</v>
      </c>
      <c r="B1442" t="s">
        <v>181</v>
      </c>
      <c r="C1442" t="s">
        <v>184</v>
      </c>
      <c r="D1442" t="s">
        <v>774</v>
      </c>
      <c r="F1442" t="str">
        <f>"251114"</f>
        <v>251114</v>
      </c>
      <c r="G1442" t="s">
        <v>49</v>
      </c>
      <c r="H1442" t="s">
        <v>275</v>
      </c>
      <c r="K1442" t="s">
        <v>51</v>
      </c>
      <c r="L1442" t="s">
        <v>52</v>
      </c>
      <c r="M1442">
        <v>136656.54999999999</v>
      </c>
      <c r="N1442">
        <v>472071.5</v>
      </c>
      <c r="O1442" t="s">
        <v>53</v>
      </c>
      <c r="P1442" t="s">
        <v>54</v>
      </c>
      <c r="Q1442" t="s">
        <v>55</v>
      </c>
      <c r="T1442" t="s">
        <v>588</v>
      </c>
      <c r="U1442">
        <v>40</v>
      </c>
      <c r="V1442" s="1">
        <v>35247</v>
      </c>
      <c r="W1442" s="1">
        <v>35247</v>
      </c>
      <c r="X1442" s="1">
        <v>35247</v>
      </c>
      <c r="Y1442" s="1">
        <v>49857</v>
      </c>
      <c r="Z1442" t="s">
        <v>51</v>
      </c>
      <c r="AB1442" t="s">
        <v>54</v>
      </c>
      <c r="AC1442">
        <v>1</v>
      </c>
      <c r="AE1442" t="s">
        <v>222</v>
      </c>
      <c r="AF1442">
        <v>20</v>
      </c>
      <c r="AG1442" s="1">
        <v>36342</v>
      </c>
      <c r="AH1442" s="1">
        <v>36342</v>
      </c>
      <c r="AI1442" s="1">
        <v>36342</v>
      </c>
      <c r="AJ1442" s="1">
        <v>43647</v>
      </c>
      <c r="AK1442" t="s">
        <v>51</v>
      </c>
      <c r="AN1442">
        <v>0</v>
      </c>
      <c r="AO1442" t="s">
        <v>54</v>
      </c>
      <c r="AP1442" t="s">
        <v>53</v>
      </c>
      <c r="AQ1442">
        <v>0</v>
      </c>
      <c r="AR1442" t="s">
        <v>53</v>
      </c>
      <c r="AS1442">
        <v>0</v>
      </c>
      <c r="AT1442">
        <v>0</v>
      </c>
      <c r="AW1442" t="s">
        <v>58</v>
      </c>
      <c r="AX1442">
        <v>20</v>
      </c>
      <c r="AY1442" s="1">
        <v>36342</v>
      </c>
      <c r="AZ1442" s="1">
        <v>36342</v>
      </c>
      <c r="BA1442" s="1">
        <v>36342</v>
      </c>
      <c r="BB1442" s="1">
        <v>43647</v>
      </c>
      <c r="BC1442" t="s">
        <v>51</v>
      </c>
      <c r="BE1442" t="s">
        <v>54</v>
      </c>
      <c r="BF1442">
        <v>2</v>
      </c>
      <c r="BG1442">
        <v>0</v>
      </c>
      <c r="BH1442" t="s">
        <v>53</v>
      </c>
      <c r="BK1442" t="s">
        <v>59</v>
      </c>
      <c r="BL1442">
        <v>14000</v>
      </c>
      <c r="BM1442" s="1">
        <v>42917</v>
      </c>
      <c r="BN1442" s="1">
        <v>42917</v>
      </c>
      <c r="BO1442" s="1">
        <v>42917</v>
      </c>
      <c r="BP1442" s="1">
        <v>44117</v>
      </c>
      <c r="BQ1442" t="s">
        <v>51</v>
      </c>
      <c r="BS1442" t="s">
        <v>60</v>
      </c>
      <c r="BT1442" t="s">
        <v>54</v>
      </c>
      <c r="BU1442" t="s">
        <v>61</v>
      </c>
      <c r="BV1442" t="s">
        <v>62</v>
      </c>
      <c r="BX1442">
        <v>24</v>
      </c>
      <c r="BY1442">
        <v>0</v>
      </c>
      <c r="BZ1442">
        <v>0</v>
      </c>
    </row>
    <row r="1443" spans="1:99" x14ac:dyDescent="0.2">
      <c r="A1443" t="s">
        <v>180</v>
      </c>
      <c r="B1443" t="s">
        <v>181</v>
      </c>
      <c r="C1443" t="s">
        <v>184</v>
      </c>
      <c r="D1443" t="s">
        <v>775</v>
      </c>
      <c r="F1443" t="str">
        <f>"251115"</f>
        <v>251115</v>
      </c>
      <c r="G1443" t="s">
        <v>49</v>
      </c>
      <c r="H1443" t="s">
        <v>259</v>
      </c>
      <c r="K1443" t="s">
        <v>51</v>
      </c>
      <c r="L1443" t="s">
        <v>52</v>
      </c>
      <c r="M1443">
        <v>136579.34</v>
      </c>
      <c r="N1443">
        <v>472100.72</v>
      </c>
      <c r="O1443" t="s">
        <v>53</v>
      </c>
      <c r="P1443" t="s">
        <v>54</v>
      </c>
      <c r="Q1443" t="s">
        <v>55</v>
      </c>
      <c r="T1443" t="s">
        <v>588</v>
      </c>
      <c r="U1443">
        <v>40</v>
      </c>
      <c r="V1443" s="1">
        <v>23924</v>
      </c>
      <c r="W1443" s="1">
        <v>23924</v>
      </c>
      <c r="X1443" s="1">
        <v>23924</v>
      </c>
      <c r="Y1443" s="1">
        <v>38534</v>
      </c>
      <c r="Z1443" t="s">
        <v>51</v>
      </c>
      <c r="AB1443" t="s">
        <v>54</v>
      </c>
      <c r="AC1443">
        <v>1</v>
      </c>
      <c r="AE1443" t="s">
        <v>222</v>
      </c>
      <c r="AF1443">
        <v>20</v>
      </c>
      <c r="AG1443" s="1">
        <v>36342</v>
      </c>
      <c r="AH1443" s="1">
        <v>36342</v>
      </c>
      <c r="AI1443" s="1">
        <v>36342</v>
      </c>
      <c r="AJ1443" s="1">
        <v>43647</v>
      </c>
      <c r="AK1443" t="s">
        <v>51</v>
      </c>
      <c r="AN1443">
        <v>0</v>
      </c>
      <c r="AO1443" t="s">
        <v>54</v>
      </c>
      <c r="AP1443" t="s">
        <v>53</v>
      </c>
      <c r="AQ1443">
        <v>0</v>
      </c>
      <c r="AR1443" t="s">
        <v>53</v>
      </c>
      <c r="AS1443">
        <v>0</v>
      </c>
      <c r="AT1443">
        <v>0</v>
      </c>
      <c r="AW1443" t="s">
        <v>58</v>
      </c>
      <c r="AX1443">
        <v>20</v>
      </c>
      <c r="AY1443" s="1">
        <v>36342</v>
      </c>
      <c r="AZ1443" s="1">
        <v>36342</v>
      </c>
      <c r="BA1443" s="1">
        <v>36342</v>
      </c>
      <c r="BB1443" s="1">
        <v>43647</v>
      </c>
      <c r="BC1443" t="s">
        <v>51</v>
      </c>
      <c r="BE1443" t="s">
        <v>54</v>
      </c>
      <c r="BF1443">
        <v>2</v>
      </c>
      <c r="BG1443">
        <v>0</v>
      </c>
      <c r="BH1443" t="s">
        <v>53</v>
      </c>
      <c r="BK1443" t="s">
        <v>59</v>
      </c>
      <c r="BL1443">
        <v>14000</v>
      </c>
      <c r="BM1443" s="1">
        <v>42917</v>
      </c>
      <c r="BN1443" s="1">
        <v>42917</v>
      </c>
      <c r="BO1443" s="1">
        <v>42917</v>
      </c>
      <c r="BP1443" s="1">
        <v>44117</v>
      </c>
      <c r="BQ1443" t="s">
        <v>51</v>
      </c>
      <c r="BS1443" t="s">
        <v>60</v>
      </c>
      <c r="BT1443" t="s">
        <v>54</v>
      </c>
      <c r="BU1443" t="s">
        <v>61</v>
      </c>
      <c r="BV1443" t="s">
        <v>62</v>
      </c>
      <c r="BX1443">
        <v>24</v>
      </c>
      <c r="BY1443">
        <v>0</v>
      </c>
      <c r="BZ1443">
        <v>0</v>
      </c>
    </row>
    <row r="1444" spans="1:99" x14ac:dyDescent="0.2">
      <c r="A1444" t="s">
        <v>180</v>
      </c>
      <c r="B1444" t="s">
        <v>181</v>
      </c>
      <c r="C1444" t="s">
        <v>184</v>
      </c>
      <c r="D1444" t="s">
        <v>775</v>
      </c>
      <c r="F1444" t="str">
        <f>"251116"</f>
        <v>251116</v>
      </c>
      <c r="G1444" t="s">
        <v>49</v>
      </c>
      <c r="H1444" t="s">
        <v>163</v>
      </c>
      <c r="K1444" t="s">
        <v>51</v>
      </c>
      <c r="L1444" t="s">
        <v>52</v>
      </c>
      <c r="M1444">
        <v>136579.38</v>
      </c>
      <c r="N1444">
        <v>472115.75</v>
      </c>
      <c r="O1444" t="s">
        <v>53</v>
      </c>
      <c r="P1444" t="s">
        <v>54</v>
      </c>
      <c r="Q1444" t="s">
        <v>55</v>
      </c>
      <c r="T1444" t="s">
        <v>588</v>
      </c>
      <c r="U1444">
        <v>40</v>
      </c>
      <c r="V1444" s="1">
        <v>23924</v>
      </c>
      <c r="W1444" s="1">
        <v>23924</v>
      </c>
      <c r="X1444" s="1">
        <v>23924</v>
      </c>
      <c r="Y1444" s="1">
        <v>38534</v>
      </c>
      <c r="Z1444" t="s">
        <v>51</v>
      </c>
      <c r="AB1444" t="s">
        <v>54</v>
      </c>
      <c r="AC1444">
        <v>1</v>
      </c>
      <c r="AE1444" t="s">
        <v>222</v>
      </c>
      <c r="AF1444">
        <v>20</v>
      </c>
      <c r="AG1444" s="1">
        <v>36342</v>
      </c>
      <c r="AH1444" s="1">
        <v>36342</v>
      </c>
      <c r="AI1444" s="1">
        <v>36342</v>
      </c>
      <c r="AJ1444" s="1">
        <v>43647</v>
      </c>
      <c r="AK1444" t="s">
        <v>51</v>
      </c>
      <c r="AN1444">
        <v>0</v>
      </c>
      <c r="AO1444" t="s">
        <v>54</v>
      </c>
      <c r="AP1444" t="s">
        <v>53</v>
      </c>
      <c r="AQ1444">
        <v>0</v>
      </c>
      <c r="AR1444" t="s">
        <v>53</v>
      </c>
      <c r="AS1444">
        <v>0</v>
      </c>
      <c r="AT1444">
        <v>0</v>
      </c>
      <c r="AW1444" t="s">
        <v>58</v>
      </c>
      <c r="AX1444">
        <v>20</v>
      </c>
      <c r="AY1444" s="1">
        <v>36342</v>
      </c>
      <c r="AZ1444" s="1">
        <v>36342</v>
      </c>
      <c r="BA1444" s="1">
        <v>36342</v>
      </c>
      <c r="BB1444" s="1">
        <v>43647</v>
      </c>
      <c r="BC1444" t="s">
        <v>51</v>
      </c>
      <c r="BE1444" t="s">
        <v>54</v>
      </c>
      <c r="BF1444">
        <v>2</v>
      </c>
      <c r="BG1444">
        <v>0</v>
      </c>
      <c r="BH1444" t="s">
        <v>53</v>
      </c>
      <c r="BK1444" t="s">
        <v>59</v>
      </c>
      <c r="BL1444">
        <v>14000</v>
      </c>
      <c r="BM1444" s="1">
        <v>42917</v>
      </c>
      <c r="BN1444" s="1">
        <v>42917</v>
      </c>
      <c r="BO1444" s="1">
        <v>42917</v>
      </c>
      <c r="BP1444" s="1">
        <v>44117</v>
      </c>
      <c r="BQ1444" t="s">
        <v>51</v>
      </c>
      <c r="BS1444" t="s">
        <v>60</v>
      </c>
      <c r="BT1444" t="s">
        <v>54</v>
      </c>
      <c r="BU1444" t="s">
        <v>61</v>
      </c>
      <c r="BV1444" t="s">
        <v>62</v>
      </c>
      <c r="BX1444">
        <v>24</v>
      </c>
      <c r="BY1444">
        <v>0</v>
      </c>
      <c r="BZ1444">
        <v>0</v>
      </c>
    </row>
    <row r="1445" spans="1:99" x14ac:dyDescent="0.2">
      <c r="A1445" t="s">
        <v>180</v>
      </c>
      <c r="B1445" t="s">
        <v>181</v>
      </c>
      <c r="C1445" t="s">
        <v>184</v>
      </c>
      <c r="D1445" t="s">
        <v>775</v>
      </c>
      <c r="F1445" t="str">
        <f>"251117"</f>
        <v>251117</v>
      </c>
      <c r="G1445" t="s">
        <v>49</v>
      </c>
      <c r="H1445" t="s">
        <v>169</v>
      </c>
      <c r="K1445" t="s">
        <v>51</v>
      </c>
      <c r="L1445" t="s">
        <v>52</v>
      </c>
      <c r="M1445">
        <v>136589.88</v>
      </c>
      <c r="N1445">
        <v>472126.59</v>
      </c>
      <c r="O1445" t="s">
        <v>53</v>
      </c>
      <c r="P1445" t="s">
        <v>54</v>
      </c>
      <c r="Q1445" t="s">
        <v>55</v>
      </c>
      <c r="T1445" t="s">
        <v>588</v>
      </c>
      <c r="U1445">
        <v>40</v>
      </c>
      <c r="V1445" s="1">
        <v>23924</v>
      </c>
      <c r="W1445" s="1">
        <v>23924</v>
      </c>
      <c r="X1445" s="1">
        <v>23924</v>
      </c>
      <c r="Y1445" s="1">
        <v>38534</v>
      </c>
      <c r="Z1445" t="s">
        <v>51</v>
      </c>
      <c r="AB1445" t="s">
        <v>54</v>
      </c>
      <c r="AC1445">
        <v>1</v>
      </c>
      <c r="AE1445" t="s">
        <v>222</v>
      </c>
      <c r="AF1445">
        <v>20</v>
      </c>
      <c r="AG1445" s="1">
        <v>36342</v>
      </c>
      <c r="AH1445" s="1">
        <v>36342</v>
      </c>
      <c r="AI1445" s="1">
        <v>36342</v>
      </c>
      <c r="AJ1445" s="1">
        <v>43647</v>
      </c>
      <c r="AK1445" t="s">
        <v>51</v>
      </c>
      <c r="AN1445">
        <v>0</v>
      </c>
      <c r="AO1445" t="s">
        <v>54</v>
      </c>
      <c r="AP1445" t="s">
        <v>53</v>
      </c>
      <c r="AQ1445">
        <v>0</v>
      </c>
      <c r="AR1445" t="s">
        <v>53</v>
      </c>
      <c r="AS1445">
        <v>0</v>
      </c>
      <c r="AT1445">
        <v>0</v>
      </c>
      <c r="AW1445" t="s">
        <v>58</v>
      </c>
      <c r="AX1445">
        <v>20</v>
      </c>
      <c r="AY1445" s="1">
        <v>36342</v>
      </c>
      <c r="AZ1445" s="1">
        <v>36342</v>
      </c>
      <c r="BA1445" s="1">
        <v>36342</v>
      </c>
      <c r="BB1445" s="1">
        <v>43647</v>
      </c>
      <c r="BC1445" t="s">
        <v>51</v>
      </c>
      <c r="BE1445" t="s">
        <v>54</v>
      </c>
      <c r="BF1445">
        <v>2</v>
      </c>
      <c r="BG1445">
        <v>0</v>
      </c>
      <c r="BH1445" t="s">
        <v>53</v>
      </c>
      <c r="BK1445" t="s">
        <v>59</v>
      </c>
      <c r="BL1445">
        <v>14000</v>
      </c>
      <c r="BM1445" s="1">
        <v>42917</v>
      </c>
      <c r="BN1445" s="1">
        <v>42917</v>
      </c>
      <c r="BO1445" s="1">
        <v>42917</v>
      </c>
      <c r="BP1445" s="1">
        <v>44117</v>
      </c>
      <c r="BQ1445" t="s">
        <v>51</v>
      </c>
      <c r="BS1445" t="s">
        <v>60</v>
      </c>
      <c r="BT1445" t="s">
        <v>54</v>
      </c>
      <c r="BU1445" t="s">
        <v>61</v>
      </c>
      <c r="BV1445" t="s">
        <v>62</v>
      </c>
      <c r="BX1445">
        <v>24</v>
      </c>
      <c r="BY1445">
        <v>0</v>
      </c>
      <c r="BZ1445">
        <v>0</v>
      </c>
    </row>
    <row r="1446" spans="1:99" x14ac:dyDescent="0.2">
      <c r="A1446" t="s">
        <v>180</v>
      </c>
      <c r="B1446" t="s">
        <v>181</v>
      </c>
      <c r="C1446" t="s">
        <v>184</v>
      </c>
      <c r="D1446" t="s">
        <v>775</v>
      </c>
      <c r="F1446" t="str">
        <f>"251118"</f>
        <v>251118</v>
      </c>
      <c r="G1446" t="s">
        <v>49</v>
      </c>
      <c r="H1446" t="s">
        <v>233</v>
      </c>
      <c r="K1446" t="s">
        <v>51</v>
      </c>
      <c r="L1446" t="s">
        <v>52</v>
      </c>
      <c r="M1446">
        <v>136599.34</v>
      </c>
      <c r="N1446">
        <v>472138.03</v>
      </c>
      <c r="O1446" t="s">
        <v>53</v>
      </c>
      <c r="P1446" t="s">
        <v>54</v>
      </c>
      <c r="Q1446" t="s">
        <v>55</v>
      </c>
      <c r="T1446" t="s">
        <v>588</v>
      </c>
      <c r="U1446">
        <v>40</v>
      </c>
      <c r="V1446" s="1">
        <v>23924</v>
      </c>
      <c r="W1446" s="1">
        <v>23924</v>
      </c>
      <c r="X1446" s="1">
        <v>23924</v>
      </c>
      <c r="Y1446" s="1">
        <v>38534</v>
      </c>
      <c r="Z1446" t="s">
        <v>51</v>
      </c>
      <c r="AB1446" t="s">
        <v>54</v>
      </c>
      <c r="AC1446">
        <v>1</v>
      </c>
      <c r="AE1446" t="s">
        <v>222</v>
      </c>
      <c r="AF1446">
        <v>20</v>
      </c>
      <c r="AG1446" s="1">
        <v>36342</v>
      </c>
      <c r="AH1446" s="1">
        <v>36342</v>
      </c>
      <c r="AI1446" s="1">
        <v>36342</v>
      </c>
      <c r="AJ1446" s="1">
        <v>43647</v>
      </c>
      <c r="AK1446" t="s">
        <v>51</v>
      </c>
      <c r="AN1446">
        <v>0</v>
      </c>
      <c r="AO1446" t="s">
        <v>54</v>
      </c>
      <c r="AP1446" t="s">
        <v>53</v>
      </c>
      <c r="AQ1446">
        <v>0</v>
      </c>
      <c r="AR1446" t="s">
        <v>53</v>
      </c>
      <c r="AS1446">
        <v>0</v>
      </c>
      <c r="AT1446">
        <v>0</v>
      </c>
      <c r="AW1446" t="s">
        <v>58</v>
      </c>
      <c r="AX1446">
        <v>20</v>
      </c>
      <c r="AY1446" s="1">
        <v>36342</v>
      </c>
      <c r="AZ1446" s="1">
        <v>36342</v>
      </c>
      <c r="BA1446" s="1">
        <v>36342</v>
      </c>
      <c r="BB1446" s="1">
        <v>43647</v>
      </c>
      <c r="BC1446" t="s">
        <v>51</v>
      </c>
      <c r="BE1446" t="s">
        <v>54</v>
      </c>
      <c r="BF1446">
        <v>2</v>
      </c>
      <c r="BG1446">
        <v>0</v>
      </c>
      <c r="BH1446" t="s">
        <v>53</v>
      </c>
      <c r="BK1446" t="s">
        <v>59</v>
      </c>
      <c r="BL1446">
        <v>14000</v>
      </c>
      <c r="BM1446" s="1">
        <v>42917</v>
      </c>
      <c r="BN1446" s="1">
        <v>42917</v>
      </c>
      <c r="BO1446" s="1">
        <v>42917</v>
      </c>
      <c r="BP1446" s="1">
        <v>44117</v>
      </c>
      <c r="BQ1446" t="s">
        <v>51</v>
      </c>
      <c r="BS1446" t="s">
        <v>60</v>
      </c>
      <c r="BT1446" t="s">
        <v>54</v>
      </c>
      <c r="BU1446" t="s">
        <v>61</v>
      </c>
      <c r="BV1446" t="s">
        <v>62</v>
      </c>
      <c r="BX1446">
        <v>24</v>
      </c>
      <c r="BY1446">
        <v>0</v>
      </c>
      <c r="BZ1446">
        <v>0</v>
      </c>
    </row>
    <row r="1447" spans="1:99" x14ac:dyDescent="0.2">
      <c r="A1447" t="s">
        <v>180</v>
      </c>
      <c r="B1447" t="s">
        <v>181</v>
      </c>
      <c r="C1447" t="s">
        <v>184</v>
      </c>
      <c r="D1447" t="s">
        <v>776</v>
      </c>
      <c r="F1447" t="str">
        <f>"251119"</f>
        <v>251119</v>
      </c>
      <c r="G1447" t="s">
        <v>49</v>
      </c>
      <c r="K1447" t="s">
        <v>51</v>
      </c>
      <c r="L1447" t="s">
        <v>52</v>
      </c>
      <c r="M1447">
        <v>136808.66</v>
      </c>
      <c r="N1447">
        <v>472251.77</v>
      </c>
      <c r="O1447" t="s">
        <v>53</v>
      </c>
      <c r="P1447" t="s">
        <v>54</v>
      </c>
      <c r="Q1447" t="s">
        <v>55</v>
      </c>
      <c r="T1447" t="s">
        <v>241</v>
      </c>
      <c r="U1447">
        <v>40</v>
      </c>
      <c r="V1447" s="1">
        <v>32325</v>
      </c>
      <c r="W1447" s="1">
        <v>32325</v>
      </c>
      <c r="X1447" s="1">
        <v>32325</v>
      </c>
      <c r="Y1447" s="1">
        <v>46935</v>
      </c>
      <c r="Z1447" t="s">
        <v>51</v>
      </c>
      <c r="AB1447" t="s">
        <v>54</v>
      </c>
      <c r="AC1447">
        <v>1</v>
      </c>
      <c r="AE1447" t="s">
        <v>222</v>
      </c>
      <c r="AF1447">
        <v>20</v>
      </c>
      <c r="AG1447" s="1">
        <v>38169</v>
      </c>
      <c r="AH1447" s="1">
        <v>38169</v>
      </c>
      <c r="AI1447" s="1">
        <v>38169</v>
      </c>
      <c r="AJ1447" s="1">
        <v>45474</v>
      </c>
      <c r="AK1447" t="s">
        <v>51</v>
      </c>
      <c r="AN1447">
        <v>0</v>
      </c>
      <c r="AO1447" t="s">
        <v>54</v>
      </c>
      <c r="AP1447" t="s">
        <v>53</v>
      </c>
      <c r="AQ1447">
        <v>0</v>
      </c>
      <c r="AR1447" t="s">
        <v>53</v>
      </c>
      <c r="AS1447">
        <v>0</v>
      </c>
      <c r="AT1447">
        <v>0</v>
      </c>
      <c r="AW1447" t="s">
        <v>58</v>
      </c>
      <c r="AX1447">
        <v>20</v>
      </c>
      <c r="AY1447" s="1">
        <v>38169</v>
      </c>
      <c r="AZ1447" s="1">
        <v>38169</v>
      </c>
      <c r="BA1447" s="1">
        <v>38169</v>
      </c>
      <c r="BB1447" s="1">
        <v>45474</v>
      </c>
      <c r="BC1447" t="s">
        <v>51</v>
      </c>
      <c r="BE1447" t="s">
        <v>54</v>
      </c>
      <c r="BF1447">
        <v>2</v>
      </c>
      <c r="BG1447">
        <v>0</v>
      </c>
      <c r="BH1447" t="s">
        <v>53</v>
      </c>
      <c r="BK1447" t="s">
        <v>59</v>
      </c>
      <c r="BL1447">
        <v>14000</v>
      </c>
      <c r="BM1447" s="1">
        <v>42917</v>
      </c>
      <c r="BN1447" s="1">
        <v>42917</v>
      </c>
      <c r="BO1447" s="1">
        <v>42917</v>
      </c>
      <c r="BP1447" s="1">
        <v>44117</v>
      </c>
      <c r="BQ1447" t="s">
        <v>51</v>
      </c>
      <c r="BS1447" t="s">
        <v>60</v>
      </c>
      <c r="BT1447" t="s">
        <v>54</v>
      </c>
      <c r="BU1447" t="s">
        <v>61</v>
      </c>
      <c r="BV1447" t="s">
        <v>62</v>
      </c>
      <c r="BX1447">
        <v>24</v>
      </c>
      <c r="BY1447">
        <v>0</v>
      </c>
      <c r="BZ1447">
        <v>0</v>
      </c>
    </row>
    <row r="1448" spans="1:99" x14ac:dyDescent="0.2">
      <c r="A1448" t="s">
        <v>180</v>
      </c>
      <c r="B1448" t="s">
        <v>181</v>
      </c>
      <c r="C1448" t="s">
        <v>184</v>
      </c>
      <c r="D1448" t="s">
        <v>776</v>
      </c>
      <c r="F1448" t="str">
        <f>"251120"</f>
        <v>251120</v>
      </c>
      <c r="G1448" t="s">
        <v>49</v>
      </c>
      <c r="K1448" t="s">
        <v>51</v>
      </c>
      <c r="L1448" t="s">
        <v>52</v>
      </c>
      <c r="M1448">
        <v>136795.06700000001</v>
      </c>
      <c r="N1448">
        <v>472264.989</v>
      </c>
      <c r="O1448" t="s">
        <v>53</v>
      </c>
      <c r="P1448" t="s">
        <v>54</v>
      </c>
      <c r="Q1448" t="s">
        <v>55</v>
      </c>
      <c r="T1448" t="s">
        <v>241</v>
      </c>
      <c r="U1448">
        <v>40</v>
      </c>
      <c r="V1448" s="1">
        <v>32325</v>
      </c>
      <c r="W1448" s="1">
        <v>32325</v>
      </c>
      <c r="X1448" s="1">
        <v>32325</v>
      </c>
      <c r="Y1448" s="1">
        <v>46935</v>
      </c>
      <c r="Z1448" t="s">
        <v>51</v>
      </c>
      <c r="AB1448" t="s">
        <v>54</v>
      </c>
      <c r="AC1448">
        <v>1</v>
      </c>
      <c r="AE1448" t="s">
        <v>222</v>
      </c>
      <c r="AF1448">
        <v>20</v>
      </c>
      <c r="AG1448" s="1">
        <v>38169</v>
      </c>
      <c r="AH1448" s="1">
        <v>38169</v>
      </c>
      <c r="AI1448" s="1">
        <v>38169</v>
      </c>
      <c r="AJ1448" s="1">
        <v>45474</v>
      </c>
      <c r="AK1448" t="s">
        <v>51</v>
      </c>
      <c r="AN1448">
        <v>0</v>
      </c>
      <c r="AO1448" t="s">
        <v>54</v>
      </c>
      <c r="AP1448" t="s">
        <v>53</v>
      </c>
      <c r="AQ1448">
        <v>0</v>
      </c>
      <c r="AR1448" t="s">
        <v>53</v>
      </c>
      <c r="AS1448">
        <v>0</v>
      </c>
      <c r="AT1448">
        <v>0</v>
      </c>
      <c r="AW1448" t="s">
        <v>58</v>
      </c>
      <c r="AX1448">
        <v>20</v>
      </c>
      <c r="AY1448" s="1">
        <v>38169</v>
      </c>
      <c r="AZ1448" s="1">
        <v>38169</v>
      </c>
      <c r="BA1448" s="1">
        <v>38169</v>
      </c>
      <c r="BB1448" s="1">
        <v>45474</v>
      </c>
      <c r="BC1448" t="s">
        <v>51</v>
      </c>
      <c r="BE1448" t="s">
        <v>54</v>
      </c>
      <c r="BF1448">
        <v>2</v>
      </c>
      <c r="BG1448">
        <v>0</v>
      </c>
      <c r="BH1448" t="s">
        <v>53</v>
      </c>
      <c r="BK1448" t="s">
        <v>59</v>
      </c>
      <c r="BL1448">
        <v>14000</v>
      </c>
      <c r="BM1448" s="1">
        <v>42917</v>
      </c>
      <c r="BN1448" s="1">
        <v>42917</v>
      </c>
      <c r="BO1448" s="1">
        <v>42917</v>
      </c>
      <c r="BP1448" s="1">
        <v>44117</v>
      </c>
      <c r="BQ1448" t="s">
        <v>51</v>
      </c>
      <c r="BS1448" t="s">
        <v>60</v>
      </c>
      <c r="BT1448" t="s">
        <v>54</v>
      </c>
      <c r="BU1448" t="s">
        <v>61</v>
      </c>
      <c r="BV1448" t="s">
        <v>62</v>
      </c>
      <c r="BX1448">
        <v>24</v>
      </c>
      <c r="BY1448">
        <v>0</v>
      </c>
      <c r="BZ1448">
        <v>0</v>
      </c>
    </row>
    <row r="1449" spans="1:99" x14ac:dyDescent="0.2">
      <c r="A1449" t="s">
        <v>180</v>
      </c>
      <c r="B1449" t="s">
        <v>181</v>
      </c>
      <c r="C1449" t="s">
        <v>184</v>
      </c>
      <c r="D1449" t="s">
        <v>776</v>
      </c>
      <c r="F1449" t="str">
        <f>"251121"</f>
        <v>251121</v>
      </c>
      <c r="G1449" t="s">
        <v>49</v>
      </c>
      <c r="K1449" t="s">
        <v>51</v>
      </c>
      <c r="L1449" t="s">
        <v>52</v>
      </c>
      <c r="M1449">
        <v>136789.12</v>
      </c>
      <c r="N1449">
        <v>472246.36</v>
      </c>
      <c r="O1449" t="s">
        <v>53</v>
      </c>
      <c r="P1449" t="s">
        <v>54</v>
      </c>
      <c r="Q1449" t="s">
        <v>55</v>
      </c>
      <c r="T1449" t="s">
        <v>241</v>
      </c>
      <c r="U1449">
        <v>40</v>
      </c>
      <c r="V1449" s="1">
        <v>32325</v>
      </c>
      <c r="W1449" s="1">
        <v>32325</v>
      </c>
      <c r="X1449" s="1">
        <v>32325</v>
      </c>
      <c r="Y1449" s="1">
        <v>46935</v>
      </c>
      <c r="Z1449" t="s">
        <v>51</v>
      </c>
      <c r="AB1449" t="s">
        <v>54</v>
      </c>
      <c r="AC1449">
        <v>1</v>
      </c>
      <c r="AE1449" t="s">
        <v>222</v>
      </c>
      <c r="AF1449">
        <v>20</v>
      </c>
      <c r="AG1449" s="1">
        <v>38169</v>
      </c>
      <c r="AH1449" s="1">
        <v>38169</v>
      </c>
      <c r="AI1449" s="1">
        <v>38169</v>
      </c>
      <c r="AJ1449" s="1">
        <v>45474</v>
      </c>
      <c r="AK1449" t="s">
        <v>51</v>
      </c>
      <c r="AN1449">
        <v>0</v>
      </c>
      <c r="AO1449" t="s">
        <v>54</v>
      </c>
      <c r="AP1449" t="s">
        <v>53</v>
      </c>
      <c r="AQ1449">
        <v>0</v>
      </c>
      <c r="AR1449" t="s">
        <v>53</v>
      </c>
      <c r="AS1449">
        <v>0</v>
      </c>
      <c r="AT1449">
        <v>0</v>
      </c>
      <c r="AW1449" t="s">
        <v>58</v>
      </c>
      <c r="AX1449">
        <v>20</v>
      </c>
      <c r="AY1449" s="1">
        <v>38169</v>
      </c>
      <c r="AZ1449" s="1">
        <v>38169</v>
      </c>
      <c r="BA1449" s="1">
        <v>38169</v>
      </c>
      <c r="BB1449" s="1">
        <v>45474</v>
      </c>
      <c r="BC1449" t="s">
        <v>51</v>
      </c>
      <c r="BE1449" t="s">
        <v>54</v>
      </c>
      <c r="BF1449">
        <v>2</v>
      </c>
      <c r="BG1449">
        <v>0</v>
      </c>
      <c r="BH1449" t="s">
        <v>53</v>
      </c>
      <c r="BK1449" t="s">
        <v>59</v>
      </c>
      <c r="BL1449">
        <v>14000</v>
      </c>
      <c r="BM1449" s="1">
        <v>42917</v>
      </c>
      <c r="BN1449" s="1">
        <v>42917</v>
      </c>
      <c r="BO1449" s="1">
        <v>42917</v>
      </c>
      <c r="BP1449" s="1">
        <v>44117</v>
      </c>
      <c r="BQ1449" t="s">
        <v>51</v>
      </c>
      <c r="BS1449" t="s">
        <v>60</v>
      </c>
      <c r="BT1449" t="s">
        <v>54</v>
      </c>
      <c r="BU1449" t="s">
        <v>61</v>
      </c>
      <c r="BV1449" t="s">
        <v>62</v>
      </c>
      <c r="BX1449">
        <v>24</v>
      </c>
      <c r="BY1449">
        <v>0</v>
      </c>
      <c r="BZ1449">
        <v>0</v>
      </c>
    </row>
    <row r="1450" spans="1:99" x14ac:dyDescent="0.2">
      <c r="A1450" t="s">
        <v>180</v>
      </c>
      <c r="B1450" t="s">
        <v>181</v>
      </c>
      <c r="C1450" t="s">
        <v>184</v>
      </c>
      <c r="D1450" t="s">
        <v>776</v>
      </c>
      <c r="F1450" t="str">
        <f>"251122"</f>
        <v>251122</v>
      </c>
      <c r="G1450" t="s">
        <v>49</v>
      </c>
      <c r="K1450" t="s">
        <v>51</v>
      </c>
      <c r="L1450" t="s">
        <v>52</v>
      </c>
      <c r="M1450">
        <v>136757.31</v>
      </c>
      <c r="N1450">
        <v>472257.91</v>
      </c>
      <c r="O1450" t="s">
        <v>53</v>
      </c>
      <c r="P1450" t="s">
        <v>54</v>
      </c>
      <c r="Q1450" t="s">
        <v>55</v>
      </c>
      <c r="T1450" t="s">
        <v>241</v>
      </c>
      <c r="U1450">
        <v>40</v>
      </c>
      <c r="V1450" s="1">
        <v>32325</v>
      </c>
      <c r="W1450" s="1">
        <v>32325</v>
      </c>
      <c r="X1450" s="1">
        <v>32325</v>
      </c>
      <c r="Y1450" s="1">
        <v>46935</v>
      </c>
      <c r="Z1450" t="s">
        <v>51</v>
      </c>
      <c r="AB1450" t="s">
        <v>54</v>
      </c>
      <c r="AC1450">
        <v>1</v>
      </c>
      <c r="AE1450" t="s">
        <v>222</v>
      </c>
      <c r="AF1450">
        <v>20</v>
      </c>
      <c r="AG1450" s="1">
        <v>38169</v>
      </c>
      <c r="AH1450" s="1">
        <v>38169</v>
      </c>
      <c r="AI1450" s="1">
        <v>38169</v>
      </c>
      <c r="AJ1450" s="1">
        <v>45474</v>
      </c>
      <c r="AK1450" t="s">
        <v>51</v>
      </c>
      <c r="AN1450">
        <v>0</v>
      </c>
      <c r="AO1450" t="s">
        <v>54</v>
      </c>
      <c r="AP1450" t="s">
        <v>53</v>
      </c>
      <c r="AQ1450">
        <v>0</v>
      </c>
      <c r="AR1450" t="s">
        <v>53</v>
      </c>
      <c r="AS1450">
        <v>0</v>
      </c>
      <c r="AT1450">
        <v>0</v>
      </c>
      <c r="AW1450" t="s">
        <v>58</v>
      </c>
      <c r="AX1450">
        <v>20</v>
      </c>
      <c r="AY1450" s="1">
        <v>38169</v>
      </c>
      <c r="AZ1450" s="1">
        <v>38169</v>
      </c>
      <c r="BA1450" s="1">
        <v>38169</v>
      </c>
      <c r="BB1450" s="1">
        <v>45474</v>
      </c>
      <c r="BC1450" t="s">
        <v>51</v>
      </c>
      <c r="BE1450" t="s">
        <v>54</v>
      </c>
      <c r="BF1450">
        <v>2</v>
      </c>
      <c r="BG1450">
        <v>0</v>
      </c>
      <c r="BH1450" t="s">
        <v>53</v>
      </c>
      <c r="BK1450" t="s">
        <v>59</v>
      </c>
      <c r="BL1450">
        <v>14000</v>
      </c>
      <c r="BM1450" s="1">
        <v>42917</v>
      </c>
      <c r="BN1450" s="1">
        <v>42917</v>
      </c>
      <c r="BO1450" s="1">
        <v>42917</v>
      </c>
      <c r="BP1450" s="1">
        <v>44117</v>
      </c>
      <c r="BQ1450" t="s">
        <v>51</v>
      </c>
      <c r="BS1450" t="s">
        <v>60</v>
      </c>
      <c r="BT1450" t="s">
        <v>54</v>
      </c>
      <c r="BU1450" t="s">
        <v>61</v>
      </c>
      <c r="BV1450" t="s">
        <v>62</v>
      </c>
      <c r="BX1450">
        <v>24</v>
      </c>
      <c r="BY1450">
        <v>0</v>
      </c>
      <c r="BZ1450">
        <v>0</v>
      </c>
    </row>
    <row r="1451" spans="1:99" x14ac:dyDescent="0.2">
      <c r="A1451" t="s">
        <v>180</v>
      </c>
      <c r="B1451" t="s">
        <v>181</v>
      </c>
      <c r="C1451" t="s">
        <v>184</v>
      </c>
      <c r="D1451" t="s">
        <v>776</v>
      </c>
      <c r="F1451" t="str">
        <f>"251123"</f>
        <v>251123</v>
      </c>
      <c r="G1451" t="s">
        <v>49</v>
      </c>
      <c r="K1451" t="s">
        <v>51</v>
      </c>
      <c r="L1451" t="s">
        <v>52</v>
      </c>
      <c r="M1451">
        <v>136755.92000000001</v>
      </c>
      <c r="N1451">
        <v>472241.23</v>
      </c>
      <c r="O1451" t="s">
        <v>53</v>
      </c>
      <c r="P1451" t="s">
        <v>54</v>
      </c>
      <c r="Q1451" t="s">
        <v>55</v>
      </c>
      <c r="T1451" t="s">
        <v>241</v>
      </c>
      <c r="U1451">
        <v>40</v>
      </c>
      <c r="V1451" s="1">
        <v>32325</v>
      </c>
      <c r="W1451" s="1">
        <v>32325</v>
      </c>
      <c r="X1451" s="1">
        <v>32325</v>
      </c>
      <c r="Y1451" s="1">
        <v>46935</v>
      </c>
      <c r="Z1451" t="s">
        <v>51</v>
      </c>
      <c r="AB1451" t="s">
        <v>54</v>
      </c>
      <c r="AC1451">
        <v>1</v>
      </c>
      <c r="AE1451" t="s">
        <v>222</v>
      </c>
      <c r="AF1451">
        <v>20</v>
      </c>
      <c r="AG1451" s="1">
        <v>38169</v>
      </c>
      <c r="AH1451" s="1">
        <v>38169</v>
      </c>
      <c r="AI1451" s="1">
        <v>38169</v>
      </c>
      <c r="AJ1451" s="1">
        <v>45474</v>
      </c>
      <c r="AK1451" t="s">
        <v>51</v>
      </c>
      <c r="AN1451">
        <v>0</v>
      </c>
      <c r="AO1451" t="s">
        <v>54</v>
      </c>
      <c r="AP1451" t="s">
        <v>53</v>
      </c>
      <c r="AQ1451">
        <v>0</v>
      </c>
      <c r="AR1451" t="s">
        <v>53</v>
      </c>
      <c r="AS1451">
        <v>0</v>
      </c>
      <c r="AT1451">
        <v>0</v>
      </c>
      <c r="AW1451" t="s">
        <v>58</v>
      </c>
      <c r="AX1451">
        <v>20</v>
      </c>
      <c r="AY1451" s="1">
        <v>38169</v>
      </c>
      <c r="AZ1451" s="1">
        <v>38169</v>
      </c>
      <c r="BA1451" s="1">
        <v>38169</v>
      </c>
      <c r="BB1451" s="1">
        <v>45474</v>
      </c>
      <c r="BC1451" t="s">
        <v>51</v>
      </c>
      <c r="BE1451" t="s">
        <v>54</v>
      </c>
      <c r="BF1451">
        <v>2</v>
      </c>
      <c r="BG1451">
        <v>0</v>
      </c>
      <c r="BH1451" t="s">
        <v>53</v>
      </c>
      <c r="BK1451" t="s">
        <v>59</v>
      </c>
      <c r="BL1451">
        <v>14000</v>
      </c>
      <c r="BM1451" s="1">
        <v>42917</v>
      </c>
      <c r="BN1451" s="1">
        <v>42917</v>
      </c>
      <c r="BO1451" s="1">
        <v>42917</v>
      </c>
      <c r="BP1451" s="1">
        <v>44117</v>
      </c>
      <c r="BQ1451" t="s">
        <v>51</v>
      </c>
      <c r="BS1451" t="s">
        <v>60</v>
      </c>
      <c r="BT1451" t="s">
        <v>54</v>
      </c>
      <c r="BU1451" t="s">
        <v>61</v>
      </c>
      <c r="BV1451" t="s">
        <v>62</v>
      </c>
      <c r="BX1451">
        <v>24</v>
      </c>
      <c r="BY1451">
        <v>0</v>
      </c>
      <c r="BZ1451">
        <v>0</v>
      </c>
    </row>
    <row r="1452" spans="1:99" x14ac:dyDescent="0.2">
      <c r="A1452" t="s">
        <v>180</v>
      </c>
      <c r="B1452" t="s">
        <v>181</v>
      </c>
      <c r="C1452" t="s">
        <v>184</v>
      </c>
      <c r="D1452" t="s">
        <v>776</v>
      </c>
      <c r="F1452" t="str">
        <f>"251124"</f>
        <v>251124</v>
      </c>
      <c r="G1452" t="s">
        <v>49</v>
      </c>
      <c r="K1452" t="s">
        <v>51</v>
      </c>
      <c r="L1452" t="s">
        <v>52</v>
      </c>
      <c r="M1452">
        <v>136729.32999999999</v>
      </c>
      <c r="N1452">
        <v>472272</v>
      </c>
      <c r="O1452" t="s">
        <v>53</v>
      </c>
      <c r="P1452" t="s">
        <v>54</v>
      </c>
      <c r="Q1452" t="s">
        <v>55</v>
      </c>
      <c r="T1452" t="s">
        <v>241</v>
      </c>
      <c r="U1452">
        <v>40</v>
      </c>
      <c r="V1452" s="1">
        <v>32325</v>
      </c>
      <c r="W1452" s="1">
        <v>32325</v>
      </c>
      <c r="X1452" s="1">
        <v>32325</v>
      </c>
      <c r="Y1452" s="1">
        <v>46935</v>
      </c>
      <c r="Z1452" t="s">
        <v>51</v>
      </c>
      <c r="AB1452" t="s">
        <v>54</v>
      </c>
      <c r="AC1452">
        <v>1</v>
      </c>
      <c r="AE1452" t="s">
        <v>222</v>
      </c>
      <c r="AF1452">
        <v>20</v>
      </c>
      <c r="AG1452" s="1">
        <v>38169</v>
      </c>
      <c r="AH1452" s="1">
        <v>38169</v>
      </c>
      <c r="AI1452" s="1">
        <v>38169</v>
      </c>
      <c r="AJ1452" s="1">
        <v>45474</v>
      </c>
      <c r="AK1452" t="s">
        <v>51</v>
      </c>
      <c r="AN1452">
        <v>0</v>
      </c>
      <c r="AO1452" t="s">
        <v>54</v>
      </c>
      <c r="AP1452" t="s">
        <v>53</v>
      </c>
      <c r="AQ1452">
        <v>0</v>
      </c>
      <c r="AR1452" t="s">
        <v>53</v>
      </c>
      <c r="AS1452">
        <v>0</v>
      </c>
      <c r="AT1452">
        <v>0</v>
      </c>
      <c r="AW1452" t="s">
        <v>58</v>
      </c>
      <c r="AX1452">
        <v>20</v>
      </c>
      <c r="AY1452" s="1">
        <v>38169</v>
      </c>
      <c r="AZ1452" s="1">
        <v>38169</v>
      </c>
      <c r="BA1452" s="1">
        <v>38169</v>
      </c>
      <c r="BB1452" s="1">
        <v>45474</v>
      </c>
      <c r="BC1452" t="s">
        <v>51</v>
      </c>
      <c r="BE1452" t="s">
        <v>54</v>
      </c>
      <c r="BF1452">
        <v>2</v>
      </c>
      <c r="BG1452">
        <v>0</v>
      </c>
      <c r="BH1452" t="s">
        <v>53</v>
      </c>
      <c r="BK1452" t="s">
        <v>59</v>
      </c>
      <c r="BL1452">
        <v>14000</v>
      </c>
      <c r="BM1452" s="1">
        <v>42917</v>
      </c>
      <c r="BN1452" s="1">
        <v>42917</v>
      </c>
      <c r="BO1452" s="1">
        <v>42917</v>
      </c>
      <c r="BP1452" s="1">
        <v>44117</v>
      </c>
      <c r="BQ1452" t="s">
        <v>51</v>
      </c>
      <c r="BS1452" t="s">
        <v>60</v>
      </c>
      <c r="BT1452" t="s">
        <v>54</v>
      </c>
      <c r="BU1452" t="s">
        <v>61</v>
      </c>
      <c r="BV1452" t="s">
        <v>62</v>
      </c>
      <c r="BX1452">
        <v>24</v>
      </c>
      <c r="BY1452">
        <v>0</v>
      </c>
      <c r="BZ1452">
        <v>0</v>
      </c>
    </row>
    <row r="1453" spans="1:99" x14ac:dyDescent="0.2">
      <c r="A1453" t="s">
        <v>180</v>
      </c>
      <c r="B1453" t="s">
        <v>181</v>
      </c>
      <c r="C1453" t="s">
        <v>184</v>
      </c>
      <c r="D1453" t="s">
        <v>776</v>
      </c>
      <c r="F1453" t="str">
        <f>"251125"</f>
        <v>251125</v>
      </c>
      <c r="G1453" t="s">
        <v>49</v>
      </c>
      <c r="K1453" t="s">
        <v>51</v>
      </c>
      <c r="L1453" t="s">
        <v>52</v>
      </c>
      <c r="M1453">
        <v>136706.94</v>
      </c>
      <c r="N1453">
        <v>472270.39</v>
      </c>
      <c r="O1453" t="s">
        <v>53</v>
      </c>
      <c r="P1453" t="s">
        <v>54</v>
      </c>
      <c r="Q1453" t="s">
        <v>55</v>
      </c>
      <c r="T1453" t="s">
        <v>241</v>
      </c>
      <c r="U1453">
        <v>40</v>
      </c>
      <c r="V1453" s="1">
        <v>32325</v>
      </c>
      <c r="W1453" s="1">
        <v>32325</v>
      </c>
      <c r="X1453" s="1">
        <v>32325</v>
      </c>
      <c r="Y1453" s="1">
        <v>46935</v>
      </c>
      <c r="Z1453" t="s">
        <v>51</v>
      </c>
      <c r="AB1453" t="s">
        <v>54</v>
      </c>
      <c r="AC1453">
        <v>1</v>
      </c>
      <c r="AE1453" t="s">
        <v>222</v>
      </c>
      <c r="AF1453">
        <v>20</v>
      </c>
      <c r="AG1453" s="1">
        <v>38169</v>
      </c>
      <c r="AH1453" s="1">
        <v>38169</v>
      </c>
      <c r="AI1453" s="1">
        <v>38169</v>
      </c>
      <c r="AJ1453" s="1">
        <v>45474</v>
      </c>
      <c r="AK1453" t="s">
        <v>51</v>
      </c>
      <c r="AN1453">
        <v>0</v>
      </c>
      <c r="AO1453" t="s">
        <v>54</v>
      </c>
      <c r="AP1453" t="s">
        <v>53</v>
      </c>
      <c r="AQ1453">
        <v>0</v>
      </c>
      <c r="AR1453" t="s">
        <v>53</v>
      </c>
      <c r="AS1453">
        <v>0</v>
      </c>
      <c r="AT1453">
        <v>0</v>
      </c>
      <c r="AW1453" t="s">
        <v>58</v>
      </c>
      <c r="AX1453">
        <v>20</v>
      </c>
      <c r="AY1453" s="1">
        <v>38169</v>
      </c>
      <c r="AZ1453" s="1">
        <v>38169</v>
      </c>
      <c r="BA1453" s="1">
        <v>38169</v>
      </c>
      <c r="BB1453" s="1">
        <v>45474</v>
      </c>
      <c r="BC1453" t="s">
        <v>51</v>
      </c>
      <c r="BE1453" t="s">
        <v>54</v>
      </c>
      <c r="BF1453">
        <v>2</v>
      </c>
      <c r="BG1453">
        <v>0</v>
      </c>
      <c r="BH1453" t="s">
        <v>53</v>
      </c>
      <c r="BK1453" t="s">
        <v>59</v>
      </c>
      <c r="BL1453">
        <v>14000</v>
      </c>
      <c r="BM1453" s="1">
        <v>42917</v>
      </c>
      <c r="BN1453" s="1">
        <v>42917</v>
      </c>
      <c r="BO1453" s="1">
        <v>42917</v>
      </c>
      <c r="BP1453" s="1">
        <v>44117</v>
      </c>
      <c r="BQ1453" t="s">
        <v>51</v>
      </c>
      <c r="BS1453" t="s">
        <v>60</v>
      </c>
      <c r="BT1453" t="s">
        <v>54</v>
      </c>
      <c r="BU1453" t="s">
        <v>61</v>
      </c>
      <c r="BV1453" t="s">
        <v>62</v>
      </c>
      <c r="BX1453">
        <v>24</v>
      </c>
      <c r="BY1453">
        <v>0</v>
      </c>
      <c r="BZ1453">
        <v>0</v>
      </c>
    </row>
    <row r="1454" spans="1:99" x14ac:dyDescent="0.2">
      <c r="A1454" t="s">
        <v>180</v>
      </c>
      <c r="B1454" t="s">
        <v>181</v>
      </c>
      <c r="C1454" t="s">
        <v>184</v>
      </c>
      <c r="D1454" t="s">
        <v>776</v>
      </c>
      <c r="F1454" t="str">
        <f>"251126"</f>
        <v>251126</v>
      </c>
      <c r="G1454" t="s">
        <v>49</v>
      </c>
      <c r="K1454" t="s">
        <v>51</v>
      </c>
      <c r="L1454" t="s">
        <v>52</v>
      </c>
      <c r="M1454">
        <v>136685.91</v>
      </c>
      <c r="N1454">
        <v>472263.37</v>
      </c>
      <c r="O1454" t="s">
        <v>53</v>
      </c>
      <c r="P1454" t="s">
        <v>54</v>
      </c>
      <c r="Q1454" t="s">
        <v>55</v>
      </c>
      <c r="T1454" t="s">
        <v>241</v>
      </c>
      <c r="U1454">
        <v>40</v>
      </c>
      <c r="V1454" s="1">
        <v>32325</v>
      </c>
      <c r="W1454" s="1">
        <v>32325</v>
      </c>
      <c r="X1454" s="1">
        <v>32325</v>
      </c>
      <c r="Y1454" s="1">
        <v>46935</v>
      </c>
      <c r="Z1454" t="s">
        <v>51</v>
      </c>
      <c r="AB1454" t="s">
        <v>54</v>
      </c>
      <c r="AC1454">
        <v>1</v>
      </c>
      <c r="AE1454" t="s">
        <v>222</v>
      </c>
      <c r="AF1454">
        <v>20</v>
      </c>
      <c r="AG1454" s="1">
        <v>38169</v>
      </c>
      <c r="AH1454" s="1">
        <v>38169</v>
      </c>
      <c r="AI1454" s="1">
        <v>38169</v>
      </c>
      <c r="AJ1454" s="1">
        <v>45474</v>
      </c>
      <c r="AK1454" t="s">
        <v>51</v>
      </c>
      <c r="AN1454">
        <v>0</v>
      </c>
      <c r="AO1454" t="s">
        <v>54</v>
      </c>
      <c r="AP1454" t="s">
        <v>53</v>
      </c>
      <c r="AQ1454">
        <v>0</v>
      </c>
      <c r="AR1454" t="s">
        <v>53</v>
      </c>
      <c r="AS1454">
        <v>0</v>
      </c>
      <c r="AT1454">
        <v>0</v>
      </c>
      <c r="AW1454" t="s">
        <v>58</v>
      </c>
      <c r="AX1454">
        <v>20</v>
      </c>
      <c r="AY1454" s="1">
        <v>38169</v>
      </c>
      <c r="AZ1454" s="1">
        <v>38169</v>
      </c>
      <c r="BA1454" s="1">
        <v>38169</v>
      </c>
      <c r="BB1454" s="1">
        <v>45474</v>
      </c>
      <c r="BC1454" t="s">
        <v>51</v>
      </c>
      <c r="BE1454" t="s">
        <v>54</v>
      </c>
      <c r="BF1454">
        <v>2</v>
      </c>
      <c r="BG1454">
        <v>0</v>
      </c>
      <c r="BH1454" t="s">
        <v>53</v>
      </c>
      <c r="BK1454" t="s">
        <v>59</v>
      </c>
      <c r="BL1454">
        <v>14000</v>
      </c>
      <c r="BM1454" s="1">
        <v>42917</v>
      </c>
      <c r="BN1454" s="1">
        <v>42917</v>
      </c>
      <c r="BO1454" s="1">
        <v>42917</v>
      </c>
      <c r="BP1454" s="1">
        <v>44117</v>
      </c>
      <c r="BQ1454" t="s">
        <v>51</v>
      </c>
      <c r="BS1454" t="s">
        <v>60</v>
      </c>
      <c r="BT1454" t="s">
        <v>54</v>
      </c>
      <c r="BU1454" t="s">
        <v>61</v>
      </c>
      <c r="BV1454" t="s">
        <v>62</v>
      </c>
      <c r="BX1454">
        <v>24</v>
      </c>
      <c r="BY1454">
        <v>0</v>
      </c>
      <c r="BZ1454">
        <v>0</v>
      </c>
    </row>
    <row r="1455" spans="1:99" x14ac:dyDescent="0.2">
      <c r="A1455" t="s">
        <v>180</v>
      </c>
      <c r="B1455" t="s">
        <v>181</v>
      </c>
      <c r="C1455" t="s">
        <v>184</v>
      </c>
      <c r="D1455" t="s">
        <v>777</v>
      </c>
      <c r="F1455" t="str">
        <f>"251127"</f>
        <v>251127</v>
      </c>
      <c r="G1455" t="s">
        <v>49</v>
      </c>
      <c r="H1455" t="s">
        <v>656</v>
      </c>
      <c r="K1455" t="s">
        <v>51</v>
      </c>
      <c r="L1455" t="s">
        <v>52</v>
      </c>
      <c r="M1455">
        <v>136683.26999999999</v>
      </c>
      <c r="N1455">
        <v>472491.41</v>
      </c>
      <c r="O1455" t="s">
        <v>53</v>
      </c>
      <c r="P1455" t="s">
        <v>54</v>
      </c>
      <c r="Q1455" t="s">
        <v>55</v>
      </c>
      <c r="T1455" t="s">
        <v>241</v>
      </c>
      <c r="U1455">
        <v>40</v>
      </c>
      <c r="V1455" s="1">
        <v>35247</v>
      </c>
      <c r="W1455" s="1">
        <v>35247</v>
      </c>
      <c r="X1455" s="1">
        <v>35247</v>
      </c>
      <c r="Y1455" s="1">
        <v>49857</v>
      </c>
      <c r="Z1455" t="s">
        <v>51</v>
      </c>
      <c r="AB1455" t="s">
        <v>54</v>
      </c>
      <c r="AC1455">
        <v>1</v>
      </c>
      <c r="AE1455" t="s">
        <v>222</v>
      </c>
      <c r="AF1455">
        <v>20</v>
      </c>
      <c r="AG1455" s="1">
        <v>35247</v>
      </c>
      <c r="AH1455" s="1">
        <v>35247</v>
      </c>
      <c r="AI1455" s="1">
        <v>35247</v>
      </c>
      <c r="AJ1455" s="1">
        <v>42552</v>
      </c>
      <c r="AK1455" t="s">
        <v>51</v>
      </c>
      <c r="AN1455">
        <v>0</v>
      </c>
      <c r="AO1455" t="s">
        <v>54</v>
      </c>
      <c r="AP1455" t="s">
        <v>53</v>
      </c>
      <c r="AQ1455">
        <v>0</v>
      </c>
      <c r="AR1455" t="s">
        <v>53</v>
      </c>
      <c r="AS1455">
        <v>0</v>
      </c>
      <c r="AT1455">
        <v>0</v>
      </c>
      <c r="AW1455" t="s">
        <v>58</v>
      </c>
      <c r="AX1455">
        <v>20</v>
      </c>
      <c r="AY1455" s="1">
        <v>43774</v>
      </c>
      <c r="AZ1455" s="1">
        <v>43774</v>
      </c>
      <c r="BA1455" s="1">
        <v>43774</v>
      </c>
      <c r="BB1455" s="1">
        <v>51079</v>
      </c>
      <c r="BC1455" t="s">
        <v>51</v>
      </c>
      <c r="BE1455" t="s">
        <v>54</v>
      </c>
      <c r="BF1455">
        <v>2</v>
      </c>
      <c r="BG1455">
        <v>0</v>
      </c>
      <c r="BH1455" t="s">
        <v>53</v>
      </c>
      <c r="BK1455" t="s">
        <v>59</v>
      </c>
      <c r="BL1455">
        <v>14000</v>
      </c>
      <c r="BM1455" s="1">
        <v>43774</v>
      </c>
      <c r="BN1455" s="1">
        <v>43774</v>
      </c>
      <c r="BO1455" s="1">
        <v>43774</v>
      </c>
      <c r="BP1455" s="1">
        <v>44934</v>
      </c>
      <c r="BQ1455" t="s">
        <v>51</v>
      </c>
      <c r="BS1455" t="s">
        <v>60</v>
      </c>
      <c r="BT1455" t="s">
        <v>54</v>
      </c>
      <c r="BU1455" t="s">
        <v>61</v>
      </c>
      <c r="BV1455" t="s">
        <v>62</v>
      </c>
      <c r="BX1455">
        <v>24</v>
      </c>
      <c r="BY1455">
        <v>0</v>
      </c>
      <c r="BZ1455">
        <v>0</v>
      </c>
    </row>
    <row r="1456" spans="1:99" x14ac:dyDescent="0.2">
      <c r="A1456" t="s">
        <v>180</v>
      </c>
      <c r="B1456" t="s">
        <v>181</v>
      </c>
      <c r="C1456" t="s">
        <v>184</v>
      </c>
      <c r="D1456" t="s">
        <v>777</v>
      </c>
      <c r="F1456" t="str">
        <f>"251128"</f>
        <v>251128</v>
      </c>
      <c r="G1456" t="s">
        <v>49</v>
      </c>
      <c r="H1456" t="s">
        <v>778</v>
      </c>
      <c r="K1456" t="s">
        <v>51</v>
      </c>
      <c r="L1456" t="s">
        <v>52</v>
      </c>
      <c r="M1456">
        <v>136705.81</v>
      </c>
      <c r="N1456">
        <v>472481.44</v>
      </c>
      <c r="O1456" t="s">
        <v>53</v>
      </c>
      <c r="P1456" t="s">
        <v>54</v>
      </c>
      <c r="Q1456" t="s">
        <v>55</v>
      </c>
      <c r="T1456" t="s">
        <v>241</v>
      </c>
      <c r="U1456">
        <v>40</v>
      </c>
      <c r="V1456" s="1">
        <v>35247</v>
      </c>
      <c r="W1456" s="1">
        <v>35247</v>
      </c>
      <c r="X1456" s="1">
        <v>35247</v>
      </c>
      <c r="Y1456" s="1">
        <v>49857</v>
      </c>
      <c r="Z1456" t="s">
        <v>51</v>
      </c>
      <c r="AB1456" t="s">
        <v>54</v>
      </c>
      <c r="AC1456">
        <v>1</v>
      </c>
      <c r="AE1456" t="s">
        <v>222</v>
      </c>
      <c r="AF1456">
        <v>20</v>
      </c>
      <c r="AG1456" s="1">
        <v>35247</v>
      </c>
      <c r="AH1456" s="1">
        <v>35247</v>
      </c>
      <c r="AI1456" s="1">
        <v>35247</v>
      </c>
      <c r="AJ1456" s="1">
        <v>42552</v>
      </c>
      <c r="AK1456" t="s">
        <v>51</v>
      </c>
      <c r="AN1456">
        <v>0</v>
      </c>
      <c r="AO1456" t="s">
        <v>54</v>
      </c>
      <c r="AP1456" t="s">
        <v>53</v>
      </c>
      <c r="AQ1456">
        <v>0</v>
      </c>
      <c r="AR1456" t="s">
        <v>53</v>
      </c>
      <c r="AS1456">
        <v>0</v>
      </c>
      <c r="AT1456">
        <v>0</v>
      </c>
      <c r="AW1456" t="s">
        <v>58</v>
      </c>
      <c r="AX1456">
        <v>20</v>
      </c>
      <c r="AY1456" s="1">
        <v>35247</v>
      </c>
      <c r="AZ1456" s="1">
        <v>35247</v>
      </c>
      <c r="BA1456" s="1">
        <v>35247</v>
      </c>
      <c r="BB1456" s="1">
        <v>42552</v>
      </c>
      <c r="BC1456" t="s">
        <v>51</v>
      </c>
      <c r="BE1456" t="s">
        <v>54</v>
      </c>
      <c r="BF1456">
        <v>2</v>
      </c>
      <c r="BG1456">
        <v>0</v>
      </c>
      <c r="BH1456" t="s">
        <v>53</v>
      </c>
      <c r="BK1456" t="s">
        <v>59</v>
      </c>
      <c r="BL1456">
        <v>14000</v>
      </c>
      <c r="BM1456" s="1">
        <v>41091</v>
      </c>
      <c r="BN1456" s="1">
        <v>41091</v>
      </c>
      <c r="BO1456" s="1">
        <v>41091</v>
      </c>
      <c r="BP1456" s="1">
        <v>42291</v>
      </c>
      <c r="BQ1456" t="s">
        <v>51</v>
      </c>
      <c r="BS1456" t="s">
        <v>60</v>
      </c>
      <c r="BT1456" t="s">
        <v>54</v>
      </c>
      <c r="BU1456" t="s">
        <v>61</v>
      </c>
      <c r="BV1456" t="s">
        <v>62</v>
      </c>
      <c r="BX1456">
        <v>24</v>
      </c>
      <c r="BY1456">
        <v>0</v>
      </c>
      <c r="BZ1456">
        <v>0</v>
      </c>
    </row>
    <row r="1457" spans="1:78" x14ac:dyDescent="0.2">
      <c r="A1457" t="s">
        <v>180</v>
      </c>
      <c r="B1457" t="s">
        <v>181</v>
      </c>
      <c r="C1457" t="s">
        <v>184</v>
      </c>
      <c r="D1457" t="s">
        <v>777</v>
      </c>
      <c r="F1457" t="str">
        <f>"251129"</f>
        <v>251129</v>
      </c>
      <c r="G1457" t="s">
        <v>49</v>
      </c>
      <c r="H1457" t="s">
        <v>298</v>
      </c>
      <c r="K1457" t="s">
        <v>51</v>
      </c>
      <c r="L1457" t="s">
        <v>52</v>
      </c>
      <c r="M1457">
        <v>136726.95000000001</v>
      </c>
      <c r="N1457">
        <v>472472.53</v>
      </c>
      <c r="O1457" t="s">
        <v>53</v>
      </c>
      <c r="P1457" t="s">
        <v>54</v>
      </c>
      <c r="Q1457" t="s">
        <v>55</v>
      </c>
      <c r="T1457" t="s">
        <v>241</v>
      </c>
      <c r="U1457">
        <v>40</v>
      </c>
      <c r="V1457" s="1">
        <v>35247</v>
      </c>
      <c r="W1457" s="1">
        <v>35247</v>
      </c>
      <c r="X1457" s="1">
        <v>35247</v>
      </c>
      <c r="Y1457" s="1">
        <v>49857</v>
      </c>
      <c r="Z1457" t="s">
        <v>51</v>
      </c>
      <c r="AB1457" t="s">
        <v>54</v>
      </c>
      <c r="AC1457">
        <v>1</v>
      </c>
      <c r="AE1457" t="s">
        <v>222</v>
      </c>
      <c r="AF1457">
        <v>20</v>
      </c>
      <c r="AG1457" s="1">
        <v>35247</v>
      </c>
      <c r="AH1457" s="1">
        <v>35247</v>
      </c>
      <c r="AI1457" s="1">
        <v>35247</v>
      </c>
      <c r="AJ1457" s="1">
        <v>42552</v>
      </c>
      <c r="AK1457" t="s">
        <v>51</v>
      </c>
      <c r="AN1457">
        <v>0</v>
      </c>
      <c r="AO1457" t="s">
        <v>54</v>
      </c>
      <c r="AP1457" t="s">
        <v>53</v>
      </c>
      <c r="AQ1457">
        <v>0</v>
      </c>
      <c r="AR1457" t="s">
        <v>53</v>
      </c>
      <c r="AS1457">
        <v>0</v>
      </c>
      <c r="AT1457">
        <v>0</v>
      </c>
      <c r="AW1457" t="s">
        <v>58</v>
      </c>
      <c r="AX1457">
        <v>20</v>
      </c>
      <c r="AY1457" s="1">
        <v>45145</v>
      </c>
      <c r="AZ1457" s="1">
        <v>45145</v>
      </c>
      <c r="BA1457" s="1">
        <v>45145</v>
      </c>
      <c r="BB1457" s="1">
        <v>52450</v>
      </c>
      <c r="BC1457" t="s">
        <v>51</v>
      </c>
      <c r="BE1457" t="s">
        <v>54</v>
      </c>
      <c r="BF1457">
        <v>2</v>
      </c>
      <c r="BG1457">
        <v>0</v>
      </c>
      <c r="BH1457" t="s">
        <v>53</v>
      </c>
      <c r="BK1457" t="s">
        <v>59</v>
      </c>
      <c r="BL1457">
        <v>14000</v>
      </c>
      <c r="BM1457" s="1">
        <v>41091</v>
      </c>
      <c r="BN1457" s="1">
        <v>41091</v>
      </c>
      <c r="BO1457" s="1">
        <v>45145</v>
      </c>
      <c r="BP1457" s="1">
        <v>42291</v>
      </c>
      <c r="BQ1457" t="s">
        <v>51</v>
      </c>
      <c r="BS1457" t="s">
        <v>60</v>
      </c>
      <c r="BT1457" t="s">
        <v>54</v>
      </c>
      <c r="BU1457" t="s">
        <v>61</v>
      </c>
      <c r="BV1457" t="s">
        <v>62</v>
      </c>
      <c r="BX1457">
        <v>24</v>
      </c>
      <c r="BY1457">
        <v>0</v>
      </c>
      <c r="BZ1457">
        <v>0</v>
      </c>
    </row>
    <row r="1458" spans="1:78" x14ac:dyDescent="0.2">
      <c r="A1458" t="s">
        <v>180</v>
      </c>
      <c r="B1458" t="s">
        <v>181</v>
      </c>
      <c r="C1458" t="s">
        <v>184</v>
      </c>
      <c r="D1458" t="s">
        <v>777</v>
      </c>
      <c r="F1458" t="str">
        <f>"251130"</f>
        <v>251130</v>
      </c>
      <c r="G1458" t="s">
        <v>49</v>
      </c>
      <c r="H1458" t="s">
        <v>93</v>
      </c>
      <c r="K1458" t="s">
        <v>51</v>
      </c>
      <c r="L1458" t="s">
        <v>52</v>
      </c>
      <c r="M1458">
        <v>136753.98000000001</v>
      </c>
      <c r="N1458">
        <v>472452.79</v>
      </c>
      <c r="O1458" t="s">
        <v>53</v>
      </c>
      <c r="P1458" t="s">
        <v>54</v>
      </c>
      <c r="Q1458" t="s">
        <v>55</v>
      </c>
      <c r="T1458" t="s">
        <v>241</v>
      </c>
      <c r="U1458">
        <v>40</v>
      </c>
      <c r="V1458" s="1">
        <v>30864</v>
      </c>
      <c r="W1458" s="1">
        <v>30864</v>
      </c>
      <c r="X1458" s="1">
        <v>30864</v>
      </c>
      <c r="Y1458" s="1">
        <v>45474</v>
      </c>
      <c r="Z1458" t="s">
        <v>51</v>
      </c>
      <c r="AB1458" t="s">
        <v>54</v>
      </c>
      <c r="AC1458">
        <v>1</v>
      </c>
      <c r="AE1458" t="s">
        <v>222</v>
      </c>
      <c r="AF1458">
        <v>20</v>
      </c>
      <c r="AG1458" s="1">
        <v>30864</v>
      </c>
      <c r="AH1458" s="1">
        <v>30864</v>
      </c>
      <c r="AI1458" s="1">
        <v>30864</v>
      </c>
      <c r="AJ1458" s="1">
        <v>38169</v>
      </c>
      <c r="AK1458" t="s">
        <v>51</v>
      </c>
      <c r="AN1458">
        <v>0</v>
      </c>
      <c r="AO1458" t="s">
        <v>54</v>
      </c>
      <c r="AP1458" t="s">
        <v>53</v>
      </c>
      <c r="AQ1458">
        <v>0</v>
      </c>
      <c r="AR1458" t="s">
        <v>53</v>
      </c>
      <c r="AS1458">
        <v>0</v>
      </c>
      <c r="AT1458">
        <v>0</v>
      </c>
      <c r="AW1458" t="s">
        <v>58</v>
      </c>
      <c r="AX1458">
        <v>20</v>
      </c>
      <c r="AY1458" s="1">
        <v>30864</v>
      </c>
      <c r="AZ1458" s="1">
        <v>30864</v>
      </c>
      <c r="BA1458" s="1">
        <v>30864</v>
      </c>
      <c r="BB1458" s="1">
        <v>38169</v>
      </c>
      <c r="BC1458" t="s">
        <v>51</v>
      </c>
      <c r="BE1458" t="s">
        <v>54</v>
      </c>
      <c r="BF1458">
        <v>2</v>
      </c>
      <c r="BG1458">
        <v>0</v>
      </c>
      <c r="BH1458" t="s">
        <v>53</v>
      </c>
      <c r="BK1458" t="s">
        <v>65</v>
      </c>
      <c r="BL1458">
        <v>14000</v>
      </c>
      <c r="BM1458" s="1">
        <v>43676</v>
      </c>
      <c r="BN1458" s="1">
        <v>43676</v>
      </c>
      <c r="BO1458" s="1">
        <v>43676</v>
      </c>
      <c r="BP1458" s="1">
        <v>44861</v>
      </c>
      <c r="BQ1458" t="s">
        <v>51</v>
      </c>
      <c r="BS1458" t="s">
        <v>60</v>
      </c>
      <c r="BT1458" t="s">
        <v>54</v>
      </c>
      <c r="BU1458" t="s">
        <v>61</v>
      </c>
      <c r="BV1458" t="s">
        <v>62</v>
      </c>
      <c r="BX1458">
        <v>36</v>
      </c>
      <c r="BY1458">
        <v>0</v>
      </c>
      <c r="BZ1458">
        <v>0</v>
      </c>
    </row>
    <row r="1459" spans="1:78" x14ac:dyDescent="0.2">
      <c r="A1459" t="s">
        <v>180</v>
      </c>
      <c r="B1459" t="s">
        <v>181</v>
      </c>
      <c r="C1459" t="s">
        <v>184</v>
      </c>
      <c r="D1459" t="s">
        <v>777</v>
      </c>
      <c r="F1459" t="str">
        <f>"251131"</f>
        <v>251131</v>
      </c>
      <c r="G1459" t="s">
        <v>49</v>
      </c>
      <c r="H1459" t="s">
        <v>262</v>
      </c>
      <c r="K1459" t="s">
        <v>51</v>
      </c>
      <c r="L1459" t="s">
        <v>52</v>
      </c>
      <c r="M1459">
        <v>136741.5</v>
      </c>
      <c r="N1459">
        <v>472471.84</v>
      </c>
      <c r="O1459" t="s">
        <v>53</v>
      </c>
      <c r="P1459" t="s">
        <v>54</v>
      </c>
      <c r="Q1459" t="s">
        <v>55</v>
      </c>
      <c r="T1459" t="s">
        <v>241</v>
      </c>
      <c r="U1459">
        <v>40</v>
      </c>
      <c r="V1459" s="1">
        <v>35247</v>
      </c>
      <c r="W1459" s="1">
        <v>35247</v>
      </c>
      <c r="X1459" s="1">
        <v>35247</v>
      </c>
      <c r="Y1459" s="1">
        <v>49857</v>
      </c>
      <c r="Z1459" t="s">
        <v>51</v>
      </c>
      <c r="AB1459" t="s">
        <v>54</v>
      </c>
      <c r="AC1459">
        <v>1</v>
      </c>
      <c r="AE1459" t="s">
        <v>222</v>
      </c>
      <c r="AF1459">
        <v>20</v>
      </c>
      <c r="AG1459" s="1">
        <v>35247</v>
      </c>
      <c r="AH1459" s="1">
        <v>35247</v>
      </c>
      <c r="AI1459" s="1">
        <v>35247</v>
      </c>
      <c r="AJ1459" s="1">
        <v>42552</v>
      </c>
      <c r="AK1459" t="s">
        <v>51</v>
      </c>
      <c r="AN1459">
        <v>0</v>
      </c>
      <c r="AO1459" t="s">
        <v>54</v>
      </c>
      <c r="AP1459" t="s">
        <v>53</v>
      </c>
      <c r="AQ1459">
        <v>0</v>
      </c>
      <c r="AR1459" t="s">
        <v>53</v>
      </c>
      <c r="AS1459">
        <v>0</v>
      </c>
      <c r="AT1459">
        <v>0</v>
      </c>
      <c r="AW1459" t="s">
        <v>58</v>
      </c>
      <c r="AX1459">
        <v>20</v>
      </c>
      <c r="AY1459" s="1">
        <v>35247</v>
      </c>
      <c r="AZ1459" s="1">
        <v>35247</v>
      </c>
      <c r="BA1459" s="1">
        <v>35247</v>
      </c>
      <c r="BB1459" s="1">
        <v>42552</v>
      </c>
      <c r="BC1459" t="s">
        <v>51</v>
      </c>
      <c r="BE1459" t="s">
        <v>54</v>
      </c>
      <c r="BF1459">
        <v>2</v>
      </c>
      <c r="BG1459">
        <v>0</v>
      </c>
      <c r="BH1459" t="s">
        <v>53</v>
      </c>
      <c r="BK1459" t="s">
        <v>59</v>
      </c>
      <c r="BL1459">
        <v>14000</v>
      </c>
      <c r="BM1459" s="1">
        <v>41091</v>
      </c>
      <c r="BN1459" s="1">
        <v>41091</v>
      </c>
      <c r="BO1459" s="1">
        <v>41091</v>
      </c>
      <c r="BP1459" s="1">
        <v>42291</v>
      </c>
      <c r="BQ1459" t="s">
        <v>51</v>
      </c>
      <c r="BS1459" t="s">
        <v>60</v>
      </c>
      <c r="BT1459" t="s">
        <v>54</v>
      </c>
      <c r="BU1459" t="s">
        <v>61</v>
      </c>
      <c r="BV1459" t="s">
        <v>62</v>
      </c>
      <c r="BX1459">
        <v>24</v>
      </c>
      <c r="BY1459">
        <v>0</v>
      </c>
      <c r="BZ1459">
        <v>0</v>
      </c>
    </row>
    <row r="1460" spans="1:78" x14ac:dyDescent="0.2">
      <c r="A1460" t="s">
        <v>180</v>
      </c>
      <c r="B1460" t="s">
        <v>181</v>
      </c>
      <c r="C1460" t="s">
        <v>184</v>
      </c>
      <c r="D1460" t="s">
        <v>777</v>
      </c>
      <c r="F1460" t="str">
        <f>"251132"</f>
        <v>251132</v>
      </c>
      <c r="G1460" t="s">
        <v>49</v>
      </c>
      <c r="H1460" t="s">
        <v>143</v>
      </c>
      <c r="K1460" t="s">
        <v>51</v>
      </c>
      <c r="L1460" t="s">
        <v>52</v>
      </c>
      <c r="M1460">
        <v>136750.91</v>
      </c>
      <c r="N1460">
        <v>472493.5</v>
      </c>
      <c r="O1460" t="s">
        <v>53</v>
      </c>
      <c r="P1460" t="s">
        <v>54</v>
      </c>
      <c r="Q1460" t="s">
        <v>55</v>
      </c>
      <c r="T1460" t="s">
        <v>241</v>
      </c>
      <c r="U1460">
        <v>40</v>
      </c>
      <c r="V1460" s="1">
        <v>35247</v>
      </c>
      <c r="W1460" s="1">
        <v>35247</v>
      </c>
      <c r="X1460" s="1">
        <v>35247</v>
      </c>
      <c r="Y1460" s="1">
        <v>49857</v>
      </c>
      <c r="Z1460" t="s">
        <v>51</v>
      </c>
      <c r="AB1460" t="s">
        <v>54</v>
      </c>
      <c r="AC1460">
        <v>1</v>
      </c>
      <c r="AE1460" t="s">
        <v>222</v>
      </c>
      <c r="AF1460">
        <v>20</v>
      </c>
      <c r="AG1460" s="1">
        <v>35247</v>
      </c>
      <c r="AH1460" s="1">
        <v>35247</v>
      </c>
      <c r="AI1460" s="1">
        <v>35247</v>
      </c>
      <c r="AJ1460" s="1">
        <v>42552</v>
      </c>
      <c r="AK1460" t="s">
        <v>51</v>
      </c>
      <c r="AN1460">
        <v>0</v>
      </c>
      <c r="AO1460" t="s">
        <v>54</v>
      </c>
      <c r="AP1460" t="s">
        <v>53</v>
      </c>
      <c r="AQ1460">
        <v>0</v>
      </c>
      <c r="AR1460" t="s">
        <v>53</v>
      </c>
      <c r="AS1460">
        <v>0</v>
      </c>
      <c r="AT1460">
        <v>0</v>
      </c>
      <c r="AW1460" t="s">
        <v>58</v>
      </c>
      <c r="AX1460">
        <v>20</v>
      </c>
      <c r="AY1460" s="1">
        <v>43794</v>
      </c>
      <c r="AZ1460" s="1">
        <v>43794</v>
      </c>
      <c r="BA1460" s="1">
        <v>43794</v>
      </c>
      <c r="BB1460" s="1">
        <v>51099</v>
      </c>
      <c r="BC1460" t="s">
        <v>51</v>
      </c>
      <c r="BE1460" t="s">
        <v>54</v>
      </c>
      <c r="BF1460">
        <v>2</v>
      </c>
      <c r="BG1460">
        <v>0</v>
      </c>
      <c r="BH1460" t="s">
        <v>53</v>
      </c>
      <c r="BK1460" t="s">
        <v>59</v>
      </c>
      <c r="BL1460">
        <v>14000</v>
      </c>
      <c r="BM1460" s="1">
        <v>43794</v>
      </c>
      <c r="BN1460" s="1">
        <v>43794</v>
      </c>
      <c r="BO1460" s="1">
        <v>43794</v>
      </c>
      <c r="BP1460" s="1">
        <v>44952</v>
      </c>
      <c r="BQ1460" t="s">
        <v>51</v>
      </c>
      <c r="BS1460" t="s">
        <v>60</v>
      </c>
      <c r="BT1460" t="s">
        <v>54</v>
      </c>
      <c r="BU1460" t="s">
        <v>61</v>
      </c>
      <c r="BV1460" t="s">
        <v>62</v>
      </c>
      <c r="BX1460">
        <v>24</v>
      </c>
      <c r="BY1460">
        <v>0</v>
      </c>
      <c r="BZ1460">
        <v>0</v>
      </c>
    </row>
    <row r="1461" spans="1:78" x14ac:dyDescent="0.2">
      <c r="A1461" t="s">
        <v>180</v>
      </c>
      <c r="B1461" t="s">
        <v>181</v>
      </c>
      <c r="C1461" t="s">
        <v>184</v>
      </c>
      <c r="D1461" t="s">
        <v>777</v>
      </c>
      <c r="F1461" t="str">
        <f>"251133"</f>
        <v>251133</v>
      </c>
      <c r="G1461" t="s">
        <v>49</v>
      </c>
      <c r="H1461" t="s">
        <v>507</v>
      </c>
      <c r="K1461" t="s">
        <v>51</v>
      </c>
      <c r="L1461" t="s">
        <v>52</v>
      </c>
      <c r="M1461">
        <v>136767.22</v>
      </c>
      <c r="N1461">
        <v>472498.69</v>
      </c>
      <c r="O1461" t="s">
        <v>53</v>
      </c>
      <c r="P1461" t="s">
        <v>54</v>
      </c>
      <c r="Q1461" t="s">
        <v>55</v>
      </c>
      <c r="T1461" t="s">
        <v>241</v>
      </c>
      <c r="U1461">
        <v>40</v>
      </c>
      <c r="V1461" s="1">
        <v>35247</v>
      </c>
      <c r="W1461" s="1">
        <v>35247</v>
      </c>
      <c r="X1461" s="1">
        <v>35247</v>
      </c>
      <c r="Y1461" s="1">
        <v>49857</v>
      </c>
      <c r="Z1461" t="s">
        <v>51</v>
      </c>
      <c r="AB1461" t="s">
        <v>54</v>
      </c>
      <c r="AC1461">
        <v>1</v>
      </c>
      <c r="AE1461" t="s">
        <v>222</v>
      </c>
      <c r="AF1461">
        <v>20</v>
      </c>
      <c r="AG1461" s="1">
        <v>35247</v>
      </c>
      <c r="AH1461" s="1">
        <v>35247</v>
      </c>
      <c r="AI1461" s="1">
        <v>35247</v>
      </c>
      <c r="AJ1461" s="1">
        <v>42552</v>
      </c>
      <c r="AK1461" t="s">
        <v>51</v>
      </c>
      <c r="AN1461">
        <v>0</v>
      </c>
      <c r="AO1461" t="s">
        <v>54</v>
      </c>
      <c r="AP1461" t="s">
        <v>53</v>
      </c>
      <c r="AQ1461">
        <v>0</v>
      </c>
      <c r="AR1461" t="s">
        <v>53</v>
      </c>
      <c r="AS1461">
        <v>0</v>
      </c>
      <c r="AT1461">
        <v>0</v>
      </c>
      <c r="AW1461" t="s">
        <v>58</v>
      </c>
      <c r="AX1461">
        <v>20</v>
      </c>
      <c r="AY1461" s="1">
        <v>35247</v>
      </c>
      <c r="AZ1461" s="1">
        <v>35247</v>
      </c>
      <c r="BA1461" s="1">
        <v>35247</v>
      </c>
      <c r="BB1461" s="1">
        <v>42552</v>
      </c>
      <c r="BC1461" t="s">
        <v>51</v>
      </c>
      <c r="BE1461" t="s">
        <v>54</v>
      </c>
      <c r="BF1461">
        <v>2</v>
      </c>
      <c r="BG1461">
        <v>0</v>
      </c>
      <c r="BH1461" t="s">
        <v>53</v>
      </c>
      <c r="BK1461" t="s">
        <v>59</v>
      </c>
      <c r="BL1461">
        <v>14000</v>
      </c>
      <c r="BM1461" s="1">
        <v>41091</v>
      </c>
      <c r="BN1461" s="1">
        <v>41091</v>
      </c>
      <c r="BO1461" s="1">
        <v>41091</v>
      </c>
      <c r="BP1461" s="1">
        <v>42291</v>
      </c>
      <c r="BQ1461" t="s">
        <v>51</v>
      </c>
      <c r="BS1461" t="s">
        <v>60</v>
      </c>
      <c r="BT1461" t="s">
        <v>54</v>
      </c>
      <c r="BU1461" t="s">
        <v>61</v>
      </c>
      <c r="BV1461" t="s">
        <v>62</v>
      </c>
      <c r="BX1461">
        <v>24</v>
      </c>
      <c r="BY1461">
        <v>0</v>
      </c>
      <c r="BZ1461">
        <v>0</v>
      </c>
    </row>
    <row r="1462" spans="1:78" x14ac:dyDescent="0.2">
      <c r="A1462" t="s">
        <v>180</v>
      </c>
      <c r="B1462" t="s">
        <v>181</v>
      </c>
      <c r="C1462" t="s">
        <v>184</v>
      </c>
      <c r="D1462" t="s">
        <v>777</v>
      </c>
      <c r="F1462" t="str">
        <f>"251134"</f>
        <v>251134</v>
      </c>
      <c r="G1462" t="s">
        <v>49</v>
      </c>
      <c r="H1462" t="s">
        <v>779</v>
      </c>
      <c r="K1462" t="s">
        <v>51</v>
      </c>
      <c r="L1462" t="s">
        <v>52</v>
      </c>
      <c r="M1462">
        <v>136759.47</v>
      </c>
      <c r="N1462">
        <v>472514.31</v>
      </c>
      <c r="O1462" t="s">
        <v>53</v>
      </c>
      <c r="P1462" t="s">
        <v>54</v>
      </c>
      <c r="Q1462" t="s">
        <v>55</v>
      </c>
      <c r="T1462" t="s">
        <v>241</v>
      </c>
      <c r="U1462">
        <v>40</v>
      </c>
      <c r="V1462" s="1">
        <v>35247</v>
      </c>
      <c r="W1462" s="1">
        <v>35247</v>
      </c>
      <c r="X1462" s="1">
        <v>35247</v>
      </c>
      <c r="Y1462" s="1">
        <v>49857</v>
      </c>
      <c r="Z1462" t="s">
        <v>51</v>
      </c>
      <c r="AB1462" t="s">
        <v>54</v>
      </c>
      <c r="AC1462">
        <v>1</v>
      </c>
      <c r="AE1462" t="s">
        <v>222</v>
      </c>
      <c r="AF1462">
        <v>20</v>
      </c>
      <c r="AG1462" s="1">
        <v>35247</v>
      </c>
      <c r="AH1462" s="1">
        <v>35247</v>
      </c>
      <c r="AI1462" s="1">
        <v>35247</v>
      </c>
      <c r="AJ1462" s="1">
        <v>42552</v>
      </c>
      <c r="AK1462" t="s">
        <v>51</v>
      </c>
      <c r="AN1462">
        <v>0</v>
      </c>
      <c r="AO1462" t="s">
        <v>54</v>
      </c>
      <c r="AP1462" t="s">
        <v>53</v>
      </c>
      <c r="AQ1462">
        <v>0</v>
      </c>
      <c r="AR1462" t="s">
        <v>53</v>
      </c>
      <c r="AS1462">
        <v>0</v>
      </c>
      <c r="AT1462">
        <v>0</v>
      </c>
      <c r="AW1462" t="s">
        <v>58</v>
      </c>
      <c r="AX1462">
        <v>20</v>
      </c>
      <c r="AY1462" s="1">
        <v>35247</v>
      </c>
      <c r="AZ1462" s="1">
        <v>35247</v>
      </c>
      <c r="BA1462" s="1">
        <v>35247</v>
      </c>
      <c r="BB1462" s="1">
        <v>42552</v>
      </c>
      <c r="BC1462" t="s">
        <v>51</v>
      </c>
      <c r="BE1462" t="s">
        <v>54</v>
      </c>
      <c r="BF1462">
        <v>2</v>
      </c>
      <c r="BG1462">
        <v>0</v>
      </c>
      <c r="BH1462" t="s">
        <v>53</v>
      </c>
      <c r="BK1462" t="s">
        <v>59</v>
      </c>
      <c r="BL1462">
        <v>14000</v>
      </c>
      <c r="BM1462" s="1">
        <v>41091</v>
      </c>
      <c r="BN1462" s="1">
        <v>41091</v>
      </c>
      <c r="BO1462" s="1">
        <v>41091</v>
      </c>
      <c r="BP1462" s="1">
        <v>42291</v>
      </c>
      <c r="BQ1462" t="s">
        <v>51</v>
      </c>
      <c r="BS1462" t="s">
        <v>60</v>
      </c>
      <c r="BT1462" t="s">
        <v>54</v>
      </c>
      <c r="BU1462" t="s">
        <v>61</v>
      </c>
      <c r="BV1462" t="s">
        <v>62</v>
      </c>
      <c r="BX1462">
        <v>24</v>
      </c>
      <c r="BY1462">
        <v>0</v>
      </c>
      <c r="BZ1462">
        <v>0</v>
      </c>
    </row>
    <row r="1463" spans="1:78" x14ac:dyDescent="0.2">
      <c r="A1463" t="s">
        <v>180</v>
      </c>
      <c r="B1463" t="s">
        <v>181</v>
      </c>
      <c r="C1463" t="s">
        <v>184</v>
      </c>
      <c r="D1463" t="s">
        <v>777</v>
      </c>
      <c r="F1463" t="str">
        <f>"251135"</f>
        <v>251135</v>
      </c>
      <c r="G1463" t="s">
        <v>49</v>
      </c>
      <c r="K1463" t="s">
        <v>51</v>
      </c>
      <c r="L1463" t="s">
        <v>52</v>
      </c>
      <c r="M1463">
        <v>136778.19</v>
      </c>
      <c r="N1463">
        <v>472528.06</v>
      </c>
      <c r="O1463" t="s">
        <v>53</v>
      </c>
      <c r="P1463" t="s">
        <v>54</v>
      </c>
      <c r="Q1463" t="s">
        <v>55</v>
      </c>
      <c r="T1463" t="s">
        <v>241</v>
      </c>
      <c r="U1463">
        <v>40</v>
      </c>
      <c r="V1463" s="1">
        <v>35247</v>
      </c>
      <c r="W1463" s="1">
        <v>35247</v>
      </c>
      <c r="X1463" s="1">
        <v>35247</v>
      </c>
      <c r="Y1463" s="1">
        <v>49857</v>
      </c>
      <c r="Z1463" t="s">
        <v>51</v>
      </c>
      <c r="AB1463" t="s">
        <v>54</v>
      </c>
      <c r="AC1463">
        <v>1</v>
      </c>
      <c r="AE1463" t="s">
        <v>84</v>
      </c>
      <c r="AF1463">
        <v>20</v>
      </c>
      <c r="AG1463" s="1">
        <v>35247</v>
      </c>
      <c r="AH1463" s="1">
        <v>35247</v>
      </c>
      <c r="AI1463" s="1">
        <v>35247</v>
      </c>
      <c r="AJ1463" s="1">
        <v>42552</v>
      </c>
      <c r="AK1463" t="s">
        <v>51</v>
      </c>
      <c r="AN1463">
        <v>0</v>
      </c>
      <c r="AO1463" t="s">
        <v>54</v>
      </c>
      <c r="AP1463" t="s">
        <v>53</v>
      </c>
      <c r="AQ1463">
        <v>0</v>
      </c>
      <c r="AR1463" t="s">
        <v>53</v>
      </c>
      <c r="AS1463">
        <v>0</v>
      </c>
      <c r="AT1463">
        <v>0</v>
      </c>
      <c r="AW1463" t="s">
        <v>58</v>
      </c>
      <c r="AX1463">
        <v>20</v>
      </c>
      <c r="AY1463" s="1">
        <v>35247</v>
      </c>
      <c r="AZ1463" s="1">
        <v>35247</v>
      </c>
      <c r="BA1463" s="1">
        <v>35247</v>
      </c>
      <c r="BB1463" s="1">
        <v>42552</v>
      </c>
      <c r="BC1463" t="s">
        <v>51</v>
      </c>
      <c r="BE1463" t="s">
        <v>54</v>
      </c>
      <c r="BF1463">
        <v>2</v>
      </c>
      <c r="BG1463">
        <v>0</v>
      </c>
      <c r="BH1463" t="s">
        <v>53</v>
      </c>
      <c r="BK1463" t="s">
        <v>59</v>
      </c>
      <c r="BL1463">
        <v>14000</v>
      </c>
      <c r="BM1463" s="1">
        <v>41091</v>
      </c>
      <c r="BN1463" s="1">
        <v>41091</v>
      </c>
      <c r="BO1463" s="1">
        <v>41091</v>
      </c>
      <c r="BP1463" s="1">
        <v>42291</v>
      </c>
      <c r="BQ1463" t="s">
        <v>51</v>
      </c>
      <c r="BS1463" t="s">
        <v>60</v>
      </c>
      <c r="BT1463" t="s">
        <v>54</v>
      </c>
      <c r="BU1463" t="s">
        <v>61</v>
      </c>
      <c r="BV1463" t="s">
        <v>62</v>
      </c>
      <c r="BX1463">
        <v>24</v>
      </c>
      <c r="BY1463">
        <v>0</v>
      </c>
      <c r="BZ1463">
        <v>0</v>
      </c>
    </row>
    <row r="1464" spans="1:78" x14ac:dyDescent="0.2">
      <c r="A1464" t="s">
        <v>180</v>
      </c>
      <c r="B1464" t="s">
        <v>181</v>
      </c>
      <c r="C1464" t="s">
        <v>184</v>
      </c>
      <c r="D1464" t="s">
        <v>780</v>
      </c>
      <c r="F1464" t="str">
        <f>"251136"</f>
        <v>251136</v>
      </c>
      <c r="G1464" t="s">
        <v>49</v>
      </c>
      <c r="H1464" t="s">
        <v>573</v>
      </c>
      <c r="K1464" t="s">
        <v>51</v>
      </c>
      <c r="L1464" t="s">
        <v>52</v>
      </c>
      <c r="M1464">
        <v>136427.69</v>
      </c>
      <c r="N1464">
        <v>472109.44</v>
      </c>
      <c r="O1464" t="s">
        <v>53</v>
      </c>
      <c r="P1464" t="s">
        <v>54</v>
      </c>
      <c r="Q1464" t="s">
        <v>55</v>
      </c>
      <c r="T1464" t="s">
        <v>241</v>
      </c>
      <c r="U1464">
        <v>40</v>
      </c>
      <c r="V1464" s="1">
        <v>34151</v>
      </c>
      <c r="W1464" s="1">
        <v>34151</v>
      </c>
      <c r="X1464" s="1">
        <v>34151</v>
      </c>
      <c r="Y1464" s="1">
        <v>48761</v>
      </c>
      <c r="Z1464" t="s">
        <v>51</v>
      </c>
      <c r="AB1464" t="s">
        <v>54</v>
      </c>
      <c r="AC1464">
        <v>1</v>
      </c>
      <c r="AE1464" t="s">
        <v>222</v>
      </c>
      <c r="AF1464">
        <v>20</v>
      </c>
      <c r="AG1464" s="1">
        <v>34151</v>
      </c>
      <c r="AH1464" s="1">
        <v>34151</v>
      </c>
      <c r="AI1464" s="1">
        <v>34151</v>
      </c>
      <c r="AJ1464" s="1">
        <v>41456</v>
      </c>
      <c r="AK1464" t="s">
        <v>51</v>
      </c>
      <c r="AN1464">
        <v>0</v>
      </c>
      <c r="AO1464" t="s">
        <v>54</v>
      </c>
      <c r="AP1464" t="s">
        <v>53</v>
      </c>
      <c r="AQ1464">
        <v>0</v>
      </c>
      <c r="AR1464" t="s">
        <v>53</v>
      </c>
      <c r="AS1464">
        <v>0</v>
      </c>
      <c r="AT1464">
        <v>0</v>
      </c>
      <c r="AW1464" t="s">
        <v>58</v>
      </c>
      <c r="AX1464">
        <v>20</v>
      </c>
      <c r="AY1464" s="1">
        <v>34151</v>
      </c>
      <c r="AZ1464" s="1">
        <v>34151</v>
      </c>
      <c r="BA1464" s="1">
        <v>34151</v>
      </c>
      <c r="BB1464" s="1">
        <v>41456</v>
      </c>
      <c r="BC1464" t="s">
        <v>51</v>
      </c>
      <c r="BE1464" t="s">
        <v>54</v>
      </c>
      <c r="BF1464">
        <v>2</v>
      </c>
      <c r="BG1464">
        <v>0</v>
      </c>
      <c r="BH1464" t="s">
        <v>53</v>
      </c>
      <c r="BK1464" t="s">
        <v>65</v>
      </c>
      <c r="BL1464">
        <v>14000</v>
      </c>
      <c r="BM1464" s="1">
        <v>42917</v>
      </c>
      <c r="BN1464" s="1">
        <v>42917</v>
      </c>
      <c r="BO1464" s="1">
        <v>42917</v>
      </c>
      <c r="BP1464" s="1">
        <v>44117</v>
      </c>
      <c r="BQ1464" t="s">
        <v>51</v>
      </c>
      <c r="BS1464" t="s">
        <v>60</v>
      </c>
      <c r="BT1464" t="s">
        <v>54</v>
      </c>
      <c r="BU1464" t="s">
        <v>61</v>
      </c>
      <c r="BV1464" t="s">
        <v>62</v>
      </c>
      <c r="BX1464">
        <v>36</v>
      </c>
      <c r="BY1464">
        <v>0</v>
      </c>
      <c r="BZ1464">
        <v>0</v>
      </c>
    </row>
    <row r="1465" spans="1:78" x14ac:dyDescent="0.2">
      <c r="A1465" t="s">
        <v>180</v>
      </c>
      <c r="B1465" t="s">
        <v>181</v>
      </c>
      <c r="C1465" t="s">
        <v>184</v>
      </c>
      <c r="D1465" t="s">
        <v>780</v>
      </c>
      <c r="F1465" t="str">
        <f>"251137"</f>
        <v>251137</v>
      </c>
      <c r="G1465" t="s">
        <v>49</v>
      </c>
      <c r="H1465" t="s">
        <v>510</v>
      </c>
      <c r="K1465" t="s">
        <v>51</v>
      </c>
      <c r="L1465" t="s">
        <v>52</v>
      </c>
      <c r="M1465">
        <v>136417.43</v>
      </c>
      <c r="N1465">
        <v>472089.28</v>
      </c>
      <c r="O1465" t="s">
        <v>53</v>
      </c>
      <c r="P1465" t="s">
        <v>54</v>
      </c>
      <c r="Q1465" t="s">
        <v>55</v>
      </c>
      <c r="T1465" t="s">
        <v>241</v>
      </c>
      <c r="U1465">
        <v>40</v>
      </c>
      <c r="V1465" s="1">
        <v>34151</v>
      </c>
      <c r="W1465" s="1">
        <v>34151</v>
      </c>
      <c r="X1465" s="1">
        <v>34151</v>
      </c>
      <c r="Y1465" s="1">
        <v>48761</v>
      </c>
      <c r="Z1465" t="s">
        <v>51</v>
      </c>
      <c r="AB1465" t="s">
        <v>54</v>
      </c>
      <c r="AC1465">
        <v>1</v>
      </c>
      <c r="AE1465" t="s">
        <v>222</v>
      </c>
      <c r="AF1465">
        <v>20</v>
      </c>
      <c r="AG1465" s="1">
        <v>34151</v>
      </c>
      <c r="AH1465" s="1">
        <v>34151</v>
      </c>
      <c r="AI1465" s="1">
        <v>34151</v>
      </c>
      <c r="AJ1465" s="1">
        <v>41456</v>
      </c>
      <c r="AK1465" t="s">
        <v>51</v>
      </c>
      <c r="AN1465">
        <v>0</v>
      </c>
      <c r="AO1465" t="s">
        <v>54</v>
      </c>
      <c r="AP1465" t="s">
        <v>53</v>
      </c>
      <c r="AQ1465">
        <v>0</v>
      </c>
      <c r="AR1465" t="s">
        <v>53</v>
      </c>
      <c r="AS1465">
        <v>0</v>
      </c>
      <c r="AT1465">
        <v>0</v>
      </c>
      <c r="AW1465" t="s">
        <v>58</v>
      </c>
      <c r="AX1465">
        <v>20</v>
      </c>
      <c r="AY1465" s="1">
        <v>34151</v>
      </c>
      <c r="AZ1465" s="1">
        <v>34151</v>
      </c>
      <c r="BA1465" s="1">
        <v>34151</v>
      </c>
      <c r="BB1465" s="1">
        <v>41456</v>
      </c>
      <c r="BC1465" t="s">
        <v>51</v>
      </c>
      <c r="BE1465" t="s">
        <v>54</v>
      </c>
      <c r="BF1465">
        <v>2</v>
      </c>
      <c r="BG1465">
        <v>0</v>
      </c>
      <c r="BH1465" t="s">
        <v>53</v>
      </c>
      <c r="BK1465" t="s">
        <v>65</v>
      </c>
      <c r="BL1465">
        <v>14000</v>
      </c>
      <c r="BM1465" s="1">
        <v>42917</v>
      </c>
      <c r="BN1465" s="1">
        <v>42917</v>
      </c>
      <c r="BO1465" s="1">
        <v>42917</v>
      </c>
      <c r="BP1465" s="1">
        <v>44117</v>
      </c>
      <c r="BQ1465" t="s">
        <v>51</v>
      </c>
      <c r="BS1465" t="s">
        <v>60</v>
      </c>
      <c r="BT1465" t="s">
        <v>54</v>
      </c>
      <c r="BU1465" t="s">
        <v>61</v>
      </c>
      <c r="BV1465" t="s">
        <v>62</v>
      </c>
      <c r="BX1465">
        <v>36</v>
      </c>
      <c r="BY1465">
        <v>0</v>
      </c>
      <c r="BZ1465">
        <v>0</v>
      </c>
    </row>
    <row r="1466" spans="1:78" x14ac:dyDescent="0.2">
      <c r="A1466" t="s">
        <v>180</v>
      </c>
      <c r="B1466" t="s">
        <v>181</v>
      </c>
      <c r="C1466" t="s">
        <v>184</v>
      </c>
      <c r="D1466" t="s">
        <v>780</v>
      </c>
      <c r="F1466" t="str">
        <f>"251138"</f>
        <v>251138</v>
      </c>
      <c r="G1466" t="s">
        <v>49</v>
      </c>
      <c r="K1466" t="s">
        <v>51</v>
      </c>
      <c r="L1466" t="s">
        <v>52</v>
      </c>
      <c r="M1466">
        <v>136406.92000000001</v>
      </c>
      <c r="N1466">
        <v>472075.89</v>
      </c>
      <c r="O1466" t="s">
        <v>53</v>
      </c>
      <c r="P1466" t="s">
        <v>54</v>
      </c>
      <c r="Q1466" t="s">
        <v>55</v>
      </c>
      <c r="T1466" t="s">
        <v>241</v>
      </c>
      <c r="U1466">
        <v>40</v>
      </c>
      <c r="V1466" s="1">
        <v>33604</v>
      </c>
      <c r="W1466" s="1">
        <v>33604</v>
      </c>
      <c r="X1466" s="1">
        <v>33604</v>
      </c>
      <c r="Y1466" s="1">
        <v>48214</v>
      </c>
      <c r="Z1466" t="s">
        <v>51</v>
      </c>
      <c r="AB1466" t="s">
        <v>54</v>
      </c>
      <c r="AC1466">
        <v>1</v>
      </c>
      <c r="AE1466" t="s">
        <v>222</v>
      </c>
      <c r="AF1466">
        <v>20</v>
      </c>
      <c r="AG1466" s="1">
        <v>33604</v>
      </c>
      <c r="AH1466" s="1">
        <v>33604</v>
      </c>
      <c r="AI1466" s="1">
        <v>33604</v>
      </c>
      <c r="AJ1466" s="1">
        <v>40909</v>
      </c>
      <c r="AK1466" t="s">
        <v>51</v>
      </c>
      <c r="AN1466">
        <v>0</v>
      </c>
      <c r="AO1466" t="s">
        <v>54</v>
      </c>
      <c r="AP1466" t="s">
        <v>53</v>
      </c>
      <c r="AQ1466">
        <v>0</v>
      </c>
      <c r="AR1466" t="s">
        <v>53</v>
      </c>
      <c r="AS1466">
        <v>0</v>
      </c>
      <c r="AT1466">
        <v>0</v>
      </c>
      <c r="AW1466" t="s">
        <v>58</v>
      </c>
      <c r="AX1466">
        <v>20</v>
      </c>
      <c r="AY1466" s="1">
        <v>33604</v>
      </c>
      <c r="AZ1466" s="1">
        <v>33604</v>
      </c>
      <c r="BA1466" s="1">
        <v>33604</v>
      </c>
      <c r="BB1466" s="1">
        <v>40909</v>
      </c>
      <c r="BC1466" t="s">
        <v>51</v>
      </c>
      <c r="BE1466" t="s">
        <v>54</v>
      </c>
      <c r="BF1466">
        <v>2</v>
      </c>
      <c r="BG1466">
        <v>0</v>
      </c>
      <c r="BH1466" t="s">
        <v>53</v>
      </c>
      <c r="BK1466" t="s">
        <v>65</v>
      </c>
      <c r="BL1466">
        <v>14000</v>
      </c>
      <c r="BM1466" s="1">
        <v>42917</v>
      </c>
      <c r="BN1466" s="1">
        <v>42917</v>
      </c>
      <c r="BO1466" s="1">
        <v>42917</v>
      </c>
      <c r="BP1466" s="1">
        <v>44117</v>
      </c>
      <c r="BQ1466" t="s">
        <v>51</v>
      </c>
      <c r="BS1466" t="s">
        <v>60</v>
      </c>
      <c r="BT1466" t="s">
        <v>54</v>
      </c>
      <c r="BU1466" t="s">
        <v>61</v>
      </c>
      <c r="BV1466" t="s">
        <v>62</v>
      </c>
      <c r="BX1466">
        <v>36</v>
      </c>
      <c r="BY1466">
        <v>0</v>
      </c>
      <c r="BZ1466">
        <v>0</v>
      </c>
    </row>
    <row r="1467" spans="1:78" x14ac:dyDescent="0.2">
      <c r="A1467" t="s">
        <v>180</v>
      </c>
      <c r="B1467" t="s">
        <v>181</v>
      </c>
      <c r="C1467" t="s">
        <v>184</v>
      </c>
      <c r="D1467" t="s">
        <v>780</v>
      </c>
      <c r="F1467" t="str">
        <f>"251139"</f>
        <v>251139</v>
      </c>
      <c r="G1467" t="s">
        <v>49</v>
      </c>
      <c r="K1467" t="s">
        <v>51</v>
      </c>
      <c r="L1467" t="s">
        <v>52</v>
      </c>
      <c r="M1467">
        <v>136395.42000000001</v>
      </c>
      <c r="N1467">
        <v>472057.5</v>
      </c>
      <c r="O1467" t="s">
        <v>53</v>
      </c>
      <c r="P1467" t="s">
        <v>54</v>
      </c>
      <c r="Q1467" t="s">
        <v>55</v>
      </c>
      <c r="T1467" t="s">
        <v>241</v>
      </c>
      <c r="U1467">
        <v>40</v>
      </c>
      <c r="V1467" s="1">
        <v>33604</v>
      </c>
      <c r="W1467" s="1">
        <v>33604</v>
      </c>
      <c r="X1467" s="1">
        <v>33604</v>
      </c>
      <c r="Y1467" s="1">
        <v>48214</v>
      </c>
      <c r="Z1467" t="s">
        <v>51</v>
      </c>
      <c r="AB1467" t="s">
        <v>54</v>
      </c>
      <c r="AC1467">
        <v>1</v>
      </c>
      <c r="AE1467" t="s">
        <v>222</v>
      </c>
      <c r="AF1467">
        <v>20</v>
      </c>
      <c r="AG1467" s="1">
        <v>33604</v>
      </c>
      <c r="AH1467" s="1">
        <v>33604</v>
      </c>
      <c r="AI1467" s="1">
        <v>33604</v>
      </c>
      <c r="AJ1467" s="1">
        <v>40909</v>
      </c>
      <c r="AK1467" t="s">
        <v>51</v>
      </c>
      <c r="AN1467">
        <v>0</v>
      </c>
      <c r="AO1467" t="s">
        <v>54</v>
      </c>
      <c r="AP1467" t="s">
        <v>53</v>
      </c>
      <c r="AQ1467">
        <v>0</v>
      </c>
      <c r="AR1467" t="s">
        <v>53</v>
      </c>
      <c r="AS1467">
        <v>0</v>
      </c>
      <c r="AT1467">
        <v>0</v>
      </c>
      <c r="AW1467" t="s">
        <v>58</v>
      </c>
      <c r="AX1467">
        <v>20</v>
      </c>
      <c r="AY1467" s="1">
        <v>33604</v>
      </c>
      <c r="AZ1467" s="1">
        <v>33604</v>
      </c>
      <c r="BA1467" s="1">
        <v>33604</v>
      </c>
      <c r="BB1467" s="1">
        <v>40909</v>
      </c>
      <c r="BC1467" t="s">
        <v>51</v>
      </c>
      <c r="BE1467" t="s">
        <v>54</v>
      </c>
      <c r="BF1467">
        <v>2</v>
      </c>
      <c r="BG1467">
        <v>0</v>
      </c>
      <c r="BH1467" t="s">
        <v>53</v>
      </c>
      <c r="BK1467" t="s">
        <v>65</v>
      </c>
      <c r="BL1467">
        <v>14000</v>
      </c>
      <c r="BM1467" s="1">
        <v>42917</v>
      </c>
      <c r="BN1467" s="1">
        <v>42917</v>
      </c>
      <c r="BO1467" s="1">
        <v>42917</v>
      </c>
      <c r="BP1467" s="1">
        <v>44117</v>
      </c>
      <c r="BQ1467" t="s">
        <v>51</v>
      </c>
      <c r="BS1467" t="s">
        <v>60</v>
      </c>
      <c r="BT1467" t="s">
        <v>54</v>
      </c>
      <c r="BU1467" t="s">
        <v>61</v>
      </c>
      <c r="BV1467" t="s">
        <v>62</v>
      </c>
      <c r="BX1467">
        <v>36</v>
      </c>
      <c r="BY1467">
        <v>0</v>
      </c>
      <c r="BZ1467">
        <v>0</v>
      </c>
    </row>
    <row r="1468" spans="1:78" x14ac:dyDescent="0.2">
      <c r="A1468" t="s">
        <v>180</v>
      </c>
      <c r="B1468" t="s">
        <v>181</v>
      </c>
      <c r="C1468" t="s">
        <v>184</v>
      </c>
      <c r="D1468" t="s">
        <v>780</v>
      </c>
      <c r="F1468" t="str">
        <f>"251140"</f>
        <v>251140</v>
      </c>
      <c r="G1468" t="s">
        <v>49</v>
      </c>
      <c r="H1468" t="s">
        <v>575</v>
      </c>
      <c r="K1468" t="s">
        <v>51</v>
      </c>
      <c r="L1468" t="s">
        <v>52</v>
      </c>
      <c r="M1468">
        <v>136400.29999999999</v>
      </c>
      <c r="N1468">
        <v>472039.06</v>
      </c>
      <c r="O1468" t="s">
        <v>53</v>
      </c>
      <c r="P1468" t="s">
        <v>54</v>
      </c>
      <c r="Q1468" t="s">
        <v>55</v>
      </c>
      <c r="T1468" t="s">
        <v>241</v>
      </c>
      <c r="U1468">
        <v>40</v>
      </c>
      <c r="V1468" s="1">
        <v>34151</v>
      </c>
      <c r="W1468" s="1">
        <v>34151</v>
      </c>
      <c r="X1468" s="1">
        <v>34151</v>
      </c>
      <c r="Y1468" s="1">
        <v>48761</v>
      </c>
      <c r="Z1468" t="s">
        <v>51</v>
      </c>
      <c r="AB1468" t="s">
        <v>54</v>
      </c>
      <c r="AC1468">
        <v>1</v>
      </c>
      <c r="AE1468" t="s">
        <v>222</v>
      </c>
      <c r="AF1468">
        <v>20</v>
      </c>
      <c r="AG1468" s="1">
        <v>34151</v>
      </c>
      <c r="AH1468" s="1">
        <v>34151</v>
      </c>
      <c r="AI1468" s="1">
        <v>34151</v>
      </c>
      <c r="AJ1468" s="1">
        <v>41456</v>
      </c>
      <c r="AK1468" t="s">
        <v>51</v>
      </c>
      <c r="AN1468">
        <v>0</v>
      </c>
      <c r="AO1468" t="s">
        <v>54</v>
      </c>
      <c r="AP1468" t="s">
        <v>53</v>
      </c>
      <c r="AQ1468">
        <v>0</v>
      </c>
      <c r="AR1468" t="s">
        <v>53</v>
      </c>
      <c r="AS1468">
        <v>0</v>
      </c>
      <c r="AT1468">
        <v>0</v>
      </c>
      <c r="AW1468" t="s">
        <v>58</v>
      </c>
      <c r="AX1468">
        <v>20</v>
      </c>
      <c r="AY1468" s="1">
        <v>34151</v>
      </c>
      <c r="AZ1468" s="1">
        <v>34151</v>
      </c>
      <c r="BA1468" s="1">
        <v>34151</v>
      </c>
      <c r="BB1468" s="1">
        <v>41456</v>
      </c>
      <c r="BC1468" t="s">
        <v>51</v>
      </c>
      <c r="BE1468" t="s">
        <v>54</v>
      </c>
      <c r="BF1468">
        <v>2</v>
      </c>
      <c r="BG1468">
        <v>0</v>
      </c>
      <c r="BH1468" t="s">
        <v>53</v>
      </c>
      <c r="BK1468" t="s">
        <v>65</v>
      </c>
      <c r="BL1468">
        <v>14000</v>
      </c>
      <c r="BM1468" s="1">
        <v>43781</v>
      </c>
      <c r="BN1468" s="1">
        <v>43781</v>
      </c>
      <c r="BO1468" s="1">
        <v>43781</v>
      </c>
      <c r="BP1468" s="1">
        <v>44940</v>
      </c>
      <c r="BQ1468" t="s">
        <v>51</v>
      </c>
      <c r="BS1468" t="s">
        <v>60</v>
      </c>
      <c r="BT1468" t="s">
        <v>54</v>
      </c>
      <c r="BU1468" t="s">
        <v>61</v>
      </c>
      <c r="BV1468" t="s">
        <v>62</v>
      </c>
      <c r="BX1468">
        <v>36</v>
      </c>
      <c r="BY1468">
        <v>0</v>
      </c>
      <c r="BZ1468">
        <v>0</v>
      </c>
    </row>
    <row r="1469" spans="1:78" x14ac:dyDescent="0.2">
      <c r="A1469" t="s">
        <v>180</v>
      </c>
      <c r="B1469" t="s">
        <v>181</v>
      </c>
      <c r="C1469" t="s">
        <v>184</v>
      </c>
      <c r="D1469" t="s">
        <v>780</v>
      </c>
      <c r="F1469" t="str">
        <f>"251141"</f>
        <v>251141</v>
      </c>
      <c r="G1469" t="s">
        <v>49</v>
      </c>
      <c r="H1469" t="s">
        <v>97</v>
      </c>
      <c r="K1469" t="s">
        <v>51</v>
      </c>
      <c r="L1469" t="s">
        <v>52</v>
      </c>
      <c r="M1469">
        <v>136390.16</v>
      </c>
      <c r="N1469">
        <v>472019.92</v>
      </c>
      <c r="O1469" t="s">
        <v>53</v>
      </c>
      <c r="P1469" t="s">
        <v>54</v>
      </c>
      <c r="Q1469" t="s">
        <v>55</v>
      </c>
      <c r="T1469" t="s">
        <v>241</v>
      </c>
      <c r="U1469">
        <v>40</v>
      </c>
      <c r="V1469" s="1">
        <v>34151</v>
      </c>
      <c r="W1469" s="1">
        <v>34151</v>
      </c>
      <c r="X1469" s="1">
        <v>34151</v>
      </c>
      <c r="Y1469" s="1">
        <v>48761</v>
      </c>
      <c r="Z1469" t="s">
        <v>51</v>
      </c>
      <c r="AB1469" t="s">
        <v>54</v>
      </c>
      <c r="AC1469">
        <v>1</v>
      </c>
      <c r="AE1469" t="s">
        <v>222</v>
      </c>
      <c r="AF1469">
        <v>20</v>
      </c>
      <c r="AG1469" s="1">
        <v>34151</v>
      </c>
      <c r="AH1469" s="1">
        <v>34151</v>
      </c>
      <c r="AI1469" s="1">
        <v>34151</v>
      </c>
      <c r="AJ1469" s="1">
        <v>41456</v>
      </c>
      <c r="AK1469" t="s">
        <v>51</v>
      </c>
      <c r="AN1469">
        <v>0</v>
      </c>
      <c r="AO1469" t="s">
        <v>54</v>
      </c>
      <c r="AP1469" t="s">
        <v>53</v>
      </c>
      <c r="AQ1469">
        <v>0</v>
      </c>
      <c r="AR1469" t="s">
        <v>53</v>
      </c>
      <c r="AS1469">
        <v>0</v>
      </c>
      <c r="AT1469">
        <v>0</v>
      </c>
      <c r="AW1469" t="s">
        <v>58</v>
      </c>
      <c r="AX1469">
        <v>20</v>
      </c>
      <c r="AY1469" s="1">
        <v>34151</v>
      </c>
      <c r="AZ1469" s="1">
        <v>34151</v>
      </c>
      <c r="BA1469" s="1">
        <v>34151</v>
      </c>
      <c r="BB1469" s="1">
        <v>41456</v>
      </c>
      <c r="BC1469" t="s">
        <v>51</v>
      </c>
      <c r="BE1469" t="s">
        <v>54</v>
      </c>
      <c r="BF1469">
        <v>2</v>
      </c>
      <c r="BG1469">
        <v>0</v>
      </c>
      <c r="BH1469" t="s">
        <v>53</v>
      </c>
      <c r="BK1469" t="s">
        <v>65</v>
      </c>
      <c r="BL1469">
        <v>14000</v>
      </c>
      <c r="BM1469" s="1">
        <v>42917</v>
      </c>
      <c r="BN1469" s="1">
        <v>42917</v>
      </c>
      <c r="BO1469" s="1">
        <v>42917</v>
      </c>
      <c r="BP1469" s="1">
        <v>44117</v>
      </c>
      <c r="BQ1469" t="s">
        <v>51</v>
      </c>
      <c r="BS1469" t="s">
        <v>60</v>
      </c>
      <c r="BT1469" t="s">
        <v>54</v>
      </c>
      <c r="BU1469" t="s">
        <v>61</v>
      </c>
      <c r="BV1469" t="s">
        <v>62</v>
      </c>
      <c r="BX1469">
        <v>36</v>
      </c>
      <c r="BY1469">
        <v>0</v>
      </c>
      <c r="BZ1469">
        <v>0</v>
      </c>
    </row>
    <row r="1470" spans="1:78" x14ac:dyDescent="0.2">
      <c r="A1470" t="s">
        <v>180</v>
      </c>
      <c r="B1470" t="s">
        <v>181</v>
      </c>
      <c r="C1470" t="s">
        <v>184</v>
      </c>
      <c r="D1470" t="s">
        <v>781</v>
      </c>
      <c r="F1470" t="str">
        <f>"251143"</f>
        <v>251143</v>
      </c>
      <c r="G1470" t="s">
        <v>49</v>
      </c>
      <c r="H1470" t="s">
        <v>221</v>
      </c>
      <c r="K1470" t="s">
        <v>51</v>
      </c>
      <c r="L1470" t="s">
        <v>52</v>
      </c>
      <c r="M1470">
        <v>136289.95000000001</v>
      </c>
      <c r="N1470">
        <v>472120.1</v>
      </c>
      <c r="O1470" t="s">
        <v>53</v>
      </c>
      <c r="P1470" t="s">
        <v>54</v>
      </c>
      <c r="Q1470" t="s">
        <v>55</v>
      </c>
      <c r="T1470" t="s">
        <v>241</v>
      </c>
      <c r="U1470">
        <v>40</v>
      </c>
      <c r="V1470" s="1">
        <v>33786</v>
      </c>
      <c r="W1470" s="1">
        <v>33786</v>
      </c>
      <c r="X1470" s="1">
        <v>33786</v>
      </c>
      <c r="Y1470" s="1">
        <v>48396</v>
      </c>
      <c r="Z1470" t="s">
        <v>51</v>
      </c>
      <c r="AB1470" t="s">
        <v>54</v>
      </c>
      <c r="AC1470">
        <v>1</v>
      </c>
      <c r="AE1470" t="s">
        <v>222</v>
      </c>
      <c r="AF1470">
        <v>20</v>
      </c>
      <c r="AG1470" s="1">
        <v>33786</v>
      </c>
      <c r="AH1470" s="1">
        <v>33786</v>
      </c>
      <c r="AI1470" s="1">
        <v>33786</v>
      </c>
      <c r="AJ1470" s="1">
        <v>41091</v>
      </c>
      <c r="AK1470" t="s">
        <v>51</v>
      </c>
      <c r="AN1470">
        <v>0</v>
      </c>
      <c r="AO1470" t="s">
        <v>54</v>
      </c>
      <c r="AP1470" t="s">
        <v>53</v>
      </c>
      <c r="AQ1470">
        <v>0</v>
      </c>
      <c r="AR1470" t="s">
        <v>53</v>
      </c>
      <c r="AS1470">
        <v>0</v>
      </c>
      <c r="AT1470">
        <v>0</v>
      </c>
      <c r="AW1470" t="s">
        <v>58</v>
      </c>
      <c r="AX1470">
        <v>20</v>
      </c>
      <c r="AY1470" s="1">
        <v>33786</v>
      </c>
      <c r="AZ1470" s="1">
        <v>33786</v>
      </c>
      <c r="BA1470" s="1">
        <v>33786</v>
      </c>
      <c r="BB1470" s="1">
        <v>41091</v>
      </c>
      <c r="BC1470" t="s">
        <v>51</v>
      </c>
      <c r="BE1470" t="s">
        <v>54</v>
      </c>
      <c r="BF1470">
        <v>2</v>
      </c>
      <c r="BG1470">
        <v>0</v>
      </c>
      <c r="BH1470" t="s">
        <v>53</v>
      </c>
      <c r="BK1470" t="s">
        <v>65</v>
      </c>
      <c r="BL1470">
        <v>14000</v>
      </c>
      <c r="BM1470" s="1">
        <v>42917</v>
      </c>
      <c r="BN1470" s="1">
        <v>42917</v>
      </c>
      <c r="BO1470" s="1">
        <v>42917</v>
      </c>
      <c r="BP1470" s="1">
        <v>44117</v>
      </c>
      <c r="BQ1470" t="s">
        <v>51</v>
      </c>
      <c r="BS1470" t="s">
        <v>60</v>
      </c>
      <c r="BT1470" t="s">
        <v>54</v>
      </c>
      <c r="BU1470" t="s">
        <v>61</v>
      </c>
      <c r="BV1470" t="s">
        <v>62</v>
      </c>
      <c r="BX1470">
        <v>36</v>
      </c>
      <c r="BY1470">
        <v>0</v>
      </c>
      <c r="BZ1470">
        <v>0</v>
      </c>
    </row>
    <row r="1471" spans="1:78" x14ac:dyDescent="0.2">
      <c r="A1471" t="s">
        <v>180</v>
      </c>
      <c r="B1471" t="s">
        <v>181</v>
      </c>
      <c r="C1471" t="s">
        <v>184</v>
      </c>
      <c r="D1471" t="s">
        <v>781</v>
      </c>
      <c r="F1471" t="str">
        <f>"251144"</f>
        <v>251144</v>
      </c>
      <c r="G1471" t="s">
        <v>49</v>
      </c>
      <c r="K1471" t="s">
        <v>51</v>
      </c>
      <c r="L1471" t="s">
        <v>52</v>
      </c>
      <c r="M1471">
        <v>136309.56</v>
      </c>
      <c r="N1471">
        <v>472111.28</v>
      </c>
      <c r="O1471" t="s">
        <v>53</v>
      </c>
      <c r="P1471" t="s">
        <v>54</v>
      </c>
      <c r="Q1471" t="s">
        <v>55</v>
      </c>
      <c r="T1471" t="s">
        <v>241</v>
      </c>
      <c r="U1471">
        <v>40</v>
      </c>
      <c r="V1471" s="1">
        <v>33786</v>
      </c>
      <c r="W1471" s="1">
        <v>33786</v>
      </c>
      <c r="X1471" s="1">
        <v>33786</v>
      </c>
      <c r="Y1471" s="1">
        <v>48396</v>
      </c>
      <c r="Z1471" t="s">
        <v>51</v>
      </c>
      <c r="AB1471" t="s">
        <v>54</v>
      </c>
      <c r="AC1471">
        <v>1</v>
      </c>
      <c r="AE1471" t="s">
        <v>222</v>
      </c>
      <c r="AF1471">
        <v>20</v>
      </c>
      <c r="AG1471" s="1">
        <v>33786</v>
      </c>
      <c r="AH1471" s="1">
        <v>33786</v>
      </c>
      <c r="AI1471" s="1">
        <v>33786</v>
      </c>
      <c r="AJ1471" s="1">
        <v>41091</v>
      </c>
      <c r="AK1471" t="s">
        <v>51</v>
      </c>
      <c r="AN1471">
        <v>0</v>
      </c>
      <c r="AO1471" t="s">
        <v>54</v>
      </c>
      <c r="AP1471" t="s">
        <v>53</v>
      </c>
      <c r="AQ1471">
        <v>0</v>
      </c>
      <c r="AR1471" t="s">
        <v>53</v>
      </c>
      <c r="AS1471">
        <v>0</v>
      </c>
      <c r="AT1471">
        <v>0</v>
      </c>
      <c r="AW1471" t="s">
        <v>58</v>
      </c>
      <c r="AX1471">
        <v>20</v>
      </c>
      <c r="AY1471" s="1">
        <v>33786</v>
      </c>
      <c r="AZ1471" s="1">
        <v>33786</v>
      </c>
      <c r="BA1471" s="1">
        <v>33786</v>
      </c>
      <c r="BB1471" s="1">
        <v>41091</v>
      </c>
      <c r="BC1471" t="s">
        <v>51</v>
      </c>
      <c r="BE1471" t="s">
        <v>54</v>
      </c>
      <c r="BF1471">
        <v>2</v>
      </c>
      <c r="BG1471">
        <v>0</v>
      </c>
      <c r="BH1471" t="s">
        <v>53</v>
      </c>
      <c r="BK1471" t="s">
        <v>65</v>
      </c>
      <c r="BL1471">
        <v>14000</v>
      </c>
      <c r="BM1471" s="1">
        <v>42917</v>
      </c>
      <c r="BN1471" s="1">
        <v>42917</v>
      </c>
      <c r="BO1471" s="1">
        <v>42917</v>
      </c>
      <c r="BP1471" s="1">
        <v>44117</v>
      </c>
      <c r="BQ1471" t="s">
        <v>51</v>
      </c>
      <c r="BS1471" t="s">
        <v>60</v>
      </c>
      <c r="BT1471" t="s">
        <v>54</v>
      </c>
      <c r="BU1471" t="s">
        <v>61</v>
      </c>
      <c r="BV1471" t="s">
        <v>62</v>
      </c>
      <c r="BX1471">
        <v>36</v>
      </c>
      <c r="BY1471">
        <v>0</v>
      </c>
      <c r="BZ1471">
        <v>0</v>
      </c>
    </row>
    <row r="1472" spans="1:78" x14ac:dyDescent="0.2">
      <c r="A1472" t="s">
        <v>180</v>
      </c>
      <c r="B1472" t="s">
        <v>181</v>
      </c>
      <c r="C1472" t="s">
        <v>184</v>
      </c>
      <c r="D1472" t="s">
        <v>781</v>
      </c>
      <c r="F1472" t="str">
        <f>"251145"</f>
        <v>251145</v>
      </c>
      <c r="G1472" t="s">
        <v>49</v>
      </c>
      <c r="K1472" t="s">
        <v>51</v>
      </c>
      <c r="L1472" t="s">
        <v>52</v>
      </c>
      <c r="M1472">
        <v>136328.34</v>
      </c>
      <c r="N1472">
        <v>472107.78</v>
      </c>
      <c r="O1472" t="s">
        <v>53</v>
      </c>
      <c r="P1472" t="s">
        <v>54</v>
      </c>
      <c r="Q1472" t="s">
        <v>55</v>
      </c>
      <c r="T1472" t="s">
        <v>241</v>
      </c>
      <c r="U1472">
        <v>40</v>
      </c>
      <c r="V1472" s="1">
        <v>33786</v>
      </c>
      <c r="W1472" s="1">
        <v>33786</v>
      </c>
      <c r="X1472" s="1">
        <v>33786</v>
      </c>
      <c r="Y1472" s="1">
        <v>48396</v>
      </c>
      <c r="Z1472" t="s">
        <v>51</v>
      </c>
      <c r="AB1472" t="s">
        <v>54</v>
      </c>
      <c r="AC1472">
        <v>1</v>
      </c>
      <c r="AE1472" t="s">
        <v>222</v>
      </c>
      <c r="AF1472">
        <v>20</v>
      </c>
      <c r="AG1472" s="1">
        <v>33786</v>
      </c>
      <c r="AH1472" s="1">
        <v>33786</v>
      </c>
      <c r="AI1472" s="1">
        <v>33786</v>
      </c>
      <c r="AJ1472" s="1">
        <v>41091</v>
      </c>
      <c r="AK1472" t="s">
        <v>51</v>
      </c>
      <c r="AN1472">
        <v>0</v>
      </c>
      <c r="AO1472" t="s">
        <v>54</v>
      </c>
      <c r="AP1472" t="s">
        <v>53</v>
      </c>
      <c r="AQ1472">
        <v>0</v>
      </c>
      <c r="AR1472" t="s">
        <v>53</v>
      </c>
      <c r="AS1472">
        <v>0</v>
      </c>
      <c r="AT1472">
        <v>0</v>
      </c>
      <c r="AW1472" t="s">
        <v>58</v>
      </c>
      <c r="AX1472">
        <v>20</v>
      </c>
      <c r="AY1472" s="1">
        <v>33786</v>
      </c>
      <c r="AZ1472" s="1">
        <v>33786</v>
      </c>
      <c r="BA1472" s="1">
        <v>33786</v>
      </c>
      <c r="BB1472" s="1">
        <v>41091</v>
      </c>
      <c r="BC1472" t="s">
        <v>51</v>
      </c>
      <c r="BE1472" t="s">
        <v>54</v>
      </c>
      <c r="BF1472">
        <v>2</v>
      </c>
      <c r="BG1472">
        <v>0</v>
      </c>
      <c r="BH1472" t="s">
        <v>53</v>
      </c>
      <c r="BK1472" t="s">
        <v>65</v>
      </c>
      <c r="BL1472">
        <v>14000</v>
      </c>
      <c r="BM1472" s="1">
        <v>42917</v>
      </c>
      <c r="BN1472" s="1">
        <v>42917</v>
      </c>
      <c r="BO1472" s="1">
        <v>42917</v>
      </c>
      <c r="BP1472" s="1">
        <v>44117</v>
      </c>
      <c r="BQ1472" t="s">
        <v>51</v>
      </c>
      <c r="BS1472" t="s">
        <v>60</v>
      </c>
      <c r="BT1472" t="s">
        <v>54</v>
      </c>
      <c r="BU1472" t="s">
        <v>61</v>
      </c>
      <c r="BV1472" t="s">
        <v>62</v>
      </c>
      <c r="BX1472">
        <v>36</v>
      </c>
      <c r="BY1472">
        <v>0</v>
      </c>
      <c r="BZ1472">
        <v>0</v>
      </c>
    </row>
    <row r="1473" spans="1:78" x14ac:dyDescent="0.2">
      <c r="A1473" t="s">
        <v>180</v>
      </c>
      <c r="B1473" t="s">
        <v>181</v>
      </c>
      <c r="C1473" t="s">
        <v>184</v>
      </c>
      <c r="D1473" t="s">
        <v>781</v>
      </c>
      <c r="F1473" t="str">
        <f>"251146"</f>
        <v>251146</v>
      </c>
      <c r="G1473" t="s">
        <v>49</v>
      </c>
      <c r="K1473" t="s">
        <v>51</v>
      </c>
      <c r="L1473" t="s">
        <v>52</v>
      </c>
      <c r="M1473">
        <v>136328.48000000001</v>
      </c>
      <c r="N1473">
        <v>472085.13</v>
      </c>
      <c r="O1473" t="s">
        <v>53</v>
      </c>
      <c r="P1473" t="s">
        <v>54</v>
      </c>
      <c r="Q1473" t="s">
        <v>55</v>
      </c>
      <c r="T1473" t="s">
        <v>241</v>
      </c>
      <c r="U1473">
        <v>40</v>
      </c>
      <c r="V1473" s="1">
        <v>33786</v>
      </c>
      <c r="W1473" s="1">
        <v>33786</v>
      </c>
      <c r="X1473" s="1">
        <v>33786</v>
      </c>
      <c r="Y1473" s="1">
        <v>48396</v>
      </c>
      <c r="Z1473" t="s">
        <v>51</v>
      </c>
      <c r="AB1473" t="s">
        <v>54</v>
      </c>
      <c r="AC1473">
        <v>1</v>
      </c>
      <c r="AE1473" t="s">
        <v>222</v>
      </c>
      <c r="AF1473">
        <v>20</v>
      </c>
      <c r="AG1473" s="1">
        <v>33786</v>
      </c>
      <c r="AH1473" s="1">
        <v>33786</v>
      </c>
      <c r="AI1473" s="1">
        <v>33786</v>
      </c>
      <c r="AJ1473" s="1">
        <v>41091</v>
      </c>
      <c r="AK1473" t="s">
        <v>51</v>
      </c>
      <c r="AN1473">
        <v>0</v>
      </c>
      <c r="AO1473" t="s">
        <v>54</v>
      </c>
      <c r="AP1473" t="s">
        <v>53</v>
      </c>
      <c r="AQ1473">
        <v>0</v>
      </c>
      <c r="AR1473" t="s">
        <v>53</v>
      </c>
      <c r="AS1473">
        <v>0</v>
      </c>
      <c r="AT1473">
        <v>0</v>
      </c>
      <c r="AW1473" t="s">
        <v>58</v>
      </c>
      <c r="AX1473">
        <v>20</v>
      </c>
      <c r="AY1473" s="1">
        <v>33786</v>
      </c>
      <c r="AZ1473" s="1">
        <v>33786</v>
      </c>
      <c r="BA1473" s="1">
        <v>33786</v>
      </c>
      <c r="BB1473" s="1">
        <v>41091</v>
      </c>
      <c r="BC1473" t="s">
        <v>51</v>
      </c>
      <c r="BE1473" t="s">
        <v>54</v>
      </c>
      <c r="BF1473">
        <v>2</v>
      </c>
      <c r="BG1473">
        <v>0</v>
      </c>
      <c r="BH1473" t="s">
        <v>53</v>
      </c>
      <c r="BK1473" t="s">
        <v>65</v>
      </c>
      <c r="BL1473">
        <v>14000</v>
      </c>
      <c r="BM1473" s="1">
        <v>42917</v>
      </c>
      <c r="BN1473" s="1">
        <v>42917</v>
      </c>
      <c r="BO1473" s="1">
        <v>42917</v>
      </c>
      <c r="BP1473" s="1">
        <v>44117</v>
      </c>
      <c r="BQ1473" t="s">
        <v>51</v>
      </c>
      <c r="BS1473" t="s">
        <v>60</v>
      </c>
      <c r="BT1473" t="s">
        <v>54</v>
      </c>
      <c r="BU1473" t="s">
        <v>61</v>
      </c>
      <c r="BV1473" t="s">
        <v>62</v>
      </c>
      <c r="BX1473">
        <v>36</v>
      </c>
      <c r="BY1473">
        <v>0</v>
      </c>
      <c r="BZ1473">
        <v>0</v>
      </c>
    </row>
    <row r="1474" spans="1:78" x14ac:dyDescent="0.2">
      <c r="A1474" t="s">
        <v>180</v>
      </c>
      <c r="B1474" t="s">
        <v>181</v>
      </c>
      <c r="C1474" t="s">
        <v>184</v>
      </c>
      <c r="D1474" t="s">
        <v>781</v>
      </c>
      <c r="F1474" t="str">
        <f>"251147"</f>
        <v>251147</v>
      </c>
      <c r="G1474" t="s">
        <v>49</v>
      </c>
      <c r="H1474" t="s">
        <v>166</v>
      </c>
      <c r="K1474" t="s">
        <v>51</v>
      </c>
      <c r="L1474" t="s">
        <v>52</v>
      </c>
      <c r="M1474">
        <v>136347.66</v>
      </c>
      <c r="N1474">
        <v>472098.35</v>
      </c>
      <c r="O1474" t="s">
        <v>53</v>
      </c>
      <c r="P1474" t="s">
        <v>54</v>
      </c>
      <c r="Q1474" t="s">
        <v>55</v>
      </c>
      <c r="T1474" t="s">
        <v>241</v>
      </c>
      <c r="U1474">
        <v>40</v>
      </c>
      <c r="V1474" s="1">
        <v>33786</v>
      </c>
      <c r="W1474" s="1">
        <v>33786</v>
      </c>
      <c r="X1474" s="1">
        <v>33786</v>
      </c>
      <c r="Y1474" s="1">
        <v>48396</v>
      </c>
      <c r="Z1474" t="s">
        <v>51</v>
      </c>
      <c r="AB1474" t="s">
        <v>54</v>
      </c>
      <c r="AC1474">
        <v>1</v>
      </c>
      <c r="AE1474" t="s">
        <v>222</v>
      </c>
      <c r="AF1474">
        <v>20</v>
      </c>
      <c r="AG1474" s="1">
        <v>33786</v>
      </c>
      <c r="AH1474" s="1">
        <v>33786</v>
      </c>
      <c r="AI1474" s="1">
        <v>33786</v>
      </c>
      <c r="AJ1474" s="1">
        <v>41091</v>
      </c>
      <c r="AK1474" t="s">
        <v>51</v>
      </c>
      <c r="AN1474">
        <v>0</v>
      </c>
      <c r="AO1474" t="s">
        <v>54</v>
      </c>
      <c r="AP1474" t="s">
        <v>53</v>
      </c>
      <c r="AQ1474">
        <v>0</v>
      </c>
      <c r="AR1474" t="s">
        <v>53</v>
      </c>
      <c r="AS1474">
        <v>0</v>
      </c>
      <c r="AT1474">
        <v>0</v>
      </c>
      <c r="AW1474" t="s">
        <v>58</v>
      </c>
      <c r="AX1474">
        <v>20</v>
      </c>
      <c r="AY1474" s="1">
        <v>33786</v>
      </c>
      <c r="AZ1474" s="1">
        <v>33786</v>
      </c>
      <c r="BA1474" s="1">
        <v>33786</v>
      </c>
      <c r="BB1474" s="1">
        <v>41091</v>
      </c>
      <c r="BC1474" t="s">
        <v>51</v>
      </c>
      <c r="BE1474" t="s">
        <v>54</v>
      </c>
      <c r="BF1474">
        <v>2</v>
      </c>
      <c r="BG1474">
        <v>0</v>
      </c>
      <c r="BH1474" t="s">
        <v>53</v>
      </c>
      <c r="BK1474" t="s">
        <v>65</v>
      </c>
      <c r="BL1474">
        <v>14000</v>
      </c>
      <c r="BM1474" s="1">
        <v>44208</v>
      </c>
      <c r="BN1474" s="1">
        <v>44208</v>
      </c>
      <c r="BO1474" s="1">
        <v>44208</v>
      </c>
      <c r="BP1474" s="1">
        <v>45376</v>
      </c>
      <c r="BQ1474" t="s">
        <v>51</v>
      </c>
      <c r="BS1474" t="s">
        <v>60</v>
      </c>
      <c r="BT1474" t="s">
        <v>54</v>
      </c>
      <c r="BU1474" t="s">
        <v>61</v>
      </c>
      <c r="BV1474" t="s">
        <v>62</v>
      </c>
      <c r="BX1474">
        <v>36</v>
      </c>
      <c r="BY1474">
        <v>0</v>
      </c>
      <c r="BZ1474">
        <v>0</v>
      </c>
    </row>
    <row r="1475" spans="1:78" x14ac:dyDescent="0.2">
      <c r="A1475" t="s">
        <v>180</v>
      </c>
      <c r="B1475" t="s">
        <v>181</v>
      </c>
      <c r="C1475" t="s">
        <v>184</v>
      </c>
      <c r="D1475" t="s">
        <v>781</v>
      </c>
      <c r="F1475" t="str">
        <f>"251148"</f>
        <v>251148</v>
      </c>
      <c r="G1475" t="s">
        <v>49</v>
      </c>
      <c r="K1475" t="s">
        <v>51</v>
      </c>
      <c r="L1475" t="s">
        <v>52</v>
      </c>
      <c r="M1475">
        <v>136362.07999999999</v>
      </c>
      <c r="N1475">
        <v>472087.5</v>
      </c>
      <c r="O1475" t="s">
        <v>53</v>
      </c>
      <c r="P1475" t="s">
        <v>54</v>
      </c>
      <c r="Q1475" t="s">
        <v>55</v>
      </c>
      <c r="T1475" t="s">
        <v>241</v>
      </c>
      <c r="U1475">
        <v>40</v>
      </c>
      <c r="V1475" s="1">
        <v>33786</v>
      </c>
      <c r="W1475" s="1">
        <v>33786</v>
      </c>
      <c r="X1475" s="1">
        <v>33786</v>
      </c>
      <c r="Y1475" s="1">
        <v>48396</v>
      </c>
      <c r="Z1475" t="s">
        <v>51</v>
      </c>
      <c r="AB1475" t="s">
        <v>54</v>
      </c>
      <c r="AC1475">
        <v>1</v>
      </c>
      <c r="AE1475" t="s">
        <v>222</v>
      </c>
      <c r="AF1475">
        <v>20</v>
      </c>
      <c r="AG1475" s="1">
        <v>33786</v>
      </c>
      <c r="AH1475" s="1">
        <v>33786</v>
      </c>
      <c r="AI1475" s="1">
        <v>33786</v>
      </c>
      <c r="AJ1475" s="1">
        <v>41091</v>
      </c>
      <c r="AK1475" t="s">
        <v>51</v>
      </c>
      <c r="AN1475">
        <v>0</v>
      </c>
      <c r="AO1475" t="s">
        <v>54</v>
      </c>
      <c r="AP1475" t="s">
        <v>53</v>
      </c>
      <c r="AQ1475">
        <v>0</v>
      </c>
      <c r="AR1475" t="s">
        <v>53</v>
      </c>
      <c r="AS1475">
        <v>0</v>
      </c>
      <c r="AT1475">
        <v>0</v>
      </c>
      <c r="AW1475" t="s">
        <v>58</v>
      </c>
      <c r="AX1475">
        <v>20</v>
      </c>
      <c r="AY1475" s="1">
        <v>33786</v>
      </c>
      <c r="AZ1475" s="1">
        <v>33786</v>
      </c>
      <c r="BA1475" s="1">
        <v>33786</v>
      </c>
      <c r="BB1475" s="1">
        <v>41091</v>
      </c>
      <c r="BC1475" t="s">
        <v>51</v>
      </c>
      <c r="BE1475" t="s">
        <v>54</v>
      </c>
      <c r="BF1475">
        <v>2</v>
      </c>
      <c r="BG1475">
        <v>0</v>
      </c>
      <c r="BH1475" t="s">
        <v>53</v>
      </c>
      <c r="BK1475" t="s">
        <v>65</v>
      </c>
      <c r="BL1475">
        <v>14000</v>
      </c>
      <c r="BM1475" s="1">
        <v>44214</v>
      </c>
      <c r="BN1475" s="1">
        <v>44214</v>
      </c>
      <c r="BO1475" s="1">
        <v>44214</v>
      </c>
      <c r="BP1475" s="1">
        <v>45385</v>
      </c>
      <c r="BQ1475" t="s">
        <v>51</v>
      </c>
      <c r="BS1475" t="s">
        <v>60</v>
      </c>
      <c r="BT1475" t="s">
        <v>54</v>
      </c>
      <c r="BU1475" t="s">
        <v>61</v>
      </c>
      <c r="BV1475" t="s">
        <v>62</v>
      </c>
      <c r="BX1475">
        <v>36</v>
      </c>
      <c r="BY1475">
        <v>0</v>
      </c>
      <c r="BZ1475">
        <v>0</v>
      </c>
    </row>
    <row r="1476" spans="1:78" x14ac:dyDescent="0.2">
      <c r="A1476" t="s">
        <v>180</v>
      </c>
      <c r="B1476" t="s">
        <v>181</v>
      </c>
      <c r="C1476" t="s">
        <v>184</v>
      </c>
      <c r="D1476" t="s">
        <v>781</v>
      </c>
      <c r="F1476" t="str">
        <f>"251149"</f>
        <v>251149</v>
      </c>
      <c r="G1476" t="s">
        <v>49</v>
      </c>
      <c r="H1476" t="s">
        <v>313</v>
      </c>
      <c r="K1476" t="s">
        <v>51</v>
      </c>
      <c r="L1476" t="s">
        <v>52</v>
      </c>
      <c r="M1476">
        <v>136379.85999999999</v>
      </c>
      <c r="N1476">
        <v>472074.56</v>
      </c>
      <c r="O1476" t="s">
        <v>53</v>
      </c>
      <c r="P1476" t="s">
        <v>54</v>
      </c>
      <c r="Q1476" t="s">
        <v>55</v>
      </c>
      <c r="T1476" t="s">
        <v>241</v>
      </c>
      <c r="U1476">
        <v>40</v>
      </c>
      <c r="V1476" s="1">
        <v>33786</v>
      </c>
      <c r="W1476" s="1">
        <v>33786</v>
      </c>
      <c r="X1476" s="1">
        <v>33786</v>
      </c>
      <c r="Y1476" s="1">
        <v>48396</v>
      </c>
      <c r="Z1476" t="s">
        <v>51</v>
      </c>
      <c r="AB1476" t="s">
        <v>54</v>
      </c>
      <c r="AC1476">
        <v>1</v>
      </c>
      <c r="AE1476" t="s">
        <v>222</v>
      </c>
      <c r="AF1476">
        <v>20</v>
      </c>
      <c r="AG1476" s="1">
        <v>33786</v>
      </c>
      <c r="AH1476" s="1">
        <v>33786</v>
      </c>
      <c r="AI1476" s="1">
        <v>33786</v>
      </c>
      <c r="AJ1476" s="1">
        <v>41091</v>
      </c>
      <c r="AK1476" t="s">
        <v>51</v>
      </c>
      <c r="AN1476">
        <v>0</v>
      </c>
      <c r="AO1476" t="s">
        <v>54</v>
      </c>
      <c r="AP1476" t="s">
        <v>53</v>
      </c>
      <c r="AQ1476">
        <v>0</v>
      </c>
      <c r="AR1476" t="s">
        <v>53</v>
      </c>
      <c r="AS1476">
        <v>0</v>
      </c>
      <c r="AT1476">
        <v>0</v>
      </c>
      <c r="AW1476" t="s">
        <v>58</v>
      </c>
      <c r="AX1476">
        <v>20</v>
      </c>
      <c r="AY1476" s="1">
        <v>33786</v>
      </c>
      <c r="AZ1476" s="1">
        <v>33786</v>
      </c>
      <c r="BA1476" s="1">
        <v>33786</v>
      </c>
      <c r="BB1476" s="1">
        <v>41091</v>
      </c>
      <c r="BC1476" t="s">
        <v>51</v>
      </c>
      <c r="BE1476" t="s">
        <v>54</v>
      </c>
      <c r="BF1476">
        <v>2</v>
      </c>
      <c r="BG1476">
        <v>0</v>
      </c>
      <c r="BH1476" t="s">
        <v>53</v>
      </c>
      <c r="BK1476" t="s">
        <v>65</v>
      </c>
      <c r="BL1476">
        <v>14000</v>
      </c>
      <c r="BM1476" s="1">
        <v>42917</v>
      </c>
      <c r="BN1476" s="1">
        <v>42917</v>
      </c>
      <c r="BO1476" s="1">
        <v>42917</v>
      </c>
      <c r="BP1476" s="1">
        <v>44117</v>
      </c>
      <c r="BQ1476" t="s">
        <v>51</v>
      </c>
      <c r="BS1476" t="s">
        <v>60</v>
      </c>
      <c r="BT1476" t="s">
        <v>54</v>
      </c>
      <c r="BU1476" t="s">
        <v>61</v>
      </c>
      <c r="BV1476" t="s">
        <v>62</v>
      </c>
      <c r="BX1476">
        <v>36</v>
      </c>
      <c r="BY1476">
        <v>0</v>
      </c>
      <c r="BZ1476">
        <v>0</v>
      </c>
    </row>
    <row r="1477" spans="1:78" x14ac:dyDescent="0.2">
      <c r="A1477" t="s">
        <v>180</v>
      </c>
      <c r="B1477" t="s">
        <v>181</v>
      </c>
      <c r="C1477" t="s">
        <v>184</v>
      </c>
      <c r="D1477" t="s">
        <v>781</v>
      </c>
      <c r="F1477" t="str">
        <f>"251150"</f>
        <v>251150</v>
      </c>
      <c r="G1477" t="s">
        <v>49</v>
      </c>
      <c r="K1477" t="s">
        <v>51</v>
      </c>
      <c r="L1477" t="s">
        <v>52</v>
      </c>
      <c r="M1477">
        <v>136416.01</v>
      </c>
      <c r="N1477">
        <v>472059.07</v>
      </c>
      <c r="O1477" t="s">
        <v>53</v>
      </c>
      <c r="P1477" t="s">
        <v>54</v>
      </c>
      <c r="Q1477" t="s">
        <v>55</v>
      </c>
      <c r="T1477" t="s">
        <v>431</v>
      </c>
      <c r="U1477">
        <v>40</v>
      </c>
      <c r="V1477" s="1">
        <v>33604</v>
      </c>
      <c r="W1477" s="1">
        <v>33604</v>
      </c>
      <c r="X1477" s="1">
        <v>33604</v>
      </c>
      <c r="Y1477" s="1">
        <v>48214</v>
      </c>
      <c r="Z1477" t="s">
        <v>51</v>
      </c>
      <c r="AB1477" t="s">
        <v>54</v>
      </c>
      <c r="AC1477">
        <v>1</v>
      </c>
      <c r="AE1477" t="s">
        <v>79</v>
      </c>
      <c r="AF1477">
        <v>20</v>
      </c>
      <c r="AG1477" s="1">
        <v>33604</v>
      </c>
      <c r="AH1477" s="1">
        <v>33604</v>
      </c>
      <c r="AI1477" s="1">
        <v>33604</v>
      </c>
      <c r="AJ1477" s="1">
        <v>40909</v>
      </c>
      <c r="AK1477" t="s">
        <v>51</v>
      </c>
      <c r="AN1477">
        <v>0</v>
      </c>
      <c r="AO1477" t="s">
        <v>54</v>
      </c>
      <c r="AP1477" t="s">
        <v>53</v>
      </c>
      <c r="AQ1477">
        <v>0</v>
      </c>
      <c r="AR1477" t="s">
        <v>145</v>
      </c>
      <c r="AS1477">
        <v>0</v>
      </c>
      <c r="AT1477">
        <v>0</v>
      </c>
      <c r="AW1477" t="s">
        <v>79</v>
      </c>
      <c r="AX1477">
        <v>20</v>
      </c>
      <c r="AY1477" s="1">
        <v>33604</v>
      </c>
      <c r="AZ1477" s="1">
        <v>33604</v>
      </c>
      <c r="BA1477" s="1">
        <v>33604</v>
      </c>
      <c r="BB1477" s="1">
        <v>40909</v>
      </c>
      <c r="BC1477" t="s">
        <v>51</v>
      </c>
      <c r="BE1477" t="s">
        <v>54</v>
      </c>
      <c r="BF1477">
        <v>5</v>
      </c>
      <c r="BG1477">
        <v>0</v>
      </c>
      <c r="BH1477" t="s">
        <v>53</v>
      </c>
      <c r="BK1477" t="s">
        <v>763</v>
      </c>
      <c r="BL1477">
        <v>14000</v>
      </c>
      <c r="BM1477" s="1">
        <v>42917</v>
      </c>
      <c r="BN1477" s="1">
        <v>42917</v>
      </c>
      <c r="BO1477" s="1">
        <v>42917</v>
      </c>
      <c r="BP1477" s="1">
        <v>44117</v>
      </c>
      <c r="BQ1477" t="s">
        <v>51</v>
      </c>
      <c r="BS1477" t="s">
        <v>60</v>
      </c>
      <c r="BT1477" t="s">
        <v>54</v>
      </c>
      <c r="BU1477" t="s">
        <v>61</v>
      </c>
      <c r="BV1477" t="s">
        <v>62</v>
      </c>
      <c r="BW1477">
        <v>830</v>
      </c>
      <c r="BX1477">
        <v>36</v>
      </c>
      <c r="BY1477">
        <v>0</v>
      </c>
      <c r="BZ1477">
        <v>0</v>
      </c>
    </row>
    <row r="1478" spans="1:78" x14ac:dyDescent="0.2">
      <c r="A1478" t="s">
        <v>180</v>
      </c>
      <c r="B1478" t="s">
        <v>181</v>
      </c>
      <c r="C1478" t="s">
        <v>184</v>
      </c>
      <c r="D1478" t="s">
        <v>781</v>
      </c>
      <c r="F1478" t="str">
        <f>"251151"</f>
        <v>251151</v>
      </c>
      <c r="G1478" t="s">
        <v>49</v>
      </c>
      <c r="H1478" t="s">
        <v>288</v>
      </c>
      <c r="K1478" t="s">
        <v>51</v>
      </c>
      <c r="L1478" t="s">
        <v>52</v>
      </c>
      <c r="M1478">
        <v>136437.24</v>
      </c>
      <c r="N1478">
        <v>472047.14</v>
      </c>
      <c r="O1478" t="s">
        <v>53</v>
      </c>
      <c r="P1478" t="s">
        <v>54</v>
      </c>
      <c r="Q1478" t="s">
        <v>55</v>
      </c>
      <c r="T1478" t="s">
        <v>241</v>
      </c>
      <c r="U1478">
        <v>40</v>
      </c>
      <c r="V1478" s="1">
        <v>33786</v>
      </c>
      <c r="W1478" s="1">
        <v>33786</v>
      </c>
      <c r="X1478" s="1">
        <v>33786</v>
      </c>
      <c r="Y1478" s="1">
        <v>48396</v>
      </c>
      <c r="Z1478" t="s">
        <v>51</v>
      </c>
      <c r="AB1478" t="s">
        <v>54</v>
      </c>
      <c r="AC1478">
        <v>1</v>
      </c>
      <c r="AE1478" t="s">
        <v>222</v>
      </c>
      <c r="AF1478">
        <v>20</v>
      </c>
      <c r="AG1478" s="1">
        <v>33786</v>
      </c>
      <c r="AH1478" s="1">
        <v>33786</v>
      </c>
      <c r="AI1478" s="1">
        <v>33786</v>
      </c>
      <c r="AJ1478" s="1">
        <v>41091</v>
      </c>
      <c r="AK1478" t="s">
        <v>51</v>
      </c>
      <c r="AN1478">
        <v>0</v>
      </c>
      <c r="AO1478" t="s">
        <v>54</v>
      </c>
      <c r="AP1478" t="s">
        <v>53</v>
      </c>
      <c r="AQ1478">
        <v>0</v>
      </c>
      <c r="AR1478" t="s">
        <v>53</v>
      </c>
      <c r="AS1478">
        <v>0</v>
      </c>
      <c r="AT1478">
        <v>0</v>
      </c>
      <c r="AW1478" t="s">
        <v>58</v>
      </c>
      <c r="AX1478">
        <v>20</v>
      </c>
      <c r="AY1478" s="1">
        <v>33786</v>
      </c>
      <c r="AZ1478" s="1">
        <v>33786</v>
      </c>
      <c r="BA1478" s="1">
        <v>33786</v>
      </c>
      <c r="BB1478" s="1">
        <v>41091</v>
      </c>
      <c r="BC1478" t="s">
        <v>51</v>
      </c>
      <c r="BE1478" t="s">
        <v>54</v>
      </c>
      <c r="BF1478">
        <v>2</v>
      </c>
      <c r="BG1478">
        <v>0</v>
      </c>
      <c r="BH1478" t="s">
        <v>53</v>
      </c>
      <c r="BK1478" t="s">
        <v>65</v>
      </c>
      <c r="BL1478">
        <v>14000</v>
      </c>
      <c r="BM1478" s="1">
        <v>42917</v>
      </c>
      <c r="BN1478" s="1">
        <v>42917</v>
      </c>
      <c r="BO1478" s="1">
        <v>42917</v>
      </c>
      <c r="BP1478" s="1">
        <v>44117</v>
      </c>
      <c r="BQ1478" t="s">
        <v>51</v>
      </c>
      <c r="BS1478" t="s">
        <v>60</v>
      </c>
      <c r="BT1478" t="s">
        <v>54</v>
      </c>
      <c r="BU1478" t="s">
        <v>61</v>
      </c>
      <c r="BV1478" t="s">
        <v>62</v>
      </c>
      <c r="BX1478">
        <v>36</v>
      </c>
      <c r="BY1478">
        <v>0</v>
      </c>
      <c r="BZ1478">
        <v>0</v>
      </c>
    </row>
    <row r="1479" spans="1:78" x14ac:dyDescent="0.2">
      <c r="A1479" t="s">
        <v>180</v>
      </c>
      <c r="B1479" t="s">
        <v>181</v>
      </c>
      <c r="C1479" t="s">
        <v>184</v>
      </c>
      <c r="D1479" t="s">
        <v>781</v>
      </c>
      <c r="F1479" t="str">
        <f>"251152"</f>
        <v>251152</v>
      </c>
      <c r="G1479" t="s">
        <v>49</v>
      </c>
      <c r="H1479" t="s">
        <v>542</v>
      </c>
      <c r="K1479" t="s">
        <v>51</v>
      </c>
      <c r="L1479" t="s">
        <v>52</v>
      </c>
      <c r="M1479">
        <v>136455.76</v>
      </c>
      <c r="N1479">
        <v>472030.42</v>
      </c>
      <c r="O1479" t="s">
        <v>53</v>
      </c>
      <c r="P1479" t="s">
        <v>54</v>
      </c>
      <c r="Q1479" t="s">
        <v>55</v>
      </c>
      <c r="T1479" t="s">
        <v>241</v>
      </c>
      <c r="U1479">
        <v>40</v>
      </c>
      <c r="V1479" s="1">
        <v>33786</v>
      </c>
      <c r="W1479" s="1">
        <v>33786</v>
      </c>
      <c r="X1479" s="1">
        <v>33786</v>
      </c>
      <c r="Y1479" s="1">
        <v>48396</v>
      </c>
      <c r="Z1479" t="s">
        <v>51</v>
      </c>
      <c r="AB1479" t="s">
        <v>54</v>
      </c>
      <c r="AC1479">
        <v>1</v>
      </c>
      <c r="AE1479" t="s">
        <v>222</v>
      </c>
      <c r="AF1479">
        <v>20</v>
      </c>
      <c r="AG1479" s="1">
        <v>33786</v>
      </c>
      <c r="AH1479" s="1">
        <v>33786</v>
      </c>
      <c r="AI1479" s="1">
        <v>33786</v>
      </c>
      <c r="AJ1479" s="1">
        <v>41091</v>
      </c>
      <c r="AK1479" t="s">
        <v>51</v>
      </c>
      <c r="AN1479">
        <v>0</v>
      </c>
      <c r="AO1479" t="s">
        <v>54</v>
      </c>
      <c r="AP1479" t="s">
        <v>53</v>
      </c>
      <c r="AQ1479">
        <v>0</v>
      </c>
      <c r="AR1479" t="s">
        <v>53</v>
      </c>
      <c r="AS1479">
        <v>0</v>
      </c>
      <c r="AT1479">
        <v>0</v>
      </c>
      <c r="AW1479" t="s">
        <v>58</v>
      </c>
      <c r="AX1479">
        <v>20</v>
      </c>
      <c r="AY1479" s="1">
        <v>33786</v>
      </c>
      <c r="AZ1479" s="1">
        <v>33786</v>
      </c>
      <c r="BA1479" s="1">
        <v>33786</v>
      </c>
      <c r="BB1479" s="1">
        <v>41091</v>
      </c>
      <c r="BC1479" t="s">
        <v>51</v>
      </c>
      <c r="BE1479" t="s">
        <v>54</v>
      </c>
      <c r="BF1479">
        <v>2</v>
      </c>
      <c r="BG1479">
        <v>0</v>
      </c>
      <c r="BH1479" t="s">
        <v>53</v>
      </c>
      <c r="BK1479" t="s">
        <v>65</v>
      </c>
      <c r="BL1479">
        <v>14000</v>
      </c>
      <c r="BM1479" s="1">
        <v>42917</v>
      </c>
      <c r="BN1479" s="1">
        <v>42917</v>
      </c>
      <c r="BO1479" s="1">
        <v>42917</v>
      </c>
      <c r="BP1479" s="1">
        <v>44117</v>
      </c>
      <c r="BQ1479" t="s">
        <v>51</v>
      </c>
      <c r="BS1479" t="s">
        <v>60</v>
      </c>
      <c r="BT1479" t="s">
        <v>54</v>
      </c>
      <c r="BU1479" t="s">
        <v>61</v>
      </c>
      <c r="BV1479" t="s">
        <v>62</v>
      </c>
      <c r="BX1479">
        <v>36</v>
      </c>
      <c r="BY1479">
        <v>0</v>
      </c>
      <c r="BZ1479">
        <v>0</v>
      </c>
    </row>
    <row r="1480" spans="1:78" x14ac:dyDescent="0.2">
      <c r="A1480" t="s">
        <v>180</v>
      </c>
      <c r="B1480" t="s">
        <v>181</v>
      </c>
      <c r="C1480" t="s">
        <v>184</v>
      </c>
      <c r="D1480" t="s">
        <v>781</v>
      </c>
      <c r="F1480" t="str">
        <f>"251153"</f>
        <v>251153</v>
      </c>
      <c r="G1480" t="s">
        <v>49</v>
      </c>
      <c r="K1480" t="s">
        <v>51</v>
      </c>
      <c r="L1480" t="s">
        <v>52</v>
      </c>
      <c r="M1480">
        <v>136294.67000000001</v>
      </c>
      <c r="N1480">
        <v>472083.1</v>
      </c>
      <c r="O1480" t="s">
        <v>53</v>
      </c>
      <c r="P1480" t="s">
        <v>54</v>
      </c>
      <c r="Q1480" t="s">
        <v>55</v>
      </c>
      <c r="T1480" t="s">
        <v>713</v>
      </c>
      <c r="U1480">
        <v>40</v>
      </c>
      <c r="V1480" s="1">
        <v>33786</v>
      </c>
      <c r="W1480" s="1">
        <v>33786</v>
      </c>
      <c r="X1480" s="1">
        <v>33786</v>
      </c>
      <c r="Y1480" s="1">
        <v>48396</v>
      </c>
      <c r="Z1480" t="s">
        <v>51</v>
      </c>
      <c r="AB1480" t="s">
        <v>54</v>
      </c>
      <c r="AC1480">
        <v>1</v>
      </c>
      <c r="AE1480" t="s">
        <v>685</v>
      </c>
      <c r="AF1480">
        <v>20</v>
      </c>
      <c r="AG1480" s="1">
        <v>33786</v>
      </c>
      <c r="AH1480" s="1">
        <v>33786</v>
      </c>
      <c r="AI1480" s="1">
        <v>33786</v>
      </c>
      <c r="AJ1480" s="1">
        <v>41091</v>
      </c>
      <c r="AK1480" t="s">
        <v>51</v>
      </c>
      <c r="AN1480">
        <v>0</v>
      </c>
      <c r="AO1480" t="s">
        <v>54</v>
      </c>
      <c r="AP1480" t="s">
        <v>53</v>
      </c>
      <c r="AQ1480">
        <v>0</v>
      </c>
      <c r="AR1480" t="s">
        <v>53</v>
      </c>
      <c r="AS1480">
        <v>0</v>
      </c>
      <c r="AT1480">
        <v>0</v>
      </c>
      <c r="AW1480" t="s">
        <v>58</v>
      </c>
      <c r="AX1480">
        <v>20</v>
      </c>
      <c r="AY1480" s="1">
        <v>33786</v>
      </c>
      <c r="AZ1480" s="1">
        <v>33786</v>
      </c>
      <c r="BA1480" s="1">
        <v>33786</v>
      </c>
      <c r="BB1480" s="1">
        <v>41091</v>
      </c>
      <c r="BC1480" t="s">
        <v>51</v>
      </c>
      <c r="BE1480" t="s">
        <v>54</v>
      </c>
      <c r="BF1480">
        <v>2</v>
      </c>
      <c r="BG1480">
        <v>0</v>
      </c>
      <c r="BH1480" t="s">
        <v>53</v>
      </c>
      <c r="BK1480" t="s">
        <v>686</v>
      </c>
      <c r="BL1480">
        <v>8000</v>
      </c>
      <c r="BM1480" s="1">
        <v>44908</v>
      </c>
      <c r="BN1480" s="1">
        <v>44908</v>
      </c>
      <c r="BO1480" s="1">
        <v>44908</v>
      </c>
      <c r="BP1480" s="1">
        <v>45597</v>
      </c>
      <c r="BQ1480" t="s">
        <v>51</v>
      </c>
      <c r="BS1480" t="s">
        <v>60</v>
      </c>
      <c r="BT1480" t="s">
        <v>54</v>
      </c>
      <c r="BU1480" t="s">
        <v>687</v>
      </c>
      <c r="BV1480" t="s">
        <v>688</v>
      </c>
      <c r="BX1480">
        <v>18</v>
      </c>
      <c r="BY1480">
        <v>0</v>
      </c>
      <c r="BZ1480">
        <v>0</v>
      </c>
    </row>
    <row r="1481" spans="1:78" x14ac:dyDescent="0.2">
      <c r="A1481" t="s">
        <v>180</v>
      </c>
      <c r="B1481" t="s">
        <v>181</v>
      </c>
      <c r="C1481" t="s">
        <v>184</v>
      </c>
      <c r="D1481" t="s">
        <v>781</v>
      </c>
      <c r="F1481" t="str">
        <f>"251154"</f>
        <v>251154</v>
      </c>
      <c r="G1481" t="s">
        <v>49</v>
      </c>
      <c r="K1481" t="s">
        <v>51</v>
      </c>
      <c r="L1481" t="s">
        <v>52</v>
      </c>
      <c r="M1481">
        <v>136348.32</v>
      </c>
      <c r="N1481">
        <v>472056.11</v>
      </c>
      <c r="O1481" t="s">
        <v>53</v>
      </c>
      <c r="P1481" t="s">
        <v>54</v>
      </c>
      <c r="Q1481" t="s">
        <v>55</v>
      </c>
      <c r="T1481" t="s">
        <v>713</v>
      </c>
      <c r="U1481">
        <v>40</v>
      </c>
      <c r="V1481" s="1">
        <v>33786</v>
      </c>
      <c r="W1481" s="1">
        <v>33786</v>
      </c>
      <c r="X1481" s="1">
        <v>33786</v>
      </c>
      <c r="Y1481" s="1">
        <v>48396</v>
      </c>
      <c r="Z1481" t="s">
        <v>51</v>
      </c>
      <c r="AB1481" t="s">
        <v>54</v>
      </c>
      <c r="AC1481">
        <v>1</v>
      </c>
      <c r="AE1481" t="s">
        <v>685</v>
      </c>
      <c r="AF1481">
        <v>20</v>
      </c>
      <c r="AG1481" s="1">
        <v>33786</v>
      </c>
      <c r="AH1481" s="1">
        <v>33786</v>
      </c>
      <c r="AI1481" s="1">
        <v>33786</v>
      </c>
      <c r="AJ1481" s="1">
        <v>41091</v>
      </c>
      <c r="AK1481" t="s">
        <v>51</v>
      </c>
      <c r="AN1481">
        <v>0</v>
      </c>
      <c r="AO1481" t="s">
        <v>54</v>
      </c>
      <c r="AP1481" t="s">
        <v>53</v>
      </c>
      <c r="AQ1481">
        <v>0</v>
      </c>
      <c r="AR1481" t="s">
        <v>53</v>
      </c>
      <c r="AS1481">
        <v>0</v>
      </c>
      <c r="AT1481">
        <v>0</v>
      </c>
      <c r="AW1481" t="s">
        <v>58</v>
      </c>
      <c r="AX1481">
        <v>20</v>
      </c>
      <c r="AY1481" s="1">
        <v>33786</v>
      </c>
      <c r="AZ1481" s="1">
        <v>33786</v>
      </c>
      <c r="BA1481" s="1">
        <v>33786</v>
      </c>
      <c r="BB1481" s="1">
        <v>41091</v>
      </c>
      <c r="BC1481" t="s">
        <v>51</v>
      </c>
      <c r="BE1481" t="s">
        <v>54</v>
      </c>
      <c r="BF1481">
        <v>2</v>
      </c>
      <c r="BG1481">
        <v>0</v>
      </c>
      <c r="BH1481" t="s">
        <v>53</v>
      </c>
      <c r="BK1481" t="s">
        <v>686</v>
      </c>
      <c r="BL1481">
        <v>8000</v>
      </c>
      <c r="BM1481" s="1">
        <v>43717</v>
      </c>
      <c r="BN1481" s="1">
        <v>43717</v>
      </c>
      <c r="BO1481" s="1">
        <v>43717</v>
      </c>
      <c r="BP1481" s="1">
        <v>44373</v>
      </c>
      <c r="BQ1481" t="s">
        <v>51</v>
      </c>
      <c r="BS1481" t="s">
        <v>60</v>
      </c>
      <c r="BT1481" t="s">
        <v>54</v>
      </c>
      <c r="BU1481" t="s">
        <v>687</v>
      </c>
      <c r="BV1481" t="s">
        <v>688</v>
      </c>
      <c r="BX1481">
        <v>18</v>
      </c>
      <c r="BY1481">
        <v>0</v>
      </c>
      <c r="BZ1481">
        <v>0</v>
      </c>
    </row>
    <row r="1482" spans="1:78" x14ac:dyDescent="0.2">
      <c r="A1482" t="s">
        <v>180</v>
      </c>
      <c r="B1482" t="s">
        <v>181</v>
      </c>
      <c r="C1482" t="s">
        <v>184</v>
      </c>
      <c r="D1482" t="s">
        <v>782</v>
      </c>
      <c r="F1482" t="str">
        <f>"251155"</f>
        <v>251155</v>
      </c>
      <c r="G1482" t="s">
        <v>49</v>
      </c>
      <c r="K1482" t="s">
        <v>51</v>
      </c>
      <c r="L1482" t="s">
        <v>52</v>
      </c>
      <c r="M1482">
        <v>136256.12</v>
      </c>
      <c r="N1482">
        <v>472076.34</v>
      </c>
      <c r="O1482" t="s">
        <v>53</v>
      </c>
      <c r="P1482" t="s">
        <v>54</v>
      </c>
      <c r="Q1482" t="s">
        <v>55</v>
      </c>
      <c r="T1482" t="s">
        <v>241</v>
      </c>
      <c r="U1482">
        <v>40</v>
      </c>
      <c r="V1482" s="1">
        <v>35247</v>
      </c>
      <c r="W1482" s="1">
        <v>35247</v>
      </c>
      <c r="X1482" s="1">
        <v>35247</v>
      </c>
      <c r="Y1482" s="1">
        <v>49857</v>
      </c>
      <c r="Z1482" t="s">
        <v>51</v>
      </c>
      <c r="AB1482" t="s">
        <v>54</v>
      </c>
      <c r="AC1482">
        <v>1</v>
      </c>
      <c r="AE1482" t="s">
        <v>222</v>
      </c>
      <c r="AF1482">
        <v>20</v>
      </c>
      <c r="AG1482" s="1">
        <v>35247</v>
      </c>
      <c r="AH1482" s="1">
        <v>35247</v>
      </c>
      <c r="AI1482" s="1">
        <v>35247</v>
      </c>
      <c r="AJ1482" s="1">
        <v>42552</v>
      </c>
      <c r="AK1482" t="s">
        <v>51</v>
      </c>
      <c r="AN1482">
        <v>0</v>
      </c>
      <c r="AO1482" t="s">
        <v>54</v>
      </c>
      <c r="AP1482" t="s">
        <v>53</v>
      </c>
      <c r="AQ1482">
        <v>0</v>
      </c>
      <c r="AR1482" t="s">
        <v>53</v>
      </c>
      <c r="AS1482">
        <v>0</v>
      </c>
      <c r="AT1482">
        <v>0</v>
      </c>
      <c r="AW1482" t="s">
        <v>58</v>
      </c>
      <c r="AX1482">
        <v>20</v>
      </c>
      <c r="AY1482" s="1">
        <v>35247</v>
      </c>
      <c r="AZ1482" s="1">
        <v>35247</v>
      </c>
      <c r="BA1482" s="1">
        <v>35247</v>
      </c>
      <c r="BB1482" s="1">
        <v>42552</v>
      </c>
      <c r="BC1482" t="s">
        <v>51</v>
      </c>
      <c r="BE1482" t="s">
        <v>54</v>
      </c>
      <c r="BF1482">
        <v>2</v>
      </c>
      <c r="BG1482">
        <v>0</v>
      </c>
      <c r="BH1482" t="s">
        <v>53</v>
      </c>
      <c r="BK1482" t="s">
        <v>65</v>
      </c>
      <c r="BL1482">
        <v>14000</v>
      </c>
      <c r="BM1482" s="1">
        <v>42917</v>
      </c>
      <c r="BN1482" s="1">
        <v>42917</v>
      </c>
      <c r="BO1482" s="1">
        <v>42917</v>
      </c>
      <c r="BP1482" s="1">
        <v>44117</v>
      </c>
      <c r="BQ1482" t="s">
        <v>51</v>
      </c>
      <c r="BS1482" t="s">
        <v>60</v>
      </c>
      <c r="BT1482" t="s">
        <v>54</v>
      </c>
      <c r="BU1482" t="s">
        <v>61</v>
      </c>
      <c r="BV1482" t="s">
        <v>62</v>
      </c>
      <c r="BX1482">
        <v>36</v>
      </c>
      <c r="BY1482">
        <v>0</v>
      </c>
      <c r="BZ1482">
        <v>0</v>
      </c>
    </row>
    <row r="1483" spans="1:78" x14ac:dyDescent="0.2">
      <c r="A1483" t="s">
        <v>180</v>
      </c>
      <c r="B1483" t="s">
        <v>181</v>
      </c>
      <c r="C1483" t="s">
        <v>184</v>
      </c>
      <c r="D1483" t="s">
        <v>782</v>
      </c>
      <c r="F1483" t="str">
        <f>"251156"</f>
        <v>251156</v>
      </c>
      <c r="G1483" t="s">
        <v>49</v>
      </c>
      <c r="H1483" t="s">
        <v>510</v>
      </c>
      <c r="K1483" t="s">
        <v>51</v>
      </c>
      <c r="L1483" t="s">
        <v>52</v>
      </c>
      <c r="M1483">
        <v>136276.38</v>
      </c>
      <c r="N1483">
        <v>472062.61</v>
      </c>
      <c r="O1483" t="s">
        <v>53</v>
      </c>
      <c r="P1483" t="s">
        <v>54</v>
      </c>
      <c r="Q1483" t="s">
        <v>55</v>
      </c>
      <c r="T1483" t="s">
        <v>241</v>
      </c>
      <c r="U1483">
        <v>40</v>
      </c>
      <c r="V1483" s="1">
        <v>34881</v>
      </c>
      <c r="W1483" s="1">
        <v>34881</v>
      </c>
      <c r="X1483" s="1">
        <v>34881</v>
      </c>
      <c r="Y1483" s="1">
        <v>49491</v>
      </c>
      <c r="Z1483" t="s">
        <v>51</v>
      </c>
      <c r="AB1483" t="s">
        <v>54</v>
      </c>
      <c r="AC1483">
        <v>1</v>
      </c>
      <c r="AE1483" t="s">
        <v>222</v>
      </c>
      <c r="AF1483">
        <v>20</v>
      </c>
      <c r="AG1483" s="1">
        <v>34881</v>
      </c>
      <c r="AH1483" s="1">
        <v>34881</v>
      </c>
      <c r="AI1483" s="1">
        <v>34881</v>
      </c>
      <c r="AJ1483" s="1">
        <v>42186</v>
      </c>
      <c r="AK1483" t="s">
        <v>51</v>
      </c>
      <c r="AN1483">
        <v>0</v>
      </c>
      <c r="AO1483" t="s">
        <v>54</v>
      </c>
      <c r="AP1483" t="s">
        <v>53</v>
      </c>
      <c r="AQ1483">
        <v>0</v>
      </c>
      <c r="AR1483" t="s">
        <v>53</v>
      </c>
      <c r="AS1483">
        <v>0</v>
      </c>
      <c r="AT1483">
        <v>0</v>
      </c>
      <c r="AW1483" t="s">
        <v>58</v>
      </c>
      <c r="AX1483">
        <v>20</v>
      </c>
      <c r="AY1483" s="1">
        <v>34881</v>
      </c>
      <c r="AZ1483" s="1">
        <v>34881</v>
      </c>
      <c r="BA1483" s="1">
        <v>34881</v>
      </c>
      <c r="BB1483" s="1">
        <v>42186</v>
      </c>
      <c r="BC1483" t="s">
        <v>51</v>
      </c>
      <c r="BE1483" t="s">
        <v>54</v>
      </c>
      <c r="BF1483">
        <v>2</v>
      </c>
      <c r="BG1483">
        <v>0</v>
      </c>
      <c r="BH1483" t="s">
        <v>53</v>
      </c>
      <c r="BK1483" t="s">
        <v>65</v>
      </c>
      <c r="BL1483">
        <v>14000</v>
      </c>
      <c r="BM1483" s="1">
        <v>42917</v>
      </c>
      <c r="BN1483" s="1">
        <v>42917</v>
      </c>
      <c r="BO1483" s="1">
        <v>42917</v>
      </c>
      <c r="BP1483" s="1">
        <v>44117</v>
      </c>
      <c r="BQ1483" t="s">
        <v>51</v>
      </c>
      <c r="BS1483" t="s">
        <v>60</v>
      </c>
      <c r="BT1483" t="s">
        <v>54</v>
      </c>
      <c r="BU1483" t="s">
        <v>61</v>
      </c>
      <c r="BV1483" t="s">
        <v>62</v>
      </c>
      <c r="BX1483">
        <v>36</v>
      </c>
      <c r="BY1483">
        <v>0</v>
      </c>
      <c r="BZ1483">
        <v>0</v>
      </c>
    </row>
    <row r="1484" spans="1:78" x14ac:dyDescent="0.2">
      <c r="A1484" t="s">
        <v>180</v>
      </c>
      <c r="B1484" t="s">
        <v>181</v>
      </c>
      <c r="C1484" t="s">
        <v>184</v>
      </c>
      <c r="D1484" t="s">
        <v>782</v>
      </c>
      <c r="F1484" t="str">
        <f>"251157"</f>
        <v>251157</v>
      </c>
      <c r="G1484" t="s">
        <v>49</v>
      </c>
      <c r="H1484" t="s">
        <v>166</v>
      </c>
      <c r="K1484" t="s">
        <v>51</v>
      </c>
      <c r="L1484" t="s">
        <v>52</v>
      </c>
      <c r="M1484">
        <v>136296.53</v>
      </c>
      <c r="N1484">
        <v>472052.46</v>
      </c>
      <c r="O1484" t="s">
        <v>53</v>
      </c>
      <c r="P1484" t="s">
        <v>54</v>
      </c>
      <c r="Q1484" t="s">
        <v>55</v>
      </c>
      <c r="T1484" t="s">
        <v>241</v>
      </c>
      <c r="U1484">
        <v>40</v>
      </c>
      <c r="V1484" s="1">
        <v>34881</v>
      </c>
      <c r="W1484" s="1">
        <v>34881</v>
      </c>
      <c r="X1484" s="1">
        <v>34881</v>
      </c>
      <c r="Y1484" s="1">
        <v>49491</v>
      </c>
      <c r="Z1484" t="s">
        <v>51</v>
      </c>
      <c r="AB1484" t="s">
        <v>54</v>
      </c>
      <c r="AC1484">
        <v>1</v>
      </c>
      <c r="AE1484" t="s">
        <v>222</v>
      </c>
      <c r="AF1484">
        <v>20</v>
      </c>
      <c r="AG1484" s="1">
        <v>34881</v>
      </c>
      <c r="AH1484" s="1">
        <v>34881</v>
      </c>
      <c r="AI1484" s="1">
        <v>34881</v>
      </c>
      <c r="AJ1484" s="1">
        <v>42186</v>
      </c>
      <c r="AK1484" t="s">
        <v>51</v>
      </c>
      <c r="AN1484">
        <v>0</v>
      </c>
      <c r="AO1484" t="s">
        <v>54</v>
      </c>
      <c r="AP1484" t="s">
        <v>53</v>
      </c>
      <c r="AQ1484">
        <v>0</v>
      </c>
      <c r="AR1484" t="s">
        <v>53</v>
      </c>
      <c r="AS1484">
        <v>0</v>
      </c>
      <c r="AT1484">
        <v>0</v>
      </c>
      <c r="AW1484" t="s">
        <v>58</v>
      </c>
      <c r="AX1484">
        <v>20</v>
      </c>
      <c r="AY1484" s="1">
        <v>34881</v>
      </c>
      <c r="AZ1484" s="1">
        <v>34881</v>
      </c>
      <c r="BA1484" s="1">
        <v>34881</v>
      </c>
      <c r="BB1484" s="1">
        <v>42186</v>
      </c>
      <c r="BC1484" t="s">
        <v>51</v>
      </c>
      <c r="BE1484" t="s">
        <v>54</v>
      </c>
      <c r="BF1484">
        <v>2</v>
      </c>
      <c r="BG1484">
        <v>0</v>
      </c>
      <c r="BH1484" t="s">
        <v>53</v>
      </c>
      <c r="BK1484" t="s">
        <v>65</v>
      </c>
      <c r="BL1484">
        <v>14000</v>
      </c>
      <c r="BM1484" s="1">
        <v>42917</v>
      </c>
      <c r="BN1484" s="1">
        <v>42917</v>
      </c>
      <c r="BO1484" s="1">
        <v>42917</v>
      </c>
      <c r="BP1484" s="1">
        <v>44117</v>
      </c>
      <c r="BQ1484" t="s">
        <v>51</v>
      </c>
      <c r="BS1484" t="s">
        <v>60</v>
      </c>
      <c r="BT1484" t="s">
        <v>54</v>
      </c>
      <c r="BU1484" t="s">
        <v>61</v>
      </c>
      <c r="BV1484" t="s">
        <v>62</v>
      </c>
      <c r="BX1484">
        <v>36</v>
      </c>
      <c r="BY1484">
        <v>0</v>
      </c>
      <c r="BZ1484">
        <v>0</v>
      </c>
    </row>
    <row r="1485" spans="1:78" x14ac:dyDescent="0.2">
      <c r="A1485" t="s">
        <v>180</v>
      </c>
      <c r="B1485" t="s">
        <v>181</v>
      </c>
      <c r="C1485" t="s">
        <v>184</v>
      </c>
      <c r="D1485" t="s">
        <v>782</v>
      </c>
      <c r="F1485" t="str">
        <f>"251158"</f>
        <v>251158</v>
      </c>
      <c r="G1485" t="s">
        <v>49</v>
      </c>
      <c r="H1485" t="s">
        <v>163</v>
      </c>
      <c r="K1485" t="s">
        <v>51</v>
      </c>
      <c r="L1485" t="s">
        <v>52</v>
      </c>
      <c r="M1485">
        <v>136313.34</v>
      </c>
      <c r="N1485">
        <v>472055.31</v>
      </c>
      <c r="O1485" t="s">
        <v>53</v>
      </c>
      <c r="P1485" t="s">
        <v>54</v>
      </c>
      <c r="Q1485" t="s">
        <v>55</v>
      </c>
      <c r="T1485" t="s">
        <v>241</v>
      </c>
      <c r="U1485">
        <v>40</v>
      </c>
      <c r="V1485" s="1">
        <v>34881</v>
      </c>
      <c r="W1485" s="1">
        <v>34881</v>
      </c>
      <c r="X1485" s="1">
        <v>34881</v>
      </c>
      <c r="Y1485" s="1">
        <v>49491</v>
      </c>
      <c r="Z1485" t="s">
        <v>51</v>
      </c>
      <c r="AB1485" t="s">
        <v>54</v>
      </c>
      <c r="AC1485">
        <v>1</v>
      </c>
      <c r="AE1485" t="s">
        <v>222</v>
      </c>
      <c r="AF1485">
        <v>20</v>
      </c>
      <c r="AG1485" s="1">
        <v>34881</v>
      </c>
      <c r="AH1485" s="1">
        <v>34881</v>
      </c>
      <c r="AI1485" s="1">
        <v>34881</v>
      </c>
      <c r="AJ1485" s="1">
        <v>42186</v>
      </c>
      <c r="AK1485" t="s">
        <v>51</v>
      </c>
      <c r="AN1485">
        <v>0</v>
      </c>
      <c r="AO1485" t="s">
        <v>54</v>
      </c>
      <c r="AP1485" t="s">
        <v>53</v>
      </c>
      <c r="AQ1485">
        <v>0</v>
      </c>
      <c r="AR1485" t="s">
        <v>53</v>
      </c>
      <c r="AS1485">
        <v>0</v>
      </c>
      <c r="AT1485">
        <v>0</v>
      </c>
      <c r="AW1485" t="s">
        <v>58</v>
      </c>
      <c r="AX1485">
        <v>20</v>
      </c>
      <c r="AY1485" s="1">
        <v>34881</v>
      </c>
      <c r="AZ1485" s="1">
        <v>34881</v>
      </c>
      <c r="BA1485" s="1">
        <v>34881</v>
      </c>
      <c r="BB1485" s="1">
        <v>42186</v>
      </c>
      <c r="BC1485" t="s">
        <v>51</v>
      </c>
      <c r="BE1485" t="s">
        <v>54</v>
      </c>
      <c r="BF1485">
        <v>2</v>
      </c>
      <c r="BG1485">
        <v>0</v>
      </c>
      <c r="BH1485" t="s">
        <v>53</v>
      </c>
      <c r="BK1485" t="s">
        <v>65</v>
      </c>
      <c r="BL1485">
        <v>14000</v>
      </c>
      <c r="BM1485" s="1">
        <v>42917</v>
      </c>
      <c r="BN1485" s="1">
        <v>42917</v>
      </c>
      <c r="BO1485" s="1">
        <v>42917</v>
      </c>
      <c r="BP1485" s="1">
        <v>44117</v>
      </c>
      <c r="BQ1485" t="s">
        <v>51</v>
      </c>
      <c r="BS1485" t="s">
        <v>60</v>
      </c>
      <c r="BT1485" t="s">
        <v>54</v>
      </c>
      <c r="BU1485" t="s">
        <v>61</v>
      </c>
      <c r="BV1485" t="s">
        <v>62</v>
      </c>
      <c r="BX1485">
        <v>36</v>
      </c>
      <c r="BY1485">
        <v>0</v>
      </c>
      <c r="BZ1485">
        <v>0</v>
      </c>
    </row>
    <row r="1486" spans="1:78" x14ac:dyDescent="0.2">
      <c r="A1486" t="s">
        <v>180</v>
      </c>
      <c r="B1486" t="s">
        <v>181</v>
      </c>
      <c r="C1486" t="s">
        <v>184</v>
      </c>
      <c r="D1486" t="s">
        <v>782</v>
      </c>
      <c r="F1486" t="str">
        <f>"251159"</f>
        <v>251159</v>
      </c>
      <c r="G1486" t="s">
        <v>49</v>
      </c>
      <c r="H1486" t="s">
        <v>472</v>
      </c>
      <c r="K1486" t="s">
        <v>51</v>
      </c>
      <c r="L1486" t="s">
        <v>52</v>
      </c>
      <c r="M1486">
        <v>136321.75</v>
      </c>
      <c r="N1486">
        <v>472039.79</v>
      </c>
      <c r="O1486" t="s">
        <v>53</v>
      </c>
      <c r="P1486" t="s">
        <v>54</v>
      </c>
      <c r="Q1486" t="s">
        <v>55</v>
      </c>
      <c r="T1486" t="s">
        <v>241</v>
      </c>
      <c r="U1486">
        <v>40</v>
      </c>
      <c r="V1486" s="1">
        <v>34881</v>
      </c>
      <c r="W1486" s="1">
        <v>34881</v>
      </c>
      <c r="X1486" s="1">
        <v>34881</v>
      </c>
      <c r="Y1486" s="1">
        <v>49491</v>
      </c>
      <c r="Z1486" t="s">
        <v>51</v>
      </c>
      <c r="AB1486" t="s">
        <v>54</v>
      </c>
      <c r="AC1486">
        <v>1</v>
      </c>
      <c r="AE1486" t="s">
        <v>222</v>
      </c>
      <c r="AF1486">
        <v>20</v>
      </c>
      <c r="AG1486" s="1">
        <v>34881</v>
      </c>
      <c r="AH1486" s="1">
        <v>34881</v>
      </c>
      <c r="AI1486" s="1">
        <v>34881</v>
      </c>
      <c r="AJ1486" s="1">
        <v>42186</v>
      </c>
      <c r="AK1486" t="s">
        <v>51</v>
      </c>
      <c r="AN1486">
        <v>0</v>
      </c>
      <c r="AO1486" t="s">
        <v>54</v>
      </c>
      <c r="AP1486" t="s">
        <v>53</v>
      </c>
      <c r="AQ1486">
        <v>0</v>
      </c>
      <c r="AR1486" t="s">
        <v>53</v>
      </c>
      <c r="AS1486">
        <v>0</v>
      </c>
      <c r="AT1486">
        <v>0</v>
      </c>
      <c r="AW1486" t="s">
        <v>58</v>
      </c>
      <c r="AX1486">
        <v>20</v>
      </c>
      <c r="AY1486" s="1">
        <v>34881</v>
      </c>
      <c r="AZ1486" s="1">
        <v>34881</v>
      </c>
      <c r="BA1486" s="1">
        <v>34881</v>
      </c>
      <c r="BB1486" s="1">
        <v>42186</v>
      </c>
      <c r="BC1486" t="s">
        <v>51</v>
      </c>
      <c r="BE1486" t="s">
        <v>54</v>
      </c>
      <c r="BF1486">
        <v>2</v>
      </c>
      <c r="BG1486">
        <v>0</v>
      </c>
      <c r="BH1486" t="s">
        <v>53</v>
      </c>
      <c r="BK1486" t="s">
        <v>65</v>
      </c>
      <c r="BL1486">
        <v>14000</v>
      </c>
      <c r="BM1486" s="1">
        <v>44277</v>
      </c>
      <c r="BN1486" s="1">
        <v>44277</v>
      </c>
      <c r="BO1486" s="1">
        <v>44277</v>
      </c>
      <c r="BP1486" s="1">
        <v>45494</v>
      </c>
      <c r="BQ1486" t="s">
        <v>51</v>
      </c>
      <c r="BS1486" t="s">
        <v>60</v>
      </c>
      <c r="BT1486" t="s">
        <v>54</v>
      </c>
      <c r="BU1486" t="s">
        <v>61</v>
      </c>
      <c r="BV1486" t="s">
        <v>62</v>
      </c>
      <c r="BX1486">
        <v>36</v>
      </c>
      <c r="BY1486">
        <v>0</v>
      </c>
      <c r="BZ1486">
        <v>0</v>
      </c>
    </row>
    <row r="1487" spans="1:78" x14ac:dyDescent="0.2">
      <c r="A1487" t="s">
        <v>180</v>
      </c>
      <c r="B1487" t="s">
        <v>181</v>
      </c>
      <c r="C1487" t="s">
        <v>184</v>
      </c>
      <c r="D1487" t="s">
        <v>782</v>
      </c>
      <c r="F1487" t="str">
        <f>"251160"</f>
        <v>251160</v>
      </c>
      <c r="G1487" t="s">
        <v>49</v>
      </c>
      <c r="H1487" t="s">
        <v>578</v>
      </c>
      <c r="K1487" t="s">
        <v>51</v>
      </c>
      <c r="L1487" t="s">
        <v>52</v>
      </c>
      <c r="M1487">
        <v>136345.26999999999</v>
      </c>
      <c r="N1487">
        <v>472027.73</v>
      </c>
      <c r="O1487" t="s">
        <v>53</v>
      </c>
      <c r="P1487" t="s">
        <v>54</v>
      </c>
      <c r="Q1487" t="s">
        <v>55</v>
      </c>
      <c r="T1487" t="s">
        <v>241</v>
      </c>
      <c r="U1487">
        <v>40</v>
      </c>
      <c r="V1487" s="1">
        <v>34881</v>
      </c>
      <c r="W1487" s="1">
        <v>34881</v>
      </c>
      <c r="X1487" s="1">
        <v>34881</v>
      </c>
      <c r="Y1487" s="1">
        <v>49491</v>
      </c>
      <c r="Z1487" t="s">
        <v>51</v>
      </c>
      <c r="AB1487" t="s">
        <v>54</v>
      </c>
      <c r="AC1487">
        <v>1</v>
      </c>
      <c r="AE1487" t="s">
        <v>222</v>
      </c>
      <c r="AF1487">
        <v>20</v>
      </c>
      <c r="AG1487" s="1">
        <v>34881</v>
      </c>
      <c r="AH1487" s="1">
        <v>34881</v>
      </c>
      <c r="AI1487" s="1">
        <v>34881</v>
      </c>
      <c r="AJ1487" s="1">
        <v>42186</v>
      </c>
      <c r="AK1487" t="s">
        <v>51</v>
      </c>
      <c r="AN1487">
        <v>0</v>
      </c>
      <c r="AO1487" t="s">
        <v>54</v>
      </c>
      <c r="AP1487" t="s">
        <v>53</v>
      </c>
      <c r="AQ1487">
        <v>0</v>
      </c>
      <c r="AR1487" t="s">
        <v>53</v>
      </c>
      <c r="AS1487">
        <v>0</v>
      </c>
      <c r="AT1487">
        <v>0</v>
      </c>
      <c r="AW1487" t="s">
        <v>58</v>
      </c>
      <c r="AX1487">
        <v>20</v>
      </c>
      <c r="AY1487" s="1">
        <v>34881</v>
      </c>
      <c r="AZ1487" s="1">
        <v>34881</v>
      </c>
      <c r="BA1487" s="1">
        <v>34881</v>
      </c>
      <c r="BB1487" s="1">
        <v>42186</v>
      </c>
      <c r="BC1487" t="s">
        <v>51</v>
      </c>
      <c r="BE1487" t="s">
        <v>54</v>
      </c>
      <c r="BF1487">
        <v>2</v>
      </c>
      <c r="BG1487">
        <v>0</v>
      </c>
      <c r="BH1487" t="s">
        <v>53</v>
      </c>
      <c r="BK1487" t="s">
        <v>65</v>
      </c>
      <c r="BL1487">
        <v>14000</v>
      </c>
      <c r="BM1487" s="1">
        <v>42917</v>
      </c>
      <c r="BN1487" s="1">
        <v>42917</v>
      </c>
      <c r="BO1487" s="1">
        <v>42917</v>
      </c>
      <c r="BP1487" s="1">
        <v>44117</v>
      </c>
      <c r="BQ1487" t="s">
        <v>51</v>
      </c>
      <c r="BS1487" t="s">
        <v>60</v>
      </c>
      <c r="BT1487" t="s">
        <v>54</v>
      </c>
      <c r="BU1487" t="s">
        <v>61</v>
      </c>
      <c r="BV1487" t="s">
        <v>62</v>
      </c>
      <c r="BX1487">
        <v>36</v>
      </c>
      <c r="BY1487">
        <v>0</v>
      </c>
      <c r="BZ1487">
        <v>0</v>
      </c>
    </row>
    <row r="1488" spans="1:78" x14ac:dyDescent="0.2">
      <c r="A1488" t="s">
        <v>180</v>
      </c>
      <c r="B1488" t="s">
        <v>181</v>
      </c>
      <c r="C1488" t="s">
        <v>184</v>
      </c>
      <c r="D1488" t="s">
        <v>782</v>
      </c>
      <c r="F1488" t="str">
        <f>"251161"</f>
        <v>251161</v>
      </c>
      <c r="G1488" t="s">
        <v>49</v>
      </c>
      <c r="K1488" t="s">
        <v>51</v>
      </c>
      <c r="L1488" t="s">
        <v>52</v>
      </c>
      <c r="M1488">
        <v>136368.9</v>
      </c>
      <c r="N1488">
        <v>472019.96</v>
      </c>
      <c r="O1488" t="s">
        <v>53</v>
      </c>
      <c r="P1488" t="s">
        <v>54</v>
      </c>
      <c r="Q1488" t="s">
        <v>55</v>
      </c>
      <c r="T1488" t="s">
        <v>241</v>
      </c>
      <c r="U1488">
        <v>40</v>
      </c>
      <c r="V1488" s="1">
        <v>34881</v>
      </c>
      <c r="W1488" s="1">
        <v>34881</v>
      </c>
      <c r="X1488" s="1">
        <v>34881</v>
      </c>
      <c r="Y1488" s="1">
        <v>49491</v>
      </c>
      <c r="Z1488" t="s">
        <v>51</v>
      </c>
      <c r="AB1488" t="s">
        <v>54</v>
      </c>
      <c r="AC1488">
        <v>1</v>
      </c>
      <c r="AE1488" t="s">
        <v>222</v>
      </c>
      <c r="AF1488">
        <v>20</v>
      </c>
      <c r="AG1488" s="1">
        <v>34881</v>
      </c>
      <c r="AH1488" s="1">
        <v>34881</v>
      </c>
      <c r="AI1488" s="1">
        <v>34881</v>
      </c>
      <c r="AJ1488" s="1">
        <v>42186</v>
      </c>
      <c r="AK1488" t="s">
        <v>51</v>
      </c>
      <c r="AN1488">
        <v>0</v>
      </c>
      <c r="AO1488" t="s">
        <v>54</v>
      </c>
      <c r="AP1488" t="s">
        <v>53</v>
      </c>
      <c r="AQ1488">
        <v>0</v>
      </c>
      <c r="AR1488" t="s">
        <v>53</v>
      </c>
      <c r="AS1488">
        <v>0</v>
      </c>
      <c r="AT1488">
        <v>0</v>
      </c>
      <c r="AW1488" t="s">
        <v>58</v>
      </c>
      <c r="AX1488">
        <v>20</v>
      </c>
      <c r="AY1488" s="1">
        <v>34881</v>
      </c>
      <c r="AZ1488" s="1">
        <v>34881</v>
      </c>
      <c r="BA1488" s="1">
        <v>34881</v>
      </c>
      <c r="BB1488" s="1">
        <v>42186</v>
      </c>
      <c r="BC1488" t="s">
        <v>51</v>
      </c>
      <c r="BE1488" t="s">
        <v>54</v>
      </c>
      <c r="BF1488">
        <v>2</v>
      </c>
      <c r="BG1488">
        <v>0</v>
      </c>
      <c r="BH1488" t="s">
        <v>53</v>
      </c>
      <c r="BK1488" t="s">
        <v>65</v>
      </c>
      <c r="BL1488">
        <v>14000</v>
      </c>
      <c r="BM1488" s="1">
        <v>44697</v>
      </c>
      <c r="BN1488" s="1">
        <v>44697</v>
      </c>
      <c r="BO1488" s="1">
        <v>44697</v>
      </c>
      <c r="BP1488" s="1">
        <v>45916</v>
      </c>
      <c r="BQ1488" t="s">
        <v>51</v>
      </c>
      <c r="BS1488" t="s">
        <v>60</v>
      </c>
      <c r="BT1488" t="s">
        <v>54</v>
      </c>
      <c r="BU1488" t="s">
        <v>61</v>
      </c>
      <c r="BV1488" t="s">
        <v>62</v>
      </c>
      <c r="BX1488">
        <v>36</v>
      </c>
      <c r="BY1488">
        <v>0</v>
      </c>
      <c r="BZ1488">
        <v>0</v>
      </c>
    </row>
    <row r="1489" spans="1:78" x14ac:dyDescent="0.2">
      <c r="A1489" t="s">
        <v>180</v>
      </c>
      <c r="B1489" t="s">
        <v>181</v>
      </c>
      <c r="C1489" t="s">
        <v>184</v>
      </c>
      <c r="D1489" t="s">
        <v>782</v>
      </c>
      <c r="F1489" t="str">
        <f>"251162"</f>
        <v>251162</v>
      </c>
      <c r="G1489" t="s">
        <v>49</v>
      </c>
      <c r="H1489" t="s">
        <v>95</v>
      </c>
      <c r="K1489" t="s">
        <v>51</v>
      </c>
      <c r="L1489" t="s">
        <v>52</v>
      </c>
      <c r="M1489">
        <v>136389.73000000001</v>
      </c>
      <c r="N1489">
        <v>472007.29</v>
      </c>
      <c r="O1489" t="s">
        <v>53</v>
      </c>
      <c r="P1489" t="s">
        <v>54</v>
      </c>
      <c r="Q1489" t="s">
        <v>55</v>
      </c>
      <c r="T1489" t="s">
        <v>241</v>
      </c>
      <c r="U1489">
        <v>40</v>
      </c>
      <c r="V1489" s="1">
        <v>34881</v>
      </c>
      <c r="W1489" s="1">
        <v>34881</v>
      </c>
      <c r="X1489" s="1">
        <v>34881</v>
      </c>
      <c r="Y1489" s="1">
        <v>49491</v>
      </c>
      <c r="Z1489" t="s">
        <v>51</v>
      </c>
      <c r="AB1489" t="s">
        <v>54</v>
      </c>
      <c r="AC1489">
        <v>1</v>
      </c>
      <c r="AE1489" t="s">
        <v>222</v>
      </c>
      <c r="AF1489">
        <v>20</v>
      </c>
      <c r="AG1489" s="1">
        <v>34881</v>
      </c>
      <c r="AH1489" s="1">
        <v>34881</v>
      </c>
      <c r="AI1489" s="1">
        <v>34881</v>
      </c>
      <c r="AJ1489" s="1">
        <v>42186</v>
      </c>
      <c r="AK1489" t="s">
        <v>51</v>
      </c>
      <c r="AN1489">
        <v>0</v>
      </c>
      <c r="AO1489" t="s">
        <v>54</v>
      </c>
      <c r="AP1489" t="s">
        <v>53</v>
      </c>
      <c r="AQ1489">
        <v>0</v>
      </c>
      <c r="AR1489" t="s">
        <v>53</v>
      </c>
      <c r="AS1489">
        <v>0</v>
      </c>
      <c r="AT1489">
        <v>0</v>
      </c>
      <c r="AW1489" t="s">
        <v>58</v>
      </c>
      <c r="AX1489">
        <v>20</v>
      </c>
      <c r="AY1489" s="1">
        <v>34881</v>
      </c>
      <c r="AZ1489" s="1">
        <v>34881</v>
      </c>
      <c r="BA1489" s="1">
        <v>34881</v>
      </c>
      <c r="BB1489" s="1">
        <v>42186</v>
      </c>
      <c r="BC1489" t="s">
        <v>51</v>
      </c>
      <c r="BE1489" t="s">
        <v>54</v>
      </c>
      <c r="BF1489">
        <v>2</v>
      </c>
      <c r="BG1489">
        <v>0</v>
      </c>
      <c r="BH1489" t="s">
        <v>53</v>
      </c>
      <c r="BK1489" t="s">
        <v>65</v>
      </c>
      <c r="BL1489">
        <v>14000</v>
      </c>
      <c r="BM1489" s="1">
        <v>42917</v>
      </c>
      <c r="BN1489" s="1">
        <v>42917</v>
      </c>
      <c r="BO1489" s="1">
        <v>42917</v>
      </c>
      <c r="BP1489" s="1">
        <v>44117</v>
      </c>
      <c r="BQ1489" t="s">
        <v>51</v>
      </c>
      <c r="BS1489" t="s">
        <v>60</v>
      </c>
      <c r="BT1489" t="s">
        <v>54</v>
      </c>
      <c r="BU1489" t="s">
        <v>61</v>
      </c>
      <c r="BV1489" t="s">
        <v>62</v>
      </c>
      <c r="BX1489">
        <v>36</v>
      </c>
      <c r="BY1489">
        <v>0</v>
      </c>
      <c r="BZ1489">
        <v>0</v>
      </c>
    </row>
    <row r="1490" spans="1:78" x14ac:dyDescent="0.2">
      <c r="A1490" t="s">
        <v>180</v>
      </c>
      <c r="B1490" t="s">
        <v>181</v>
      </c>
      <c r="C1490" t="s">
        <v>184</v>
      </c>
      <c r="D1490" t="s">
        <v>782</v>
      </c>
      <c r="F1490" t="str">
        <f>"251163"</f>
        <v>251163</v>
      </c>
      <c r="G1490" t="s">
        <v>49</v>
      </c>
      <c r="H1490" t="s">
        <v>507</v>
      </c>
      <c r="K1490" t="s">
        <v>51</v>
      </c>
      <c r="L1490" t="s">
        <v>52</v>
      </c>
      <c r="M1490">
        <v>136424.55300000001</v>
      </c>
      <c r="N1490">
        <v>471988.02100000001</v>
      </c>
      <c r="O1490" t="s">
        <v>53</v>
      </c>
      <c r="P1490" t="s">
        <v>54</v>
      </c>
      <c r="Q1490" t="s">
        <v>55</v>
      </c>
      <c r="T1490" t="s">
        <v>241</v>
      </c>
      <c r="U1490">
        <v>40</v>
      </c>
      <c r="V1490" s="1">
        <v>34881</v>
      </c>
      <c r="W1490" s="1">
        <v>34881</v>
      </c>
      <c r="X1490" s="1">
        <v>34881</v>
      </c>
      <c r="Y1490" s="1">
        <v>49491</v>
      </c>
      <c r="Z1490" t="s">
        <v>51</v>
      </c>
      <c r="AB1490" t="s">
        <v>54</v>
      </c>
      <c r="AC1490">
        <v>1</v>
      </c>
      <c r="AE1490" t="s">
        <v>222</v>
      </c>
      <c r="AF1490">
        <v>20</v>
      </c>
      <c r="AG1490" s="1">
        <v>34881</v>
      </c>
      <c r="AH1490" s="1">
        <v>34881</v>
      </c>
      <c r="AI1490" s="1">
        <v>34881</v>
      </c>
      <c r="AJ1490" s="1">
        <v>42186</v>
      </c>
      <c r="AK1490" t="s">
        <v>51</v>
      </c>
      <c r="AN1490">
        <v>0</v>
      </c>
      <c r="AO1490" t="s">
        <v>54</v>
      </c>
      <c r="AP1490" t="s">
        <v>53</v>
      </c>
      <c r="AQ1490">
        <v>0</v>
      </c>
      <c r="AR1490" t="s">
        <v>53</v>
      </c>
      <c r="AS1490">
        <v>0</v>
      </c>
      <c r="AT1490">
        <v>0</v>
      </c>
      <c r="AW1490" t="s">
        <v>58</v>
      </c>
      <c r="AX1490">
        <v>20</v>
      </c>
      <c r="AY1490" s="1">
        <v>34881</v>
      </c>
      <c r="AZ1490" s="1">
        <v>34881</v>
      </c>
      <c r="BA1490" s="1">
        <v>34881</v>
      </c>
      <c r="BB1490" s="1">
        <v>42186</v>
      </c>
      <c r="BC1490" t="s">
        <v>51</v>
      </c>
      <c r="BE1490" t="s">
        <v>54</v>
      </c>
      <c r="BF1490">
        <v>2</v>
      </c>
      <c r="BG1490">
        <v>0</v>
      </c>
      <c r="BH1490" t="s">
        <v>53</v>
      </c>
      <c r="BK1490" t="s">
        <v>65</v>
      </c>
      <c r="BL1490">
        <v>14000</v>
      </c>
      <c r="BM1490" s="1">
        <v>42917</v>
      </c>
      <c r="BN1490" s="1">
        <v>42917</v>
      </c>
      <c r="BO1490" s="1">
        <v>42917</v>
      </c>
      <c r="BP1490" s="1">
        <v>44117</v>
      </c>
      <c r="BQ1490" t="s">
        <v>51</v>
      </c>
      <c r="BS1490" t="s">
        <v>60</v>
      </c>
      <c r="BT1490" t="s">
        <v>54</v>
      </c>
      <c r="BU1490" t="s">
        <v>61</v>
      </c>
      <c r="BV1490" t="s">
        <v>62</v>
      </c>
      <c r="BX1490">
        <v>36</v>
      </c>
      <c r="BY1490">
        <v>0</v>
      </c>
      <c r="BZ1490">
        <v>0</v>
      </c>
    </row>
    <row r="1491" spans="1:78" x14ac:dyDescent="0.2">
      <c r="A1491" t="s">
        <v>180</v>
      </c>
      <c r="B1491" t="s">
        <v>181</v>
      </c>
      <c r="C1491" t="s">
        <v>184</v>
      </c>
      <c r="D1491" t="s">
        <v>782</v>
      </c>
      <c r="F1491" t="str">
        <f>"251164"</f>
        <v>251164</v>
      </c>
      <c r="G1491" t="s">
        <v>49</v>
      </c>
      <c r="K1491" t="s">
        <v>51</v>
      </c>
      <c r="L1491" t="s">
        <v>52</v>
      </c>
      <c r="M1491">
        <v>136466.68799999999</v>
      </c>
      <c r="N1491">
        <v>471967.02299999999</v>
      </c>
      <c r="O1491" t="s">
        <v>53</v>
      </c>
      <c r="P1491" t="s">
        <v>54</v>
      </c>
      <c r="Q1491" t="s">
        <v>55</v>
      </c>
      <c r="T1491" t="s">
        <v>241</v>
      </c>
      <c r="U1491">
        <v>40</v>
      </c>
      <c r="V1491" s="1">
        <v>35247</v>
      </c>
      <c r="W1491" s="1">
        <v>35247</v>
      </c>
      <c r="X1491" s="1">
        <v>35247</v>
      </c>
      <c r="Y1491" s="1">
        <v>49857</v>
      </c>
      <c r="Z1491" t="s">
        <v>51</v>
      </c>
      <c r="AB1491" t="s">
        <v>54</v>
      </c>
      <c r="AC1491">
        <v>1</v>
      </c>
      <c r="AE1491" t="s">
        <v>222</v>
      </c>
      <c r="AF1491">
        <v>20</v>
      </c>
      <c r="AG1491" s="1">
        <v>35247</v>
      </c>
      <c r="AH1491" s="1">
        <v>35247</v>
      </c>
      <c r="AI1491" s="1">
        <v>35247</v>
      </c>
      <c r="AJ1491" s="1">
        <v>42552</v>
      </c>
      <c r="AK1491" t="s">
        <v>51</v>
      </c>
      <c r="AN1491">
        <v>0</v>
      </c>
      <c r="AO1491" t="s">
        <v>54</v>
      </c>
      <c r="AP1491" t="s">
        <v>53</v>
      </c>
      <c r="AQ1491">
        <v>0</v>
      </c>
      <c r="AR1491" t="s">
        <v>53</v>
      </c>
      <c r="AS1491">
        <v>0</v>
      </c>
      <c r="AT1491">
        <v>0</v>
      </c>
      <c r="AW1491" t="s">
        <v>58</v>
      </c>
      <c r="AX1491">
        <v>20</v>
      </c>
      <c r="AY1491" s="1">
        <v>35247</v>
      </c>
      <c r="AZ1491" s="1">
        <v>35247</v>
      </c>
      <c r="BA1491" s="1">
        <v>35247</v>
      </c>
      <c r="BB1491" s="1">
        <v>42552</v>
      </c>
      <c r="BC1491" t="s">
        <v>51</v>
      </c>
      <c r="BE1491" t="s">
        <v>54</v>
      </c>
      <c r="BF1491">
        <v>2</v>
      </c>
      <c r="BG1491">
        <v>0</v>
      </c>
      <c r="BH1491" t="s">
        <v>53</v>
      </c>
      <c r="BK1491" t="s">
        <v>65</v>
      </c>
      <c r="BL1491">
        <v>14000</v>
      </c>
      <c r="BM1491" s="1">
        <v>42917</v>
      </c>
      <c r="BN1491" s="1">
        <v>42917</v>
      </c>
      <c r="BO1491" s="1">
        <v>42917</v>
      </c>
      <c r="BP1491" s="1">
        <v>44117</v>
      </c>
      <c r="BQ1491" t="s">
        <v>51</v>
      </c>
      <c r="BS1491" t="s">
        <v>60</v>
      </c>
      <c r="BT1491" t="s">
        <v>54</v>
      </c>
      <c r="BU1491" t="s">
        <v>61</v>
      </c>
      <c r="BV1491" t="s">
        <v>62</v>
      </c>
      <c r="BX1491">
        <v>36</v>
      </c>
      <c r="BY1491">
        <v>0</v>
      </c>
      <c r="BZ1491">
        <v>0</v>
      </c>
    </row>
    <row r="1492" spans="1:78" x14ac:dyDescent="0.2">
      <c r="A1492" t="s">
        <v>180</v>
      </c>
      <c r="B1492" t="s">
        <v>181</v>
      </c>
      <c r="C1492" t="s">
        <v>184</v>
      </c>
      <c r="D1492" t="s">
        <v>783</v>
      </c>
      <c r="F1492" t="str">
        <f>"251166"</f>
        <v>251166</v>
      </c>
      <c r="G1492" t="s">
        <v>49</v>
      </c>
      <c r="K1492" t="s">
        <v>51</v>
      </c>
      <c r="L1492" t="s">
        <v>52</v>
      </c>
      <c r="M1492">
        <v>136478.48000000001</v>
      </c>
      <c r="N1492">
        <v>472027.4</v>
      </c>
      <c r="O1492" t="s">
        <v>53</v>
      </c>
      <c r="P1492" t="s">
        <v>54</v>
      </c>
      <c r="Q1492" t="s">
        <v>55</v>
      </c>
      <c r="T1492" t="s">
        <v>241</v>
      </c>
      <c r="U1492">
        <v>40</v>
      </c>
      <c r="V1492" s="1">
        <v>34881</v>
      </c>
      <c r="W1492" s="1">
        <v>34881</v>
      </c>
      <c r="X1492" s="1">
        <v>34881</v>
      </c>
      <c r="Y1492" s="1">
        <v>49491</v>
      </c>
      <c r="Z1492" t="s">
        <v>51</v>
      </c>
      <c r="AB1492" t="s">
        <v>54</v>
      </c>
      <c r="AC1492">
        <v>1</v>
      </c>
      <c r="AE1492" t="s">
        <v>222</v>
      </c>
      <c r="AF1492">
        <v>20</v>
      </c>
      <c r="AG1492" s="1">
        <v>34881</v>
      </c>
      <c r="AH1492" s="1">
        <v>34881</v>
      </c>
      <c r="AI1492" s="1">
        <v>34881</v>
      </c>
      <c r="AJ1492" s="1">
        <v>42186</v>
      </c>
      <c r="AK1492" t="s">
        <v>51</v>
      </c>
      <c r="AN1492">
        <v>0</v>
      </c>
      <c r="AO1492" t="s">
        <v>54</v>
      </c>
      <c r="AP1492" t="s">
        <v>53</v>
      </c>
      <c r="AQ1492">
        <v>0</v>
      </c>
      <c r="AR1492" t="s">
        <v>53</v>
      </c>
      <c r="AS1492">
        <v>0</v>
      </c>
      <c r="AT1492">
        <v>0</v>
      </c>
      <c r="AW1492" t="s">
        <v>58</v>
      </c>
      <c r="AX1492">
        <v>20</v>
      </c>
      <c r="AY1492" s="1">
        <v>34881</v>
      </c>
      <c r="AZ1492" s="1">
        <v>34881</v>
      </c>
      <c r="BA1492" s="1">
        <v>34881</v>
      </c>
      <c r="BB1492" s="1">
        <v>42186</v>
      </c>
      <c r="BC1492" t="s">
        <v>51</v>
      </c>
      <c r="BE1492" t="s">
        <v>54</v>
      </c>
      <c r="BF1492">
        <v>2</v>
      </c>
      <c r="BG1492">
        <v>0</v>
      </c>
      <c r="BH1492" t="s">
        <v>53</v>
      </c>
      <c r="BK1492" t="s">
        <v>65</v>
      </c>
      <c r="BL1492">
        <v>14000</v>
      </c>
      <c r="BM1492" s="1">
        <v>42917</v>
      </c>
      <c r="BN1492" s="1">
        <v>42917</v>
      </c>
      <c r="BO1492" s="1">
        <v>42917</v>
      </c>
      <c r="BP1492" s="1">
        <v>44117</v>
      </c>
      <c r="BQ1492" t="s">
        <v>51</v>
      </c>
      <c r="BS1492" t="s">
        <v>60</v>
      </c>
      <c r="BT1492" t="s">
        <v>54</v>
      </c>
      <c r="BU1492" t="s">
        <v>61</v>
      </c>
      <c r="BV1492" t="s">
        <v>62</v>
      </c>
      <c r="BX1492">
        <v>36</v>
      </c>
      <c r="BY1492">
        <v>0</v>
      </c>
      <c r="BZ1492">
        <v>0</v>
      </c>
    </row>
    <row r="1493" spans="1:78" x14ac:dyDescent="0.2">
      <c r="A1493" t="s">
        <v>180</v>
      </c>
      <c r="B1493" t="s">
        <v>181</v>
      </c>
      <c r="C1493" t="s">
        <v>184</v>
      </c>
      <c r="D1493" t="s">
        <v>783</v>
      </c>
      <c r="F1493" t="str">
        <f>"251167"</f>
        <v>251167</v>
      </c>
      <c r="G1493" t="s">
        <v>49</v>
      </c>
      <c r="H1493" t="s">
        <v>297</v>
      </c>
      <c r="K1493" t="s">
        <v>51</v>
      </c>
      <c r="L1493" t="s">
        <v>52</v>
      </c>
      <c r="M1493">
        <v>136466.25</v>
      </c>
      <c r="N1493">
        <v>472015.41</v>
      </c>
      <c r="O1493" t="s">
        <v>53</v>
      </c>
      <c r="P1493" t="s">
        <v>54</v>
      </c>
      <c r="Q1493" t="s">
        <v>55</v>
      </c>
      <c r="T1493" t="s">
        <v>241</v>
      </c>
      <c r="U1493">
        <v>40</v>
      </c>
      <c r="V1493" s="1">
        <v>34881</v>
      </c>
      <c r="W1493" s="1">
        <v>34881</v>
      </c>
      <c r="X1493" s="1">
        <v>34881</v>
      </c>
      <c r="Y1493" s="1">
        <v>49491</v>
      </c>
      <c r="Z1493" t="s">
        <v>51</v>
      </c>
      <c r="AB1493" t="s">
        <v>54</v>
      </c>
      <c r="AC1493">
        <v>1</v>
      </c>
      <c r="AE1493" t="s">
        <v>222</v>
      </c>
      <c r="AF1493">
        <v>20</v>
      </c>
      <c r="AG1493" s="1">
        <v>34881</v>
      </c>
      <c r="AH1493" s="1">
        <v>34881</v>
      </c>
      <c r="AI1493" s="1">
        <v>34881</v>
      </c>
      <c r="AJ1493" s="1">
        <v>42186</v>
      </c>
      <c r="AK1493" t="s">
        <v>51</v>
      </c>
      <c r="AN1493">
        <v>0</v>
      </c>
      <c r="AO1493" t="s">
        <v>54</v>
      </c>
      <c r="AP1493" t="s">
        <v>53</v>
      </c>
      <c r="AQ1493">
        <v>0</v>
      </c>
      <c r="AR1493" t="s">
        <v>53</v>
      </c>
      <c r="AS1493">
        <v>0</v>
      </c>
      <c r="AT1493">
        <v>0</v>
      </c>
      <c r="AW1493" t="s">
        <v>58</v>
      </c>
      <c r="AX1493">
        <v>20</v>
      </c>
      <c r="AY1493" s="1">
        <v>34881</v>
      </c>
      <c r="AZ1493" s="1">
        <v>34881</v>
      </c>
      <c r="BA1493" s="1">
        <v>34881</v>
      </c>
      <c r="BB1493" s="1">
        <v>42186</v>
      </c>
      <c r="BC1493" t="s">
        <v>51</v>
      </c>
      <c r="BE1493" t="s">
        <v>54</v>
      </c>
      <c r="BF1493">
        <v>2</v>
      </c>
      <c r="BG1493">
        <v>0</v>
      </c>
      <c r="BH1493" t="s">
        <v>53</v>
      </c>
      <c r="BK1493" t="s">
        <v>65</v>
      </c>
      <c r="BL1493">
        <v>14000</v>
      </c>
      <c r="BM1493" s="1">
        <v>44082</v>
      </c>
      <c r="BN1493" s="1">
        <v>44082</v>
      </c>
      <c r="BO1493" s="1">
        <v>44082</v>
      </c>
      <c r="BP1493" s="1">
        <v>45252</v>
      </c>
      <c r="BQ1493" t="s">
        <v>51</v>
      </c>
      <c r="BS1493" t="s">
        <v>60</v>
      </c>
      <c r="BT1493" t="s">
        <v>54</v>
      </c>
      <c r="BU1493" t="s">
        <v>61</v>
      </c>
      <c r="BV1493" t="s">
        <v>62</v>
      </c>
      <c r="BX1493">
        <v>36</v>
      </c>
      <c r="BY1493">
        <v>0</v>
      </c>
      <c r="BZ1493">
        <v>0</v>
      </c>
    </row>
    <row r="1494" spans="1:78" x14ac:dyDescent="0.2">
      <c r="A1494" t="s">
        <v>180</v>
      </c>
      <c r="B1494" t="s">
        <v>181</v>
      </c>
      <c r="C1494" t="s">
        <v>184</v>
      </c>
      <c r="D1494" t="s">
        <v>783</v>
      </c>
      <c r="F1494" t="str">
        <f>"251168"</f>
        <v>251168</v>
      </c>
      <c r="G1494" t="s">
        <v>49</v>
      </c>
      <c r="H1494" t="s">
        <v>130</v>
      </c>
      <c r="K1494" t="s">
        <v>51</v>
      </c>
      <c r="L1494" t="s">
        <v>52</v>
      </c>
      <c r="M1494">
        <v>136453.73000000001</v>
      </c>
      <c r="N1494">
        <v>471990.5</v>
      </c>
      <c r="O1494" t="s">
        <v>53</v>
      </c>
      <c r="P1494" t="s">
        <v>54</v>
      </c>
      <c r="Q1494" t="s">
        <v>55</v>
      </c>
      <c r="T1494" t="s">
        <v>241</v>
      </c>
      <c r="U1494">
        <v>40</v>
      </c>
      <c r="V1494" s="1">
        <v>34881</v>
      </c>
      <c r="W1494" s="1">
        <v>34881</v>
      </c>
      <c r="X1494" s="1">
        <v>34881</v>
      </c>
      <c r="Y1494" s="1">
        <v>49491</v>
      </c>
      <c r="Z1494" t="s">
        <v>51</v>
      </c>
      <c r="AB1494" t="s">
        <v>54</v>
      </c>
      <c r="AC1494">
        <v>1</v>
      </c>
      <c r="AE1494" t="s">
        <v>222</v>
      </c>
      <c r="AF1494">
        <v>20</v>
      </c>
      <c r="AG1494" s="1">
        <v>34881</v>
      </c>
      <c r="AH1494" s="1">
        <v>34881</v>
      </c>
      <c r="AI1494" s="1">
        <v>34881</v>
      </c>
      <c r="AJ1494" s="1">
        <v>42186</v>
      </c>
      <c r="AK1494" t="s">
        <v>51</v>
      </c>
      <c r="AN1494">
        <v>0</v>
      </c>
      <c r="AO1494" t="s">
        <v>54</v>
      </c>
      <c r="AP1494" t="s">
        <v>53</v>
      </c>
      <c r="AQ1494">
        <v>0</v>
      </c>
      <c r="AR1494" t="s">
        <v>53</v>
      </c>
      <c r="AS1494">
        <v>0</v>
      </c>
      <c r="AT1494">
        <v>0</v>
      </c>
      <c r="AW1494" t="s">
        <v>58</v>
      </c>
      <c r="AX1494">
        <v>20</v>
      </c>
      <c r="AY1494" s="1">
        <v>34881</v>
      </c>
      <c r="AZ1494" s="1">
        <v>34881</v>
      </c>
      <c r="BA1494" s="1">
        <v>34881</v>
      </c>
      <c r="BB1494" s="1">
        <v>42186</v>
      </c>
      <c r="BC1494" t="s">
        <v>51</v>
      </c>
      <c r="BE1494" t="s">
        <v>54</v>
      </c>
      <c r="BF1494">
        <v>2</v>
      </c>
      <c r="BG1494">
        <v>0</v>
      </c>
      <c r="BH1494" t="s">
        <v>53</v>
      </c>
      <c r="BK1494" t="s">
        <v>65</v>
      </c>
      <c r="BL1494">
        <v>14000</v>
      </c>
      <c r="BM1494" s="1">
        <v>42917</v>
      </c>
      <c r="BN1494" s="1">
        <v>42917</v>
      </c>
      <c r="BO1494" s="1">
        <v>42917</v>
      </c>
      <c r="BP1494" s="1">
        <v>44117</v>
      </c>
      <c r="BQ1494" t="s">
        <v>51</v>
      </c>
      <c r="BS1494" t="s">
        <v>60</v>
      </c>
      <c r="BT1494" t="s">
        <v>54</v>
      </c>
      <c r="BU1494" t="s">
        <v>61</v>
      </c>
      <c r="BV1494" t="s">
        <v>62</v>
      </c>
      <c r="BX1494">
        <v>36</v>
      </c>
      <c r="BY1494">
        <v>0</v>
      </c>
      <c r="BZ1494">
        <v>0</v>
      </c>
    </row>
    <row r="1495" spans="1:78" x14ac:dyDescent="0.2">
      <c r="A1495" t="s">
        <v>180</v>
      </c>
      <c r="B1495" t="s">
        <v>181</v>
      </c>
      <c r="C1495" t="s">
        <v>184</v>
      </c>
      <c r="D1495" t="s">
        <v>717</v>
      </c>
      <c r="F1495" t="str">
        <f>"251169"</f>
        <v>251169</v>
      </c>
      <c r="G1495" t="s">
        <v>49</v>
      </c>
      <c r="H1495" t="s">
        <v>219</v>
      </c>
      <c r="K1495" t="s">
        <v>51</v>
      </c>
      <c r="L1495" t="s">
        <v>52</v>
      </c>
      <c r="M1495">
        <v>136338.20000000001</v>
      </c>
      <c r="N1495">
        <v>472111.22</v>
      </c>
      <c r="O1495" t="s">
        <v>53</v>
      </c>
      <c r="P1495" t="s">
        <v>54</v>
      </c>
      <c r="Q1495" t="s">
        <v>55</v>
      </c>
      <c r="T1495" t="s">
        <v>241</v>
      </c>
      <c r="U1495">
        <v>40</v>
      </c>
      <c r="V1495" s="1">
        <v>33239</v>
      </c>
      <c r="W1495" s="1">
        <v>33239</v>
      </c>
      <c r="X1495" s="1">
        <v>33239</v>
      </c>
      <c r="Y1495" s="1">
        <v>47849</v>
      </c>
      <c r="Z1495" t="s">
        <v>51</v>
      </c>
      <c r="AB1495" t="s">
        <v>54</v>
      </c>
      <c r="AC1495">
        <v>1</v>
      </c>
      <c r="AE1495" t="s">
        <v>222</v>
      </c>
      <c r="AF1495">
        <v>20</v>
      </c>
      <c r="AG1495" s="1">
        <v>33420</v>
      </c>
      <c r="AH1495" s="1">
        <v>33420</v>
      </c>
      <c r="AI1495" s="1">
        <v>33420</v>
      </c>
      <c r="AJ1495" s="1">
        <v>40725</v>
      </c>
      <c r="AK1495" t="s">
        <v>51</v>
      </c>
      <c r="AN1495">
        <v>0</v>
      </c>
      <c r="AO1495" t="s">
        <v>54</v>
      </c>
      <c r="AP1495" t="s">
        <v>53</v>
      </c>
      <c r="AQ1495">
        <v>0</v>
      </c>
      <c r="AR1495" t="s">
        <v>53</v>
      </c>
      <c r="AS1495">
        <v>0</v>
      </c>
      <c r="AT1495">
        <v>0</v>
      </c>
      <c r="AW1495" t="s">
        <v>58</v>
      </c>
      <c r="AX1495">
        <v>20</v>
      </c>
      <c r="AY1495" s="1">
        <v>33420</v>
      </c>
      <c r="AZ1495" s="1">
        <v>33420</v>
      </c>
      <c r="BA1495" s="1">
        <v>33420</v>
      </c>
      <c r="BB1495" s="1">
        <v>40725</v>
      </c>
      <c r="BC1495" t="s">
        <v>51</v>
      </c>
      <c r="BE1495" t="s">
        <v>54</v>
      </c>
      <c r="BF1495">
        <v>2</v>
      </c>
      <c r="BG1495">
        <v>0</v>
      </c>
      <c r="BH1495" t="s">
        <v>53</v>
      </c>
      <c r="BK1495" t="s">
        <v>65</v>
      </c>
      <c r="BL1495">
        <v>14000</v>
      </c>
      <c r="BM1495" s="1">
        <v>42917</v>
      </c>
      <c r="BN1495" s="1">
        <v>42917</v>
      </c>
      <c r="BO1495" s="1">
        <v>42917</v>
      </c>
      <c r="BP1495" s="1">
        <v>44117</v>
      </c>
      <c r="BQ1495" t="s">
        <v>51</v>
      </c>
      <c r="BS1495" t="s">
        <v>60</v>
      </c>
      <c r="BT1495" t="s">
        <v>54</v>
      </c>
      <c r="BU1495" t="s">
        <v>61</v>
      </c>
      <c r="BV1495" t="s">
        <v>62</v>
      </c>
      <c r="BX1495">
        <v>36</v>
      </c>
      <c r="BY1495">
        <v>0</v>
      </c>
      <c r="BZ1495">
        <v>0</v>
      </c>
    </row>
    <row r="1496" spans="1:78" x14ac:dyDescent="0.2">
      <c r="A1496" t="s">
        <v>180</v>
      </c>
      <c r="B1496" t="s">
        <v>181</v>
      </c>
      <c r="C1496" t="s">
        <v>184</v>
      </c>
      <c r="D1496" t="s">
        <v>717</v>
      </c>
      <c r="F1496" t="str">
        <f>"251170"</f>
        <v>251170</v>
      </c>
      <c r="G1496" t="s">
        <v>49</v>
      </c>
      <c r="H1496" t="s">
        <v>574</v>
      </c>
      <c r="K1496" t="s">
        <v>51</v>
      </c>
      <c r="L1496" t="s">
        <v>52</v>
      </c>
      <c r="M1496">
        <v>136357.9</v>
      </c>
      <c r="N1496">
        <v>472122.13</v>
      </c>
      <c r="O1496" t="s">
        <v>53</v>
      </c>
      <c r="P1496" t="s">
        <v>54</v>
      </c>
      <c r="Q1496" t="s">
        <v>55</v>
      </c>
      <c r="T1496" t="s">
        <v>241</v>
      </c>
      <c r="U1496">
        <v>40</v>
      </c>
      <c r="V1496" s="1">
        <v>33239</v>
      </c>
      <c r="W1496" s="1">
        <v>33239</v>
      </c>
      <c r="X1496" s="1">
        <v>33239</v>
      </c>
      <c r="Y1496" s="1">
        <v>47849</v>
      </c>
      <c r="Z1496" t="s">
        <v>51</v>
      </c>
      <c r="AB1496" t="s">
        <v>54</v>
      </c>
      <c r="AC1496">
        <v>1</v>
      </c>
      <c r="AE1496" t="s">
        <v>222</v>
      </c>
      <c r="AF1496">
        <v>20</v>
      </c>
      <c r="AG1496" s="1">
        <v>33420</v>
      </c>
      <c r="AH1496" s="1">
        <v>33420</v>
      </c>
      <c r="AI1496" s="1">
        <v>33420</v>
      </c>
      <c r="AJ1496" s="1">
        <v>40725</v>
      </c>
      <c r="AK1496" t="s">
        <v>51</v>
      </c>
      <c r="AN1496">
        <v>0</v>
      </c>
      <c r="AO1496" t="s">
        <v>54</v>
      </c>
      <c r="AP1496" t="s">
        <v>53</v>
      </c>
      <c r="AQ1496">
        <v>0</v>
      </c>
      <c r="AR1496" t="s">
        <v>53</v>
      </c>
      <c r="AS1496">
        <v>0</v>
      </c>
      <c r="AT1496">
        <v>0</v>
      </c>
      <c r="AW1496" t="s">
        <v>58</v>
      </c>
      <c r="AX1496">
        <v>20</v>
      </c>
      <c r="AY1496" s="1">
        <v>33420</v>
      </c>
      <c r="AZ1496" s="1">
        <v>33420</v>
      </c>
      <c r="BA1496" s="1">
        <v>33420</v>
      </c>
      <c r="BB1496" s="1">
        <v>40725</v>
      </c>
      <c r="BC1496" t="s">
        <v>51</v>
      </c>
      <c r="BE1496" t="s">
        <v>54</v>
      </c>
      <c r="BF1496">
        <v>2</v>
      </c>
      <c r="BG1496">
        <v>0</v>
      </c>
      <c r="BH1496" t="s">
        <v>53</v>
      </c>
      <c r="BK1496" t="s">
        <v>59</v>
      </c>
      <c r="BL1496">
        <v>14000</v>
      </c>
      <c r="BM1496" s="1">
        <v>43725</v>
      </c>
      <c r="BN1496" s="1">
        <v>43725</v>
      </c>
      <c r="BO1496" s="1">
        <v>43725</v>
      </c>
      <c r="BP1496" s="1">
        <v>44892</v>
      </c>
      <c r="BQ1496" t="s">
        <v>51</v>
      </c>
      <c r="BS1496" t="s">
        <v>60</v>
      </c>
      <c r="BT1496" t="s">
        <v>54</v>
      </c>
      <c r="BU1496" t="s">
        <v>61</v>
      </c>
      <c r="BV1496" t="s">
        <v>62</v>
      </c>
      <c r="BX1496">
        <v>24</v>
      </c>
      <c r="BY1496">
        <v>0</v>
      </c>
      <c r="BZ1496">
        <v>0</v>
      </c>
    </row>
    <row r="1497" spans="1:78" x14ac:dyDescent="0.2">
      <c r="A1497" t="s">
        <v>180</v>
      </c>
      <c r="B1497" t="s">
        <v>181</v>
      </c>
      <c r="C1497" t="s">
        <v>184</v>
      </c>
      <c r="D1497" t="s">
        <v>717</v>
      </c>
      <c r="F1497" t="str">
        <f>"251172"</f>
        <v>251172</v>
      </c>
      <c r="G1497" t="s">
        <v>49</v>
      </c>
      <c r="H1497" t="s">
        <v>175</v>
      </c>
      <c r="K1497" t="s">
        <v>51</v>
      </c>
      <c r="L1497" t="s">
        <v>52</v>
      </c>
      <c r="M1497">
        <v>136341.49</v>
      </c>
      <c r="N1497">
        <v>472130.42</v>
      </c>
      <c r="O1497" t="s">
        <v>53</v>
      </c>
      <c r="P1497" t="s">
        <v>54</v>
      </c>
      <c r="Q1497" t="s">
        <v>55</v>
      </c>
      <c r="T1497" t="s">
        <v>241</v>
      </c>
      <c r="U1497">
        <v>40</v>
      </c>
      <c r="V1497" s="1">
        <v>33239</v>
      </c>
      <c r="W1497" s="1">
        <v>33239</v>
      </c>
      <c r="X1497" s="1">
        <v>33239</v>
      </c>
      <c r="Y1497" s="1">
        <v>47849</v>
      </c>
      <c r="Z1497" t="s">
        <v>51</v>
      </c>
      <c r="AB1497" t="s">
        <v>54</v>
      </c>
      <c r="AC1497">
        <v>1</v>
      </c>
      <c r="AE1497" t="s">
        <v>222</v>
      </c>
      <c r="AF1497">
        <v>20</v>
      </c>
      <c r="AG1497" s="1">
        <v>33420</v>
      </c>
      <c r="AH1497" s="1">
        <v>33420</v>
      </c>
      <c r="AI1497" s="1">
        <v>33420</v>
      </c>
      <c r="AJ1497" s="1">
        <v>40725</v>
      </c>
      <c r="AK1497" t="s">
        <v>51</v>
      </c>
      <c r="AN1497">
        <v>0</v>
      </c>
      <c r="AO1497" t="s">
        <v>54</v>
      </c>
      <c r="AP1497" t="s">
        <v>53</v>
      </c>
      <c r="AQ1497">
        <v>0</v>
      </c>
      <c r="AR1497" t="s">
        <v>53</v>
      </c>
      <c r="AS1497">
        <v>0</v>
      </c>
      <c r="AT1497">
        <v>0</v>
      </c>
      <c r="AW1497" t="s">
        <v>58</v>
      </c>
      <c r="AX1497">
        <v>20</v>
      </c>
      <c r="AY1497" s="1">
        <v>33420</v>
      </c>
      <c r="AZ1497" s="1">
        <v>33420</v>
      </c>
      <c r="BA1497" s="1">
        <v>33420</v>
      </c>
      <c r="BB1497" s="1">
        <v>40725</v>
      </c>
      <c r="BC1497" t="s">
        <v>51</v>
      </c>
      <c r="BE1497" t="s">
        <v>54</v>
      </c>
      <c r="BF1497">
        <v>2</v>
      </c>
      <c r="BG1497">
        <v>0</v>
      </c>
      <c r="BH1497" t="s">
        <v>53</v>
      </c>
      <c r="BK1497" t="s">
        <v>65</v>
      </c>
      <c r="BL1497">
        <v>14000</v>
      </c>
      <c r="BM1497" s="1">
        <v>42917</v>
      </c>
      <c r="BN1497" s="1">
        <v>42917</v>
      </c>
      <c r="BO1497" s="1">
        <v>42917</v>
      </c>
      <c r="BP1497" s="1">
        <v>44117</v>
      </c>
      <c r="BQ1497" t="s">
        <v>51</v>
      </c>
      <c r="BS1497" t="s">
        <v>60</v>
      </c>
      <c r="BT1497" t="s">
        <v>54</v>
      </c>
      <c r="BU1497" t="s">
        <v>61</v>
      </c>
      <c r="BV1497" t="s">
        <v>62</v>
      </c>
      <c r="BX1497">
        <v>36</v>
      </c>
      <c r="BY1497">
        <v>0</v>
      </c>
      <c r="BZ1497">
        <v>0</v>
      </c>
    </row>
    <row r="1498" spans="1:78" x14ac:dyDescent="0.2">
      <c r="A1498" t="s">
        <v>180</v>
      </c>
      <c r="B1498" t="s">
        <v>181</v>
      </c>
      <c r="C1498" t="s">
        <v>184</v>
      </c>
      <c r="D1498" t="s">
        <v>784</v>
      </c>
      <c r="F1498" t="str">
        <f>"251175"</f>
        <v>251175</v>
      </c>
      <c r="G1498" t="s">
        <v>49</v>
      </c>
      <c r="H1498">
        <v>30000034</v>
      </c>
      <c r="K1498" t="s">
        <v>51</v>
      </c>
      <c r="L1498" t="s">
        <v>52</v>
      </c>
      <c r="M1498">
        <v>136820.38</v>
      </c>
      <c r="N1498">
        <v>472162.59</v>
      </c>
      <c r="O1498" t="s">
        <v>53</v>
      </c>
      <c r="P1498" t="s">
        <v>54</v>
      </c>
      <c r="Q1498" t="s">
        <v>55</v>
      </c>
      <c r="T1498" t="s">
        <v>682</v>
      </c>
      <c r="U1498">
        <v>40</v>
      </c>
      <c r="V1498" s="1">
        <v>36708</v>
      </c>
      <c r="W1498" s="1">
        <v>36708</v>
      </c>
      <c r="X1498" s="1">
        <v>36708</v>
      </c>
      <c r="Y1498" s="1">
        <v>51318</v>
      </c>
      <c r="Z1498" t="s">
        <v>51</v>
      </c>
      <c r="AB1498" t="s">
        <v>54</v>
      </c>
      <c r="AC1498">
        <v>1</v>
      </c>
      <c r="AE1498" t="s">
        <v>222</v>
      </c>
      <c r="AF1498">
        <v>20</v>
      </c>
      <c r="AG1498" s="1">
        <v>36708</v>
      </c>
      <c r="AH1498" s="1">
        <v>36708</v>
      </c>
      <c r="AI1498" s="1">
        <v>36708</v>
      </c>
      <c r="AJ1498" s="1">
        <v>44013</v>
      </c>
      <c r="AK1498" t="s">
        <v>51</v>
      </c>
      <c r="AN1498">
        <v>0</v>
      </c>
      <c r="AO1498" t="s">
        <v>54</v>
      </c>
      <c r="AP1498" t="s">
        <v>53</v>
      </c>
      <c r="AQ1498">
        <v>0</v>
      </c>
      <c r="AR1498" t="s">
        <v>53</v>
      </c>
      <c r="AS1498">
        <v>0</v>
      </c>
      <c r="AT1498">
        <v>0</v>
      </c>
      <c r="AW1498" t="s">
        <v>58</v>
      </c>
      <c r="AX1498">
        <v>20</v>
      </c>
      <c r="AY1498" s="1">
        <v>36708</v>
      </c>
      <c r="AZ1498" s="1">
        <v>36708</v>
      </c>
      <c r="BA1498" s="1">
        <v>36708</v>
      </c>
      <c r="BB1498" s="1">
        <v>44013</v>
      </c>
      <c r="BC1498" t="s">
        <v>51</v>
      </c>
      <c r="BE1498" t="s">
        <v>54</v>
      </c>
      <c r="BF1498">
        <v>2</v>
      </c>
      <c r="BG1498">
        <v>0</v>
      </c>
      <c r="BH1498" t="s">
        <v>53</v>
      </c>
      <c r="BK1498" t="s">
        <v>59</v>
      </c>
      <c r="BL1498">
        <v>14000</v>
      </c>
      <c r="BM1498" s="1">
        <v>42917</v>
      </c>
      <c r="BN1498" s="1">
        <v>42917</v>
      </c>
      <c r="BO1498" s="1">
        <v>42917</v>
      </c>
      <c r="BP1498" s="1">
        <v>44117</v>
      </c>
      <c r="BQ1498" t="s">
        <v>51</v>
      </c>
      <c r="BS1498" t="s">
        <v>60</v>
      </c>
      <c r="BT1498" t="s">
        <v>54</v>
      </c>
      <c r="BU1498" t="s">
        <v>61</v>
      </c>
      <c r="BV1498" t="s">
        <v>62</v>
      </c>
      <c r="BX1498">
        <v>24</v>
      </c>
      <c r="BY1498">
        <v>0</v>
      </c>
      <c r="BZ1498">
        <v>0</v>
      </c>
    </row>
    <row r="1499" spans="1:78" x14ac:dyDescent="0.2">
      <c r="A1499" t="s">
        <v>180</v>
      </c>
      <c r="B1499" t="s">
        <v>181</v>
      </c>
      <c r="C1499" t="s">
        <v>184</v>
      </c>
      <c r="D1499" t="s">
        <v>784</v>
      </c>
      <c r="F1499" t="str">
        <f>"251176"</f>
        <v>251176</v>
      </c>
      <c r="G1499" t="s">
        <v>49</v>
      </c>
      <c r="H1499" t="s">
        <v>233</v>
      </c>
      <c r="K1499" t="s">
        <v>51</v>
      </c>
      <c r="L1499" t="s">
        <v>52</v>
      </c>
      <c r="M1499">
        <v>136806.92000000001</v>
      </c>
      <c r="N1499">
        <v>472155.44</v>
      </c>
      <c r="O1499" t="s">
        <v>53</v>
      </c>
      <c r="P1499" t="s">
        <v>54</v>
      </c>
      <c r="Q1499" t="s">
        <v>55</v>
      </c>
      <c r="T1499" t="s">
        <v>241</v>
      </c>
      <c r="U1499">
        <v>40</v>
      </c>
      <c r="V1499" s="1">
        <v>37073</v>
      </c>
      <c r="W1499" s="1">
        <v>37073</v>
      </c>
      <c r="X1499" s="1">
        <v>37073</v>
      </c>
      <c r="Y1499" s="1">
        <v>51683</v>
      </c>
      <c r="Z1499" t="s">
        <v>51</v>
      </c>
      <c r="AB1499" t="s">
        <v>54</v>
      </c>
      <c r="AC1499">
        <v>1</v>
      </c>
      <c r="AE1499" t="s">
        <v>222</v>
      </c>
      <c r="AF1499">
        <v>20</v>
      </c>
      <c r="AG1499" s="1">
        <v>37073</v>
      </c>
      <c r="AH1499" s="1">
        <v>37073</v>
      </c>
      <c r="AI1499" s="1">
        <v>37073</v>
      </c>
      <c r="AJ1499" s="1">
        <v>44378</v>
      </c>
      <c r="AK1499" t="s">
        <v>51</v>
      </c>
      <c r="AN1499">
        <v>0</v>
      </c>
      <c r="AO1499" t="s">
        <v>54</v>
      </c>
      <c r="AP1499" t="s">
        <v>53</v>
      </c>
      <c r="AQ1499">
        <v>0</v>
      </c>
      <c r="AR1499" t="s">
        <v>53</v>
      </c>
      <c r="AS1499">
        <v>0</v>
      </c>
      <c r="AT1499">
        <v>0</v>
      </c>
      <c r="AW1499" t="s">
        <v>58</v>
      </c>
      <c r="AX1499">
        <v>20</v>
      </c>
      <c r="AY1499" s="1">
        <v>37073</v>
      </c>
      <c r="AZ1499" s="1">
        <v>37073</v>
      </c>
      <c r="BA1499" s="1">
        <v>37073</v>
      </c>
      <c r="BB1499" s="1">
        <v>44378</v>
      </c>
      <c r="BC1499" t="s">
        <v>51</v>
      </c>
      <c r="BE1499" t="s">
        <v>54</v>
      </c>
      <c r="BF1499">
        <v>2</v>
      </c>
      <c r="BG1499">
        <v>0</v>
      </c>
      <c r="BH1499" t="s">
        <v>53</v>
      </c>
      <c r="BK1499" t="s">
        <v>65</v>
      </c>
      <c r="BL1499">
        <v>14000</v>
      </c>
      <c r="BM1499" s="1">
        <v>42917</v>
      </c>
      <c r="BN1499" s="1">
        <v>42917</v>
      </c>
      <c r="BO1499" s="1">
        <v>42917</v>
      </c>
      <c r="BP1499" s="1">
        <v>44117</v>
      </c>
      <c r="BQ1499" t="s">
        <v>51</v>
      </c>
      <c r="BS1499" t="s">
        <v>60</v>
      </c>
      <c r="BT1499" t="s">
        <v>54</v>
      </c>
      <c r="BU1499" t="s">
        <v>61</v>
      </c>
      <c r="BV1499" t="s">
        <v>62</v>
      </c>
      <c r="BX1499">
        <v>36</v>
      </c>
      <c r="BY1499">
        <v>0</v>
      </c>
      <c r="BZ1499">
        <v>0</v>
      </c>
    </row>
    <row r="1500" spans="1:78" x14ac:dyDescent="0.2">
      <c r="A1500" t="s">
        <v>180</v>
      </c>
      <c r="B1500" t="s">
        <v>181</v>
      </c>
      <c r="C1500" t="s">
        <v>184</v>
      </c>
      <c r="D1500" t="s">
        <v>784</v>
      </c>
      <c r="F1500" t="str">
        <f>"251177"</f>
        <v>251177</v>
      </c>
      <c r="G1500" t="s">
        <v>49</v>
      </c>
      <c r="H1500" t="s">
        <v>785</v>
      </c>
      <c r="K1500" t="s">
        <v>51</v>
      </c>
      <c r="L1500" t="s">
        <v>52</v>
      </c>
      <c r="M1500">
        <v>136785.22</v>
      </c>
      <c r="N1500">
        <v>472173.13</v>
      </c>
      <c r="O1500" t="s">
        <v>53</v>
      </c>
      <c r="P1500" t="s">
        <v>54</v>
      </c>
      <c r="Q1500" t="s">
        <v>55</v>
      </c>
      <c r="T1500" t="s">
        <v>682</v>
      </c>
      <c r="U1500">
        <v>40</v>
      </c>
      <c r="V1500" s="1">
        <v>37073</v>
      </c>
      <c r="W1500" s="1">
        <v>37073</v>
      </c>
      <c r="X1500" s="1">
        <v>37073</v>
      </c>
      <c r="Y1500" s="1">
        <v>51683</v>
      </c>
      <c r="Z1500" t="s">
        <v>51</v>
      </c>
      <c r="AB1500" t="s">
        <v>54</v>
      </c>
      <c r="AC1500">
        <v>1</v>
      </c>
      <c r="AE1500" t="s">
        <v>222</v>
      </c>
      <c r="AF1500">
        <v>20</v>
      </c>
      <c r="AG1500" s="1">
        <v>37073</v>
      </c>
      <c r="AH1500" s="1">
        <v>37073</v>
      </c>
      <c r="AI1500" s="1">
        <v>37073</v>
      </c>
      <c r="AJ1500" s="1">
        <v>44378</v>
      </c>
      <c r="AK1500" t="s">
        <v>51</v>
      </c>
      <c r="AN1500">
        <v>0</v>
      </c>
      <c r="AO1500" t="s">
        <v>54</v>
      </c>
      <c r="AP1500" t="s">
        <v>53</v>
      </c>
      <c r="AQ1500">
        <v>0</v>
      </c>
      <c r="AR1500" t="s">
        <v>53</v>
      </c>
      <c r="AS1500">
        <v>0</v>
      </c>
      <c r="AT1500">
        <v>0</v>
      </c>
      <c r="AW1500" t="s">
        <v>58</v>
      </c>
      <c r="AX1500">
        <v>20</v>
      </c>
      <c r="AY1500" s="1">
        <v>37073</v>
      </c>
      <c r="AZ1500" s="1">
        <v>37073</v>
      </c>
      <c r="BA1500" s="1">
        <v>37073</v>
      </c>
      <c r="BB1500" s="1">
        <v>44378</v>
      </c>
      <c r="BC1500" t="s">
        <v>51</v>
      </c>
      <c r="BE1500" t="s">
        <v>54</v>
      </c>
      <c r="BF1500">
        <v>2</v>
      </c>
      <c r="BG1500">
        <v>0</v>
      </c>
      <c r="BH1500" t="s">
        <v>53</v>
      </c>
      <c r="BK1500" t="s">
        <v>65</v>
      </c>
      <c r="BL1500">
        <v>14000</v>
      </c>
      <c r="BM1500" s="1">
        <v>42917</v>
      </c>
      <c r="BN1500" s="1">
        <v>42917</v>
      </c>
      <c r="BO1500" s="1">
        <v>42917</v>
      </c>
      <c r="BP1500" s="1">
        <v>44117</v>
      </c>
      <c r="BQ1500" t="s">
        <v>51</v>
      </c>
      <c r="BS1500" t="s">
        <v>60</v>
      </c>
      <c r="BT1500" t="s">
        <v>54</v>
      </c>
      <c r="BU1500" t="s">
        <v>61</v>
      </c>
      <c r="BV1500" t="s">
        <v>62</v>
      </c>
      <c r="BX1500">
        <v>36</v>
      </c>
      <c r="BY1500">
        <v>0</v>
      </c>
      <c r="BZ1500">
        <v>0</v>
      </c>
    </row>
    <row r="1501" spans="1:78" x14ac:dyDescent="0.2">
      <c r="A1501" t="s">
        <v>180</v>
      </c>
      <c r="B1501" t="s">
        <v>181</v>
      </c>
      <c r="C1501" t="s">
        <v>184</v>
      </c>
      <c r="D1501" t="s">
        <v>784</v>
      </c>
      <c r="F1501" t="str">
        <f>"251178"</f>
        <v>251178</v>
      </c>
      <c r="G1501" t="s">
        <v>49</v>
      </c>
      <c r="H1501" t="s">
        <v>644</v>
      </c>
      <c r="K1501" t="s">
        <v>51</v>
      </c>
      <c r="L1501" t="s">
        <v>52</v>
      </c>
      <c r="M1501">
        <v>136766.28</v>
      </c>
      <c r="N1501">
        <v>472172.84</v>
      </c>
      <c r="O1501" t="s">
        <v>53</v>
      </c>
      <c r="P1501" t="s">
        <v>54</v>
      </c>
      <c r="Q1501" t="s">
        <v>55</v>
      </c>
      <c r="T1501" t="s">
        <v>241</v>
      </c>
      <c r="U1501">
        <v>40</v>
      </c>
      <c r="V1501" s="1">
        <v>37073</v>
      </c>
      <c r="W1501" s="1">
        <v>37073</v>
      </c>
      <c r="X1501" s="1">
        <v>37073</v>
      </c>
      <c r="Y1501" s="1">
        <v>51683</v>
      </c>
      <c r="Z1501" t="s">
        <v>51</v>
      </c>
      <c r="AB1501" t="s">
        <v>54</v>
      </c>
      <c r="AC1501">
        <v>1</v>
      </c>
      <c r="AE1501" t="s">
        <v>222</v>
      </c>
      <c r="AF1501">
        <v>20</v>
      </c>
      <c r="AG1501" s="1">
        <v>37073</v>
      </c>
      <c r="AH1501" s="1">
        <v>37073</v>
      </c>
      <c r="AI1501" s="1">
        <v>37073</v>
      </c>
      <c r="AJ1501" s="1">
        <v>44378</v>
      </c>
      <c r="AK1501" t="s">
        <v>51</v>
      </c>
      <c r="AN1501">
        <v>0</v>
      </c>
      <c r="AO1501" t="s">
        <v>54</v>
      </c>
      <c r="AP1501" t="s">
        <v>53</v>
      </c>
      <c r="AQ1501">
        <v>0</v>
      </c>
      <c r="AR1501" t="s">
        <v>53</v>
      </c>
      <c r="AS1501">
        <v>0</v>
      </c>
      <c r="AT1501">
        <v>0</v>
      </c>
      <c r="AW1501" t="s">
        <v>58</v>
      </c>
      <c r="AX1501">
        <v>20</v>
      </c>
      <c r="AY1501" s="1">
        <v>37073</v>
      </c>
      <c r="AZ1501" s="1">
        <v>37073</v>
      </c>
      <c r="BA1501" s="1">
        <v>37073</v>
      </c>
      <c r="BB1501" s="1">
        <v>44378</v>
      </c>
      <c r="BC1501" t="s">
        <v>51</v>
      </c>
      <c r="BE1501" t="s">
        <v>54</v>
      </c>
      <c r="BF1501">
        <v>2</v>
      </c>
      <c r="BG1501">
        <v>0</v>
      </c>
      <c r="BH1501" t="s">
        <v>53</v>
      </c>
      <c r="BK1501" t="s">
        <v>65</v>
      </c>
      <c r="BL1501">
        <v>14000</v>
      </c>
      <c r="BM1501" s="1">
        <v>42917</v>
      </c>
      <c r="BN1501" s="1">
        <v>42917</v>
      </c>
      <c r="BO1501" s="1">
        <v>42917</v>
      </c>
      <c r="BP1501" s="1">
        <v>44117</v>
      </c>
      <c r="BQ1501" t="s">
        <v>51</v>
      </c>
      <c r="BS1501" t="s">
        <v>60</v>
      </c>
      <c r="BT1501" t="s">
        <v>54</v>
      </c>
      <c r="BU1501" t="s">
        <v>61</v>
      </c>
      <c r="BV1501" t="s">
        <v>62</v>
      </c>
      <c r="BX1501">
        <v>36</v>
      </c>
      <c r="BY1501">
        <v>0</v>
      </c>
      <c r="BZ1501">
        <v>0</v>
      </c>
    </row>
    <row r="1502" spans="1:78" x14ac:dyDescent="0.2">
      <c r="A1502" t="s">
        <v>180</v>
      </c>
      <c r="B1502" t="s">
        <v>181</v>
      </c>
      <c r="C1502" t="s">
        <v>184</v>
      </c>
      <c r="D1502" t="s">
        <v>784</v>
      </c>
      <c r="F1502" t="str">
        <f>"251179"</f>
        <v>251179</v>
      </c>
      <c r="G1502" t="s">
        <v>49</v>
      </c>
      <c r="H1502" t="s">
        <v>786</v>
      </c>
      <c r="K1502" t="s">
        <v>51</v>
      </c>
      <c r="L1502" t="s">
        <v>52</v>
      </c>
      <c r="M1502">
        <v>136743.82999999999</v>
      </c>
      <c r="N1502">
        <v>472193</v>
      </c>
      <c r="O1502" t="s">
        <v>53</v>
      </c>
      <c r="P1502" t="s">
        <v>54</v>
      </c>
      <c r="Q1502" t="s">
        <v>55</v>
      </c>
      <c r="T1502" t="s">
        <v>682</v>
      </c>
      <c r="U1502">
        <v>40</v>
      </c>
      <c r="V1502" s="1">
        <v>37073</v>
      </c>
      <c r="W1502" s="1">
        <v>37073</v>
      </c>
      <c r="X1502" s="1">
        <v>37073</v>
      </c>
      <c r="Y1502" s="1">
        <v>51683</v>
      </c>
      <c r="Z1502" t="s">
        <v>51</v>
      </c>
      <c r="AB1502" t="s">
        <v>54</v>
      </c>
      <c r="AC1502">
        <v>1</v>
      </c>
      <c r="AE1502" t="s">
        <v>222</v>
      </c>
      <c r="AF1502">
        <v>20</v>
      </c>
      <c r="AG1502" s="1">
        <v>37073</v>
      </c>
      <c r="AH1502" s="1">
        <v>37073</v>
      </c>
      <c r="AI1502" s="1">
        <v>37073</v>
      </c>
      <c r="AJ1502" s="1">
        <v>44378</v>
      </c>
      <c r="AK1502" t="s">
        <v>51</v>
      </c>
      <c r="AN1502">
        <v>0</v>
      </c>
      <c r="AO1502" t="s">
        <v>54</v>
      </c>
      <c r="AP1502" t="s">
        <v>53</v>
      </c>
      <c r="AQ1502">
        <v>0</v>
      </c>
      <c r="AR1502" t="s">
        <v>53</v>
      </c>
      <c r="AS1502">
        <v>0</v>
      </c>
      <c r="AT1502">
        <v>0</v>
      </c>
      <c r="AW1502" t="s">
        <v>58</v>
      </c>
      <c r="AX1502">
        <v>20</v>
      </c>
      <c r="AY1502" s="1">
        <v>37073</v>
      </c>
      <c r="AZ1502" s="1">
        <v>37073</v>
      </c>
      <c r="BA1502" s="1">
        <v>37073</v>
      </c>
      <c r="BB1502" s="1">
        <v>44378</v>
      </c>
      <c r="BC1502" t="s">
        <v>51</v>
      </c>
      <c r="BE1502" t="s">
        <v>54</v>
      </c>
      <c r="BF1502">
        <v>2</v>
      </c>
      <c r="BG1502">
        <v>0</v>
      </c>
      <c r="BH1502" t="s">
        <v>53</v>
      </c>
      <c r="BK1502" t="s">
        <v>65</v>
      </c>
      <c r="BL1502">
        <v>14000</v>
      </c>
      <c r="BM1502" s="1">
        <v>42917</v>
      </c>
      <c r="BN1502" s="1">
        <v>42917</v>
      </c>
      <c r="BO1502" s="1">
        <v>42917</v>
      </c>
      <c r="BP1502" s="1">
        <v>44117</v>
      </c>
      <c r="BQ1502" t="s">
        <v>51</v>
      </c>
      <c r="BS1502" t="s">
        <v>60</v>
      </c>
      <c r="BT1502" t="s">
        <v>54</v>
      </c>
      <c r="BU1502" t="s">
        <v>61</v>
      </c>
      <c r="BV1502" t="s">
        <v>62</v>
      </c>
      <c r="BX1502">
        <v>36</v>
      </c>
      <c r="BY1502">
        <v>0</v>
      </c>
      <c r="BZ1502">
        <v>0</v>
      </c>
    </row>
    <row r="1503" spans="1:78" x14ac:dyDescent="0.2">
      <c r="A1503" t="s">
        <v>180</v>
      </c>
      <c r="B1503" t="s">
        <v>181</v>
      </c>
      <c r="C1503" t="s">
        <v>184</v>
      </c>
      <c r="D1503" t="s">
        <v>784</v>
      </c>
      <c r="F1503" t="str">
        <f>"251180"</f>
        <v>251180</v>
      </c>
      <c r="G1503" t="s">
        <v>49</v>
      </c>
      <c r="H1503" t="s">
        <v>281</v>
      </c>
      <c r="K1503" t="s">
        <v>51</v>
      </c>
      <c r="L1503" t="s">
        <v>52</v>
      </c>
      <c r="M1503">
        <v>136726.44</v>
      </c>
      <c r="N1503">
        <v>472192.09</v>
      </c>
      <c r="O1503" t="s">
        <v>53</v>
      </c>
      <c r="P1503" t="s">
        <v>54</v>
      </c>
      <c r="Q1503" t="s">
        <v>55</v>
      </c>
      <c r="T1503" t="s">
        <v>682</v>
      </c>
      <c r="U1503">
        <v>40</v>
      </c>
      <c r="V1503" s="1">
        <v>37073</v>
      </c>
      <c r="W1503" s="1">
        <v>37073</v>
      </c>
      <c r="X1503" s="1">
        <v>37073</v>
      </c>
      <c r="Y1503" s="1">
        <v>51683</v>
      </c>
      <c r="Z1503" t="s">
        <v>51</v>
      </c>
      <c r="AB1503" t="s">
        <v>54</v>
      </c>
      <c r="AC1503">
        <v>1</v>
      </c>
      <c r="AE1503" t="s">
        <v>222</v>
      </c>
      <c r="AF1503">
        <v>20</v>
      </c>
      <c r="AG1503" s="1">
        <v>37073</v>
      </c>
      <c r="AH1503" s="1">
        <v>37073</v>
      </c>
      <c r="AI1503" s="1">
        <v>37073</v>
      </c>
      <c r="AJ1503" s="1">
        <v>44378</v>
      </c>
      <c r="AK1503" t="s">
        <v>51</v>
      </c>
      <c r="AN1503">
        <v>0</v>
      </c>
      <c r="AO1503" t="s">
        <v>54</v>
      </c>
      <c r="AP1503" t="s">
        <v>53</v>
      </c>
      <c r="AQ1503">
        <v>0</v>
      </c>
      <c r="AR1503" t="s">
        <v>53</v>
      </c>
      <c r="AS1503">
        <v>0</v>
      </c>
      <c r="AT1503">
        <v>0</v>
      </c>
      <c r="AW1503" t="s">
        <v>58</v>
      </c>
      <c r="AX1503">
        <v>20</v>
      </c>
      <c r="AY1503" s="1">
        <v>44347</v>
      </c>
      <c r="AZ1503" s="1">
        <v>44347</v>
      </c>
      <c r="BA1503" s="1">
        <v>44347</v>
      </c>
      <c r="BB1503" s="1">
        <v>51652</v>
      </c>
      <c r="BC1503" t="s">
        <v>51</v>
      </c>
      <c r="BE1503" t="s">
        <v>54</v>
      </c>
      <c r="BF1503">
        <v>2</v>
      </c>
      <c r="BG1503">
        <v>0</v>
      </c>
      <c r="BH1503" t="s">
        <v>53</v>
      </c>
      <c r="BK1503" t="s">
        <v>65</v>
      </c>
      <c r="BL1503">
        <v>14000</v>
      </c>
      <c r="BM1503" s="1">
        <v>44347</v>
      </c>
      <c r="BN1503" s="1">
        <v>44347</v>
      </c>
      <c r="BO1503" s="1">
        <v>44347</v>
      </c>
      <c r="BP1503" s="1">
        <v>45560</v>
      </c>
      <c r="BQ1503" t="s">
        <v>51</v>
      </c>
      <c r="BS1503" t="s">
        <v>60</v>
      </c>
      <c r="BT1503" t="s">
        <v>54</v>
      </c>
      <c r="BU1503" t="s">
        <v>61</v>
      </c>
      <c r="BV1503" t="s">
        <v>62</v>
      </c>
      <c r="BX1503">
        <v>36</v>
      </c>
      <c r="BY1503">
        <v>0</v>
      </c>
      <c r="BZ1503">
        <v>0</v>
      </c>
    </row>
    <row r="1504" spans="1:78" x14ac:dyDescent="0.2">
      <c r="A1504" t="s">
        <v>180</v>
      </c>
      <c r="B1504" t="s">
        <v>181</v>
      </c>
      <c r="C1504" t="s">
        <v>184</v>
      </c>
      <c r="D1504" t="s">
        <v>784</v>
      </c>
      <c r="F1504" t="str">
        <f>"251181"</f>
        <v>251181</v>
      </c>
      <c r="G1504" t="s">
        <v>49</v>
      </c>
      <c r="H1504" t="s">
        <v>787</v>
      </c>
      <c r="K1504" t="s">
        <v>51</v>
      </c>
      <c r="L1504" t="s">
        <v>52</v>
      </c>
      <c r="M1504">
        <v>136712.16</v>
      </c>
      <c r="N1504">
        <v>472207.97</v>
      </c>
      <c r="O1504" t="s">
        <v>53</v>
      </c>
      <c r="P1504" t="s">
        <v>54</v>
      </c>
      <c r="Q1504" t="s">
        <v>55</v>
      </c>
      <c r="T1504" t="s">
        <v>682</v>
      </c>
      <c r="U1504">
        <v>40</v>
      </c>
      <c r="V1504" s="1">
        <v>37073</v>
      </c>
      <c r="W1504" s="1">
        <v>37073</v>
      </c>
      <c r="X1504" s="1">
        <v>37073</v>
      </c>
      <c r="Y1504" s="1">
        <v>51683</v>
      </c>
      <c r="Z1504" t="s">
        <v>51</v>
      </c>
      <c r="AB1504" t="s">
        <v>54</v>
      </c>
      <c r="AC1504">
        <v>1</v>
      </c>
      <c r="AE1504" t="s">
        <v>222</v>
      </c>
      <c r="AF1504">
        <v>20</v>
      </c>
      <c r="AG1504" s="1">
        <v>37073</v>
      </c>
      <c r="AH1504" s="1">
        <v>37073</v>
      </c>
      <c r="AI1504" s="1">
        <v>37073</v>
      </c>
      <c r="AJ1504" s="1">
        <v>44378</v>
      </c>
      <c r="AK1504" t="s">
        <v>51</v>
      </c>
      <c r="AN1504">
        <v>0</v>
      </c>
      <c r="AO1504" t="s">
        <v>54</v>
      </c>
      <c r="AP1504" t="s">
        <v>53</v>
      </c>
      <c r="AQ1504">
        <v>0</v>
      </c>
      <c r="AR1504" t="s">
        <v>53</v>
      </c>
      <c r="AS1504">
        <v>0</v>
      </c>
      <c r="AT1504">
        <v>0</v>
      </c>
      <c r="AW1504" t="s">
        <v>58</v>
      </c>
      <c r="AX1504">
        <v>20</v>
      </c>
      <c r="AY1504" s="1">
        <v>43767</v>
      </c>
      <c r="AZ1504" s="1">
        <v>43767</v>
      </c>
      <c r="BA1504" s="1">
        <v>43767</v>
      </c>
      <c r="BB1504" s="1">
        <v>51072</v>
      </c>
      <c r="BC1504" t="s">
        <v>51</v>
      </c>
      <c r="BE1504" t="s">
        <v>54</v>
      </c>
      <c r="BF1504">
        <v>2</v>
      </c>
      <c r="BG1504">
        <v>0</v>
      </c>
      <c r="BH1504" t="s">
        <v>53</v>
      </c>
      <c r="BK1504" t="s">
        <v>65</v>
      </c>
      <c r="BL1504">
        <v>14000</v>
      </c>
      <c r="BM1504" s="1">
        <v>43767</v>
      </c>
      <c r="BN1504" s="1">
        <v>43767</v>
      </c>
      <c r="BO1504" s="1">
        <v>43767</v>
      </c>
      <c r="BP1504" s="1">
        <v>44927</v>
      </c>
      <c r="BQ1504" t="s">
        <v>51</v>
      </c>
      <c r="BS1504" t="s">
        <v>60</v>
      </c>
      <c r="BT1504" t="s">
        <v>54</v>
      </c>
      <c r="BU1504" t="s">
        <v>61</v>
      </c>
      <c r="BV1504" t="s">
        <v>62</v>
      </c>
      <c r="BX1504">
        <v>36</v>
      </c>
      <c r="BY1504">
        <v>0</v>
      </c>
      <c r="BZ1504">
        <v>0</v>
      </c>
    </row>
    <row r="1505" spans="1:78" x14ac:dyDescent="0.2">
      <c r="A1505" t="s">
        <v>180</v>
      </c>
      <c r="B1505" t="s">
        <v>181</v>
      </c>
      <c r="C1505" t="s">
        <v>184</v>
      </c>
      <c r="D1505" t="s">
        <v>784</v>
      </c>
      <c r="F1505" t="str">
        <f>"251182"</f>
        <v>251182</v>
      </c>
      <c r="G1505" t="s">
        <v>49</v>
      </c>
      <c r="H1505" t="s">
        <v>788</v>
      </c>
      <c r="K1505" t="s">
        <v>51</v>
      </c>
      <c r="L1505" t="s">
        <v>52</v>
      </c>
      <c r="M1505">
        <v>136688.23000000001</v>
      </c>
      <c r="N1505">
        <v>472210.09</v>
      </c>
      <c r="O1505" t="s">
        <v>53</v>
      </c>
      <c r="P1505" t="s">
        <v>54</v>
      </c>
      <c r="Q1505" t="s">
        <v>55</v>
      </c>
      <c r="T1505" t="s">
        <v>682</v>
      </c>
      <c r="U1505">
        <v>40</v>
      </c>
      <c r="V1505" s="1">
        <v>37073</v>
      </c>
      <c r="W1505" s="1">
        <v>37073</v>
      </c>
      <c r="X1505" s="1">
        <v>37073</v>
      </c>
      <c r="Y1505" s="1">
        <v>51683</v>
      </c>
      <c r="Z1505" t="s">
        <v>51</v>
      </c>
      <c r="AB1505" t="s">
        <v>54</v>
      </c>
      <c r="AC1505">
        <v>1</v>
      </c>
      <c r="AE1505" t="s">
        <v>222</v>
      </c>
      <c r="AF1505">
        <v>20</v>
      </c>
      <c r="AG1505" s="1">
        <v>37073</v>
      </c>
      <c r="AH1505" s="1">
        <v>37073</v>
      </c>
      <c r="AI1505" s="1">
        <v>37073</v>
      </c>
      <c r="AJ1505" s="1">
        <v>44378</v>
      </c>
      <c r="AK1505" t="s">
        <v>51</v>
      </c>
      <c r="AN1505">
        <v>0</v>
      </c>
      <c r="AO1505" t="s">
        <v>54</v>
      </c>
      <c r="AP1505" t="s">
        <v>53</v>
      </c>
      <c r="AQ1505">
        <v>0</v>
      </c>
      <c r="AR1505" t="s">
        <v>53</v>
      </c>
      <c r="AS1505">
        <v>0</v>
      </c>
      <c r="AT1505">
        <v>0</v>
      </c>
      <c r="AW1505" t="s">
        <v>58</v>
      </c>
      <c r="AX1505">
        <v>20</v>
      </c>
      <c r="AY1505" s="1">
        <v>37073</v>
      </c>
      <c r="AZ1505" s="1">
        <v>37073</v>
      </c>
      <c r="BA1505" s="1">
        <v>37073</v>
      </c>
      <c r="BB1505" s="1">
        <v>44378</v>
      </c>
      <c r="BC1505" t="s">
        <v>51</v>
      </c>
      <c r="BE1505" t="s">
        <v>54</v>
      </c>
      <c r="BF1505">
        <v>2</v>
      </c>
      <c r="BG1505">
        <v>0</v>
      </c>
      <c r="BH1505" t="s">
        <v>53</v>
      </c>
      <c r="BK1505" t="s">
        <v>65</v>
      </c>
      <c r="BL1505">
        <v>14000</v>
      </c>
      <c r="BM1505" s="1">
        <v>42917</v>
      </c>
      <c r="BN1505" s="1">
        <v>42917</v>
      </c>
      <c r="BO1505" s="1">
        <v>42917</v>
      </c>
      <c r="BP1505" s="1">
        <v>44117</v>
      </c>
      <c r="BQ1505" t="s">
        <v>51</v>
      </c>
      <c r="BS1505" t="s">
        <v>60</v>
      </c>
      <c r="BT1505" t="s">
        <v>54</v>
      </c>
      <c r="BU1505" t="s">
        <v>61</v>
      </c>
      <c r="BV1505" t="s">
        <v>62</v>
      </c>
      <c r="BX1505">
        <v>36</v>
      </c>
      <c r="BY1505">
        <v>0</v>
      </c>
      <c r="BZ1505">
        <v>0</v>
      </c>
    </row>
    <row r="1506" spans="1:78" x14ac:dyDescent="0.2">
      <c r="A1506" t="s">
        <v>180</v>
      </c>
      <c r="B1506" t="s">
        <v>181</v>
      </c>
      <c r="C1506" t="s">
        <v>184</v>
      </c>
      <c r="D1506" t="s">
        <v>784</v>
      </c>
      <c r="F1506" t="str">
        <f>"254374"</f>
        <v>254374</v>
      </c>
      <c r="G1506" t="s">
        <v>49</v>
      </c>
      <c r="H1506" t="s">
        <v>123</v>
      </c>
      <c r="K1506" t="s">
        <v>51</v>
      </c>
      <c r="L1506" t="s">
        <v>52</v>
      </c>
      <c r="M1506">
        <v>136666.17000000001</v>
      </c>
      <c r="N1506">
        <v>472230.13</v>
      </c>
      <c r="O1506" t="s">
        <v>53</v>
      </c>
      <c r="P1506" t="s">
        <v>54</v>
      </c>
      <c r="Q1506" t="s">
        <v>55</v>
      </c>
      <c r="T1506" t="s">
        <v>241</v>
      </c>
      <c r="U1506">
        <v>40</v>
      </c>
      <c r="V1506" s="1">
        <v>37073</v>
      </c>
      <c r="W1506" s="1">
        <v>37073</v>
      </c>
      <c r="X1506" s="1">
        <v>37073</v>
      </c>
      <c r="Y1506" s="1">
        <v>51683</v>
      </c>
      <c r="Z1506" t="s">
        <v>51</v>
      </c>
      <c r="AB1506" t="s">
        <v>54</v>
      </c>
      <c r="AC1506">
        <v>1</v>
      </c>
      <c r="AE1506" t="s">
        <v>222</v>
      </c>
      <c r="AF1506">
        <v>20</v>
      </c>
      <c r="AG1506" s="1">
        <v>37073</v>
      </c>
      <c r="AH1506" s="1">
        <v>37073</v>
      </c>
      <c r="AI1506" s="1">
        <v>37073</v>
      </c>
      <c r="AJ1506" s="1">
        <v>44378</v>
      </c>
      <c r="AK1506" t="s">
        <v>51</v>
      </c>
      <c r="AN1506">
        <v>0</v>
      </c>
      <c r="AO1506" t="s">
        <v>54</v>
      </c>
      <c r="AP1506" t="s">
        <v>53</v>
      </c>
      <c r="AQ1506">
        <v>0</v>
      </c>
      <c r="AR1506" t="s">
        <v>53</v>
      </c>
      <c r="AS1506">
        <v>0</v>
      </c>
      <c r="AT1506">
        <v>0</v>
      </c>
      <c r="AW1506" t="s">
        <v>58</v>
      </c>
      <c r="AX1506">
        <v>20</v>
      </c>
      <c r="AY1506" s="1">
        <v>37073</v>
      </c>
      <c r="AZ1506" s="1">
        <v>37073</v>
      </c>
      <c r="BA1506" s="1">
        <v>37073</v>
      </c>
      <c r="BB1506" s="1">
        <v>44378</v>
      </c>
      <c r="BC1506" t="s">
        <v>51</v>
      </c>
      <c r="BE1506" t="s">
        <v>54</v>
      </c>
      <c r="BF1506">
        <v>2</v>
      </c>
      <c r="BG1506">
        <v>0</v>
      </c>
      <c r="BH1506" t="s">
        <v>53</v>
      </c>
      <c r="BI1506">
        <v>1</v>
      </c>
      <c r="BK1506" t="s">
        <v>65</v>
      </c>
      <c r="BL1506">
        <v>14000</v>
      </c>
      <c r="BM1506" s="1">
        <v>42917</v>
      </c>
      <c r="BN1506" s="1">
        <v>42917</v>
      </c>
      <c r="BO1506" s="1">
        <v>42917</v>
      </c>
      <c r="BP1506" s="1">
        <v>44117</v>
      </c>
      <c r="BQ1506" t="s">
        <v>51</v>
      </c>
      <c r="BS1506" t="s">
        <v>60</v>
      </c>
      <c r="BT1506" t="s">
        <v>54</v>
      </c>
      <c r="BU1506" t="s">
        <v>61</v>
      </c>
      <c r="BV1506" t="s">
        <v>62</v>
      </c>
      <c r="BX1506">
        <v>36</v>
      </c>
      <c r="BY1506">
        <v>0</v>
      </c>
      <c r="BZ1506">
        <v>0</v>
      </c>
    </row>
    <row r="1507" spans="1:78" x14ac:dyDescent="0.2">
      <c r="A1507" t="s">
        <v>180</v>
      </c>
      <c r="B1507" t="s">
        <v>181</v>
      </c>
      <c r="C1507" t="s">
        <v>184</v>
      </c>
      <c r="D1507" t="s">
        <v>784</v>
      </c>
      <c r="F1507" t="str">
        <f>"251184"</f>
        <v>251184</v>
      </c>
      <c r="G1507" t="s">
        <v>49</v>
      </c>
      <c r="H1507" t="s">
        <v>537</v>
      </c>
      <c r="K1507" t="s">
        <v>51</v>
      </c>
      <c r="L1507" t="s">
        <v>52</v>
      </c>
      <c r="M1507">
        <v>136642.67000000001</v>
      </c>
      <c r="N1507">
        <v>472232.31</v>
      </c>
      <c r="O1507" t="s">
        <v>53</v>
      </c>
      <c r="P1507" t="s">
        <v>54</v>
      </c>
      <c r="Q1507" t="s">
        <v>55</v>
      </c>
      <c r="T1507" t="s">
        <v>241</v>
      </c>
      <c r="U1507">
        <v>40</v>
      </c>
      <c r="V1507" s="1">
        <v>37073</v>
      </c>
      <c r="W1507" s="1">
        <v>37073</v>
      </c>
      <c r="X1507" s="1">
        <v>37073</v>
      </c>
      <c r="Y1507" s="1">
        <v>51683</v>
      </c>
      <c r="Z1507" t="s">
        <v>51</v>
      </c>
      <c r="AB1507" t="s">
        <v>54</v>
      </c>
      <c r="AC1507">
        <v>1</v>
      </c>
      <c r="AE1507" t="s">
        <v>222</v>
      </c>
      <c r="AF1507">
        <v>20</v>
      </c>
      <c r="AG1507" s="1">
        <v>37073</v>
      </c>
      <c r="AH1507" s="1">
        <v>37073</v>
      </c>
      <c r="AI1507" s="1">
        <v>37073</v>
      </c>
      <c r="AJ1507" s="1">
        <v>44378</v>
      </c>
      <c r="AK1507" t="s">
        <v>51</v>
      </c>
      <c r="AN1507">
        <v>0</v>
      </c>
      <c r="AO1507" t="s">
        <v>54</v>
      </c>
      <c r="AP1507" t="s">
        <v>53</v>
      </c>
      <c r="AQ1507">
        <v>0</v>
      </c>
      <c r="AR1507" t="s">
        <v>53</v>
      </c>
      <c r="AS1507">
        <v>0</v>
      </c>
      <c r="AT1507">
        <v>0</v>
      </c>
      <c r="AW1507" t="s">
        <v>58</v>
      </c>
      <c r="AX1507">
        <v>20</v>
      </c>
      <c r="AY1507" s="1">
        <v>37073</v>
      </c>
      <c r="AZ1507" s="1">
        <v>37073</v>
      </c>
      <c r="BA1507" s="1">
        <v>37073</v>
      </c>
      <c r="BB1507" s="1">
        <v>44378</v>
      </c>
      <c r="BC1507" t="s">
        <v>51</v>
      </c>
      <c r="BE1507" t="s">
        <v>54</v>
      </c>
      <c r="BF1507">
        <v>2</v>
      </c>
      <c r="BG1507">
        <v>0</v>
      </c>
      <c r="BH1507" t="s">
        <v>53</v>
      </c>
      <c r="BK1507" t="s">
        <v>65</v>
      </c>
      <c r="BL1507">
        <v>14000</v>
      </c>
      <c r="BM1507" s="1">
        <v>42917</v>
      </c>
      <c r="BN1507" s="1">
        <v>42917</v>
      </c>
      <c r="BO1507" s="1">
        <v>42917</v>
      </c>
      <c r="BP1507" s="1">
        <v>44117</v>
      </c>
      <c r="BQ1507" t="s">
        <v>51</v>
      </c>
      <c r="BS1507" t="s">
        <v>60</v>
      </c>
      <c r="BT1507" t="s">
        <v>54</v>
      </c>
      <c r="BU1507" t="s">
        <v>61</v>
      </c>
      <c r="BV1507" t="s">
        <v>62</v>
      </c>
      <c r="BX1507">
        <v>36</v>
      </c>
      <c r="BY1507">
        <v>0</v>
      </c>
      <c r="BZ1507">
        <v>0</v>
      </c>
    </row>
    <row r="1508" spans="1:78" x14ac:dyDescent="0.2">
      <c r="A1508" t="s">
        <v>180</v>
      </c>
      <c r="B1508" t="s">
        <v>181</v>
      </c>
      <c r="C1508" t="s">
        <v>184</v>
      </c>
      <c r="D1508" t="s">
        <v>784</v>
      </c>
      <c r="F1508" t="str">
        <f>"251185"</f>
        <v>251185</v>
      </c>
      <c r="G1508" t="s">
        <v>49</v>
      </c>
      <c r="H1508" t="s">
        <v>461</v>
      </c>
      <c r="K1508" t="s">
        <v>51</v>
      </c>
      <c r="L1508" t="s">
        <v>52</v>
      </c>
      <c r="M1508">
        <v>136624.41</v>
      </c>
      <c r="N1508">
        <v>472250.88</v>
      </c>
      <c r="O1508" t="s">
        <v>53</v>
      </c>
      <c r="P1508" t="s">
        <v>54</v>
      </c>
      <c r="Q1508" t="s">
        <v>55</v>
      </c>
      <c r="T1508" t="s">
        <v>241</v>
      </c>
      <c r="U1508">
        <v>40</v>
      </c>
      <c r="V1508" s="1">
        <v>36708</v>
      </c>
      <c r="W1508" s="1">
        <v>36708</v>
      </c>
      <c r="X1508" s="1">
        <v>36708</v>
      </c>
      <c r="Y1508" s="1">
        <v>51318</v>
      </c>
      <c r="Z1508" t="s">
        <v>51</v>
      </c>
      <c r="AB1508" t="s">
        <v>54</v>
      </c>
      <c r="AC1508">
        <v>1</v>
      </c>
      <c r="AE1508" t="s">
        <v>222</v>
      </c>
      <c r="AF1508">
        <v>20</v>
      </c>
      <c r="AG1508" s="1">
        <v>36708</v>
      </c>
      <c r="AH1508" s="1">
        <v>36708</v>
      </c>
      <c r="AI1508" s="1">
        <v>36708</v>
      </c>
      <c r="AJ1508" s="1">
        <v>44013</v>
      </c>
      <c r="AK1508" t="s">
        <v>51</v>
      </c>
      <c r="AN1508">
        <v>0</v>
      </c>
      <c r="AO1508" t="s">
        <v>54</v>
      </c>
      <c r="AP1508" t="s">
        <v>53</v>
      </c>
      <c r="AQ1508">
        <v>0</v>
      </c>
      <c r="AR1508" t="s">
        <v>53</v>
      </c>
      <c r="AS1508">
        <v>0</v>
      </c>
      <c r="AT1508">
        <v>0</v>
      </c>
      <c r="AW1508" t="s">
        <v>58</v>
      </c>
      <c r="AX1508">
        <v>20</v>
      </c>
      <c r="AY1508" s="1">
        <v>36708</v>
      </c>
      <c r="AZ1508" s="1">
        <v>36708</v>
      </c>
      <c r="BA1508" s="1">
        <v>36708</v>
      </c>
      <c r="BB1508" s="1">
        <v>44013</v>
      </c>
      <c r="BC1508" t="s">
        <v>51</v>
      </c>
      <c r="BE1508" t="s">
        <v>54</v>
      </c>
      <c r="BF1508">
        <v>2</v>
      </c>
      <c r="BG1508">
        <v>0</v>
      </c>
      <c r="BH1508" t="s">
        <v>53</v>
      </c>
      <c r="BK1508" t="s">
        <v>65</v>
      </c>
      <c r="BL1508">
        <v>14000</v>
      </c>
      <c r="BM1508" s="1">
        <v>42917</v>
      </c>
      <c r="BN1508" s="1">
        <v>42917</v>
      </c>
      <c r="BO1508" s="1">
        <v>42917</v>
      </c>
      <c r="BP1508" s="1">
        <v>44117</v>
      </c>
      <c r="BQ1508" t="s">
        <v>51</v>
      </c>
      <c r="BS1508" t="s">
        <v>60</v>
      </c>
      <c r="BT1508" t="s">
        <v>54</v>
      </c>
      <c r="BU1508" t="s">
        <v>61</v>
      </c>
      <c r="BV1508" t="s">
        <v>62</v>
      </c>
      <c r="BX1508">
        <v>36</v>
      </c>
      <c r="BY1508">
        <v>0</v>
      </c>
      <c r="BZ1508">
        <v>0</v>
      </c>
    </row>
    <row r="1509" spans="1:78" x14ac:dyDescent="0.2">
      <c r="A1509" t="s">
        <v>180</v>
      </c>
      <c r="B1509" t="s">
        <v>181</v>
      </c>
      <c r="C1509" t="s">
        <v>184</v>
      </c>
      <c r="D1509" t="s">
        <v>784</v>
      </c>
      <c r="F1509" t="str">
        <f>"251186"</f>
        <v>251186</v>
      </c>
      <c r="G1509" t="s">
        <v>49</v>
      </c>
      <c r="H1509" t="s">
        <v>789</v>
      </c>
      <c r="K1509" t="s">
        <v>51</v>
      </c>
      <c r="L1509" t="s">
        <v>52</v>
      </c>
      <c r="M1509">
        <v>136600.19</v>
      </c>
      <c r="N1509">
        <v>472252.81</v>
      </c>
      <c r="O1509" t="s">
        <v>53</v>
      </c>
      <c r="P1509" t="s">
        <v>54</v>
      </c>
      <c r="Q1509" t="s">
        <v>55</v>
      </c>
      <c r="T1509" t="s">
        <v>241</v>
      </c>
      <c r="U1509">
        <v>40</v>
      </c>
      <c r="V1509" s="1">
        <v>36708</v>
      </c>
      <c r="W1509" s="1">
        <v>36708</v>
      </c>
      <c r="X1509" s="1">
        <v>36708</v>
      </c>
      <c r="Y1509" s="1">
        <v>51318</v>
      </c>
      <c r="Z1509" t="s">
        <v>51</v>
      </c>
      <c r="AB1509" t="s">
        <v>54</v>
      </c>
      <c r="AC1509">
        <v>1</v>
      </c>
      <c r="AE1509" t="s">
        <v>222</v>
      </c>
      <c r="AF1509">
        <v>20</v>
      </c>
      <c r="AG1509" s="1">
        <v>36708</v>
      </c>
      <c r="AH1509" s="1">
        <v>36708</v>
      </c>
      <c r="AI1509" s="1">
        <v>36708</v>
      </c>
      <c r="AJ1509" s="1">
        <v>44013</v>
      </c>
      <c r="AK1509" t="s">
        <v>51</v>
      </c>
      <c r="AN1509">
        <v>0</v>
      </c>
      <c r="AO1509" t="s">
        <v>54</v>
      </c>
      <c r="AP1509" t="s">
        <v>53</v>
      </c>
      <c r="AQ1509">
        <v>0</v>
      </c>
      <c r="AR1509" t="s">
        <v>53</v>
      </c>
      <c r="AS1509">
        <v>0</v>
      </c>
      <c r="AT1509">
        <v>0</v>
      </c>
      <c r="AW1509" t="s">
        <v>58</v>
      </c>
      <c r="AX1509">
        <v>20</v>
      </c>
      <c r="AY1509" s="1">
        <v>36708</v>
      </c>
      <c r="AZ1509" s="1">
        <v>36708</v>
      </c>
      <c r="BA1509" s="1">
        <v>36708</v>
      </c>
      <c r="BB1509" s="1">
        <v>44013</v>
      </c>
      <c r="BC1509" t="s">
        <v>51</v>
      </c>
      <c r="BE1509" t="s">
        <v>54</v>
      </c>
      <c r="BF1509">
        <v>2</v>
      </c>
      <c r="BG1509">
        <v>0</v>
      </c>
      <c r="BH1509" t="s">
        <v>53</v>
      </c>
      <c r="BK1509" t="s">
        <v>65</v>
      </c>
      <c r="BL1509">
        <v>14000</v>
      </c>
      <c r="BM1509" s="1">
        <v>42917</v>
      </c>
      <c r="BN1509" s="1">
        <v>42917</v>
      </c>
      <c r="BO1509" s="1">
        <v>42917</v>
      </c>
      <c r="BP1509" s="1">
        <v>44117</v>
      </c>
      <c r="BQ1509" t="s">
        <v>51</v>
      </c>
      <c r="BS1509" t="s">
        <v>60</v>
      </c>
      <c r="BT1509" t="s">
        <v>54</v>
      </c>
      <c r="BU1509" t="s">
        <v>61</v>
      </c>
      <c r="BV1509" t="s">
        <v>62</v>
      </c>
      <c r="BX1509">
        <v>36</v>
      </c>
      <c r="BY1509">
        <v>0</v>
      </c>
      <c r="BZ1509">
        <v>0</v>
      </c>
    </row>
    <row r="1510" spans="1:78" x14ac:dyDescent="0.2">
      <c r="A1510" t="s">
        <v>180</v>
      </c>
      <c r="B1510" t="s">
        <v>181</v>
      </c>
      <c r="C1510" t="s">
        <v>184</v>
      </c>
      <c r="D1510" t="s">
        <v>784</v>
      </c>
      <c r="F1510" t="str">
        <f>"251187"</f>
        <v>251187</v>
      </c>
      <c r="G1510" t="s">
        <v>49</v>
      </c>
      <c r="K1510" t="s">
        <v>51</v>
      </c>
      <c r="L1510" t="s">
        <v>52</v>
      </c>
      <c r="M1510">
        <v>136582.04999999999</v>
      </c>
      <c r="N1510">
        <v>472271.41</v>
      </c>
      <c r="O1510" t="s">
        <v>53</v>
      </c>
      <c r="P1510" t="s">
        <v>54</v>
      </c>
      <c r="Q1510" t="s">
        <v>55</v>
      </c>
      <c r="T1510" t="s">
        <v>241</v>
      </c>
      <c r="U1510">
        <v>40</v>
      </c>
      <c r="V1510" s="1">
        <v>36708</v>
      </c>
      <c r="W1510" s="1">
        <v>36708</v>
      </c>
      <c r="X1510" s="1">
        <v>36708</v>
      </c>
      <c r="Y1510" s="1">
        <v>51318</v>
      </c>
      <c r="Z1510" t="s">
        <v>51</v>
      </c>
      <c r="AB1510" t="s">
        <v>54</v>
      </c>
      <c r="AC1510">
        <v>1</v>
      </c>
      <c r="AE1510" t="s">
        <v>222</v>
      </c>
      <c r="AF1510">
        <v>20</v>
      </c>
      <c r="AG1510" s="1">
        <v>36708</v>
      </c>
      <c r="AH1510" s="1">
        <v>36708</v>
      </c>
      <c r="AI1510" s="1">
        <v>36708</v>
      </c>
      <c r="AJ1510" s="1">
        <v>44013</v>
      </c>
      <c r="AK1510" t="s">
        <v>51</v>
      </c>
      <c r="AN1510">
        <v>0</v>
      </c>
      <c r="AO1510" t="s">
        <v>54</v>
      </c>
      <c r="AP1510" t="s">
        <v>53</v>
      </c>
      <c r="AQ1510">
        <v>0</v>
      </c>
      <c r="AR1510" t="s">
        <v>53</v>
      </c>
      <c r="AS1510">
        <v>0</v>
      </c>
      <c r="AT1510">
        <v>0</v>
      </c>
      <c r="AW1510" t="s">
        <v>58</v>
      </c>
      <c r="AX1510">
        <v>20</v>
      </c>
      <c r="AY1510" s="1">
        <v>36708</v>
      </c>
      <c r="AZ1510" s="1">
        <v>36708</v>
      </c>
      <c r="BA1510" s="1">
        <v>36708</v>
      </c>
      <c r="BB1510" s="1">
        <v>44013</v>
      </c>
      <c r="BC1510" t="s">
        <v>51</v>
      </c>
      <c r="BE1510" t="s">
        <v>54</v>
      </c>
      <c r="BF1510">
        <v>2</v>
      </c>
      <c r="BG1510">
        <v>0</v>
      </c>
      <c r="BH1510" t="s">
        <v>53</v>
      </c>
      <c r="BK1510" t="s">
        <v>65</v>
      </c>
      <c r="BL1510">
        <v>14000</v>
      </c>
      <c r="BM1510" s="1">
        <v>42917</v>
      </c>
      <c r="BN1510" s="1">
        <v>42917</v>
      </c>
      <c r="BO1510" s="1">
        <v>42917</v>
      </c>
      <c r="BP1510" s="1">
        <v>44117</v>
      </c>
      <c r="BQ1510" t="s">
        <v>51</v>
      </c>
      <c r="BS1510" t="s">
        <v>60</v>
      </c>
      <c r="BT1510" t="s">
        <v>54</v>
      </c>
      <c r="BU1510" t="s">
        <v>61</v>
      </c>
      <c r="BV1510" t="s">
        <v>62</v>
      </c>
      <c r="BX1510">
        <v>36</v>
      </c>
      <c r="BY1510">
        <v>0</v>
      </c>
      <c r="BZ1510">
        <v>0</v>
      </c>
    </row>
    <row r="1511" spans="1:78" x14ac:dyDescent="0.2">
      <c r="A1511" t="s">
        <v>180</v>
      </c>
      <c r="B1511" t="s">
        <v>181</v>
      </c>
      <c r="C1511" t="s">
        <v>184</v>
      </c>
      <c r="D1511" t="s">
        <v>784</v>
      </c>
      <c r="F1511" t="str">
        <f>"251188"</f>
        <v>251188</v>
      </c>
      <c r="G1511" t="s">
        <v>49</v>
      </c>
      <c r="H1511" t="s">
        <v>790</v>
      </c>
      <c r="K1511" t="s">
        <v>51</v>
      </c>
      <c r="L1511" t="s">
        <v>52</v>
      </c>
      <c r="M1511">
        <v>136551.10999999999</v>
      </c>
      <c r="N1511">
        <v>472277</v>
      </c>
      <c r="O1511" t="s">
        <v>53</v>
      </c>
      <c r="P1511" t="s">
        <v>54</v>
      </c>
      <c r="Q1511" t="s">
        <v>55</v>
      </c>
      <c r="T1511" t="s">
        <v>241</v>
      </c>
      <c r="U1511">
        <v>40</v>
      </c>
      <c r="V1511" s="1">
        <v>36708</v>
      </c>
      <c r="W1511" s="1">
        <v>36708</v>
      </c>
      <c r="X1511" s="1">
        <v>36708</v>
      </c>
      <c r="Y1511" s="1">
        <v>51318</v>
      </c>
      <c r="Z1511" t="s">
        <v>51</v>
      </c>
      <c r="AB1511" t="s">
        <v>54</v>
      </c>
      <c r="AC1511">
        <v>1</v>
      </c>
      <c r="AE1511" t="s">
        <v>222</v>
      </c>
      <c r="AF1511">
        <v>20</v>
      </c>
      <c r="AG1511" s="1">
        <v>36708</v>
      </c>
      <c r="AH1511" s="1">
        <v>36708</v>
      </c>
      <c r="AI1511" s="1">
        <v>36708</v>
      </c>
      <c r="AJ1511" s="1">
        <v>44013</v>
      </c>
      <c r="AK1511" t="s">
        <v>51</v>
      </c>
      <c r="AN1511">
        <v>0</v>
      </c>
      <c r="AO1511" t="s">
        <v>54</v>
      </c>
      <c r="AP1511" t="s">
        <v>53</v>
      </c>
      <c r="AQ1511">
        <v>0</v>
      </c>
      <c r="AR1511" t="s">
        <v>53</v>
      </c>
      <c r="AS1511">
        <v>0</v>
      </c>
      <c r="AT1511">
        <v>0</v>
      </c>
      <c r="AW1511" t="s">
        <v>58</v>
      </c>
      <c r="AX1511">
        <v>20</v>
      </c>
      <c r="AY1511" s="1">
        <v>36708</v>
      </c>
      <c r="AZ1511" s="1">
        <v>36708</v>
      </c>
      <c r="BA1511" s="1">
        <v>36708</v>
      </c>
      <c r="BB1511" s="1">
        <v>44013</v>
      </c>
      <c r="BC1511" t="s">
        <v>51</v>
      </c>
      <c r="BE1511" t="s">
        <v>54</v>
      </c>
      <c r="BF1511">
        <v>2</v>
      </c>
      <c r="BG1511">
        <v>0</v>
      </c>
      <c r="BH1511" t="s">
        <v>53</v>
      </c>
      <c r="BK1511" t="s">
        <v>59</v>
      </c>
      <c r="BL1511">
        <v>14000</v>
      </c>
      <c r="BM1511" s="1">
        <v>42917</v>
      </c>
      <c r="BN1511" s="1">
        <v>42917</v>
      </c>
      <c r="BO1511" s="1">
        <v>42917</v>
      </c>
      <c r="BP1511" s="1">
        <v>44117</v>
      </c>
      <c r="BQ1511" t="s">
        <v>51</v>
      </c>
      <c r="BS1511" t="s">
        <v>60</v>
      </c>
      <c r="BT1511" t="s">
        <v>54</v>
      </c>
      <c r="BU1511" t="s">
        <v>61</v>
      </c>
      <c r="BV1511" t="s">
        <v>62</v>
      </c>
      <c r="BX1511">
        <v>24</v>
      </c>
      <c r="BY1511">
        <v>0</v>
      </c>
      <c r="BZ1511">
        <v>0</v>
      </c>
    </row>
    <row r="1512" spans="1:78" x14ac:dyDescent="0.2">
      <c r="A1512" t="s">
        <v>180</v>
      </c>
      <c r="B1512" t="s">
        <v>181</v>
      </c>
      <c r="C1512" t="s">
        <v>184</v>
      </c>
      <c r="D1512" t="s">
        <v>784</v>
      </c>
      <c r="F1512" t="str">
        <f>"251189"</f>
        <v>251189</v>
      </c>
      <c r="G1512" t="s">
        <v>49</v>
      </c>
      <c r="H1512" t="s">
        <v>791</v>
      </c>
      <c r="K1512" t="s">
        <v>51</v>
      </c>
      <c r="L1512" t="s">
        <v>52</v>
      </c>
      <c r="M1512">
        <v>136531.60999999999</v>
      </c>
      <c r="N1512">
        <v>472295.3</v>
      </c>
      <c r="O1512" t="s">
        <v>53</v>
      </c>
      <c r="P1512" t="s">
        <v>54</v>
      </c>
      <c r="Q1512" t="s">
        <v>55</v>
      </c>
      <c r="T1512" t="s">
        <v>241</v>
      </c>
      <c r="U1512">
        <v>40</v>
      </c>
      <c r="V1512" s="1">
        <v>36708</v>
      </c>
      <c r="W1512" s="1">
        <v>36708</v>
      </c>
      <c r="X1512" s="1">
        <v>36708</v>
      </c>
      <c r="Y1512" s="1">
        <v>51318</v>
      </c>
      <c r="Z1512" t="s">
        <v>51</v>
      </c>
      <c r="AB1512" t="s">
        <v>54</v>
      </c>
      <c r="AC1512">
        <v>1</v>
      </c>
      <c r="AE1512" t="s">
        <v>222</v>
      </c>
      <c r="AF1512">
        <v>20</v>
      </c>
      <c r="AG1512" s="1">
        <v>36708</v>
      </c>
      <c r="AH1512" s="1">
        <v>36708</v>
      </c>
      <c r="AI1512" s="1">
        <v>36708</v>
      </c>
      <c r="AJ1512" s="1">
        <v>44013</v>
      </c>
      <c r="AK1512" t="s">
        <v>51</v>
      </c>
      <c r="AN1512">
        <v>0</v>
      </c>
      <c r="AO1512" t="s">
        <v>54</v>
      </c>
      <c r="AP1512" t="s">
        <v>53</v>
      </c>
      <c r="AQ1512">
        <v>0</v>
      </c>
      <c r="AR1512" t="s">
        <v>53</v>
      </c>
      <c r="AS1512">
        <v>0</v>
      </c>
      <c r="AT1512">
        <v>0</v>
      </c>
      <c r="AW1512" t="s">
        <v>58</v>
      </c>
      <c r="AX1512">
        <v>20</v>
      </c>
      <c r="AY1512" s="1">
        <v>36708</v>
      </c>
      <c r="AZ1512" s="1">
        <v>36708</v>
      </c>
      <c r="BA1512" s="1">
        <v>36708</v>
      </c>
      <c r="BB1512" s="1">
        <v>44013</v>
      </c>
      <c r="BC1512" t="s">
        <v>51</v>
      </c>
      <c r="BE1512" t="s">
        <v>54</v>
      </c>
      <c r="BF1512">
        <v>2</v>
      </c>
      <c r="BG1512">
        <v>0</v>
      </c>
      <c r="BH1512" t="s">
        <v>53</v>
      </c>
      <c r="BK1512" t="s">
        <v>65</v>
      </c>
      <c r="BL1512">
        <v>14000</v>
      </c>
      <c r="BM1512" s="1">
        <v>42917</v>
      </c>
      <c r="BN1512" s="1">
        <v>42917</v>
      </c>
      <c r="BO1512" s="1">
        <v>42917</v>
      </c>
      <c r="BP1512" s="1">
        <v>44117</v>
      </c>
      <c r="BQ1512" t="s">
        <v>51</v>
      </c>
      <c r="BS1512" t="s">
        <v>60</v>
      </c>
      <c r="BT1512" t="s">
        <v>54</v>
      </c>
      <c r="BU1512" t="s">
        <v>61</v>
      </c>
      <c r="BV1512" t="s">
        <v>62</v>
      </c>
      <c r="BX1512">
        <v>36</v>
      </c>
      <c r="BY1512">
        <v>0</v>
      </c>
      <c r="BZ1512">
        <v>0</v>
      </c>
    </row>
    <row r="1513" spans="1:78" x14ac:dyDescent="0.2">
      <c r="A1513" t="s">
        <v>180</v>
      </c>
      <c r="B1513" t="s">
        <v>181</v>
      </c>
      <c r="C1513" t="s">
        <v>184</v>
      </c>
      <c r="D1513" t="s">
        <v>784</v>
      </c>
      <c r="F1513" t="str">
        <f>"251190"</f>
        <v>251190</v>
      </c>
      <c r="G1513" t="s">
        <v>49</v>
      </c>
      <c r="H1513" t="s">
        <v>141</v>
      </c>
      <c r="K1513" t="s">
        <v>51</v>
      </c>
      <c r="L1513" t="s">
        <v>52</v>
      </c>
      <c r="M1513">
        <v>136507.39000000001</v>
      </c>
      <c r="N1513">
        <v>472298.45</v>
      </c>
      <c r="O1513" t="s">
        <v>53</v>
      </c>
      <c r="P1513" t="s">
        <v>54</v>
      </c>
      <c r="Q1513" t="s">
        <v>55</v>
      </c>
      <c r="T1513" t="s">
        <v>241</v>
      </c>
      <c r="U1513">
        <v>40</v>
      </c>
      <c r="V1513" s="1">
        <v>36708</v>
      </c>
      <c r="W1513" s="1">
        <v>36708</v>
      </c>
      <c r="X1513" s="1">
        <v>36708</v>
      </c>
      <c r="Y1513" s="1">
        <v>51318</v>
      </c>
      <c r="Z1513" t="s">
        <v>51</v>
      </c>
      <c r="AB1513" t="s">
        <v>54</v>
      </c>
      <c r="AC1513">
        <v>1</v>
      </c>
      <c r="AE1513" t="s">
        <v>222</v>
      </c>
      <c r="AF1513">
        <v>20</v>
      </c>
      <c r="AG1513" s="1">
        <v>36708</v>
      </c>
      <c r="AH1513" s="1">
        <v>36708</v>
      </c>
      <c r="AI1513" s="1">
        <v>36708</v>
      </c>
      <c r="AJ1513" s="1">
        <v>44013</v>
      </c>
      <c r="AK1513" t="s">
        <v>51</v>
      </c>
      <c r="AN1513">
        <v>0</v>
      </c>
      <c r="AO1513" t="s">
        <v>54</v>
      </c>
      <c r="AP1513" t="s">
        <v>53</v>
      </c>
      <c r="AQ1513">
        <v>0</v>
      </c>
      <c r="AR1513" t="s">
        <v>53</v>
      </c>
      <c r="AS1513">
        <v>0</v>
      </c>
      <c r="AT1513">
        <v>0</v>
      </c>
      <c r="AW1513" t="s">
        <v>58</v>
      </c>
      <c r="AX1513">
        <v>20</v>
      </c>
      <c r="AY1513" s="1">
        <v>36708</v>
      </c>
      <c r="AZ1513" s="1">
        <v>36708</v>
      </c>
      <c r="BA1513" s="1">
        <v>36708</v>
      </c>
      <c r="BB1513" s="1">
        <v>44013</v>
      </c>
      <c r="BC1513" t="s">
        <v>51</v>
      </c>
      <c r="BE1513" t="s">
        <v>54</v>
      </c>
      <c r="BF1513">
        <v>2</v>
      </c>
      <c r="BG1513">
        <v>0</v>
      </c>
      <c r="BH1513" t="s">
        <v>53</v>
      </c>
      <c r="BK1513" t="s">
        <v>65</v>
      </c>
      <c r="BL1513">
        <v>14000</v>
      </c>
      <c r="BM1513" s="1">
        <v>42917</v>
      </c>
      <c r="BN1513" s="1">
        <v>42917</v>
      </c>
      <c r="BO1513" s="1">
        <v>42917</v>
      </c>
      <c r="BP1513" s="1">
        <v>44117</v>
      </c>
      <c r="BQ1513" t="s">
        <v>51</v>
      </c>
      <c r="BS1513" t="s">
        <v>60</v>
      </c>
      <c r="BT1513" t="s">
        <v>54</v>
      </c>
      <c r="BU1513" t="s">
        <v>61</v>
      </c>
      <c r="BV1513" t="s">
        <v>62</v>
      </c>
      <c r="BX1513">
        <v>36</v>
      </c>
      <c r="BY1513">
        <v>0</v>
      </c>
      <c r="BZ1513">
        <v>0</v>
      </c>
    </row>
    <row r="1514" spans="1:78" x14ac:dyDescent="0.2">
      <c r="A1514" t="s">
        <v>180</v>
      </c>
      <c r="B1514" t="s">
        <v>181</v>
      </c>
      <c r="C1514" t="s">
        <v>184</v>
      </c>
      <c r="D1514" t="s">
        <v>784</v>
      </c>
      <c r="F1514" t="str">
        <f>"251191"</f>
        <v>251191</v>
      </c>
      <c r="G1514" t="s">
        <v>49</v>
      </c>
      <c r="H1514" t="s">
        <v>792</v>
      </c>
      <c r="K1514" t="s">
        <v>51</v>
      </c>
      <c r="L1514" t="s">
        <v>52</v>
      </c>
      <c r="M1514">
        <v>136489.45000000001</v>
      </c>
      <c r="N1514">
        <v>472315.86</v>
      </c>
      <c r="O1514" t="s">
        <v>53</v>
      </c>
      <c r="P1514" t="s">
        <v>54</v>
      </c>
      <c r="Q1514" t="s">
        <v>55</v>
      </c>
      <c r="T1514" t="s">
        <v>241</v>
      </c>
      <c r="U1514">
        <v>40</v>
      </c>
      <c r="V1514" s="1">
        <v>36708</v>
      </c>
      <c r="W1514" s="1">
        <v>36708</v>
      </c>
      <c r="X1514" s="1">
        <v>36708</v>
      </c>
      <c r="Y1514" s="1">
        <v>51318</v>
      </c>
      <c r="Z1514" t="s">
        <v>51</v>
      </c>
      <c r="AB1514" t="s">
        <v>54</v>
      </c>
      <c r="AC1514">
        <v>1</v>
      </c>
      <c r="AE1514" t="s">
        <v>222</v>
      </c>
      <c r="AF1514">
        <v>20</v>
      </c>
      <c r="AG1514" s="1">
        <v>36708</v>
      </c>
      <c r="AH1514" s="1">
        <v>36708</v>
      </c>
      <c r="AI1514" s="1">
        <v>36708</v>
      </c>
      <c r="AJ1514" s="1">
        <v>44013</v>
      </c>
      <c r="AK1514" t="s">
        <v>51</v>
      </c>
      <c r="AN1514">
        <v>0</v>
      </c>
      <c r="AO1514" t="s">
        <v>54</v>
      </c>
      <c r="AP1514" t="s">
        <v>53</v>
      </c>
      <c r="AQ1514">
        <v>0</v>
      </c>
      <c r="AR1514" t="s">
        <v>53</v>
      </c>
      <c r="AS1514">
        <v>0</v>
      </c>
      <c r="AT1514">
        <v>0</v>
      </c>
      <c r="AW1514" t="s">
        <v>58</v>
      </c>
      <c r="AX1514">
        <v>20</v>
      </c>
      <c r="AY1514" s="1">
        <v>36708</v>
      </c>
      <c r="AZ1514" s="1">
        <v>36708</v>
      </c>
      <c r="BA1514" s="1">
        <v>36708</v>
      </c>
      <c r="BB1514" s="1">
        <v>44013</v>
      </c>
      <c r="BC1514" t="s">
        <v>51</v>
      </c>
      <c r="BE1514" t="s">
        <v>54</v>
      </c>
      <c r="BF1514">
        <v>2</v>
      </c>
      <c r="BG1514">
        <v>0</v>
      </c>
      <c r="BH1514" t="s">
        <v>53</v>
      </c>
      <c r="BK1514" t="s">
        <v>65</v>
      </c>
      <c r="BL1514">
        <v>14000</v>
      </c>
      <c r="BM1514" s="1">
        <v>42917</v>
      </c>
      <c r="BN1514" s="1">
        <v>42917</v>
      </c>
      <c r="BO1514" s="1">
        <v>42917</v>
      </c>
      <c r="BP1514" s="1">
        <v>44117</v>
      </c>
      <c r="BQ1514" t="s">
        <v>51</v>
      </c>
      <c r="BS1514" t="s">
        <v>60</v>
      </c>
      <c r="BT1514" t="s">
        <v>54</v>
      </c>
      <c r="BU1514" t="s">
        <v>61</v>
      </c>
      <c r="BV1514" t="s">
        <v>62</v>
      </c>
      <c r="BX1514">
        <v>36</v>
      </c>
      <c r="BY1514">
        <v>0</v>
      </c>
      <c r="BZ1514">
        <v>0</v>
      </c>
    </row>
    <row r="1515" spans="1:78" x14ac:dyDescent="0.2">
      <c r="A1515" t="s">
        <v>180</v>
      </c>
      <c r="B1515" t="s">
        <v>181</v>
      </c>
      <c r="C1515" t="s">
        <v>184</v>
      </c>
      <c r="D1515" t="s">
        <v>784</v>
      </c>
      <c r="F1515" t="str">
        <f>"251192"</f>
        <v>251192</v>
      </c>
      <c r="G1515" t="s">
        <v>49</v>
      </c>
      <c r="H1515" t="s">
        <v>793</v>
      </c>
      <c r="K1515" t="s">
        <v>51</v>
      </c>
      <c r="L1515" t="s">
        <v>52</v>
      </c>
      <c r="M1515">
        <v>136462.26999999999</v>
      </c>
      <c r="N1515">
        <v>472319.12</v>
      </c>
      <c r="O1515" t="s">
        <v>53</v>
      </c>
      <c r="P1515" t="s">
        <v>54</v>
      </c>
      <c r="Q1515" t="s">
        <v>55</v>
      </c>
      <c r="T1515" t="s">
        <v>241</v>
      </c>
      <c r="U1515">
        <v>40</v>
      </c>
      <c r="V1515" s="1">
        <v>36708</v>
      </c>
      <c r="W1515" s="1">
        <v>36708</v>
      </c>
      <c r="X1515" s="1">
        <v>36708</v>
      </c>
      <c r="Y1515" s="1">
        <v>51318</v>
      </c>
      <c r="Z1515" t="s">
        <v>51</v>
      </c>
      <c r="AB1515" t="s">
        <v>54</v>
      </c>
      <c r="AC1515">
        <v>1</v>
      </c>
      <c r="AE1515" t="s">
        <v>222</v>
      </c>
      <c r="AF1515">
        <v>20</v>
      </c>
      <c r="AG1515" s="1">
        <v>36708</v>
      </c>
      <c r="AH1515" s="1">
        <v>36708</v>
      </c>
      <c r="AI1515" s="1">
        <v>36708</v>
      </c>
      <c r="AJ1515" s="1">
        <v>44013</v>
      </c>
      <c r="AK1515" t="s">
        <v>51</v>
      </c>
      <c r="AN1515">
        <v>0</v>
      </c>
      <c r="AO1515" t="s">
        <v>54</v>
      </c>
      <c r="AP1515" t="s">
        <v>53</v>
      </c>
      <c r="AQ1515">
        <v>0</v>
      </c>
      <c r="AR1515" t="s">
        <v>53</v>
      </c>
      <c r="AS1515">
        <v>0</v>
      </c>
      <c r="AT1515">
        <v>0</v>
      </c>
      <c r="AW1515" t="s">
        <v>58</v>
      </c>
      <c r="AX1515">
        <v>20</v>
      </c>
      <c r="AY1515" s="1">
        <v>36708</v>
      </c>
      <c r="AZ1515" s="1">
        <v>36708</v>
      </c>
      <c r="BA1515" s="1">
        <v>36708</v>
      </c>
      <c r="BB1515" s="1">
        <v>44013</v>
      </c>
      <c r="BC1515" t="s">
        <v>51</v>
      </c>
      <c r="BE1515" t="s">
        <v>54</v>
      </c>
      <c r="BF1515">
        <v>2</v>
      </c>
      <c r="BG1515">
        <v>0</v>
      </c>
      <c r="BH1515" t="s">
        <v>53</v>
      </c>
      <c r="BK1515" t="s">
        <v>65</v>
      </c>
      <c r="BL1515">
        <v>14000</v>
      </c>
      <c r="BM1515" s="1">
        <v>42917</v>
      </c>
      <c r="BN1515" s="1">
        <v>42917</v>
      </c>
      <c r="BO1515" s="1">
        <v>42917</v>
      </c>
      <c r="BP1515" s="1">
        <v>44117</v>
      </c>
      <c r="BQ1515" t="s">
        <v>51</v>
      </c>
      <c r="BS1515" t="s">
        <v>60</v>
      </c>
      <c r="BT1515" t="s">
        <v>54</v>
      </c>
      <c r="BU1515" t="s">
        <v>61</v>
      </c>
      <c r="BV1515" t="s">
        <v>62</v>
      </c>
      <c r="BX1515">
        <v>36</v>
      </c>
      <c r="BY1515">
        <v>0</v>
      </c>
      <c r="BZ1515">
        <v>0</v>
      </c>
    </row>
    <row r="1516" spans="1:78" x14ac:dyDescent="0.2">
      <c r="A1516" t="s">
        <v>180</v>
      </c>
      <c r="B1516" t="s">
        <v>181</v>
      </c>
      <c r="C1516" t="s">
        <v>184</v>
      </c>
      <c r="D1516" t="s">
        <v>784</v>
      </c>
      <c r="F1516" t="str">
        <f>"251193"</f>
        <v>251193</v>
      </c>
      <c r="G1516" t="s">
        <v>49</v>
      </c>
      <c r="H1516" t="s">
        <v>794</v>
      </c>
      <c r="K1516" t="s">
        <v>51</v>
      </c>
      <c r="L1516" t="s">
        <v>52</v>
      </c>
      <c r="M1516">
        <v>136445.23000000001</v>
      </c>
      <c r="N1516">
        <v>472327.67999999999</v>
      </c>
      <c r="O1516" t="s">
        <v>53</v>
      </c>
      <c r="P1516" t="s">
        <v>54</v>
      </c>
      <c r="Q1516" t="s">
        <v>55</v>
      </c>
      <c r="T1516" t="s">
        <v>241</v>
      </c>
      <c r="U1516">
        <v>40</v>
      </c>
      <c r="V1516" s="1">
        <v>36708</v>
      </c>
      <c r="W1516" s="1">
        <v>36708</v>
      </c>
      <c r="X1516" s="1">
        <v>36708</v>
      </c>
      <c r="Y1516" s="1">
        <v>51318</v>
      </c>
      <c r="Z1516" t="s">
        <v>51</v>
      </c>
      <c r="AB1516" t="s">
        <v>54</v>
      </c>
      <c r="AC1516">
        <v>1</v>
      </c>
      <c r="AE1516" t="s">
        <v>222</v>
      </c>
      <c r="AF1516">
        <v>20</v>
      </c>
      <c r="AG1516" s="1">
        <v>36708</v>
      </c>
      <c r="AH1516" s="1">
        <v>36708</v>
      </c>
      <c r="AI1516" s="1">
        <v>36708</v>
      </c>
      <c r="AJ1516" s="1">
        <v>44013</v>
      </c>
      <c r="AK1516" t="s">
        <v>51</v>
      </c>
      <c r="AN1516">
        <v>0</v>
      </c>
      <c r="AO1516" t="s">
        <v>54</v>
      </c>
      <c r="AP1516" t="s">
        <v>53</v>
      </c>
      <c r="AQ1516">
        <v>0</v>
      </c>
      <c r="AR1516" t="s">
        <v>53</v>
      </c>
      <c r="AS1516">
        <v>0</v>
      </c>
      <c r="AT1516">
        <v>0</v>
      </c>
      <c r="AW1516" t="s">
        <v>58</v>
      </c>
      <c r="AX1516">
        <v>20</v>
      </c>
      <c r="AY1516" s="1">
        <v>36708</v>
      </c>
      <c r="AZ1516" s="1">
        <v>36708</v>
      </c>
      <c r="BA1516" s="1">
        <v>36708</v>
      </c>
      <c r="BB1516" s="1">
        <v>44013</v>
      </c>
      <c r="BC1516" t="s">
        <v>51</v>
      </c>
      <c r="BE1516" t="s">
        <v>54</v>
      </c>
      <c r="BF1516">
        <v>2</v>
      </c>
      <c r="BG1516">
        <v>0</v>
      </c>
      <c r="BH1516" t="s">
        <v>53</v>
      </c>
      <c r="BK1516" t="s">
        <v>65</v>
      </c>
      <c r="BL1516">
        <v>14000</v>
      </c>
      <c r="BM1516" s="1">
        <v>42917</v>
      </c>
      <c r="BN1516" s="1">
        <v>42917</v>
      </c>
      <c r="BO1516" s="1">
        <v>42917</v>
      </c>
      <c r="BP1516" s="1">
        <v>44117</v>
      </c>
      <c r="BQ1516" t="s">
        <v>51</v>
      </c>
      <c r="BS1516" t="s">
        <v>60</v>
      </c>
      <c r="BT1516" t="s">
        <v>54</v>
      </c>
      <c r="BU1516" t="s">
        <v>61</v>
      </c>
      <c r="BV1516" t="s">
        <v>62</v>
      </c>
      <c r="BX1516">
        <v>36</v>
      </c>
      <c r="BY1516">
        <v>0</v>
      </c>
      <c r="BZ1516">
        <v>0</v>
      </c>
    </row>
    <row r="1517" spans="1:78" x14ac:dyDescent="0.2">
      <c r="A1517" t="s">
        <v>180</v>
      </c>
      <c r="B1517" t="s">
        <v>181</v>
      </c>
      <c r="C1517" t="s">
        <v>184</v>
      </c>
      <c r="D1517" t="s">
        <v>784</v>
      </c>
      <c r="F1517" t="str">
        <f>"251194"</f>
        <v>251194</v>
      </c>
      <c r="G1517" t="s">
        <v>49</v>
      </c>
      <c r="H1517" t="s">
        <v>74</v>
      </c>
      <c r="K1517" t="s">
        <v>51</v>
      </c>
      <c r="L1517" t="s">
        <v>52</v>
      </c>
      <c r="M1517">
        <v>136423.89000000001</v>
      </c>
      <c r="N1517">
        <v>472333.7</v>
      </c>
      <c r="O1517" t="s">
        <v>53</v>
      </c>
      <c r="P1517" t="s">
        <v>54</v>
      </c>
      <c r="Q1517" t="s">
        <v>55</v>
      </c>
      <c r="T1517" t="s">
        <v>241</v>
      </c>
      <c r="U1517">
        <v>40</v>
      </c>
      <c r="V1517" s="1">
        <v>36708</v>
      </c>
      <c r="W1517" s="1">
        <v>36708</v>
      </c>
      <c r="X1517" s="1">
        <v>36708</v>
      </c>
      <c r="Y1517" s="1">
        <v>51318</v>
      </c>
      <c r="Z1517" t="s">
        <v>51</v>
      </c>
      <c r="AB1517" t="s">
        <v>54</v>
      </c>
      <c r="AC1517">
        <v>1</v>
      </c>
      <c r="AE1517" t="s">
        <v>222</v>
      </c>
      <c r="AF1517">
        <v>20</v>
      </c>
      <c r="AG1517" s="1">
        <v>36708</v>
      </c>
      <c r="AH1517" s="1">
        <v>36708</v>
      </c>
      <c r="AI1517" s="1">
        <v>36708</v>
      </c>
      <c r="AJ1517" s="1">
        <v>44013</v>
      </c>
      <c r="AK1517" t="s">
        <v>51</v>
      </c>
      <c r="AN1517">
        <v>0</v>
      </c>
      <c r="AO1517" t="s">
        <v>54</v>
      </c>
      <c r="AP1517" t="s">
        <v>53</v>
      </c>
      <c r="AQ1517">
        <v>0</v>
      </c>
      <c r="AR1517" t="s">
        <v>53</v>
      </c>
      <c r="AS1517">
        <v>0</v>
      </c>
      <c r="AT1517">
        <v>0</v>
      </c>
      <c r="AW1517" t="s">
        <v>58</v>
      </c>
      <c r="AX1517">
        <v>20</v>
      </c>
      <c r="AY1517" s="1">
        <v>36708</v>
      </c>
      <c r="AZ1517" s="1">
        <v>36708</v>
      </c>
      <c r="BA1517" s="1">
        <v>36708</v>
      </c>
      <c r="BB1517" s="1">
        <v>44013</v>
      </c>
      <c r="BC1517" t="s">
        <v>51</v>
      </c>
      <c r="BE1517" t="s">
        <v>54</v>
      </c>
      <c r="BF1517">
        <v>2</v>
      </c>
      <c r="BG1517">
        <v>0</v>
      </c>
      <c r="BH1517" t="s">
        <v>53</v>
      </c>
      <c r="BK1517" t="s">
        <v>65</v>
      </c>
      <c r="BL1517">
        <v>14000</v>
      </c>
      <c r="BM1517" s="1">
        <v>42917</v>
      </c>
      <c r="BN1517" s="1">
        <v>42917</v>
      </c>
      <c r="BO1517" s="1">
        <v>42917</v>
      </c>
      <c r="BP1517" s="1">
        <v>44117</v>
      </c>
      <c r="BQ1517" t="s">
        <v>51</v>
      </c>
      <c r="BS1517" t="s">
        <v>60</v>
      </c>
      <c r="BT1517" t="s">
        <v>54</v>
      </c>
      <c r="BU1517" t="s">
        <v>61</v>
      </c>
      <c r="BV1517" t="s">
        <v>62</v>
      </c>
      <c r="BX1517">
        <v>36</v>
      </c>
      <c r="BY1517">
        <v>0</v>
      </c>
      <c r="BZ1517">
        <v>0</v>
      </c>
    </row>
    <row r="1518" spans="1:78" x14ac:dyDescent="0.2">
      <c r="A1518" t="s">
        <v>180</v>
      </c>
      <c r="B1518" t="s">
        <v>181</v>
      </c>
      <c r="C1518" t="s">
        <v>184</v>
      </c>
      <c r="D1518" t="s">
        <v>784</v>
      </c>
      <c r="F1518" t="str">
        <f>"251195"</f>
        <v>251195</v>
      </c>
      <c r="G1518" t="s">
        <v>49</v>
      </c>
      <c r="H1518" t="s">
        <v>795</v>
      </c>
      <c r="K1518" t="s">
        <v>51</v>
      </c>
      <c r="L1518" t="s">
        <v>52</v>
      </c>
      <c r="M1518">
        <v>136401.03</v>
      </c>
      <c r="N1518">
        <v>472331.02</v>
      </c>
      <c r="O1518" t="s">
        <v>53</v>
      </c>
      <c r="P1518" t="s">
        <v>54</v>
      </c>
      <c r="Q1518" t="s">
        <v>55</v>
      </c>
      <c r="T1518" t="s">
        <v>241</v>
      </c>
      <c r="U1518">
        <v>40</v>
      </c>
      <c r="V1518" s="1">
        <v>36708</v>
      </c>
      <c r="W1518" s="1">
        <v>36708</v>
      </c>
      <c r="X1518" s="1">
        <v>36708</v>
      </c>
      <c r="Y1518" s="1">
        <v>51318</v>
      </c>
      <c r="Z1518" t="s">
        <v>51</v>
      </c>
      <c r="AB1518" t="s">
        <v>54</v>
      </c>
      <c r="AC1518">
        <v>1</v>
      </c>
      <c r="AE1518" t="s">
        <v>222</v>
      </c>
      <c r="AF1518">
        <v>20</v>
      </c>
      <c r="AG1518" s="1">
        <v>36708</v>
      </c>
      <c r="AH1518" s="1">
        <v>36708</v>
      </c>
      <c r="AI1518" s="1">
        <v>36708</v>
      </c>
      <c r="AJ1518" s="1">
        <v>44013</v>
      </c>
      <c r="AK1518" t="s">
        <v>51</v>
      </c>
      <c r="AN1518">
        <v>0</v>
      </c>
      <c r="AO1518" t="s">
        <v>54</v>
      </c>
      <c r="AP1518" t="s">
        <v>53</v>
      </c>
      <c r="AQ1518">
        <v>0</v>
      </c>
      <c r="AR1518" t="s">
        <v>53</v>
      </c>
      <c r="AS1518">
        <v>0</v>
      </c>
      <c r="AT1518">
        <v>0</v>
      </c>
      <c r="AW1518" t="s">
        <v>58</v>
      </c>
      <c r="AX1518">
        <v>20</v>
      </c>
      <c r="AY1518" s="1">
        <v>36708</v>
      </c>
      <c r="AZ1518" s="1">
        <v>36708</v>
      </c>
      <c r="BA1518" s="1">
        <v>36708</v>
      </c>
      <c r="BB1518" s="1">
        <v>44013</v>
      </c>
      <c r="BC1518" t="s">
        <v>51</v>
      </c>
      <c r="BE1518" t="s">
        <v>54</v>
      </c>
      <c r="BF1518">
        <v>2</v>
      </c>
      <c r="BG1518">
        <v>0</v>
      </c>
      <c r="BH1518" t="s">
        <v>53</v>
      </c>
      <c r="BK1518" t="s">
        <v>65</v>
      </c>
      <c r="BL1518">
        <v>14000</v>
      </c>
      <c r="BM1518" s="1">
        <v>42917</v>
      </c>
      <c r="BN1518" s="1">
        <v>42917</v>
      </c>
      <c r="BO1518" s="1">
        <v>42917</v>
      </c>
      <c r="BP1518" s="1">
        <v>44117</v>
      </c>
      <c r="BQ1518" t="s">
        <v>51</v>
      </c>
      <c r="BS1518" t="s">
        <v>60</v>
      </c>
      <c r="BT1518" t="s">
        <v>54</v>
      </c>
      <c r="BU1518" t="s">
        <v>61</v>
      </c>
      <c r="BV1518" t="s">
        <v>62</v>
      </c>
      <c r="BX1518">
        <v>36</v>
      </c>
      <c r="BY1518">
        <v>0</v>
      </c>
      <c r="BZ1518">
        <v>0</v>
      </c>
    </row>
    <row r="1519" spans="1:78" x14ac:dyDescent="0.2">
      <c r="A1519" t="s">
        <v>180</v>
      </c>
      <c r="B1519" t="s">
        <v>181</v>
      </c>
      <c r="C1519" t="s">
        <v>184</v>
      </c>
      <c r="D1519" t="s">
        <v>784</v>
      </c>
      <c r="F1519" t="str">
        <f>"251196"</f>
        <v>251196</v>
      </c>
      <c r="G1519" t="s">
        <v>49</v>
      </c>
      <c r="H1519" t="s">
        <v>107</v>
      </c>
      <c r="K1519" t="s">
        <v>51</v>
      </c>
      <c r="L1519" t="s">
        <v>52</v>
      </c>
      <c r="M1519">
        <v>136395.51999999999</v>
      </c>
      <c r="N1519">
        <v>472318.24</v>
      </c>
      <c r="O1519" t="s">
        <v>53</v>
      </c>
      <c r="P1519" t="s">
        <v>54</v>
      </c>
      <c r="Q1519" t="s">
        <v>55</v>
      </c>
      <c r="T1519" t="s">
        <v>241</v>
      </c>
      <c r="U1519">
        <v>40</v>
      </c>
      <c r="V1519" s="1">
        <v>36708</v>
      </c>
      <c r="W1519" s="1">
        <v>36708</v>
      </c>
      <c r="X1519" s="1">
        <v>36708</v>
      </c>
      <c r="Y1519" s="1">
        <v>51318</v>
      </c>
      <c r="Z1519" t="s">
        <v>51</v>
      </c>
      <c r="AB1519" t="s">
        <v>54</v>
      </c>
      <c r="AC1519">
        <v>1</v>
      </c>
      <c r="AE1519" t="s">
        <v>222</v>
      </c>
      <c r="AF1519">
        <v>20</v>
      </c>
      <c r="AG1519" s="1">
        <v>36708</v>
      </c>
      <c r="AH1519" s="1">
        <v>36708</v>
      </c>
      <c r="AI1519" s="1">
        <v>36708</v>
      </c>
      <c r="AJ1519" s="1">
        <v>44013</v>
      </c>
      <c r="AK1519" t="s">
        <v>51</v>
      </c>
      <c r="AN1519">
        <v>0</v>
      </c>
      <c r="AO1519" t="s">
        <v>54</v>
      </c>
      <c r="AP1519" t="s">
        <v>53</v>
      </c>
      <c r="AQ1519">
        <v>0</v>
      </c>
      <c r="AR1519" t="s">
        <v>53</v>
      </c>
      <c r="AS1519">
        <v>0</v>
      </c>
      <c r="AT1519">
        <v>0</v>
      </c>
      <c r="AW1519" t="s">
        <v>58</v>
      </c>
      <c r="AX1519">
        <v>20</v>
      </c>
      <c r="AY1519" s="1">
        <v>36708</v>
      </c>
      <c r="AZ1519" s="1">
        <v>36708</v>
      </c>
      <c r="BA1519" s="1">
        <v>36708</v>
      </c>
      <c r="BB1519" s="1">
        <v>44013</v>
      </c>
      <c r="BC1519" t="s">
        <v>51</v>
      </c>
      <c r="BE1519" t="s">
        <v>54</v>
      </c>
      <c r="BF1519">
        <v>2</v>
      </c>
      <c r="BG1519">
        <v>0</v>
      </c>
      <c r="BH1519" t="s">
        <v>53</v>
      </c>
      <c r="BK1519" t="s">
        <v>65</v>
      </c>
      <c r="BL1519">
        <v>14000</v>
      </c>
      <c r="BM1519" s="1">
        <v>42917</v>
      </c>
      <c r="BN1519" s="1">
        <v>42917</v>
      </c>
      <c r="BO1519" s="1">
        <v>42917</v>
      </c>
      <c r="BP1519" s="1">
        <v>44117</v>
      </c>
      <c r="BQ1519" t="s">
        <v>51</v>
      </c>
      <c r="BS1519" t="s">
        <v>60</v>
      </c>
      <c r="BT1519" t="s">
        <v>54</v>
      </c>
      <c r="BU1519" t="s">
        <v>61</v>
      </c>
      <c r="BV1519" t="s">
        <v>62</v>
      </c>
      <c r="BX1519">
        <v>36</v>
      </c>
      <c r="BY1519">
        <v>0</v>
      </c>
      <c r="BZ1519">
        <v>0</v>
      </c>
    </row>
    <row r="1520" spans="1:78" x14ac:dyDescent="0.2">
      <c r="A1520" t="s">
        <v>180</v>
      </c>
      <c r="B1520" t="s">
        <v>181</v>
      </c>
      <c r="C1520" t="s">
        <v>184</v>
      </c>
      <c r="D1520" t="s">
        <v>784</v>
      </c>
      <c r="F1520" t="str">
        <f>"251198"</f>
        <v>251198</v>
      </c>
      <c r="G1520" t="s">
        <v>49</v>
      </c>
      <c r="H1520" t="s">
        <v>796</v>
      </c>
      <c r="K1520" t="s">
        <v>51</v>
      </c>
      <c r="L1520" t="s">
        <v>52</v>
      </c>
      <c r="M1520">
        <v>136362.747</v>
      </c>
      <c r="N1520">
        <v>472323.60200000001</v>
      </c>
      <c r="O1520" t="s">
        <v>53</v>
      </c>
      <c r="P1520" t="s">
        <v>54</v>
      </c>
      <c r="Q1520" t="s">
        <v>55</v>
      </c>
      <c r="T1520" t="s">
        <v>466</v>
      </c>
      <c r="U1520">
        <v>40</v>
      </c>
      <c r="V1520" s="1">
        <v>37073</v>
      </c>
      <c r="W1520" s="1">
        <v>37073</v>
      </c>
      <c r="X1520" s="1">
        <v>37073</v>
      </c>
      <c r="Y1520" s="1">
        <v>51683</v>
      </c>
      <c r="Z1520" t="s">
        <v>51</v>
      </c>
      <c r="AB1520" t="s">
        <v>54</v>
      </c>
      <c r="AC1520">
        <v>1</v>
      </c>
      <c r="AE1520" t="s">
        <v>613</v>
      </c>
      <c r="AF1520">
        <v>20</v>
      </c>
      <c r="AG1520" s="1">
        <v>38534</v>
      </c>
      <c r="AH1520" s="1">
        <v>38534</v>
      </c>
      <c r="AI1520" s="1">
        <v>38534</v>
      </c>
      <c r="AJ1520" s="1">
        <v>45839</v>
      </c>
      <c r="AK1520" t="s">
        <v>51</v>
      </c>
      <c r="AN1520">
        <v>0</v>
      </c>
      <c r="AO1520" t="s">
        <v>54</v>
      </c>
      <c r="AP1520" t="s">
        <v>53</v>
      </c>
      <c r="AQ1520">
        <v>0</v>
      </c>
      <c r="AR1520" t="s">
        <v>53</v>
      </c>
      <c r="AS1520">
        <v>0</v>
      </c>
      <c r="AT1520">
        <v>0</v>
      </c>
      <c r="AW1520" t="s">
        <v>58</v>
      </c>
      <c r="AX1520">
        <v>20</v>
      </c>
      <c r="AY1520" s="1">
        <v>38534</v>
      </c>
      <c r="AZ1520" s="1">
        <v>38534</v>
      </c>
      <c r="BA1520" s="1">
        <v>38534</v>
      </c>
      <c r="BB1520" s="1">
        <v>45839</v>
      </c>
      <c r="BC1520" t="s">
        <v>51</v>
      </c>
      <c r="BE1520" t="s">
        <v>54</v>
      </c>
      <c r="BF1520">
        <v>2</v>
      </c>
      <c r="BG1520">
        <v>0</v>
      </c>
      <c r="BH1520" t="s">
        <v>53</v>
      </c>
      <c r="BK1520" t="s">
        <v>797</v>
      </c>
      <c r="BL1520">
        <v>12000</v>
      </c>
      <c r="BM1520" s="1">
        <v>42917</v>
      </c>
      <c r="BN1520" s="1">
        <v>42917</v>
      </c>
      <c r="BO1520" s="1">
        <v>42917</v>
      </c>
      <c r="BP1520" s="1">
        <v>43903</v>
      </c>
      <c r="BQ1520" t="s">
        <v>51</v>
      </c>
      <c r="BS1520" t="s">
        <v>60</v>
      </c>
      <c r="BT1520" t="s">
        <v>54</v>
      </c>
      <c r="BU1520" t="s">
        <v>72</v>
      </c>
      <c r="BV1520" t="s">
        <v>73</v>
      </c>
      <c r="BX1520">
        <v>35</v>
      </c>
      <c r="BY1520">
        <v>0</v>
      </c>
      <c r="BZ1520">
        <v>0</v>
      </c>
    </row>
    <row r="1521" spans="1:78" x14ac:dyDescent="0.2">
      <c r="A1521" t="s">
        <v>180</v>
      </c>
      <c r="B1521" t="s">
        <v>181</v>
      </c>
      <c r="C1521" t="s">
        <v>184</v>
      </c>
      <c r="D1521" t="s">
        <v>784</v>
      </c>
      <c r="F1521" t="str">
        <f>"251199"</f>
        <v>251199</v>
      </c>
      <c r="G1521" t="s">
        <v>49</v>
      </c>
      <c r="K1521" t="s">
        <v>51</v>
      </c>
      <c r="L1521" t="s">
        <v>52</v>
      </c>
      <c r="M1521">
        <v>136379.56</v>
      </c>
      <c r="N1521">
        <v>472321.07</v>
      </c>
      <c r="O1521" t="s">
        <v>53</v>
      </c>
      <c r="P1521" t="s">
        <v>54</v>
      </c>
      <c r="Q1521" t="s">
        <v>55</v>
      </c>
      <c r="T1521" t="s">
        <v>239</v>
      </c>
      <c r="U1521">
        <v>40</v>
      </c>
      <c r="V1521" s="1">
        <v>27942</v>
      </c>
      <c r="W1521" s="1">
        <v>27942</v>
      </c>
      <c r="X1521" s="1">
        <v>27942</v>
      </c>
      <c r="Y1521" s="1">
        <v>42552</v>
      </c>
      <c r="Z1521" t="s">
        <v>51</v>
      </c>
      <c r="AB1521" t="s">
        <v>54</v>
      </c>
      <c r="AC1521">
        <v>1</v>
      </c>
      <c r="AE1521" t="s">
        <v>222</v>
      </c>
      <c r="AF1521">
        <v>20</v>
      </c>
      <c r="AG1521" s="1">
        <v>38169</v>
      </c>
      <c r="AH1521" s="1">
        <v>38169</v>
      </c>
      <c r="AI1521" s="1">
        <v>38169</v>
      </c>
      <c r="AJ1521" s="1">
        <v>45474</v>
      </c>
      <c r="AK1521" t="s">
        <v>51</v>
      </c>
      <c r="AN1521">
        <v>0</v>
      </c>
      <c r="AO1521" t="s">
        <v>54</v>
      </c>
      <c r="AP1521" t="s">
        <v>53</v>
      </c>
      <c r="AQ1521">
        <v>0</v>
      </c>
      <c r="AR1521" t="s">
        <v>53</v>
      </c>
      <c r="AS1521">
        <v>0</v>
      </c>
      <c r="AT1521">
        <v>0</v>
      </c>
      <c r="AW1521" t="s">
        <v>58</v>
      </c>
      <c r="AX1521">
        <v>20</v>
      </c>
      <c r="AY1521" s="1">
        <v>38169</v>
      </c>
      <c r="AZ1521" s="1">
        <v>38169</v>
      </c>
      <c r="BA1521" s="1">
        <v>38169</v>
      </c>
      <c r="BB1521" s="1">
        <v>45474</v>
      </c>
      <c r="BC1521" t="s">
        <v>51</v>
      </c>
      <c r="BE1521" t="s">
        <v>54</v>
      </c>
      <c r="BF1521">
        <v>2</v>
      </c>
      <c r="BG1521">
        <v>0</v>
      </c>
      <c r="BH1521" t="s">
        <v>53</v>
      </c>
      <c r="BK1521" t="s">
        <v>65</v>
      </c>
      <c r="BL1521">
        <v>14000</v>
      </c>
      <c r="BM1521" s="1">
        <v>42917</v>
      </c>
      <c r="BN1521" s="1">
        <v>42917</v>
      </c>
      <c r="BO1521" s="1">
        <v>42917</v>
      </c>
      <c r="BP1521" s="1">
        <v>44117</v>
      </c>
      <c r="BQ1521" t="s">
        <v>51</v>
      </c>
      <c r="BS1521" t="s">
        <v>60</v>
      </c>
      <c r="BT1521" t="s">
        <v>54</v>
      </c>
      <c r="BU1521" t="s">
        <v>61</v>
      </c>
      <c r="BV1521" t="s">
        <v>62</v>
      </c>
      <c r="BX1521">
        <v>36</v>
      </c>
      <c r="BY1521">
        <v>0</v>
      </c>
      <c r="BZ1521">
        <v>0</v>
      </c>
    </row>
    <row r="1522" spans="1:78" x14ac:dyDescent="0.2">
      <c r="A1522" t="s">
        <v>180</v>
      </c>
      <c r="B1522" t="s">
        <v>181</v>
      </c>
      <c r="C1522" t="s">
        <v>184</v>
      </c>
      <c r="D1522" t="s">
        <v>784</v>
      </c>
      <c r="F1522" t="str">
        <f>"251200"</f>
        <v>251200</v>
      </c>
      <c r="G1522" t="s">
        <v>49</v>
      </c>
      <c r="K1522" t="s">
        <v>51</v>
      </c>
      <c r="L1522" t="s">
        <v>52</v>
      </c>
      <c r="M1522">
        <v>136357.56</v>
      </c>
      <c r="N1522">
        <v>472348.35</v>
      </c>
      <c r="O1522" t="s">
        <v>53</v>
      </c>
      <c r="P1522" t="s">
        <v>54</v>
      </c>
      <c r="Q1522" t="s">
        <v>55</v>
      </c>
      <c r="T1522" t="s">
        <v>239</v>
      </c>
      <c r="U1522">
        <v>40</v>
      </c>
      <c r="V1522" s="1">
        <v>27942</v>
      </c>
      <c r="W1522" s="1">
        <v>27942</v>
      </c>
      <c r="X1522" s="1">
        <v>27942</v>
      </c>
      <c r="Y1522" s="1">
        <v>42552</v>
      </c>
      <c r="Z1522" t="s">
        <v>51</v>
      </c>
      <c r="AB1522" t="s">
        <v>54</v>
      </c>
      <c r="AC1522">
        <v>1</v>
      </c>
      <c r="AE1522" t="s">
        <v>222</v>
      </c>
      <c r="AF1522">
        <v>20</v>
      </c>
      <c r="AG1522" s="1">
        <v>38169</v>
      </c>
      <c r="AH1522" s="1">
        <v>38169</v>
      </c>
      <c r="AI1522" s="1">
        <v>38169</v>
      </c>
      <c r="AJ1522" s="1">
        <v>45474</v>
      </c>
      <c r="AK1522" t="s">
        <v>51</v>
      </c>
      <c r="AN1522">
        <v>0</v>
      </c>
      <c r="AO1522" t="s">
        <v>54</v>
      </c>
      <c r="AP1522" t="s">
        <v>53</v>
      </c>
      <c r="AQ1522">
        <v>0</v>
      </c>
      <c r="AR1522" t="s">
        <v>53</v>
      </c>
      <c r="AS1522">
        <v>0</v>
      </c>
      <c r="AT1522">
        <v>0</v>
      </c>
      <c r="AW1522" t="s">
        <v>58</v>
      </c>
      <c r="AX1522">
        <v>20</v>
      </c>
      <c r="AY1522" s="1">
        <v>38169</v>
      </c>
      <c r="AZ1522" s="1">
        <v>38169</v>
      </c>
      <c r="BA1522" s="1">
        <v>38169</v>
      </c>
      <c r="BB1522" s="1">
        <v>45474</v>
      </c>
      <c r="BC1522" t="s">
        <v>51</v>
      </c>
      <c r="BE1522" t="s">
        <v>54</v>
      </c>
      <c r="BF1522">
        <v>2</v>
      </c>
      <c r="BG1522">
        <v>0</v>
      </c>
      <c r="BH1522" t="s">
        <v>53</v>
      </c>
      <c r="BK1522" t="s">
        <v>59</v>
      </c>
      <c r="BL1522">
        <v>14000</v>
      </c>
      <c r="BM1522" s="1">
        <v>42917</v>
      </c>
      <c r="BN1522" s="1">
        <v>42917</v>
      </c>
      <c r="BO1522" s="1">
        <v>42917</v>
      </c>
      <c r="BP1522" s="1">
        <v>44117</v>
      </c>
      <c r="BQ1522" t="s">
        <v>51</v>
      </c>
      <c r="BS1522" t="s">
        <v>60</v>
      </c>
      <c r="BT1522" t="s">
        <v>54</v>
      </c>
      <c r="BU1522" t="s">
        <v>61</v>
      </c>
      <c r="BV1522" t="s">
        <v>62</v>
      </c>
      <c r="BX1522">
        <v>24</v>
      </c>
      <c r="BY1522">
        <v>0</v>
      </c>
      <c r="BZ1522">
        <v>0</v>
      </c>
    </row>
    <row r="1523" spans="1:78" x14ac:dyDescent="0.2">
      <c r="A1523" t="s">
        <v>180</v>
      </c>
      <c r="B1523" t="s">
        <v>181</v>
      </c>
      <c r="C1523" t="s">
        <v>184</v>
      </c>
      <c r="D1523" t="s">
        <v>784</v>
      </c>
      <c r="F1523" t="str">
        <f>"251201"</f>
        <v>251201</v>
      </c>
      <c r="G1523" t="s">
        <v>49</v>
      </c>
      <c r="K1523" t="s">
        <v>51</v>
      </c>
      <c r="L1523" t="s">
        <v>52</v>
      </c>
      <c r="M1523">
        <v>136353.79800000001</v>
      </c>
      <c r="N1523">
        <v>472333.99900000001</v>
      </c>
      <c r="O1523" t="s">
        <v>53</v>
      </c>
      <c r="P1523" t="s">
        <v>54</v>
      </c>
      <c r="Q1523" t="s">
        <v>55</v>
      </c>
      <c r="T1523" t="s">
        <v>466</v>
      </c>
      <c r="U1523">
        <v>40</v>
      </c>
      <c r="V1523" s="1">
        <v>27942</v>
      </c>
      <c r="W1523" s="1">
        <v>27942</v>
      </c>
      <c r="X1523" s="1">
        <v>27942</v>
      </c>
      <c r="Y1523" s="1">
        <v>42552</v>
      </c>
      <c r="Z1523" t="s">
        <v>51</v>
      </c>
      <c r="AB1523" t="s">
        <v>54</v>
      </c>
      <c r="AC1523">
        <v>1</v>
      </c>
      <c r="AE1523" t="s">
        <v>84</v>
      </c>
      <c r="AF1523">
        <v>20</v>
      </c>
      <c r="AG1523" s="1">
        <v>38169</v>
      </c>
      <c r="AH1523" s="1">
        <v>38169</v>
      </c>
      <c r="AI1523" s="1">
        <v>38169</v>
      </c>
      <c r="AJ1523" s="1">
        <v>45474</v>
      </c>
      <c r="AK1523" t="s">
        <v>51</v>
      </c>
      <c r="AN1523">
        <v>0</v>
      </c>
      <c r="AO1523" t="s">
        <v>54</v>
      </c>
      <c r="AP1523" t="s">
        <v>53</v>
      </c>
      <c r="AQ1523">
        <v>0</v>
      </c>
      <c r="AR1523" t="s">
        <v>53</v>
      </c>
      <c r="AS1523">
        <v>0</v>
      </c>
      <c r="AT1523">
        <v>0</v>
      </c>
      <c r="AW1523" t="s">
        <v>58</v>
      </c>
      <c r="AX1523">
        <v>20</v>
      </c>
      <c r="AY1523" s="1">
        <v>38169</v>
      </c>
      <c r="AZ1523" s="1">
        <v>38169</v>
      </c>
      <c r="BA1523" s="1">
        <v>38169</v>
      </c>
      <c r="BB1523" s="1">
        <v>45474</v>
      </c>
      <c r="BC1523" t="s">
        <v>51</v>
      </c>
      <c r="BE1523" t="s">
        <v>54</v>
      </c>
      <c r="BF1523">
        <v>2</v>
      </c>
      <c r="BG1523">
        <v>0</v>
      </c>
      <c r="BH1523" t="s">
        <v>53</v>
      </c>
      <c r="BK1523" t="s">
        <v>59</v>
      </c>
      <c r="BL1523">
        <v>14000</v>
      </c>
      <c r="BM1523" s="1">
        <v>42917</v>
      </c>
      <c r="BN1523" s="1">
        <v>42917</v>
      </c>
      <c r="BO1523" s="1">
        <v>42917</v>
      </c>
      <c r="BP1523" s="1">
        <v>44117</v>
      </c>
      <c r="BQ1523" t="s">
        <v>51</v>
      </c>
      <c r="BS1523" t="s">
        <v>60</v>
      </c>
      <c r="BT1523" t="s">
        <v>54</v>
      </c>
      <c r="BU1523" t="s">
        <v>61</v>
      </c>
      <c r="BV1523" t="s">
        <v>62</v>
      </c>
      <c r="BX1523">
        <v>24</v>
      </c>
      <c r="BY1523">
        <v>0</v>
      </c>
      <c r="BZ1523">
        <v>0</v>
      </c>
    </row>
    <row r="1524" spans="1:78" x14ac:dyDescent="0.2">
      <c r="A1524" t="s">
        <v>180</v>
      </c>
      <c r="B1524" t="s">
        <v>181</v>
      </c>
      <c r="C1524" t="s">
        <v>184</v>
      </c>
      <c r="D1524" t="s">
        <v>784</v>
      </c>
      <c r="F1524" t="str">
        <f>"251202"</f>
        <v>251202</v>
      </c>
      <c r="G1524" t="s">
        <v>49</v>
      </c>
      <c r="K1524" t="s">
        <v>51</v>
      </c>
      <c r="L1524" t="s">
        <v>52</v>
      </c>
      <c r="M1524">
        <v>136338.57500000001</v>
      </c>
      <c r="N1524">
        <v>472352.82299999997</v>
      </c>
      <c r="O1524" t="s">
        <v>53</v>
      </c>
      <c r="P1524" t="s">
        <v>54</v>
      </c>
      <c r="Q1524" t="s">
        <v>55</v>
      </c>
      <c r="T1524" t="s">
        <v>798</v>
      </c>
      <c r="U1524">
        <v>40</v>
      </c>
      <c r="V1524" s="1">
        <v>27942</v>
      </c>
      <c r="W1524" s="1">
        <v>27942</v>
      </c>
      <c r="X1524" s="1">
        <v>27942</v>
      </c>
      <c r="Y1524" s="1">
        <v>42552</v>
      </c>
      <c r="Z1524" t="s">
        <v>51</v>
      </c>
      <c r="AB1524" t="s">
        <v>54</v>
      </c>
      <c r="AC1524">
        <v>1</v>
      </c>
      <c r="AE1524" t="s">
        <v>84</v>
      </c>
      <c r="AF1524">
        <v>20</v>
      </c>
      <c r="AG1524" s="1">
        <v>38169</v>
      </c>
      <c r="AH1524" s="1">
        <v>38169</v>
      </c>
      <c r="AI1524" s="1">
        <v>38169</v>
      </c>
      <c r="AJ1524" s="1">
        <v>45474</v>
      </c>
      <c r="AK1524" t="s">
        <v>51</v>
      </c>
      <c r="AN1524">
        <v>0</v>
      </c>
      <c r="AO1524" t="s">
        <v>54</v>
      </c>
      <c r="AP1524" t="s">
        <v>53</v>
      </c>
      <c r="AQ1524">
        <v>0</v>
      </c>
      <c r="AR1524" t="s">
        <v>53</v>
      </c>
      <c r="AS1524">
        <v>0</v>
      </c>
      <c r="AT1524">
        <v>0</v>
      </c>
      <c r="AW1524" t="s">
        <v>58</v>
      </c>
      <c r="AX1524">
        <v>20</v>
      </c>
      <c r="AY1524" s="1">
        <v>38169</v>
      </c>
      <c r="AZ1524" s="1">
        <v>38169</v>
      </c>
      <c r="BA1524" s="1">
        <v>38169</v>
      </c>
      <c r="BB1524" s="1">
        <v>45474</v>
      </c>
      <c r="BC1524" t="s">
        <v>51</v>
      </c>
      <c r="BE1524" t="s">
        <v>54</v>
      </c>
      <c r="BF1524">
        <v>2</v>
      </c>
      <c r="BG1524">
        <v>0</v>
      </c>
      <c r="BH1524" t="s">
        <v>53</v>
      </c>
      <c r="BI1524">
        <v>1</v>
      </c>
      <c r="BK1524" t="s">
        <v>59</v>
      </c>
      <c r="BL1524">
        <v>14000</v>
      </c>
      <c r="BM1524" s="1">
        <v>42917</v>
      </c>
      <c r="BN1524" s="1">
        <v>42917</v>
      </c>
      <c r="BO1524" s="1">
        <v>42917</v>
      </c>
      <c r="BP1524" s="1">
        <v>44117</v>
      </c>
      <c r="BQ1524" t="s">
        <v>51</v>
      </c>
      <c r="BS1524" t="s">
        <v>60</v>
      </c>
      <c r="BT1524" t="s">
        <v>54</v>
      </c>
      <c r="BU1524" t="s">
        <v>61</v>
      </c>
      <c r="BV1524" t="s">
        <v>62</v>
      </c>
      <c r="BX1524">
        <v>24</v>
      </c>
      <c r="BY1524">
        <v>0</v>
      </c>
      <c r="BZ1524">
        <v>0</v>
      </c>
    </row>
    <row r="1525" spans="1:78" x14ac:dyDescent="0.2">
      <c r="A1525" t="s">
        <v>180</v>
      </c>
      <c r="B1525" t="s">
        <v>181</v>
      </c>
      <c r="C1525" t="s">
        <v>184</v>
      </c>
      <c r="D1525" t="s">
        <v>470</v>
      </c>
      <c r="F1525" t="str">
        <f>"252801"</f>
        <v>252801</v>
      </c>
      <c r="G1525" t="s">
        <v>49</v>
      </c>
      <c r="K1525" t="s">
        <v>51</v>
      </c>
      <c r="L1525" t="s">
        <v>52</v>
      </c>
      <c r="M1525">
        <v>136788.52100000001</v>
      </c>
      <c r="N1525">
        <v>471813.06400000001</v>
      </c>
      <c r="O1525" t="s">
        <v>53</v>
      </c>
      <c r="P1525" t="s">
        <v>54</v>
      </c>
      <c r="Q1525" t="s">
        <v>55</v>
      </c>
      <c r="T1525" t="s">
        <v>431</v>
      </c>
      <c r="U1525">
        <v>40</v>
      </c>
      <c r="V1525" s="1">
        <v>37073</v>
      </c>
      <c r="W1525" s="1">
        <v>37073</v>
      </c>
      <c r="X1525" s="1">
        <v>37073</v>
      </c>
      <c r="Y1525" s="1">
        <v>51683</v>
      </c>
      <c r="Z1525" t="s">
        <v>51</v>
      </c>
      <c r="AB1525" t="s">
        <v>54</v>
      </c>
      <c r="AC1525">
        <v>1</v>
      </c>
      <c r="AE1525" t="s">
        <v>79</v>
      </c>
      <c r="AF1525">
        <v>20</v>
      </c>
      <c r="AG1525" s="1">
        <v>37073</v>
      </c>
      <c r="AH1525" s="1">
        <v>37073</v>
      </c>
      <c r="AI1525" s="1">
        <v>37073</v>
      </c>
      <c r="AJ1525" s="1">
        <v>44378</v>
      </c>
      <c r="AK1525" t="s">
        <v>51</v>
      </c>
      <c r="AN1525">
        <v>0</v>
      </c>
      <c r="AO1525" t="s">
        <v>54</v>
      </c>
      <c r="AP1525" t="s">
        <v>53</v>
      </c>
      <c r="AQ1525">
        <v>0</v>
      </c>
      <c r="AR1525" t="s">
        <v>145</v>
      </c>
      <c r="AS1525">
        <v>0</v>
      </c>
      <c r="AT1525">
        <v>0</v>
      </c>
      <c r="AW1525" t="s">
        <v>79</v>
      </c>
      <c r="AX1525">
        <v>20</v>
      </c>
      <c r="AY1525" s="1">
        <v>37073</v>
      </c>
      <c r="AZ1525" s="1">
        <v>37073</v>
      </c>
      <c r="BA1525" s="1">
        <v>37073</v>
      </c>
      <c r="BB1525" s="1">
        <v>44378</v>
      </c>
      <c r="BC1525" t="s">
        <v>51</v>
      </c>
      <c r="BE1525" t="s">
        <v>54</v>
      </c>
      <c r="BF1525">
        <v>5</v>
      </c>
      <c r="BG1525">
        <v>0</v>
      </c>
      <c r="BH1525" t="s">
        <v>53</v>
      </c>
      <c r="BK1525" t="s">
        <v>59</v>
      </c>
      <c r="BL1525">
        <v>14000</v>
      </c>
      <c r="BM1525" s="1">
        <v>42917</v>
      </c>
      <c r="BN1525" s="1">
        <v>42917</v>
      </c>
      <c r="BO1525" s="1">
        <v>42917</v>
      </c>
      <c r="BP1525" s="1">
        <v>44117</v>
      </c>
      <c r="BQ1525" t="s">
        <v>51</v>
      </c>
      <c r="BS1525" t="s">
        <v>60</v>
      </c>
      <c r="BT1525" t="s">
        <v>54</v>
      </c>
      <c r="BU1525" t="s">
        <v>61</v>
      </c>
      <c r="BV1525" t="s">
        <v>62</v>
      </c>
      <c r="BX1525">
        <v>24</v>
      </c>
      <c r="BY1525">
        <v>0</v>
      </c>
      <c r="BZ1525">
        <v>0</v>
      </c>
    </row>
    <row r="1526" spans="1:78" x14ac:dyDescent="0.2">
      <c r="A1526" t="s">
        <v>180</v>
      </c>
      <c r="B1526" t="s">
        <v>181</v>
      </c>
      <c r="C1526" t="s">
        <v>184</v>
      </c>
      <c r="D1526" t="s">
        <v>470</v>
      </c>
      <c r="F1526" t="str">
        <f>"252802"</f>
        <v>252802</v>
      </c>
      <c r="G1526" t="s">
        <v>49</v>
      </c>
      <c r="K1526" t="s">
        <v>51</v>
      </c>
      <c r="L1526" t="s">
        <v>52</v>
      </c>
      <c r="M1526">
        <v>136755.21799999999</v>
      </c>
      <c r="N1526">
        <v>471829.49599999998</v>
      </c>
      <c r="O1526" t="s">
        <v>53</v>
      </c>
      <c r="P1526" t="s">
        <v>54</v>
      </c>
      <c r="Q1526" t="s">
        <v>55</v>
      </c>
      <c r="T1526" t="s">
        <v>431</v>
      </c>
      <c r="U1526">
        <v>40</v>
      </c>
      <c r="V1526" s="1">
        <v>38353</v>
      </c>
      <c r="W1526" s="1">
        <v>38353</v>
      </c>
      <c r="X1526" s="1">
        <v>38353</v>
      </c>
      <c r="Y1526" s="1">
        <v>52963</v>
      </c>
      <c r="Z1526" t="s">
        <v>51</v>
      </c>
      <c r="AB1526" t="s">
        <v>54</v>
      </c>
      <c r="AC1526">
        <v>1</v>
      </c>
      <c r="AE1526" t="s">
        <v>79</v>
      </c>
      <c r="AF1526">
        <v>20</v>
      </c>
      <c r="AG1526" s="1">
        <v>38353</v>
      </c>
      <c r="AH1526" s="1">
        <v>38353</v>
      </c>
      <c r="AI1526" s="1">
        <v>38353</v>
      </c>
      <c r="AJ1526" s="1">
        <v>45658</v>
      </c>
      <c r="AK1526" t="s">
        <v>51</v>
      </c>
      <c r="AN1526">
        <v>0</v>
      </c>
      <c r="AO1526" t="s">
        <v>54</v>
      </c>
      <c r="AP1526" t="s">
        <v>53</v>
      </c>
      <c r="AQ1526">
        <v>0</v>
      </c>
      <c r="AR1526" t="s">
        <v>145</v>
      </c>
      <c r="AS1526">
        <v>0</v>
      </c>
      <c r="AT1526">
        <v>0</v>
      </c>
      <c r="AW1526" t="s">
        <v>79</v>
      </c>
      <c r="AX1526">
        <v>20</v>
      </c>
      <c r="AY1526" s="1">
        <v>38353</v>
      </c>
      <c r="AZ1526" s="1">
        <v>38353</v>
      </c>
      <c r="BA1526" s="1">
        <v>38353</v>
      </c>
      <c r="BB1526" s="1">
        <v>45658</v>
      </c>
      <c r="BC1526" t="s">
        <v>51</v>
      </c>
      <c r="BE1526" t="s">
        <v>54</v>
      </c>
      <c r="BF1526">
        <v>5</v>
      </c>
      <c r="BG1526">
        <v>0</v>
      </c>
      <c r="BH1526" t="s">
        <v>53</v>
      </c>
      <c r="BK1526" t="s">
        <v>59</v>
      </c>
      <c r="BL1526">
        <v>14000</v>
      </c>
      <c r="BM1526" s="1">
        <v>42917</v>
      </c>
      <c r="BN1526" s="1">
        <v>42917</v>
      </c>
      <c r="BO1526" s="1">
        <v>42917</v>
      </c>
      <c r="BP1526" s="1">
        <v>44117</v>
      </c>
      <c r="BQ1526" t="s">
        <v>51</v>
      </c>
      <c r="BS1526" t="s">
        <v>60</v>
      </c>
      <c r="BT1526" t="s">
        <v>54</v>
      </c>
      <c r="BU1526" t="s">
        <v>61</v>
      </c>
      <c r="BV1526" t="s">
        <v>62</v>
      </c>
      <c r="BX1526">
        <v>24</v>
      </c>
      <c r="BY1526">
        <v>0</v>
      </c>
      <c r="BZ1526">
        <v>0</v>
      </c>
    </row>
    <row r="1527" spans="1:78" x14ac:dyDescent="0.2">
      <c r="A1527" t="s">
        <v>180</v>
      </c>
      <c r="B1527" t="s">
        <v>181</v>
      </c>
      <c r="C1527" t="s">
        <v>184</v>
      </c>
      <c r="D1527" t="s">
        <v>715</v>
      </c>
      <c r="F1527" t="str">
        <f>"252900"</f>
        <v>252900</v>
      </c>
      <c r="G1527" t="s">
        <v>49</v>
      </c>
      <c r="K1527" t="s">
        <v>51</v>
      </c>
      <c r="L1527" t="s">
        <v>52</v>
      </c>
      <c r="M1527">
        <v>136706.45000000001</v>
      </c>
      <c r="N1527">
        <v>472000.31</v>
      </c>
      <c r="O1527" t="s">
        <v>53</v>
      </c>
      <c r="P1527" t="s">
        <v>54</v>
      </c>
      <c r="Q1527" t="s">
        <v>55</v>
      </c>
      <c r="T1527" t="s">
        <v>431</v>
      </c>
      <c r="U1527">
        <v>40</v>
      </c>
      <c r="V1527" s="1">
        <v>38353</v>
      </c>
      <c r="W1527" s="1">
        <v>38353</v>
      </c>
      <c r="X1527" s="1">
        <v>38353</v>
      </c>
      <c r="Y1527" s="1">
        <v>52963</v>
      </c>
      <c r="Z1527" t="s">
        <v>51</v>
      </c>
      <c r="AB1527" t="s">
        <v>54</v>
      </c>
      <c r="AC1527">
        <v>1</v>
      </c>
      <c r="AE1527" t="s">
        <v>79</v>
      </c>
      <c r="AF1527">
        <v>20</v>
      </c>
      <c r="AG1527" s="1">
        <v>38353</v>
      </c>
      <c r="AH1527" s="1">
        <v>38353</v>
      </c>
      <c r="AI1527" s="1">
        <v>38353</v>
      </c>
      <c r="AJ1527" s="1">
        <v>45658</v>
      </c>
      <c r="AK1527" t="s">
        <v>51</v>
      </c>
      <c r="AN1527">
        <v>0</v>
      </c>
      <c r="AO1527" t="s">
        <v>54</v>
      </c>
      <c r="AP1527" t="s">
        <v>53</v>
      </c>
      <c r="AQ1527">
        <v>0</v>
      </c>
      <c r="AR1527" t="s">
        <v>145</v>
      </c>
      <c r="AS1527">
        <v>0</v>
      </c>
      <c r="AT1527">
        <v>0</v>
      </c>
      <c r="AW1527" t="s">
        <v>79</v>
      </c>
      <c r="AX1527">
        <v>20</v>
      </c>
      <c r="AY1527" s="1">
        <v>38353</v>
      </c>
      <c r="AZ1527" s="1">
        <v>38353</v>
      </c>
      <c r="BA1527" s="1">
        <v>38353</v>
      </c>
      <c r="BB1527" s="1">
        <v>45658</v>
      </c>
      <c r="BC1527" t="s">
        <v>51</v>
      </c>
      <c r="BE1527" t="s">
        <v>54</v>
      </c>
      <c r="BF1527">
        <v>5</v>
      </c>
      <c r="BG1527">
        <v>0</v>
      </c>
      <c r="BH1527" t="s">
        <v>53</v>
      </c>
      <c r="BK1527" t="s">
        <v>59</v>
      </c>
      <c r="BL1527">
        <v>14000</v>
      </c>
      <c r="BM1527" s="1">
        <v>42917</v>
      </c>
      <c r="BN1527" s="1">
        <v>42917</v>
      </c>
      <c r="BO1527" s="1">
        <v>42917</v>
      </c>
      <c r="BP1527" s="1">
        <v>44117</v>
      </c>
      <c r="BQ1527" t="s">
        <v>51</v>
      </c>
      <c r="BS1527" t="s">
        <v>60</v>
      </c>
      <c r="BT1527" t="s">
        <v>54</v>
      </c>
      <c r="BU1527" t="s">
        <v>61</v>
      </c>
      <c r="BV1527" t="s">
        <v>62</v>
      </c>
      <c r="BX1527">
        <v>24</v>
      </c>
      <c r="BY1527">
        <v>0</v>
      </c>
      <c r="BZ1527">
        <v>0</v>
      </c>
    </row>
    <row r="1528" spans="1:78" x14ac:dyDescent="0.2">
      <c r="A1528" t="s">
        <v>180</v>
      </c>
      <c r="B1528" t="s">
        <v>181</v>
      </c>
      <c r="C1528" t="s">
        <v>184</v>
      </c>
      <c r="D1528" t="s">
        <v>715</v>
      </c>
      <c r="F1528" t="str">
        <f>"252901"</f>
        <v>252901</v>
      </c>
      <c r="G1528" t="s">
        <v>49</v>
      </c>
      <c r="K1528" t="s">
        <v>51</v>
      </c>
      <c r="L1528" t="s">
        <v>52</v>
      </c>
      <c r="M1528">
        <v>136693.73000000001</v>
      </c>
      <c r="N1528">
        <v>471983.31</v>
      </c>
      <c r="O1528" t="s">
        <v>53</v>
      </c>
      <c r="P1528" t="s">
        <v>54</v>
      </c>
      <c r="Q1528" t="s">
        <v>55</v>
      </c>
      <c r="T1528" t="s">
        <v>431</v>
      </c>
      <c r="U1528">
        <v>40</v>
      </c>
      <c r="V1528" s="1">
        <v>38353</v>
      </c>
      <c r="W1528" s="1">
        <v>38353</v>
      </c>
      <c r="X1528" s="1">
        <v>38353</v>
      </c>
      <c r="Y1528" s="1">
        <v>52963</v>
      </c>
      <c r="Z1528" t="s">
        <v>51</v>
      </c>
      <c r="AB1528" t="s">
        <v>54</v>
      </c>
      <c r="AC1528">
        <v>1</v>
      </c>
      <c r="AE1528" t="s">
        <v>79</v>
      </c>
      <c r="AF1528">
        <v>20</v>
      </c>
      <c r="AG1528" s="1">
        <v>38353</v>
      </c>
      <c r="AH1528" s="1">
        <v>38353</v>
      </c>
      <c r="AI1528" s="1">
        <v>38353</v>
      </c>
      <c r="AJ1528" s="1">
        <v>45658</v>
      </c>
      <c r="AK1528" t="s">
        <v>51</v>
      </c>
      <c r="AN1528">
        <v>0</v>
      </c>
      <c r="AO1528" t="s">
        <v>54</v>
      </c>
      <c r="AP1528" t="s">
        <v>53</v>
      </c>
      <c r="AQ1528">
        <v>0</v>
      </c>
      <c r="AR1528" t="s">
        <v>145</v>
      </c>
      <c r="AS1528">
        <v>0</v>
      </c>
      <c r="AT1528">
        <v>0</v>
      </c>
      <c r="AW1528" t="s">
        <v>79</v>
      </c>
      <c r="AX1528">
        <v>20</v>
      </c>
      <c r="AY1528" s="1">
        <v>38353</v>
      </c>
      <c r="AZ1528" s="1">
        <v>38353</v>
      </c>
      <c r="BA1528" s="1">
        <v>38353</v>
      </c>
      <c r="BB1528" s="1">
        <v>45658</v>
      </c>
      <c r="BC1528" t="s">
        <v>51</v>
      </c>
      <c r="BE1528" t="s">
        <v>54</v>
      </c>
      <c r="BF1528">
        <v>5</v>
      </c>
      <c r="BG1528">
        <v>0</v>
      </c>
      <c r="BH1528" t="s">
        <v>53</v>
      </c>
      <c r="BK1528" t="s">
        <v>59</v>
      </c>
      <c r="BL1528">
        <v>14000</v>
      </c>
      <c r="BM1528" s="1">
        <v>42917</v>
      </c>
      <c r="BN1528" s="1">
        <v>42917</v>
      </c>
      <c r="BO1528" s="1">
        <v>42917</v>
      </c>
      <c r="BP1528" s="1">
        <v>44117</v>
      </c>
      <c r="BQ1528" t="s">
        <v>51</v>
      </c>
      <c r="BS1528" t="s">
        <v>60</v>
      </c>
      <c r="BT1528" t="s">
        <v>54</v>
      </c>
      <c r="BU1528" t="s">
        <v>61</v>
      </c>
      <c r="BV1528" t="s">
        <v>62</v>
      </c>
      <c r="BX1528">
        <v>24</v>
      </c>
      <c r="BY1528">
        <v>0</v>
      </c>
      <c r="BZ1528">
        <v>0</v>
      </c>
    </row>
    <row r="1529" spans="1:78" x14ac:dyDescent="0.2">
      <c r="A1529" t="s">
        <v>180</v>
      </c>
      <c r="B1529" t="s">
        <v>181</v>
      </c>
      <c r="C1529" t="s">
        <v>184</v>
      </c>
      <c r="D1529" t="s">
        <v>715</v>
      </c>
      <c r="F1529" t="str">
        <f>"252902"</f>
        <v>252902</v>
      </c>
      <c r="G1529" t="s">
        <v>49</v>
      </c>
      <c r="K1529" t="s">
        <v>51</v>
      </c>
      <c r="L1529" t="s">
        <v>52</v>
      </c>
      <c r="M1529">
        <v>136696.32999999999</v>
      </c>
      <c r="N1529">
        <v>471968.03</v>
      </c>
      <c r="O1529" t="s">
        <v>53</v>
      </c>
      <c r="P1529" t="s">
        <v>54</v>
      </c>
      <c r="Q1529" t="s">
        <v>55</v>
      </c>
      <c r="T1529" t="s">
        <v>431</v>
      </c>
      <c r="U1529">
        <v>40</v>
      </c>
      <c r="V1529" s="1">
        <v>38353</v>
      </c>
      <c r="W1529" s="1">
        <v>38353</v>
      </c>
      <c r="X1529" s="1">
        <v>38353</v>
      </c>
      <c r="Y1529" s="1">
        <v>52963</v>
      </c>
      <c r="Z1529" t="s">
        <v>51</v>
      </c>
      <c r="AB1529" t="s">
        <v>54</v>
      </c>
      <c r="AC1529">
        <v>1</v>
      </c>
      <c r="AE1529" t="s">
        <v>79</v>
      </c>
      <c r="AF1529">
        <v>20</v>
      </c>
      <c r="AG1529" s="1">
        <v>38353</v>
      </c>
      <c r="AH1529" s="1">
        <v>38353</v>
      </c>
      <c r="AI1529" s="1">
        <v>38353</v>
      </c>
      <c r="AJ1529" s="1">
        <v>45658</v>
      </c>
      <c r="AK1529" t="s">
        <v>51</v>
      </c>
      <c r="AN1529">
        <v>0</v>
      </c>
      <c r="AO1529" t="s">
        <v>54</v>
      </c>
      <c r="AP1529" t="s">
        <v>53</v>
      </c>
      <c r="AQ1529">
        <v>0</v>
      </c>
      <c r="AR1529" t="s">
        <v>145</v>
      </c>
      <c r="AS1529">
        <v>0</v>
      </c>
      <c r="AT1529">
        <v>0</v>
      </c>
      <c r="AW1529" t="s">
        <v>79</v>
      </c>
      <c r="AX1529">
        <v>20</v>
      </c>
      <c r="AY1529" s="1">
        <v>38353</v>
      </c>
      <c r="AZ1529" s="1">
        <v>38353</v>
      </c>
      <c r="BA1529" s="1">
        <v>38353</v>
      </c>
      <c r="BB1529" s="1">
        <v>45658</v>
      </c>
      <c r="BC1529" t="s">
        <v>51</v>
      </c>
      <c r="BE1529" t="s">
        <v>54</v>
      </c>
      <c r="BF1529">
        <v>5</v>
      </c>
      <c r="BG1529">
        <v>0</v>
      </c>
      <c r="BH1529" t="s">
        <v>53</v>
      </c>
      <c r="BK1529" t="s">
        <v>59</v>
      </c>
      <c r="BL1529">
        <v>14000</v>
      </c>
      <c r="BM1529" s="1">
        <v>42917</v>
      </c>
      <c r="BN1529" s="1">
        <v>42917</v>
      </c>
      <c r="BO1529" s="1">
        <v>42917</v>
      </c>
      <c r="BP1529" s="1">
        <v>44117</v>
      </c>
      <c r="BQ1529" t="s">
        <v>51</v>
      </c>
      <c r="BS1529" t="s">
        <v>60</v>
      </c>
      <c r="BT1529" t="s">
        <v>54</v>
      </c>
      <c r="BU1529" t="s">
        <v>61</v>
      </c>
      <c r="BV1529" t="s">
        <v>62</v>
      </c>
      <c r="BX1529">
        <v>24</v>
      </c>
      <c r="BY1529">
        <v>0</v>
      </c>
      <c r="BZ1529">
        <v>0</v>
      </c>
    </row>
    <row r="1530" spans="1:78" x14ac:dyDescent="0.2">
      <c r="A1530" t="s">
        <v>180</v>
      </c>
      <c r="B1530" t="s">
        <v>181</v>
      </c>
      <c r="C1530" t="s">
        <v>184</v>
      </c>
      <c r="D1530" t="s">
        <v>715</v>
      </c>
      <c r="F1530" t="str">
        <f>"252903"</f>
        <v>252903</v>
      </c>
      <c r="G1530" t="s">
        <v>49</v>
      </c>
      <c r="K1530" t="s">
        <v>51</v>
      </c>
      <c r="L1530" t="s">
        <v>52</v>
      </c>
      <c r="M1530">
        <v>136681.63</v>
      </c>
      <c r="N1530">
        <v>471961.03</v>
      </c>
      <c r="O1530" t="s">
        <v>53</v>
      </c>
      <c r="P1530" t="s">
        <v>54</v>
      </c>
      <c r="Q1530" t="s">
        <v>55</v>
      </c>
      <c r="T1530" t="s">
        <v>431</v>
      </c>
      <c r="U1530">
        <v>40</v>
      </c>
      <c r="V1530" s="1">
        <v>38353</v>
      </c>
      <c r="W1530" s="1">
        <v>38353</v>
      </c>
      <c r="X1530" s="1">
        <v>38353</v>
      </c>
      <c r="Y1530" s="1">
        <v>52963</v>
      </c>
      <c r="Z1530" t="s">
        <v>51</v>
      </c>
      <c r="AB1530" t="s">
        <v>54</v>
      </c>
      <c r="AC1530">
        <v>1</v>
      </c>
      <c r="AE1530" t="s">
        <v>79</v>
      </c>
      <c r="AF1530">
        <v>20</v>
      </c>
      <c r="AG1530" s="1">
        <v>38353</v>
      </c>
      <c r="AH1530" s="1">
        <v>38353</v>
      </c>
      <c r="AI1530" s="1">
        <v>38353</v>
      </c>
      <c r="AJ1530" s="1">
        <v>45658</v>
      </c>
      <c r="AK1530" t="s">
        <v>51</v>
      </c>
      <c r="AN1530">
        <v>0</v>
      </c>
      <c r="AO1530" t="s">
        <v>54</v>
      </c>
      <c r="AP1530" t="s">
        <v>53</v>
      </c>
      <c r="AQ1530">
        <v>0</v>
      </c>
      <c r="AR1530" t="s">
        <v>145</v>
      </c>
      <c r="AS1530">
        <v>0</v>
      </c>
      <c r="AT1530">
        <v>0</v>
      </c>
      <c r="AW1530" t="s">
        <v>79</v>
      </c>
      <c r="AX1530">
        <v>20</v>
      </c>
      <c r="AY1530" s="1">
        <v>38353</v>
      </c>
      <c r="AZ1530" s="1">
        <v>38353</v>
      </c>
      <c r="BA1530" s="1">
        <v>38353</v>
      </c>
      <c r="BB1530" s="1">
        <v>45658</v>
      </c>
      <c r="BC1530" t="s">
        <v>51</v>
      </c>
      <c r="BE1530" t="s">
        <v>54</v>
      </c>
      <c r="BF1530">
        <v>5</v>
      </c>
      <c r="BG1530">
        <v>0</v>
      </c>
      <c r="BH1530" t="s">
        <v>53</v>
      </c>
      <c r="BK1530" t="s">
        <v>59</v>
      </c>
      <c r="BL1530">
        <v>14000</v>
      </c>
      <c r="BM1530" s="1">
        <v>42917</v>
      </c>
      <c r="BN1530" s="1">
        <v>42917</v>
      </c>
      <c r="BO1530" s="1">
        <v>42917</v>
      </c>
      <c r="BP1530" s="1">
        <v>44117</v>
      </c>
      <c r="BQ1530" t="s">
        <v>51</v>
      </c>
      <c r="BS1530" t="s">
        <v>60</v>
      </c>
      <c r="BT1530" t="s">
        <v>54</v>
      </c>
      <c r="BU1530" t="s">
        <v>61</v>
      </c>
      <c r="BV1530" t="s">
        <v>62</v>
      </c>
      <c r="BX1530">
        <v>24</v>
      </c>
      <c r="BY1530">
        <v>0</v>
      </c>
      <c r="BZ1530">
        <v>0</v>
      </c>
    </row>
    <row r="1531" spans="1:78" x14ac:dyDescent="0.2">
      <c r="A1531" t="s">
        <v>180</v>
      </c>
      <c r="B1531" t="s">
        <v>181</v>
      </c>
      <c r="C1531" t="s">
        <v>184</v>
      </c>
      <c r="D1531" t="s">
        <v>715</v>
      </c>
      <c r="F1531" t="str">
        <f>"252904"</f>
        <v>252904</v>
      </c>
      <c r="G1531" t="s">
        <v>49</v>
      </c>
      <c r="K1531" t="s">
        <v>51</v>
      </c>
      <c r="L1531" t="s">
        <v>52</v>
      </c>
      <c r="M1531">
        <v>136685.98000000001</v>
      </c>
      <c r="N1531">
        <v>471944</v>
      </c>
      <c r="O1531" t="s">
        <v>53</v>
      </c>
      <c r="P1531" t="s">
        <v>54</v>
      </c>
      <c r="Q1531" t="s">
        <v>55</v>
      </c>
      <c r="T1531" t="s">
        <v>431</v>
      </c>
      <c r="U1531">
        <v>40</v>
      </c>
      <c r="V1531" s="1">
        <v>38353</v>
      </c>
      <c r="W1531" s="1">
        <v>38353</v>
      </c>
      <c r="X1531" s="1">
        <v>38353</v>
      </c>
      <c r="Y1531" s="1">
        <v>52963</v>
      </c>
      <c r="Z1531" t="s">
        <v>51</v>
      </c>
      <c r="AB1531" t="s">
        <v>54</v>
      </c>
      <c r="AC1531">
        <v>1</v>
      </c>
      <c r="AE1531" t="s">
        <v>79</v>
      </c>
      <c r="AF1531">
        <v>20</v>
      </c>
      <c r="AG1531" s="1">
        <v>38353</v>
      </c>
      <c r="AH1531" s="1">
        <v>38353</v>
      </c>
      <c r="AI1531" s="1">
        <v>38353</v>
      </c>
      <c r="AJ1531" s="1">
        <v>45658</v>
      </c>
      <c r="AK1531" t="s">
        <v>51</v>
      </c>
      <c r="AN1531">
        <v>0</v>
      </c>
      <c r="AO1531" t="s">
        <v>54</v>
      </c>
      <c r="AP1531" t="s">
        <v>53</v>
      </c>
      <c r="AQ1531">
        <v>0</v>
      </c>
      <c r="AR1531" t="s">
        <v>145</v>
      </c>
      <c r="AS1531">
        <v>0</v>
      </c>
      <c r="AT1531">
        <v>0</v>
      </c>
      <c r="AW1531" t="s">
        <v>79</v>
      </c>
      <c r="AX1531">
        <v>20</v>
      </c>
      <c r="AY1531" s="1">
        <v>38353</v>
      </c>
      <c r="AZ1531" s="1">
        <v>38353</v>
      </c>
      <c r="BA1531" s="1">
        <v>38353</v>
      </c>
      <c r="BB1531" s="1">
        <v>45658</v>
      </c>
      <c r="BC1531" t="s">
        <v>51</v>
      </c>
      <c r="BE1531" t="s">
        <v>54</v>
      </c>
      <c r="BF1531">
        <v>5</v>
      </c>
      <c r="BG1531">
        <v>0</v>
      </c>
      <c r="BH1531" t="s">
        <v>53</v>
      </c>
      <c r="BK1531" t="s">
        <v>59</v>
      </c>
      <c r="BL1531">
        <v>14000</v>
      </c>
      <c r="BM1531" s="1">
        <v>42917</v>
      </c>
      <c r="BN1531" s="1">
        <v>42917</v>
      </c>
      <c r="BO1531" s="1">
        <v>42917</v>
      </c>
      <c r="BP1531" s="1">
        <v>44117</v>
      </c>
      <c r="BQ1531" t="s">
        <v>51</v>
      </c>
      <c r="BS1531" t="s">
        <v>60</v>
      </c>
      <c r="BT1531" t="s">
        <v>54</v>
      </c>
      <c r="BU1531" t="s">
        <v>61</v>
      </c>
      <c r="BV1531" t="s">
        <v>62</v>
      </c>
      <c r="BX1531">
        <v>24</v>
      </c>
      <c r="BY1531">
        <v>0</v>
      </c>
      <c r="BZ1531">
        <v>0</v>
      </c>
    </row>
    <row r="1532" spans="1:78" x14ac:dyDescent="0.2">
      <c r="A1532" t="s">
        <v>180</v>
      </c>
      <c r="B1532" t="s">
        <v>181</v>
      </c>
      <c r="C1532" t="s">
        <v>184</v>
      </c>
      <c r="D1532" t="s">
        <v>715</v>
      </c>
      <c r="F1532" t="str">
        <f>"252905"</f>
        <v>252905</v>
      </c>
      <c r="G1532" t="s">
        <v>49</v>
      </c>
      <c r="K1532" t="s">
        <v>51</v>
      </c>
      <c r="L1532" t="s">
        <v>52</v>
      </c>
      <c r="M1532">
        <v>136674.92000000001</v>
      </c>
      <c r="N1532">
        <v>471942.13</v>
      </c>
      <c r="O1532" t="s">
        <v>53</v>
      </c>
      <c r="P1532" t="s">
        <v>54</v>
      </c>
      <c r="Q1532" t="s">
        <v>55</v>
      </c>
      <c r="T1532" t="s">
        <v>431</v>
      </c>
      <c r="U1532">
        <v>40</v>
      </c>
      <c r="V1532" s="1">
        <v>38353</v>
      </c>
      <c r="W1532" s="1">
        <v>38353</v>
      </c>
      <c r="X1532" s="1">
        <v>38353</v>
      </c>
      <c r="Y1532" s="1">
        <v>52963</v>
      </c>
      <c r="Z1532" t="s">
        <v>51</v>
      </c>
      <c r="AB1532" t="s">
        <v>54</v>
      </c>
      <c r="AC1532">
        <v>1</v>
      </c>
      <c r="AE1532" t="s">
        <v>79</v>
      </c>
      <c r="AF1532">
        <v>20</v>
      </c>
      <c r="AG1532" s="1">
        <v>38353</v>
      </c>
      <c r="AH1532" s="1">
        <v>38353</v>
      </c>
      <c r="AI1532" s="1">
        <v>38353</v>
      </c>
      <c r="AJ1532" s="1">
        <v>45658</v>
      </c>
      <c r="AK1532" t="s">
        <v>51</v>
      </c>
      <c r="AN1532">
        <v>0</v>
      </c>
      <c r="AO1532" t="s">
        <v>54</v>
      </c>
      <c r="AP1532" t="s">
        <v>53</v>
      </c>
      <c r="AQ1532">
        <v>0</v>
      </c>
      <c r="AR1532" t="s">
        <v>145</v>
      </c>
      <c r="AS1532">
        <v>0</v>
      </c>
      <c r="AT1532">
        <v>0</v>
      </c>
      <c r="AW1532" t="s">
        <v>79</v>
      </c>
      <c r="AX1532">
        <v>20</v>
      </c>
      <c r="AY1532" s="1">
        <v>38353</v>
      </c>
      <c r="AZ1532" s="1">
        <v>38353</v>
      </c>
      <c r="BA1532" s="1">
        <v>38353</v>
      </c>
      <c r="BB1532" s="1">
        <v>45658</v>
      </c>
      <c r="BC1532" t="s">
        <v>51</v>
      </c>
      <c r="BE1532" t="s">
        <v>54</v>
      </c>
      <c r="BF1532">
        <v>5</v>
      </c>
      <c r="BG1532">
        <v>0</v>
      </c>
      <c r="BH1532" t="s">
        <v>53</v>
      </c>
      <c r="BK1532" t="s">
        <v>59</v>
      </c>
      <c r="BL1532">
        <v>14000</v>
      </c>
      <c r="BM1532" s="1">
        <v>42917</v>
      </c>
      <c r="BN1532" s="1">
        <v>42917</v>
      </c>
      <c r="BO1532" s="1">
        <v>42917</v>
      </c>
      <c r="BP1532" s="1">
        <v>44117</v>
      </c>
      <c r="BQ1532" t="s">
        <v>51</v>
      </c>
      <c r="BS1532" t="s">
        <v>60</v>
      </c>
      <c r="BT1532" t="s">
        <v>54</v>
      </c>
      <c r="BU1532" t="s">
        <v>61</v>
      </c>
      <c r="BV1532" t="s">
        <v>62</v>
      </c>
      <c r="BX1532">
        <v>24</v>
      </c>
      <c r="BY1532">
        <v>0</v>
      </c>
      <c r="BZ1532">
        <v>0</v>
      </c>
    </row>
    <row r="1533" spans="1:78" x14ac:dyDescent="0.2">
      <c r="A1533" t="s">
        <v>180</v>
      </c>
      <c r="B1533" t="s">
        <v>181</v>
      </c>
      <c r="C1533" t="s">
        <v>184</v>
      </c>
      <c r="D1533" t="s">
        <v>715</v>
      </c>
      <c r="F1533" t="str">
        <f>"252907"</f>
        <v>252907</v>
      </c>
      <c r="G1533" t="s">
        <v>49</v>
      </c>
      <c r="K1533" t="s">
        <v>51</v>
      </c>
      <c r="L1533" t="s">
        <v>52</v>
      </c>
      <c r="M1533">
        <v>136663.57999999999</v>
      </c>
      <c r="N1533">
        <v>471919.28</v>
      </c>
      <c r="O1533" t="s">
        <v>53</v>
      </c>
      <c r="P1533" t="s">
        <v>54</v>
      </c>
      <c r="Q1533" t="s">
        <v>55</v>
      </c>
      <c r="T1533" t="s">
        <v>431</v>
      </c>
      <c r="U1533">
        <v>40</v>
      </c>
      <c r="V1533" s="1">
        <v>38353</v>
      </c>
      <c r="W1533" s="1">
        <v>38353</v>
      </c>
      <c r="X1533" s="1">
        <v>38353</v>
      </c>
      <c r="Y1533" s="1">
        <v>52963</v>
      </c>
      <c r="Z1533" t="s">
        <v>51</v>
      </c>
      <c r="AB1533" t="s">
        <v>54</v>
      </c>
      <c r="AC1533">
        <v>1</v>
      </c>
      <c r="AE1533" t="s">
        <v>79</v>
      </c>
      <c r="AF1533">
        <v>20</v>
      </c>
      <c r="AG1533" s="1">
        <v>38353</v>
      </c>
      <c r="AH1533" s="1">
        <v>38353</v>
      </c>
      <c r="AI1533" s="1">
        <v>38353</v>
      </c>
      <c r="AJ1533" s="1">
        <v>45658</v>
      </c>
      <c r="AK1533" t="s">
        <v>51</v>
      </c>
      <c r="AN1533">
        <v>0</v>
      </c>
      <c r="AO1533" t="s">
        <v>54</v>
      </c>
      <c r="AP1533" t="s">
        <v>53</v>
      </c>
      <c r="AQ1533">
        <v>0</v>
      </c>
      <c r="AR1533" t="s">
        <v>145</v>
      </c>
      <c r="AS1533">
        <v>0</v>
      </c>
      <c r="AT1533">
        <v>0</v>
      </c>
      <c r="AW1533" t="s">
        <v>79</v>
      </c>
      <c r="AX1533">
        <v>20</v>
      </c>
      <c r="AY1533" s="1">
        <v>38353</v>
      </c>
      <c r="AZ1533" s="1">
        <v>38353</v>
      </c>
      <c r="BA1533" s="1">
        <v>38353</v>
      </c>
      <c r="BB1533" s="1">
        <v>45658</v>
      </c>
      <c r="BC1533" t="s">
        <v>51</v>
      </c>
      <c r="BE1533" t="s">
        <v>54</v>
      </c>
      <c r="BF1533">
        <v>5</v>
      </c>
      <c r="BG1533">
        <v>0</v>
      </c>
      <c r="BH1533" t="s">
        <v>53</v>
      </c>
      <c r="BK1533" t="s">
        <v>59</v>
      </c>
      <c r="BL1533">
        <v>14000</v>
      </c>
      <c r="BM1533" s="1">
        <v>42917</v>
      </c>
      <c r="BN1533" s="1">
        <v>42917</v>
      </c>
      <c r="BO1533" s="1">
        <v>42917</v>
      </c>
      <c r="BP1533" s="1">
        <v>44117</v>
      </c>
      <c r="BQ1533" t="s">
        <v>51</v>
      </c>
      <c r="BS1533" t="s">
        <v>60</v>
      </c>
      <c r="BT1533" t="s">
        <v>54</v>
      </c>
      <c r="BU1533" t="s">
        <v>61</v>
      </c>
      <c r="BV1533" t="s">
        <v>62</v>
      </c>
      <c r="BX1533">
        <v>24</v>
      </c>
      <c r="BY1533">
        <v>0</v>
      </c>
      <c r="BZ1533">
        <v>0</v>
      </c>
    </row>
    <row r="1534" spans="1:78" x14ac:dyDescent="0.2">
      <c r="A1534" t="s">
        <v>180</v>
      </c>
      <c r="B1534" t="s">
        <v>181</v>
      </c>
      <c r="C1534" t="s">
        <v>184</v>
      </c>
      <c r="D1534" t="s">
        <v>715</v>
      </c>
      <c r="F1534" t="str">
        <f>"252908"</f>
        <v>252908</v>
      </c>
      <c r="G1534" t="s">
        <v>49</v>
      </c>
      <c r="K1534" t="s">
        <v>51</v>
      </c>
      <c r="L1534" t="s">
        <v>52</v>
      </c>
      <c r="M1534">
        <v>136665.79999999999</v>
      </c>
      <c r="N1534">
        <v>471905.03</v>
      </c>
      <c r="O1534" t="s">
        <v>53</v>
      </c>
      <c r="P1534" t="s">
        <v>54</v>
      </c>
      <c r="Q1534" t="s">
        <v>55</v>
      </c>
      <c r="T1534" t="s">
        <v>431</v>
      </c>
      <c r="U1534">
        <v>40</v>
      </c>
      <c r="V1534" s="1">
        <v>38353</v>
      </c>
      <c r="W1534" s="1">
        <v>38353</v>
      </c>
      <c r="X1534" s="1">
        <v>38353</v>
      </c>
      <c r="Y1534" s="1">
        <v>52963</v>
      </c>
      <c r="Z1534" t="s">
        <v>51</v>
      </c>
      <c r="AB1534" t="s">
        <v>54</v>
      </c>
      <c r="AC1534">
        <v>1</v>
      </c>
      <c r="AE1534" t="s">
        <v>79</v>
      </c>
      <c r="AF1534">
        <v>20</v>
      </c>
      <c r="AG1534" s="1">
        <v>38353</v>
      </c>
      <c r="AH1534" s="1">
        <v>38353</v>
      </c>
      <c r="AI1534" s="1">
        <v>38353</v>
      </c>
      <c r="AJ1534" s="1">
        <v>45658</v>
      </c>
      <c r="AK1534" t="s">
        <v>51</v>
      </c>
      <c r="AN1534">
        <v>0</v>
      </c>
      <c r="AO1534" t="s">
        <v>54</v>
      </c>
      <c r="AP1534" t="s">
        <v>53</v>
      </c>
      <c r="AQ1534">
        <v>0</v>
      </c>
      <c r="AR1534" t="s">
        <v>145</v>
      </c>
      <c r="AS1534">
        <v>0</v>
      </c>
      <c r="AT1534">
        <v>0</v>
      </c>
      <c r="AW1534" t="s">
        <v>79</v>
      </c>
      <c r="AX1534">
        <v>20</v>
      </c>
      <c r="AY1534" s="1">
        <v>38353</v>
      </c>
      <c r="AZ1534" s="1">
        <v>38353</v>
      </c>
      <c r="BA1534" s="1">
        <v>38353</v>
      </c>
      <c r="BB1534" s="1">
        <v>45658</v>
      </c>
      <c r="BC1534" t="s">
        <v>51</v>
      </c>
      <c r="BE1534" t="s">
        <v>54</v>
      </c>
      <c r="BF1534">
        <v>5</v>
      </c>
      <c r="BG1534">
        <v>0</v>
      </c>
      <c r="BH1534" t="s">
        <v>53</v>
      </c>
      <c r="BK1534" t="s">
        <v>59</v>
      </c>
      <c r="BL1534">
        <v>14000</v>
      </c>
      <c r="BM1534" s="1">
        <v>42917</v>
      </c>
      <c r="BN1534" s="1">
        <v>42917</v>
      </c>
      <c r="BO1534" s="1">
        <v>42917</v>
      </c>
      <c r="BP1534" s="1">
        <v>44117</v>
      </c>
      <c r="BQ1534" t="s">
        <v>51</v>
      </c>
      <c r="BS1534" t="s">
        <v>60</v>
      </c>
      <c r="BT1534" t="s">
        <v>54</v>
      </c>
      <c r="BU1534" t="s">
        <v>61</v>
      </c>
      <c r="BV1534" t="s">
        <v>62</v>
      </c>
      <c r="BX1534">
        <v>24</v>
      </c>
      <c r="BY1534">
        <v>0</v>
      </c>
      <c r="BZ1534">
        <v>0</v>
      </c>
    </row>
    <row r="1535" spans="1:78" x14ac:dyDescent="0.2">
      <c r="A1535" t="s">
        <v>180</v>
      </c>
      <c r="B1535" t="s">
        <v>181</v>
      </c>
      <c r="C1535" t="s">
        <v>184</v>
      </c>
      <c r="D1535" t="s">
        <v>715</v>
      </c>
      <c r="F1535" t="str">
        <f>"252909"</f>
        <v>252909</v>
      </c>
      <c r="G1535" t="s">
        <v>49</v>
      </c>
      <c r="K1535" t="s">
        <v>51</v>
      </c>
      <c r="L1535" t="s">
        <v>52</v>
      </c>
      <c r="M1535">
        <v>136654.10999999999</v>
      </c>
      <c r="N1535">
        <v>471900.81</v>
      </c>
      <c r="O1535" t="s">
        <v>53</v>
      </c>
      <c r="P1535" t="s">
        <v>54</v>
      </c>
      <c r="Q1535" t="s">
        <v>55</v>
      </c>
      <c r="T1535" t="s">
        <v>431</v>
      </c>
      <c r="U1535">
        <v>40</v>
      </c>
      <c r="V1535" s="1">
        <v>38353</v>
      </c>
      <c r="W1535" s="1">
        <v>38353</v>
      </c>
      <c r="X1535" s="1">
        <v>38353</v>
      </c>
      <c r="Y1535" s="1">
        <v>52963</v>
      </c>
      <c r="Z1535" t="s">
        <v>51</v>
      </c>
      <c r="AB1535" t="s">
        <v>54</v>
      </c>
      <c r="AC1535">
        <v>1</v>
      </c>
      <c r="AE1535" t="s">
        <v>79</v>
      </c>
      <c r="AF1535">
        <v>20</v>
      </c>
      <c r="AG1535" s="1">
        <v>38353</v>
      </c>
      <c r="AH1535" s="1">
        <v>38353</v>
      </c>
      <c r="AI1535" s="1">
        <v>38353</v>
      </c>
      <c r="AJ1535" s="1">
        <v>45658</v>
      </c>
      <c r="AK1535" t="s">
        <v>51</v>
      </c>
      <c r="AN1535">
        <v>0</v>
      </c>
      <c r="AO1535" t="s">
        <v>54</v>
      </c>
      <c r="AP1535" t="s">
        <v>53</v>
      </c>
      <c r="AQ1535">
        <v>0</v>
      </c>
      <c r="AR1535" t="s">
        <v>145</v>
      </c>
      <c r="AS1535">
        <v>0</v>
      </c>
      <c r="AT1535">
        <v>0</v>
      </c>
      <c r="AW1535" t="s">
        <v>79</v>
      </c>
      <c r="AX1535">
        <v>20</v>
      </c>
      <c r="AY1535" s="1">
        <v>38353</v>
      </c>
      <c r="AZ1535" s="1">
        <v>38353</v>
      </c>
      <c r="BA1535" s="1">
        <v>38353</v>
      </c>
      <c r="BB1535" s="1">
        <v>45658</v>
      </c>
      <c r="BC1535" t="s">
        <v>51</v>
      </c>
      <c r="BE1535" t="s">
        <v>54</v>
      </c>
      <c r="BF1535">
        <v>5</v>
      </c>
      <c r="BG1535">
        <v>0</v>
      </c>
      <c r="BH1535" t="s">
        <v>53</v>
      </c>
      <c r="BK1535" t="s">
        <v>59</v>
      </c>
      <c r="BL1535">
        <v>14000</v>
      </c>
      <c r="BM1535" s="1">
        <v>42917</v>
      </c>
      <c r="BN1535" s="1">
        <v>42917</v>
      </c>
      <c r="BO1535" s="1">
        <v>42917</v>
      </c>
      <c r="BP1535" s="1">
        <v>44117</v>
      </c>
      <c r="BQ1535" t="s">
        <v>51</v>
      </c>
      <c r="BS1535" t="s">
        <v>60</v>
      </c>
      <c r="BT1535" t="s">
        <v>54</v>
      </c>
      <c r="BU1535" t="s">
        <v>61</v>
      </c>
      <c r="BV1535" t="s">
        <v>62</v>
      </c>
      <c r="BX1535">
        <v>24</v>
      </c>
      <c r="BY1535">
        <v>0</v>
      </c>
      <c r="BZ1535">
        <v>0</v>
      </c>
    </row>
    <row r="1536" spans="1:78" x14ac:dyDescent="0.2">
      <c r="A1536" t="s">
        <v>180</v>
      </c>
      <c r="B1536" t="s">
        <v>181</v>
      </c>
      <c r="C1536" t="s">
        <v>184</v>
      </c>
      <c r="D1536" t="s">
        <v>715</v>
      </c>
      <c r="F1536" t="str">
        <f>"252910"</f>
        <v>252910</v>
      </c>
      <c r="G1536" t="s">
        <v>49</v>
      </c>
      <c r="K1536" t="s">
        <v>51</v>
      </c>
      <c r="L1536" t="s">
        <v>52</v>
      </c>
      <c r="M1536">
        <v>136652.29999999999</v>
      </c>
      <c r="N1536">
        <v>471883.16</v>
      </c>
      <c r="O1536" t="s">
        <v>53</v>
      </c>
      <c r="P1536" t="s">
        <v>54</v>
      </c>
      <c r="Q1536" t="s">
        <v>55</v>
      </c>
      <c r="T1536" t="s">
        <v>431</v>
      </c>
      <c r="U1536">
        <v>40</v>
      </c>
      <c r="V1536" s="1">
        <v>38353</v>
      </c>
      <c r="W1536" s="1">
        <v>38353</v>
      </c>
      <c r="X1536" s="1">
        <v>38353</v>
      </c>
      <c r="Y1536" s="1">
        <v>52963</v>
      </c>
      <c r="Z1536" t="s">
        <v>51</v>
      </c>
      <c r="AB1536" t="s">
        <v>54</v>
      </c>
      <c r="AC1536">
        <v>1</v>
      </c>
      <c r="AE1536" t="s">
        <v>79</v>
      </c>
      <c r="AF1536">
        <v>20</v>
      </c>
      <c r="AG1536" s="1">
        <v>38353</v>
      </c>
      <c r="AH1536" s="1">
        <v>38353</v>
      </c>
      <c r="AI1536" s="1">
        <v>38353</v>
      </c>
      <c r="AJ1536" s="1">
        <v>45658</v>
      </c>
      <c r="AK1536" t="s">
        <v>51</v>
      </c>
      <c r="AN1536">
        <v>0</v>
      </c>
      <c r="AO1536" t="s">
        <v>54</v>
      </c>
      <c r="AP1536" t="s">
        <v>53</v>
      </c>
      <c r="AQ1536">
        <v>0</v>
      </c>
      <c r="AR1536" t="s">
        <v>145</v>
      </c>
      <c r="AS1536">
        <v>0</v>
      </c>
      <c r="AT1536">
        <v>0</v>
      </c>
      <c r="AW1536" t="s">
        <v>79</v>
      </c>
      <c r="AX1536">
        <v>20</v>
      </c>
      <c r="AY1536" s="1">
        <v>38353</v>
      </c>
      <c r="AZ1536" s="1">
        <v>38353</v>
      </c>
      <c r="BA1536" s="1">
        <v>38353</v>
      </c>
      <c r="BB1536" s="1">
        <v>45658</v>
      </c>
      <c r="BC1536" t="s">
        <v>51</v>
      </c>
      <c r="BE1536" t="s">
        <v>54</v>
      </c>
      <c r="BF1536">
        <v>5</v>
      </c>
      <c r="BG1536">
        <v>0</v>
      </c>
      <c r="BH1536" t="s">
        <v>53</v>
      </c>
      <c r="BK1536" t="s">
        <v>59</v>
      </c>
      <c r="BL1536">
        <v>14000</v>
      </c>
      <c r="BM1536" s="1">
        <v>42917</v>
      </c>
      <c r="BN1536" s="1">
        <v>42917</v>
      </c>
      <c r="BO1536" s="1">
        <v>42917</v>
      </c>
      <c r="BP1536" s="1">
        <v>44117</v>
      </c>
      <c r="BQ1536" t="s">
        <v>51</v>
      </c>
      <c r="BS1536" t="s">
        <v>60</v>
      </c>
      <c r="BT1536" t="s">
        <v>54</v>
      </c>
      <c r="BU1536" t="s">
        <v>61</v>
      </c>
      <c r="BV1536" t="s">
        <v>62</v>
      </c>
      <c r="BX1536">
        <v>24</v>
      </c>
      <c r="BY1536">
        <v>0</v>
      </c>
      <c r="BZ1536">
        <v>0</v>
      </c>
    </row>
    <row r="1537" spans="1:78" x14ac:dyDescent="0.2">
      <c r="A1537" t="s">
        <v>180</v>
      </c>
      <c r="B1537" t="s">
        <v>181</v>
      </c>
      <c r="C1537" t="s">
        <v>184</v>
      </c>
      <c r="D1537" t="s">
        <v>799</v>
      </c>
      <c r="F1537" t="str">
        <f>"252911"</f>
        <v>252911</v>
      </c>
      <c r="G1537" t="s">
        <v>49</v>
      </c>
      <c r="K1537" t="s">
        <v>51</v>
      </c>
      <c r="L1537" t="s">
        <v>52</v>
      </c>
      <c r="M1537">
        <v>136698.91</v>
      </c>
      <c r="N1537">
        <v>471959.91</v>
      </c>
      <c r="O1537" t="s">
        <v>53</v>
      </c>
      <c r="P1537" t="s">
        <v>54</v>
      </c>
      <c r="Q1537" t="s">
        <v>55</v>
      </c>
      <c r="T1537" t="s">
        <v>431</v>
      </c>
      <c r="U1537">
        <v>40</v>
      </c>
      <c r="V1537" s="1">
        <v>38353</v>
      </c>
      <c r="W1537" s="1">
        <v>38353</v>
      </c>
      <c r="X1537" s="1">
        <v>38353</v>
      </c>
      <c r="Y1537" s="1">
        <v>52963</v>
      </c>
      <c r="Z1537" t="s">
        <v>51</v>
      </c>
      <c r="AB1537" t="s">
        <v>54</v>
      </c>
      <c r="AC1537">
        <v>1</v>
      </c>
      <c r="AE1537" t="s">
        <v>79</v>
      </c>
      <c r="AF1537">
        <v>20</v>
      </c>
      <c r="AG1537" s="1">
        <v>38353</v>
      </c>
      <c r="AH1537" s="1">
        <v>38353</v>
      </c>
      <c r="AI1537" s="1">
        <v>38353</v>
      </c>
      <c r="AJ1537" s="1">
        <v>45658</v>
      </c>
      <c r="AK1537" t="s">
        <v>51</v>
      </c>
      <c r="AN1537">
        <v>0</v>
      </c>
      <c r="AO1537" t="s">
        <v>54</v>
      </c>
      <c r="AP1537" t="s">
        <v>53</v>
      </c>
      <c r="AQ1537">
        <v>0</v>
      </c>
      <c r="AR1537" t="s">
        <v>145</v>
      </c>
      <c r="AS1537">
        <v>0</v>
      </c>
      <c r="AT1537">
        <v>0</v>
      </c>
      <c r="AW1537" t="s">
        <v>79</v>
      </c>
      <c r="AX1537">
        <v>20</v>
      </c>
      <c r="AY1537" s="1">
        <v>38353</v>
      </c>
      <c r="AZ1537" s="1">
        <v>38353</v>
      </c>
      <c r="BA1537" s="1">
        <v>38353</v>
      </c>
      <c r="BB1537" s="1">
        <v>45658</v>
      </c>
      <c r="BC1537" t="s">
        <v>51</v>
      </c>
      <c r="BE1537" t="s">
        <v>54</v>
      </c>
      <c r="BF1537">
        <v>5</v>
      </c>
      <c r="BG1537">
        <v>0</v>
      </c>
      <c r="BH1537" t="s">
        <v>53</v>
      </c>
      <c r="BK1537" t="s">
        <v>59</v>
      </c>
      <c r="BL1537">
        <v>14000</v>
      </c>
      <c r="BM1537" s="1">
        <v>42917</v>
      </c>
      <c r="BN1537" s="1">
        <v>42917</v>
      </c>
      <c r="BO1537" s="1">
        <v>42917</v>
      </c>
      <c r="BP1537" s="1">
        <v>44117</v>
      </c>
      <c r="BQ1537" t="s">
        <v>51</v>
      </c>
      <c r="BS1537" t="s">
        <v>60</v>
      </c>
      <c r="BT1537" t="s">
        <v>54</v>
      </c>
      <c r="BU1537" t="s">
        <v>61</v>
      </c>
      <c r="BV1537" t="s">
        <v>62</v>
      </c>
      <c r="BX1537">
        <v>24</v>
      </c>
      <c r="BY1537">
        <v>0</v>
      </c>
      <c r="BZ1537">
        <v>0</v>
      </c>
    </row>
    <row r="1538" spans="1:78" x14ac:dyDescent="0.2">
      <c r="A1538" t="s">
        <v>180</v>
      </c>
      <c r="B1538" t="s">
        <v>181</v>
      </c>
      <c r="C1538" t="s">
        <v>184</v>
      </c>
      <c r="D1538" t="s">
        <v>799</v>
      </c>
      <c r="F1538" t="str">
        <f>"252912"</f>
        <v>252912</v>
      </c>
      <c r="G1538" t="s">
        <v>49</v>
      </c>
      <c r="K1538" t="s">
        <v>51</v>
      </c>
      <c r="L1538" t="s">
        <v>52</v>
      </c>
      <c r="M1538">
        <v>136704.48000000001</v>
      </c>
      <c r="N1538">
        <v>471947.28</v>
      </c>
      <c r="O1538" t="s">
        <v>53</v>
      </c>
      <c r="P1538" t="s">
        <v>54</v>
      </c>
      <c r="Q1538" t="s">
        <v>55</v>
      </c>
      <c r="T1538" t="s">
        <v>431</v>
      </c>
      <c r="U1538">
        <v>40</v>
      </c>
      <c r="V1538" s="1">
        <v>38353</v>
      </c>
      <c r="W1538" s="1">
        <v>38353</v>
      </c>
      <c r="X1538" s="1">
        <v>38353</v>
      </c>
      <c r="Y1538" s="1">
        <v>52963</v>
      </c>
      <c r="Z1538" t="s">
        <v>51</v>
      </c>
      <c r="AB1538" t="s">
        <v>54</v>
      </c>
      <c r="AC1538">
        <v>1</v>
      </c>
      <c r="AE1538" t="s">
        <v>79</v>
      </c>
      <c r="AF1538">
        <v>20</v>
      </c>
      <c r="AG1538" s="1">
        <v>38353</v>
      </c>
      <c r="AH1538" s="1">
        <v>38353</v>
      </c>
      <c r="AI1538" s="1">
        <v>38353</v>
      </c>
      <c r="AJ1538" s="1">
        <v>45658</v>
      </c>
      <c r="AK1538" t="s">
        <v>51</v>
      </c>
      <c r="AN1538">
        <v>0</v>
      </c>
      <c r="AO1538" t="s">
        <v>54</v>
      </c>
      <c r="AP1538" t="s">
        <v>53</v>
      </c>
      <c r="AQ1538">
        <v>0</v>
      </c>
      <c r="AR1538" t="s">
        <v>145</v>
      </c>
      <c r="AS1538">
        <v>0</v>
      </c>
      <c r="AT1538">
        <v>0</v>
      </c>
      <c r="AW1538" t="s">
        <v>79</v>
      </c>
      <c r="AX1538">
        <v>20</v>
      </c>
      <c r="AY1538" s="1">
        <v>38353</v>
      </c>
      <c r="AZ1538" s="1">
        <v>38353</v>
      </c>
      <c r="BA1538" s="1">
        <v>38353</v>
      </c>
      <c r="BB1538" s="1">
        <v>45658</v>
      </c>
      <c r="BC1538" t="s">
        <v>51</v>
      </c>
      <c r="BE1538" t="s">
        <v>54</v>
      </c>
      <c r="BF1538">
        <v>5</v>
      </c>
      <c r="BG1538">
        <v>0</v>
      </c>
      <c r="BH1538" t="s">
        <v>53</v>
      </c>
      <c r="BK1538" t="s">
        <v>59</v>
      </c>
      <c r="BL1538">
        <v>14000</v>
      </c>
      <c r="BM1538" s="1">
        <v>42917</v>
      </c>
      <c r="BN1538" s="1">
        <v>42917</v>
      </c>
      <c r="BO1538" s="1">
        <v>42917</v>
      </c>
      <c r="BP1538" s="1">
        <v>44117</v>
      </c>
      <c r="BQ1538" t="s">
        <v>51</v>
      </c>
      <c r="BS1538" t="s">
        <v>60</v>
      </c>
      <c r="BT1538" t="s">
        <v>54</v>
      </c>
      <c r="BU1538" t="s">
        <v>61</v>
      </c>
      <c r="BV1538" t="s">
        <v>62</v>
      </c>
      <c r="BX1538">
        <v>24</v>
      </c>
      <c r="BY1538">
        <v>0</v>
      </c>
      <c r="BZ1538">
        <v>0</v>
      </c>
    </row>
    <row r="1539" spans="1:78" x14ac:dyDescent="0.2">
      <c r="A1539" t="s">
        <v>180</v>
      </c>
      <c r="B1539" t="s">
        <v>181</v>
      </c>
      <c r="C1539" t="s">
        <v>184</v>
      </c>
      <c r="D1539" t="s">
        <v>799</v>
      </c>
      <c r="F1539" t="str">
        <f>"252913"</f>
        <v>252913</v>
      </c>
      <c r="G1539" t="s">
        <v>49</v>
      </c>
      <c r="K1539" t="s">
        <v>51</v>
      </c>
      <c r="L1539" t="s">
        <v>52</v>
      </c>
      <c r="M1539">
        <v>136721.10999999999</v>
      </c>
      <c r="N1539">
        <v>471948.88</v>
      </c>
      <c r="O1539" t="s">
        <v>53</v>
      </c>
      <c r="P1539" t="s">
        <v>54</v>
      </c>
      <c r="Q1539" t="s">
        <v>55</v>
      </c>
      <c r="T1539" t="s">
        <v>431</v>
      </c>
      <c r="U1539">
        <v>40</v>
      </c>
      <c r="V1539" s="1">
        <v>38353</v>
      </c>
      <c r="W1539" s="1">
        <v>38353</v>
      </c>
      <c r="X1539" s="1">
        <v>38353</v>
      </c>
      <c r="Y1539" s="1">
        <v>52963</v>
      </c>
      <c r="Z1539" t="s">
        <v>51</v>
      </c>
      <c r="AB1539" t="s">
        <v>54</v>
      </c>
      <c r="AC1539">
        <v>1</v>
      </c>
      <c r="AE1539" t="s">
        <v>79</v>
      </c>
      <c r="AF1539">
        <v>20</v>
      </c>
      <c r="AG1539" s="1">
        <v>38353</v>
      </c>
      <c r="AH1539" s="1">
        <v>38353</v>
      </c>
      <c r="AI1539" s="1">
        <v>38353</v>
      </c>
      <c r="AJ1539" s="1">
        <v>45658</v>
      </c>
      <c r="AK1539" t="s">
        <v>51</v>
      </c>
      <c r="AN1539">
        <v>0</v>
      </c>
      <c r="AO1539" t="s">
        <v>54</v>
      </c>
      <c r="AP1539" t="s">
        <v>53</v>
      </c>
      <c r="AQ1539">
        <v>0</v>
      </c>
      <c r="AR1539" t="s">
        <v>145</v>
      </c>
      <c r="AS1539">
        <v>0</v>
      </c>
      <c r="AT1539">
        <v>0</v>
      </c>
      <c r="AW1539" t="s">
        <v>79</v>
      </c>
      <c r="AX1539">
        <v>20</v>
      </c>
      <c r="AY1539" s="1">
        <v>38353</v>
      </c>
      <c r="AZ1539" s="1">
        <v>38353</v>
      </c>
      <c r="BA1539" s="1">
        <v>38353</v>
      </c>
      <c r="BB1539" s="1">
        <v>45658</v>
      </c>
      <c r="BC1539" t="s">
        <v>51</v>
      </c>
      <c r="BE1539" t="s">
        <v>54</v>
      </c>
      <c r="BF1539">
        <v>5</v>
      </c>
      <c r="BG1539">
        <v>0</v>
      </c>
      <c r="BH1539" t="s">
        <v>53</v>
      </c>
      <c r="BK1539" t="s">
        <v>59</v>
      </c>
      <c r="BL1539">
        <v>14000</v>
      </c>
      <c r="BM1539" s="1">
        <v>42917</v>
      </c>
      <c r="BN1539" s="1">
        <v>42917</v>
      </c>
      <c r="BO1539" s="1">
        <v>42917</v>
      </c>
      <c r="BP1539" s="1">
        <v>44117</v>
      </c>
      <c r="BQ1539" t="s">
        <v>51</v>
      </c>
      <c r="BS1539" t="s">
        <v>60</v>
      </c>
      <c r="BT1539" t="s">
        <v>54</v>
      </c>
      <c r="BU1539" t="s">
        <v>61</v>
      </c>
      <c r="BV1539" t="s">
        <v>62</v>
      </c>
      <c r="BX1539">
        <v>24</v>
      </c>
      <c r="BY1539">
        <v>0</v>
      </c>
      <c r="BZ1539">
        <v>0</v>
      </c>
    </row>
    <row r="1540" spans="1:78" x14ac:dyDescent="0.2">
      <c r="A1540" t="s">
        <v>180</v>
      </c>
      <c r="B1540" t="s">
        <v>181</v>
      </c>
      <c r="C1540" t="s">
        <v>184</v>
      </c>
      <c r="D1540" t="s">
        <v>799</v>
      </c>
      <c r="F1540" t="str">
        <f>"252914"</f>
        <v>252914</v>
      </c>
      <c r="G1540" t="s">
        <v>49</v>
      </c>
      <c r="K1540" t="s">
        <v>51</v>
      </c>
      <c r="L1540" t="s">
        <v>52</v>
      </c>
      <c r="M1540">
        <v>136728.20000000001</v>
      </c>
      <c r="N1540">
        <v>471936</v>
      </c>
      <c r="O1540" t="s">
        <v>53</v>
      </c>
      <c r="P1540" t="s">
        <v>54</v>
      </c>
      <c r="Q1540" t="s">
        <v>55</v>
      </c>
      <c r="T1540" t="s">
        <v>431</v>
      </c>
      <c r="U1540">
        <v>40</v>
      </c>
      <c r="V1540" s="1">
        <v>38353</v>
      </c>
      <c r="W1540" s="1">
        <v>38353</v>
      </c>
      <c r="X1540" s="1">
        <v>38353</v>
      </c>
      <c r="Y1540" s="1">
        <v>52963</v>
      </c>
      <c r="Z1540" t="s">
        <v>51</v>
      </c>
      <c r="AB1540" t="s">
        <v>54</v>
      </c>
      <c r="AC1540">
        <v>1</v>
      </c>
      <c r="AE1540" t="s">
        <v>79</v>
      </c>
      <c r="AF1540">
        <v>20</v>
      </c>
      <c r="AG1540" s="1">
        <v>38353</v>
      </c>
      <c r="AH1540" s="1">
        <v>38353</v>
      </c>
      <c r="AI1540" s="1">
        <v>38353</v>
      </c>
      <c r="AJ1540" s="1">
        <v>45658</v>
      </c>
      <c r="AK1540" t="s">
        <v>51</v>
      </c>
      <c r="AN1540">
        <v>0</v>
      </c>
      <c r="AO1540" t="s">
        <v>54</v>
      </c>
      <c r="AP1540" t="s">
        <v>53</v>
      </c>
      <c r="AQ1540">
        <v>0</v>
      </c>
      <c r="AR1540" t="s">
        <v>145</v>
      </c>
      <c r="AS1540">
        <v>0</v>
      </c>
      <c r="AT1540">
        <v>0</v>
      </c>
      <c r="AW1540" t="s">
        <v>79</v>
      </c>
      <c r="AX1540">
        <v>20</v>
      </c>
      <c r="AY1540" s="1">
        <v>38353</v>
      </c>
      <c r="AZ1540" s="1">
        <v>38353</v>
      </c>
      <c r="BA1540" s="1">
        <v>38353</v>
      </c>
      <c r="BB1540" s="1">
        <v>45658</v>
      </c>
      <c r="BC1540" t="s">
        <v>51</v>
      </c>
      <c r="BE1540" t="s">
        <v>54</v>
      </c>
      <c r="BF1540">
        <v>5</v>
      </c>
      <c r="BG1540">
        <v>0</v>
      </c>
      <c r="BH1540" t="s">
        <v>53</v>
      </c>
      <c r="BK1540" t="s">
        <v>59</v>
      </c>
      <c r="BL1540">
        <v>14000</v>
      </c>
      <c r="BM1540" s="1">
        <v>42917</v>
      </c>
      <c r="BN1540" s="1">
        <v>42917</v>
      </c>
      <c r="BO1540" s="1">
        <v>42917</v>
      </c>
      <c r="BP1540" s="1">
        <v>44117</v>
      </c>
      <c r="BQ1540" t="s">
        <v>51</v>
      </c>
      <c r="BS1540" t="s">
        <v>60</v>
      </c>
      <c r="BT1540" t="s">
        <v>54</v>
      </c>
      <c r="BU1540" t="s">
        <v>61</v>
      </c>
      <c r="BV1540" t="s">
        <v>62</v>
      </c>
      <c r="BX1540">
        <v>24</v>
      </c>
      <c r="BY1540">
        <v>0</v>
      </c>
      <c r="BZ1540">
        <v>0</v>
      </c>
    </row>
    <row r="1541" spans="1:78" x14ac:dyDescent="0.2">
      <c r="A1541" t="s">
        <v>180</v>
      </c>
      <c r="B1541" t="s">
        <v>181</v>
      </c>
      <c r="C1541" t="s">
        <v>184</v>
      </c>
      <c r="D1541" t="s">
        <v>799</v>
      </c>
      <c r="F1541" t="str">
        <f>"252915"</f>
        <v>252915</v>
      </c>
      <c r="G1541" t="s">
        <v>49</v>
      </c>
      <c r="K1541" t="s">
        <v>51</v>
      </c>
      <c r="L1541" t="s">
        <v>52</v>
      </c>
      <c r="M1541">
        <v>136743.72</v>
      </c>
      <c r="N1541">
        <v>471937.31</v>
      </c>
      <c r="O1541" t="s">
        <v>53</v>
      </c>
      <c r="P1541" t="s">
        <v>54</v>
      </c>
      <c r="Q1541" t="s">
        <v>55</v>
      </c>
      <c r="T1541" t="s">
        <v>431</v>
      </c>
      <c r="U1541">
        <v>40</v>
      </c>
      <c r="V1541" s="1">
        <v>38353</v>
      </c>
      <c r="W1541" s="1">
        <v>38353</v>
      </c>
      <c r="X1541" s="1">
        <v>38353</v>
      </c>
      <c r="Y1541" s="1">
        <v>52963</v>
      </c>
      <c r="Z1541" t="s">
        <v>51</v>
      </c>
      <c r="AB1541" t="s">
        <v>54</v>
      </c>
      <c r="AC1541">
        <v>1</v>
      </c>
      <c r="AE1541" t="s">
        <v>79</v>
      </c>
      <c r="AF1541">
        <v>20</v>
      </c>
      <c r="AG1541" s="1">
        <v>38353</v>
      </c>
      <c r="AH1541" s="1">
        <v>38353</v>
      </c>
      <c r="AI1541" s="1">
        <v>38353</v>
      </c>
      <c r="AJ1541" s="1">
        <v>45658</v>
      </c>
      <c r="AK1541" t="s">
        <v>51</v>
      </c>
      <c r="AN1541">
        <v>0</v>
      </c>
      <c r="AO1541" t="s">
        <v>54</v>
      </c>
      <c r="AP1541" t="s">
        <v>53</v>
      </c>
      <c r="AQ1541">
        <v>0</v>
      </c>
      <c r="AR1541" t="s">
        <v>145</v>
      </c>
      <c r="AS1541">
        <v>0</v>
      </c>
      <c r="AT1541">
        <v>0</v>
      </c>
      <c r="AW1541" t="s">
        <v>79</v>
      </c>
      <c r="AX1541">
        <v>20</v>
      </c>
      <c r="AY1541" s="1">
        <v>38353</v>
      </c>
      <c r="AZ1541" s="1">
        <v>38353</v>
      </c>
      <c r="BA1541" s="1">
        <v>38353</v>
      </c>
      <c r="BB1541" s="1">
        <v>45658</v>
      </c>
      <c r="BC1541" t="s">
        <v>51</v>
      </c>
      <c r="BE1541" t="s">
        <v>54</v>
      </c>
      <c r="BF1541">
        <v>5</v>
      </c>
      <c r="BG1541">
        <v>0</v>
      </c>
      <c r="BH1541" t="s">
        <v>53</v>
      </c>
      <c r="BK1541" t="s">
        <v>59</v>
      </c>
      <c r="BL1541">
        <v>14000</v>
      </c>
      <c r="BM1541" s="1">
        <v>42917</v>
      </c>
      <c r="BN1541" s="1">
        <v>42917</v>
      </c>
      <c r="BO1541" s="1">
        <v>42917</v>
      </c>
      <c r="BP1541" s="1">
        <v>44117</v>
      </c>
      <c r="BQ1541" t="s">
        <v>51</v>
      </c>
      <c r="BS1541" t="s">
        <v>60</v>
      </c>
      <c r="BT1541" t="s">
        <v>54</v>
      </c>
      <c r="BU1541" t="s">
        <v>61</v>
      </c>
      <c r="BV1541" t="s">
        <v>62</v>
      </c>
      <c r="BX1541">
        <v>24</v>
      </c>
      <c r="BY1541">
        <v>0</v>
      </c>
      <c r="BZ1541">
        <v>0</v>
      </c>
    </row>
    <row r="1542" spans="1:78" x14ac:dyDescent="0.2">
      <c r="A1542" t="s">
        <v>180</v>
      </c>
      <c r="B1542" t="s">
        <v>181</v>
      </c>
      <c r="C1542" t="s">
        <v>184</v>
      </c>
      <c r="D1542" t="s">
        <v>799</v>
      </c>
      <c r="F1542" t="str">
        <f>"252916"</f>
        <v>252916</v>
      </c>
      <c r="G1542" t="s">
        <v>49</v>
      </c>
      <c r="K1542" t="s">
        <v>51</v>
      </c>
      <c r="L1542" t="s">
        <v>52</v>
      </c>
      <c r="M1542">
        <v>136747.32999999999</v>
      </c>
      <c r="N1542">
        <v>471925.84</v>
      </c>
      <c r="O1542" t="s">
        <v>53</v>
      </c>
      <c r="P1542" t="s">
        <v>54</v>
      </c>
      <c r="Q1542" t="s">
        <v>55</v>
      </c>
      <c r="T1542" t="s">
        <v>431</v>
      </c>
      <c r="U1542">
        <v>40</v>
      </c>
      <c r="V1542" s="1">
        <v>38353</v>
      </c>
      <c r="W1542" s="1">
        <v>38353</v>
      </c>
      <c r="X1542" s="1">
        <v>38353</v>
      </c>
      <c r="Y1542" s="1">
        <v>52963</v>
      </c>
      <c r="Z1542" t="s">
        <v>51</v>
      </c>
      <c r="AB1542" t="s">
        <v>54</v>
      </c>
      <c r="AC1542">
        <v>1</v>
      </c>
      <c r="AE1542" t="s">
        <v>79</v>
      </c>
      <c r="AF1542">
        <v>20</v>
      </c>
      <c r="AG1542" s="1">
        <v>38353</v>
      </c>
      <c r="AH1542" s="1">
        <v>38353</v>
      </c>
      <c r="AI1542" s="1">
        <v>38353</v>
      </c>
      <c r="AJ1542" s="1">
        <v>45658</v>
      </c>
      <c r="AK1542" t="s">
        <v>51</v>
      </c>
      <c r="AN1542">
        <v>0</v>
      </c>
      <c r="AO1542" t="s">
        <v>54</v>
      </c>
      <c r="AP1542" t="s">
        <v>53</v>
      </c>
      <c r="AQ1542">
        <v>0</v>
      </c>
      <c r="AR1542" t="s">
        <v>145</v>
      </c>
      <c r="AS1542">
        <v>0</v>
      </c>
      <c r="AT1542">
        <v>0</v>
      </c>
      <c r="AW1542" t="s">
        <v>79</v>
      </c>
      <c r="AX1542">
        <v>20</v>
      </c>
      <c r="AY1542" s="1">
        <v>38353</v>
      </c>
      <c r="AZ1542" s="1">
        <v>38353</v>
      </c>
      <c r="BA1542" s="1">
        <v>38353</v>
      </c>
      <c r="BB1542" s="1">
        <v>45658</v>
      </c>
      <c r="BC1542" t="s">
        <v>51</v>
      </c>
      <c r="BE1542" t="s">
        <v>54</v>
      </c>
      <c r="BF1542">
        <v>5</v>
      </c>
      <c r="BG1542">
        <v>0</v>
      </c>
      <c r="BH1542" t="s">
        <v>53</v>
      </c>
      <c r="BK1542" t="s">
        <v>59</v>
      </c>
      <c r="BL1542">
        <v>14000</v>
      </c>
      <c r="BM1542" s="1">
        <v>42917</v>
      </c>
      <c r="BN1542" s="1">
        <v>42917</v>
      </c>
      <c r="BO1542" s="1">
        <v>42917</v>
      </c>
      <c r="BP1542" s="1">
        <v>44117</v>
      </c>
      <c r="BQ1542" t="s">
        <v>51</v>
      </c>
      <c r="BS1542" t="s">
        <v>60</v>
      </c>
      <c r="BT1542" t="s">
        <v>54</v>
      </c>
      <c r="BU1542" t="s">
        <v>61</v>
      </c>
      <c r="BV1542" t="s">
        <v>62</v>
      </c>
      <c r="BX1542">
        <v>24</v>
      </c>
      <c r="BY1542">
        <v>0</v>
      </c>
      <c r="BZ1542">
        <v>0</v>
      </c>
    </row>
    <row r="1543" spans="1:78" x14ac:dyDescent="0.2">
      <c r="A1543" t="s">
        <v>180</v>
      </c>
      <c r="B1543" t="s">
        <v>181</v>
      </c>
      <c r="C1543" t="s">
        <v>184</v>
      </c>
      <c r="D1543" t="s">
        <v>799</v>
      </c>
      <c r="F1543" t="str">
        <f>"252917"</f>
        <v>252917</v>
      </c>
      <c r="G1543" t="s">
        <v>49</v>
      </c>
      <c r="K1543" t="s">
        <v>51</v>
      </c>
      <c r="L1543" t="s">
        <v>52</v>
      </c>
      <c r="M1543">
        <v>136739.73000000001</v>
      </c>
      <c r="N1543">
        <v>471917.22</v>
      </c>
      <c r="O1543" t="s">
        <v>53</v>
      </c>
      <c r="P1543" t="s">
        <v>54</v>
      </c>
      <c r="Q1543" t="s">
        <v>55</v>
      </c>
      <c r="T1543" t="s">
        <v>431</v>
      </c>
      <c r="U1543">
        <v>40</v>
      </c>
      <c r="V1543" s="1">
        <v>38353</v>
      </c>
      <c r="W1543" s="1">
        <v>38353</v>
      </c>
      <c r="X1543" s="1">
        <v>38353</v>
      </c>
      <c r="Y1543" s="1">
        <v>52963</v>
      </c>
      <c r="Z1543" t="s">
        <v>51</v>
      </c>
      <c r="AB1543" t="s">
        <v>54</v>
      </c>
      <c r="AC1543">
        <v>1</v>
      </c>
      <c r="AE1543" t="s">
        <v>79</v>
      </c>
      <c r="AF1543">
        <v>20</v>
      </c>
      <c r="AG1543" s="1">
        <v>38353</v>
      </c>
      <c r="AH1543" s="1">
        <v>38353</v>
      </c>
      <c r="AI1543" s="1">
        <v>38353</v>
      </c>
      <c r="AJ1543" s="1">
        <v>45658</v>
      </c>
      <c r="AK1543" t="s">
        <v>51</v>
      </c>
      <c r="AN1543">
        <v>0</v>
      </c>
      <c r="AO1543" t="s">
        <v>54</v>
      </c>
      <c r="AP1543" t="s">
        <v>53</v>
      </c>
      <c r="AQ1543">
        <v>0</v>
      </c>
      <c r="AR1543" t="s">
        <v>145</v>
      </c>
      <c r="AS1543">
        <v>0</v>
      </c>
      <c r="AT1543">
        <v>0</v>
      </c>
      <c r="AW1543" t="s">
        <v>79</v>
      </c>
      <c r="AX1543">
        <v>20</v>
      </c>
      <c r="AY1543" s="1">
        <v>38353</v>
      </c>
      <c r="AZ1543" s="1">
        <v>38353</v>
      </c>
      <c r="BA1543" s="1">
        <v>38353</v>
      </c>
      <c r="BB1543" s="1">
        <v>45658</v>
      </c>
      <c r="BC1543" t="s">
        <v>51</v>
      </c>
      <c r="BE1543" t="s">
        <v>54</v>
      </c>
      <c r="BF1543">
        <v>5</v>
      </c>
      <c r="BG1543">
        <v>0</v>
      </c>
      <c r="BH1543" t="s">
        <v>53</v>
      </c>
      <c r="BK1543" t="s">
        <v>59</v>
      </c>
      <c r="BL1543">
        <v>14000</v>
      </c>
      <c r="BM1543" s="1">
        <v>42917</v>
      </c>
      <c r="BN1543" s="1">
        <v>42917</v>
      </c>
      <c r="BO1543" s="1">
        <v>42917</v>
      </c>
      <c r="BP1543" s="1">
        <v>44117</v>
      </c>
      <c r="BQ1543" t="s">
        <v>51</v>
      </c>
      <c r="BS1543" t="s">
        <v>60</v>
      </c>
      <c r="BT1543" t="s">
        <v>54</v>
      </c>
      <c r="BU1543" t="s">
        <v>61</v>
      </c>
      <c r="BV1543" t="s">
        <v>62</v>
      </c>
      <c r="BX1543">
        <v>24</v>
      </c>
      <c r="BY1543">
        <v>0</v>
      </c>
      <c r="BZ1543">
        <v>0</v>
      </c>
    </row>
    <row r="1544" spans="1:78" x14ac:dyDescent="0.2">
      <c r="A1544" t="s">
        <v>180</v>
      </c>
      <c r="B1544" t="s">
        <v>181</v>
      </c>
      <c r="C1544" t="s">
        <v>184</v>
      </c>
      <c r="D1544" t="s">
        <v>799</v>
      </c>
      <c r="F1544" t="str">
        <f>"252918"</f>
        <v>252918</v>
      </c>
      <c r="G1544" t="s">
        <v>49</v>
      </c>
      <c r="K1544" t="s">
        <v>51</v>
      </c>
      <c r="L1544" t="s">
        <v>52</v>
      </c>
      <c r="M1544">
        <v>136743.85999999999</v>
      </c>
      <c r="N1544">
        <v>471901.16</v>
      </c>
      <c r="O1544" t="s">
        <v>53</v>
      </c>
      <c r="P1544" t="s">
        <v>54</v>
      </c>
      <c r="Q1544" t="s">
        <v>55</v>
      </c>
      <c r="T1544" t="s">
        <v>431</v>
      </c>
      <c r="U1544">
        <v>40</v>
      </c>
      <c r="V1544" s="1">
        <v>38353</v>
      </c>
      <c r="W1544" s="1">
        <v>38353</v>
      </c>
      <c r="X1544" s="1">
        <v>38353</v>
      </c>
      <c r="Y1544" s="1">
        <v>52963</v>
      </c>
      <c r="Z1544" t="s">
        <v>51</v>
      </c>
      <c r="AB1544" t="s">
        <v>54</v>
      </c>
      <c r="AC1544">
        <v>1</v>
      </c>
      <c r="AE1544" t="s">
        <v>79</v>
      </c>
      <c r="AF1544">
        <v>20</v>
      </c>
      <c r="AG1544" s="1">
        <v>38353</v>
      </c>
      <c r="AH1544" s="1">
        <v>38353</v>
      </c>
      <c r="AI1544" s="1">
        <v>38353</v>
      </c>
      <c r="AJ1544" s="1">
        <v>45658</v>
      </c>
      <c r="AK1544" t="s">
        <v>51</v>
      </c>
      <c r="AN1544">
        <v>0</v>
      </c>
      <c r="AO1544" t="s">
        <v>54</v>
      </c>
      <c r="AP1544" t="s">
        <v>53</v>
      </c>
      <c r="AQ1544">
        <v>0</v>
      </c>
      <c r="AR1544" t="s">
        <v>145</v>
      </c>
      <c r="AS1544">
        <v>0</v>
      </c>
      <c r="AT1544">
        <v>0</v>
      </c>
      <c r="AW1544" t="s">
        <v>79</v>
      </c>
      <c r="AX1544">
        <v>20</v>
      </c>
      <c r="AY1544" s="1">
        <v>38353</v>
      </c>
      <c r="AZ1544" s="1">
        <v>38353</v>
      </c>
      <c r="BA1544" s="1">
        <v>38353</v>
      </c>
      <c r="BB1544" s="1">
        <v>45658</v>
      </c>
      <c r="BC1544" t="s">
        <v>51</v>
      </c>
      <c r="BE1544" t="s">
        <v>54</v>
      </c>
      <c r="BF1544">
        <v>5</v>
      </c>
      <c r="BG1544">
        <v>0</v>
      </c>
      <c r="BH1544" t="s">
        <v>53</v>
      </c>
      <c r="BK1544" t="s">
        <v>59</v>
      </c>
      <c r="BL1544">
        <v>14000</v>
      </c>
      <c r="BM1544" s="1">
        <v>42917</v>
      </c>
      <c r="BN1544" s="1">
        <v>42917</v>
      </c>
      <c r="BO1544" s="1">
        <v>42917</v>
      </c>
      <c r="BP1544" s="1">
        <v>44117</v>
      </c>
      <c r="BQ1544" t="s">
        <v>51</v>
      </c>
      <c r="BS1544" t="s">
        <v>60</v>
      </c>
      <c r="BT1544" t="s">
        <v>54</v>
      </c>
      <c r="BU1544" t="s">
        <v>61</v>
      </c>
      <c r="BV1544" t="s">
        <v>62</v>
      </c>
      <c r="BX1544">
        <v>24</v>
      </c>
      <c r="BY1544">
        <v>0</v>
      </c>
      <c r="BZ1544">
        <v>0</v>
      </c>
    </row>
    <row r="1545" spans="1:78" x14ac:dyDescent="0.2">
      <c r="A1545" t="s">
        <v>180</v>
      </c>
      <c r="B1545" t="s">
        <v>181</v>
      </c>
      <c r="C1545" t="s">
        <v>184</v>
      </c>
      <c r="D1545" t="s">
        <v>799</v>
      </c>
      <c r="F1545" t="str">
        <f>"252919"</f>
        <v>252919</v>
      </c>
      <c r="G1545" t="s">
        <v>49</v>
      </c>
      <c r="K1545" t="s">
        <v>51</v>
      </c>
      <c r="L1545" t="s">
        <v>52</v>
      </c>
      <c r="M1545">
        <v>136727.94</v>
      </c>
      <c r="N1545">
        <v>471887.66</v>
      </c>
      <c r="O1545" t="s">
        <v>53</v>
      </c>
      <c r="P1545" t="s">
        <v>54</v>
      </c>
      <c r="Q1545" t="s">
        <v>55</v>
      </c>
      <c r="T1545" t="s">
        <v>431</v>
      </c>
      <c r="U1545">
        <v>40</v>
      </c>
      <c r="V1545" s="1">
        <v>38353</v>
      </c>
      <c r="W1545" s="1">
        <v>38353</v>
      </c>
      <c r="X1545" s="1">
        <v>38353</v>
      </c>
      <c r="Y1545" s="1">
        <v>52963</v>
      </c>
      <c r="Z1545" t="s">
        <v>51</v>
      </c>
      <c r="AB1545" t="s">
        <v>54</v>
      </c>
      <c r="AC1545">
        <v>1</v>
      </c>
      <c r="AE1545" t="s">
        <v>79</v>
      </c>
      <c r="AF1545">
        <v>20</v>
      </c>
      <c r="AG1545" s="1">
        <v>38353</v>
      </c>
      <c r="AH1545" s="1">
        <v>38353</v>
      </c>
      <c r="AI1545" s="1">
        <v>38353</v>
      </c>
      <c r="AJ1545" s="1">
        <v>45658</v>
      </c>
      <c r="AK1545" t="s">
        <v>51</v>
      </c>
      <c r="AN1545">
        <v>0</v>
      </c>
      <c r="AO1545" t="s">
        <v>54</v>
      </c>
      <c r="AP1545" t="s">
        <v>53</v>
      </c>
      <c r="AQ1545">
        <v>0</v>
      </c>
      <c r="AR1545" t="s">
        <v>145</v>
      </c>
      <c r="AS1545">
        <v>0</v>
      </c>
      <c r="AT1545">
        <v>0</v>
      </c>
      <c r="AW1545" t="s">
        <v>79</v>
      </c>
      <c r="AX1545">
        <v>20</v>
      </c>
      <c r="AY1545" s="1">
        <v>38353</v>
      </c>
      <c r="AZ1545" s="1">
        <v>38353</v>
      </c>
      <c r="BA1545" s="1">
        <v>38353</v>
      </c>
      <c r="BB1545" s="1">
        <v>45658</v>
      </c>
      <c r="BC1545" t="s">
        <v>51</v>
      </c>
      <c r="BE1545" t="s">
        <v>54</v>
      </c>
      <c r="BF1545">
        <v>5</v>
      </c>
      <c r="BG1545">
        <v>0</v>
      </c>
      <c r="BH1545" t="s">
        <v>53</v>
      </c>
      <c r="BK1545" t="s">
        <v>59</v>
      </c>
      <c r="BL1545">
        <v>14000</v>
      </c>
      <c r="BM1545" s="1">
        <v>42917</v>
      </c>
      <c r="BN1545" s="1">
        <v>42917</v>
      </c>
      <c r="BO1545" s="1">
        <v>42917</v>
      </c>
      <c r="BP1545" s="1">
        <v>44117</v>
      </c>
      <c r="BQ1545" t="s">
        <v>51</v>
      </c>
      <c r="BS1545" t="s">
        <v>60</v>
      </c>
      <c r="BT1545" t="s">
        <v>54</v>
      </c>
      <c r="BU1545" t="s">
        <v>61</v>
      </c>
      <c r="BV1545" t="s">
        <v>62</v>
      </c>
      <c r="BX1545">
        <v>24</v>
      </c>
      <c r="BY1545">
        <v>0</v>
      </c>
      <c r="BZ1545">
        <v>0</v>
      </c>
    </row>
    <row r="1546" spans="1:78" x14ac:dyDescent="0.2">
      <c r="A1546" t="s">
        <v>180</v>
      </c>
      <c r="B1546" t="s">
        <v>181</v>
      </c>
      <c r="C1546" t="s">
        <v>184</v>
      </c>
      <c r="D1546" t="s">
        <v>799</v>
      </c>
      <c r="F1546" t="str">
        <f>"252920"</f>
        <v>252920</v>
      </c>
      <c r="G1546" t="s">
        <v>49</v>
      </c>
      <c r="K1546" t="s">
        <v>51</v>
      </c>
      <c r="L1546" t="s">
        <v>52</v>
      </c>
      <c r="M1546">
        <v>136727.84</v>
      </c>
      <c r="N1546">
        <v>471870.03</v>
      </c>
      <c r="O1546" t="s">
        <v>53</v>
      </c>
      <c r="P1546" t="s">
        <v>54</v>
      </c>
      <c r="Q1546" t="s">
        <v>55</v>
      </c>
      <c r="T1546" t="s">
        <v>431</v>
      </c>
      <c r="U1546">
        <v>40</v>
      </c>
      <c r="V1546" s="1">
        <v>38353</v>
      </c>
      <c r="W1546" s="1">
        <v>38353</v>
      </c>
      <c r="X1546" s="1">
        <v>38353</v>
      </c>
      <c r="Y1546" s="1">
        <v>52963</v>
      </c>
      <c r="Z1546" t="s">
        <v>51</v>
      </c>
      <c r="AB1546" t="s">
        <v>54</v>
      </c>
      <c r="AC1546">
        <v>1</v>
      </c>
      <c r="AE1546" t="s">
        <v>79</v>
      </c>
      <c r="AF1546">
        <v>20</v>
      </c>
      <c r="AG1546" s="1">
        <v>38353</v>
      </c>
      <c r="AH1546" s="1">
        <v>38353</v>
      </c>
      <c r="AI1546" s="1">
        <v>38353</v>
      </c>
      <c r="AJ1546" s="1">
        <v>45658</v>
      </c>
      <c r="AK1546" t="s">
        <v>51</v>
      </c>
      <c r="AN1546">
        <v>0</v>
      </c>
      <c r="AO1546" t="s">
        <v>54</v>
      </c>
      <c r="AP1546" t="s">
        <v>53</v>
      </c>
      <c r="AQ1546">
        <v>0</v>
      </c>
      <c r="AR1546" t="s">
        <v>145</v>
      </c>
      <c r="AS1546">
        <v>0</v>
      </c>
      <c r="AT1546">
        <v>0</v>
      </c>
      <c r="AW1546" t="s">
        <v>79</v>
      </c>
      <c r="AX1546">
        <v>20</v>
      </c>
      <c r="AY1546" s="1">
        <v>38353</v>
      </c>
      <c r="AZ1546" s="1">
        <v>38353</v>
      </c>
      <c r="BA1546" s="1">
        <v>38353</v>
      </c>
      <c r="BB1546" s="1">
        <v>45658</v>
      </c>
      <c r="BC1546" t="s">
        <v>51</v>
      </c>
      <c r="BE1546" t="s">
        <v>54</v>
      </c>
      <c r="BF1546">
        <v>5</v>
      </c>
      <c r="BG1546">
        <v>0</v>
      </c>
      <c r="BH1546" t="s">
        <v>53</v>
      </c>
      <c r="BK1546" t="s">
        <v>59</v>
      </c>
      <c r="BL1546">
        <v>14000</v>
      </c>
      <c r="BM1546" s="1">
        <v>42917</v>
      </c>
      <c r="BN1546" s="1">
        <v>42917</v>
      </c>
      <c r="BO1546" s="1">
        <v>42917</v>
      </c>
      <c r="BP1546" s="1">
        <v>44117</v>
      </c>
      <c r="BQ1546" t="s">
        <v>51</v>
      </c>
      <c r="BS1546" t="s">
        <v>60</v>
      </c>
      <c r="BT1546" t="s">
        <v>54</v>
      </c>
      <c r="BU1546" t="s">
        <v>61</v>
      </c>
      <c r="BV1546" t="s">
        <v>62</v>
      </c>
      <c r="BX1546">
        <v>24</v>
      </c>
      <c r="BY1546">
        <v>0</v>
      </c>
      <c r="BZ1546">
        <v>0</v>
      </c>
    </row>
    <row r="1547" spans="1:78" x14ac:dyDescent="0.2">
      <c r="A1547" t="s">
        <v>180</v>
      </c>
      <c r="B1547" t="s">
        <v>181</v>
      </c>
      <c r="C1547" t="s">
        <v>184</v>
      </c>
      <c r="D1547" t="s">
        <v>799</v>
      </c>
      <c r="F1547" t="str">
        <f>"252921"</f>
        <v>252921</v>
      </c>
      <c r="G1547" t="s">
        <v>49</v>
      </c>
      <c r="K1547" t="s">
        <v>51</v>
      </c>
      <c r="L1547" t="s">
        <v>52</v>
      </c>
      <c r="M1547">
        <v>136713.76999999999</v>
      </c>
      <c r="N1547">
        <v>471859.47</v>
      </c>
      <c r="O1547" t="s">
        <v>53</v>
      </c>
      <c r="P1547" t="s">
        <v>54</v>
      </c>
      <c r="Q1547" t="s">
        <v>55</v>
      </c>
      <c r="T1547" t="s">
        <v>431</v>
      </c>
      <c r="U1547">
        <v>40</v>
      </c>
      <c r="V1547" s="1">
        <v>38353</v>
      </c>
      <c r="W1547" s="1">
        <v>38353</v>
      </c>
      <c r="X1547" s="1">
        <v>38353</v>
      </c>
      <c r="Y1547" s="1">
        <v>52963</v>
      </c>
      <c r="Z1547" t="s">
        <v>51</v>
      </c>
      <c r="AB1547" t="s">
        <v>54</v>
      </c>
      <c r="AC1547">
        <v>1</v>
      </c>
      <c r="AE1547" t="s">
        <v>79</v>
      </c>
      <c r="AF1547">
        <v>20</v>
      </c>
      <c r="AG1547" s="1">
        <v>38353</v>
      </c>
      <c r="AH1547" s="1">
        <v>38353</v>
      </c>
      <c r="AI1547" s="1">
        <v>38353</v>
      </c>
      <c r="AJ1547" s="1">
        <v>45658</v>
      </c>
      <c r="AK1547" t="s">
        <v>51</v>
      </c>
      <c r="AN1547">
        <v>0</v>
      </c>
      <c r="AO1547" t="s">
        <v>54</v>
      </c>
      <c r="AP1547" t="s">
        <v>53</v>
      </c>
      <c r="AQ1547">
        <v>0</v>
      </c>
      <c r="AR1547" t="s">
        <v>145</v>
      </c>
      <c r="AS1547">
        <v>0</v>
      </c>
      <c r="AT1547">
        <v>0</v>
      </c>
      <c r="AW1547" t="s">
        <v>79</v>
      </c>
      <c r="AX1547">
        <v>20</v>
      </c>
      <c r="AY1547" s="1">
        <v>38353</v>
      </c>
      <c r="AZ1547" s="1">
        <v>38353</v>
      </c>
      <c r="BA1547" s="1">
        <v>38353</v>
      </c>
      <c r="BB1547" s="1">
        <v>45658</v>
      </c>
      <c r="BC1547" t="s">
        <v>51</v>
      </c>
      <c r="BE1547" t="s">
        <v>54</v>
      </c>
      <c r="BF1547">
        <v>5</v>
      </c>
      <c r="BG1547">
        <v>0</v>
      </c>
      <c r="BH1547" t="s">
        <v>53</v>
      </c>
      <c r="BK1547" t="s">
        <v>59</v>
      </c>
      <c r="BL1547">
        <v>14000</v>
      </c>
      <c r="BM1547" s="1">
        <v>42917</v>
      </c>
      <c r="BN1547" s="1">
        <v>42917</v>
      </c>
      <c r="BO1547" s="1">
        <v>42917</v>
      </c>
      <c r="BP1547" s="1">
        <v>44117</v>
      </c>
      <c r="BQ1547" t="s">
        <v>51</v>
      </c>
      <c r="BS1547" t="s">
        <v>60</v>
      </c>
      <c r="BT1547" t="s">
        <v>54</v>
      </c>
      <c r="BU1547" t="s">
        <v>61</v>
      </c>
      <c r="BV1547" t="s">
        <v>62</v>
      </c>
      <c r="BX1547">
        <v>24</v>
      </c>
      <c r="BY1547">
        <v>0</v>
      </c>
      <c r="BZ1547">
        <v>0</v>
      </c>
    </row>
    <row r="1548" spans="1:78" x14ac:dyDescent="0.2">
      <c r="A1548" t="s">
        <v>180</v>
      </c>
      <c r="B1548" t="s">
        <v>181</v>
      </c>
      <c r="C1548" t="s">
        <v>184</v>
      </c>
      <c r="D1548" t="s">
        <v>800</v>
      </c>
      <c r="F1548" t="str">
        <f>"252922"</f>
        <v>252922</v>
      </c>
      <c r="G1548" t="s">
        <v>49</v>
      </c>
      <c r="K1548" t="s">
        <v>51</v>
      </c>
      <c r="L1548" t="s">
        <v>52</v>
      </c>
      <c r="M1548">
        <v>136708.19</v>
      </c>
      <c r="N1548">
        <v>471838.41</v>
      </c>
      <c r="O1548" t="s">
        <v>53</v>
      </c>
      <c r="P1548" t="s">
        <v>54</v>
      </c>
      <c r="Q1548" t="s">
        <v>55</v>
      </c>
      <c r="T1548" t="s">
        <v>431</v>
      </c>
      <c r="U1548">
        <v>40</v>
      </c>
      <c r="V1548" s="1">
        <v>38353</v>
      </c>
      <c r="W1548" s="1">
        <v>38353</v>
      </c>
      <c r="X1548" s="1">
        <v>38353</v>
      </c>
      <c r="Y1548" s="1">
        <v>52963</v>
      </c>
      <c r="Z1548" t="s">
        <v>51</v>
      </c>
      <c r="AB1548" t="s">
        <v>54</v>
      </c>
      <c r="AC1548">
        <v>1</v>
      </c>
      <c r="AE1548" t="s">
        <v>79</v>
      </c>
      <c r="AF1548">
        <v>20</v>
      </c>
      <c r="AG1548" s="1">
        <v>38353</v>
      </c>
      <c r="AH1548" s="1">
        <v>38353</v>
      </c>
      <c r="AI1548" s="1">
        <v>38353</v>
      </c>
      <c r="AJ1548" s="1">
        <v>45658</v>
      </c>
      <c r="AK1548" t="s">
        <v>51</v>
      </c>
      <c r="AN1548">
        <v>0</v>
      </c>
      <c r="AO1548" t="s">
        <v>54</v>
      </c>
      <c r="AP1548" t="s">
        <v>53</v>
      </c>
      <c r="AQ1548">
        <v>0</v>
      </c>
      <c r="AR1548" t="s">
        <v>145</v>
      </c>
      <c r="AS1548">
        <v>0</v>
      </c>
      <c r="AT1548">
        <v>0</v>
      </c>
      <c r="AW1548" t="s">
        <v>79</v>
      </c>
      <c r="AX1548">
        <v>20</v>
      </c>
      <c r="AY1548" s="1">
        <v>38353</v>
      </c>
      <c r="AZ1548" s="1">
        <v>38353</v>
      </c>
      <c r="BA1548" s="1">
        <v>38353</v>
      </c>
      <c r="BB1548" s="1">
        <v>45658</v>
      </c>
      <c r="BC1548" t="s">
        <v>51</v>
      </c>
      <c r="BE1548" t="s">
        <v>54</v>
      </c>
      <c r="BF1548">
        <v>5</v>
      </c>
      <c r="BG1548">
        <v>0</v>
      </c>
      <c r="BH1548" t="s">
        <v>53</v>
      </c>
      <c r="BK1548" t="s">
        <v>59</v>
      </c>
      <c r="BL1548">
        <v>14000</v>
      </c>
      <c r="BM1548" s="1">
        <v>42917</v>
      </c>
      <c r="BN1548" s="1">
        <v>42917</v>
      </c>
      <c r="BO1548" s="1">
        <v>42917</v>
      </c>
      <c r="BP1548" s="1">
        <v>44117</v>
      </c>
      <c r="BQ1548" t="s">
        <v>51</v>
      </c>
      <c r="BS1548" t="s">
        <v>60</v>
      </c>
      <c r="BT1548" t="s">
        <v>54</v>
      </c>
      <c r="BU1548" t="s">
        <v>61</v>
      </c>
      <c r="BV1548" t="s">
        <v>62</v>
      </c>
      <c r="BX1548">
        <v>24</v>
      </c>
      <c r="BY1548">
        <v>0</v>
      </c>
      <c r="BZ1548">
        <v>0</v>
      </c>
    </row>
    <row r="1549" spans="1:78" x14ac:dyDescent="0.2">
      <c r="A1549" t="s">
        <v>180</v>
      </c>
      <c r="B1549" t="s">
        <v>181</v>
      </c>
      <c r="C1549" t="s">
        <v>184</v>
      </c>
      <c r="D1549" t="s">
        <v>800</v>
      </c>
      <c r="F1549" t="str">
        <f>"252923"</f>
        <v>252923</v>
      </c>
      <c r="G1549" t="s">
        <v>49</v>
      </c>
      <c r="K1549" t="s">
        <v>51</v>
      </c>
      <c r="L1549" t="s">
        <v>52</v>
      </c>
      <c r="M1549">
        <v>136700.60999999999</v>
      </c>
      <c r="N1549">
        <v>471854.47</v>
      </c>
      <c r="O1549" t="s">
        <v>53</v>
      </c>
      <c r="P1549" t="s">
        <v>54</v>
      </c>
      <c r="Q1549" t="s">
        <v>55</v>
      </c>
      <c r="T1549" t="s">
        <v>431</v>
      </c>
      <c r="U1549">
        <v>40</v>
      </c>
      <c r="V1549" s="1">
        <v>38353</v>
      </c>
      <c r="W1549" s="1">
        <v>38353</v>
      </c>
      <c r="X1549" s="1">
        <v>38353</v>
      </c>
      <c r="Y1549" s="1">
        <v>52963</v>
      </c>
      <c r="Z1549" t="s">
        <v>51</v>
      </c>
      <c r="AB1549" t="s">
        <v>54</v>
      </c>
      <c r="AC1549">
        <v>1</v>
      </c>
      <c r="AE1549" t="s">
        <v>79</v>
      </c>
      <c r="AF1549">
        <v>20</v>
      </c>
      <c r="AG1549" s="1">
        <v>38353</v>
      </c>
      <c r="AH1549" s="1">
        <v>38353</v>
      </c>
      <c r="AI1549" s="1">
        <v>38353</v>
      </c>
      <c r="AJ1549" s="1">
        <v>45658</v>
      </c>
      <c r="AK1549" t="s">
        <v>51</v>
      </c>
      <c r="AN1549">
        <v>0</v>
      </c>
      <c r="AO1549" t="s">
        <v>54</v>
      </c>
      <c r="AP1549" t="s">
        <v>53</v>
      </c>
      <c r="AQ1549">
        <v>0</v>
      </c>
      <c r="AR1549" t="s">
        <v>145</v>
      </c>
      <c r="AS1549">
        <v>0</v>
      </c>
      <c r="AT1549">
        <v>0</v>
      </c>
      <c r="AW1549" t="s">
        <v>79</v>
      </c>
      <c r="AX1549">
        <v>20</v>
      </c>
      <c r="AY1549" s="1">
        <v>38353</v>
      </c>
      <c r="AZ1549" s="1">
        <v>38353</v>
      </c>
      <c r="BA1549" s="1">
        <v>38353</v>
      </c>
      <c r="BB1549" s="1">
        <v>45658</v>
      </c>
      <c r="BC1549" t="s">
        <v>51</v>
      </c>
      <c r="BE1549" t="s">
        <v>54</v>
      </c>
      <c r="BF1549">
        <v>5</v>
      </c>
      <c r="BG1549">
        <v>0</v>
      </c>
      <c r="BH1549" t="s">
        <v>53</v>
      </c>
      <c r="BK1549" t="s">
        <v>59</v>
      </c>
      <c r="BL1549">
        <v>14000</v>
      </c>
      <c r="BM1549" s="1">
        <v>42917</v>
      </c>
      <c r="BN1549" s="1">
        <v>42917</v>
      </c>
      <c r="BO1549" s="1">
        <v>42917</v>
      </c>
      <c r="BP1549" s="1">
        <v>44117</v>
      </c>
      <c r="BQ1549" t="s">
        <v>51</v>
      </c>
      <c r="BS1549" t="s">
        <v>60</v>
      </c>
      <c r="BT1549" t="s">
        <v>54</v>
      </c>
      <c r="BU1549" t="s">
        <v>61</v>
      </c>
      <c r="BV1549" t="s">
        <v>62</v>
      </c>
      <c r="BX1549">
        <v>24</v>
      </c>
      <c r="BY1549">
        <v>0</v>
      </c>
      <c r="BZ1549">
        <v>0</v>
      </c>
    </row>
    <row r="1550" spans="1:78" x14ac:dyDescent="0.2">
      <c r="A1550" t="s">
        <v>180</v>
      </c>
      <c r="B1550" t="s">
        <v>181</v>
      </c>
      <c r="C1550" t="s">
        <v>184</v>
      </c>
      <c r="D1550" t="s">
        <v>800</v>
      </c>
      <c r="F1550" t="str">
        <f>"252924"</f>
        <v>252924</v>
      </c>
      <c r="G1550" t="s">
        <v>49</v>
      </c>
      <c r="K1550" t="s">
        <v>51</v>
      </c>
      <c r="L1550" t="s">
        <v>52</v>
      </c>
      <c r="M1550">
        <v>136682</v>
      </c>
      <c r="N1550">
        <v>471850.94</v>
      </c>
      <c r="O1550" t="s">
        <v>53</v>
      </c>
      <c r="P1550" t="s">
        <v>54</v>
      </c>
      <c r="Q1550" t="s">
        <v>55</v>
      </c>
      <c r="T1550" t="s">
        <v>431</v>
      </c>
      <c r="U1550">
        <v>40</v>
      </c>
      <c r="V1550" s="1">
        <v>38353</v>
      </c>
      <c r="W1550" s="1">
        <v>38353</v>
      </c>
      <c r="X1550" s="1">
        <v>38353</v>
      </c>
      <c r="Y1550" s="1">
        <v>52963</v>
      </c>
      <c r="Z1550" t="s">
        <v>51</v>
      </c>
      <c r="AB1550" t="s">
        <v>54</v>
      </c>
      <c r="AC1550">
        <v>1</v>
      </c>
      <c r="AE1550" t="s">
        <v>79</v>
      </c>
      <c r="AF1550">
        <v>20</v>
      </c>
      <c r="AG1550" s="1">
        <v>38353</v>
      </c>
      <c r="AH1550" s="1">
        <v>38353</v>
      </c>
      <c r="AI1550" s="1">
        <v>38353</v>
      </c>
      <c r="AJ1550" s="1">
        <v>45658</v>
      </c>
      <c r="AK1550" t="s">
        <v>51</v>
      </c>
      <c r="AN1550">
        <v>0</v>
      </c>
      <c r="AO1550" t="s">
        <v>54</v>
      </c>
      <c r="AP1550" t="s">
        <v>53</v>
      </c>
      <c r="AQ1550">
        <v>0</v>
      </c>
      <c r="AR1550" t="s">
        <v>145</v>
      </c>
      <c r="AS1550">
        <v>0</v>
      </c>
      <c r="AT1550">
        <v>0</v>
      </c>
      <c r="AW1550" t="s">
        <v>79</v>
      </c>
      <c r="AX1550">
        <v>20</v>
      </c>
      <c r="AY1550" s="1">
        <v>38353</v>
      </c>
      <c r="AZ1550" s="1">
        <v>38353</v>
      </c>
      <c r="BA1550" s="1">
        <v>38353</v>
      </c>
      <c r="BB1550" s="1">
        <v>45658</v>
      </c>
      <c r="BC1550" t="s">
        <v>51</v>
      </c>
      <c r="BE1550" t="s">
        <v>54</v>
      </c>
      <c r="BF1550">
        <v>5</v>
      </c>
      <c r="BG1550">
        <v>0</v>
      </c>
      <c r="BH1550" t="s">
        <v>53</v>
      </c>
      <c r="BK1550" t="s">
        <v>59</v>
      </c>
      <c r="BL1550">
        <v>14000</v>
      </c>
      <c r="BM1550" s="1">
        <v>42917</v>
      </c>
      <c r="BN1550" s="1">
        <v>42917</v>
      </c>
      <c r="BO1550" s="1">
        <v>42917</v>
      </c>
      <c r="BP1550" s="1">
        <v>44117</v>
      </c>
      <c r="BQ1550" t="s">
        <v>51</v>
      </c>
      <c r="BS1550" t="s">
        <v>60</v>
      </c>
      <c r="BT1550" t="s">
        <v>54</v>
      </c>
      <c r="BU1550" t="s">
        <v>61</v>
      </c>
      <c r="BV1550" t="s">
        <v>62</v>
      </c>
      <c r="BX1550">
        <v>24</v>
      </c>
      <c r="BY1550">
        <v>0</v>
      </c>
      <c r="BZ1550">
        <v>0</v>
      </c>
    </row>
    <row r="1551" spans="1:78" x14ac:dyDescent="0.2">
      <c r="A1551" t="s">
        <v>180</v>
      </c>
      <c r="B1551" t="s">
        <v>181</v>
      </c>
      <c r="C1551" t="s">
        <v>184</v>
      </c>
      <c r="D1551" t="s">
        <v>800</v>
      </c>
      <c r="F1551" t="str">
        <f>"252925"</f>
        <v>252925</v>
      </c>
      <c r="G1551" t="s">
        <v>49</v>
      </c>
      <c r="K1551" t="s">
        <v>51</v>
      </c>
      <c r="L1551" t="s">
        <v>52</v>
      </c>
      <c r="M1551">
        <v>136672.29999999999</v>
      </c>
      <c r="N1551">
        <v>471869.41</v>
      </c>
      <c r="O1551" t="s">
        <v>53</v>
      </c>
      <c r="P1551" t="s">
        <v>54</v>
      </c>
      <c r="Q1551" t="s">
        <v>55</v>
      </c>
      <c r="T1551" t="s">
        <v>431</v>
      </c>
      <c r="U1551">
        <v>40</v>
      </c>
      <c r="V1551" s="1">
        <v>38353</v>
      </c>
      <c r="W1551" s="1">
        <v>38353</v>
      </c>
      <c r="X1551" s="1">
        <v>38353</v>
      </c>
      <c r="Y1551" s="1">
        <v>52963</v>
      </c>
      <c r="Z1551" t="s">
        <v>51</v>
      </c>
      <c r="AB1551" t="s">
        <v>54</v>
      </c>
      <c r="AC1551">
        <v>1</v>
      </c>
      <c r="AE1551" t="s">
        <v>79</v>
      </c>
      <c r="AF1551">
        <v>20</v>
      </c>
      <c r="AG1551" s="1">
        <v>38353</v>
      </c>
      <c r="AH1551" s="1">
        <v>38353</v>
      </c>
      <c r="AI1551" s="1">
        <v>38353</v>
      </c>
      <c r="AJ1551" s="1">
        <v>45658</v>
      </c>
      <c r="AK1551" t="s">
        <v>51</v>
      </c>
      <c r="AN1551">
        <v>0</v>
      </c>
      <c r="AO1551" t="s">
        <v>54</v>
      </c>
      <c r="AP1551" t="s">
        <v>53</v>
      </c>
      <c r="AQ1551">
        <v>0</v>
      </c>
      <c r="AR1551" t="s">
        <v>145</v>
      </c>
      <c r="AS1551">
        <v>0</v>
      </c>
      <c r="AT1551">
        <v>0</v>
      </c>
      <c r="AW1551" t="s">
        <v>79</v>
      </c>
      <c r="AX1551">
        <v>20</v>
      </c>
      <c r="AY1551" s="1">
        <v>38353</v>
      </c>
      <c r="AZ1551" s="1">
        <v>38353</v>
      </c>
      <c r="BA1551" s="1">
        <v>38353</v>
      </c>
      <c r="BB1551" s="1">
        <v>45658</v>
      </c>
      <c r="BC1551" t="s">
        <v>51</v>
      </c>
      <c r="BE1551" t="s">
        <v>54</v>
      </c>
      <c r="BF1551">
        <v>5</v>
      </c>
      <c r="BG1551">
        <v>0</v>
      </c>
      <c r="BH1551" t="s">
        <v>53</v>
      </c>
      <c r="BK1551" t="s">
        <v>59</v>
      </c>
      <c r="BL1551">
        <v>14000</v>
      </c>
      <c r="BM1551" s="1">
        <v>42917</v>
      </c>
      <c r="BN1551" s="1">
        <v>42917</v>
      </c>
      <c r="BO1551" s="1">
        <v>42917</v>
      </c>
      <c r="BP1551" s="1">
        <v>44117</v>
      </c>
      <c r="BQ1551" t="s">
        <v>51</v>
      </c>
      <c r="BS1551" t="s">
        <v>60</v>
      </c>
      <c r="BT1551" t="s">
        <v>54</v>
      </c>
      <c r="BU1551" t="s">
        <v>61</v>
      </c>
      <c r="BV1551" t="s">
        <v>62</v>
      </c>
      <c r="BX1551">
        <v>24</v>
      </c>
      <c r="BY1551">
        <v>0</v>
      </c>
      <c r="BZ1551">
        <v>0</v>
      </c>
    </row>
    <row r="1552" spans="1:78" x14ac:dyDescent="0.2">
      <c r="A1552" t="s">
        <v>180</v>
      </c>
      <c r="B1552" t="s">
        <v>181</v>
      </c>
      <c r="C1552" t="s">
        <v>184</v>
      </c>
      <c r="D1552" t="s">
        <v>800</v>
      </c>
      <c r="F1552" t="str">
        <f>"252926"</f>
        <v>252926</v>
      </c>
      <c r="G1552" t="s">
        <v>49</v>
      </c>
      <c r="K1552" t="s">
        <v>51</v>
      </c>
      <c r="L1552" t="s">
        <v>52</v>
      </c>
      <c r="M1552">
        <v>136663.82999999999</v>
      </c>
      <c r="N1552">
        <v>471860.63</v>
      </c>
      <c r="O1552" t="s">
        <v>53</v>
      </c>
      <c r="P1552" t="s">
        <v>54</v>
      </c>
      <c r="Q1552" t="s">
        <v>55</v>
      </c>
      <c r="T1552" t="s">
        <v>431</v>
      </c>
      <c r="U1552">
        <v>40</v>
      </c>
      <c r="V1552" s="1">
        <v>38353</v>
      </c>
      <c r="W1552" s="1">
        <v>38353</v>
      </c>
      <c r="X1552" s="1">
        <v>38353</v>
      </c>
      <c r="Y1552" s="1">
        <v>52963</v>
      </c>
      <c r="Z1552" t="s">
        <v>51</v>
      </c>
      <c r="AB1552" t="s">
        <v>54</v>
      </c>
      <c r="AC1552">
        <v>1</v>
      </c>
      <c r="AE1552" t="s">
        <v>79</v>
      </c>
      <c r="AF1552">
        <v>20</v>
      </c>
      <c r="AG1552" s="1">
        <v>38353</v>
      </c>
      <c r="AH1552" s="1">
        <v>38353</v>
      </c>
      <c r="AI1552" s="1">
        <v>38353</v>
      </c>
      <c r="AJ1552" s="1">
        <v>45658</v>
      </c>
      <c r="AK1552" t="s">
        <v>51</v>
      </c>
      <c r="AN1552">
        <v>0</v>
      </c>
      <c r="AO1552" t="s">
        <v>54</v>
      </c>
      <c r="AP1552" t="s">
        <v>53</v>
      </c>
      <c r="AQ1552">
        <v>0</v>
      </c>
      <c r="AR1552" t="s">
        <v>145</v>
      </c>
      <c r="AS1552">
        <v>0</v>
      </c>
      <c r="AT1552">
        <v>0</v>
      </c>
      <c r="AW1552" t="s">
        <v>79</v>
      </c>
      <c r="AX1552">
        <v>20</v>
      </c>
      <c r="AY1552" s="1">
        <v>38353</v>
      </c>
      <c r="AZ1552" s="1">
        <v>38353</v>
      </c>
      <c r="BA1552" s="1">
        <v>38353</v>
      </c>
      <c r="BB1552" s="1">
        <v>45658</v>
      </c>
      <c r="BC1552" t="s">
        <v>51</v>
      </c>
      <c r="BE1552" t="s">
        <v>54</v>
      </c>
      <c r="BF1552">
        <v>5</v>
      </c>
      <c r="BG1552">
        <v>0</v>
      </c>
      <c r="BH1552" t="s">
        <v>53</v>
      </c>
      <c r="BK1552" t="s">
        <v>59</v>
      </c>
      <c r="BL1552">
        <v>14000</v>
      </c>
      <c r="BM1552" s="1">
        <v>42917</v>
      </c>
      <c r="BN1552" s="1">
        <v>42917</v>
      </c>
      <c r="BO1552" s="1">
        <v>42917</v>
      </c>
      <c r="BP1552" s="1">
        <v>44117</v>
      </c>
      <c r="BQ1552" t="s">
        <v>51</v>
      </c>
      <c r="BS1552" t="s">
        <v>60</v>
      </c>
      <c r="BT1552" t="s">
        <v>54</v>
      </c>
      <c r="BU1552" t="s">
        <v>61</v>
      </c>
      <c r="BV1552" t="s">
        <v>62</v>
      </c>
      <c r="BX1552">
        <v>24</v>
      </c>
      <c r="BY1552">
        <v>0</v>
      </c>
      <c r="BZ1552">
        <v>0</v>
      </c>
    </row>
    <row r="1553" spans="1:78" x14ac:dyDescent="0.2">
      <c r="A1553" t="s">
        <v>180</v>
      </c>
      <c r="B1553" t="s">
        <v>181</v>
      </c>
      <c r="C1553" t="s">
        <v>184</v>
      </c>
      <c r="D1553" t="s">
        <v>800</v>
      </c>
      <c r="F1553" t="str">
        <f>"252927"</f>
        <v>252927</v>
      </c>
      <c r="G1553" t="s">
        <v>49</v>
      </c>
      <c r="K1553" t="s">
        <v>51</v>
      </c>
      <c r="L1553" t="s">
        <v>52</v>
      </c>
      <c r="M1553">
        <v>136652.51999999999</v>
      </c>
      <c r="N1553">
        <v>471874.09</v>
      </c>
      <c r="O1553" t="s">
        <v>53</v>
      </c>
      <c r="P1553" t="s">
        <v>54</v>
      </c>
      <c r="Q1553" t="s">
        <v>55</v>
      </c>
      <c r="T1553" t="s">
        <v>431</v>
      </c>
      <c r="U1553">
        <v>40</v>
      </c>
      <c r="V1553" s="1">
        <v>38353</v>
      </c>
      <c r="W1553" s="1">
        <v>38353</v>
      </c>
      <c r="X1553" s="1">
        <v>38353</v>
      </c>
      <c r="Y1553" s="1">
        <v>52963</v>
      </c>
      <c r="Z1553" t="s">
        <v>51</v>
      </c>
      <c r="AB1553" t="s">
        <v>54</v>
      </c>
      <c r="AC1553">
        <v>1</v>
      </c>
      <c r="AE1553" t="s">
        <v>79</v>
      </c>
      <c r="AF1553">
        <v>20</v>
      </c>
      <c r="AG1553" s="1">
        <v>38353</v>
      </c>
      <c r="AH1553" s="1">
        <v>38353</v>
      </c>
      <c r="AI1553" s="1">
        <v>38353</v>
      </c>
      <c r="AJ1553" s="1">
        <v>45658</v>
      </c>
      <c r="AK1553" t="s">
        <v>51</v>
      </c>
      <c r="AN1553">
        <v>0</v>
      </c>
      <c r="AO1553" t="s">
        <v>54</v>
      </c>
      <c r="AP1553" t="s">
        <v>53</v>
      </c>
      <c r="AQ1553">
        <v>0</v>
      </c>
      <c r="AR1553" t="s">
        <v>145</v>
      </c>
      <c r="AS1553">
        <v>0</v>
      </c>
      <c r="AT1553">
        <v>0</v>
      </c>
      <c r="AW1553" t="s">
        <v>79</v>
      </c>
      <c r="AX1553">
        <v>20</v>
      </c>
      <c r="AY1553" s="1">
        <v>38353</v>
      </c>
      <c r="AZ1553" s="1">
        <v>38353</v>
      </c>
      <c r="BA1553" s="1">
        <v>38353</v>
      </c>
      <c r="BB1553" s="1">
        <v>45658</v>
      </c>
      <c r="BC1553" t="s">
        <v>51</v>
      </c>
      <c r="BE1553" t="s">
        <v>54</v>
      </c>
      <c r="BF1553">
        <v>5</v>
      </c>
      <c r="BG1553">
        <v>0</v>
      </c>
      <c r="BH1553" t="s">
        <v>53</v>
      </c>
      <c r="BK1553" t="s">
        <v>59</v>
      </c>
      <c r="BL1553">
        <v>14000</v>
      </c>
      <c r="BM1553" s="1">
        <v>42917</v>
      </c>
      <c r="BN1553" s="1">
        <v>42917</v>
      </c>
      <c r="BO1553" s="1">
        <v>42917</v>
      </c>
      <c r="BP1553" s="1">
        <v>44117</v>
      </c>
      <c r="BQ1553" t="s">
        <v>51</v>
      </c>
      <c r="BS1553" t="s">
        <v>60</v>
      </c>
      <c r="BT1553" t="s">
        <v>54</v>
      </c>
      <c r="BU1553" t="s">
        <v>61</v>
      </c>
      <c r="BV1553" t="s">
        <v>62</v>
      </c>
      <c r="BX1553">
        <v>24</v>
      </c>
      <c r="BY1553">
        <v>0</v>
      </c>
      <c r="BZ1553">
        <v>0</v>
      </c>
    </row>
    <row r="1554" spans="1:78" x14ac:dyDescent="0.2">
      <c r="A1554" t="s">
        <v>180</v>
      </c>
      <c r="B1554" t="s">
        <v>181</v>
      </c>
      <c r="C1554" t="s">
        <v>184</v>
      </c>
      <c r="D1554" t="s">
        <v>800</v>
      </c>
      <c r="F1554" t="str">
        <f>"252928"</f>
        <v>252928</v>
      </c>
      <c r="G1554" t="s">
        <v>49</v>
      </c>
      <c r="K1554" t="s">
        <v>51</v>
      </c>
      <c r="L1554" t="s">
        <v>52</v>
      </c>
      <c r="M1554">
        <v>136635.91</v>
      </c>
      <c r="N1554">
        <v>471874.78</v>
      </c>
      <c r="O1554" t="s">
        <v>53</v>
      </c>
      <c r="P1554" t="s">
        <v>54</v>
      </c>
      <c r="Q1554" t="s">
        <v>55</v>
      </c>
      <c r="T1554" t="s">
        <v>431</v>
      </c>
      <c r="U1554">
        <v>40</v>
      </c>
      <c r="V1554" s="1">
        <v>38353</v>
      </c>
      <c r="W1554" s="1">
        <v>38353</v>
      </c>
      <c r="X1554" s="1">
        <v>38353</v>
      </c>
      <c r="Y1554" s="1">
        <v>52963</v>
      </c>
      <c r="Z1554" t="s">
        <v>51</v>
      </c>
      <c r="AB1554" t="s">
        <v>54</v>
      </c>
      <c r="AC1554">
        <v>1</v>
      </c>
      <c r="AE1554" t="s">
        <v>79</v>
      </c>
      <c r="AF1554">
        <v>20</v>
      </c>
      <c r="AG1554" s="1">
        <v>38353</v>
      </c>
      <c r="AH1554" s="1">
        <v>38353</v>
      </c>
      <c r="AI1554" s="1">
        <v>38353</v>
      </c>
      <c r="AJ1554" s="1">
        <v>45658</v>
      </c>
      <c r="AK1554" t="s">
        <v>51</v>
      </c>
      <c r="AN1554">
        <v>0</v>
      </c>
      <c r="AO1554" t="s">
        <v>54</v>
      </c>
      <c r="AP1554" t="s">
        <v>53</v>
      </c>
      <c r="AQ1554">
        <v>0</v>
      </c>
      <c r="AR1554" t="s">
        <v>145</v>
      </c>
      <c r="AS1554">
        <v>0</v>
      </c>
      <c r="AT1554">
        <v>0</v>
      </c>
      <c r="AW1554" t="s">
        <v>79</v>
      </c>
      <c r="AX1554">
        <v>20</v>
      </c>
      <c r="AY1554" s="1">
        <v>38353</v>
      </c>
      <c r="AZ1554" s="1">
        <v>38353</v>
      </c>
      <c r="BA1554" s="1">
        <v>38353</v>
      </c>
      <c r="BB1554" s="1">
        <v>45658</v>
      </c>
      <c r="BC1554" t="s">
        <v>51</v>
      </c>
      <c r="BE1554" t="s">
        <v>54</v>
      </c>
      <c r="BF1554">
        <v>5</v>
      </c>
      <c r="BG1554">
        <v>0</v>
      </c>
      <c r="BH1554" t="s">
        <v>53</v>
      </c>
      <c r="BK1554" t="s">
        <v>59</v>
      </c>
      <c r="BL1554">
        <v>14000</v>
      </c>
      <c r="BM1554" s="1">
        <v>42917</v>
      </c>
      <c r="BN1554" s="1">
        <v>42917</v>
      </c>
      <c r="BO1554" s="1">
        <v>42917</v>
      </c>
      <c r="BP1554" s="1">
        <v>44117</v>
      </c>
      <c r="BQ1554" t="s">
        <v>51</v>
      </c>
      <c r="BS1554" t="s">
        <v>60</v>
      </c>
      <c r="BT1554" t="s">
        <v>54</v>
      </c>
      <c r="BU1554" t="s">
        <v>61</v>
      </c>
      <c r="BV1554" t="s">
        <v>62</v>
      </c>
      <c r="BX1554">
        <v>24</v>
      </c>
      <c r="BY1554">
        <v>0</v>
      </c>
      <c r="BZ1554">
        <v>0</v>
      </c>
    </row>
    <row r="1555" spans="1:78" x14ac:dyDescent="0.2">
      <c r="A1555" t="s">
        <v>180</v>
      </c>
      <c r="B1555" t="s">
        <v>181</v>
      </c>
      <c r="C1555" t="s">
        <v>184</v>
      </c>
      <c r="D1555" t="s">
        <v>800</v>
      </c>
      <c r="F1555" t="str">
        <f>"252929"</f>
        <v>252929</v>
      </c>
      <c r="G1555" t="s">
        <v>49</v>
      </c>
      <c r="K1555" t="s">
        <v>51</v>
      </c>
      <c r="L1555" t="s">
        <v>52</v>
      </c>
      <c r="M1555">
        <v>136632.88</v>
      </c>
      <c r="N1555">
        <v>471889.38</v>
      </c>
      <c r="O1555" t="s">
        <v>53</v>
      </c>
      <c r="P1555" t="s">
        <v>54</v>
      </c>
      <c r="Q1555" t="s">
        <v>55</v>
      </c>
      <c r="T1555" t="s">
        <v>431</v>
      </c>
      <c r="U1555">
        <v>40</v>
      </c>
      <c r="V1555" s="1">
        <v>38353</v>
      </c>
      <c r="W1555" s="1">
        <v>38353</v>
      </c>
      <c r="X1555" s="1">
        <v>38353</v>
      </c>
      <c r="Y1555" s="1">
        <v>52963</v>
      </c>
      <c r="Z1555" t="s">
        <v>51</v>
      </c>
      <c r="AB1555" t="s">
        <v>54</v>
      </c>
      <c r="AC1555">
        <v>1</v>
      </c>
      <c r="AE1555" t="s">
        <v>79</v>
      </c>
      <c r="AF1555">
        <v>20</v>
      </c>
      <c r="AG1555" s="1">
        <v>38353</v>
      </c>
      <c r="AH1555" s="1">
        <v>38353</v>
      </c>
      <c r="AI1555" s="1">
        <v>38353</v>
      </c>
      <c r="AJ1555" s="1">
        <v>45658</v>
      </c>
      <c r="AK1555" t="s">
        <v>51</v>
      </c>
      <c r="AN1555">
        <v>0</v>
      </c>
      <c r="AO1555" t="s">
        <v>54</v>
      </c>
      <c r="AP1555" t="s">
        <v>53</v>
      </c>
      <c r="AQ1555">
        <v>0</v>
      </c>
      <c r="AR1555" t="s">
        <v>145</v>
      </c>
      <c r="AS1555">
        <v>0</v>
      </c>
      <c r="AT1555">
        <v>0</v>
      </c>
      <c r="AW1555" t="s">
        <v>79</v>
      </c>
      <c r="AX1555">
        <v>20</v>
      </c>
      <c r="AY1555" s="1">
        <v>38353</v>
      </c>
      <c r="AZ1555" s="1">
        <v>38353</v>
      </c>
      <c r="BA1555" s="1">
        <v>38353</v>
      </c>
      <c r="BB1555" s="1">
        <v>45658</v>
      </c>
      <c r="BC1555" t="s">
        <v>51</v>
      </c>
      <c r="BE1555" t="s">
        <v>54</v>
      </c>
      <c r="BF1555">
        <v>5</v>
      </c>
      <c r="BG1555">
        <v>0</v>
      </c>
      <c r="BH1555" t="s">
        <v>53</v>
      </c>
      <c r="BK1555" t="s">
        <v>59</v>
      </c>
      <c r="BL1555">
        <v>14000</v>
      </c>
      <c r="BM1555" s="1">
        <v>42917</v>
      </c>
      <c r="BN1555" s="1">
        <v>42917</v>
      </c>
      <c r="BO1555" s="1">
        <v>42917</v>
      </c>
      <c r="BP1555" s="1">
        <v>44117</v>
      </c>
      <c r="BQ1555" t="s">
        <v>51</v>
      </c>
      <c r="BS1555" t="s">
        <v>60</v>
      </c>
      <c r="BT1555" t="s">
        <v>54</v>
      </c>
      <c r="BU1555" t="s">
        <v>61</v>
      </c>
      <c r="BV1555" t="s">
        <v>62</v>
      </c>
      <c r="BX1555">
        <v>24</v>
      </c>
      <c r="BY1555">
        <v>0</v>
      </c>
      <c r="BZ1555">
        <v>0</v>
      </c>
    </row>
    <row r="1556" spans="1:78" x14ac:dyDescent="0.2">
      <c r="A1556" t="s">
        <v>180</v>
      </c>
      <c r="B1556" t="s">
        <v>181</v>
      </c>
      <c r="C1556" t="s">
        <v>184</v>
      </c>
      <c r="D1556" t="s">
        <v>800</v>
      </c>
      <c r="F1556" t="str">
        <f>"252930"</f>
        <v>252930</v>
      </c>
      <c r="G1556" t="s">
        <v>49</v>
      </c>
      <c r="K1556" t="s">
        <v>51</v>
      </c>
      <c r="L1556" t="s">
        <v>52</v>
      </c>
      <c r="M1556">
        <v>136611.17000000001</v>
      </c>
      <c r="N1556">
        <v>471888.56</v>
      </c>
      <c r="O1556" t="s">
        <v>53</v>
      </c>
      <c r="P1556" t="s">
        <v>54</v>
      </c>
      <c r="Q1556" t="s">
        <v>55</v>
      </c>
      <c r="T1556" t="s">
        <v>431</v>
      </c>
      <c r="U1556">
        <v>40</v>
      </c>
      <c r="V1556" s="1">
        <v>38353</v>
      </c>
      <c r="W1556" s="1">
        <v>38353</v>
      </c>
      <c r="X1556" s="1">
        <v>38353</v>
      </c>
      <c r="Y1556" s="1">
        <v>52963</v>
      </c>
      <c r="Z1556" t="s">
        <v>51</v>
      </c>
      <c r="AB1556" t="s">
        <v>54</v>
      </c>
      <c r="AC1556">
        <v>1</v>
      </c>
      <c r="AE1556" t="s">
        <v>79</v>
      </c>
      <c r="AF1556">
        <v>20</v>
      </c>
      <c r="AG1556" s="1">
        <v>38353</v>
      </c>
      <c r="AH1556" s="1">
        <v>38353</v>
      </c>
      <c r="AI1556" s="1">
        <v>38353</v>
      </c>
      <c r="AJ1556" s="1">
        <v>45658</v>
      </c>
      <c r="AK1556" t="s">
        <v>51</v>
      </c>
      <c r="AN1556">
        <v>0</v>
      </c>
      <c r="AO1556" t="s">
        <v>54</v>
      </c>
      <c r="AP1556" t="s">
        <v>53</v>
      </c>
      <c r="AQ1556">
        <v>0</v>
      </c>
      <c r="AR1556" t="s">
        <v>145</v>
      </c>
      <c r="AS1556">
        <v>0</v>
      </c>
      <c r="AT1556">
        <v>0</v>
      </c>
      <c r="AW1556" t="s">
        <v>79</v>
      </c>
      <c r="AX1556">
        <v>20</v>
      </c>
      <c r="AY1556" s="1">
        <v>38353</v>
      </c>
      <c r="AZ1556" s="1">
        <v>38353</v>
      </c>
      <c r="BA1556" s="1">
        <v>38353</v>
      </c>
      <c r="BB1556" s="1">
        <v>45658</v>
      </c>
      <c r="BC1556" t="s">
        <v>51</v>
      </c>
      <c r="BE1556" t="s">
        <v>54</v>
      </c>
      <c r="BF1556">
        <v>5</v>
      </c>
      <c r="BG1556">
        <v>0</v>
      </c>
      <c r="BH1556" t="s">
        <v>53</v>
      </c>
      <c r="BK1556" t="s">
        <v>59</v>
      </c>
      <c r="BL1556">
        <v>14000</v>
      </c>
      <c r="BM1556" s="1">
        <v>42917</v>
      </c>
      <c r="BN1556" s="1">
        <v>42917</v>
      </c>
      <c r="BO1556" s="1">
        <v>42917</v>
      </c>
      <c r="BP1556" s="1">
        <v>44117</v>
      </c>
      <c r="BQ1556" t="s">
        <v>51</v>
      </c>
      <c r="BS1556" t="s">
        <v>60</v>
      </c>
      <c r="BT1556" t="s">
        <v>54</v>
      </c>
      <c r="BU1556" t="s">
        <v>61</v>
      </c>
      <c r="BV1556" t="s">
        <v>62</v>
      </c>
      <c r="BX1556">
        <v>24</v>
      </c>
      <c r="BY1556">
        <v>0</v>
      </c>
      <c r="BZ1556">
        <v>0</v>
      </c>
    </row>
    <row r="1557" spans="1:78" x14ac:dyDescent="0.2">
      <c r="A1557" t="s">
        <v>180</v>
      </c>
      <c r="B1557" t="s">
        <v>181</v>
      </c>
      <c r="C1557" t="s">
        <v>184</v>
      </c>
      <c r="D1557" t="s">
        <v>800</v>
      </c>
      <c r="F1557" t="str">
        <f>"252931"</f>
        <v>252931</v>
      </c>
      <c r="G1557" t="s">
        <v>49</v>
      </c>
      <c r="K1557" t="s">
        <v>51</v>
      </c>
      <c r="L1557" t="s">
        <v>52</v>
      </c>
      <c r="M1557">
        <v>136602.60999999999</v>
      </c>
      <c r="N1557">
        <v>471902.63</v>
      </c>
      <c r="O1557" t="s">
        <v>53</v>
      </c>
      <c r="P1557" t="s">
        <v>54</v>
      </c>
      <c r="Q1557" t="s">
        <v>55</v>
      </c>
      <c r="T1557" t="s">
        <v>431</v>
      </c>
      <c r="U1557">
        <v>40</v>
      </c>
      <c r="V1557" s="1">
        <v>38353</v>
      </c>
      <c r="W1557" s="1">
        <v>38353</v>
      </c>
      <c r="X1557" s="1">
        <v>38353</v>
      </c>
      <c r="Y1557" s="1">
        <v>52963</v>
      </c>
      <c r="Z1557" t="s">
        <v>51</v>
      </c>
      <c r="AB1557" t="s">
        <v>54</v>
      </c>
      <c r="AC1557">
        <v>1</v>
      </c>
      <c r="AE1557" t="s">
        <v>79</v>
      </c>
      <c r="AF1557">
        <v>20</v>
      </c>
      <c r="AG1557" s="1">
        <v>38353</v>
      </c>
      <c r="AH1557" s="1">
        <v>38353</v>
      </c>
      <c r="AI1557" s="1">
        <v>38353</v>
      </c>
      <c r="AJ1557" s="1">
        <v>45658</v>
      </c>
      <c r="AK1557" t="s">
        <v>51</v>
      </c>
      <c r="AN1557">
        <v>0</v>
      </c>
      <c r="AO1557" t="s">
        <v>54</v>
      </c>
      <c r="AP1557" t="s">
        <v>53</v>
      </c>
      <c r="AQ1557">
        <v>0</v>
      </c>
      <c r="AR1557" t="s">
        <v>145</v>
      </c>
      <c r="AS1557">
        <v>0</v>
      </c>
      <c r="AT1557">
        <v>0</v>
      </c>
      <c r="AW1557" t="s">
        <v>79</v>
      </c>
      <c r="AX1557">
        <v>20</v>
      </c>
      <c r="AY1557" s="1">
        <v>38353</v>
      </c>
      <c r="AZ1557" s="1">
        <v>38353</v>
      </c>
      <c r="BA1557" s="1">
        <v>38353</v>
      </c>
      <c r="BB1557" s="1">
        <v>45658</v>
      </c>
      <c r="BC1557" t="s">
        <v>51</v>
      </c>
      <c r="BE1557" t="s">
        <v>54</v>
      </c>
      <c r="BF1557">
        <v>5</v>
      </c>
      <c r="BG1557">
        <v>0</v>
      </c>
      <c r="BH1557" t="s">
        <v>53</v>
      </c>
      <c r="BK1557" t="s">
        <v>59</v>
      </c>
      <c r="BL1557">
        <v>14000</v>
      </c>
      <c r="BM1557" s="1">
        <v>42917</v>
      </c>
      <c r="BN1557" s="1">
        <v>42917</v>
      </c>
      <c r="BO1557" s="1">
        <v>42917</v>
      </c>
      <c r="BP1557" s="1">
        <v>44117</v>
      </c>
      <c r="BQ1557" t="s">
        <v>51</v>
      </c>
      <c r="BS1557" t="s">
        <v>60</v>
      </c>
      <c r="BT1557" t="s">
        <v>54</v>
      </c>
      <c r="BU1557" t="s">
        <v>61</v>
      </c>
      <c r="BV1557" t="s">
        <v>62</v>
      </c>
      <c r="BX1557">
        <v>24</v>
      </c>
      <c r="BY1557">
        <v>0</v>
      </c>
      <c r="BZ1557">
        <v>0</v>
      </c>
    </row>
    <row r="1558" spans="1:78" x14ac:dyDescent="0.2">
      <c r="A1558" t="s">
        <v>180</v>
      </c>
      <c r="B1558" t="s">
        <v>181</v>
      </c>
      <c r="C1558" t="s">
        <v>184</v>
      </c>
      <c r="D1558" t="s">
        <v>800</v>
      </c>
      <c r="F1558" t="str">
        <f>"252932"</f>
        <v>252932</v>
      </c>
      <c r="G1558" t="s">
        <v>49</v>
      </c>
      <c r="K1558" t="s">
        <v>51</v>
      </c>
      <c r="L1558" t="s">
        <v>52</v>
      </c>
      <c r="M1558">
        <v>136585.69</v>
      </c>
      <c r="N1558">
        <v>471900.78</v>
      </c>
      <c r="O1558" t="s">
        <v>53</v>
      </c>
      <c r="P1558" t="s">
        <v>54</v>
      </c>
      <c r="Q1558" t="s">
        <v>55</v>
      </c>
      <c r="T1558" t="s">
        <v>431</v>
      </c>
      <c r="U1558">
        <v>40</v>
      </c>
      <c r="V1558" s="1">
        <v>38353</v>
      </c>
      <c r="W1558" s="1">
        <v>38353</v>
      </c>
      <c r="X1558" s="1">
        <v>38353</v>
      </c>
      <c r="Y1558" s="1">
        <v>52963</v>
      </c>
      <c r="Z1558" t="s">
        <v>51</v>
      </c>
      <c r="AB1558" t="s">
        <v>54</v>
      </c>
      <c r="AC1558">
        <v>1</v>
      </c>
      <c r="AE1558" t="s">
        <v>79</v>
      </c>
      <c r="AF1558">
        <v>20</v>
      </c>
      <c r="AG1558" s="1">
        <v>38353</v>
      </c>
      <c r="AH1558" s="1">
        <v>38353</v>
      </c>
      <c r="AI1558" s="1">
        <v>38353</v>
      </c>
      <c r="AJ1558" s="1">
        <v>45658</v>
      </c>
      <c r="AK1558" t="s">
        <v>51</v>
      </c>
      <c r="AN1558">
        <v>0</v>
      </c>
      <c r="AO1558" t="s">
        <v>54</v>
      </c>
      <c r="AP1558" t="s">
        <v>53</v>
      </c>
      <c r="AQ1558">
        <v>0</v>
      </c>
      <c r="AR1558" t="s">
        <v>145</v>
      </c>
      <c r="AS1558">
        <v>0</v>
      </c>
      <c r="AT1558">
        <v>0</v>
      </c>
      <c r="AW1558" t="s">
        <v>79</v>
      </c>
      <c r="AX1558">
        <v>20</v>
      </c>
      <c r="AY1558" s="1">
        <v>43423</v>
      </c>
      <c r="AZ1558" s="1">
        <v>43423</v>
      </c>
      <c r="BA1558" s="1">
        <v>43423</v>
      </c>
      <c r="BB1558" s="1">
        <v>50728</v>
      </c>
      <c r="BC1558" t="s">
        <v>51</v>
      </c>
      <c r="BE1558" t="s">
        <v>54</v>
      </c>
      <c r="BF1558">
        <v>5</v>
      </c>
      <c r="BG1558">
        <v>0</v>
      </c>
      <c r="BH1558" t="s">
        <v>53</v>
      </c>
      <c r="BK1558" t="s">
        <v>146</v>
      </c>
      <c r="BL1558">
        <v>14000</v>
      </c>
      <c r="BM1558" s="1">
        <v>43374</v>
      </c>
      <c r="BN1558" s="1">
        <v>43374</v>
      </c>
      <c r="BO1558" s="1">
        <v>43423</v>
      </c>
      <c r="BP1558" s="1">
        <v>44539</v>
      </c>
      <c r="BQ1558" t="s">
        <v>51</v>
      </c>
      <c r="BS1558" t="s">
        <v>60</v>
      </c>
      <c r="BT1558" t="s">
        <v>54</v>
      </c>
      <c r="BU1558" t="s">
        <v>61</v>
      </c>
      <c r="BV1558" t="s">
        <v>62</v>
      </c>
      <c r="BX1558">
        <v>24</v>
      </c>
      <c r="BY1558">
        <v>0</v>
      </c>
      <c r="BZ1558">
        <v>0</v>
      </c>
    </row>
    <row r="1559" spans="1:78" x14ac:dyDescent="0.2">
      <c r="A1559" t="s">
        <v>180</v>
      </c>
      <c r="B1559" t="s">
        <v>181</v>
      </c>
      <c r="C1559" t="s">
        <v>184</v>
      </c>
      <c r="D1559" t="s">
        <v>800</v>
      </c>
      <c r="F1559" t="str">
        <f>"252933"</f>
        <v>252933</v>
      </c>
      <c r="G1559" t="s">
        <v>49</v>
      </c>
      <c r="K1559" t="s">
        <v>51</v>
      </c>
      <c r="L1559" t="s">
        <v>52</v>
      </c>
      <c r="M1559">
        <v>136576.01999999999</v>
      </c>
      <c r="N1559">
        <v>471915.63</v>
      </c>
      <c r="O1559" t="s">
        <v>53</v>
      </c>
      <c r="P1559" t="s">
        <v>54</v>
      </c>
      <c r="Q1559" t="s">
        <v>55</v>
      </c>
      <c r="T1559" t="s">
        <v>431</v>
      </c>
      <c r="U1559">
        <v>40</v>
      </c>
      <c r="V1559" s="1">
        <v>38353</v>
      </c>
      <c r="W1559" s="1">
        <v>38353</v>
      </c>
      <c r="X1559" s="1">
        <v>38353</v>
      </c>
      <c r="Y1559" s="1">
        <v>52963</v>
      </c>
      <c r="Z1559" t="s">
        <v>51</v>
      </c>
      <c r="AB1559" t="s">
        <v>54</v>
      </c>
      <c r="AC1559">
        <v>1</v>
      </c>
      <c r="AE1559" t="s">
        <v>79</v>
      </c>
      <c r="AF1559">
        <v>20</v>
      </c>
      <c r="AG1559" s="1">
        <v>38353</v>
      </c>
      <c r="AH1559" s="1">
        <v>38353</v>
      </c>
      <c r="AI1559" s="1">
        <v>38353</v>
      </c>
      <c r="AJ1559" s="1">
        <v>45658</v>
      </c>
      <c r="AK1559" t="s">
        <v>51</v>
      </c>
      <c r="AN1559">
        <v>0</v>
      </c>
      <c r="AO1559" t="s">
        <v>54</v>
      </c>
      <c r="AP1559" t="s">
        <v>53</v>
      </c>
      <c r="AQ1559">
        <v>0</v>
      </c>
      <c r="AR1559" t="s">
        <v>145</v>
      </c>
      <c r="AS1559">
        <v>0</v>
      </c>
      <c r="AT1559">
        <v>0</v>
      </c>
      <c r="AW1559" t="s">
        <v>79</v>
      </c>
      <c r="AX1559">
        <v>20</v>
      </c>
      <c r="AY1559" s="1">
        <v>38353</v>
      </c>
      <c r="AZ1559" s="1">
        <v>38353</v>
      </c>
      <c r="BA1559" s="1">
        <v>38353</v>
      </c>
      <c r="BB1559" s="1">
        <v>45658</v>
      </c>
      <c r="BC1559" t="s">
        <v>51</v>
      </c>
      <c r="BE1559" t="s">
        <v>54</v>
      </c>
      <c r="BF1559">
        <v>5</v>
      </c>
      <c r="BG1559">
        <v>0</v>
      </c>
      <c r="BH1559" t="s">
        <v>53</v>
      </c>
      <c r="BK1559" t="s">
        <v>59</v>
      </c>
      <c r="BL1559">
        <v>14000</v>
      </c>
      <c r="BM1559" s="1">
        <v>42917</v>
      </c>
      <c r="BN1559" s="1">
        <v>42917</v>
      </c>
      <c r="BO1559" s="1">
        <v>42917</v>
      </c>
      <c r="BP1559" s="1">
        <v>44117</v>
      </c>
      <c r="BQ1559" t="s">
        <v>51</v>
      </c>
      <c r="BS1559" t="s">
        <v>60</v>
      </c>
      <c r="BT1559" t="s">
        <v>54</v>
      </c>
      <c r="BU1559" t="s">
        <v>61</v>
      </c>
      <c r="BV1559" t="s">
        <v>62</v>
      </c>
      <c r="BX1559">
        <v>24</v>
      </c>
      <c r="BY1559">
        <v>0</v>
      </c>
      <c r="BZ1559">
        <v>0</v>
      </c>
    </row>
    <row r="1560" spans="1:78" x14ac:dyDescent="0.2">
      <c r="A1560" t="s">
        <v>180</v>
      </c>
      <c r="B1560" t="s">
        <v>181</v>
      </c>
      <c r="C1560" t="s">
        <v>184</v>
      </c>
      <c r="D1560" t="s">
        <v>800</v>
      </c>
      <c r="F1560" t="str">
        <f>"252934"</f>
        <v>252934</v>
      </c>
      <c r="G1560" t="s">
        <v>49</v>
      </c>
      <c r="K1560" t="s">
        <v>51</v>
      </c>
      <c r="L1560" t="s">
        <v>52</v>
      </c>
      <c r="M1560">
        <v>136560.67000000001</v>
      </c>
      <c r="N1560">
        <v>471913.69</v>
      </c>
      <c r="O1560" t="s">
        <v>53</v>
      </c>
      <c r="P1560" t="s">
        <v>54</v>
      </c>
      <c r="Q1560" t="s">
        <v>55</v>
      </c>
      <c r="T1560" t="s">
        <v>431</v>
      </c>
      <c r="U1560">
        <v>40</v>
      </c>
      <c r="V1560" s="1">
        <v>38353</v>
      </c>
      <c r="W1560" s="1">
        <v>38353</v>
      </c>
      <c r="X1560" s="1">
        <v>38353</v>
      </c>
      <c r="Y1560" s="1">
        <v>52963</v>
      </c>
      <c r="Z1560" t="s">
        <v>51</v>
      </c>
      <c r="AB1560" t="s">
        <v>54</v>
      </c>
      <c r="AC1560">
        <v>1</v>
      </c>
      <c r="AE1560" t="s">
        <v>79</v>
      </c>
      <c r="AF1560">
        <v>20</v>
      </c>
      <c r="AG1560" s="1">
        <v>38353</v>
      </c>
      <c r="AH1560" s="1">
        <v>38353</v>
      </c>
      <c r="AI1560" s="1">
        <v>38353</v>
      </c>
      <c r="AJ1560" s="1">
        <v>45658</v>
      </c>
      <c r="AK1560" t="s">
        <v>51</v>
      </c>
      <c r="AN1560">
        <v>0</v>
      </c>
      <c r="AO1560" t="s">
        <v>54</v>
      </c>
      <c r="AP1560" t="s">
        <v>53</v>
      </c>
      <c r="AQ1560">
        <v>0</v>
      </c>
      <c r="AR1560" t="s">
        <v>145</v>
      </c>
      <c r="AS1560">
        <v>0</v>
      </c>
      <c r="AT1560">
        <v>0</v>
      </c>
      <c r="AW1560" t="s">
        <v>79</v>
      </c>
      <c r="AX1560">
        <v>20</v>
      </c>
      <c r="AY1560" s="1">
        <v>38353</v>
      </c>
      <c r="AZ1560" s="1">
        <v>38353</v>
      </c>
      <c r="BA1560" s="1">
        <v>38353</v>
      </c>
      <c r="BB1560" s="1">
        <v>45658</v>
      </c>
      <c r="BC1560" t="s">
        <v>51</v>
      </c>
      <c r="BE1560" t="s">
        <v>54</v>
      </c>
      <c r="BF1560">
        <v>5</v>
      </c>
      <c r="BG1560">
        <v>0</v>
      </c>
      <c r="BH1560" t="s">
        <v>53</v>
      </c>
      <c r="BK1560" t="s">
        <v>59</v>
      </c>
      <c r="BL1560">
        <v>14000</v>
      </c>
      <c r="BM1560" s="1">
        <v>42917</v>
      </c>
      <c r="BN1560" s="1">
        <v>42917</v>
      </c>
      <c r="BO1560" s="1">
        <v>42917</v>
      </c>
      <c r="BP1560" s="1">
        <v>44117</v>
      </c>
      <c r="BQ1560" t="s">
        <v>51</v>
      </c>
      <c r="BS1560" t="s">
        <v>60</v>
      </c>
      <c r="BT1560" t="s">
        <v>54</v>
      </c>
      <c r="BU1560" t="s">
        <v>61</v>
      </c>
      <c r="BV1560" t="s">
        <v>62</v>
      </c>
      <c r="BX1560">
        <v>24</v>
      </c>
      <c r="BY1560">
        <v>0</v>
      </c>
      <c r="BZ1560">
        <v>0</v>
      </c>
    </row>
    <row r="1561" spans="1:78" x14ac:dyDescent="0.2">
      <c r="A1561" t="s">
        <v>180</v>
      </c>
      <c r="B1561" t="s">
        <v>181</v>
      </c>
      <c r="C1561" t="s">
        <v>184</v>
      </c>
      <c r="D1561" t="s">
        <v>800</v>
      </c>
      <c r="F1561" t="str">
        <f>"252935"</f>
        <v>252935</v>
      </c>
      <c r="G1561" t="s">
        <v>49</v>
      </c>
      <c r="K1561" t="s">
        <v>51</v>
      </c>
      <c r="L1561" t="s">
        <v>52</v>
      </c>
      <c r="M1561">
        <v>136554.06</v>
      </c>
      <c r="N1561">
        <v>471927.06</v>
      </c>
      <c r="O1561" t="s">
        <v>53</v>
      </c>
      <c r="P1561" t="s">
        <v>54</v>
      </c>
      <c r="Q1561" t="s">
        <v>55</v>
      </c>
      <c r="T1561" t="s">
        <v>431</v>
      </c>
      <c r="U1561">
        <v>40</v>
      </c>
      <c r="V1561" s="1">
        <v>38353</v>
      </c>
      <c r="W1561" s="1">
        <v>38353</v>
      </c>
      <c r="X1561" s="1">
        <v>38353</v>
      </c>
      <c r="Y1561" s="1">
        <v>52963</v>
      </c>
      <c r="Z1561" t="s">
        <v>51</v>
      </c>
      <c r="AB1561" t="s">
        <v>54</v>
      </c>
      <c r="AC1561">
        <v>1</v>
      </c>
      <c r="AE1561" t="s">
        <v>79</v>
      </c>
      <c r="AF1561">
        <v>20</v>
      </c>
      <c r="AG1561" s="1">
        <v>38353</v>
      </c>
      <c r="AH1561" s="1">
        <v>38353</v>
      </c>
      <c r="AI1561" s="1">
        <v>38353</v>
      </c>
      <c r="AJ1561" s="1">
        <v>45658</v>
      </c>
      <c r="AK1561" t="s">
        <v>51</v>
      </c>
      <c r="AN1561">
        <v>0</v>
      </c>
      <c r="AO1561" t="s">
        <v>54</v>
      </c>
      <c r="AP1561" t="s">
        <v>53</v>
      </c>
      <c r="AQ1561">
        <v>0</v>
      </c>
      <c r="AR1561" t="s">
        <v>145</v>
      </c>
      <c r="AS1561">
        <v>0</v>
      </c>
      <c r="AT1561">
        <v>0</v>
      </c>
      <c r="AW1561" t="s">
        <v>79</v>
      </c>
      <c r="AX1561">
        <v>20</v>
      </c>
      <c r="AY1561" s="1">
        <v>38353</v>
      </c>
      <c r="AZ1561" s="1">
        <v>38353</v>
      </c>
      <c r="BA1561" s="1">
        <v>38353</v>
      </c>
      <c r="BB1561" s="1">
        <v>45658</v>
      </c>
      <c r="BC1561" t="s">
        <v>51</v>
      </c>
      <c r="BE1561" t="s">
        <v>54</v>
      </c>
      <c r="BF1561">
        <v>5</v>
      </c>
      <c r="BG1561">
        <v>0</v>
      </c>
      <c r="BH1561" t="s">
        <v>53</v>
      </c>
      <c r="BK1561" t="s">
        <v>59</v>
      </c>
      <c r="BL1561">
        <v>14000</v>
      </c>
      <c r="BM1561" s="1">
        <v>42917</v>
      </c>
      <c r="BN1561" s="1">
        <v>42917</v>
      </c>
      <c r="BO1561" s="1">
        <v>42917</v>
      </c>
      <c r="BP1561" s="1">
        <v>44117</v>
      </c>
      <c r="BQ1561" t="s">
        <v>51</v>
      </c>
      <c r="BS1561" t="s">
        <v>60</v>
      </c>
      <c r="BT1561" t="s">
        <v>54</v>
      </c>
      <c r="BU1561" t="s">
        <v>61</v>
      </c>
      <c r="BV1561" t="s">
        <v>62</v>
      </c>
      <c r="BX1561">
        <v>24</v>
      </c>
      <c r="BY1561">
        <v>0</v>
      </c>
      <c r="BZ1561">
        <v>0</v>
      </c>
    </row>
    <row r="1562" spans="1:78" x14ac:dyDescent="0.2">
      <c r="A1562" t="s">
        <v>180</v>
      </c>
      <c r="B1562" t="s">
        <v>181</v>
      </c>
      <c r="C1562" t="s">
        <v>184</v>
      </c>
      <c r="D1562" t="s">
        <v>800</v>
      </c>
      <c r="F1562" t="str">
        <f>"252936"</f>
        <v>252936</v>
      </c>
      <c r="G1562" t="s">
        <v>49</v>
      </c>
      <c r="K1562" t="s">
        <v>51</v>
      </c>
      <c r="L1562" t="s">
        <v>52</v>
      </c>
      <c r="M1562">
        <v>136536.13</v>
      </c>
      <c r="N1562">
        <v>471926.63</v>
      </c>
      <c r="O1562" t="s">
        <v>53</v>
      </c>
      <c r="P1562" t="s">
        <v>54</v>
      </c>
      <c r="Q1562" t="s">
        <v>55</v>
      </c>
      <c r="T1562" t="s">
        <v>431</v>
      </c>
      <c r="U1562">
        <v>40</v>
      </c>
      <c r="V1562" s="1">
        <v>38353</v>
      </c>
      <c r="W1562" s="1">
        <v>38353</v>
      </c>
      <c r="X1562" s="1">
        <v>38353</v>
      </c>
      <c r="Y1562" s="1">
        <v>52963</v>
      </c>
      <c r="Z1562" t="s">
        <v>51</v>
      </c>
      <c r="AB1562" t="s">
        <v>54</v>
      </c>
      <c r="AC1562">
        <v>1</v>
      </c>
      <c r="AE1562" t="s">
        <v>79</v>
      </c>
      <c r="AF1562">
        <v>20</v>
      </c>
      <c r="AG1562" s="1">
        <v>38353</v>
      </c>
      <c r="AH1562" s="1">
        <v>38353</v>
      </c>
      <c r="AI1562" s="1">
        <v>38353</v>
      </c>
      <c r="AJ1562" s="1">
        <v>45658</v>
      </c>
      <c r="AK1562" t="s">
        <v>51</v>
      </c>
      <c r="AN1562">
        <v>0</v>
      </c>
      <c r="AO1562" t="s">
        <v>54</v>
      </c>
      <c r="AP1562" t="s">
        <v>53</v>
      </c>
      <c r="AQ1562">
        <v>0</v>
      </c>
      <c r="AR1562" t="s">
        <v>145</v>
      </c>
      <c r="AS1562">
        <v>0</v>
      </c>
      <c r="AT1562">
        <v>0</v>
      </c>
      <c r="AW1562" t="s">
        <v>79</v>
      </c>
      <c r="AX1562">
        <v>20</v>
      </c>
      <c r="AY1562" s="1">
        <v>38353</v>
      </c>
      <c r="AZ1562" s="1">
        <v>38353</v>
      </c>
      <c r="BA1562" s="1">
        <v>38353</v>
      </c>
      <c r="BB1562" s="1">
        <v>45658</v>
      </c>
      <c r="BC1562" t="s">
        <v>51</v>
      </c>
      <c r="BE1562" t="s">
        <v>54</v>
      </c>
      <c r="BF1562">
        <v>5</v>
      </c>
      <c r="BG1562">
        <v>0</v>
      </c>
      <c r="BH1562" t="s">
        <v>53</v>
      </c>
      <c r="BK1562" t="s">
        <v>59</v>
      </c>
      <c r="BL1562">
        <v>14000</v>
      </c>
      <c r="BM1562" s="1">
        <v>42917</v>
      </c>
      <c r="BN1562" s="1">
        <v>42917</v>
      </c>
      <c r="BO1562" s="1">
        <v>42917</v>
      </c>
      <c r="BP1562" s="1">
        <v>44117</v>
      </c>
      <c r="BQ1562" t="s">
        <v>51</v>
      </c>
      <c r="BS1562" t="s">
        <v>60</v>
      </c>
      <c r="BT1562" t="s">
        <v>54</v>
      </c>
      <c r="BU1562" t="s">
        <v>61</v>
      </c>
      <c r="BV1562" t="s">
        <v>62</v>
      </c>
      <c r="BX1562">
        <v>24</v>
      </c>
      <c r="BY1562">
        <v>0</v>
      </c>
      <c r="BZ1562">
        <v>0</v>
      </c>
    </row>
    <row r="1563" spans="1:78" x14ac:dyDescent="0.2">
      <c r="A1563" t="s">
        <v>180</v>
      </c>
      <c r="B1563" t="s">
        <v>181</v>
      </c>
      <c r="C1563" t="s">
        <v>184</v>
      </c>
      <c r="D1563" t="s">
        <v>800</v>
      </c>
      <c r="F1563" t="str">
        <f>"252937"</f>
        <v>252937</v>
      </c>
      <c r="G1563" t="s">
        <v>49</v>
      </c>
      <c r="K1563" t="s">
        <v>51</v>
      </c>
      <c r="L1563" t="s">
        <v>52</v>
      </c>
      <c r="M1563">
        <v>136523.59</v>
      </c>
      <c r="N1563">
        <v>471937.38</v>
      </c>
      <c r="O1563" t="s">
        <v>53</v>
      </c>
      <c r="P1563" t="s">
        <v>54</v>
      </c>
      <c r="Q1563" t="s">
        <v>55</v>
      </c>
      <c r="T1563" t="s">
        <v>431</v>
      </c>
      <c r="U1563">
        <v>40</v>
      </c>
      <c r="V1563" s="1">
        <v>38353</v>
      </c>
      <c r="W1563" s="1">
        <v>38353</v>
      </c>
      <c r="X1563" s="1">
        <v>38353</v>
      </c>
      <c r="Y1563" s="1">
        <v>52963</v>
      </c>
      <c r="Z1563" t="s">
        <v>51</v>
      </c>
      <c r="AB1563" t="s">
        <v>54</v>
      </c>
      <c r="AC1563">
        <v>1</v>
      </c>
      <c r="AE1563" t="s">
        <v>79</v>
      </c>
      <c r="AF1563">
        <v>20</v>
      </c>
      <c r="AG1563" s="1">
        <v>38353</v>
      </c>
      <c r="AH1563" s="1">
        <v>38353</v>
      </c>
      <c r="AI1563" s="1">
        <v>38353</v>
      </c>
      <c r="AJ1563" s="1">
        <v>45658</v>
      </c>
      <c r="AK1563" t="s">
        <v>51</v>
      </c>
      <c r="AN1563">
        <v>0</v>
      </c>
      <c r="AO1563" t="s">
        <v>54</v>
      </c>
      <c r="AP1563" t="s">
        <v>53</v>
      </c>
      <c r="AQ1563">
        <v>0</v>
      </c>
      <c r="AR1563" t="s">
        <v>145</v>
      </c>
      <c r="AS1563">
        <v>0</v>
      </c>
      <c r="AT1563">
        <v>0</v>
      </c>
      <c r="AW1563" t="s">
        <v>79</v>
      </c>
      <c r="AX1563">
        <v>20</v>
      </c>
      <c r="AY1563" s="1">
        <v>38353</v>
      </c>
      <c r="AZ1563" s="1">
        <v>38353</v>
      </c>
      <c r="BA1563" s="1">
        <v>38353</v>
      </c>
      <c r="BB1563" s="1">
        <v>45658</v>
      </c>
      <c r="BC1563" t="s">
        <v>51</v>
      </c>
      <c r="BE1563" t="s">
        <v>54</v>
      </c>
      <c r="BF1563">
        <v>5</v>
      </c>
      <c r="BG1563">
        <v>0</v>
      </c>
      <c r="BH1563" t="s">
        <v>53</v>
      </c>
      <c r="BK1563" t="s">
        <v>59</v>
      </c>
      <c r="BL1563">
        <v>14000</v>
      </c>
      <c r="BM1563" s="1">
        <v>42917</v>
      </c>
      <c r="BN1563" s="1">
        <v>42917</v>
      </c>
      <c r="BO1563" s="1">
        <v>42917</v>
      </c>
      <c r="BP1563" s="1">
        <v>44117</v>
      </c>
      <c r="BQ1563" t="s">
        <v>51</v>
      </c>
      <c r="BS1563" t="s">
        <v>60</v>
      </c>
      <c r="BT1563" t="s">
        <v>54</v>
      </c>
      <c r="BU1563" t="s">
        <v>61</v>
      </c>
      <c r="BV1563" t="s">
        <v>62</v>
      </c>
      <c r="BX1563">
        <v>24</v>
      </c>
      <c r="BY1563">
        <v>0</v>
      </c>
      <c r="BZ1563">
        <v>0</v>
      </c>
    </row>
    <row r="1564" spans="1:78" x14ac:dyDescent="0.2">
      <c r="A1564" t="s">
        <v>180</v>
      </c>
      <c r="B1564" t="s">
        <v>181</v>
      </c>
      <c r="C1564" t="s">
        <v>184</v>
      </c>
      <c r="D1564" t="s">
        <v>800</v>
      </c>
      <c r="F1564" t="str">
        <f>"252938"</f>
        <v>252938</v>
      </c>
      <c r="G1564" t="s">
        <v>49</v>
      </c>
      <c r="K1564" t="s">
        <v>51</v>
      </c>
      <c r="L1564" t="s">
        <v>52</v>
      </c>
      <c r="M1564">
        <v>136510.35999999999</v>
      </c>
      <c r="N1564">
        <v>471939.47</v>
      </c>
      <c r="O1564" t="s">
        <v>53</v>
      </c>
      <c r="P1564" t="s">
        <v>54</v>
      </c>
      <c r="Q1564" t="s">
        <v>55</v>
      </c>
      <c r="T1564" t="s">
        <v>431</v>
      </c>
      <c r="U1564">
        <v>40</v>
      </c>
      <c r="V1564" s="1">
        <v>38353</v>
      </c>
      <c r="W1564" s="1">
        <v>38353</v>
      </c>
      <c r="X1564" s="1">
        <v>38353</v>
      </c>
      <c r="Y1564" s="1">
        <v>52963</v>
      </c>
      <c r="Z1564" t="s">
        <v>51</v>
      </c>
      <c r="AB1564" t="s">
        <v>54</v>
      </c>
      <c r="AC1564">
        <v>1</v>
      </c>
      <c r="AE1564" t="s">
        <v>79</v>
      </c>
      <c r="AF1564">
        <v>20</v>
      </c>
      <c r="AG1564" s="1">
        <v>38353</v>
      </c>
      <c r="AH1564" s="1">
        <v>38353</v>
      </c>
      <c r="AI1564" s="1">
        <v>38353</v>
      </c>
      <c r="AJ1564" s="1">
        <v>45658</v>
      </c>
      <c r="AK1564" t="s">
        <v>51</v>
      </c>
      <c r="AN1564">
        <v>0</v>
      </c>
      <c r="AO1564" t="s">
        <v>54</v>
      </c>
      <c r="AP1564" t="s">
        <v>53</v>
      </c>
      <c r="AQ1564">
        <v>0</v>
      </c>
      <c r="AR1564" t="s">
        <v>145</v>
      </c>
      <c r="AS1564">
        <v>0</v>
      </c>
      <c r="AT1564">
        <v>0</v>
      </c>
      <c r="AW1564" t="s">
        <v>79</v>
      </c>
      <c r="AX1564">
        <v>20</v>
      </c>
      <c r="AY1564" s="1">
        <v>38353</v>
      </c>
      <c r="AZ1564" s="1">
        <v>38353</v>
      </c>
      <c r="BA1564" s="1">
        <v>38353</v>
      </c>
      <c r="BB1564" s="1">
        <v>45658</v>
      </c>
      <c r="BC1564" t="s">
        <v>51</v>
      </c>
      <c r="BE1564" t="s">
        <v>54</v>
      </c>
      <c r="BF1564">
        <v>5</v>
      </c>
      <c r="BG1564">
        <v>0</v>
      </c>
      <c r="BH1564" t="s">
        <v>53</v>
      </c>
      <c r="BK1564" t="s">
        <v>59</v>
      </c>
      <c r="BL1564">
        <v>14000</v>
      </c>
      <c r="BM1564" s="1">
        <v>42917</v>
      </c>
      <c r="BN1564" s="1">
        <v>42917</v>
      </c>
      <c r="BO1564" s="1">
        <v>42917</v>
      </c>
      <c r="BP1564" s="1">
        <v>44117</v>
      </c>
      <c r="BQ1564" t="s">
        <v>51</v>
      </c>
      <c r="BS1564" t="s">
        <v>60</v>
      </c>
      <c r="BT1564" t="s">
        <v>54</v>
      </c>
      <c r="BU1564" t="s">
        <v>61</v>
      </c>
      <c r="BV1564" t="s">
        <v>62</v>
      </c>
      <c r="BX1564">
        <v>24</v>
      </c>
      <c r="BY1564">
        <v>0</v>
      </c>
      <c r="BZ1564">
        <v>0</v>
      </c>
    </row>
    <row r="1565" spans="1:78" x14ac:dyDescent="0.2">
      <c r="A1565" t="s">
        <v>180</v>
      </c>
      <c r="B1565" t="s">
        <v>181</v>
      </c>
      <c r="C1565" t="s">
        <v>184</v>
      </c>
      <c r="D1565" t="s">
        <v>801</v>
      </c>
      <c r="F1565" t="str">
        <f>"252939"</f>
        <v>252939</v>
      </c>
      <c r="G1565" t="s">
        <v>49</v>
      </c>
      <c r="K1565" t="s">
        <v>51</v>
      </c>
      <c r="L1565" t="s">
        <v>52</v>
      </c>
      <c r="M1565">
        <v>136541.51999999999</v>
      </c>
      <c r="N1565">
        <v>471944.59</v>
      </c>
      <c r="O1565" t="s">
        <v>53</v>
      </c>
      <c r="P1565" t="s">
        <v>54</v>
      </c>
      <c r="Q1565" t="s">
        <v>55</v>
      </c>
      <c r="T1565" t="s">
        <v>431</v>
      </c>
      <c r="U1565">
        <v>40</v>
      </c>
      <c r="V1565" s="1">
        <v>38353</v>
      </c>
      <c r="W1565" s="1">
        <v>38353</v>
      </c>
      <c r="X1565" s="1">
        <v>38353</v>
      </c>
      <c r="Y1565" s="1">
        <v>52963</v>
      </c>
      <c r="Z1565" t="s">
        <v>51</v>
      </c>
      <c r="AB1565" t="s">
        <v>54</v>
      </c>
      <c r="AC1565">
        <v>1</v>
      </c>
      <c r="AE1565" t="s">
        <v>79</v>
      </c>
      <c r="AF1565">
        <v>20</v>
      </c>
      <c r="AG1565" s="1">
        <v>38353</v>
      </c>
      <c r="AH1565" s="1">
        <v>38353</v>
      </c>
      <c r="AI1565" s="1">
        <v>38353</v>
      </c>
      <c r="AJ1565" s="1">
        <v>45658</v>
      </c>
      <c r="AK1565" t="s">
        <v>51</v>
      </c>
      <c r="AN1565">
        <v>0</v>
      </c>
      <c r="AO1565" t="s">
        <v>54</v>
      </c>
      <c r="AP1565" t="s">
        <v>53</v>
      </c>
      <c r="AQ1565">
        <v>0</v>
      </c>
      <c r="AR1565" t="s">
        <v>145</v>
      </c>
      <c r="AS1565">
        <v>0</v>
      </c>
      <c r="AT1565">
        <v>0</v>
      </c>
      <c r="AW1565" t="s">
        <v>79</v>
      </c>
      <c r="AX1565">
        <v>20</v>
      </c>
      <c r="AY1565" s="1">
        <v>38353</v>
      </c>
      <c r="AZ1565" s="1">
        <v>38353</v>
      </c>
      <c r="BA1565" s="1">
        <v>38353</v>
      </c>
      <c r="BB1565" s="1">
        <v>45658</v>
      </c>
      <c r="BC1565" t="s">
        <v>51</v>
      </c>
      <c r="BE1565" t="s">
        <v>54</v>
      </c>
      <c r="BF1565">
        <v>5</v>
      </c>
      <c r="BG1565">
        <v>0</v>
      </c>
      <c r="BH1565" t="s">
        <v>53</v>
      </c>
      <c r="BK1565" t="s">
        <v>59</v>
      </c>
      <c r="BL1565">
        <v>14000</v>
      </c>
      <c r="BM1565" s="1">
        <v>42917</v>
      </c>
      <c r="BN1565" s="1">
        <v>42917</v>
      </c>
      <c r="BO1565" s="1">
        <v>42917</v>
      </c>
      <c r="BP1565" s="1">
        <v>44117</v>
      </c>
      <c r="BQ1565" t="s">
        <v>51</v>
      </c>
      <c r="BS1565" t="s">
        <v>60</v>
      </c>
      <c r="BT1565" t="s">
        <v>54</v>
      </c>
      <c r="BU1565" t="s">
        <v>61</v>
      </c>
      <c r="BV1565" t="s">
        <v>62</v>
      </c>
      <c r="BX1565">
        <v>24</v>
      </c>
      <c r="BY1565">
        <v>0</v>
      </c>
      <c r="BZ1565">
        <v>0</v>
      </c>
    </row>
    <row r="1566" spans="1:78" x14ac:dyDescent="0.2">
      <c r="A1566" t="s">
        <v>180</v>
      </c>
      <c r="B1566" t="s">
        <v>181</v>
      </c>
      <c r="C1566" t="s">
        <v>184</v>
      </c>
      <c r="D1566" t="s">
        <v>801</v>
      </c>
      <c r="F1566" t="str">
        <f>"252940"</f>
        <v>252940</v>
      </c>
      <c r="G1566" t="s">
        <v>49</v>
      </c>
      <c r="K1566" t="s">
        <v>51</v>
      </c>
      <c r="L1566" t="s">
        <v>52</v>
      </c>
      <c r="M1566">
        <v>136557.88</v>
      </c>
      <c r="N1566">
        <v>471949.5</v>
      </c>
      <c r="O1566" t="s">
        <v>53</v>
      </c>
      <c r="P1566" t="s">
        <v>54</v>
      </c>
      <c r="Q1566" t="s">
        <v>55</v>
      </c>
      <c r="T1566" t="s">
        <v>431</v>
      </c>
      <c r="U1566">
        <v>40</v>
      </c>
      <c r="V1566" s="1">
        <v>38353</v>
      </c>
      <c r="W1566" s="1">
        <v>38353</v>
      </c>
      <c r="X1566" s="1">
        <v>38353</v>
      </c>
      <c r="Y1566" s="1">
        <v>52963</v>
      </c>
      <c r="Z1566" t="s">
        <v>51</v>
      </c>
      <c r="AB1566" t="s">
        <v>54</v>
      </c>
      <c r="AC1566">
        <v>1</v>
      </c>
      <c r="AE1566" t="s">
        <v>79</v>
      </c>
      <c r="AF1566">
        <v>20</v>
      </c>
      <c r="AG1566" s="1">
        <v>38353</v>
      </c>
      <c r="AH1566" s="1">
        <v>38353</v>
      </c>
      <c r="AI1566" s="1">
        <v>38353</v>
      </c>
      <c r="AJ1566" s="1">
        <v>45658</v>
      </c>
      <c r="AK1566" t="s">
        <v>51</v>
      </c>
      <c r="AN1566">
        <v>0</v>
      </c>
      <c r="AO1566" t="s">
        <v>54</v>
      </c>
      <c r="AP1566" t="s">
        <v>53</v>
      </c>
      <c r="AQ1566">
        <v>0</v>
      </c>
      <c r="AR1566" t="s">
        <v>145</v>
      </c>
      <c r="AS1566">
        <v>0</v>
      </c>
      <c r="AT1566">
        <v>0</v>
      </c>
      <c r="AW1566" t="s">
        <v>79</v>
      </c>
      <c r="AX1566">
        <v>20</v>
      </c>
      <c r="AY1566" s="1">
        <v>38353</v>
      </c>
      <c r="AZ1566" s="1">
        <v>38353</v>
      </c>
      <c r="BA1566" s="1">
        <v>38353</v>
      </c>
      <c r="BB1566" s="1">
        <v>45658</v>
      </c>
      <c r="BC1566" t="s">
        <v>51</v>
      </c>
      <c r="BE1566" t="s">
        <v>54</v>
      </c>
      <c r="BF1566">
        <v>5</v>
      </c>
      <c r="BG1566">
        <v>0</v>
      </c>
      <c r="BH1566" t="s">
        <v>53</v>
      </c>
      <c r="BK1566" t="s">
        <v>59</v>
      </c>
      <c r="BL1566">
        <v>14000</v>
      </c>
      <c r="BM1566" s="1">
        <v>42917</v>
      </c>
      <c r="BN1566" s="1">
        <v>42917</v>
      </c>
      <c r="BO1566" s="1">
        <v>42917</v>
      </c>
      <c r="BP1566" s="1">
        <v>44117</v>
      </c>
      <c r="BQ1566" t="s">
        <v>51</v>
      </c>
      <c r="BS1566" t="s">
        <v>60</v>
      </c>
      <c r="BT1566" t="s">
        <v>54</v>
      </c>
      <c r="BU1566" t="s">
        <v>61</v>
      </c>
      <c r="BV1566" t="s">
        <v>62</v>
      </c>
      <c r="BX1566">
        <v>24</v>
      </c>
      <c r="BY1566">
        <v>0</v>
      </c>
      <c r="BZ1566">
        <v>0</v>
      </c>
    </row>
    <row r="1567" spans="1:78" x14ac:dyDescent="0.2">
      <c r="A1567" t="s">
        <v>180</v>
      </c>
      <c r="B1567" t="s">
        <v>181</v>
      </c>
      <c r="C1567" t="s">
        <v>184</v>
      </c>
      <c r="D1567" t="s">
        <v>801</v>
      </c>
      <c r="F1567" t="str">
        <f>"252941"</f>
        <v>252941</v>
      </c>
      <c r="G1567" t="s">
        <v>49</v>
      </c>
      <c r="K1567" t="s">
        <v>51</v>
      </c>
      <c r="L1567" t="s">
        <v>52</v>
      </c>
      <c r="M1567">
        <v>136553</v>
      </c>
      <c r="N1567">
        <v>471967</v>
      </c>
      <c r="O1567" t="s">
        <v>53</v>
      </c>
      <c r="P1567" t="s">
        <v>54</v>
      </c>
      <c r="Q1567" t="s">
        <v>55</v>
      </c>
      <c r="T1567" t="s">
        <v>431</v>
      </c>
      <c r="U1567">
        <v>40</v>
      </c>
      <c r="V1567" s="1">
        <v>38353</v>
      </c>
      <c r="W1567" s="1">
        <v>38353</v>
      </c>
      <c r="X1567" s="1">
        <v>38353</v>
      </c>
      <c r="Y1567" s="1">
        <v>52963</v>
      </c>
      <c r="Z1567" t="s">
        <v>51</v>
      </c>
      <c r="AB1567" t="s">
        <v>54</v>
      </c>
      <c r="AC1567">
        <v>1</v>
      </c>
      <c r="AE1567" t="s">
        <v>79</v>
      </c>
      <c r="AF1567">
        <v>20</v>
      </c>
      <c r="AG1567" s="1">
        <v>38353</v>
      </c>
      <c r="AH1567" s="1">
        <v>38353</v>
      </c>
      <c r="AI1567" s="1">
        <v>38353</v>
      </c>
      <c r="AJ1567" s="1">
        <v>45658</v>
      </c>
      <c r="AK1567" t="s">
        <v>51</v>
      </c>
      <c r="AN1567">
        <v>0</v>
      </c>
      <c r="AO1567" t="s">
        <v>54</v>
      </c>
      <c r="AP1567" t="s">
        <v>53</v>
      </c>
      <c r="AQ1567">
        <v>0</v>
      </c>
      <c r="AR1567" t="s">
        <v>145</v>
      </c>
      <c r="AS1567">
        <v>0</v>
      </c>
      <c r="AT1567">
        <v>0</v>
      </c>
      <c r="AW1567" t="s">
        <v>79</v>
      </c>
      <c r="AX1567">
        <v>20</v>
      </c>
      <c r="AY1567" s="1">
        <v>38353</v>
      </c>
      <c r="AZ1567" s="1">
        <v>38353</v>
      </c>
      <c r="BA1567" s="1">
        <v>38353</v>
      </c>
      <c r="BB1567" s="1">
        <v>45658</v>
      </c>
      <c r="BC1567" t="s">
        <v>51</v>
      </c>
      <c r="BE1567" t="s">
        <v>54</v>
      </c>
      <c r="BF1567">
        <v>5</v>
      </c>
      <c r="BG1567">
        <v>0</v>
      </c>
      <c r="BH1567" t="s">
        <v>53</v>
      </c>
      <c r="BK1567" t="s">
        <v>59</v>
      </c>
      <c r="BL1567">
        <v>14000</v>
      </c>
      <c r="BM1567" s="1">
        <v>42917</v>
      </c>
      <c r="BN1567" s="1">
        <v>42917</v>
      </c>
      <c r="BO1567" s="1">
        <v>42917</v>
      </c>
      <c r="BP1567" s="1">
        <v>44117</v>
      </c>
      <c r="BQ1567" t="s">
        <v>51</v>
      </c>
      <c r="BS1567" t="s">
        <v>60</v>
      </c>
      <c r="BT1567" t="s">
        <v>54</v>
      </c>
      <c r="BU1567" t="s">
        <v>61</v>
      </c>
      <c r="BV1567" t="s">
        <v>62</v>
      </c>
      <c r="BX1567">
        <v>24</v>
      </c>
      <c r="BY1567">
        <v>0</v>
      </c>
      <c r="BZ1567">
        <v>0</v>
      </c>
    </row>
    <row r="1568" spans="1:78" x14ac:dyDescent="0.2">
      <c r="A1568" t="s">
        <v>180</v>
      </c>
      <c r="B1568" t="s">
        <v>181</v>
      </c>
      <c r="C1568" t="s">
        <v>184</v>
      </c>
      <c r="D1568" t="s">
        <v>801</v>
      </c>
      <c r="F1568" t="str">
        <f>"252942"</f>
        <v>252942</v>
      </c>
      <c r="G1568" t="s">
        <v>49</v>
      </c>
      <c r="K1568" t="s">
        <v>51</v>
      </c>
      <c r="L1568" t="s">
        <v>52</v>
      </c>
      <c r="M1568">
        <v>136570.39000000001</v>
      </c>
      <c r="N1568">
        <v>471973.34</v>
      </c>
      <c r="O1568" t="s">
        <v>53</v>
      </c>
      <c r="P1568" t="s">
        <v>54</v>
      </c>
      <c r="Q1568" t="s">
        <v>55</v>
      </c>
      <c r="T1568" t="s">
        <v>431</v>
      </c>
      <c r="U1568">
        <v>40</v>
      </c>
      <c r="V1568" s="1">
        <v>38353</v>
      </c>
      <c r="W1568" s="1">
        <v>38353</v>
      </c>
      <c r="X1568" s="1">
        <v>38353</v>
      </c>
      <c r="Y1568" s="1">
        <v>52963</v>
      </c>
      <c r="Z1568" t="s">
        <v>51</v>
      </c>
      <c r="AB1568" t="s">
        <v>54</v>
      </c>
      <c r="AC1568">
        <v>1</v>
      </c>
      <c r="AE1568" t="s">
        <v>79</v>
      </c>
      <c r="AF1568">
        <v>20</v>
      </c>
      <c r="AG1568" s="1">
        <v>38353</v>
      </c>
      <c r="AH1568" s="1">
        <v>38353</v>
      </c>
      <c r="AI1568" s="1">
        <v>38353</v>
      </c>
      <c r="AJ1568" s="1">
        <v>45658</v>
      </c>
      <c r="AK1568" t="s">
        <v>51</v>
      </c>
      <c r="AN1568">
        <v>0</v>
      </c>
      <c r="AO1568" t="s">
        <v>54</v>
      </c>
      <c r="AP1568" t="s">
        <v>53</v>
      </c>
      <c r="AQ1568">
        <v>0</v>
      </c>
      <c r="AR1568" t="s">
        <v>145</v>
      </c>
      <c r="AS1568">
        <v>0</v>
      </c>
      <c r="AT1568">
        <v>0</v>
      </c>
      <c r="AW1568" t="s">
        <v>79</v>
      </c>
      <c r="AX1568">
        <v>20</v>
      </c>
      <c r="AY1568" s="1">
        <v>38353</v>
      </c>
      <c r="AZ1568" s="1">
        <v>38353</v>
      </c>
      <c r="BA1568" s="1">
        <v>38353</v>
      </c>
      <c r="BB1568" s="1">
        <v>45658</v>
      </c>
      <c r="BC1568" t="s">
        <v>51</v>
      </c>
      <c r="BE1568" t="s">
        <v>54</v>
      </c>
      <c r="BF1568">
        <v>5</v>
      </c>
      <c r="BG1568">
        <v>0</v>
      </c>
      <c r="BH1568" t="s">
        <v>53</v>
      </c>
      <c r="BK1568" t="s">
        <v>59</v>
      </c>
      <c r="BL1568">
        <v>14000</v>
      </c>
      <c r="BM1568" s="1">
        <v>42917</v>
      </c>
      <c r="BN1568" s="1">
        <v>42917</v>
      </c>
      <c r="BO1568" s="1">
        <v>42917</v>
      </c>
      <c r="BP1568" s="1">
        <v>44117</v>
      </c>
      <c r="BQ1568" t="s">
        <v>51</v>
      </c>
      <c r="BS1568" t="s">
        <v>60</v>
      </c>
      <c r="BT1568" t="s">
        <v>54</v>
      </c>
      <c r="BU1568" t="s">
        <v>61</v>
      </c>
      <c r="BV1568" t="s">
        <v>62</v>
      </c>
      <c r="BX1568">
        <v>24</v>
      </c>
      <c r="BY1568">
        <v>0</v>
      </c>
      <c r="BZ1568">
        <v>0</v>
      </c>
    </row>
    <row r="1569" spans="1:78" x14ac:dyDescent="0.2">
      <c r="A1569" t="s">
        <v>180</v>
      </c>
      <c r="B1569" t="s">
        <v>181</v>
      </c>
      <c r="C1569" t="s">
        <v>184</v>
      </c>
      <c r="D1569" t="s">
        <v>801</v>
      </c>
      <c r="F1569" t="str">
        <f>"252943"</f>
        <v>252943</v>
      </c>
      <c r="G1569" t="s">
        <v>49</v>
      </c>
      <c r="K1569" t="s">
        <v>51</v>
      </c>
      <c r="L1569" t="s">
        <v>52</v>
      </c>
      <c r="M1569">
        <v>136563.92000000001</v>
      </c>
      <c r="N1569">
        <v>471987.91</v>
      </c>
      <c r="O1569" t="s">
        <v>53</v>
      </c>
      <c r="P1569" t="s">
        <v>54</v>
      </c>
      <c r="Q1569" t="s">
        <v>55</v>
      </c>
      <c r="T1569" t="s">
        <v>431</v>
      </c>
      <c r="U1569">
        <v>40</v>
      </c>
      <c r="V1569" s="1">
        <v>38353</v>
      </c>
      <c r="W1569" s="1">
        <v>38353</v>
      </c>
      <c r="X1569" s="1">
        <v>38353</v>
      </c>
      <c r="Y1569" s="1">
        <v>52963</v>
      </c>
      <c r="Z1569" t="s">
        <v>51</v>
      </c>
      <c r="AB1569" t="s">
        <v>54</v>
      </c>
      <c r="AC1569">
        <v>1</v>
      </c>
      <c r="AE1569" t="s">
        <v>79</v>
      </c>
      <c r="AF1569">
        <v>20</v>
      </c>
      <c r="AG1569" s="1">
        <v>38353</v>
      </c>
      <c r="AH1569" s="1">
        <v>38353</v>
      </c>
      <c r="AI1569" s="1">
        <v>38353</v>
      </c>
      <c r="AJ1569" s="1">
        <v>45658</v>
      </c>
      <c r="AK1569" t="s">
        <v>51</v>
      </c>
      <c r="AN1569">
        <v>0</v>
      </c>
      <c r="AO1569" t="s">
        <v>54</v>
      </c>
      <c r="AP1569" t="s">
        <v>53</v>
      </c>
      <c r="AQ1569">
        <v>0</v>
      </c>
      <c r="AR1569" t="s">
        <v>145</v>
      </c>
      <c r="AS1569">
        <v>0</v>
      </c>
      <c r="AT1569">
        <v>0</v>
      </c>
      <c r="AW1569" t="s">
        <v>79</v>
      </c>
      <c r="AX1569">
        <v>20</v>
      </c>
      <c r="AY1569" s="1">
        <v>38353</v>
      </c>
      <c r="AZ1569" s="1">
        <v>38353</v>
      </c>
      <c r="BA1569" s="1">
        <v>38353</v>
      </c>
      <c r="BB1569" s="1">
        <v>45658</v>
      </c>
      <c r="BC1569" t="s">
        <v>51</v>
      </c>
      <c r="BE1569" t="s">
        <v>54</v>
      </c>
      <c r="BF1569">
        <v>5</v>
      </c>
      <c r="BG1569">
        <v>0</v>
      </c>
      <c r="BH1569" t="s">
        <v>53</v>
      </c>
      <c r="BK1569" t="s">
        <v>59</v>
      </c>
      <c r="BL1569">
        <v>14000</v>
      </c>
      <c r="BM1569" s="1">
        <v>42917</v>
      </c>
      <c r="BN1569" s="1">
        <v>42917</v>
      </c>
      <c r="BO1569" s="1">
        <v>42917</v>
      </c>
      <c r="BP1569" s="1">
        <v>44117</v>
      </c>
      <c r="BQ1569" t="s">
        <v>51</v>
      </c>
      <c r="BS1569" t="s">
        <v>60</v>
      </c>
      <c r="BT1569" t="s">
        <v>54</v>
      </c>
      <c r="BU1569" t="s">
        <v>61</v>
      </c>
      <c r="BV1569" t="s">
        <v>62</v>
      </c>
      <c r="BX1569">
        <v>24</v>
      </c>
      <c r="BY1569">
        <v>0</v>
      </c>
      <c r="BZ1569">
        <v>0</v>
      </c>
    </row>
    <row r="1570" spans="1:78" x14ac:dyDescent="0.2">
      <c r="A1570" t="s">
        <v>180</v>
      </c>
      <c r="B1570" t="s">
        <v>181</v>
      </c>
      <c r="C1570" t="s">
        <v>184</v>
      </c>
      <c r="D1570" t="s">
        <v>801</v>
      </c>
      <c r="F1570" t="str">
        <f>"252944"</f>
        <v>252944</v>
      </c>
      <c r="G1570" t="s">
        <v>49</v>
      </c>
      <c r="K1570" t="s">
        <v>51</v>
      </c>
      <c r="L1570" t="s">
        <v>52</v>
      </c>
      <c r="M1570">
        <v>136579.53</v>
      </c>
      <c r="N1570">
        <v>471984.25</v>
      </c>
      <c r="O1570" t="s">
        <v>53</v>
      </c>
      <c r="P1570" t="s">
        <v>54</v>
      </c>
      <c r="Q1570" t="s">
        <v>55</v>
      </c>
      <c r="T1570" t="s">
        <v>431</v>
      </c>
      <c r="U1570">
        <v>40</v>
      </c>
      <c r="V1570" s="1">
        <v>38353</v>
      </c>
      <c r="W1570" s="1">
        <v>38353</v>
      </c>
      <c r="X1570" s="1">
        <v>38353</v>
      </c>
      <c r="Y1570" s="1">
        <v>52963</v>
      </c>
      <c r="Z1570" t="s">
        <v>51</v>
      </c>
      <c r="AB1570" t="s">
        <v>54</v>
      </c>
      <c r="AC1570">
        <v>1</v>
      </c>
      <c r="AE1570" t="s">
        <v>79</v>
      </c>
      <c r="AF1570">
        <v>20</v>
      </c>
      <c r="AG1570" s="1">
        <v>38353</v>
      </c>
      <c r="AH1570" s="1">
        <v>38353</v>
      </c>
      <c r="AI1570" s="1">
        <v>38353</v>
      </c>
      <c r="AJ1570" s="1">
        <v>45658</v>
      </c>
      <c r="AK1570" t="s">
        <v>51</v>
      </c>
      <c r="AN1570">
        <v>0</v>
      </c>
      <c r="AO1570" t="s">
        <v>54</v>
      </c>
      <c r="AP1570" t="s">
        <v>53</v>
      </c>
      <c r="AQ1570">
        <v>0</v>
      </c>
      <c r="AR1570" t="s">
        <v>145</v>
      </c>
      <c r="AS1570">
        <v>0</v>
      </c>
      <c r="AT1570">
        <v>0</v>
      </c>
      <c r="AW1570" t="s">
        <v>79</v>
      </c>
      <c r="AX1570">
        <v>20</v>
      </c>
      <c r="AY1570" s="1">
        <v>38353</v>
      </c>
      <c r="AZ1570" s="1">
        <v>38353</v>
      </c>
      <c r="BA1570" s="1">
        <v>38353</v>
      </c>
      <c r="BB1570" s="1">
        <v>45658</v>
      </c>
      <c r="BC1570" t="s">
        <v>51</v>
      </c>
      <c r="BE1570" t="s">
        <v>54</v>
      </c>
      <c r="BF1570">
        <v>5</v>
      </c>
      <c r="BG1570">
        <v>0</v>
      </c>
      <c r="BH1570" t="s">
        <v>53</v>
      </c>
      <c r="BK1570" t="s">
        <v>59</v>
      </c>
      <c r="BL1570">
        <v>14000</v>
      </c>
      <c r="BM1570" s="1">
        <v>42917</v>
      </c>
      <c r="BN1570" s="1">
        <v>42917</v>
      </c>
      <c r="BO1570" s="1">
        <v>42917</v>
      </c>
      <c r="BP1570" s="1">
        <v>44117</v>
      </c>
      <c r="BQ1570" t="s">
        <v>51</v>
      </c>
      <c r="BS1570" t="s">
        <v>60</v>
      </c>
      <c r="BT1570" t="s">
        <v>54</v>
      </c>
      <c r="BU1570" t="s">
        <v>61</v>
      </c>
      <c r="BV1570" t="s">
        <v>62</v>
      </c>
      <c r="BX1570">
        <v>24</v>
      </c>
      <c r="BY1570">
        <v>0</v>
      </c>
      <c r="BZ1570">
        <v>0</v>
      </c>
    </row>
    <row r="1571" spans="1:78" x14ac:dyDescent="0.2">
      <c r="A1571" t="s">
        <v>180</v>
      </c>
      <c r="B1571" t="s">
        <v>181</v>
      </c>
      <c r="C1571" t="s">
        <v>184</v>
      </c>
      <c r="D1571" t="s">
        <v>801</v>
      </c>
      <c r="F1571" t="str">
        <f>"252945"</f>
        <v>252945</v>
      </c>
      <c r="G1571" t="s">
        <v>49</v>
      </c>
      <c r="K1571" t="s">
        <v>51</v>
      </c>
      <c r="L1571" t="s">
        <v>52</v>
      </c>
      <c r="M1571">
        <v>136591.22</v>
      </c>
      <c r="N1571">
        <v>471968.19</v>
      </c>
      <c r="O1571" t="s">
        <v>53</v>
      </c>
      <c r="P1571" t="s">
        <v>54</v>
      </c>
      <c r="Q1571" t="s">
        <v>55</v>
      </c>
      <c r="T1571" t="s">
        <v>431</v>
      </c>
      <c r="U1571">
        <v>40</v>
      </c>
      <c r="V1571" s="1">
        <v>38353</v>
      </c>
      <c r="W1571" s="1">
        <v>38353</v>
      </c>
      <c r="X1571" s="1">
        <v>38353</v>
      </c>
      <c r="Y1571" s="1">
        <v>52963</v>
      </c>
      <c r="Z1571" t="s">
        <v>51</v>
      </c>
      <c r="AB1571" t="s">
        <v>54</v>
      </c>
      <c r="AC1571">
        <v>1</v>
      </c>
      <c r="AE1571" t="s">
        <v>79</v>
      </c>
      <c r="AF1571">
        <v>20</v>
      </c>
      <c r="AG1571" s="1">
        <v>38353</v>
      </c>
      <c r="AH1571" s="1">
        <v>38353</v>
      </c>
      <c r="AI1571" s="1">
        <v>38353</v>
      </c>
      <c r="AJ1571" s="1">
        <v>45658</v>
      </c>
      <c r="AK1571" t="s">
        <v>51</v>
      </c>
      <c r="AN1571">
        <v>0</v>
      </c>
      <c r="AO1571" t="s">
        <v>54</v>
      </c>
      <c r="AP1571" t="s">
        <v>53</v>
      </c>
      <c r="AQ1571">
        <v>0</v>
      </c>
      <c r="AR1571" t="s">
        <v>145</v>
      </c>
      <c r="AS1571">
        <v>0</v>
      </c>
      <c r="AT1571">
        <v>0</v>
      </c>
      <c r="AW1571" t="s">
        <v>79</v>
      </c>
      <c r="AX1571">
        <v>20</v>
      </c>
      <c r="AY1571" s="1">
        <v>38353</v>
      </c>
      <c r="AZ1571" s="1">
        <v>38353</v>
      </c>
      <c r="BA1571" s="1">
        <v>38353</v>
      </c>
      <c r="BB1571" s="1">
        <v>45658</v>
      </c>
      <c r="BC1571" t="s">
        <v>51</v>
      </c>
      <c r="BE1571" t="s">
        <v>54</v>
      </c>
      <c r="BF1571">
        <v>5</v>
      </c>
      <c r="BG1571">
        <v>0</v>
      </c>
      <c r="BH1571" t="s">
        <v>53</v>
      </c>
      <c r="BK1571" t="s">
        <v>59</v>
      </c>
      <c r="BL1571">
        <v>14000</v>
      </c>
      <c r="BM1571" s="1">
        <v>42917</v>
      </c>
      <c r="BN1571" s="1">
        <v>42917</v>
      </c>
      <c r="BO1571" s="1">
        <v>42917</v>
      </c>
      <c r="BP1571" s="1">
        <v>44117</v>
      </c>
      <c r="BQ1571" t="s">
        <v>51</v>
      </c>
      <c r="BS1571" t="s">
        <v>60</v>
      </c>
      <c r="BT1571" t="s">
        <v>54</v>
      </c>
      <c r="BU1571" t="s">
        <v>61</v>
      </c>
      <c r="BV1571" t="s">
        <v>62</v>
      </c>
      <c r="BX1571">
        <v>24</v>
      </c>
      <c r="BY1571">
        <v>0</v>
      </c>
      <c r="BZ1571">
        <v>0</v>
      </c>
    </row>
    <row r="1572" spans="1:78" x14ac:dyDescent="0.2">
      <c r="A1572" t="s">
        <v>180</v>
      </c>
      <c r="B1572" t="s">
        <v>181</v>
      </c>
      <c r="C1572" t="s">
        <v>184</v>
      </c>
      <c r="D1572" t="s">
        <v>801</v>
      </c>
      <c r="F1572" t="str">
        <f>"252946"</f>
        <v>252946</v>
      </c>
      <c r="G1572" t="s">
        <v>49</v>
      </c>
      <c r="K1572" t="s">
        <v>51</v>
      </c>
      <c r="L1572" t="s">
        <v>52</v>
      </c>
      <c r="M1572">
        <v>136603.37</v>
      </c>
      <c r="N1572">
        <v>471974.73</v>
      </c>
      <c r="O1572" t="s">
        <v>53</v>
      </c>
      <c r="P1572" t="s">
        <v>54</v>
      </c>
      <c r="Q1572" t="s">
        <v>55</v>
      </c>
      <c r="T1572" t="s">
        <v>431</v>
      </c>
      <c r="U1572">
        <v>40</v>
      </c>
      <c r="V1572" s="1">
        <v>38353</v>
      </c>
      <c r="W1572" s="1">
        <v>38353</v>
      </c>
      <c r="X1572" s="1">
        <v>38353</v>
      </c>
      <c r="Y1572" s="1">
        <v>52963</v>
      </c>
      <c r="Z1572" t="s">
        <v>51</v>
      </c>
      <c r="AB1572" t="s">
        <v>54</v>
      </c>
      <c r="AC1572">
        <v>1</v>
      </c>
      <c r="AE1572" t="s">
        <v>79</v>
      </c>
      <c r="AF1572">
        <v>20</v>
      </c>
      <c r="AG1572" s="1">
        <v>38353</v>
      </c>
      <c r="AH1572" s="1">
        <v>38353</v>
      </c>
      <c r="AI1572" s="1">
        <v>38353</v>
      </c>
      <c r="AJ1572" s="1">
        <v>45658</v>
      </c>
      <c r="AK1572" t="s">
        <v>51</v>
      </c>
      <c r="AN1572">
        <v>0</v>
      </c>
      <c r="AO1572" t="s">
        <v>54</v>
      </c>
      <c r="AP1572" t="s">
        <v>53</v>
      </c>
      <c r="AQ1572">
        <v>0</v>
      </c>
      <c r="AR1572" t="s">
        <v>145</v>
      </c>
      <c r="AS1572">
        <v>0</v>
      </c>
      <c r="AT1572">
        <v>0</v>
      </c>
      <c r="AW1572" t="s">
        <v>79</v>
      </c>
      <c r="AX1572">
        <v>20</v>
      </c>
      <c r="AY1572" s="1">
        <v>38353</v>
      </c>
      <c r="AZ1572" s="1">
        <v>38353</v>
      </c>
      <c r="BA1572" s="1">
        <v>38353</v>
      </c>
      <c r="BB1572" s="1">
        <v>45658</v>
      </c>
      <c r="BC1572" t="s">
        <v>51</v>
      </c>
      <c r="BE1572" t="s">
        <v>54</v>
      </c>
      <c r="BF1572">
        <v>5</v>
      </c>
      <c r="BG1572">
        <v>0</v>
      </c>
      <c r="BH1572" t="s">
        <v>53</v>
      </c>
      <c r="BK1572" t="s">
        <v>59</v>
      </c>
      <c r="BL1572">
        <v>14000</v>
      </c>
      <c r="BM1572" s="1">
        <v>42917</v>
      </c>
      <c r="BN1572" s="1">
        <v>42917</v>
      </c>
      <c r="BO1572" s="1">
        <v>42917</v>
      </c>
      <c r="BP1572" s="1">
        <v>44117</v>
      </c>
      <c r="BQ1572" t="s">
        <v>51</v>
      </c>
      <c r="BS1572" t="s">
        <v>60</v>
      </c>
      <c r="BT1572" t="s">
        <v>54</v>
      </c>
      <c r="BU1572" t="s">
        <v>61</v>
      </c>
      <c r="BV1572" t="s">
        <v>62</v>
      </c>
      <c r="BX1572">
        <v>24</v>
      </c>
      <c r="BY1572">
        <v>0</v>
      </c>
      <c r="BZ1572">
        <v>0</v>
      </c>
    </row>
    <row r="1573" spans="1:78" x14ac:dyDescent="0.2">
      <c r="A1573" t="s">
        <v>180</v>
      </c>
      <c r="B1573" t="s">
        <v>181</v>
      </c>
      <c r="C1573" t="s">
        <v>184</v>
      </c>
      <c r="D1573" t="s">
        <v>801</v>
      </c>
      <c r="F1573" t="str">
        <f>"252947"</f>
        <v>252947</v>
      </c>
      <c r="G1573" t="s">
        <v>49</v>
      </c>
      <c r="K1573" t="s">
        <v>51</v>
      </c>
      <c r="L1573" t="s">
        <v>52</v>
      </c>
      <c r="M1573">
        <v>136607.07999999999</v>
      </c>
      <c r="N1573">
        <v>471959.59</v>
      </c>
      <c r="O1573" t="s">
        <v>53</v>
      </c>
      <c r="P1573" t="s">
        <v>54</v>
      </c>
      <c r="Q1573" t="s">
        <v>55</v>
      </c>
      <c r="T1573" t="s">
        <v>431</v>
      </c>
      <c r="U1573">
        <v>40</v>
      </c>
      <c r="V1573" s="1">
        <v>38353</v>
      </c>
      <c r="W1573" s="1">
        <v>38353</v>
      </c>
      <c r="X1573" s="1">
        <v>38353</v>
      </c>
      <c r="Y1573" s="1">
        <v>52963</v>
      </c>
      <c r="Z1573" t="s">
        <v>51</v>
      </c>
      <c r="AB1573" t="s">
        <v>54</v>
      </c>
      <c r="AC1573">
        <v>1</v>
      </c>
      <c r="AE1573" t="s">
        <v>79</v>
      </c>
      <c r="AF1573">
        <v>20</v>
      </c>
      <c r="AG1573" s="1">
        <v>38353</v>
      </c>
      <c r="AH1573" s="1">
        <v>38353</v>
      </c>
      <c r="AI1573" s="1">
        <v>38353</v>
      </c>
      <c r="AJ1573" s="1">
        <v>45658</v>
      </c>
      <c r="AK1573" t="s">
        <v>51</v>
      </c>
      <c r="AN1573">
        <v>0</v>
      </c>
      <c r="AO1573" t="s">
        <v>54</v>
      </c>
      <c r="AP1573" t="s">
        <v>53</v>
      </c>
      <c r="AQ1573">
        <v>0</v>
      </c>
      <c r="AR1573" t="s">
        <v>145</v>
      </c>
      <c r="AS1573">
        <v>0</v>
      </c>
      <c r="AT1573">
        <v>0</v>
      </c>
      <c r="AW1573" t="s">
        <v>79</v>
      </c>
      <c r="AX1573">
        <v>20</v>
      </c>
      <c r="AY1573" s="1">
        <v>38353</v>
      </c>
      <c r="AZ1573" s="1">
        <v>38353</v>
      </c>
      <c r="BA1573" s="1">
        <v>38353</v>
      </c>
      <c r="BB1573" s="1">
        <v>45658</v>
      </c>
      <c r="BC1573" t="s">
        <v>51</v>
      </c>
      <c r="BE1573" t="s">
        <v>54</v>
      </c>
      <c r="BF1573">
        <v>5</v>
      </c>
      <c r="BG1573">
        <v>0</v>
      </c>
      <c r="BH1573" t="s">
        <v>53</v>
      </c>
      <c r="BK1573" t="s">
        <v>59</v>
      </c>
      <c r="BL1573">
        <v>14000</v>
      </c>
      <c r="BM1573" s="1">
        <v>42917</v>
      </c>
      <c r="BN1573" s="1">
        <v>42917</v>
      </c>
      <c r="BO1573" s="1">
        <v>42917</v>
      </c>
      <c r="BP1573" s="1">
        <v>44117</v>
      </c>
      <c r="BQ1573" t="s">
        <v>51</v>
      </c>
      <c r="BS1573" t="s">
        <v>60</v>
      </c>
      <c r="BT1573" t="s">
        <v>54</v>
      </c>
      <c r="BU1573" t="s">
        <v>61</v>
      </c>
      <c r="BV1573" t="s">
        <v>62</v>
      </c>
      <c r="BX1573">
        <v>24</v>
      </c>
      <c r="BY1573">
        <v>0</v>
      </c>
      <c r="BZ1573">
        <v>0</v>
      </c>
    </row>
    <row r="1574" spans="1:78" x14ac:dyDescent="0.2">
      <c r="A1574" t="s">
        <v>180</v>
      </c>
      <c r="B1574" t="s">
        <v>181</v>
      </c>
      <c r="C1574" t="s">
        <v>184</v>
      </c>
      <c r="D1574" t="s">
        <v>801</v>
      </c>
      <c r="F1574" t="str">
        <f>"252948"</f>
        <v>252948</v>
      </c>
      <c r="G1574" t="s">
        <v>49</v>
      </c>
      <c r="K1574" t="s">
        <v>51</v>
      </c>
      <c r="L1574" t="s">
        <v>52</v>
      </c>
      <c r="M1574">
        <v>136627.17000000001</v>
      </c>
      <c r="N1574">
        <v>471949.88</v>
      </c>
      <c r="O1574" t="s">
        <v>53</v>
      </c>
      <c r="P1574" t="s">
        <v>54</v>
      </c>
      <c r="Q1574" t="s">
        <v>55</v>
      </c>
      <c r="T1574" t="s">
        <v>431</v>
      </c>
      <c r="U1574">
        <v>40</v>
      </c>
      <c r="V1574" s="1">
        <v>38353</v>
      </c>
      <c r="W1574" s="1">
        <v>38353</v>
      </c>
      <c r="X1574" s="1">
        <v>38353</v>
      </c>
      <c r="Y1574" s="1">
        <v>52963</v>
      </c>
      <c r="Z1574" t="s">
        <v>51</v>
      </c>
      <c r="AB1574" t="s">
        <v>54</v>
      </c>
      <c r="AC1574">
        <v>1</v>
      </c>
      <c r="AE1574" t="s">
        <v>79</v>
      </c>
      <c r="AF1574">
        <v>20</v>
      </c>
      <c r="AG1574" s="1">
        <v>38353</v>
      </c>
      <c r="AH1574" s="1">
        <v>38353</v>
      </c>
      <c r="AI1574" s="1">
        <v>38353</v>
      </c>
      <c r="AJ1574" s="1">
        <v>45658</v>
      </c>
      <c r="AK1574" t="s">
        <v>51</v>
      </c>
      <c r="AN1574">
        <v>0</v>
      </c>
      <c r="AO1574" t="s">
        <v>54</v>
      </c>
      <c r="AP1574" t="s">
        <v>53</v>
      </c>
      <c r="AQ1574">
        <v>0</v>
      </c>
      <c r="AR1574" t="s">
        <v>145</v>
      </c>
      <c r="AS1574">
        <v>0</v>
      </c>
      <c r="AT1574">
        <v>0</v>
      </c>
      <c r="AW1574" t="s">
        <v>79</v>
      </c>
      <c r="AX1574">
        <v>20</v>
      </c>
      <c r="AY1574" s="1">
        <v>38353</v>
      </c>
      <c r="AZ1574" s="1">
        <v>38353</v>
      </c>
      <c r="BA1574" s="1">
        <v>38353</v>
      </c>
      <c r="BB1574" s="1">
        <v>45658</v>
      </c>
      <c r="BC1574" t="s">
        <v>51</v>
      </c>
      <c r="BE1574" t="s">
        <v>54</v>
      </c>
      <c r="BF1574">
        <v>5</v>
      </c>
      <c r="BG1574">
        <v>0</v>
      </c>
      <c r="BH1574" t="s">
        <v>53</v>
      </c>
      <c r="BK1574" t="s">
        <v>59</v>
      </c>
      <c r="BL1574">
        <v>14000</v>
      </c>
      <c r="BM1574" s="1">
        <v>42917</v>
      </c>
      <c r="BN1574" s="1">
        <v>42917</v>
      </c>
      <c r="BO1574" s="1">
        <v>42917</v>
      </c>
      <c r="BP1574" s="1">
        <v>44117</v>
      </c>
      <c r="BQ1574" t="s">
        <v>51</v>
      </c>
      <c r="BS1574" t="s">
        <v>60</v>
      </c>
      <c r="BT1574" t="s">
        <v>54</v>
      </c>
      <c r="BU1574" t="s">
        <v>61</v>
      </c>
      <c r="BV1574" t="s">
        <v>62</v>
      </c>
      <c r="BX1574">
        <v>24</v>
      </c>
      <c r="BY1574">
        <v>0</v>
      </c>
      <c r="BZ1574">
        <v>0</v>
      </c>
    </row>
    <row r="1575" spans="1:78" x14ac:dyDescent="0.2">
      <c r="A1575" t="s">
        <v>180</v>
      </c>
      <c r="B1575" t="s">
        <v>181</v>
      </c>
      <c r="C1575" t="s">
        <v>184</v>
      </c>
      <c r="D1575" t="s">
        <v>801</v>
      </c>
      <c r="F1575" t="str">
        <f>"252950"</f>
        <v>252950</v>
      </c>
      <c r="G1575" t="s">
        <v>49</v>
      </c>
      <c r="K1575" t="s">
        <v>51</v>
      </c>
      <c r="L1575" t="s">
        <v>52</v>
      </c>
      <c r="M1575">
        <v>136641.85999999999</v>
      </c>
      <c r="N1575">
        <v>471942.06</v>
      </c>
      <c r="O1575" t="s">
        <v>53</v>
      </c>
      <c r="P1575" t="s">
        <v>54</v>
      </c>
      <c r="Q1575" t="s">
        <v>55</v>
      </c>
      <c r="T1575" t="s">
        <v>431</v>
      </c>
      <c r="U1575">
        <v>40</v>
      </c>
      <c r="V1575" s="1">
        <v>38353</v>
      </c>
      <c r="W1575" s="1">
        <v>38353</v>
      </c>
      <c r="X1575" s="1">
        <v>38353</v>
      </c>
      <c r="Y1575" s="1">
        <v>52963</v>
      </c>
      <c r="Z1575" t="s">
        <v>51</v>
      </c>
      <c r="AB1575" t="s">
        <v>54</v>
      </c>
      <c r="AC1575">
        <v>1</v>
      </c>
      <c r="AE1575" t="s">
        <v>79</v>
      </c>
      <c r="AF1575">
        <v>20</v>
      </c>
      <c r="AG1575" s="1">
        <v>38353</v>
      </c>
      <c r="AH1575" s="1">
        <v>38353</v>
      </c>
      <c r="AI1575" s="1">
        <v>38353</v>
      </c>
      <c r="AJ1575" s="1">
        <v>45658</v>
      </c>
      <c r="AK1575" t="s">
        <v>51</v>
      </c>
      <c r="AN1575">
        <v>0</v>
      </c>
      <c r="AO1575" t="s">
        <v>54</v>
      </c>
      <c r="AP1575" t="s">
        <v>53</v>
      </c>
      <c r="AQ1575">
        <v>0</v>
      </c>
      <c r="AR1575" t="s">
        <v>145</v>
      </c>
      <c r="AS1575">
        <v>0</v>
      </c>
      <c r="AT1575">
        <v>0</v>
      </c>
      <c r="AW1575" t="s">
        <v>79</v>
      </c>
      <c r="AX1575">
        <v>20</v>
      </c>
      <c r="AY1575" s="1">
        <v>38353</v>
      </c>
      <c r="AZ1575" s="1">
        <v>38353</v>
      </c>
      <c r="BA1575" s="1">
        <v>38353</v>
      </c>
      <c r="BB1575" s="1">
        <v>45658</v>
      </c>
      <c r="BC1575" t="s">
        <v>51</v>
      </c>
      <c r="BE1575" t="s">
        <v>54</v>
      </c>
      <c r="BF1575">
        <v>5</v>
      </c>
      <c r="BG1575">
        <v>0</v>
      </c>
      <c r="BH1575" t="s">
        <v>53</v>
      </c>
      <c r="BK1575" t="s">
        <v>59</v>
      </c>
      <c r="BL1575">
        <v>14000</v>
      </c>
      <c r="BM1575" s="1">
        <v>42917</v>
      </c>
      <c r="BN1575" s="1">
        <v>42917</v>
      </c>
      <c r="BO1575" s="1">
        <v>42917</v>
      </c>
      <c r="BP1575" s="1">
        <v>44117</v>
      </c>
      <c r="BQ1575" t="s">
        <v>51</v>
      </c>
      <c r="BS1575" t="s">
        <v>60</v>
      </c>
      <c r="BT1575" t="s">
        <v>54</v>
      </c>
      <c r="BU1575" t="s">
        <v>61</v>
      </c>
      <c r="BV1575" t="s">
        <v>62</v>
      </c>
      <c r="BX1575">
        <v>24</v>
      </c>
      <c r="BY1575">
        <v>0</v>
      </c>
      <c r="BZ1575">
        <v>0</v>
      </c>
    </row>
    <row r="1576" spans="1:78" x14ac:dyDescent="0.2">
      <c r="A1576" t="s">
        <v>180</v>
      </c>
      <c r="B1576" t="s">
        <v>181</v>
      </c>
      <c r="C1576" t="s">
        <v>184</v>
      </c>
      <c r="D1576" t="s">
        <v>801</v>
      </c>
      <c r="F1576" t="str">
        <f>"252951"</f>
        <v>252951</v>
      </c>
      <c r="G1576" t="s">
        <v>49</v>
      </c>
      <c r="K1576" t="s">
        <v>51</v>
      </c>
      <c r="L1576" t="s">
        <v>52</v>
      </c>
      <c r="M1576">
        <v>136660.64000000001</v>
      </c>
      <c r="N1576">
        <v>471945.22</v>
      </c>
      <c r="O1576" t="s">
        <v>53</v>
      </c>
      <c r="P1576" t="s">
        <v>54</v>
      </c>
      <c r="Q1576" t="s">
        <v>55</v>
      </c>
      <c r="T1576" t="s">
        <v>431</v>
      </c>
      <c r="U1576">
        <v>40</v>
      </c>
      <c r="V1576" s="1">
        <v>38353</v>
      </c>
      <c r="W1576" s="1">
        <v>38353</v>
      </c>
      <c r="X1576" s="1">
        <v>38353</v>
      </c>
      <c r="Y1576" s="1">
        <v>52963</v>
      </c>
      <c r="Z1576" t="s">
        <v>51</v>
      </c>
      <c r="AB1576" t="s">
        <v>54</v>
      </c>
      <c r="AC1576">
        <v>1</v>
      </c>
      <c r="AE1576" t="s">
        <v>79</v>
      </c>
      <c r="AF1576">
        <v>20</v>
      </c>
      <c r="AG1576" s="1">
        <v>38353</v>
      </c>
      <c r="AH1576" s="1">
        <v>38353</v>
      </c>
      <c r="AI1576" s="1">
        <v>38353</v>
      </c>
      <c r="AJ1576" s="1">
        <v>45658</v>
      </c>
      <c r="AK1576" t="s">
        <v>51</v>
      </c>
      <c r="AN1576">
        <v>0</v>
      </c>
      <c r="AO1576" t="s">
        <v>54</v>
      </c>
      <c r="AP1576" t="s">
        <v>53</v>
      </c>
      <c r="AQ1576">
        <v>0</v>
      </c>
      <c r="AR1576" t="s">
        <v>145</v>
      </c>
      <c r="AS1576">
        <v>0</v>
      </c>
      <c r="AT1576">
        <v>0</v>
      </c>
      <c r="AW1576" t="s">
        <v>79</v>
      </c>
      <c r="AX1576">
        <v>20</v>
      </c>
      <c r="AY1576" s="1">
        <v>38353</v>
      </c>
      <c r="AZ1576" s="1">
        <v>38353</v>
      </c>
      <c r="BA1576" s="1">
        <v>38353</v>
      </c>
      <c r="BB1576" s="1">
        <v>45658</v>
      </c>
      <c r="BC1576" t="s">
        <v>51</v>
      </c>
      <c r="BE1576" t="s">
        <v>54</v>
      </c>
      <c r="BF1576">
        <v>5</v>
      </c>
      <c r="BG1576">
        <v>0</v>
      </c>
      <c r="BH1576" t="s">
        <v>53</v>
      </c>
      <c r="BK1576" t="s">
        <v>59</v>
      </c>
      <c r="BL1576">
        <v>14000</v>
      </c>
      <c r="BM1576" s="1">
        <v>42917</v>
      </c>
      <c r="BN1576" s="1">
        <v>42917</v>
      </c>
      <c r="BO1576" s="1">
        <v>42917</v>
      </c>
      <c r="BP1576" s="1">
        <v>44117</v>
      </c>
      <c r="BQ1576" t="s">
        <v>51</v>
      </c>
      <c r="BS1576" t="s">
        <v>60</v>
      </c>
      <c r="BT1576" t="s">
        <v>54</v>
      </c>
      <c r="BU1576" t="s">
        <v>61</v>
      </c>
      <c r="BV1576" t="s">
        <v>62</v>
      </c>
      <c r="BX1576">
        <v>24</v>
      </c>
      <c r="BY1576">
        <v>0</v>
      </c>
      <c r="BZ1576">
        <v>0</v>
      </c>
    </row>
    <row r="1577" spans="1:78" x14ac:dyDescent="0.2">
      <c r="A1577" t="s">
        <v>180</v>
      </c>
      <c r="B1577" t="s">
        <v>181</v>
      </c>
      <c r="C1577" t="s">
        <v>184</v>
      </c>
      <c r="D1577" t="s">
        <v>801</v>
      </c>
      <c r="F1577" t="str">
        <f>"252952"</f>
        <v>252952</v>
      </c>
      <c r="G1577" t="s">
        <v>49</v>
      </c>
      <c r="K1577" t="s">
        <v>51</v>
      </c>
      <c r="L1577" t="s">
        <v>52</v>
      </c>
      <c r="M1577">
        <v>136662.54999999999</v>
      </c>
      <c r="N1577">
        <v>471930.38</v>
      </c>
      <c r="O1577" t="s">
        <v>53</v>
      </c>
      <c r="P1577" t="s">
        <v>54</v>
      </c>
      <c r="Q1577" t="s">
        <v>55</v>
      </c>
      <c r="T1577" t="s">
        <v>431</v>
      </c>
      <c r="U1577">
        <v>40</v>
      </c>
      <c r="V1577" s="1">
        <v>38353</v>
      </c>
      <c r="W1577" s="1">
        <v>38353</v>
      </c>
      <c r="X1577" s="1">
        <v>38353</v>
      </c>
      <c r="Y1577" s="1">
        <v>52963</v>
      </c>
      <c r="Z1577" t="s">
        <v>51</v>
      </c>
      <c r="AB1577" t="s">
        <v>54</v>
      </c>
      <c r="AC1577">
        <v>1</v>
      </c>
      <c r="AE1577" t="s">
        <v>79</v>
      </c>
      <c r="AF1577">
        <v>20</v>
      </c>
      <c r="AG1577" s="1">
        <v>38353</v>
      </c>
      <c r="AH1577" s="1">
        <v>38353</v>
      </c>
      <c r="AI1577" s="1">
        <v>38353</v>
      </c>
      <c r="AJ1577" s="1">
        <v>45658</v>
      </c>
      <c r="AK1577" t="s">
        <v>51</v>
      </c>
      <c r="AN1577">
        <v>0</v>
      </c>
      <c r="AO1577" t="s">
        <v>54</v>
      </c>
      <c r="AP1577" t="s">
        <v>53</v>
      </c>
      <c r="AQ1577">
        <v>0</v>
      </c>
      <c r="AR1577" t="s">
        <v>145</v>
      </c>
      <c r="AS1577">
        <v>0</v>
      </c>
      <c r="AT1577">
        <v>0</v>
      </c>
      <c r="AW1577" t="s">
        <v>79</v>
      </c>
      <c r="AX1577">
        <v>20</v>
      </c>
      <c r="AY1577" s="1">
        <v>38353</v>
      </c>
      <c r="AZ1577" s="1">
        <v>38353</v>
      </c>
      <c r="BA1577" s="1">
        <v>38353</v>
      </c>
      <c r="BB1577" s="1">
        <v>45658</v>
      </c>
      <c r="BC1577" t="s">
        <v>51</v>
      </c>
      <c r="BE1577" t="s">
        <v>54</v>
      </c>
      <c r="BF1577">
        <v>5</v>
      </c>
      <c r="BG1577">
        <v>0</v>
      </c>
      <c r="BH1577" t="s">
        <v>53</v>
      </c>
      <c r="BK1577" t="s">
        <v>59</v>
      </c>
      <c r="BL1577">
        <v>14000</v>
      </c>
      <c r="BM1577" s="1">
        <v>42917</v>
      </c>
      <c r="BN1577" s="1">
        <v>42917</v>
      </c>
      <c r="BO1577" s="1">
        <v>42917</v>
      </c>
      <c r="BP1577" s="1">
        <v>44117</v>
      </c>
      <c r="BQ1577" t="s">
        <v>51</v>
      </c>
      <c r="BS1577" t="s">
        <v>60</v>
      </c>
      <c r="BT1577" t="s">
        <v>54</v>
      </c>
      <c r="BU1577" t="s">
        <v>61</v>
      </c>
      <c r="BV1577" t="s">
        <v>62</v>
      </c>
      <c r="BX1577">
        <v>24</v>
      </c>
      <c r="BY1577">
        <v>0</v>
      </c>
      <c r="BZ1577">
        <v>0</v>
      </c>
    </row>
    <row r="1578" spans="1:78" x14ac:dyDescent="0.2">
      <c r="A1578" t="s">
        <v>180</v>
      </c>
      <c r="B1578" t="s">
        <v>181</v>
      </c>
      <c r="C1578" t="s">
        <v>184</v>
      </c>
      <c r="D1578" t="s">
        <v>802</v>
      </c>
      <c r="F1578" t="str">
        <f>"252953"</f>
        <v>252953</v>
      </c>
      <c r="G1578" t="s">
        <v>49</v>
      </c>
      <c r="K1578" t="s">
        <v>51</v>
      </c>
      <c r="L1578" t="s">
        <v>52</v>
      </c>
      <c r="M1578">
        <v>136618.34</v>
      </c>
      <c r="N1578">
        <v>471967.88</v>
      </c>
      <c r="O1578" t="s">
        <v>53</v>
      </c>
      <c r="P1578" t="s">
        <v>54</v>
      </c>
      <c r="Q1578" t="s">
        <v>55</v>
      </c>
      <c r="T1578" t="s">
        <v>431</v>
      </c>
      <c r="U1578">
        <v>40</v>
      </c>
      <c r="V1578" s="1">
        <v>38353</v>
      </c>
      <c r="W1578" s="1">
        <v>38353</v>
      </c>
      <c r="X1578" s="1">
        <v>38353</v>
      </c>
      <c r="Y1578" s="1">
        <v>52963</v>
      </c>
      <c r="Z1578" t="s">
        <v>51</v>
      </c>
      <c r="AB1578" t="s">
        <v>54</v>
      </c>
      <c r="AC1578">
        <v>1</v>
      </c>
      <c r="AE1578" t="s">
        <v>79</v>
      </c>
      <c r="AF1578">
        <v>20</v>
      </c>
      <c r="AG1578" s="1">
        <v>38353</v>
      </c>
      <c r="AH1578" s="1">
        <v>38353</v>
      </c>
      <c r="AI1578" s="1">
        <v>38353</v>
      </c>
      <c r="AJ1578" s="1">
        <v>45658</v>
      </c>
      <c r="AK1578" t="s">
        <v>51</v>
      </c>
      <c r="AN1578">
        <v>0</v>
      </c>
      <c r="AO1578" t="s">
        <v>54</v>
      </c>
      <c r="AP1578" t="s">
        <v>53</v>
      </c>
      <c r="AQ1578">
        <v>0</v>
      </c>
      <c r="AR1578" t="s">
        <v>145</v>
      </c>
      <c r="AS1578">
        <v>0</v>
      </c>
      <c r="AT1578">
        <v>0</v>
      </c>
      <c r="AW1578" t="s">
        <v>79</v>
      </c>
      <c r="AX1578">
        <v>20</v>
      </c>
      <c r="AY1578" s="1">
        <v>38353</v>
      </c>
      <c r="AZ1578" s="1">
        <v>38353</v>
      </c>
      <c r="BA1578" s="1">
        <v>38353</v>
      </c>
      <c r="BB1578" s="1">
        <v>45658</v>
      </c>
      <c r="BC1578" t="s">
        <v>51</v>
      </c>
      <c r="BE1578" t="s">
        <v>54</v>
      </c>
      <c r="BF1578">
        <v>5</v>
      </c>
      <c r="BG1578">
        <v>0</v>
      </c>
      <c r="BH1578" t="s">
        <v>53</v>
      </c>
      <c r="BK1578" t="s">
        <v>59</v>
      </c>
      <c r="BL1578">
        <v>14000</v>
      </c>
      <c r="BM1578" s="1">
        <v>42917</v>
      </c>
      <c r="BN1578" s="1">
        <v>42917</v>
      </c>
      <c r="BO1578" s="1">
        <v>42917</v>
      </c>
      <c r="BP1578" s="1">
        <v>44117</v>
      </c>
      <c r="BQ1578" t="s">
        <v>51</v>
      </c>
      <c r="BS1578" t="s">
        <v>60</v>
      </c>
      <c r="BT1578" t="s">
        <v>54</v>
      </c>
      <c r="BU1578" t="s">
        <v>61</v>
      </c>
      <c r="BV1578" t="s">
        <v>62</v>
      </c>
      <c r="BX1578">
        <v>24</v>
      </c>
      <c r="BY1578">
        <v>0</v>
      </c>
      <c r="BZ1578">
        <v>0</v>
      </c>
    </row>
    <row r="1579" spans="1:78" x14ac:dyDescent="0.2">
      <c r="A1579" t="s">
        <v>180</v>
      </c>
      <c r="B1579" t="s">
        <v>181</v>
      </c>
      <c r="C1579" t="s">
        <v>184</v>
      </c>
      <c r="D1579" t="s">
        <v>802</v>
      </c>
      <c r="F1579" t="str">
        <f>"252954"</f>
        <v>252954</v>
      </c>
      <c r="G1579" t="s">
        <v>49</v>
      </c>
      <c r="K1579" t="s">
        <v>51</v>
      </c>
      <c r="L1579" t="s">
        <v>52</v>
      </c>
      <c r="M1579">
        <v>136617.88</v>
      </c>
      <c r="N1579">
        <v>471985.66</v>
      </c>
      <c r="O1579" t="s">
        <v>53</v>
      </c>
      <c r="P1579" t="s">
        <v>54</v>
      </c>
      <c r="Q1579" t="s">
        <v>55</v>
      </c>
      <c r="T1579" t="s">
        <v>431</v>
      </c>
      <c r="U1579">
        <v>40</v>
      </c>
      <c r="V1579" s="1">
        <v>38353</v>
      </c>
      <c r="W1579" s="1">
        <v>38353</v>
      </c>
      <c r="X1579" s="1">
        <v>38353</v>
      </c>
      <c r="Y1579" s="1">
        <v>52963</v>
      </c>
      <c r="Z1579" t="s">
        <v>51</v>
      </c>
      <c r="AB1579" t="s">
        <v>54</v>
      </c>
      <c r="AC1579">
        <v>1</v>
      </c>
      <c r="AE1579" t="s">
        <v>79</v>
      </c>
      <c r="AF1579">
        <v>20</v>
      </c>
      <c r="AG1579" s="1">
        <v>38353</v>
      </c>
      <c r="AH1579" s="1">
        <v>38353</v>
      </c>
      <c r="AI1579" s="1">
        <v>38353</v>
      </c>
      <c r="AJ1579" s="1">
        <v>45658</v>
      </c>
      <c r="AK1579" t="s">
        <v>51</v>
      </c>
      <c r="AN1579">
        <v>0</v>
      </c>
      <c r="AO1579" t="s">
        <v>54</v>
      </c>
      <c r="AP1579" t="s">
        <v>53</v>
      </c>
      <c r="AQ1579">
        <v>0</v>
      </c>
      <c r="AR1579" t="s">
        <v>145</v>
      </c>
      <c r="AS1579">
        <v>0</v>
      </c>
      <c r="AT1579">
        <v>0</v>
      </c>
      <c r="AW1579" t="s">
        <v>79</v>
      </c>
      <c r="AX1579">
        <v>20</v>
      </c>
      <c r="AY1579" s="1">
        <v>38353</v>
      </c>
      <c r="AZ1579" s="1">
        <v>38353</v>
      </c>
      <c r="BA1579" s="1">
        <v>38353</v>
      </c>
      <c r="BB1579" s="1">
        <v>45658</v>
      </c>
      <c r="BC1579" t="s">
        <v>51</v>
      </c>
      <c r="BE1579" t="s">
        <v>54</v>
      </c>
      <c r="BF1579">
        <v>5</v>
      </c>
      <c r="BG1579">
        <v>0</v>
      </c>
      <c r="BH1579" t="s">
        <v>53</v>
      </c>
      <c r="BK1579" t="s">
        <v>59</v>
      </c>
      <c r="BL1579">
        <v>14000</v>
      </c>
      <c r="BM1579" s="1">
        <v>42917</v>
      </c>
      <c r="BN1579" s="1">
        <v>42917</v>
      </c>
      <c r="BO1579" s="1">
        <v>42917</v>
      </c>
      <c r="BP1579" s="1">
        <v>44117</v>
      </c>
      <c r="BQ1579" t="s">
        <v>51</v>
      </c>
      <c r="BS1579" t="s">
        <v>60</v>
      </c>
      <c r="BT1579" t="s">
        <v>54</v>
      </c>
      <c r="BU1579" t="s">
        <v>61</v>
      </c>
      <c r="BV1579" t="s">
        <v>62</v>
      </c>
      <c r="BX1579">
        <v>24</v>
      </c>
      <c r="BY1579">
        <v>0</v>
      </c>
      <c r="BZ1579">
        <v>0</v>
      </c>
    </row>
    <row r="1580" spans="1:78" x14ac:dyDescent="0.2">
      <c r="A1580" t="s">
        <v>180</v>
      </c>
      <c r="B1580" t="s">
        <v>181</v>
      </c>
      <c r="C1580" t="s">
        <v>184</v>
      </c>
      <c r="D1580" t="s">
        <v>802</v>
      </c>
      <c r="F1580" t="str">
        <f>"252955"</f>
        <v>252955</v>
      </c>
      <c r="G1580" t="s">
        <v>49</v>
      </c>
      <c r="K1580" t="s">
        <v>51</v>
      </c>
      <c r="L1580" t="s">
        <v>52</v>
      </c>
      <c r="M1580">
        <v>136617.95000000001</v>
      </c>
      <c r="N1580">
        <v>472001.59</v>
      </c>
      <c r="O1580" t="s">
        <v>53</v>
      </c>
      <c r="P1580" t="s">
        <v>54</v>
      </c>
      <c r="Q1580" t="s">
        <v>55</v>
      </c>
      <c r="T1580" t="s">
        <v>431</v>
      </c>
      <c r="U1580">
        <v>40</v>
      </c>
      <c r="V1580" s="1">
        <v>38353</v>
      </c>
      <c r="W1580" s="1">
        <v>38353</v>
      </c>
      <c r="X1580" s="1">
        <v>38353</v>
      </c>
      <c r="Y1580" s="1">
        <v>52963</v>
      </c>
      <c r="Z1580" t="s">
        <v>51</v>
      </c>
      <c r="AB1580" t="s">
        <v>54</v>
      </c>
      <c r="AC1580">
        <v>1</v>
      </c>
      <c r="AE1580" t="s">
        <v>79</v>
      </c>
      <c r="AF1580">
        <v>20</v>
      </c>
      <c r="AG1580" s="1">
        <v>38353</v>
      </c>
      <c r="AH1580" s="1">
        <v>38353</v>
      </c>
      <c r="AI1580" s="1">
        <v>38353</v>
      </c>
      <c r="AJ1580" s="1">
        <v>45658</v>
      </c>
      <c r="AK1580" t="s">
        <v>51</v>
      </c>
      <c r="AN1580">
        <v>0</v>
      </c>
      <c r="AO1580" t="s">
        <v>54</v>
      </c>
      <c r="AP1580" t="s">
        <v>53</v>
      </c>
      <c r="AQ1580">
        <v>0</v>
      </c>
      <c r="AR1580" t="s">
        <v>145</v>
      </c>
      <c r="AS1580">
        <v>0</v>
      </c>
      <c r="AT1580">
        <v>0</v>
      </c>
      <c r="AW1580" t="s">
        <v>79</v>
      </c>
      <c r="AX1580">
        <v>20</v>
      </c>
      <c r="AY1580" s="1">
        <v>38353</v>
      </c>
      <c r="AZ1580" s="1">
        <v>38353</v>
      </c>
      <c r="BA1580" s="1">
        <v>38353</v>
      </c>
      <c r="BB1580" s="1">
        <v>45658</v>
      </c>
      <c r="BC1580" t="s">
        <v>51</v>
      </c>
      <c r="BE1580" t="s">
        <v>54</v>
      </c>
      <c r="BF1580">
        <v>5</v>
      </c>
      <c r="BG1580">
        <v>0</v>
      </c>
      <c r="BH1580" t="s">
        <v>53</v>
      </c>
      <c r="BK1580" t="s">
        <v>59</v>
      </c>
      <c r="BL1580">
        <v>14000</v>
      </c>
      <c r="BM1580" s="1">
        <v>42917</v>
      </c>
      <c r="BN1580" s="1">
        <v>42917</v>
      </c>
      <c r="BO1580" s="1">
        <v>42917</v>
      </c>
      <c r="BP1580" s="1">
        <v>44117</v>
      </c>
      <c r="BQ1580" t="s">
        <v>51</v>
      </c>
      <c r="BS1580" t="s">
        <v>60</v>
      </c>
      <c r="BT1580" t="s">
        <v>54</v>
      </c>
      <c r="BU1580" t="s">
        <v>61</v>
      </c>
      <c r="BV1580" t="s">
        <v>62</v>
      </c>
      <c r="BX1580">
        <v>24</v>
      </c>
      <c r="BY1580">
        <v>0</v>
      </c>
      <c r="BZ1580">
        <v>0</v>
      </c>
    </row>
    <row r="1581" spans="1:78" x14ac:dyDescent="0.2">
      <c r="A1581" t="s">
        <v>180</v>
      </c>
      <c r="B1581" t="s">
        <v>181</v>
      </c>
      <c r="C1581" t="s">
        <v>184</v>
      </c>
      <c r="D1581" t="s">
        <v>802</v>
      </c>
      <c r="F1581" t="str">
        <f>"252956"</f>
        <v>252956</v>
      </c>
      <c r="G1581" t="s">
        <v>49</v>
      </c>
      <c r="K1581" t="s">
        <v>51</v>
      </c>
      <c r="L1581" t="s">
        <v>52</v>
      </c>
      <c r="M1581">
        <v>136636.32999999999</v>
      </c>
      <c r="N1581">
        <v>472006.25</v>
      </c>
      <c r="O1581" t="s">
        <v>53</v>
      </c>
      <c r="P1581" t="s">
        <v>54</v>
      </c>
      <c r="Q1581" t="s">
        <v>55</v>
      </c>
      <c r="T1581" t="s">
        <v>431</v>
      </c>
      <c r="U1581">
        <v>40</v>
      </c>
      <c r="V1581" s="1">
        <v>38353</v>
      </c>
      <c r="W1581" s="1">
        <v>38353</v>
      </c>
      <c r="X1581" s="1">
        <v>38353</v>
      </c>
      <c r="Y1581" s="1">
        <v>52963</v>
      </c>
      <c r="Z1581" t="s">
        <v>51</v>
      </c>
      <c r="AB1581" t="s">
        <v>54</v>
      </c>
      <c r="AC1581">
        <v>1</v>
      </c>
      <c r="AE1581" t="s">
        <v>79</v>
      </c>
      <c r="AF1581">
        <v>20</v>
      </c>
      <c r="AG1581" s="1">
        <v>38353</v>
      </c>
      <c r="AH1581" s="1">
        <v>38353</v>
      </c>
      <c r="AI1581" s="1">
        <v>38353</v>
      </c>
      <c r="AJ1581" s="1">
        <v>45658</v>
      </c>
      <c r="AK1581" t="s">
        <v>51</v>
      </c>
      <c r="AN1581">
        <v>0</v>
      </c>
      <c r="AO1581" t="s">
        <v>54</v>
      </c>
      <c r="AP1581" t="s">
        <v>53</v>
      </c>
      <c r="AQ1581">
        <v>0</v>
      </c>
      <c r="AR1581" t="s">
        <v>145</v>
      </c>
      <c r="AS1581">
        <v>0</v>
      </c>
      <c r="AT1581">
        <v>0</v>
      </c>
      <c r="AW1581" t="s">
        <v>79</v>
      </c>
      <c r="AX1581">
        <v>20</v>
      </c>
      <c r="AY1581" s="1">
        <v>38353</v>
      </c>
      <c r="AZ1581" s="1">
        <v>38353</v>
      </c>
      <c r="BA1581" s="1">
        <v>38353</v>
      </c>
      <c r="BB1581" s="1">
        <v>45658</v>
      </c>
      <c r="BC1581" t="s">
        <v>51</v>
      </c>
      <c r="BE1581" t="s">
        <v>54</v>
      </c>
      <c r="BF1581">
        <v>5</v>
      </c>
      <c r="BG1581">
        <v>0</v>
      </c>
      <c r="BH1581" t="s">
        <v>53</v>
      </c>
      <c r="BK1581" t="s">
        <v>59</v>
      </c>
      <c r="BL1581">
        <v>14000</v>
      </c>
      <c r="BM1581" s="1">
        <v>42917</v>
      </c>
      <c r="BN1581" s="1">
        <v>42917</v>
      </c>
      <c r="BO1581" s="1">
        <v>42917</v>
      </c>
      <c r="BP1581" s="1">
        <v>44117</v>
      </c>
      <c r="BQ1581" t="s">
        <v>51</v>
      </c>
      <c r="BS1581" t="s">
        <v>60</v>
      </c>
      <c r="BT1581" t="s">
        <v>54</v>
      </c>
      <c r="BU1581" t="s">
        <v>61</v>
      </c>
      <c r="BV1581" t="s">
        <v>62</v>
      </c>
      <c r="BX1581">
        <v>24</v>
      </c>
      <c r="BY1581">
        <v>0</v>
      </c>
      <c r="BZ1581">
        <v>0</v>
      </c>
    </row>
    <row r="1582" spans="1:78" x14ac:dyDescent="0.2">
      <c r="A1582" t="s">
        <v>180</v>
      </c>
      <c r="B1582" t="s">
        <v>181</v>
      </c>
      <c r="C1582" t="s">
        <v>184</v>
      </c>
      <c r="D1582" t="s">
        <v>802</v>
      </c>
      <c r="F1582" t="str">
        <f>"252957"</f>
        <v>252957</v>
      </c>
      <c r="G1582" t="s">
        <v>49</v>
      </c>
      <c r="K1582" t="s">
        <v>51</v>
      </c>
      <c r="L1582" t="s">
        <v>52</v>
      </c>
      <c r="M1582">
        <v>136636.63</v>
      </c>
      <c r="N1582">
        <v>472018.88</v>
      </c>
      <c r="O1582" t="s">
        <v>53</v>
      </c>
      <c r="P1582" t="s">
        <v>54</v>
      </c>
      <c r="Q1582" t="s">
        <v>55</v>
      </c>
      <c r="T1582" t="s">
        <v>431</v>
      </c>
      <c r="U1582">
        <v>40</v>
      </c>
      <c r="V1582" s="1">
        <v>38353</v>
      </c>
      <c r="W1582" s="1">
        <v>38353</v>
      </c>
      <c r="X1582" s="1">
        <v>38353</v>
      </c>
      <c r="Y1582" s="1">
        <v>52963</v>
      </c>
      <c r="Z1582" t="s">
        <v>51</v>
      </c>
      <c r="AB1582" t="s">
        <v>54</v>
      </c>
      <c r="AC1582">
        <v>1</v>
      </c>
      <c r="AE1582" t="s">
        <v>79</v>
      </c>
      <c r="AF1582">
        <v>20</v>
      </c>
      <c r="AG1582" s="1">
        <v>38353</v>
      </c>
      <c r="AH1582" s="1">
        <v>38353</v>
      </c>
      <c r="AI1582" s="1">
        <v>38353</v>
      </c>
      <c r="AJ1582" s="1">
        <v>45658</v>
      </c>
      <c r="AK1582" t="s">
        <v>51</v>
      </c>
      <c r="AN1582">
        <v>0</v>
      </c>
      <c r="AO1582" t="s">
        <v>54</v>
      </c>
      <c r="AP1582" t="s">
        <v>53</v>
      </c>
      <c r="AQ1582">
        <v>0</v>
      </c>
      <c r="AR1582" t="s">
        <v>145</v>
      </c>
      <c r="AS1582">
        <v>0</v>
      </c>
      <c r="AT1582">
        <v>0</v>
      </c>
      <c r="AW1582" t="s">
        <v>79</v>
      </c>
      <c r="AX1582">
        <v>20</v>
      </c>
      <c r="AY1582" s="1">
        <v>38353</v>
      </c>
      <c r="AZ1582" s="1">
        <v>38353</v>
      </c>
      <c r="BA1582" s="1">
        <v>38353</v>
      </c>
      <c r="BB1582" s="1">
        <v>45658</v>
      </c>
      <c r="BC1582" t="s">
        <v>51</v>
      </c>
      <c r="BE1582" t="s">
        <v>54</v>
      </c>
      <c r="BF1582">
        <v>5</v>
      </c>
      <c r="BG1582">
        <v>0</v>
      </c>
      <c r="BH1582" t="s">
        <v>53</v>
      </c>
      <c r="BK1582" t="s">
        <v>59</v>
      </c>
      <c r="BL1582">
        <v>14000</v>
      </c>
      <c r="BM1582" s="1">
        <v>42917</v>
      </c>
      <c r="BN1582" s="1">
        <v>42917</v>
      </c>
      <c r="BO1582" s="1">
        <v>42917</v>
      </c>
      <c r="BP1582" s="1">
        <v>44117</v>
      </c>
      <c r="BQ1582" t="s">
        <v>51</v>
      </c>
      <c r="BS1582" t="s">
        <v>60</v>
      </c>
      <c r="BT1582" t="s">
        <v>54</v>
      </c>
      <c r="BU1582" t="s">
        <v>61</v>
      </c>
      <c r="BV1582" t="s">
        <v>62</v>
      </c>
      <c r="BX1582">
        <v>24</v>
      </c>
      <c r="BY1582">
        <v>0</v>
      </c>
      <c r="BZ1582">
        <v>0</v>
      </c>
    </row>
    <row r="1583" spans="1:78" x14ac:dyDescent="0.2">
      <c r="A1583" t="s">
        <v>180</v>
      </c>
      <c r="B1583" t="s">
        <v>181</v>
      </c>
      <c r="C1583" t="s">
        <v>184</v>
      </c>
      <c r="D1583" t="s">
        <v>802</v>
      </c>
      <c r="F1583" t="str">
        <f>"252958"</f>
        <v>252958</v>
      </c>
      <c r="G1583" t="s">
        <v>49</v>
      </c>
      <c r="K1583" t="s">
        <v>51</v>
      </c>
      <c r="L1583" t="s">
        <v>52</v>
      </c>
      <c r="M1583">
        <v>136645.72</v>
      </c>
      <c r="N1583">
        <v>472024.47</v>
      </c>
      <c r="O1583" t="s">
        <v>53</v>
      </c>
      <c r="P1583" t="s">
        <v>54</v>
      </c>
      <c r="Q1583" t="s">
        <v>55</v>
      </c>
      <c r="T1583" t="s">
        <v>431</v>
      </c>
      <c r="U1583">
        <v>40</v>
      </c>
      <c r="V1583" s="1">
        <v>38353</v>
      </c>
      <c r="W1583" s="1">
        <v>38353</v>
      </c>
      <c r="X1583" s="1">
        <v>38353</v>
      </c>
      <c r="Y1583" s="1">
        <v>52963</v>
      </c>
      <c r="Z1583" t="s">
        <v>51</v>
      </c>
      <c r="AB1583" t="s">
        <v>54</v>
      </c>
      <c r="AC1583">
        <v>1</v>
      </c>
      <c r="AE1583" t="s">
        <v>79</v>
      </c>
      <c r="AF1583">
        <v>20</v>
      </c>
      <c r="AG1583" s="1">
        <v>38353</v>
      </c>
      <c r="AH1583" s="1">
        <v>38353</v>
      </c>
      <c r="AI1583" s="1">
        <v>38353</v>
      </c>
      <c r="AJ1583" s="1">
        <v>45658</v>
      </c>
      <c r="AK1583" t="s">
        <v>51</v>
      </c>
      <c r="AN1583">
        <v>0</v>
      </c>
      <c r="AO1583" t="s">
        <v>54</v>
      </c>
      <c r="AP1583" t="s">
        <v>53</v>
      </c>
      <c r="AQ1583">
        <v>0</v>
      </c>
      <c r="AR1583" t="s">
        <v>145</v>
      </c>
      <c r="AS1583">
        <v>0</v>
      </c>
      <c r="AT1583">
        <v>0</v>
      </c>
      <c r="AW1583" t="s">
        <v>79</v>
      </c>
      <c r="AX1583">
        <v>20</v>
      </c>
      <c r="AY1583" s="1">
        <v>38353</v>
      </c>
      <c r="AZ1583" s="1">
        <v>38353</v>
      </c>
      <c r="BA1583" s="1">
        <v>38353</v>
      </c>
      <c r="BB1583" s="1">
        <v>45658</v>
      </c>
      <c r="BC1583" t="s">
        <v>51</v>
      </c>
      <c r="BE1583" t="s">
        <v>54</v>
      </c>
      <c r="BF1583">
        <v>5</v>
      </c>
      <c r="BG1583">
        <v>0</v>
      </c>
      <c r="BH1583" t="s">
        <v>53</v>
      </c>
      <c r="BK1583" t="s">
        <v>59</v>
      </c>
      <c r="BL1583">
        <v>14000</v>
      </c>
      <c r="BM1583" s="1">
        <v>42917</v>
      </c>
      <c r="BN1583" s="1">
        <v>42917</v>
      </c>
      <c r="BO1583" s="1">
        <v>42917</v>
      </c>
      <c r="BP1583" s="1">
        <v>44117</v>
      </c>
      <c r="BQ1583" t="s">
        <v>51</v>
      </c>
      <c r="BS1583" t="s">
        <v>60</v>
      </c>
      <c r="BT1583" t="s">
        <v>54</v>
      </c>
      <c r="BU1583" t="s">
        <v>61</v>
      </c>
      <c r="BV1583" t="s">
        <v>62</v>
      </c>
      <c r="BX1583">
        <v>24</v>
      </c>
      <c r="BY1583">
        <v>0</v>
      </c>
      <c r="BZ1583">
        <v>0</v>
      </c>
    </row>
    <row r="1584" spans="1:78" x14ac:dyDescent="0.2">
      <c r="A1584" t="s">
        <v>180</v>
      </c>
      <c r="B1584" t="s">
        <v>181</v>
      </c>
      <c r="C1584" t="s">
        <v>184</v>
      </c>
      <c r="D1584" t="s">
        <v>802</v>
      </c>
      <c r="F1584" t="str">
        <f>"252960"</f>
        <v>252960</v>
      </c>
      <c r="G1584" t="s">
        <v>49</v>
      </c>
      <c r="K1584" t="s">
        <v>51</v>
      </c>
      <c r="L1584" t="s">
        <v>52</v>
      </c>
      <c r="M1584">
        <v>136651.95000000001</v>
      </c>
      <c r="N1584">
        <v>471997</v>
      </c>
      <c r="O1584" t="s">
        <v>53</v>
      </c>
      <c r="P1584" t="s">
        <v>54</v>
      </c>
      <c r="Q1584" t="s">
        <v>55</v>
      </c>
      <c r="T1584" t="s">
        <v>431</v>
      </c>
      <c r="U1584">
        <v>40</v>
      </c>
      <c r="V1584" s="1">
        <v>38353</v>
      </c>
      <c r="W1584" s="1">
        <v>38353</v>
      </c>
      <c r="X1584" s="1">
        <v>38353</v>
      </c>
      <c r="Y1584" s="1">
        <v>52963</v>
      </c>
      <c r="Z1584" t="s">
        <v>51</v>
      </c>
      <c r="AB1584" t="s">
        <v>54</v>
      </c>
      <c r="AC1584">
        <v>1</v>
      </c>
      <c r="AE1584" t="s">
        <v>79</v>
      </c>
      <c r="AF1584">
        <v>20</v>
      </c>
      <c r="AG1584" s="1">
        <v>38353</v>
      </c>
      <c r="AH1584" s="1">
        <v>38353</v>
      </c>
      <c r="AI1584" s="1">
        <v>38353</v>
      </c>
      <c r="AJ1584" s="1">
        <v>45658</v>
      </c>
      <c r="AK1584" t="s">
        <v>51</v>
      </c>
      <c r="AN1584">
        <v>0</v>
      </c>
      <c r="AO1584" t="s">
        <v>54</v>
      </c>
      <c r="AP1584" t="s">
        <v>53</v>
      </c>
      <c r="AQ1584">
        <v>0</v>
      </c>
      <c r="AR1584" t="s">
        <v>145</v>
      </c>
      <c r="AS1584">
        <v>0</v>
      </c>
      <c r="AT1584">
        <v>0</v>
      </c>
      <c r="AW1584" t="s">
        <v>79</v>
      </c>
      <c r="AX1584">
        <v>20</v>
      </c>
      <c r="AY1584" s="1">
        <v>38353</v>
      </c>
      <c r="AZ1584" s="1">
        <v>38353</v>
      </c>
      <c r="BA1584" s="1">
        <v>38353</v>
      </c>
      <c r="BB1584" s="1">
        <v>45658</v>
      </c>
      <c r="BC1584" t="s">
        <v>51</v>
      </c>
      <c r="BE1584" t="s">
        <v>54</v>
      </c>
      <c r="BF1584">
        <v>5</v>
      </c>
      <c r="BG1584">
        <v>0</v>
      </c>
      <c r="BH1584" t="s">
        <v>53</v>
      </c>
      <c r="BK1584" t="s">
        <v>59</v>
      </c>
      <c r="BL1584">
        <v>14000</v>
      </c>
      <c r="BM1584" s="1">
        <v>42917</v>
      </c>
      <c r="BN1584" s="1">
        <v>42917</v>
      </c>
      <c r="BO1584" s="1">
        <v>42917</v>
      </c>
      <c r="BP1584" s="1">
        <v>44117</v>
      </c>
      <c r="BQ1584" t="s">
        <v>51</v>
      </c>
      <c r="BS1584" t="s">
        <v>60</v>
      </c>
      <c r="BT1584" t="s">
        <v>54</v>
      </c>
      <c r="BU1584" t="s">
        <v>61</v>
      </c>
      <c r="BV1584" t="s">
        <v>62</v>
      </c>
      <c r="BX1584">
        <v>24</v>
      </c>
      <c r="BY1584">
        <v>0</v>
      </c>
      <c r="BZ1584">
        <v>0</v>
      </c>
    </row>
    <row r="1585" spans="1:78" x14ac:dyDescent="0.2">
      <c r="A1585" t="s">
        <v>180</v>
      </c>
      <c r="B1585" t="s">
        <v>181</v>
      </c>
      <c r="C1585" t="s">
        <v>184</v>
      </c>
      <c r="D1585" t="s">
        <v>802</v>
      </c>
      <c r="F1585" t="str">
        <f>"252961"</f>
        <v>252961</v>
      </c>
      <c r="G1585" t="s">
        <v>49</v>
      </c>
      <c r="K1585" t="s">
        <v>51</v>
      </c>
      <c r="L1585" t="s">
        <v>52</v>
      </c>
      <c r="M1585">
        <v>136615.16</v>
      </c>
      <c r="N1585">
        <v>472015.31</v>
      </c>
      <c r="O1585" t="s">
        <v>53</v>
      </c>
      <c r="P1585" t="s">
        <v>54</v>
      </c>
      <c r="Q1585" t="s">
        <v>55</v>
      </c>
      <c r="T1585" t="s">
        <v>431</v>
      </c>
      <c r="U1585">
        <v>40</v>
      </c>
      <c r="V1585" s="1">
        <v>38353</v>
      </c>
      <c r="W1585" s="1">
        <v>38353</v>
      </c>
      <c r="X1585" s="1">
        <v>38353</v>
      </c>
      <c r="Y1585" s="1">
        <v>52963</v>
      </c>
      <c r="Z1585" t="s">
        <v>51</v>
      </c>
      <c r="AB1585" t="s">
        <v>54</v>
      </c>
      <c r="AC1585">
        <v>1</v>
      </c>
      <c r="AE1585" t="s">
        <v>79</v>
      </c>
      <c r="AF1585">
        <v>20</v>
      </c>
      <c r="AG1585" s="1">
        <v>38353</v>
      </c>
      <c r="AH1585" s="1">
        <v>38353</v>
      </c>
      <c r="AI1585" s="1">
        <v>38353</v>
      </c>
      <c r="AJ1585" s="1">
        <v>45658</v>
      </c>
      <c r="AK1585" t="s">
        <v>51</v>
      </c>
      <c r="AN1585">
        <v>0</v>
      </c>
      <c r="AO1585" t="s">
        <v>54</v>
      </c>
      <c r="AP1585" t="s">
        <v>53</v>
      </c>
      <c r="AQ1585">
        <v>0</v>
      </c>
      <c r="AR1585" t="s">
        <v>145</v>
      </c>
      <c r="AS1585">
        <v>0</v>
      </c>
      <c r="AT1585">
        <v>0</v>
      </c>
      <c r="AW1585" t="s">
        <v>79</v>
      </c>
      <c r="AX1585">
        <v>20</v>
      </c>
      <c r="AY1585" s="1">
        <v>38353</v>
      </c>
      <c r="AZ1585" s="1">
        <v>38353</v>
      </c>
      <c r="BA1585" s="1">
        <v>38353</v>
      </c>
      <c r="BB1585" s="1">
        <v>45658</v>
      </c>
      <c r="BC1585" t="s">
        <v>51</v>
      </c>
      <c r="BE1585" t="s">
        <v>54</v>
      </c>
      <c r="BF1585">
        <v>5</v>
      </c>
      <c r="BG1585">
        <v>0</v>
      </c>
      <c r="BH1585" t="s">
        <v>53</v>
      </c>
      <c r="BK1585" t="s">
        <v>59</v>
      </c>
      <c r="BL1585">
        <v>14000</v>
      </c>
      <c r="BM1585" s="1">
        <v>42917</v>
      </c>
      <c r="BN1585" s="1">
        <v>42917</v>
      </c>
      <c r="BO1585" s="1">
        <v>42917</v>
      </c>
      <c r="BP1585" s="1">
        <v>44117</v>
      </c>
      <c r="BQ1585" t="s">
        <v>51</v>
      </c>
      <c r="BS1585" t="s">
        <v>60</v>
      </c>
      <c r="BT1585" t="s">
        <v>54</v>
      </c>
      <c r="BU1585" t="s">
        <v>61</v>
      </c>
      <c r="BV1585" t="s">
        <v>62</v>
      </c>
      <c r="BX1585">
        <v>24</v>
      </c>
      <c r="BY1585">
        <v>0</v>
      </c>
      <c r="BZ1585">
        <v>0</v>
      </c>
    </row>
    <row r="1586" spans="1:78" x14ac:dyDescent="0.2">
      <c r="A1586" t="s">
        <v>180</v>
      </c>
      <c r="B1586" t="s">
        <v>181</v>
      </c>
      <c r="C1586" t="s">
        <v>184</v>
      </c>
      <c r="D1586" t="s">
        <v>802</v>
      </c>
      <c r="F1586" t="str">
        <f>"252962"</f>
        <v>252962</v>
      </c>
      <c r="G1586" t="s">
        <v>49</v>
      </c>
      <c r="K1586" t="s">
        <v>51</v>
      </c>
      <c r="L1586" t="s">
        <v>52</v>
      </c>
      <c r="M1586">
        <v>136604.45000000001</v>
      </c>
      <c r="N1586">
        <v>471995.66</v>
      </c>
      <c r="O1586" t="s">
        <v>53</v>
      </c>
      <c r="P1586" t="s">
        <v>54</v>
      </c>
      <c r="Q1586" t="s">
        <v>55</v>
      </c>
      <c r="T1586" t="s">
        <v>431</v>
      </c>
      <c r="U1586">
        <v>40</v>
      </c>
      <c r="V1586" s="1">
        <v>38353</v>
      </c>
      <c r="W1586" s="1">
        <v>38353</v>
      </c>
      <c r="X1586" s="1">
        <v>38353</v>
      </c>
      <c r="Y1586" s="1">
        <v>52963</v>
      </c>
      <c r="Z1586" t="s">
        <v>51</v>
      </c>
      <c r="AB1586" t="s">
        <v>54</v>
      </c>
      <c r="AC1586">
        <v>1</v>
      </c>
      <c r="AE1586" t="s">
        <v>79</v>
      </c>
      <c r="AF1586">
        <v>20</v>
      </c>
      <c r="AG1586" s="1">
        <v>38353</v>
      </c>
      <c r="AH1586" s="1">
        <v>38353</v>
      </c>
      <c r="AI1586" s="1">
        <v>38353</v>
      </c>
      <c r="AJ1586" s="1">
        <v>45658</v>
      </c>
      <c r="AK1586" t="s">
        <v>51</v>
      </c>
      <c r="AN1586">
        <v>0</v>
      </c>
      <c r="AO1586" t="s">
        <v>54</v>
      </c>
      <c r="AP1586" t="s">
        <v>53</v>
      </c>
      <c r="AQ1586">
        <v>0</v>
      </c>
      <c r="AR1586" t="s">
        <v>145</v>
      </c>
      <c r="AS1586">
        <v>0</v>
      </c>
      <c r="AT1586">
        <v>0</v>
      </c>
      <c r="AW1586" t="s">
        <v>79</v>
      </c>
      <c r="AX1586">
        <v>20</v>
      </c>
      <c r="AY1586" s="1">
        <v>38353</v>
      </c>
      <c r="AZ1586" s="1">
        <v>38353</v>
      </c>
      <c r="BA1586" s="1">
        <v>38353</v>
      </c>
      <c r="BB1586" s="1">
        <v>45658</v>
      </c>
      <c r="BC1586" t="s">
        <v>51</v>
      </c>
      <c r="BE1586" t="s">
        <v>54</v>
      </c>
      <c r="BF1586">
        <v>5</v>
      </c>
      <c r="BG1586">
        <v>0</v>
      </c>
      <c r="BH1586" t="s">
        <v>53</v>
      </c>
      <c r="BK1586" t="s">
        <v>59</v>
      </c>
      <c r="BL1586">
        <v>14000</v>
      </c>
      <c r="BM1586" s="1">
        <v>42917</v>
      </c>
      <c r="BN1586" s="1">
        <v>42917</v>
      </c>
      <c r="BO1586" s="1">
        <v>42917</v>
      </c>
      <c r="BP1586" s="1">
        <v>44117</v>
      </c>
      <c r="BQ1586" t="s">
        <v>51</v>
      </c>
      <c r="BS1586" t="s">
        <v>60</v>
      </c>
      <c r="BT1586" t="s">
        <v>54</v>
      </c>
      <c r="BU1586" t="s">
        <v>61</v>
      </c>
      <c r="BV1586" t="s">
        <v>62</v>
      </c>
      <c r="BX1586">
        <v>24</v>
      </c>
      <c r="BY1586">
        <v>0</v>
      </c>
      <c r="BZ1586">
        <v>0</v>
      </c>
    </row>
    <row r="1587" spans="1:78" x14ac:dyDescent="0.2">
      <c r="A1587" t="s">
        <v>180</v>
      </c>
      <c r="B1587" t="s">
        <v>181</v>
      </c>
      <c r="C1587" t="s">
        <v>184</v>
      </c>
      <c r="D1587" t="s">
        <v>801</v>
      </c>
      <c r="F1587" t="str">
        <f>"252963"</f>
        <v>252963</v>
      </c>
      <c r="G1587" t="s">
        <v>49</v>
      </c>
      <c r="K1587" t="s">
        <v>51</v>
      </c>
      <c r="L1587" t="s">
        <v>52</v>
      </c>
      <c r="M1587">
        <v>136586.14000000001</v>
      </c>
      <c r="N1587">
        <v>471991.91</v>
      </c>
      <c r="O1587" t="s">
        <v>53</v>
      </c>
      <c r="P1587" t="s">
        <v>54</v>
      </c>
      <c r="Q1587" t="s">
        <v>55</v>
      </c>
      <c r="T1587" t="s">
        <v>431</v>
      </c>
      <c r="U1587">
        <v>40</v>
      </c>
      <c r="V1587" s="1">
        <v>38353</v>
      </c>
      <c r="W1587" s="1">
        <v>38353</v>
      </c>
      <c r="X1587" s="1">
        <v>38353</v>
      </c>
      <c r="Y1587" s="1">
        <v>52963</v>
      </c>
      <c r="Z1587" t="s">
        <v>51</v>
      </c>
      <c r="AB1587" t="s">
        <v>54</v>
      </c>
      <c r="AC1587">
        <v>1</v>
      </c>
      <c r="AE1587" t="s">
        <v>79</v>
      </c>
      <c r="AF1587">
        <v>20</v>
      </c>
      <c r="AG1587" s="1">
        <v>38353</v>
      </c>
      <c r="AH1587" s="1">
        <v>38353</v>
      </c>
      <c r="AI1587" s="1">
        <v>38353</v>
      </c>
      <c r="AJ1587" s="1">
        <v>45658</v>
      </c>
      <c r="AK1587" t="s">
        <v>51</v>
      </c>
      <c r="AN1587">
        <v>0</v>
      </c>
      <c r="AO1587" t="s">
        <v>54</v>
      </c>
      <c r="AP1587" t="s">
        <v>53</v>
      </c>
      <c r="AQ1587">
        <v>0</v>
      </c>
      <c r="AR1587" t="s">
        <v>145</v>
      </c>
      <c r="AS1587">
        <v>0</v>
      </c>
      <c r="AT1587">
        <v>0</v>
      </c>
      <c r="AW1587" t="s">
        <v>79</v>
      </c>
      <c r="AX1587">
        <v>20</v>
      </c>
      <c r="AY1587" s="1">
        <v>38353</v>
      </c>
      <c r="AZ1587" s="1">
        <v>38353</v>
      </c>
      <c r="BA1587" s="1">
        <v>38353</v>
      </c>
      <c r="BB1587" s="1">
        <v>45658</v>
      </c>
      <c r="BC1587" t="s">
        <v>51</v>
      </c>
      <c r="BE1587" t="s">
        <v>54</v>
      </c>
      <c r="BF1587">
        <v>5</v>
      </c>
      <c r="BG1587">
        <v>0</v>
      </c>
      <c r="BH1587" t="s">
        <v>53</v>
      </c>
      <c r="BK1587" t="s">
        <v>59</v>
      </c>
      <c r="BL1587">
        <v>14000</v>
      </c>
      <c r="BM1587" s="1">
        <v>42917</v>
      </c>
      <c r="BN1587" s="1">
        <v>42917</v>
      </c>
      <c r="BO1587" s="1">
        <v>42917</v>
      </c>
      <c r="BP1587" s="1">
        <v>44117</v>
      </c>
      <c r="BQ1587" t="s">
        <v>51</v>
      </c>
      <c r="BS1587" t="s">
        <v>60</v>
      </c>
      <c r="BT1587" t="s">
        <v>54</v>
      </c>
      <c r="BU1587" t="s">
        <v>61</v>
      </c>
      <c r="BV1587" t="s">
        <v>62</v>
      </c>
      <c r="BX1587">
        <v>24</v>
      </c>
      <c r="BY1587">
        <v>0</v>
      </c>
      <c r="BZ1587">
        <v>0</v>
      </c>
    </row>
    <row r="1588" spans="1:78" x14ac:dyDescent="0.2">
      <c r="A1588" t="s">
        <v>180</v>
      </c>
      <c r="B1588" t="s">
        <v>181</v>
      </c>
      <c r="C1588" t="s">
        <v>184</v>
      </c>
      <c r="D1588" t="s">
        <v>801</v>
      </c>
      <c r="F1588" t="str">
        <f>"252964"</f>
        <v>252964</v>
      </c>
      <c r="G1588" t="s">
        <v>49</v>
      </c>
      <c r="K1588" t="s">
        <v>51</v>
      </c>
      <c r="L1588" t="s">
        <v>52</v>
      </c>
      <c r="M1588">
        <v>136596.19</v>
      </c>
      <c r="N1588">
        <v>472010.72</v>
      </c>
      <c r="O1588" t="s">
        <v>53</v>
      </c>
      <c r="P1588" t="s">
        <v>54</v>
      </c>
      <c r="Q1588" t="s">
        <v>55</v>
      </c>
      <c r="T1588" t="s">
        <v>431</v>
      </c>
      <c r="U1588">
        <v>40</v>
      </c>
      <c r="V1588" s="1">
        <v>38353</v>
      </c>
      <c r="W1588" s="1">
        <v>38353</v>
      </c>
      <c r="X1588" s="1">
        <v>38353</v>
      </c>
      <c r="Y1588" s="1">
        <v>52963</v>
      </c>
      <c r="Z1588" t="s">
        <v>51</v>
      </c>
      <c r="AB1588" t="s">
        <v>54</v>
      </c>
      <c r="AC1588">
        <v>1</v>
      </c>
      <c r="AE1588" t="s">
        <v>79</v>
      </c>
      <c r="AF1588">
        <v>20</v>
      </c>
      <c r="AG1588" s="1">
        <v>43139</v>
      </c>
      <c r="AH1588" s="1">
        <v>43139</v>
      </c>
      <c r="AI1588" s="1">
        <v>43139</v>
      </c>
      <c r="AJ1588" s="1">
        <v>50444</v>
      </c>
      <c r="AK1588" t="s">
        <v>51</v>
      </c>
      <c r="AN1588">
        <v>0</v>
      </c>
      <c r="AO1588" t="s">
        <v>54</v>
      </c>
      <c r="AP1588" t="s">
        <v>53</v>
      </c>
      <c r="AQ1588">
        <v>0</v>
      </c>
      <c r="AR1588" t="s">
        <v>145</v>
      </c>
      <c r="AS1588">
        <v>0</v>
      </c>
      <c r="AT1588">
        <v>0</v>
      </c>
      <c r="AW1588" t="s">
        <v>79</v>
      </c>
      <c r="AX1588">
        <v>20</v>
      </c>
      <c r="AY1588" s="1">
        <v>38353</v>
      </c>
      <c r="AZ1588" s="1">
        <v>38353</v>
      </c>
      <c r="BA1588" s="1">
        <v>43139</v>
      </c>
      <c r="BB1588" s="1">
        <v>45658</v>
      </c>
      <c r="BC1588" t="s">
        <v>51</v>
      </c>
      <c r="BE1588" t="s">
        <v>54</v>
      </c>
      <c r="BF1588">
        <v>5</v>
      </c>
      <c r="BG1588">
        <v>0</v>
      </c>
      <c r="BH1588" t="s">
        <v>53</v>
      </c>
      <c r="BK1588" t="s">
        <v>146</v>
      </c>
      <c r="BL1588">
        <v>14000</v>
      </c>
      <c r="BM1588" s="1">
        <v>42917</v>
      </c>
      <c r="BN1588" s="1">
        <v>42917</v>
      </c>
      <c r="BO1588" s="1">
        <v>43139</v>
      </c>
      <c r="BP1588" s="1">
        <v>44117</v>
      </c>
      <c r="BQ1588" t="s">
        <v>51</v>
      </c>
      <c r="BS1588" t="s">
        <v>60</v>
      </c>
      <c r="BT1588" t="s">
        <v>54</v>
      </c>
      <c r="BU1588" t="s">
        <v>61</v>
      </c>
      <c r="BV1588" t="s">
        <v>62</v>
      </c>
      <c r="BX1588">
        <v>24</v>
      </c>
      <c r="BY1588">
        <v>0</v>
      </c>
      <c r="BZ1588">
        <v>0</v>
      </c>
    </row>
    <row r="1589" spans="1:78" x14ac:dyDescent="0.2">
      <c r="A1589" t="s">
        <v>180</v>
      </c>
      <c r="B1589" t="s">
        <v>181</v>
      </c>
      <c r="C1589" t="s">
        <v>184</v>
      </c>
      <c r="D1589" t="s">
        <v>802</v>
      </c>
      <c r="F1589" t="str">
        <f>"252965"</f>
        <v>252965</v>
      </c>
      <c r="G1589" t="s">
        <v>49</v>
      </c>
      <c r="K1589" t="s">
        <v>51</v>
      </c>
      <c r="L1589" t="s">
        <v>52</v>
      </c>
      <c r="M1589">
        <v>136642.89000000001</v>
      </c>
      <c r="N1589">
        <v>471975.85</v>
      </c>
      <c r="O1589" t="s">
        <v>53</v>
      </c>
      <c r="P1589" t="s">
        <v>54</v>
      </c>
      <c r="Q1589" t="s">
        <v>55</v>
      </c>
      <c r="T1589" t="s">
        <v>431</v>
      </c>
      <c r="U1589">
        <v>40</v>
      </c>
      <c r="V1589" s="1">
        <v>38353</v>
      </c>
      <c r="W1589" s="1">
        <v>38353</v>
      </c>
      <c r="X1589" s="1">
        <v>38353</v>
      </c>
      <c r="Y1589" s="1">
        <v>52963</v>
      </c>
      <c r="Z1589" t="s">
        <v>51</v>
      </c>
      <c r="AB1589" t="s">
        <v>54</v>
      </c>
      <c r="AC1589">
        <v>1</v>
      </c>
      <c r="AE1589" t="s">
        <v>79</v>
      </c>
      <c r="AF1589">
        <v>20</v>
      </c>
      <c r="AG1589" s="1">
        <v>38353</v>
      </c>
      <c r="AH1589" s="1">
        <v>38353</v>
      </c>
      <c r="AI1589" s="1">
        <v>38353</v>
      </c>
      <c r="AJ1589" s="1">
        <v>45658</v>
      </c>
      <c r="AK1589" t="s">
        <v>51</v>
      </c>
      <c r="AN1589">
        <v>0</v>
      </c>
      <c r="AO1589" t="s">
        <v>54</v>
      </c>
      <c r="AP1589" t="s">
        <v>53</v>
      </c>
      <c r="AQ1589">
        <v>0</v>
      </c>
      <c r="AR1589" t="s">
        <v>145</v>
      </c>
      <c r="AS1589">
        <v>0</v>
      </c>
      <c r="AT1589">
        <v>0</v>
      </c>
      <c r="AW1589" t="s">
        <v>79</v>
      </c>
      <c r="AX1589">
        <v>20</v>
      </c>
      <c r="AY1589" s="1">
        <v>38353</v>
      </c>
      <c r="AZ1589" s="1">
        <v>38353</v>
      </c>
      <c r="BA1589" s="1">
        <v>38353</v>
      </c>
      <c r="BB1589" s="1">
        <v>45658</v>
      </c>
      <c r="BC1589" t="s">
        <v>51</v>
      </c>
      <c r="BE1589" t="s">
        <v>54</v>
      </c>
      <c r="BF1589">
        <v>5</v>
      </c>
      <c r="BG1589">
        <v>0</v>
      </c>
      <c r="BH1589" t="s">
        <v>53</v>
      </c>
      <c r="BK1589" t="s">
        <v>59</v>
      </c>
      <c r="BL1589">
        <v>14000</v>
      </c>
      <c r="BM1589" s="1">
        <v>42917</v>
      </c>
      <c r="BN1589" s="1">
        <v>42917</v>
      </c>
      <c r="BO1589" s="1">
        <v>42917</v>
      </c>
      <c r="BP1589" s="1">
        <v>44117</v>
      </c>
      <c r="BQ1589" t="s">
        <v>51</v>
      </c>
      <c r="BS1589" t="s">
        <v>60</v>
      </c>
      <c r="BT1589" t="s">
        <v>54</v>
      </c>
      <c r="BU1589" t="s">
        <v>61</v>
      </c>
      <c r="BV1589" t="s">
        <v>62</v>
      </c>
      <c r="BX1589">
        <v>24</v>
      </c>
      <c r="BY1589">
        <v>0</v>
      </c>
      <c r="BZ1589">
        <v>0</v>
      </c>
    </row>
    <row r="1590" spans="1:78" x14ac:dyDescent="0.2">
      <c r="A1590" t="s">
        <v>180</v>
      </c>
      <c r="B1590" t="s">
        <v>181</v>
      </c>
      <c r="C1590" t="s">
        <v>184</v>
      </c>
      <c r="D1590" t="s">
        <v>801</v>
      </c>
      <c r="F1590" t="str">
        <f>"252966"</f>
        <v>252966</v>
      </c>
      <c r="G1590" t="s">
        <v>49</v>
      </c>
      <c r="K1590" t="s">
        <v>51</v>
      </c>
      <c r="L1590" t="s">
        <v>52</v>
      </c>
      <c r="M1590">
        <v>136602.45000000001</v>
      </c>
      <c r="N1590">
        <v>471940.59</v>
      </c>
      <c r="O1590" t="s">
        <v>53</v>
      </c>
      <c r="P1590" t="s">
        <v>54</v>
      </c>
      <c r="Q1590" t="s">
        <v>55</v>
      </c>
      <c r="T1590" t="s">
        <v>431</v>
      </c>
      <c r="U1590">
        <v>40</v>
      </c>
      <c r="V1590" s="1">
        <v>38353</v>
      </c>
      <c r="W1590" s="1">
        <v>38353</v>
      </c>
      <c r="X1590" s="1">
        <v>38353</v>
      </c>
      <c r="Y1590" s="1">
        <v>52963</v>
      </c>
      <c r="Z1590" t="s">
        <v>51</v>
      </c>
      <c r="AB1590" t="s">
        <v>54</v>
      </c>
      <c r="AC1590">
        <v>1</v>
      </c>
      <c r="AE1590" t="s">
        <v>79</v>
      </c>
      <c r="AF1590">
        <v>20</v>
      </c>
      <c r="AG1590" s="1">
        <v>38353</v>
      </c>
      <c r="AH1590" s="1">
        <v>38353</v>
      </c>
      <c r="AI1590" s="1">
        <v>38353</v>
      </c>
      <c r="AJ1590" s="1">
        <v>45658</v>
      </c>
      <c r="AK1590" t="s">
        <v>51</v>
      </c>
      <c r="AN1590">
        <v>0</v>
      </c>
      <c r="AO1590" t="s">
        <v>54</v>
      </c>
      <c r="AP1590" t="s">
        <v>53</v>
      </c>
      <c r="AQ1590">
        <v>0</v>
      </c>
      <c r="AR1590" t="s">
        <v>145</v>
      </c>
      <c r="AS1590">
        <v>0</v>
      </c>
      <c r="AT1590">
        <v>0</v>
      </c>
      <c r="AW1590" t="s">
        <v>79</v>
      </c>
      <c r="AX1590">
        <v>20</v>
      </c>
      <c r="AY1590" s="1">
        <v>38353</v>
      </c>
      <c r="AZ1590" s="1">
        <v>38353</v>
      </c>
      <c r="BA1590" s="1">
        <v>38353</v>
      </c>
      <c r="BB1590" s="1">
        <v>45658</v>
      </c>
      <c r="BC1590" t="s">
        <v>51</v>
      </c>
      <c r="BE1590" t="s">
        <v>54</v>
      </c>
      <c r="BF1590">
        <v>5</v>
      </c>
      <c r="BG1590">
        <v>0</v>
      </c>
      <c r="BH1590" t="s">
        <v>53</v>
      </c>
      <c r="BK1590" t="s">
        <v>59</v>
      </c>
      <c r="BL1590">
        <v>14000</v>
      </c>
      <c r="BM1590" s="1">
        <v>42917</v>
      </c>
      <c r="BN1590" s="1">
        <v>42917</v>
      </c>
      <c r="BO1590" s="1">
        <v>42917</v>
      </c>
      <c r="BP1590" s="1">
        <v>44117</v>
      </c>
      <c r="BQ1590" t="s">
        <v>51</v>
      </c>
      <c r="BS1590" t="s">
        <v>60</v>
      </c>
      <c r="BT1590" t="s">
        <v>54</v>
      </c>
      <c r="BU1590" t="s">
        <v>61</v>
      </c>
      <c r="BV1590" t="s">
        <v>62</v>
      </c>
      <c r="BX1590">
        <v>24</v>
      </c>
      <c r="BY1590">
        <v>0</v>
      </c>
      <c r="BZ1590">
        <v>0</v>
      </c>
    </row>
    <row r="1591" spans="1:78" x14ac:dyDescent="0.2">
      <c r="A1591" t="s">
        <v>180</v>
      </c>
      <c r="B1591" t="s">
        <v>181</v>
      </c>
      <c r="C1591" t="s">
        <v>184</v>
      </c>
      <c r="D1591" t="s">
        <v>800</v>
      </c>
      <c r="F1591" t="str">
        <f>"252967"</f>
        <v>252967</v>
      </c>
      <c r="G1591" t="s">
        <v>49</v>
      </c>
      <c r="K1591" t="s">
        <v>51</v>
      </c>
      <c r="L1591" t="s">
        <v>52</v>
      </c>
      <c r="M1591">
        <v>136587.64000000001</v>
      </c>
      <c r="N1591">
        <v>471921.81</v>
      </c>
      <c r="O1591" t="s">
        <v>53</v>
      </c>
      <c r="P1591" t="s">
        <v>54</v>
      </c>
      <c r="Q1591" t="s">
        <v>55</v>
      </c>
      <c r="T1591" t="s">
        <v>431</v>
      </c>
      <c r="U1591">
        <v>40</v>
      </c>
      <c r="V1591" s="1">
        <v>38353</v>
      </c>
      <c r="W1591" s="1">
        <v>38353</v>
      </c>
      <c r="X1591" s="1">
        <v>38353</v>
      </c>
      <c r="Y1591" s="1">
        <v>52963</v>
      </c>
      <c r="Z1591" t="s">
        <v>51</v>
      </c>
      <c r="AB1591" t="s">
        <v>54</v>
      </c>
      <c r="AC1591">
        <v>1</v>
      </c>
      <c r="AE1591" t="s">
        <v>79</v>
      </c>
      <c r="AF1591">
        <v>20</v>
      </c>
      <c r="AG1591" s="1">
        <v>38353</v>
      </c>
      <c r="AH1591" s="1">
        <v>38353</v>
      </c>
      <c r="AI1591" s="1">
        <v>38353</v>
      </c>
      <c r="AJ1591" s="1">
        <v>45658</v>
      </c>
      <c r="AK1591" t="s">
        <v>51</v>
      </c>
      <c r="AN1591">
        <v>0</v>
      </c>
      <c r="AO1591" t="s">
        <v>54</v>
      </c>
      <c r="AP1591" t="s">
        <v>53</v>
      </c>
      <c r="AQ1591">
        <v>0</v>
      </c>
      <c r="AR1591" t="s">
        <v>145</v>
      </c>
      <c r="AS1591">
        <v>0</v>
      </c>
      <c r="AT1591">
        <v>0</v>
      </c>
      <c r="AW1591" t="s">
        <v>79</v>
      </c>
      <c r="AX1591">
        <v>20</v>
      </c>
      <c r="AY1591" s="1">
        <v>38353</v>
      </c>
      <c r="AZ1591" s="1">
        <v>38353</v>
      </c>
      <c r="BA1591" s="1">
        <v>38353</v>
      </c>
      <c r="BB1591" s="1">
        <v>45658</v>
      </c>
      <c r="BC1591" t="s">
        <v>51</v>
      </c>
      <c r="BE1591" t="s">
        <v>54</v>
      </c>
      <c r="BF1591">
        <v>5</v>
      </c>
      <c r="BG1591">
        <v>0</v>
      </c>
      <c r="BH1591" t="s">
        <v>53</v>
      </c>
      <c r="BK1591" t="s">
        <v>59</v>
      </c>
      <c r="BL1591">
        <v>14000</v>
      </c>
      <c r="BM1591" s="1">
        <v>42917</v>
      </c>
      <c r="BN1591" s="1">
        <v>42917</v>
      </c>
      <c r="BO1591" s="1">
        <v>42917</v>
      </c>
      <c r="BP1591" s="1">
        <v>44117</v>
      </c>
      <c r="BQ1591" t="s">
        <v>51</v>
      </c>
      <c r="BS1591" t="s">
        <v>60</v>
      </c>
      <c r="BT1591" t="s">
        <v>54</v>
      </c>
      <c r="BU1591" t="s">
        <v>61</v>
      </c>
      <c r="BV1591" t="s">
        <v>62</v>
      </c>
      <c r="BX1591">
        <v>24</v>
      </c>
      <c r="BY1591">
        <v>0</v>
      </c>
      <c r="BZ1591">
        <v>0</v>
      </c>
    </row>
    <row r="1592" spans="1:78" x14ac:dyDescent="0.2">
      <c r="A1592" t="s">
        <v>180</v>
      </c>
      <c r="B1592" t="s">
        <v>181</v>
      </c>
      <c r="C1592" t="s">
        <v>184</v>
      </c>
      <c r="D1592" t="s">
        <v>801</v>
      </c>
      <c r="F1592" t="str">
        <f>"252969"</f>
        <v>252969</v>
      </c>
      <c r="G1592" t="s">
        <v>49</v>
      </c>
      <c r="K1592" t="s">
        <v>51</v>
      </c>
      <c r="L1592" t="s">
        <v>52</v>
      </c>
      <c r="M1592">
        <v>136581.48800000001</v>
      </c>
      <c r="N1592">
        <v>471941.745</v>
      </c>
      <c r="O1592" t="s">
        <v>53</v>
      </c>
      <c r="P1592" t="s">
        <v>54</v>
      </c>
      <c r="Q1592" t="s">
        <v>55</v>
      </c>
      <c r="T1592" t="s">
        <v>431</v>
      </c>
      <c r="U1592">
        <v>40</v>
      </c>
      <c r="V1592" s="1">
        <v>38353</v>
      </c>
      <c r="W1592" s="1">
        <v>38353</v>
      </c>
      <c r="X1592" s="1">
        <v>38353</v>
      </c>
      <c r="Y1592" s="1">
        <v>52963</v>
      </c>
      <c r="Z1592" t="s">
        <v>51</v>
      </c>
      <c r="AB1592" t="s">
        <v>54</v>
      </c>
      <c r="AE1592" t="s">
        <v>79</v>
      </c>
      <c r="AF1592">
        <v>20</v>
      </c>
      <c r="AG1592" s="1">
        <v>38353</v>
      </c>
      <c r="AH1592" s="1">
        <v>38353</v>
      </c>
      <c r="AI1592" s="1">
        <v>38353</v>
      </c>
      <c r="AJ1592" s="1">
        <v>45658</v>
      </c>
      <c r="AK1592" t="s">
        <v>51</v>
      </c>
      <c r="AN1592">
        <v>0</v>
      </c>
      <c r="AO1592" t="s">
        <v>54</v>
      </c>
      <c r="AP1592" t="s">
        <v>53</v>
      </c>
      <c r="AQ1592">
        <v>0</v>
      </c>
      <c r="AR1592" t="s">
        <v>145</v>
      </c>
      <c r="AS1592">
        <v>0</v>
      </c>
      <c r="AT1592">
        <v>0</v>
      </c>
      <c r="BK1592" t="s">
        <v>59</v>
      </c>
      <c r="BL1592">
        <v>14000</v>
      </c>
      <c r="BM1592" s="1">
        <v>42917</v>
      </c>
      <c r="BN1592" s="1">
        <v>42917</v>
      </c>
      <c r="BO1592" s="1">
        <v>42917</v>
      </c>
      <c r="BP1592" s="1">
        <v>44117</v>
      </c>
      <c r="BQ1592" t="s">
        <v>51</v>
      </c>
      <c r="BS1592" t="s">
        <v>60</v>
      </c>
      <c r="BT1592" t="s">
        <v>54</v>
      </c>
      <c r="BU1592" t="s">
        <v>61</v>
      </c>
      <c r="BV1592" t="s">
        <v>62</v>
      </c>
      <c r="BX1592">
        <v>24</v>
      </c>
      <c r="BY1592">
        <v>0</v>
      </c>
      <c r="BZ1592">
        <v>0</v>
      </c>
    </row>
    <row r="1593" spans="1:78" x14ac:dyDescent="0.2">
      <c r="A1593" t="s">
        <v>180</v>
      </c>
      <c r="B1593" t="s">
        <v>181</v>
      </c>
      <c r="C1593" t="s">
        <v>184</v>
      </c>
      <c r="D1593" t="s">
        <v>801</v>
      </c>
      <c r="F1593" t="str">
        <f>"252970"</f>
        <v>252970</v>
      </c>
      <c r="G1593" t="s">
        <v>49</v>
      </c>
      <c r="K1593" t="s">
        <v>51</v>
      </c>
      <c r="L1593" t="s">
        <v>52</v>
      </c>
      <c r="M1593">
        <v>136543.50700000001</v>
      </c>
      <c r="N1593">
        <v>471997.63299999997</v>
      </c>
      <c r="O1593" t="s">
        <v>53</v>
      </c>
      <c r="P1593" t="s">
        <v>54</v>
      </c>
      <c r="Q1593" t="s">
        <v>55</v>
      </c>
      <c r="T1593" t="s">
        <v>431</v>
      </c>
      <c r="U1593">
        <v>40</v>
      </c>
      <c r="V1593" s="1">
        <v>38353</v>
      </c>
      <c r="W1593" s="1">
        <v>38353</v>
      </c>
      <c r="X1593" s="1">
        <v>38353</v>
      </c>
      <c r="Y1593" s="1">
        <v>52963</v>
      </c>
      <c r="Z1593" t="s">
        <v>51</v>
      </c>
      <c r="AB1593" t="s">
        <v>54</v>
      </c>
      <c r="AC1593">
        <v>1</v>
      </c>
      <c r="AE1593" t="s">
        <v>79</v>
      </c>
      <c r="AF1593">
        <v>20</v>
      </c>
      <c r="AG1593" s="1">
        <v>38353</v>
      </c>
      <c r="AH1593" s="1">
        <v>38353</v>
      </c>
      <c r="AI1593" s="1">
        <v>38353</v>
      </c>
      <c r="AJ1593" s="1">
        <v>45658</v>
      </c>
      <c r="AK1593" t="s">
        <v>51</v>
      </c>
      <c r="AN1593">
        <v>0</v>
      </c>
      <c r="AO1593" t="s">
        <v>54</v>
      </c>
      <c r="AP1593" t="s">
        <v>53</v>
      </c>
      <c r="AQ1593">
        <v>0</v>
      </c>
      <c r="AR1593" t="s">
        <v>145</v>
      </c>
      <c r="AS1593">
        <v>0</v>
      </c>
      <c r="AT1593">
        <v>0</v>
      </c>
      <c r="AW1593" t="s">
        <v>79</v>
      </c>
      <c r="AX1593">
        <v>20</v>
      </c>
      <c r="AY1593" s="1">
        <v>38353</v>
      </c>
      <c r="AZ1593" s="1">
        <v>38353</v>
      </c>
      <c r="BA1593" s="1">
        <v>38353</v>
      </c>
      <c r="BB1593" s="1">
        <v>45658</v>
      </c>
      <c r="BC1593" t="s">
        <v>51</v>
      </c>
      <c r="BE1593" t="s">
        <v>54</v>
      </c>
      <c r="BF1593">
        <v>5</v>
      </c>
      <c r="BG1593">
        <v>0</v>
      </c>
      <c r="BH1593" t="s">
        <v>53</v>
      </c>
      <c r="BK1593" t="s">
        <v>59</v>
      </c>
      <c r="BL1593">
        <v>14000</v>
      </c>
      <c r="BM1593" s="1">
        <v>42917</v>
      </c>
      <c r="BN1593" s="1">
        <v>42917</v>
      </c>
      <c r="BO1593" s="1">
        <v>42917</v>
      </c>
      <c r="BP1593" s="1">
        <v>44117</v>
      </c>
      <c r="BQ1593" t="s">
        <v>51</v>
      </c>
      <c r="BS1593" t="s">
        <v>60</v>
      </c>
      <c r="BT1593" t="s">
        <v>54</v>
      </c>
      <c r="BU1593" t="s">
        <v>61</v>
      </c>
      <c r="BV1593" t="s">
        <v>62</v>
      </c>
      <c r="BX1593">
        <v>24</v>
      </c>
      <c r="BY1593">
        <v>0</v>
      </c>
      <c r="BZ1593">
        <v>0</v>
      </c>
    </row>
    <row r="1594" spans="1:78" x14ac:dyDescent="0.2">
      <c r="A1594" t="s">
        <v>180</v>
      </c>
      <c r="B1594" t="s">
        <v>181</v>
      </c>
      <c r="C1594" t="s">
        <v>184</v>
      </c>
      <c r="D1594" t="s">
        <v>801</v>
      </c>
      <c r="F1594" t="str">
        <f>"252971"</f>
        <v>252971</v>
      </c>
      <c r="G1594" t="s">
        <v>49</v>
      </c>
      <c r="K1594" t="s">
        <v>51</v>
      </c>
      <c r="L1594" t="s">
        <v>52</v>
      </c>
      <c r="M1594">
        <v>136534.693</v>
      </c>
      <c r="N1594">
        <v>472007.61900000001</v>
      </c>
      <c r="O1594" t="s">
        <v>53</v>
      </c>
      <c r="P1594" t="s">
        <v>54</v>
      </c>
      <c r="Q1594" t="s">
        <v>55</v>
      </c>
      <c r="T1594" t="s">
        <v>431</v>
      </c>
      <c r="U1594">
        <v>40</v>
      </c>
      <c r="V1594" s="1">
        <v>38353</v>
      </c>
      <c r="W1594" s="1">
        <v>38353</v>
      </c>
      <c r="X1594" s="1">
        <v>38353</v>
      </c>
      <c r="Y1594" s="1">
        <v>52963</v>
      </c>
      <c r="Z1594" t="s">
        <v>51</v>
      </c>
      <c r="AB1594" t="s">
        <v>54</v>
      </c>
      <c r="AC1594">
        <v>1</v>
      </c>
      <c r="AE1594" t="s">
        <v>79</v>
      </c>
      <c r="AF1594">
        <v>20</v>
      </c>
      <c r="AG1594" s="1">
        <v>38353</v>
      </c>
      <c r="AH1594" s="1">
        <v>38353</v>
      </c>
      <c r="AI1594" s="1">
        <v>38353</v>
      </c>
      <c r="AJ1594" s="1">
        <v>45658</v>
      </c>
      <c r="AK1594" t="s">
        <v>51</v>
      </c>
      <c r="AN1594">
        <v>0</v>
      </c>
      <c r="AO1594" t="s">
        <v>54</v>
      </c>
      <c r="AP1594" t="s">
        <v>53</v>
      </c>
      <c r="AQ1594">
        <v>0</v>
      </c>
      <c r="AR1594" t="s">
        <v>145</v>
      </c>
      <c r="AS1594">
        <v>0</v>
      </c>
      <c r="AT1594">
        <v>0</v>
      </c>
      <c r="AW1594" t="s">
        <v>79</v>
      </c>
      <c r="AX1594">
        <v>20</v>
      </c>
      <c r="AY1594" s="1">
        <v>38353</v>
      </c>
      <c r="AZ1594" s="1">
        <v>38353</v>
      </c>
      <c r="BA1594" s="1">
        <v>38353</v>
      </c>
      <c r="BB1594" s="1">
        <v>45658</v>
      </c>
      <c r="BC1594" t="s">
        <v>51</v>
      </c>
      <c r="BE1594" t="s">
        <v>54</v>
      </c>
      <c r="BF1594">
        <v>5</v>
      </c>
      <c r="BG1594">
        <v>0</v>
      </c>
      <c r="BH1594" t="s">
        <v>53</v>
      </c>
      <c r="BK1594" t="s">
        <v>59</v>
      </c>
      <c r="BL1594">
        <v>14000</v>
      </c>
      <c r="BM1594" s="1">
        <v>42917</v>
      </c>
      <c r="BN1594" s="1">
        <v>42917</v>
      </c>
      <c r="BO1594" s="1">
        <v>42917</v>
      </c>
      <c r="BP1594" s="1">
        <v>44117</v>
      </c>
      <c r="BQ1594" t="s">
        <v>51</v>
      </c>
      <c r="BS1594" t="s">
        <v>60</v>
      </c>
      <c r="BT1594" t="s">
        <v>54</v>
      </c>
      <c r="BU1594" t="s">
        <v>61</v>
      </c>
      <c r="BV1594" t="s">
        <v>62</v>
      </c>
      <c r="BX1594">
        <v>24</v>
      </c>
      <c r="BY1594">
        <v>0</v>
      </c>
      <c r="BZ1594">
        <v>0</v>
      </c>
    </row>
    <row r="1595" spans="1:78" x14ac:dyDescent="0.2">
      <c r="A1595" t="s">
        <v>180</v>
      </c>
      <c r="B1595" t="s">
        <v>181</v>
      </c>
      <c r="C1595" t="s">
        <v>184</v>
      </c>
      <c r="D1595" t="s">
        <v>802</v>
      </c>
      <c r="F1595" t="str">
        <f>"252972"</f>
        <v>252972</v>
      </c>
      <c r="G1595" t="s">
        <v>49</v>
      </c>
      <c r="K1595" t="s">
        <v>51</v>
      </c>
      <c r="L1595" t="s">
        <v>52</v>
      </c>
      <c r="M1595">
        <v>136649.67000000001</v>
      </c>
      <c r="N1595">
        <v>471957.56</v>
      </c>
      <c r="O1595" t="s">
        <v>53</v>
      </c>
      <c r="P1595" t="s">
        <v>54</v>
      </c>
      <c r="Q1595" t="s">
        <v>55</v>
      </c>
      <c r="T1595" t="s">
        <v>431</v>
      </c>
      <c r="U1595">
        <v>40</v>
      </c>
      <c r="V1595" s="1">
        <v>38353</v>
      </c>
      <c r="W1595" s="1">
        <v>38353</v>
      </c>
      <c r="X1595" s="1">
        <v>38353</v>
      </c>
      <c r="Y1595" s="1">
        <v>52963</v>
      </c>
      <c r="Z1595" t="s">
        <v>51</v>
      </c>
      <c r="AB1595" t="s">
        <v>54</v>
      </c>
      <c r="AC1595">
        <v>1</v>
      </c>
      <c r="AE1595" t="s">
        <v>79</v>
      </c>
      <c r="AF1595">
        <v>20</v>
      </c>
      <c r="AG1595" s="1">
        <v>38353</v>
      </c>
      <c r="AH1595" s="1">
        <v>38353</v>
      </c>
      <c r="AI1595" s="1">
        <v>38353</v>
      </c>
      <c r="AJ1595" s="1">
        <v>45658</v>
      </c>
      <c r="AK1595" t="s">
        <v>51</v>
      </c>
      <c r="AN1595">
        <v>0</v>
      </c>
      <c r="AO1595" t="s">
        <v>54</v>
      </c>
      <c r="AP1595" t="s">
        <v>53</v>
      </c>
      <c r="AQ1595">
        <v>0</v>
      </c>
      <c r="AR1595" t="s">
        <v>145</v>
      </c>
      <c r="AS1595">
        <v>0</v>
      </c>
      <c r="AT1595">
        <v>0</v>
      </c>
      <c r="AW1595" t="s">
        <v>79</v>
      </c>
      <c r="AX1595">
        <v>20</v>
      </c>
      <c r="AY1595" s="1">
        <v>38353</v>
      </c>
      <c r="AZ1595" s="1">
        <v>38353</v>
      </c>
      <c r="BA1595" s="1">
        <v>38353</v>
      </c>
      <c r="BB1595" s="1">
        <v>45658</v>
      </c>
      <c r="BC1595" t="s">
        <v>51</v>
      </c>
      <c r="BE1595" t="s">
        <v>54</v>
      </c>
      <c r="BF1595">
        <v>5</v>
      </c>
      <c r="BG1595">
        <v>0</v>
      </c>
      <c r="BH1595" t="s">
        <v>53</v>
      </c>
      <c r="BK1595" t="s">
        <v>59</v>
      </c>
      <c r="BL1595">
        <v>14000</v>
      </c>
      <c r="BM1595" s="1">
        <v>42917</v>
      </c>
      <c r="BN1595" s="1">
        <v>42917</v>
      </c>
      <c r="BO1595" s="1">
        <v>42917</v>
      </c>
      <c r="BP1595" s="1">
        <v>44117</v>
      </c>
      <c r="BQ1595" t="s">
        <v>51</v>
      </c>
      <c r="BS1595" t="s">
        <v>60</v>
      </c>
      <c r="BT1595" t="s">
        <v>54</v>
      </c>
      <c r="BU1595" t="s">
        <v>61</v>
      </c>
      <c r="BV1595" t="s">
        <v>62</v>
      </c>
      <c r="BX1595">
        <v>24</v>
      </c>
      <c r="BY1595">
        <v>0</v>
      </c>
      <c r="BZ1595">
        <v>0</v>
      </c>
    </row>
    <row r="1596" spans="1:78" x14ac:dyDescent="0.2">
      <c r="A1596" t="s">
        <v>180</v>
      </c>
      <c r="B1596" t="s">
        <v>181</v>
      </c>
      <c r="C1596" t="s">
        <v>184</v>
      </c>
      <c r="D1596" t="s">
        <v>802</v>
      </c>
      <c r="F1596" t="str">
        <f>"252973"</f>
        <v>252973</v>
      </c>
      <c r="G1596" t="s">
        <v>49</v>
      </c>
      <c r="K1596" t="s">
        <v>51</v>
      </c>
      <c r="L1596" t="s">
        <v>52</v>
      </c>
      <c r="M1596">
        <v>136656.84</v>
      </c>
      <c r="N1596">
        <v>471971.53</v>
      </c>
      <c r="O1596" t="s">
        <v>53</v>
      </c>
      <c r="P1596" t="s">
        <v>54</v>
      </c>
      <c r="Q1596" t="s">
        <v>55</v>
      </c>
      <c r="T1596" t="s">
        <v>431</v>
      </c>
      <c r="U1596">
        <v>40</v>
      </c>
      <c r="V1596" s="1">
        <v>38353</v>
      </c>
      <c r="W1596" s="1">
        <v>38353</v>
      </c>
      <c r="X1596" s="1">
        <v>38353</v>
      </c>
      <c r="Y1596" s="1">
        <v>52963</v>
      </c>
      <c r="Z1596" t="s">
        <v>51</v>
      </c>
      <c r="AB1596" t="s">
        <v>54</v>
      </c>
      <c r="AC1596">
        <v>1</v>
      </c>
      <c r="AE1596" t="s">
        <v>79</v>
      </c>
      <c r="AF1596">
        <v>20</v>
      </c>
      <c r="AG1596" s="1">
        <v>38353</v>
      </c>
      <c r="AH1596" s="1">
        <v>38353</v>
      </c>
      <c r="AI1596" s="1">
        <v>38353</v>
      </c>
      <c r="AJ1596" s="1">
        <v>45658</v>
      </c>
      <c r="AK1596" t="s">
        <v>51</v>
      </c>
      <c r="AN1596">
        <v>0</v>
      </c>
      <c r="AO1596" t="s">
        <v>54</v>
      </c>
      <c r="AP1596" t="s">
        <v>53</v>
      </c>
      <c r="AQ1596">
        <v>0</v>
      </c>
      <c r="AR1596" t="s">
        <v>145</v>
      </c>
      <c r="AS1596">
        <v>0</v>
      </c>
      <c r="AT1596">
        <v>0</v>
      </c>
      <c r="AW1596" t="s">
        <v>79</v>
      </c>
      <c r="AX1596">
        <v>20</v>
      </c>
      <c r="AY1596" s="1">
        <v>38353</v>
      </c>
      <c r="AZ1596" s="1">
        <v>38353</v>
      </c>
      <c r="BA1596" s="1">
        <v>38353</v>
      </c>
      <c r="BB1596" s="1">
        <v>45658</v>
      </c>
      <c r="BC1596" t="s">
        <v>51</v>
      </c>
      <c r="BE1596" t="s">
        <v>54</v>
      </c>
      <c r="BF1596">
        <v>5</v>
      </c>
      <c r="BG1596">
        <v>0</v>
      </c>
      <c r="BH1596" t="s">
        <v>53</v>
      </c>
      <c r="BK1596" t="s">
        <v>59</v>
      </c>
      <c r="BL1596">
        <v>14000</v>
      </c>
      <c r="BM1596" s="1">
        <v>44823</v>
      </c>
      <c r="BN1596" s="1">
        <v>44823</v>
      </c>
      <c r="BO1596" s="1">
        <v>44823</v>
      </c>
      <c r="BP1596" s="1">
        <v>45990</v>
      </c>
      <c r="BQ1596" t="s">
        <v>51</v>
      </c>
      <c r="BS1596" t="s">
        <v>60</v>
      </c>
      <c r="BT1596" t="s">
        <v>54</v>
      </c>
      <c r="BU1596" t="s">
        <v>61</v>
      </c>
      <c r="BV1596" t="s">
        <v>62</v>
      </c>
      <c r="BX1596">
        <v>24</v>
      </c>
      <c r="BY1596">
        <v>0</v>
      </c>
      <c r="BZ1596">
        <v>0</v>
      </c>
    </row>
    <row r="1597" spans="1:78" x14ac:dyDescent="0.2">
      <c r="A1597" t="s">
        <v>180</v>
      </c>
      <c r="B1597" t="s">
        <v>181</v>
      </c>
      <c r="C1597" t="s">
        <v>184</v>
      </c>
      <c r="D1597" t="s">
        <v>802</v>
      </c>
      <c r="F1597" t="str">
        <f>"252974"</f>
        <v>252974</v>
      </c>
      <c r="G1597" t="s">
        <v>49</v>
      </c>
      <c r="K1597" t="s">
        <v>51</v>
      </c>
      <c r="L1597" t="s">
        <v>52</v>
      </c>
      <c r="M1597">
        <v>136662.92000000001</v>
      </c>
      <c r="N1597">
        <v>471984.69</v>
      </c>
      <c r="O1597" t="s">
        <v>53</v>
      </c>
      <c r="P1597" t="s">
        <v>54</v>
      </c>
      <c r="Q1597" t="s">
        <v>55</v>
      </c>
      <c r="T1597" t="s">
        <v>431</v>
      </c>
      <c r="U1597">
        <v>40</v>
      </c>
      <c r="V1597" s="1">
        <v>38353</v>
      </c>
      <c r="W1597" s="1">
        <v>38353</v>
      </c>
      <c r="X1597" s="1">
        <v>38353</v>
      </c>
      <c r="Y1597" s="1">
        <v>52963</v>
      </c>
      <c r="Z1597" t="s">
        <v>51</v>
      </c>
      <c r="AB1597" t="s">
        <v>54</v>
      </c>
      <c r="AC1597">
        <v>1</v>
      </c>
      <c r="AE1597" t="s">
        <v>79</v>
      </c>
      <c r="AF1597">
        <v>20</v>
      </c>
      <c r="AG1597" s="1">
        <v>38353</v>
      </c>
      <c r="AH1597" s="1">
        <v>38353</v>
      </c>
      <c r="AI1597" s="1">
        <v>38353</v>
      </c>
      <c r="AJ1597" s="1">
        <v>45658</v>
      </c>
      <c r="AK1597" t="s">
        <v>51</v>
      </c>
      <c r="AN1597">
        <v>0</v>
      </c>
      <c r="AO1597" t="s">
        <v>54</v>
      </c>
      <c r="AP1597" t="s">
        <v>53</v>
      </c>
      <c r="AQ1597">
        <v>0</v>
      </c>
      <c r="AR1597" t="s">
        <v>145</v>
      </c>
      <c r="AS1597">
        <v>0</v>
      </c>
      <c r="AT1597">
        <v>0</v>
      </c>
      <c r="AW1597" t="s">
        <v>79</v>
      </c>
      <c r="AX1597">
        <v>20</v>
      </c>
      <c r="AY1597" s="1">
        <v>38353</v>
      </c>
      <c r="AZ1597" s="1">
        <v>38353</v>
      </c>
      <c r="BA1597" s="1">
        <v>38353</v>
      </c>
      <c r="BB1597" s="1">
        <v>45658</v>
      </c>
      <c r="BC1597" t="s">
        <v>51</v>
      </c>
      <c r="BE1597" t="s">
        <v>54</v>
      </c>
      <c r="BF1597">
        <v>5</v>
      </c>
      <c r="BG1597">
        <v>0</v>
      </c>
      <c r="BH1597" t="s">
        <v>53</v>
      </c>
      <c r="BK1597" t="s">
        <v>59</v>
      </c>
      <c r="BL1597">
        <v>14000</v>
      </c>
      <c r="BM1597" s="1">
        <v>44823</v>
      </c>
      <c r="BN1597" s="1">
        <v>44823</v>
      </c>
      <c r="BO1597" s="1">
        <v>44823</v>
      </c>
      <c r="BP1597" s="1">
        <v>45990</v>
      </c>
      <c r="BQ1597" t="s">
        <v>51</v>
      </c>
      <c r="BS1597" t="s">
        <v>60</v>
      </c>
      <c r="BT1597" t="s">
        <v>54</v>
      </c>
      <c r="BU1597" t="s">
        <v>61</v>
      </c>
      <c r="BV1597" t="s">
        <v>62</v>
      </c>
      <c r="BX1597">
        <v>24</v>
      </c>
      <c r="BY1597">
        <v>0</v>
      </c>
      <c r="BZ1597">
        <v>0</v>
      </c>
    </row>
    <row r="1598" spans="1:78" x14ac:dyDescent="0.2">
      <c r="A1598" t="s">
        <v>180</v>
      </c>
      <c r="B1598" t="s">
        <v>181</v>
      </c>
      <c r="C1598" t="s">
        <v>184</v>
      </c>
      <c r="D1598" t="s">
        <v>801</v>
      </c>
      <c r="F1598" t="str">
        <f>"252975"</f>
        <v>252975</v>
      </c>
      <c r="G1598" t="s">
        <v>49</v>
      </c>
      <c r="K1598" t="s">
        <v>51</v>
      </c>
      <c r="L1598" t="s">
        <v>52</v>
      </c>
      <c r="M1598">
        <v>136636.10999999999</v>
      </c>
      <c r="N1598">
        <v>471929.47</v>
      </c>
      <c r="O1598" t="s">
        <v>53</v>
      </c>
      <c r="P1598" t="s">
        <v>54</v>
      </c>
      <c r="Q1598" t="s">
        <v>55</v>
      </c>
      <c r="T1598" t="s">
        <v>431</v>
      </c>
      <c r="U1598">
        <v>40</v>
      </c>
      <c r="V1598" s="1">
        <v>38353</v>
      </c>
      <c r="W1598" s="1">
        <v>38353</v>
      </c>
      <c r="X1598" s="1">
        <v>38353</v>
      </c>
      <c r="Y1598" s="1">
        <v>52963</v>
      </c>
      <c r="Z1598" t="s">
        <v>51</v>
      </c>
      <c r="AB1598" t="s">
        <v>54</v>
      </c>
      <c r="AC1598">
        <v>1</v>
      </c>
      <c r="AE1598" t="s">
        <v>79</v>
      </c>
      <c r="AF1598">
        <v>20</v>
      </c>
      <c r="AG1598" s="1">
        <v>38353</v>
      </c>
      <c r="AH1598" s="1">
        <v>38353</v>
      </c>
      <c r="AI1598" s="1">
        <v>38353</v>
      </c>
      <c r="AJ1598" s="1">
        <v>45658</v>
      </c>
      <c r="AK1598" t="s">
        <v>51</v>
      </c>
      <c r="AN1598">
        <v>0</v>
      </c>
      <c r="AO1598" t="s">
        <v>54</v>
      </c>
      <c r="AP1598" t="s">
        <v>53</v>
      </c>
      <c r="AQ1598">
        <v>0</v>
      </c>
      <c r="AR1598" t="s">
        <v>145</v>
      </c>
      <c r="AS1598">
        <v>0</v>
      </c>
      <c r="AT1598">
        <v>0</v>
      </c>
      <c r="AW1598" t="s">
        <v>79</v>
      </c>
      <c r="AX1598">
        <v>20</v>
      </c>
      <c r="AY1598" s="1">
        <v>38353</v>
      </c>
      <c r="AZ1598" s="1">
        <v>38353</v>
      </c>
      <c r="BA1598" s="1">
        <v>38353</v>
      </c>
      <c r="BB1598" s="1">
        <v>45658</v>
      </c>
      <c r="BC1598" t="s">
        <v>51</v>
      </c>
      <c r="BE1598" t="s">
        <v>54</v>
      </c>
      <c r="BF1598">
        <v>5</v>
      </c>
      <c r="BG1598">
        <v>0</v>
      </c>
      <c r="BH1598" t="s">
        <v>53</v>
      </c>
      <c r="BK1598" t="s">
        <v>59</v>
      </c>
      <c r="BL1598">
        <v>14000</v>
      </c>
      <c r="BM1598" s="1">
        <v>42917</v>
      </c>
      <c r="BN1598" s="1">
        <v>42917</v>
      </c>
      <c r="BO1598" s="1">
        <v>42917</v>
      </c>
      <c r="BP1598" s="1">
        <v>44117</v>
      </c>
      <c r="BQ1598" t="s">
        <v>51</v>
      </c>
      <c r="BS1598" t="s">
        <v>60</v>
      </c>
      <c r="BT1598" t="s">
        <v>54</v>
      </c>
      <c r="BU1598" t="s">
        <v>61</v>
      </c>
      <c r="BV1598" t="s">
        <v>62</v>
      </c>
      <c r="BX1598">
        <v>24</v>
      </c>
      <c r="BY1598">
        <v>0</v>
      </c>
      <c r="BZ1598">
        <v>0</v>
      </c>
    </row>
    <row r="1599" spans="1:78" x14ac:dyDescent="0.2">
      <c r="A1599" t="s">
        <v>180</v>
      </c>
      <c r="B1599" t="s">
        <v>181</v>
      </c>
      <c r="C1599" t="s">
        <v>184</v>
      </c>
      <c r="D1599" t="s">
        <v>715</v>
      </c>
      <c r="F1599" t="str">
        <f>"252976"</f>
        <v>252976</v>
      </c>
      <c r="G1599" t="s">
        <v>49</v>
      </c>
      <c r="K1599" t="s">
        <v>51</v>
      </c>
      <c r="L1599" t="s">
        <v>52</v>
      </c>
      <c r="M1599">
        <v>136624.89000000001</v>
      </c>
      <c r="N1599">
        <v>471906.28</v>
      </c>
      <c r="O1599" t="s">
        <v>53</v>
      </c>
      <c r="P1599" t="s">
        <v>54</v>
      </c>
      <c r="Q1599" t="s">
        <v>55</v>
      </c>
      <c r="T1599" t="s">
        <v>431</v>
      </c>
      <c r="U1599">
        <v>40</v>
      </c>
      <c r="V1599" s="1">
        <v>38353</v>
      </c>
      <c r="W1599" s="1">
        <v>38353</v>
      </c>
      <c r="X1599" s="1">
        <v>38353</v>
      </c>
      <c r="Y1599" s="1">
        <v>52963</v>
      </c>
      <c r="Z1599" t="s">
        <v>51</v>
      </c>
      <c r="AB1599" t="s">
        <v>54</v>
      </c>
      <c r="AC1599">
        <v>1</v>
      </c>
      <c r="AE1599" t="s">
        <v>79</v>
      </c>
      <c r="AF1599">
        <v>20</v>
      </c>
      <c r="AG1599" s="1">
        <v>38353</v>
      </c>
      <c r="AH1599" s="1">
        <v>38353</v>
      </c>
      <c r="AI1599" s="1">
        <v>38353</v>
      </c>
      <c r="AJ1599" s="1">
        <v>45658</v>
      </c>
      <c r="AK1599" t="s">
        <v>51</v>
      </c>
      <c r="AN1599">
        <v>0</v>
      </c>
      <c r="AO1599" t="s">
        <v>54</v>
      </c>
      <c r="AP1599" t="s">
        <v>53</v>
      </c>
      <c r="AQ1599">
        <v>0</v>
      </c>
      <c r="AR1599" t="s">
        <v>145</v>
      </c>
      <c r="AS1599">
        <v>0</v>
      </c>
      <c r="AT1599">
        <v>0</v>
      </c>
      <c r="AW1599" t="s">
        <v>79</v>
      </c>
      <c r="AX1599">
        <v>20</v>
      </c>
      <c r="AY1599" s="1">
        <v>44810</v>
      </c>
      <c r="AZ1599" s="1">
        <v>44810</v>
      </c>
      <c r="BA1599" s="1">
        <v>44810</v>
      </c>
      <c r="BB1599" s="1">
        <v>52115</v>
      </c>
      <c r="BC1599" t="s">
        <v>51</v>
      </c>
      <c r="BE1599" t="s">
        <v>54</v>
      </c>
      <c r="BF1599">
        <v>5</v>
      </c>
      <c r="BG1599">
        <v>0</v>
      </c>
      <c r="BH1599" t="s">
        <v>53</v>
      </c>
      <c r="BK1599" t="s">
        <v>59</v>
      </c>
      <c r="BL1599">
        <v>14000</v>
      </c>
      <c r="BM1599" s="1">
        <v>44810</v>
      </c>
      <c r="BN1599" s="1">
        <v>44810</v>
      </c>
      <c r="BO1599" s="1">
        <v>44810</v>
      </c>
      <c r="BP1599" s="1">
        <v>45981</v>
      </c>
      <c r="BQ1599" t="s">
        <v>51</v>
      </c>
      <c r="BS1599" t="s">
        <v>60</v>
      </c>
      <c r="BT1599" t="s">
        <v>54</v>
      </c>
      <c r="BU1599" t="s">
        <v>61</v>
      </c>
      <c r="BV1599" t="s">
        <v>62</v>
      </c>
      <c r="BX1599">
        <v>24</v>
      </c>
      <c r="BY1599">
        <v>0</v>
      </c>
      <c r="BZ1599">
        <v>0</v>
      </c>
    </row>
    <row r="1600" spans="1:78" x14ac:dyDescent="0.2">
      <c r="A1600" t="s">
        <v>180</v>
      </c>
      <c r="B1600" t="s">
        <v>181</v>
      </c>
      <c r="C1600" t="s">
        <v>184</v>
      </c>
      <c r="D1600" t="s">
        <v>800</v>
      </c>
      <c r="F1600" t="str">
        <f>"252977"</f>
        <v>252977</v>
      </c>
      <c r="G1600" t="s">
        <v>49</v>
      </c>
      <c r="K1600" t="s">
        <v>51</v>
      </c>
      <c r="L1600" t="s">
        <v>52</v>
      </c>
      <c r="M1600">
        <v>136683.78</v>
      </c>
      <c r="N1600">
        <v>471870.38</v>
      </c>
      <c r="O1600" t="s">
        <v>53</v>
      </c>
      <c r="P1600" t="s">
        <v>54</v>
      </c>
      <c r="Q1600" t="s">
        <v>55</v>
      </c>
      <c r="T1600" t="s">
        <v>431</v>
      </c>
      <c r="U1600">
        <v>40</v>
      </c>
      <c r="V1600" s="1">
        <v>38353</v>
      </c>
      <c r="W1600" s="1">
        <v>38353</v>
      </c>
      <c r="X1600" s="1">
        <v>38353</v>
      </c>
      <c r="Y1600" s="1">
        <v>52963</v>
      </c>
      <c r="Z1600" t="s">
        <v>51</v>
      </c>
      <c r="AB1600" t="s">
        <v>54</v>
      </c>
      <c r="AC1600">
        <v>1</v>
      </c>
      <c r="AE1600" t="s">
        <v>79</v>
      </c>
      <c r="AF1600">
        <v>20</v>
      </c>
      <c r="AG1600" s="1">
        <v>38353</v>
      </c>
      <c r="AH1600" s="1">
        <v>38353</v>
      </c>
      <c r="AI1600" s="1">
        <v>38353</v>
      </c>
      <c r="AJ1600" s="1">
        <v>45658</v>
      </c>
      <c r="AK1600" t="s">
        <v>51</v>
      </c>
      <c r="AN1600">
        <v>0</v>
      </c>
      <c r="AO1600" t="s">
        <v>54</v>
      </c>
      <c r="AP1600" t="s">
        <v>53</v>
      </c>
      <c r="AQ1600">
        <v>0</v>
      </c>
      <c r="AR1600" t="s">
        <v>145</v>
      </c>
      <c r="AS1600">
        <v>0</v>
      </c>
      <c r="AT1600">
        <v>0</v>
      </c>
      <c r="AW1600" t="s">
        <v>79</v>
      </c>
      <c r="AX1600">
        <v>20</v>
      </c>
      <c r="AY1600" s="1">
        <v>38353</v>
      </c>
      <c r="AZ1600" s="1">
        <v>38353</v>
      </c>
      <c r="BA1600" s="1">
        <v>38353</v>
      </c>
      <c r="BB1600" s="1">
        <v>45658</v>
      </c>
      <c r="BC1600" t="s">
        <v>51</v>
      </c>
      <c r="BE1600" t="s">
        <v>54</v>
      </c>
      <c r="BF1600">
        <v>5</v>
      </c>
      <c r="BG1600">
        <v>0</v>
      </c>
      <c r="BH1600" t="s">
        <v>53</v>
      </c>
      <c r="BK1600" t="s">
        <v>59</v>
      </c>
      <c r="BL1600">
        <v>14000</v>
      </c>
      <c r="BM1600" s="1">
        <v>42917</v>
      </c>
      <c r="BN1600" s="1">
        <v>42917</v>
      </c>
      <c r="BO1600" s="1">
        <v>42917</v>
      </c>
      <c r="BP1600" s="1">
        <v>44117</v>
      </c>
      <c r="BQ1600" t="s">
        <v>51</v>
      </c>
      <c r="BS1600" t="s">
        <v>60</v>
      </c>
      <c r="BT1600" t="s">
        <v>54</v>
      </c>
      <c r="BU1600" t="s">
        <v>61</v>
      </c>
      <c r="BV1600" t="s">
        <v>62</v>
      </c>
      <c r="BX1600">
        <v>24</v>
      </c>
      <c r="BY1600">
        <v>0</v>
      </c>
      <c r="BZ1600">
        <v>0</v>
      </c>
    </row>
    <row r="1601" spans="1:99" x14ac:dyDescent="0.2">
      <c r="A1601" t="s">
        <v>180</v>
      </c>
      <c r="B1601" t="s">
        <v>181</v>
      </c>
      <c r="C1601" t="s">
        <v>184</v>
      </c>
      <c r="D1601" t="s">
        <v>800</v>
      </c>
      <c r="F1601" t="str">
        <f>"252978"</f>
        <v>252978</v>
      </c>
      <c r="G1601" t="s">
        <v>49</v>
      </c>
      <c r="K1601" t="s">
        <v>51</v>
      </c>
      <c r="L1601" t="s">
        <v>52</v>
      </c>
      <c r="M1601">
        <v>136689.84</v>
      </c>
      <c r="N1601">
        <v>471883.13</v>
      </c>
      <c r="O1601" t="s">
        <v>53</v>
      </c>
      <c r="P1601" t="s">
        <v>54</v>
      </c>
      <c r="Q1601" t="s">
        <v>55</v>
      </c>
      <c r="T1601" t="s">
        <v>431</v>
      </c>
      <c r="U1601">
        <v>40</v>
      </c>
      <c r="V1601" s="1">
        <v>38353</v>
      </c>
      <c r="W1601" s="1">
        <v>38353</v>
      </c>
      <c r="X1601" s="1">
        <v>38353</v>
      </c>
      <c r="Y1601" s="1">
        <v>52963</v>
      </c>
      <c r="Z1601" t="s">
        <v>51</v>
      </c>
      <c r="AB1601" t="s">
        <v>54</v>
      </c>
      <c r="AC1601">
        <v>1</v>
      </c>
      <c r="AE1601" t="s">
        <v>79</v>
      </c>
      <c r="AF1601">
        <v>20</v>
      </c>
      <c r="AG1601" s="1">
        <v>38353</v>
      </c>
      <c r="AH1601" s="1">
        <v>38353</v>
      </c>
      <c r="AI1601" s="1">
        <v>38353</v>
      </c>
      <c r="AJ1601" s="1">
        <v>45658</v>
      </c>
      <c r="AK1601" t="s">
        <v>51</v>
      </c>
      <c r="AN1601">
        <v>0</v>
      </c>
      <c r="AO1601" t="s">
        <v>54</v>
      </c>
      <c r="AP1601" t="s">
        <v>53</v>
      </c>
      <c r="AQ1601">
        <v>0</v>
      </c>
      <c r="AR1601" t="s">
        <v>145</v>
      </c>
      <c r="AS1601">
        <v>0</v>
      </c>
      <c r="AT1601">
        <v>0</v>
      </c>
      <c r="AW1601" t="s">
        <v>79</v>
      </c>
      <c r="AX1601">
        <v>20</v>
      </c>
      <c r="AY1601" s="1">
        <v>38353</v>
      </c>
      <c r="AZ1601" s="1">
        <v>38353</v>
      </c>
      <c r="BA1601" s="1">
        <v>38353</v>
      </c>
      <c r="BB1601" s="1">
        <v>45658</v>
      </c>
      <c r="BC1601" t="s">
        <v>51</v>
      </c>
      <c r="BE1601" t="s">
        <v>54</v>
      </c>
      <c r="BF1601">
        <v>5</v>
      </c>
      <c r="BG1601">
        <v>0</v>
      </c>
      <c r="BH1601" t="s">
        <v>53</v>
      </c>
      <c r="BK1601" t="s">
        <v>59</v>
      </c>
      <c r="BL1601">
        <v>14000</v>
      </c>
      <c r="BM1601" s="1">
        <v>42917</v>
      </c>
      <c r="BN1601" s="1">
        <v>42917</v>
      </c>
      <c r="BO1601" s="1">
        <v>42917</v>
      </c>
      <c r="BP1601" s="1">
        <v>44117</v>
      </c>
      <c r="BQ1601" t="s">
        <v>51</v>
      </c>
      <c r="BS1601" t="s">
        <v>60</v>
      </c>
      <c r="BT1601" t="s">
        <v>54</v>
      </c>
      <c r="BU1601" t="s">
        <v>61</v>
      </c>
      <c r="BV1601" t="s">
        <v>62</v>
      </c>
      <c r="BX1601">
        <v>24</v>
      </c>
      <c r="BY1601">
        <v>0</v>
      </c>
      <c r="BZ1601">
        <v>0</v>
      </c>
    </row>
    <row r="1602" spans="1:99" x14ac:dyDescent="0.2">
      <c r="A1602" t="s">
        <v>180</v>
      </c>
      <c r="B1602" t="s">
        <v>181</v>
      </c>
      <c r="C1602" t="s">
        <v>184</v>
      </c>
      <c r="D1602" t="s">
        <v>800</v>
      </c>
      <c r="F1602" t="str">
        <f>"252979"</f>
        <v>252979</v>
      </c>
      <c r="G1602" t="s">
        <v>49</v>
      </c>
      <c r="K1602" t="s">
        <v>51</v>
      </c>
      <c r="L1602" t="s">
        <v>52</v>
      </c>
      <c r="M1602">
        <v>136698.94</v>
      </c>
      <c r="N1602">
        <v>471900.19</v>
      </c>
      <c r="O1602" t="s">
        <v>53</v>
      </c>
      <c r="P1602" t="s">
        <v>54</v>
      </c>
      <c r="Q1602" t="s">
        <v>55</v>
      </c>
      <c r="T1602" t="s">
        <v>431</v>
      </c>
      <c r="U1602">
        <v>40</v>
      </c>
      <c r="V1602" s="1">
        <v>38353</v>
      </c>
      <c r="W1602" s="1">
        <v>38353</v>
      </c>
      <c r="X1602" s="1">
        <v>38353</v>
      </c>
      <c r="Y1602" s="1">
        <v>52963</v>
      </c>
      <c r="Z1602" t="s">
        <v>51</v>
      </c>
      <c r="AB1602" t="s">
        <v>54</v>
      </c>
      <c r="AC1602">
        <v>1</v>
      </c>
      <c r="AE1602" t="s">
        <v>79</v>
      </c>
      <c r="AF1602">
        <v>20</v>
      </c>
      <c r="AG1602" s="1">
        <v>38353</v>
      </c>
      <c r="AH1602" s="1">
        <v>38353</v>
      </c>
      <c r="AI1602" s="1">
        <v>38353</v>
      </c>
      <c r="AJ1602" s="1">
        <v>45658</v>
      </c>
      <c r="AK1602" t="s">
        <v>51</v>
      </c>
      <c r="AN1602">
        <v>0</v>
      </c>
      <c r="AO1602" t="s">
        <v>54</v>
      </c>
      <c r="AP1602" t="s">
        <v>53</v>
      </c>
      <c r="AQ1602">
        <v>0</v>
      </c>
      <c r="AR1602" t="s">
        <v>145</v>
      </c>
      <c r="AS1602">
        <v>0</v>
      </c>
      <c r="AT1602">
        <v>0</v>
      </c>
      <c r="AW1602" t="s">
        <v>79</v>
      </c>
      <c r="AX1602">
        <v>20</v>
      </c>
      <c r="AY1602" s="1">
        <v>38353</v>
      </c>
      <c r="AZ1602" s="1">
        <v>38353</v>
      </c>
      <c r="BA1602" s="1">
        <v>38353</v>
      </c>
      <c r="BB1602" s="1">
        <v>45658</v>
      </c>
      <c r="BC1602" t="s">
        <v>51</v>
      </c>
      <c r="BE1602" t="s">
        <v>54</v>
      </c>
      <c r="BF1602">
        <v>5</v>
      </c>
      <c r="BG1602">
        <v>0</v>
      </c>
      <c r="BH1602" t="s">
        <v>53</v>
      </c>
      <c r="BK1602" t="s">
        <v>59</v>
      </c>
      <c r="BL1602">
        <v>14000</v>
      </c>
      <c r="BM1602" s="1">
        <v>42917</v>
      </c>
      <c r="BN1602" s="1">
        <v>42917</v>
      </c>
      <c r="BO1602" s="1">
        <v>42917</v>
      </c>
      <c r="BP1602" s="1">
        <v>44117</v>
      </c>
      <c r="BQ1602" t="s">
        <v>51</v>
      </c>
      <c r="BS1602" t="s">
        <v>60</v>
      </c>
      <c r="BT1602" t="s">
        <v>54</v>
      </c>
      <c r="BU1602" t="s">
        <v>61</v>
      </c>
      <c r="BV1602" t="s">
        <v>62</v>
      </c>
      <c r="BX1602">
        <v>24</v>
      </c>
      <c r="BY1602">
        <v>0</v>
      </c>
      <c r="BZ1602">
        <v>0</v>
      </c>
    </row>
    <row r="1603" spans="1:99" x14ac:dyDescent="0.2">
      <c r="A1603" t="s">
        <v>180</v>
      </c>
      <c r="B1603" t="s">
        <v>181</v>
      </c>
      <c r="C1603" t="s">
        <v>184</v>
      </c>
      <c r="D1603" t="s">
        <v>470</v>
      </c>
      <c r="F1603" t="str">
        <f>"252980"</f>
        <v>252980</v>
      </c>
      <c r="G1603" t="s">
        <v>49</v>
      </c>
      <c r="K1603" t="s">
        <v>51</v>
      </c>
      <c r="L1603" t="s">
        <v>52</v>
      </c>
      <c r="M1603">
        <v>136727.48000000001</v>
      </c>
      <c r="N1603">
        <v>471842.22</v>
      </c>
      <c r="O1603" t="s">
        <v>53</v>
      </c>
      <c r="P1603" t="s">
        <v>54</v>
      </c>
      <c r="Q1603" t="s">
        <v>55</v>
      </c>
      <c r="T1603" t="s">
        <v>431</v>
      </c>
      <c r="U1603">
        <v>40</v>
      </c>
      <c r="V1603" s="1">
        <v>38353</v>
      </c>
      <c r="W1603" s="1">
        <v>38353</v>
      </c>
      <c r="X1603" s="1">
        <v>38353</v>
      </c>
      <c r="Y1603" s="1">
        <v>52963</v>
      </c>
      <c r="Z1603" t="s">
        <v>51</v>
      </c>
      <c r="AB1603" t="s">
        <v>54</v>
      </c>
      <c r="AC1603">
        <v>1</v>
      </c>
      <c r="AE1603" t="s">
        <v>79</v>
      </c>
      <c r="AF1603">
        <v>20</v>
      </c>
      <c r="AG1603" s="1">
        <v>38353</v>
      </c>
      <c r="AH1603" s="1">
        <v>38353</v>
      </c>
      <c r="AI1603" s="1">
        <v>38353</v>
      </c>
      <c r="AJ1603" s="1">
        <v>45658</v>
      </c>
      <c r="AK1603" t="s">
        <v>51</v>
      </c>
      <c r="AN1603">
        <v>0</v>
      </c>
      <c r="AO1603" t="s">
        <v>54</v>
      </c>
      <c r="AP1603" t="s">
        <v>53</v>
      </c>
      <c r="AQ1603">
        <v>0</v>
      </c>
      <c r="AR1603" t="s">
        <v>145</v>
      </c>
      <c r="AS1603">
        <v>0</v>
      </c>
      <c r="AT1603">
        <v>0</v>
      </c>
      <c r="AW1603" t="s">
        <v>79</v>
      </c>
      <c r="AX1603">
        <v>20</v>
      </c>
      <c r="AY1603" s="1">
        <v>38353</v>
      </c>
      <c r="AZ1603" s="1">
        <v>38353</v>
      </c>
      <c r="BA1603" s="1">
        <v>38353</v>
      </c>
      <c r="BB1603" s="1">
        <v>45658</v>
      </c>
      <c r="BC1603" t="s">
        <v>51</v>
      </c>
      <c r="BE1603" t="s">
        <v>54</v>
      </c>
      <c r="BF1603">
        <v>5</v>
      </c>
      <c r="BG1603">
        <v>0</v>
      </c>
      <c r="BH1603" t="s">
        <v>53</v>
      </c>
      <c r="BK1603" t="s">
        <v>59</v>
      </c>
      <c r="BL1603">
        <v>14000</v>
      </c>
      <c r="BM1603" s="1">
        <v>42917</v>
      </c>
      <c r="BN1603" s="1">
        <v>42917</v>
      </c>
      <c r="BO1603" s="1">
        <v>42917</v>
      </c>
      <c r="BP1603" s="1">
        <v>44117</v>
      </c>
      <c r="BQ1603" t="s">
        <v>51</v>
      </c>
      <c r="BS1603" t="s">
        <v>60</v>
      </c>
      <c r="BT1603" t="s">
        <v>54</v>
      </c>
      <c r="BU1603" t="s">
        <v>61</v>
      </c>
      <c r="BV1603" t="s">
        <v>62</v>
      </c>
      <c r="BX1603">
        <v>24</v>
      </c>
      <c r="BY1603">
        <v>0</v>
      </c>
      <c r="BZ1603">
        <v>0</v>
      </c>
    </row>
    <row r="1604" spans="1:99" x14ac:dyDescent="0.2">
      <c r="A1604" t="s">
        <v>180</v>
      </c>
      <c r="B1604" t="s">
        <v>181</v>
      </c>
      <c r="C1604" t="s">
        <v>184</v>
      </c>
      <c r="D1604" t="s">
        <v>470</v>
      </c>
      <c r="F1604" t="str">
        <f>"252981"</f>
        <v>252981</v>
      </c>
      <c r="G1604" t="s">
        <v>49</v>
      </c>
      <c r="K1604" t="s">
        <v>51</v>
      </c>
      <c r="L1604" t="s">
        <v>52</v>
      </c>
      <c r="M1604">
        <v>136739.5</v>
      </c>
      <c r="N1604">
        <v>471836.15999999997</v>
      </c>
      <c r="O1604" t="s">
        <v>53</v>
      </c>
      <c r="P1604" t="s">
        <v>54</v>
      </c>
      <c r="Q1604" t="s">
        <v>55</v>
      </c>
      <c r="T1604" t="s">
        <v>431</v>
      </c>
      <c r="U1604">
        <v>40</v>
      </c>
      <c r="V1604" s="1">
        <v>38353</v>
      </c>
      <c r="W1604" s="1">
        <v>38353</v>
      </c>
      <c r="X1604" s="1">
        <v>38353</v>
      </c>
      <c r="Y1604" s="1">
        <v>52963</v>
      </c>
      <c r="Z1604" t="s">
        <v>51</v>
      </c>
      <c r="AB1604" t="s">
        <v>54</v>
      </c>
      <c r="AC1604">
        <v>1</v>
      </c>
      <c r="AE1604" t="s">
        <v>79</v>
      </c>
      <c r="AF1604">
        <v>20</v>
      </c>
      <c r="AG1604" s="1">
        <v>38353</v>
      </c>
      <c r="AH1604" s="1">
        <v>38353</v>
      </c>
      <c r="AI1604" s="1">
        <v>38353</v>
      </c>
      <c r="AJ1604" s="1">
        <v>45658</v>
      </c>
      <c r="AK1604" t="s">
        <v>51</v>
      </c>
      <c r="AN1604">
        <v>0</v>
      </c>
      <c r="AO1604" t="s">
        <v>54</v>
      </c>
      <c r="AP1604" t="s">
        <v>53</v>
      </c>
      <c r="AQ1604">
        <v>0</v>
      </c>
      <c r="AR1604" t="s">
        <v>145</v>
      </c>
      <c r="AS1604">
        <v>0</v>
      </c>
      <c r="AT1604">
        <v>0</v>
      </c>
      <c r="AW1604" t="s">
        <v>79</v>
      </c>
      <c r="AX1604">
        <v>20</v>
      </c>
      <c r="AY1604" s="1">
        <v>38353</v>
      </c>
      <c r="AZ1604" s="1">
        <v>38353</v>
      </c>
      <c r="BA1604" s="1">
        <v>38353</v>
      </c>
      <c r="BB1604" s="1">
        <v>45658</v>
      </c>
      <c r="BC1604" t="s">
        <v>51</v>
      </c>
      <c r="BE1604" t="s">
        <v>54</v>
      </c>
      <c r="BF1604">
        <v>5</v>
      </c>
      <c r="BG1604">
        <v>0</v>
      </c>
      <c r="BH1604" t="s">
        <v>53</v>
      </c>
      <c r="BK1604" t="s">
        <v>59</v>
      </c>
      <c r="BL1604">
        <v>14000</v>
      </c>
      <c r="BM1604" s="1">
        <v>42917</v>
      </c>
      <c r="BN1604" s="1">
        <v>42917</v>
      </c>
      <c r="BO1604" s="1">
        <v>42917</v>
      </c>
      <c r="BP1604" s="1">
        <v>44117</v>
      </c>
      <c r="BQ1604" t="s">
        <v>51</v>
      </c>
      <c r="BS1604" t="s">
        <v>60</v>
      </c>
      <c r="BT1604" t="s">
        <v>54</v>
      </c>
      <c r="BU1604" t="s">
        <v>61</v>
      </c>
      <c r="BV1604" t="s">
        <v>62</v>
      </c>
      <c r="BX1604">
        <v>24</v>
      </c>
      <c r="BY1604">
        <v>0</v>
      </c>
      <c r="BZ1604">
        <v>0</v>
      </c>
    </row>
    <row r="1605" spans="1:99" x14ac:dyDescent="0.2">
      <c r="A1605" t="s">
        <v>180</v>
      </c>
      <c r="B1605" t="s">
        <v>181</v>
      </c>
      <c r="C1605" t="s">
        <v>184</v>
      </c>
      <c r="D1605" t="s">
        <v>799</v>
      </c>
      <c r="F1605" t="str">
        <f>"252982"</f>
        <v>252982</v>
      </c>
      <c r="G1605" t="s">
        <v>49</v>
      </c>
      <c r="K1605" t="s">
        <v>51</v>
      </c>
      <c r="L1605" t="s">
        <v>52</v>
      </c>
      <c r="M1605">
        <v>136712.44</v>
      </c>
      <c r="N1605">
        <v>471912.81</v>
      </c>
      <c r="O1605" t="s">
        <v>53</v>
      </c>
      <c r="P1605" t="s">
        <v>54</v>
      </c>
      <c r="Q1605" t="s">
        <v>55</v>
      </c>
      <c r="T1605" t="s">
        <v>431</v>
      </c>
      <c r="U1605">
        <v>40</v>
      </c>
      <c r="V1605" s="1">
        <v>38353</v>
      </c>
      <c r="W1605" s="1">
        <v>38353</v>
      </c>
      <c r="X1605" s="1">
        <v>38353</v>
      </c>
      <c r="Y1605" s="1">
        <v>52963</v>
      </c>
      <c r="Z1605" t="s">
        <v>51</v>
      </c>
      <c r="AB1605" t="s">
        <v>54</v>
      </c>
      <c r="AC1605">
        <v>1</v>
      </c>
      <c r="AE1605" t="s">
        <v>79</v>
      </c>
      <c r="AF1605">
        <v>20</v>
      </c>
      <c r="AG1605" s="1">
        <v>38353</v>
      </c>
      <c r="AH1605" s="1">
        <v>38353</v>
      </c>
      <c r="AI1605" s="1">
        <v>38353</v>
      </c>
      <c r="AJ1605" s="1">
        <v>45658</v>
      </c>
      <c r="AK1605" t="s">
        <v>51</v>
      </c>
      <c r="AN1605">
        <v>0</v>
      </c>
      <c r="AO1605" t="s">
        <v>54</v>
      </c>
      <c r="AP1605" t="s">
        <v>53</v>
      </c>
      <c r="AQ1605">
        <v>0</v>
      </c>
      <c r="AR1605" t="s">
        <v>145</v>
      </c>
      <c r="AS1605">
        <v>0</v>
      </c>
      <c r="AT1605">
        <v>0</v>
      </c>
      <c r="AW1605" t="s">
        <v>79</v>
      </c>
      <c r="AX1605">
        <v>20</v>
      </c>
      <c r="AY1605" s="1">
        <v>38353</v>
      </c>
      <c r="AZ1605" s="1">
        <v>38353</v>
      </c>
      <c r="BA1605" s="1">
        <v>38353</v>
      </c>
      <c r="BB1605" s="1">
        <v>45658</v>
      </c>
      <c r="BC1605" t="s">
        <v>51</v>
      </c>
      <c r="BE1605" t="s">
        <v>54</v>
      </c>
      <c r="BF1605">
        <v>5</v>
      </c>
      <c r="BG1605">
        <v>0</v>
      </c>
      <c r="BH1605" t="s">
        <v>53</v>
      </c>
      <c r="BK1605" t="s">
        <v>59</v>
      </c>
      <c r="BL1605">
        <v>14000</v>
      </c>
      <c r="BM1605" s="1">
        <v>44508</v>
      </c>
      <c r="BN1605" s="1">
        <v>44508</v>
      </c>
      <c r="BO1605" s="1">
        <v>44508</v>
      </c>
      <c r="BP1605" s="1">
        <v>45667</v>
      </c>
      <c r="BQ1605" t="s">
        <v>51</v>
      </c>
      <c r="BS1605" t="s">
        <v>60</v>
      </c>
      <c r="BT1605" t="s">
        <v>54</v>
      </c>
      <c r="BU1605" t="s">
        <v>61</v>
      </c>
      <c r="BV1605" t="s">
        <v>62</v>
      </c>
      <c r="BX1605">
        <v>24</v>
      </c>
      <c r="BY1605">
        <v>0</v>
      </c>
      <c r="BZ1605">
        <v>0</v>
      </c>
    </row>
    <row r="1606" spans="1:99" x14ac:dyDescent="0.2">
      <c r="A1606" t="s">
        <v>180</v>
      </c>
      <c r="B1606" t="s">
        <v>181</v>
      </c>
      <c r="C1606" t="s">
        <v>184</v>
      </c>
      <c r="D1606" t="s">
        <v>470</v>
      </c>
      <c r="F1606" t="str">
        <f>"252983"</f>
        <v>252983</v>
      </c>
      <c r="G1606" t="s">
        <v>49</v>
      </c>
      <c r="K1606" t="s">
        <v>51</v>
      </c>
      <c r="L1606" t="s">
        <v>52</v>
      </c>
      <c r="M1606">
        <v>136807.625</v>
      </c>
      <c r="N1606">
        <v>471886.13699999999</v>
      </c>
      <c r="O1606" t="s">
        <v>53</v>
      </c>
      <c r="P1606" t="s">
        <v>54</v>
      </c>
      <c r="Q1606" t="s">
        <v>55</v>
      </c>
      <c r="T1606" t="s">
        <v>431</v>
      </c>
      <c r="U1606">
        <v>40</v>
      </c>
      <c r="V1606" s="1">
        <v>37073</v>
      </c>
      <c r="W1606" s="1">
        <v>37073</v>
      </c>
      <c r="X1606" s="1">
        <v>37073</v>
      </c>
      <c r="Y1606" s="1">
        <v>51683</v>
      </c>
      <c r="Z1606" t="s">
        <v>51</v>
      </c>
      <c r="AB1606" t="s">
        <v>54</v>
      </c>
      <c r="AC1606">
        <v>1</v>
      </c>
      <c r="AE1606" t="s">
        <v>79</v>
      </c>
      <c r="AF1606">
        <v>20</v>
      </c>
      <c r="AG1606" s="1">
        <v>37073</v>
      </c>
      <c r="AH1606" s="1">
        <v>37073</v>
      </c>
      <c r="AI1606" s="1">
        <v>37073</v>
      </c>
      <c r="AJ1606" s="1">
        <v>44378</v>
      </c>
      <c r="AK1606" t="s">
        <v>51</v>
      </c>
      <c r="AN1606">
        <v>0</v>
      </c>
      <c r="AO1606" t="s">
        <v>54</v>
      </c>
      <c r="AP1606" t="s">
        <v>53</v>
      </c>
      <c r="AQ1606">
        <v>0</v>
      </c>
      <c r="AR1606" t="s">
        <v>145</v>
      </c>
      <c r="AS1606">
        <v>0</v>
      </c>
      <c r="AT1606">
        <v>0</v>
      </c>
      <c r="AW1606" t="s">
        <v>79</v>
      </c>
      <c r="AX1606">
        <v>20</v>
      </c>
      <c r="AY1606" s="1">
        <v>37073</v>
      </c>
      <c r="AZ1606" s="1">
        <v>37073</v>
      </c>
      <c r="BA1606" s="1">
        <v>37073</v>
      </c>
      <c r="BB1606" s="1">
        <v>44378</v>
      </c>
      <c r="BC1606" t="s">
        <v>51</v>
      </c>
      <c r="BE1606" t="s">
        <v>54</v>
      </c>
      <c r="BF1606">
        <v>5</v>
      </c>
      <c r="BG1606">
        <v>0</v>
      </c>
      <c r="BH1606" t="s">
        <v>53</v>
      </c>
      <c r="BK1606" t="s">
        <v>59</v>
      </c>
      <c r="BL1606">
        <v>14000</v>
      </c>
      <c r="BM1606" s="1">
        <v>42917</v>
      </c>
      <c r="BN1606" s="1">
        <v>42917</v>
      </c>
      <c r="BO1606" s="1">
        <v>42917</v>
      </c>
      <c r="BP1606" s="1">
        <v>44117</v>
      </c>
      <c r="BQ1606" t="s">
        <v>51</v>
      </c>
      <c r="BS1606" t="s">
        <v>60</v>
      </c>
      <c r="BT1606" t="s">
        <v>54</v>
      </c>
      <c r="BU1606" t="s">
        <v>61</v>
      </c>
      <c r="BV1606" t="s">
        <v>62</v>
      </c>
      <c r="BX1606">
        <v>24</v>
      </c>
      <c r="BY1606">
        <v>0</v>
      </c>
      <c r="BZ1606">
        <v>0</v>
      </c>
    </row>
    <row r="1607" spans="1:99" x14ac:dyDescent="0.2">
      <c r="A1607" t="s">
        <v>180</v>
      </c>
      <c r="B1607" t="s">
        <v>181</v>
      </c>
      <c r="C1607" t="s">
        <v>184</v>
      </c>
      <c r="D1607" t="s">
        <v>708</v>
      </c>
      <c r="F1607" t="str">
        <f>"253257"</f>
        <v>253257</v>
      </c>
      <c r="G1607" t="s">
        <v>49</v>
      </c>
      <c r="K1607" t="s">
        <v>51</v>
      </c>
      <c r="L1607" t="s">
        <v>52</v>
      </c>
      <c r="M1607">
        <v>136058.95000000001</v>
      </c>
      <c r="N1607">
        <v>472256.68</v>
      </c>
      <c r="O1607" t="s">
        <v>53</v>
      </c>
      <c r="P1607" t="s">
        <v>54</v>
      </c>
      <c r="Q1607" t="s">
        <v>55</v>
      </c>
      <c r="T1607" t="s">
        <v>431</v>
      </c>
      <c r="U1607">
        <v>40</v>
      </c>
      <c r="V1607" s="1">
        <v>33239</v>
      </c>
      <c r="W1607" s="1">
        <v>33239</v>
      </c>
      <c r="X1607" s="1">
        <v>33239</v>
      </c>
      <c r="Y1607" s="1">
        <v>47849</v>
      </c>
      <c r="Z1607" t="s">
        <v>51</v>
      </c>
      <c r="AB1607" t="s">
        <v>54</v>
      </c>
      <c r="AC1607">
        <v>1</v>
      </c>
      <c r="AE1607" t="s">
        <v>79</v>
      </c>
      <c r="AF1607">
        <v>20</v>
      </c>
      <c r="AG1607" s="1">
        <v>33239</v>
      </c>
      <c r="AH1607" s="1">
        <v>33239</v>
      </c>
      <c r="AI1607" s="1">
        <v>33239</v>
      </c>
      <c r="AJ1607" s="1">
        <v>40544</v>
      </c>
      <c r="AK1607" t="s">
        <v>51</v>
      </c>
      <c r="AN1607">
        <v>0</v>
      </c>
      <c r="AO1607" t="s">
        <v>54</v>
      </c>
      <c r="AP1607" t="s">
        <v>53</v>
      </c>
      <c r="AQ1607">
        <v>0</v>
      </c>
      <c r="AR1607" t="s">
        <v>145</v>
      </c>
      <c r="AS1607">
        <v>0</v>
      </c>
      <c r="AT1607">
        <v>0</v>
      </c>
      <c r="AW1607" t="s">
        <v>79</v>
      </c>
      <c r="AX1607">
        <v>20</v>
      </c>
      <c r="AY1607" s="1">
        <v>33239</v>
      </c>
      <c r="AZ1607" s="1">
        <v>33239</v>
      </c>
      <c r="BA1607" s="1">
        <v>33239</v>
      </c>
      <c r="BB1607" s="1">
        <v>40544</v>
      </c>
      <c r="BC1607" t="s">
        <v>51</v>
      </c>
      <c r="BE1607" t="s">
        <v>54</v>
      </c>
      <c r="BF1607">
        <v>5</v>
      </c>
      <c r="BG1607">
        <v>0</v>
      </c>
      <c r="BH1607" t="s">
        <v>53</v>
      </c>
      <c r="BK1607" t="s">
        <v>686</v>
      </c>
      <c r="BL1607">
        <v>8000</v>
      </c>
      <c r="BM1607" s="1">
        <v>45054</v>
      </c>
      <c r="BN1607" s="1">
        <v>45054</v>
      </c>
      <c r="BO1607" s="1">
        <v>45054</v>
      </c>
      <c r="BP1607" s="1">
        <v>45723</v>
      </c>
      <c r="BQ1607" t="s">
        <v>51</v>
      </c>
      <c r="BS1607" t="s">
        <v>60</v>
      </c>
      <c r="BT1607" t="s">
        <v>54</v>
      </c>
      <c r="BU1607" t="s">
        <v>687</v>
      </c>
      <c r="BV1607" t="s">
        <v>688</v>
      </c>
      <c r="BX1607">
        <v>18</v>
      </c>
      <c r="BY1607">
        <v>0</v>
      </c>
      <c r="BZ1607">
        <v>0</v>
      </c>
    </row>
    <row r="1608" spans="1:99" x14ac:dyDescent="0.2">
      <c r="A1608" t="s">
        <v>180</v>
      </c>
      <c r="B1608" t="s">
        <v>181</v>
      </c>
      <c r="C1608" t="s">
        <v>184</v>
      </c>
      <c r="D1608" t="s">
        <v>697</v>
      </c>
      <c r="F1608" t="str">
        <f>"253258"</f>
        <v>253258</v>
      </c>
      <c r="G1608" t="s">
        <v>49</v>
      </c>
      <c r="K1608" t="s">
        <v>51</v>
      </c>
      <c r="L1608" t="s">
        <v>52</v>
      </c>
      <c r="M1608">
        <v>136260.69</v>
      </c>
      <c r="N1608">
        <v>472333.54</v>
      </c>
      <c r="O1608" t="s">
        <v>53</v>
      </c>
      <c r="P1608" t="s">
        <v>54</v>
      </c>
      <c r="Q1608" t="s">
        <v>55</v>
      </c>
      <c r="T1608" t="s">
        <v>431</v>
      </c>
      <c r="U1608">
        <v>40</v>
      </c>
      <c r="V1608" s="1">
        <v>42186</v>
      </c>
      <c r="W1608" s="1">
        <v>42186</v>
      </c>
      <c r="X1608" s="1">
        <v>42186</v>
      </c>
      <c r="Y1608" s="1">
        <v>56796</v>
      </c>
      <c r="Z1608" t="s">
        <v>51</v>
      </c>
      <c r="AB1608" t="s">
        <v>54</v>
      </c>
      <c r="AC1608">
        <v>1</v>
      </c>
      <c r="AE1608" t="s">
        <v>79</v>
      </c>
      <c r="AF1608">
        <v>20</v>
      </c>
      <c r="AG1608" s="1">
        <v>42186</v>
      </c>
      <c r="AH1608" s="1">
        <v>42186</v>
      </c>
      <c r="AI1608" s="1">
        <v>42186</v>
      </c>
      <c r="AJ1608" s="1">
        <v>49491</v>
      </c>
      <c r="AK1608" t="s">
        <v>51</v>
      </c>
      <c r="AN1608">
        <v>0</v>
      </c>
      <c r="AO1608" t="s">
        <v>54</v>
      </c>
      <c r="AP1608" t="s">
        <v>53</v>
      </c>
      <c r="AQ1608">
        <v>0</v>
      </c>
      <c r="AR1608" t="s">
        <v>145</v>
      </c>
      <c r="AS1608">
        <v>0</v>
      </c>
      <c r="AT1608">
        <v>0</v>
      </c>
      <c r="CC1608" t="s">
        <v>432</v>
      </c>
      <c r="CD1608">
        <v>85000</v>
      </c>
      <c r="CE1608" s="1">
        <v>42186</v>
      </c>
      <c r="CF1608" s="1">
        <v>42186</v>
      </c>
      <c r="CG1608" s="1">
        <v>42186</v>
      </c>
      <c r="CH1608" s="1">
        <v>49348</v>
      </c>
      <c r="CI1608" t="s">
        <v>51</v>
      </c>
      <c r="CK1608" t="s">
        <v>78</v>
      </c>
      <c r="CM1608" t="s">
        <v>54</v>
      </c>
      <c r="CN1608" t="s">
        <v>174</v>
      </c>
      <c r="CO1608" t="s">
        <v>86</v>
      </c>
      <c r="CR1608">
        <v>24</v>
      </c>
      <c r="CS1608">
        <v>0</v>
      </c>
      <c r="CT1608">
        <v>0</v>
      </c>
      <c r="CU1608">
        <v>0</v>
      </c>
    </row>
    <row r="1609" spans="1:99" x14ac:dyDescent="0.2">
      <c r="A1609" t="s">
        <v>180</v>
      </c>
      <c r="B1609" t="s">
        <v>181</v>
      </c>
      <c r="C1609" t="s">
        <v>184</v>
      </c>
      <c r="D1609" t="s">
        <v>677</v>
      </c>
      <c r="F1609" t="str">
        <f>"253259"</f>
        <v>253259</v>
      </c>
      <c r="G1609" t="s">
        <v>49</v>
      </c>
      <c r="K1609" t="s">
        <v>51</v>
      </c>
      <c r="L1609" t="s">
        <v>52</v>
      </c>
      <c r="M1609">
        <v>136416.97200000001</v>
      </c>
      <c r="N1609">
        <v>472143.88199999998</v>
      </c>
      <c r="O1609" t="s">
        <v>53</v>
      </c>
      <c r="P1609" t="s">
        <v>54</v>
      </c>
      <c r="Q1609" t="s">
        <v>55</v>
      </c>
      <c r="T1609" t="s">
        <v>431</v>
      </c>
      <c r="U1609">
        <v>40</v>
      </c>
      <c r="V1609" s="1">
        <v>25569</v>
      </c>
      <c r="W1609" s="1">
        <v>25569</v>
      </c>
      <c r="X1609" s="1">
        <v>25569</v>
      </c>
      <c r="Y1609" s="1">
        <v>40179</v>
      </c>
      <c r="Z1609" t="s">
        <v>51</v>
      </c>
      <c r="AB1609" t="s">
        <v>54</v>
      </c>
      <c r="AC1609">
        <v>1</v>
      </c>
      <c r="AE1609" t="s">
        <v>79</v>
      </c>
      <c r="AF1609">
        <v>20</v>
      </c>
      <c r="AG1609" s="1">
        <v>25569</v>
      </c>
      <c r="AH1609" s="1">
        <v>25569</v>
      </c>
      <c r="AI1609" s="1">
        <v>25569</v>
      </c>
      <c r="AJ1609" s="1">
        <v>32874</v>
      </c>
      <c r="AK1609" t="s">
        <v>51</v>
      </c>
      <c r="AN1609">
        <v>0</v>
      </c>
      <c r="AO1609" t="s">
        <v>54</v>
      </c>
      <c r="AP1609" t="s">
        <v>53</v>
      </c>
      <c r="AQ1609">
        <v>0</v>
      </c>
      <c r="AR1609" t="s">
        <v>145</v>
      </c>
      <c r="AS1609">
        <v>0</v>
      </c>
      <c r="AT1609">
        <v>0</v>
      </c>
      <c r="AW1609" t="s">
        <v>79</v>
      </c>
      <c r="AX1609">
        <v>20</v>
      </c>
      <c r="AY1609" s="1">
        <v>25569</v>
      </c>
      <c r="AZ1609" s="1">
        <v>25569</v>
      </c>
      <c r="BA1609" s="1">
        <v>25569</v>
      </c>
      <c r="BB1609" s="1">
        <v>32874</v>
      </c>
      <c r="BC1609" t="s">
        <v>51</v>
      </c>
      <c r="BE1609" t="s">
        <v>54</v>
      </c>
      <c r="BF1609">
        <v>5</v>
      </c>
      <c r="BG1609">
        <v>0</v>
      </c>
      <c r="BH1609" t="s">
        <v>53</v>
      </c>
      <c r="BK1609" t="s">
        <v>59</v>
      </c>
      <c r="BL1609">
        <v>14000</v>
      </c>
      <c r="BM1609" s="1">
        <v>42917</v>
      </c>
      <c r="BN1609" s="1">
        <v>42917</v>
      </c>
      <c r="BO1609" s="1">
        <v>42917</v>
      </c>
      <c r="BP1609" s="1">
        <v>44117</v>
      </c>
      <c r="BQ1609" t="s">
        <v>51</v>
      </c>
      <c r="BS1609" t="s">
        <v>60</v>
      </c>
      <c r="BT1609" t="s">
        <v>54</v>
      </c>
      <c r="BU1609" t="s">
        <v>61</v>
      </c>
      <c r="BV1609" t="s">
        <v>62</v>
      </c>
      <c r="BX1609">
        <v>24</v>
      </c>
      <c r="BY1609">
        <v>0</v>
      </c>
      <c r="BZ1609">
        <v>0</v>
      </c>
    </row>
    <row r="1610" spans="1:99" x14ac:dyDescent="0.2">
      <c r="A1610" t="s">
        <v>180</v>
      </c>
      <c r="B1610" t="s">
        <v>181</v>
      </c>
      <c r="C1610" t="s">
        <v>184</v>
      </c>
      <c r="D1610" t="s">
        <v>774</v>
      </c>
      <c r="F1610" t="str">
        <f>"253260"</f>
        <v>253260</v>
      </c>
      <c r="G1610" t="s">
        <v>49</v>
      </c>
      <c r="K1610" t="s">
        <v>51</v>
      </c>
      <c r="L1610" t="s">
        <v>52</v>
      </c>
      <c r="M1610">
        <v>136630.70000000001</v>
      </c>
      <c r="N1610">
        <v>472084.28</v>
      </c>
      <c r="O1610" t="s">
        <v>53</v>
      </c>
      <c r="P1610" t="s">
        <v>54</v>
      </c>
      <c r="Q1610" t="s">
        <v>55</v>
      </c>
      <c r="T1610" t="s">
        <v>431</v>
      </c>
      <c r="U1610">
        <v>40</v>
      </c>
      <c r="V1610" s="1">
        <v>25569</v>
      </c>
      <c r="W1610" s="1">
        <v>25569</v>
      </c>
      <c r="X1610" s="1">
        <v>25569</v>
      </c>
      <c r="Y1610" s="1">
        <v>40179</v>
      </c>
      <c r="Z1610" t="s">
        <v>51</v>
      </c>
      <c r="AB1610" t="s">
        <v>54</v>
      </c>
      <c r="AC1610">
        <v>1</v>
      </c>
      <c r="AE1610" t="s">
        <v>79</v>
      </c>
      <c r="AF1610">
        <v>20</v>
      </c>
      <c r="AG1610" s="1">
        <v>36161</v>
      </c>
      <c r="AH1610" s="1">
        <v>36161</v>
      </c>
      <c r="AI1610" s="1">
        <v>36161</v>
      </c>
      <c r="AJ1610" s="1">
        <v>43466</v>
      </c>
      <c r="AK1610" t="s">
        <v>51</v>
      </c>
      <c r="AN1610">
        <v>0</v>
      </c>
      <c r="AO1610" t="s">
        <v>54</v>
      </c>
      <c r="AP1610" t="s">
        <v>53</v>
      </c>
      <c r="AQ1610">
        <v>0</v>
      </c>
      <c r="AR1610" t="s">
        <v>145</v>
      </c>
      <c r="AS1610">
        <v>0</v>
      </c>
      <c r="AT1610">
        <v>0</v>
      </c>
      <c r="AW1610" t="s">
        <v>79</v>
      </c>
      <c r="AX1610">
        <v>20</v>
      </c>
      <c r="AY1610" s="1">
        <v>36161</v>
      </c>
      <c r="AZ1610" s="1">
        <v>36161</v>
      </c>
      <c r="BA1610" s="1">
        <v>36161</v>
      </c>
      <c r="BB1610" s="1">
        <v>43466</v>
      </c>
      <c r="BC1610" t="s">
        <v>51</v>
      </c>
      <c r="BE1610" t="s">
        <v>54</v>
      </c>
      <c r="BF1610">
        <v>5</v>
      </c>
      <c r="BG1610">
        <v>0</v>
      </c>
      <c r="BH1610" t="s">
        <v>53</v>
      </c>
      <c r="BK1610" t="s">
        <v>59</v>
      </c>
      <c r="BL1610">
        <v>14000</v>
      </c>
      <c r="BM1610" s="1">
        <v>42917</v>
      </c>
      <c r="BN1610" s="1">
        <v>42917</v>
      </c>
      <c r="BO1610" s="1">
        <v>42917</v>
      </c>
      <c r="BP1610" s="1">
        <v>44117</v>
      </c>
      <c r="BQ1610" t="s">
        <v>51</v>
      </c>
      <c r="BS1610" t="s">
        <v>60</v>
      </c>
      <c r="BT1610" t="s">
        <v>54</v>
      </c>
      <c r="BU1610" t="s">
        <v>61</v>
      </c>
      <c r="BV1610" t="s">
        <v>62</v>
      </c>
      <c r="BX1610">
        <v>24</v>
      </c>
      <c r="BY1610">
        <v>0</v>
      </c>
      <c r="BZ1610">
        <v>0</v>
      </c>
    </row>
    <row r="1611" spans="1:99" x14ac:dyDescent="0.2">
      <c r="A1611" t="s">
        <v>180</v>
      </c>
      <c r="B1611" t="s">
        <v>181</v>
      </c>
      <c r="C1611" t="s">
        <v>184</v>
      </c>
      <c r="D1611" t="s">
        <v>657</v>
      </c>
      <c r="F1611" t="str">
        <f>"253261"</f>
        <v>253261</v>
      </c>
      <c r="G1611" t="s">
        <v>49</v>
      </c>
      <c r="K1611" t="s">
        <v>51</v>
      </c>
      <c r="L1611" t="s">
        <v>52</v>
      </c>
      <c r="M1611">
        <v>136834.82999999999</v>
      </c>
      <c r="N1611">
        <v>472276.37099999998</v>
      </c>
      <c r="O1611" t="s">
        <v>53</v>
      </c>
      <c r="P1611" t="s">
        <v>54</v>
      </c>
      <c r="Q1611" t="s">
        <v>55</v>
      </c>
      <c r="T1611" t="s">
        <v>431</v>
      </c>
      <c r="U1611">
        <v>40</v>
      </c>
      <c r="V1611" s="1">
        <v>36342</v>
      </c>
      <c r="W1611" s="1">
        <v>36342</v>
      </c>
      <c r="X1611" s="1">
        <v>36342</v>
      </c>
      <c r="Y1611" s="1">
        <v>50952</v>
      </c>
      <c r="Z1611" t="s">
        <v>51</v>
      </c>
      <c r="AB1611" t="s">
        <v>54</v>
      </c>
      <c r="AC1611">
        <v>1</v>
      </c>
      <c r="AE1611" t="s">
        <v>79</v>
      </c>
      <c r="AF1611">
        <v>20</v>
      </c>
      <c r="AG1611" s="1">
        <v>36342</v>
      </c>
      <c r="AH1611" s="1">
        <v>36342</v>
      </c>
      <c r="AI1611" s="1">
        <v>36342</v>
      </c>
      <c r="AJ1611" s="1">
        <v>43647</v>
      </c>
      <c r="AK1611" t="s">
        <v>51</v>
      </c>
      <c r="AN1611">
        <v>0</v>
      </c>
      <c r="AO1611" t="s">
        <v>54</v>
      </c>
      <c r="AP1611" t="s">
        <v>53</v>
      </c>
      <c r="AQ1611">
        <v>0</v>
      </c>
      <c r="AR1611" t="s">
        <v>145</v>
      </c>
      <c r="AS1611">
        <v>0</v>
      </c>
      <c r="AT1611">
        <v>0</v>
      </c>
      <c r="AW1611" t="s">
        <v>79</v>
      </c>
      <c r="AX1611">
        <v>20</v>
      </c>
      <c r="AY1611" s="1">
        <v>43500</v>
      </c>
      <c r="AZ1611" s="1">
        <v>43500</v>
      </c>
      <c r="BA1611" s="1">
        <v>43500</v>
      </c>
      <c r="BB1611" s="1">
        <v>50805</v>
      </c>
      <c r="BC1611" t="s">
        <v>51</v>
      </c>
      <c r="BE1611" t="s">
        <v>54</v>
      </c>
      <c r="BF1611">
        <v>5</v>
      </c>
      <c r="BG1611">
        <v>0</v>
      </c>
      <c r="BH1611" t="s">
        <v>53</v>
      </c>
      <c r="BK1611" t="s">
        <v>146</v>
      </c>
      <c r="BL1611">
        <v>14000</v>
      </c>
      <c r="BM1611" s="1">
        <v>43444</v>
      </c>
      <c r="BN1611" s="1">
        <v>43444</v>
      </c>
      <c r="BO1611" s="1">
        <v>43500</v>
      </c>
      <c r="BP1611" s="1">
        <v>44605</v>
      </c>
      <c r="BQ1611" t="s">
        <v>51</v>
      </c>
      <c r="BS1611" t="s">
        <v>60</v>
      </c>
      <c r="BT1611" t="s">
        <v>54</v>
      </c>
      <c r="BU1611" t="s">
        <v>61</v>
      </c>
      <c r="BV1611" t="s">
        <v>62</v>
      </c>
      <c r="BX1611">
        <v>24</v>
      </c>
      <c r="BY1611">
        <v>0</v>
      </c>
      <c r="BZ1611">
        <v>0</v>
      </c>
    </row>
    <row r="1612" spans="1:99" x14ac:dyDescent="0.2">
      <c r="A1612" t="s">
        <v>180</v>
      </c>
      <c r="B1612" t="s">
        <v>181</v>
      </c>
      <c r="C1612" t="s">
        <v>184</v>
      </c>
      <c r="D1612" t="s">
        <v>657</v>
      </c>
      <c r="F1612" t="str">
        <f>"253267"</f>
        <v>253267</v>
      </c>
      <c r="G1612" t="s">
        <v>49</v>
      </c>
      <c r="K1612" t="s">
        <v>51</v>
      </c>
      <c r="L1612" t="s">
        <v>52</v>
      </c>
      <c r="M1612">
        <v>136834.26999999999</v>
      </c>
      <c r="N1612">
        <v>472290.51</v>
      </c>
      <c r="O1612" t="s">
        <v>53</v>
      </c>
      <c r="P1612" t="s">
        <v>54</v>
      </c>
      <c r="Q1612" t="s">
        <v>55</v>
      </c>
      <c r="T1612" t="s">
        <v>431</v>
      </c>
      <c r="U1612">
        <v>40</v>
      </c>
      <c r="V1612" s="1">
        <v>36342</v>
      </c>
      <c r="W1612" s="1">
        <v>36342</v>
      </c>
      <c r="X1612" s="1">
        <v>36342</v>
      </c>
      <c r="Y1612" s="1">
        <v>50952</v>
      </c>
      <c r="Z1612" t="s">
        <v>51</v>
      </c>
      <c r="AB1612" t="s">
        <v>54</v>
      </c>
      <c r="AC1612">
        <v>1</v>
      </c>
      <c r="AE1612" t="s">
        <v>79</v>
      </c>
      <c r="AF1612">
        <v>20</v>
      </c>
      <c r="AG1612" s="1">
        <v>36342</v>
      </c>
      <c r="AH1612" s="1">
        <v>36342</v>
      </c>
      <c r="AI1612" s="1">
        <v>36342</v>
      </c>
      <c r="AJ1612" s="1">
        <v>43647</v>
      </c>
      <c r="AK1612" t="s">
        <v>51</v>
      </c>
      <c r="AN1612">
        <v>0</v>
      </c>
      <c r="AO1612" t="s">
        <v>54</v>
      </c>
      <c r="AP1612" t="s">
        <v>53</v>
      </c>
      <c r="AQ1612">
        <v>0</v>
      </c>
      <c r="AR1612" t="s">
        <v>145</v>
      </c>
      <c r="AS1612">
        <v>0</v>
      </c>
      <c r="AT1612">
        <v>0</v>
      </c>
      <c r="AW1612" t="s">
        <v>79</v>
      </c>
      <c r="AX1612">
        <v>20</v>
      </c>
      <c r="AY1612" s="1">
        <v>36342</v>
      </c>
      <c r="AZ1612" s="1">
        <v>36342</v>
      </c>
      <c r="BA1612" s="1">
        <v>36342</v>
      </c>
      <c r="BB1612" s="1">
        <v>43647</v>
      </c>
      <c r="BC1612" t="s">
        <v>51</v>
      </c>
      <c r="BE1612" t="s">
        <v>54</v>
      </c>
      <c r="BF1612">
        <v>5</v>
      </c>
      <c r="BG1612">
        <v>0</v>
      </c>
      <c r="BH1612" t="s">
        <v>53</v>
      </c>
      <c r="BK1612" t="s">
        <v>803</v>
      </c>
      <c r="BL1612">
        <v>50000</v>
      </c>
      <c r="BM1612" s="1">
        <v>44886</v>
      </c>
      <c r="BN1612" s="1">
        <v>44886</v>
      </c>
      <c r="BO1612" s="1">
        <v>44886</v>
      </c>
      <c r="BP1612" s="1">
        <v>49093</v>
      </c>
      <c r="BQ1612" t="s">
        <v>51</v>
      </c>
      <c r="BS1612" t="s">
        <v>60</v>
      </c>
      <c r="BT1612" t="s">
        <v>54</v>
      </c>
      <c r="BU1612" t="s">
        <v>362</v>
      </c>
      <c r="BX1612">
        <v>36</v>
      </c>
      <c r="BY1612">
        <v>4320</v>
      </c>
      <c r="BZ1612">
        <v>0</v>
      </c>
    </row>
    <row r="1613" spans="1:99" x14ac:dyDescent="0.2">
      <c r="A1613" t="s">
        <v>180</v>
      </c>
      <c r="B1613" t="s">
        <v>181</v>
      </c>
      <c r="C1613" t="s">
        <v>184</v>
      </c>
      <c r="D1613" t="s">
        <v>804</v>
      </c>
      <c r="F1613" t="str">
        <f>"253268"</f>
        <v>253268</v>
      </c>
      <c r="G1613" t="s">
        <v>49</v>
      </c>
      <c r="K1613" t="s">
        <v>51</v>
      </c>
      <c r="L1613" t="s">
        <v>52</v>
      </c>
      <c r="M1613">
        <v>136727.34</v>
      </c>
      <c r="N1613">
        <v>472408.37</v>
      </c>
      <c r="O1613" t="s">
        <v>53</v>
      </c>
      <c r="P1613" t="s">
        <v>54</v>
      </c>
      <c r="Q1613" t="s">
        <v>55</v>
      </c>
      <c r="T1613" t="s">
        <v>431</v>
      </c>
      <c r="U1613">
        <v>40</v>
      </c>
      <c r="V1613" s="1">
        <v>31413</v>
      </c>
      <c r="W1613" s="1">
        <v>31413</v>
      </c>
      <c r="X1613" s="1">
        <v>31413</v>
      </c>
      <c r="Y1613" s="1">
        <v>46023</v>
      </c>
      <c r="Z1613" t="s">
        <v>51</v>
      </c>
      <c r="AB1613" t="s">
        <v>54</v>
      </c>
      <c r="AC1613">
        <v>1</v>
      </c>
      <c r="AE1613" t="s">
        <v>79</v>
      </c>
      <c r="AF1613">
        <v>20</v>
      </c>
      <c r="AG1613" s="1">
        <v>31413</v>
      </c>
      <c r="AH1613" s="1">
        <v>31413</v>
      </c>
      <c r="AI1613" s="1">
        <v>31413</v>
      </c>
      <c r="AJ1613" s="1">
        <v>38718</v>
      </c>
      <c r="AK1613" t="s">
        <v>51</v>
      </c>
      <c r="AN1613">
        <v>0</v>
      </c>
      <c r="AO1613" t="s">
        <v>54</v>
      </c>
      <c r="AP1613" t="s">
        <v>53</v>
      </c>
      <c r="AQ1613">
        <v>0</v>
      </c>
      <c r="AR1613" t="s">
        <v>145</v>
      </c>
      <c r="AS1613">
        <v>0</v>
      </c>
      <c r="AT1613">
        <v>0</v>
      </c>
      <c r="AW1613" t="s">
        <v>79</v>
      </c>
      <c r="AX1613">
        <v>20</v>
      </c>
      <c r="AY1613" s="1">
        <v>31413</v>
      </c>
      <c r="AZ1613" s="1">
        <v>31413</v>
      </c>
      <c r="BA1613" s="1">
        <v>31413</v>
      </c>
      <c r="BB1613" s="1">
        <v>38718</v>
      </c>
      <c r="BC1613" t="s">
        <v>51</v>
      </c>
      <c r="BE1613" t="s">
        <v>54</v>
      </c>
      <c r="BF1613">
        <v>5</v>
      </c>
      <c r="BG1613">
        <v>0</v>
      </c>
      <c r="BH1613" t="s">
        <v>53</v>
      </c>
      <c r="BK1613" t="s">
        <v>65</v>
      </c>
      <c r="BL1613">
        <v>14000</v>
      </c>
      <c r="BM1613" s="1">
        <v>42291</v>
      </c>
      <c r="BN1613" s="1">
        <v>42291</v>
      </c>
      <c r="BO1613" s="1">
        <v>42291</v>
      </c>
      <c r="BP1613" s="1">
        <v>43452</v>
      </c>
      <c r="BQ1613" t="s">
        <v>51</v>
      </c>
      <c r="BS1613" t="s">
        <v>60</v>
      </c>
      <c r="BT1613" t="s">
        <v>54</v>
      </c>
      <c r="BU1613" t="s">
        <v>61</v>
      </c>
      <c r="BV1613" t="s">
        <v>62</v>
      </c>
      <c r="BX1613">
        <v>36</v>
      </c>
      <c r="BY1613">
        <v>0</v>
      </c>
      <c r="BZ1613">
        <v>0</v>
      </c>
    </row>
    <row r="1614" spans="1:99" x14ac:dyDescent="0.2">
      <c r="A1614" t="s">
        <v>180</v>
      </c>
      <c r="B1614" t="s">
        <v>181</v>
      </c>
      <c r="C1614" t="s">
        <v>184</v>
      </c>
      <c r="D1614" t="s">
        <v>804</v>
      </c>
      <c r="F1614" t="str">
        <f>"253269"</f>
        <v>253269</v>
      </c>
      <c r="G1614" t="s">
        <v>49</v>
      </c>
      <c r="K1614" t="s">
        <v>51</v>
      </c>
      <c r="L1614" t="s">
        <v>52</v>
      </c>
      <c r="M1614">
        <v>136714.99</v>
      </c>
      <c r="N1614">
        <v>472385.58</v>
      </c>
      <c r="O1614" t="s">
        <v>53</v>
      </c>
      <c r="P1614" t="s">
        <v>54</v>
      </c>
      <c r="Q1614" t="s">
        <v>55</v>
      </c>
      <c r="T1614" t="s">
        <v>431</v>
      </c>
      <c r="U1614">
        <v>40</v>
      </c>
      <c r="V1614" s="1">
        <v>31413</v>
      </c>
      <c r="W1614" s="1">
        <v>31413</v>
      </c>
      <c r="X1614" s="1">
        <v>31413</v>
      </c>
      <c r="Y1614" s="1">
        <v>46023</v>
      </c>
      <c r="Z1614" t="s">
        <v>51</v>
      </c>
      <c r="AB1614" t="s">
        <v>54</v>
      </c>
      <c r="AC1614">
        <v>1</v>
      </c>
      <c r="AE1614" t="s">
        <v>79</v>
      </c>
      <c r="AF1614">
        <v>20</v>
      </c>
      <c r="AG1614" s="1">
        <v>31413</v>
      </c>
      <c r="AH1614" s="1">
        <v>31413</v>
      </c>
      <c r="AI1614" s="1">
        <v>31413</v>
      </c>
      <c r="AJ1614" s="1">
        <v>38718</v>
      </c>
      <c r="AK1614" t="s">
        <v>51</v>
      </c>
      <c r="AN1614">
        <v>0</v>
      </c>
      <c r="AO1614" t="s">
        <v>54</v>
      </c>
      <c r="AP1614" t="s">
        <v>53</v>
      </c>
      <c r="AQ1614">
        <v>0</v>
      </c>
      <c r="AR1614" t="s">
        <v>145</v>
      </c>
      <c r="AS1614">
        <v>0</v>
      </c>
      <c r="AT1614">
        <v>0</v>
      </c>
      <c r="AW1614" t="s">
        <v>79</v>
      </c>
      <c r="AX1614">
        <v>20</v>
      </c>
      <c r="AY1614" s="1">
        <v>31413</v>
      </c>
      <c r="AZ1614" s="1">
        <v>31413</v>
      </c>
      <c r="BA1614" s="1">
        <v>31413</v>
      </c>
      <c r="BB1614" s="1">
        <v>38718</v>
      </c>
      <c r="BC1614" t="s">
        <v>51</v>
      </c>
      <c r="BE1614" t="s">
        <v>54</v>
      </c>
      <c r="BF1614">
        <v>5</v>
      </c>
      <c r="BG1614">
        <v>0</v>
      </c>
      <c r="BH1614" t="s">
        <v>53</v>
      </c>
      <c r="BK1614" t="s">
        <v>65</v>
      </c>
      <c r="BL1614">
        <v>14000</v>
      </c>
      <c r="BM1614" s="1">
        <v>42291</v>
      </c>
      <c r="BN1614" s="1">
        <v>42291</v>
      </c>
      <c r="BO1614" s="1">
        <v>42291</v>
      </c>
      <c r="BP1614" s="1">
        <v>43452</v>
      </c>
      <c r="BQ1614" t="s">
        <v>51</v>
      </c>
      <c r="BS1614" t="s">
        <v>60</v>
      </c>
      <c r="BT1614" t="s">
        <v>54</v>
      </c>
      <c r="BU1614" t="s">
        <v>61</v>
      </c>
      <c r="BV1614" t="s">
        <v>62</v>
      </c>
      <c r="BX1614">
        <v>36</v>
      </c>
      <c r="BY1614">
        <v>0</v>
      </c>
      <c r="BZ1614">
        <v>0</v>
      </c>
    </row>
    <row r="1615" spans="1:99" x14ac:dyDescent="0.2">
      <c r="A1615" t="s">
        <v>180</v>
      </c>
      <c r="B1615" t="s">
        <v>181</v>
      </c>
      <c r="C1615" t="s">
        <v>184</v>
      </c>
      <c r="D1615" t="s">
        <v>804</v>
      </c>
      <c r="F1615" t="str">
        <f>"253270"</f>
        <v>253270</v>
      </c>
      <c r="G1615" t="s">
        <v>49</v>
      </c>
      <c r="K1615" t="s">
        <v>51</v>
      </c>
      <c r="L1615" t="s">
        <v>52</v>
      </c>
      <c r="M1615">
        <v>136701.75</v>
      </c>
      <c r="N1615">
        <v>472359.92</v>
      </c>
      <c r="O1615" t="s">
        <v>53</v>
      </c>
      <c r="P1615" t="s">
        <v>54</v>
      </c>
      <c r="Q1615" t="s">
        <v>55</v>
      </c>
      <c r="T1615" t="s">
        <v>431</v>
      </c>
      <c r="U1615">
        <v>40</v>
      </c>
      <c r="V1615" s="1">
        <v>36161</v>
      </c>
      <c r="W1615" s="1">
        <v>36161</v>
      </c>
      <c r="X1615" s="1">
        <v>36161</v>
      </c>
      <c r="Y1615" s="1">
        <v>50771</v>
      </c>
      <c r="Z1615" t="s">
        <v>51</v>
      </c>
      <c r="AB1615" t="s">
        <v>54</v>
      </c>
      <c r="AC1615">
        <v>1</v>
      </c>
      <c r="AE1615" t="s">
        <v>79</v>
      </c>
      <c r="AF1615">
        <v>20</v>
      </c>
      <c r="AG1615" s="1">
        <v>36161</v>
      </c>
      <c r="AH1615" s="1">
        <v>36161</v>
      </c>
      <c r="AI1615" s="1">
        <v>36161</v>
      </c>
      <c r="AJ1615" s="1">
        <v>43466</v>
      </c>
      <c r="AK1615" t="s">
        <v>51</v>
      </c>
      <c r="AN1615">
        <v>0</v>
      </c>
      <c r="AO1615" t="s">
        <v>54</v>
      </c>
      <c r="AP1615" t="s">
        <v>53</v>
      </c>
      <c r="AQ1615">
        <v>0</v>
      </c>
      <c r="AR1615" t="s">
        <v>145</v>
      </c>
      <c r="AS1615">
        <v>0</v>
      </c>
      <c r="AT1615">
        <v>0</v>
      </c>
      <c r="AW1615" t="s">
        <v>79</v>
      </c>
      <c r="AX1615">
        <v>20</v>
      </c>
      <c r="AY1615" s="1">
        <v>36161</v>
      </c>
      <c r="AZ1615" s="1">
        <v>36161</v>
      </c>
      <c r="BA1615" s="1">
        <v>36161</v>
      </c>
      <c r="BB1615" s="1">
        <v>43466</v>
      </c>
      <c r="BC1615" t="s">
        <v>51</v>
      </c>
      <c r="BE1615" t="s">
        <v>54</v>
      </c>
      <c r="BF1615">
        <v>5</v>
      </c>
      <c r="BG1615">
        <v>0</v>
      </c>
      <c r="BH1615" t="s">
        <v>53</v>
      </c>
      <c r="BK1615" t="s">
        <v>65</v>
      </c>
      <c r="BL1615">
        <v>14000</v>
      </c>
      <c r="BM1615" s="1">
        <v>42291</v>
      </c>
      <c r="BN1615" s="1">
        <v>42291</v>
      </c>
      <c r="BO1615" s="1">
        <v>42291</v>
      </c>
      <c r="BP1615" s="1">
        <v>43452</v>
      </c>
      <c r="BQ1615" t="s">
        <v>51</v>
      </c>
      <c r="BS1615" t="s">
        <v>60</v>
      </c>
      <c r="BT1615" t="s">
        <v>54</v>
      </c>
      <c r="BU1615" t="s">
        <v>61</v>
      </c>
      <c r="BV1615" t="s">
        <v>62</v>
      </c>
      <c r="BX1615">
        <v>36</v>
      </c>
      <c r="BY1615">
        <v>0</v>
      </c>
      <c r="BZ1615">
        <v>0</v>
      </c>
    </row>
    <row r="1616" spans="1:99" x14ac:dyDescent="0.2">
      <c r="A1616" t="s">
        <v>180</v>
      </c>
      <c r="B1616" t="s">
        <v>181</v>
      </c>
      <c r="C1616" t="s">
        <v>184</v>
      </c>
      <c r="D1616" t="s">
        <v>562</v>
      </c>
      <c r="F1616" t="str">
        <f>"253271"</f>
        <v>253271</v>
      </c>
      <c r="G1616" t="s">
        <v>49</v>
      </c>
      <c r="K1616" t="s">
        <v>51</v>
      </c>
      <c r="L1616" t="s">
        <v>52</v>
      </c>
      <c r="M1616">
        <v>136277.20000000001</v>
      </c>
      <c r="N1616">
        <v>472618.86</v>
      </c>
      <c r="O1616" t="s">
        <v>53</v>
      </c>
      <c r="P1616" t="s">
        <v>54</v>
      </c>
      <c r="Q1616" t="s">
        <v>55</v>
      </c>
      <c r="T1616" t="s">
        <v>431</v>
      </c>
      <c r="U1616">
        <v>40</v>
      </c>
      <c r="V1616" s="1">
        <v>33970</v>
      </c>
      <c r="W1616" s="1">
        <v>33970</v>
      </c>
      <c r="X1616" s="1">
        <v>33970</v>
      </c>
      <c r="Y1616" s="1">
        <v>48580</v>
      </c>
      <c r="Z1616" t="s">
        <v>51</v>
      </c>
      <c r="AB1616" t="s">
        <v>54</v>
      </c>
      <c r="AC1616">
        <v>1</v>
      </c>
      <c r="AE1616" t="s">
        <v>79</v>
      </c>
      <c r="AF1616">
        <v>20</v>
      </c>
      <c r="AG1616" s="1">
        <v>33970</v>
      </c>
      <c r="AH1616" s="1">
        <v>33970</v>
      </c>
      <c r="AI1616" s="1">
        <v>33970</v>
      </c>
      <c r="AJ1616" s="1">
        <v>41275</v>
      </c>
      <c r="AK1616" t="s">
        <v>51</v>
      </c>
      <c r="AN1616">
        <v>0</v>
      </c>
      <c r="AO1616" t="s">
        <v>54</v>
      </c>
      <c r="AP1616" t="s">
        <v>53</v>
      </c>
      <c r="AQ1616">
        <v>0</v>
      </c>
      <c r="AR1616" t="s">
        <v>145</v>
      </c>
      <c r="AS1616">
        <v>0</v>
      </c>
      <c r="AT1616">
        <v>0</v>
      </c>
      <c r="AW1616" t="s">
        <v>79</v>
      </c>
      <c r="AX1616">
        <v>20</v>
      </c>
      <c r="AY1616" s="1">
        <v>33970</v>
      </c>
      <c r="AZ1616" s="1">
        <v>33970</v>
      </c>
      <c r="BA1616" s="1">
        <v>33970</v>
      </c>
      <c r="BB1616" s="1">
        <v>41275</v>
      </c>
      <c r="BC1616" t="s">
        <v>51</v>
      </c>
      <c r="BE1616" t="s">
        <v>54</v>
      </c>
      <c r="BF1616">
        <v>5</v>
      </c>
      <c r="BG1616">
        <v>0</v>
      </c>
      <c r="BH1616" t="s">
        <v>53</v>
      </c>
      <c r="BK1616" t="s">
        <v>59</v>
      </c>
      <c r="BL1616">
        <v>14000</v>
      </c>
      <c r="BM1616" s="1">
        <v>43774</v>
      </c>
      <c r="BN1616" s="1">
        <v>43774</v>
      </c>
      <c r="BO1616" s="1">
        <v>43774</v>
      </c>
      <c r="BP1616" s="1">
        <v>44934</v>
      </c>
      <c r="BQ1616" t="s">
        <v>51</v>
      </c>
      <c r="BS1616" t="s">
        <v>60</v>
      </c>
      <c r="BT1616" t="s">
        <v>54</v>
      </c>
      <c r="BU1616" t="s">
        <v>61</v>
      </c>
      <c r="BV1616" t="s">
        <v>62</v>
      </c>
      <c r="BX1616">
        <v>24</v>
      </c>
      <c r="BY1616">
        <v>0</v>
      </c>
      <c r="BZ1616">
        <v>0</v>
      </c>
    </row>
    <row r="1617" spans="1:112" x14ac:dyDescent="0.2">
      <c r="A1617" t="s">
        <v>180</v>
      </c>
      <c r="B1617" t="s">
        <v>181</v>
      </c>
      <c r="C1617" t="s">
        <v>184</v>
      </c>
      <c r="D1617" t="s">
        <v>562</v>
      </c>
      <c r="F1617" t="str">
        <f>"253272"</f>
        <v>253272</v>
      </c>
      <c r="G1617" t="s">
        <v>49</v>
      </c>
      <c r="K1617" t="s">
        <v>51</v>
      </c>
      <c r="L1617" t="s">
        <v>52</v>
      </c>
      <c r="M1617">
        <v>136264.92000000001</v>
      </c>
      <c r="N1617">
        <v>472591.77</v>
      </c>
      <c r="O1617" t="s">
        <v>53</v>
      </c>
      <c r="P1617" t="s">
        <v>54</v>
      </c>
      <c r="Q1617" t="s">
        <v>55</v>
      </c>
      <c r="T1617" t="s">
        <v>431</v>
      </c>
      <c r="U1617">
        <v>40</v>
      </c>
      <c r="V1617" s="1">
        <v>33970</v>
      </c>
      <c r="W1617" s="1">
        <v>33970</v>
      </c>
      <c r="X1617" s="1">
        <v>33970</v>
      </c>
      <c r="Y1617" s="1">
        <v>48580</v>
      </c>
      <c r="Z1617" t="s">
        <v>51</v>
      </c>
      <c r="AB1617" t="s">
        <v>54</v>
      </c>
      <c r="AC1617">
        <v>1</v>
      </c>
      <c r="AE1617" t="s">
        <v>79</v>
      </c>
      <c r="AF1617">
        <v>20</v>
      </c>
      <c r="AG1617" s="1">
        <v>33970</v>
      </c>
      <c r="AH1617" s="1">
        <v>33970</v>
      </c>
      <c r="AI1617" s="1">
        <v>33970</v>
      </c>
      <c r="AJ1617" s="1">
        <v>41275</v>
      </c>
      <c r="AK1617" t="s">
        <v>51</v>
      </c>
      <c r="AN1617">
        <v>0</v>
      </c>
      <c r="AO1617" t="s">
        <v>54</v>
      </c>
      <c r="AP1617" t="s">
        <v>53</v>
      </c>
      <c r="AQ1617">
        <v>0</v>
      </c>
      <c r="AR1617" t="s">
        <v>145</v>
      </c>
      <c r="AS1617">
        <v>0</v>
      </c>
      <c r="AT1617">
        <v>0</v>
      </c>
      <c r="AW1617" t="s">
        <v>79</v>
      </c>
      <c r="AX1617">
        <v>20</v>
      </c>
      <c r="AY1617" s="1">
        <v>33970</v>
      </c>
      <c r="AZ1617" s="1">
        <v>33970</v>
      </c>
      <c r="BA1617" s="1">
        <v>33970</v>
      </c>
      <c r="BB1617" s="1">
        <v>41275</v>
      </c>
      <c r="BC1617" t="s">
        <v>51</v>
      </c>
      <c r="BE1617" t="s">
        <v>54</v>
      </c>
      <c r="BF1617">
        <v>5</v>
      </c>
      <c r="BG1617">
        <v>0</v>
      </c>
      <c r="BH1617" t="s">
        <v>53</v>
      </c>
      <c r="BK1617" t="s">
        <v>65</v>
      </c>
      <c r="BL1617">
        <v>14000</v>
      </c>
      <c r="BM1617" s="1">
        <v>42291</v>
      </c>
      <c r="BN1617" s="1">
        <v>42291</v>
      </c>
      <c r="BO1617" s="1">
        <v>42291</v>
      </c>
      <c r="BP1617" s="1">
        <v>43452</v>
      </c>
      <c r="BQ1617" t="s">
        <v>51</v>
      </c>
      <c r="BS1617" t="s">
        <v>60</v>
      </c>
      <c r="BT1617" t="s">
        <v>54</v>
      </c>
      <c r="BU1617" t="s">
        <v>61</v>
      </c>
      <c r="BV1617" t="s">
        <v>62</v>
      </c>
      <c r="BX1617">
        <v>36</v>
      </c>
      <c r="BY1617">
        <v>0</v>
      </c>
      <c r="BZ1617">
        <v>0</v>
      </c>
    </row>
    <row r="1618" spans="1:112" x14ac:dyDescent="0.2">
      <c r="A1618" t="s">
        <v>180</v>
      </c>
      <c r="B1618" t="s">
        <v>181</v>
      </c>
      <c r="C1618" t="s">
        <v>184</v>
      </c>
      <c r="D1618" t="s">
        <v>752</v>
      </c>
      <c r="F1618" t="str">
        <f>"253273"</f>
        <v>253273</v>
      </c>
      <c r="G1618" t="s">
        <v>49</v>
      </c>
      <c r="K1618" t="s">
        <v>51</v>
      </c>
      <c r="L1618" t="s">
        <v>52</v>
      </c>
      <c r="M1618">
        <v>136369.78</v>
      </c>
      <c r="N1618">
        <v>472486.31</v>
      </c>
      <c r="O1618" t="s">
        <v>53</v>
      </c>
      <c r="P1618" t="s">
        <v>54</v>
      </c>
      <c r="Q1618" t="s">
        <v>55</v>
      </c>
      <c r="T1618" t="s">
        <v>100</v>
      </c>
      <c r="U1618">
        <v>40</v>
      </c>
      <c r="V1618" s="1">
        <v>44326</v>
      </c>
      <c r="W1618" s="1">
        <v>44326</v>
      </c>
      <c r="X1618" s="1">
        <v>44326</v>
      </c>
      <c r="Y1618" s="1">
        <v>58936</v>
      </c>
      <c r="Z1618" t="s">
        <v>51</v>
      </c>
      <c r="AB1618" t="s">
        <v>54</v>
      </c>
      <c r="AC1618">
        <v>1</v>
      </c>
      <c r="AE1618" t="s">
        <v>222</v>
      </c>
      <c r="AF1618">
        <v>20</v>
      </c>
      <c r="AG1618" s="1">
        <v>36161</v>
      </c>
      <c r="AH1618" s="1">
        <v>36161</v>
      </c>
      <c r="AI1618" s="1">
        <v>44326</v>
      </c>
      <c r="AJ1618" s="1">
        <v>43466</v>
      </c>
      <c r="AK1618" t="s">
        <v>51</v>
      </c>
      <c r="AN1618">
        <v>0</v>
      </c>
      <c r="AO1618" t="s">
        <v>54</v>
      </c>
      <c r="AP1618" t="s">
        <v>53</v>
      </c>
      <c r="AQ1618">
        <v>0</v>
      </c>
      <c r="AR1618" t="s">
        <v>53</v>
      </c>
      <c r="AS1618">
        <v>0</v>
      </c>
      <c r="AT1618">
        <v>0</v>
      </c>
      <c r="AW1618" t="s">
        <v>58</v>
      </c>
      <c r="AX1618">
        <v>20</v>
      </c>
      <c r="AY1618" s="1">
        <v>36161</v>
      </c>
      <c r="AZ1618" s="1">
        <v>36161</v>
      </c>
      <c r="BA1618" s="1">
        <v>44326</v>
      </c>
      <c r="BB1618" s="1">
        <v>43466</v>
      </c>
      <c r="BC1618" t="s">
        <v>51</v>
      </c>
      <c r="BE1618" t="s">
        <v>54</v>
      </c>
      <c r="BF1618">
        <v>2</v>
      </c>
      <c r="BG1618">
        <v>0</v>
      </c>
      <c r="BH1618" t="s">
        <v>53</v>
      </c>
      <c r="BK1618" t="s">
        <v>59</v>
      </c>
      <c r="BL1618">
        <v>14000</v>
      </c>
      <c r="BM1618" s="1">
        <v>42917</v>
      </c>
      <c r="BN1618" s="1">
        <v>42917</v>
      </c>
      <c r="BO1618" s="1">
        <v>44326</v>
      </c>
      <c r="BP1618" s="1">
        <v>44117</v>
      </c>
      <c r="BQ1618" t="s">
        <v>51</v>
      </c>
      <c r="BS1618" t="s">
        <v>60</v>
      </c>
      <c r="BT1618" t="s">
        <v>54</v>
      </c>
      <c r="BU1618" t="s">
        <v>61</v>
      </c>
      <c r="BV1618" t="s">
        <v>62</v>
      </c>
      <c r="BX1618">
        <v>24</v>
      </c>
      <c r="BY1618">
        <v>0</v>
      </c>
      <c r="BZ1618">
        <v>0</v>
      </c>
      <c r="CX1618" t="s">
        <v>360</v>
      </c>
      <c r="CY1618">
        <v>40</v>
      </c>
      <c r="CZ1618" s="1">
        <v>42095</v>
      </c>
      <c r="DA1618" s="1">
        <v>42095</v>
      </c>
      <c r="DB1618" s="1">
        <v>42095</v>
      </c>
      <c r="DC1618" s="1">
        <v>56705</v>
      </c>
      <c r="DD1618" t="s">
        <v>51</v>
      </c>
      <c r="DF1618" t="s">
        <v>54</v>
      </c>
      <c r="DG1618">
        <v>0</v>
      </c>
      <c r="DH1618">
        <v>0</v>
      </c>
    </row>
    <row r="1619" spans="1:112" x14ac:dyDescent="0.2">
      <c r="A1619" t="s">
        <v>180</v>
      </c>
      <c r="B1619" t="s">
        <v>181</v>
      </c>
      <c r="C1619" t="s">
        <v>184</v>
      </c>
      <c r="D1619" t="s">
        <v>470</v>
      </c>
      <c r="F1619" t="str">
        <f>"253341"</f>
        <v>253341</v>
      </c>
      <c r="G1619" t="s">
        <v>49</v>
      </c>
      <c r="H1619" t="s">
        <v>310</v>
      </c>
      <c r="K1619" t="s">
        <v>51</v>
      </c>
      <c r="L1619" t="s">
        <v>52</v>
      </c>
      <c r="M1619">
        <v>136852.62</v>
      </c>
      <c r="N1619">
        <v>470408.11</v>
      </c>
      <c r="O1619" t="s">
        <v>53</v>
      </c>
      <c r="P1619" t="s">
        <v>54</v>
      </c>
      <c r="Q1619" t="s">
        <v>55</v>
      </c>
      <c r="T1619" t="s">
        <v>183</v>
      </c>
      <c r="U1619">
        <v>40</v>
      </c>
      <c r="V1619" s="1">
        <v>20637</v>
      </c>
      <c r="W1619" s="1">
        <v>20637</v>
      </c>
      <c r="X1619" s="1">
        <v>20637</v>
      </c>
      <c r="Y1619" s="1">
        <v>35247</v>
      </c>
      <c r="Z1619" t="s">
        <v>51</v>
      </c>
      <c r="AB1619" t="s">
        <v>54</v>
      </c>
      <c r="AC1619">
        <v>1</v>
      </c>
      <c r="AE1619" t="s">
        <v>84</v>
      </c>
      <c r="AF1619">
        <v>20</v>
      </c>
      <c r="AG1619" s="1">
        <v>34881</v>
      </c>
      <c r="AH1619" s="1">
        <v>34881</v>
      </c>
      <c r="AI1619" s="1">
        <v>34881</v>
      </c>
      <c r="AJ1619" s="1">
        <v>42186</v>
      </c>
      <c r="AK1619" t="s">
        <v>51</v>
      </c>
      <c r="AN1619">
        <v>0</v>
      </c>
      <c r="AO1619" t="s">
        <v>54</v>
      </c>
      <c r="AP1619" t="s">
        <v>53</v>
      </c>
      <c r="AQ1619">
        <v>0</v>
      </c>
      <c r="AR1619" t="s">
        <v>53</v>
      </c>
      <c r="AS1619">
        <v>0</v>
      </c>
      <c r="AT1619">
        <v>0</v>
      </c>
      <c r="AW1619" t="s">
        <v>58</v>
      </c>
      <c r="AX1619">
        <v>20</v>
      </c>
      <c r="AY1619" s="1">
        <v>34881</v>
      </c>
      <c r="AZ1619" s="1">
        <v>34881</v>
      </c>
      <c r="BA1619" s="1">
        <v>34881</v>
      </c>
      <c r="BB1619" s="1">
        <v>42186</v>
      </c>
      <c r="BC1619" t="s">
        <v>51</v>
      </c>
      <c r="BE1619" t="s">
        <v>54</v>
      </c>
      <c r="BF1619">
        <v>2</v>
      </c>
      <c r="BG1619">
        <v>0</v>
      </c>
      <c r="BH1619" t="s">
        <v>53</v>
      </c>
      <c r="BK1619" t="s">
        <v>59</v>
      </c>
      <c r="BL1619">
        <v>14000</v>
      </c>
      <c r="BM1619" s="1">
        <v>42917</v>
      </c>
      <c r="BN1619" s="1">
        <v>42917</v>
      </c>
      <c r="BO1619" s="1">
        <v>42917</v>
      </c>
      <c r="BP1619" s="1">
        <v>44117</v>
      </c>
      <c r="BQ1619" t="s">
        <v>51</v>
      </c>
      <c r="BS1619" t="s">
        <v>60</v>
      </c>
      <c r="BT1619" t="s">
        <v>54</v>
      </c>
      <c r="BU1619" t="s">
        <v>61</v>
      </c>
      <c r="BV1619" t="s">
        <v>62</v>
      </c>
      <c r="BX1619">
        <v>24</v>
      </c>
      <c r="BY1619">
        <v>0</v>
      </c>
      <c r="BZ1619">
        <v>0</v>
      </c>
    </row>
    <row r="1620" spans="1:112" x14ac:dyDescent="0.2">
      <c r="A1620" t="s">
        <v>180</v>
      </c>
      <c r="B1620" t="s">
        <v>181</v>
      </c>
      <c r="C1620" t="s">
        <v>184</v>
      </c>
      <c r="D1620" t="s">
        <v>634</v>
      </c>
      <c r="F1620" t="str">
        <f>"??250591"</f>
        <v>??250591</v>
      </c>
      <c r="G1620" t="s">
        <v>49</v>
      </c>
      <c r="K1620" t="s">
        <v>51</v>
      </c>
      <c r="L1620" t="s">
        <v>52</v>
      </c>
      <c r="M1620">
        <v>136506.54999999999</v>
      </c>
      <c r="N1620">
        <v>472689.09</v>
      </c>
      <c r="O1620" t="s">
        <v>53</v>
      </c>
      <c r="P1620" t="s">
        <v>54</v>
      </c>
      <c r="Q1620" t="s">
        <v>55</v>
      </c>
      <c r="T1620" t="s">
        <v>431</v>
      </c>
      <c r="U1620">
        <v>40</v>
      </c>
      <c r="V1620" s="1">
        <v>35065</v>
      </c>
      <c r="W1620" s="1">
        <v>35065</v>
      </c>
      <c r="X1620" s="1">
        <v>35065</v>
      </c>
      <c r="Y1620" s="1">
        <v>49675</v>
      </c>
      <c r="Z1620" t="s">
        <v>51</v>
      </c>
      <c r="AB1620" t="s">
        <v>54</v>
      </c>
      <c r="AC1620">
        <v>1</v>
      </c>
      <c r="AE1620" t="s">
        <v>79</v>
      </c>
      <c r="AF1620">
        <v>20</v>
      </c>
      <c r="AG1620" s="1">
        <v>35065</v>
      </c>
      <c r="AH1620" s="1">
        <v>35065</v>
      </c>
      <c r="AI1620" s="1">
        <v>35065</v>
      </c>
      <c r="AJ1620" s="1">
        <v>42370</v>
      </c>
      <c r="AK1620" t="s">
        <v>51</v>
      </c>
      <c r="AN1620">
        <v>0</v>
      </c>
      <c r="AO1620" t="s">
        <v>54</v>
      </c>
      <c r="AP1620" t="s">
        <v>53</v>
      </c>
      <c r="AQ1620">
        <v>0</v>
      </c>
      <c r="AR1620" t="s">
        <v>145</v>
      </c>
      <c r="AS1620">
        <v>0</v>
      </c>
      <c r="AT1620">
        <v>0</v>
      </c>
      <c r="AW1620" t="s">
        <v>79</v>
      </c>
      <c r="AX1620">
        <v>20</v>
      </c>
      <c r="AY1620" s="1">
        <v>35065</v>
      </c>
      <c r="AZ1620" s="1">
        <v>35065</v>
      </c>
      <c r="BA1620" s="1">
        <v>35065</v>
      </c>
      <c r="BB1620" s="1">
        <v>42370</v>
      </c>
      <c r="BC1620" t="s">
        <v>51</v>
      </c>
      <c r="BE1620" t="s">
        <v>54</v>
      </c>
      <c r="BF1620">
        <v>5</v>
      </c>
      <c r="BG1620">
        <v>0</v>
      </c>
      <c r="BH1620" t="s">
        <v>53</v>
      </c>
      <c r="BK1620" t="s">
        <v>65</v>
      </c>
      <c r="BL1620">
        <v>14000</v>
      </c>
      <c r="BM1620" s="1">
        <v>42291</v>
      </c>
      <c r="BN1620" s="1">
        <v>42291</v>
      </c>
      <c r="BO1620" s="1">
        <v>42291</v>
      </c>
      <c r="BP1620" s="1">
        <v>43452</v>
      </c>
      <c r="BQ1620" t="s">
        <v>51</v>
      </c>
      <c r="BS1620" t="s">
        <v>60</v>
      </c>
      <c r="BT1620" t="s">
        <v>54</v>
      </c>
      <c r="BU1620" t="s">
        <v>61</v>
      </c>
      <c r="BV1620" t="s">
        <v>62</v>
      </c>
      <c r="BX1620">
        <v>36</v>
      </c>
      <c r="BY1620">
        <v>0</v>
      </c>
      <c r="BZ1620">
        <v>0</v>
      </c>
    </row>
    <row r="1621" spans="1:112" x14ac:dyDescent="0.2">
      <c r="A1621" t="s">
        <v>180</v>
      </c>
      <c r="B1621" t="s">
        <v>181</v>
      </c>
      <c r="C1621" t="s">
        <v>184</v>
      </c>
      <c r="D1621" t="s">
        <v>634</v>
      </c>
      <c r="F1621" t="str">
        <f>"??250592"</f>
        <v>??250592</v>
      </c>
      <c r="G1621" t="s">
        <v>49</v>
      </c>
      <c r="K1621" t="s">
        <v>51</v>
      </c>
      <c r="L1621" t="s">
        <v>52</v>
      </c>
      <c r="M1621">
        <v>136494.70000000001</v>
      </c>
      <c r="N1621">
        <v>472664.75</v>
      </c>
      <c r="O1621" t="s">
        <v>53</v>
      </c>
      <c r="P1621" t="s">
        <v>54</v>
      </c>
      <c r="Q1621" t="s">
        <v>55</v>
      </c>
      <c r="T1621" t="s">
        <v>431</v>
      </c>
      <c r="U1621">
        <v>40</v>
      </c>
      <c r="V1621" s="1">
        <v>35065</v>
      </c>
      <c r="W1621" s="1">
        <v>35065</v>
      </c>
      <c r="X1621" s="1">
        <v>35065</v>
      </c>
      <c r="Y1621" s="1">
        <v>49675</v>
      </c>
      <c r="Z1621" t="s">
        <v>51</v>
      </c>
      <c r="AB1621" t="s">
        <v>54</v>
      </c>
      <c r="AC1621">
        <v>1</v>
      </c>
      <c r="AE1621" t="s">
        <v>79</v>
      </c>
      <c r="AF1621">
        <v>20</v>
      </c>
      <c r="AG1621" s="1">
        <v>35065</v>
      </c>
      <c r="AH1621" s="1">
        <v>35065</v>
      </c>
      <c r="AI1621" s="1">
        <v>35065</v>
      </c>
      <c r="AJ1621" s="1">
        <v>42370</v>
      </c>
      <c r="AK1621" t="s">
        <v>51</v>
      </c>
      <c r="AN1621">
        <v>0</v>
      </c>
      <c r="AO1621" t="s">
        <v>54</v>
      </c>
      <c r="AP1621" t="s">
        <v>53</v>
      </c>
      <c r="AQ1621">
        <v>0</v>
      </c>
      <c r="AR1621" t="s">
        <v>145</v>
      </c>
      <c r="AS1621">
        <v>0</v>
      </c>
      <c r="AT1621">
        <v>0</v>
      </c>
      <c r="AW1621" t="s">
        <v>79</v>
      </c>
      <c r="AX1621">
        <v>20</v>
      </c>
      <c r="AY1621" s="1">
        <v>35065</v>
      </c>
      <c r="AZ1621" s="1">
        <v>35065</v>
      </c>
      <c r="BA1621" s="1">
        <v>35065</v>
      </c>
      <c r="BB1621" s="1">
        <v>42370</v>
      </c>
      <c r="BC1621" t="s">
        <v>51</v>
      </c>
      <c r="BE1621" t="s">
        <v>54</v>
      </c>
      <c r="BF1621">
        <v>5</v>
      </c>
      <c r="BG1621">
        <v>0</v>
      </c>
      <c r="BH1621" t="s">
        <v>53</v>
      </c>
      <c r="BK1621" t="s">
        <v>65</v>
      </c>
      <c r="BL1621">
        <v>14000</v>
      </c>
      <c r="BM1621" s="1">
        <v>42291</v>
      </c>
      <c r="BN1621" s="1">
        <v>42291</v>
      </c>
      <c r="BO1621" s="1">
        <v>42291</v>
      </c>
      <c r="BP1621" s="1">
        <v>43452</v>
      </c>
      <c r="BQ1621" t="s">
        <v>51</v>
      </c>
      <c r="BS1621" t="s">
        <v>60</v>
      </c>
      <c r="BT1621" t="s">
        <v>54</v>
      </c>
      <c r="BU1621" t="s">
        <v>61</v>
      </c>
      <c r="BV1621" t="s">
        <v>62</v>
      </c>
      <c r="BX1621">
        <v>36</v>
      </c>
      <c r="BY1621">
        <v>0</v>
      </c>
      <c r="BZ1621">
        <v>0</v>
      </c>
    </row>
    <row r="1622" spans="1:112" x14ac:dyDescent="0.2">
      <c r="A1622" t="s">
        <v>180</v>
      </c>
      <c r="B1622" t="s">
        <v>181</v>
      </c>
      <c r="C1622" t="s">
        <v>184</v>
      </c>
      <c r="D1622" t="s">
        <v>657</v>
      </c>
      <c r="F1622" t="str">
        <f>"??250711"</f>
        <v>??250711</v>
      </c>
      <c r="G1622" t="s">
        <v>49</v>
      </c>
      <c r="K1622" t="s">
        <v>51</v>
      </c>
      <c r="L1622" t="s">
        <v>52</v>
      </c>
      <c r="M1622">
        <v>136810.01999999999</v>
      </c>
      <c r="N1622">
        <v>472287.78</v>
      </c>
      <c r="O1622" t="s">
        <v>53</v>
      </c>
      <c r="P1622" t="s">
        <v>54</v>
      </c>
      <c r="Q1622" t="s">
        <v>55</v>
      </c>
      <c r="T1622" t="s">
        <v>431</v>
      </c>
      <c r="U1622">
        <v>40</v>
      </c>
      <c r="V1622" s="1">
        <v>36342</v>
      </c>
      <c r="W1622" s="1">
        <v>36342</v>
      </c>
      <c r="X1622" s="1">
        <v>36342</v>
      </c>
      <c r="Y1622" s="1">
        <v>50952</v>
      </c>
      <c r="Z1622" t="s">
        <v>51</v>
      </c>
      <c r="AB1622" t="s">
        <v>54</v>
      </c>
      <c r="AC1622">
        <v>1</v>
      </c>
      <c r="AE1622" t="s">
        <v>79</v>
      </c>
      <c r="AF1622">
        <v>20</v>
      </c>
      <c r="AG1622" s="1">
        <v>36342</v>
      </c>
      <c r="AH1622" s="1">
        <v>36342</v>
      </c>
      <c r="AI1622" s="1">
        <v>36342</v>
      </c>
      <c r="AJ1622" s="1">
        <v>43647</v>
      </c>
      <c r="AK1622" t="s">
        <v>51</v>
      </c>
      <c r="AN1622">
        <v>0</v>
      </c>
      <c r="AO1622" t="s">
        <v>54</v>
      </c>
      <c r="AP1622" t="s">
        <v>53</v>
      </c>
      <c r="AQ1622">
        <v>0</v>
      </c>
      <c r="AR1622" t="s">
        <v>145</v>
      </c>
      <c r="AS1622">
        <v>0</v>
      </c>
      <c r="AT1622">
        <v>0</v>
      </c>
      <c r="AW1622" t="s">
        <v>79</v>
      </c>
      <c r="AX1622">
        <v>20</v>
      </c>
      <c r="AY1622" s="1">
        <v>43473</v>
      </c>
      <c r="AZ1622" s="1">
        <v>43473</v>
      </c>
      <c r="BA1622" s="1">
        <v>43473</v>
      </c>
      <c r="BB1622" s="1">
        <v>50778</v>
      </c>
      <c r="BC1622" t="s">
        <v>51</v>
      </c>
      <c r="BE1622" t="s">
        <v>54</v>
      </c>
      <c r="BF1622">
        <v>5</v>
      </c>
      <c r="BG1622">
        <v>0</v>
      </c>
      <c r="BH1622" t="s">
        <v>53</v>
      </c>
      <c r="BK1622" t="s">
        <v>146</v>
      </c>
      <c r="BL1622">
        <v>14000</v>
      </c>
      <c r="BM1622" s="1">
        <v>43473</v>
      </c>
      <c r="BN1622" s="1">
        <v>43473</v>
      </c>
      <c r="BO1622" s="1">
        <v>43473</v>
      </c>
      <c r="BP1622" s="1">
        <v>44640</v>
      </c>
      <c r="BQ1622" t="s">
        <v>51</v>
      </c>
      <c r="BS1622" t="s">
        <v>60</v>
      </c>
      <c r="BT1622" t="s">
        <v>54</v>
      </c>
      <c r="BU1622" t="s">
        <v>61</v>
      </c>
      <c r="BV1622" t="s">
        <v>62</v>
      </c>
      <c r="BX1622">
        <v>24</v>
      </c>
      <c r="BY1622">
        <v>0</v>
      </c>
      <c r="BZ1622">
        <v>0</v>
      </c>
    </row>
    <row r="1623" spans="1:112" x14ac:dyDescent="0.2">
      <c r="A1623" t="s">
        <v>180</v>
      </c>
      <c r="B1623" t="s">
        <v>181</v>
      </c>
      <c r="C1623" t="s">
        <v>184</v>
      </c>
      <c r="D1623" t="s">
        <v>670</v>
      </c>
      <c r="F1623" t="str">
        <f>"??250731"</f>
        <v>??250731</v>
      </c>
      <c r="G1623" t="s">
        <v>49</v>
      </c>
      <c r="K1623" t="s">
        <v>51</v>
      </c>
      <c r="L1623" t="s">
        <v>52</v>
      </c>
      <c r="M1623">
        <v>136041.21</v>
      </c>
      <c r="N1623">
        <v>472496.74</v>
      </c>
      <c r="O1623" t="s">
        <v>53</v>
      </c>
      <c r="P1623" t="s">
        <v>54</v>
      </c>
      <c r="Q1623" t="s">
        <v>55</v>
      </c>
      <c r="T1623" t="s">
        <v>431</v>
      </c>
      <c r="U1623">
        <v>40</v>
      </c>
      <c r="V1623" s="1">
        <v>29952</v>
      </c>
      <c r="W1623" s="1">
        <v>29952</v>
      </c>
      <c r="X1623" s="1">
        <v>29952</v>
      </c>
      <c r="Y1623" s="1">
        <v>44562</v>
      </c>
      <c r="Z1623" t="s">
        <v>51</v>
      </c>
      <c r="AB1623" t="s">
        <v>54</v>
      </c>
      <c r="AC1623">
        <v>1</v>
      </c>
      <c r="AE1623" t="s">
        <v>79</v>
      </c>
      <c r="AF1623">
        <v>20</v>
      </c>
      <c r="AG1623" s="1">
        <v>29952</v>
      </c>
      <c r="AH1623" s="1">
        <v>29952</v>
      </c>
      <c r="AI1623" s="1">
        <v>29952</v>
      </c>
      <c r="AJ1623" s="1">
        <v>37257</v>
      </c>
      <c r="AK1623" t="s">
        <v>51</v>
      </c>
      <c r="AN1623">
        <v>0</v>
      </c>
      <c r="AO1623" t="s">
        <v>54</v>
      </c>
      <c r="AP1623" t="s">
        <v>53</v>
      </c>
      <c r="AQ1623">
        <v>0</v>
      </c>
      <c r="AR1623" t="s">
        <v>145</v>
      </c>
      <c r="AS1623">
        <v>0</v>
      </c>
      <c r="AT1623">
        <v>0</v>
      </c>
      <c r="CC1623" t="s">
        <v>432</v>
      </c>
      <c r="CD1623">
        <v>85000</v>
      </c>
      <c r="CE1623" s="1">
        <v>42552</v>
      </c>
      <c r="CF1623" s="1">
        <v>42552</v>
      </c>
      <c r="CG1623" s="1">
        <v>42552</v>
      </c>
      <c r="CH1623" s="1">
        <v>49714</v>
      </c>
      <c r="CI1623" t="s">
        <v>51</v>
      </c>
      <c r="CK1623" t="s">
        <v>78</v>
      </c>
      <c r="CM1623" t="s">
        <v>54</v>
      </c>
      <c r="CN1623" t="s">
        <v>174</v>
      </c>
      <c r="CO1623" t="s">
        <v>86</v>
      </c>
      <c r="CR1623">
        <v>24</v>
      </c>
      <c r="CS1623">
        <v>0</v>
      </c>
      <c r="CT1623">
        <v>0</v>
      </c>
      <c r="CU1623">
        <v>0</v>
      </c>
    </row>
    <row r="1624" spans="1:112" x14ac:dyDescent="0.2">
      <c r="A1624" t="s">
        <v>180</v>
      </c>
      <c r="B1624" t="s">
        <v>181</v>
      </c>
      <c r="C1624" t="s">
        <v>184</v>
      </c>
      <c r="D1624" t="s">
        <v>677</v>
      </c>
      <c r="F1624" t="str">
        <f>"??250877"</f>
        <v>??250877</v>
      </c>
      <c r="G1624" t="s">
        <v>49</v>
      </c>
      <c r="K1624" t="s">
        <v>51</v>
      </c>
      <c r="L1624" t="s">
        <v>52</v>
      </c>
      <c r="M1624">
        <v>136374.53</v>
      </c>
      <c r="N1624">
        <v>472168.61</v>
      </c>
      <c r="O1624" t="s">
        <v>53</v>
      </c>
      <c r="P1624" t="s">
        <v>54</v>
      </c>
      <c r="Q1624" t="s">
        <v>55</v>
      </c>
      <c r="T1624" t="s">
        <v>431</v>
      </c>
      <c r="U1624">
        <v>40</v>
      </c>
      <c r="V1624" s="1">
        <v>42186</v>
      </c>
      <c r="W1624" s="1">
        <v>42186</v>
      </c>
      <c r="X1624" s="1">
        <v>42186</v>
      </c>
      <c r="Y1624" s="1">
        <v>56796</v>
      </c>
      <c r="Z1624" t="s">
        <v>51</v>
      </c>
      <c r="AB1624" t="s">
        <v>54</v>
      </c>
      <c r="AC1624">
        <v>1</v>
      </c>
      <c r="AE1624" t="s">
        <v>79</v>
      </c>
      <c r="AF1624">
        <v>20</v>
      </c>
      <c r="AG1624" s="1">
        <v>42186</v>
      </c>
      <c r="AH1624" s="1">
        <v>42186</v>
      </c>
      <c r="AI1624" s="1">
        <v>42186</v>
      </c>
      <c r="AJ1624" s="1">
        <v>49491</v>
      </c>
      <c r="AK1624" t="s">
        <v>51</v>
      </c>
      <c r="AN1624">
        <v>0</v>
      </c>
      <c r="AO1624" t="s">
        <v>54</v>
      </c>
      <c r="AP1624" t="s">
        <v>53</v>
      </c>
      <c r="AQ1624">
        <v>0</v>
      </c>
      <c r="AR1624" t="s">
        <v>145</v>
      </c>
      <c r="AS1624">
        <v>0</v>
      </c>
      <c r="AT1624">
        <v>0</v>
      </c>
      <c r="CC1624" t="s">
        <v>432</v>
      </c>
      <c r="CD1624">
        <v>85000</v>
      </c>
      <c r="CE1624" s="1">
        <v>42186</v>
      </c>
      <c r="CF1624" s="1">
        <v>42186</v>
      </c>
      <c r="CG1624" s="1">
        <v>42186</v>
      </c>
      <c r="CH1624" s="1">
        <v>49348</v>
      </c>
      <c r="CI1624" t="s">
        <v>51</v>
      </c>
      <c r="CK1624" t="s">
        <v>78</v>
      </c>
      <c r="CM1624" t="s">
        <v>54</v>
      </c>
      <c r="CN1624" t="s">
        <v>174</v>
      </c>
      <c r="CO1624" t="s">
        <v>86</v>
      </c>
      <c r="CR1624">
        <v>24</v>
      </c>
      <c r="CS1624">
        <v>0</v>
      </c>
      <c r="CT1624">
        <v>0</v>
      </c>
      <c r="CU1624">
        <v>0</v>
      </c>
    </row>
    <row r="1625" spans="1:112" x14ac:dyDescent="0.2">
      <c r="A1625" t="s">
        <v>180</v>
      </c>
      <c r="B1625" t="s">
        <v>181</v>
      </c>
      <c r="C1625" t="s">
        <v>184</v>
      </c>
      <c r="D1625" t="s">
        <v>677</v>
      </c>
      <c r="F1625" t="str">
        <f>"??250882"</f>
        <v>??250882</v>
      </c>
      <c r="G1625" t="s">
        <v>49</v>
      </c>
      <c r="K1625" t="s">
        <v>51</v>
      </c>
      <c r="L1625" t="s">
        <v>52</v>
      </c>
      <c r="M1625">
        <v>136300.59</v>
      </c>
      <c r="N1625">
        <v>472201.58</v>
      </c>
      <c r="O1625" t="s">
        <v>53</v>
      </c>
      <c r="P1625" t="s">
        <v>54</v>
      </c>
      <c r="Q1625" t="s">
        <v>55</v>
      </c>
      <c r="T1625" t="s">
        <v>431</v>
      </c>
      <c r="U1625">
        <v>40</v>
      </c>
      <c r="V1625" s="1">
        <v>42186</v>
      </c>
      <c r="W1625" s="1">
        <v>42186</v>
      </c>
      <c r="X1625" s="1">
        <v>42186</v>
      </c>
      <c r="Y1625" s="1">
        <v>56796</v>
      </c>
      <c r="Z1625" t="s">
        <v>51</v>
      </c>
      <c r="AB1625" t="s">
        <v>54</v>
      </c>
      <c r="AC1625">
        <v>1</v>
      </c>
      <c r="AE1625" t="s">
        <v>79</v>
      </c>
      <c r="AF1625">
        <v>20</v>
      </c>
      <c r="AG1625" s="1">
        <v>42186</v>
      </c>
      <c r="AH1625" s="1">
        <v>42186</v>
      </c>
      <c r="AI1625" s="1">
        <v>42186</v>
      </c>
      <c r="AJ1625" s="1">
        <v>49491</v>
      </c>
      <c r="AK1625" t="s">
        <v>51</v>
      </c>
      <c r="AN1625">
        <v>0</v>
      </c>
      <c r="AO1625" t="s">
        <v>54</v>
      </c>
      <c r="AP1625" t="s">
        <v>53</v>
      </c>
      <c r="AQ1625">
        <v>0</v>
      </c>
      <c r="AR1625" t="s">
        <v>145</v>
      </c>
      <c r="AS1625">
        <v>0</v>
      </c>
      <c r="AT1625">
        <v>0</v>
      </c>
      <c r="CC1625" t="s">
        <v>432</v>
      </c>
      <c r="CD1625">
        <v>85000</v>
      </c>
      <c r="CE1625" s="1">
        <v>42186</v>
      </c>
      <c r="CF1625" s="1">
        <v>42186</v>
      </c>
      <c r="CG1625" s="1">
        <v>42186</v>
      </c>
      <c r="CH1625" s="1">
        <v>49348</v>
      </c>
      <c r="CI1625" t="s">
        <v>51</v>
      </c>
      <c r="CK1625" t="s">
        <v>78</v>
      </c>
      <c r="CM1625" t="s">
        <v>54</v>
      </c>
      <c r="CN1625" t="s">
        <v>174</v>
      </c>
      <c r="CO1625" t="s">
        <v>86</v>
      </c>
      <c r="CR1625">
        <v>24</v>
      </c>
      <c r="CS1625">
        <v>0</v>
      </c>
      <c r="CT1625">
        <v>0</v>
      </c>
      <c r="CU1625">
        <v>0</v>
      </c>
    </row>
    <row r="1626" spans="1:112" x14ac:dyDescent="0.2">
      <c r="A1626" t="s">
        <v>180</v>
      </c>
      <c r="B1626" t="s">
        <v>181</v>
      </c>
      <c r="C1626" t="s">
        <v>184</v>
      </c>
      <c r="D1626" t="s">
        <v>705</v>
      </c>
      <c r="F1626" t="str">
        <f>"??251203"</f>
        <v>??251203</v>
      </c>
      <c r="G1626" t="s">
        <v>49</v>
      </c>
      <c r="K1626" t="s">
        <v>51</v>
      </c>
      <c r="L1626" t="s">
        <v>52</v>
      </c>
      <c r="M1626">
        <v>136329.69</v>
      </c>
      <c r="N1626">
        <v>472311.5</v>
      </c>
      <c r="O1626" t="s">
        <v>53</v>
      </c>
      <c r="P1626" t="s">
        <v>54</v>
      </c>
      <c r="Q1626" t="s">
        <v>55</v>
      </c>
      <c r="T1626" t="s">
        <v>431</v>
      </c>
      <c r="U1626">
        <v>40</v>
      </c>
      <c r="V1626" s="1">
        <v>42186</v>
      </c>
      <c r="W1626" s="1">
        <v>42186</v>
      </c>
      <c r="X1626" s="1">
        <v>42186</v>
      </c>
      <c r="Y1626" s="1">
        <v>56796</v>
      </c>
      <c r="Z1626" t="s">
        <v>51</v>
      </c>
      <c r="AB1626" t="s">
        <v>54</v>
      </c>
      <c r="AC1626">
        <v>1</v>
      </c>
      <c r="AE1626" t="s">
        <v>79</v>
      </c>
      <c r="AF1626">
        <v>20</v>
      </c>
      <c r="AG1626" s="1">
        <v>42186</v>
      </c>
      <c r="AH1626" s="1">
        <v>42186</v>
      </c>
      <c r="AI1626" s="1">
        <v>42186</v>
      </c>
      <c r="AJ1626" s="1">
        <v>49491</v>
      </c>
      <c r="AK1626" t="s">
        <v>51</v>
      </c>
      <c r="AN1626">
        <v>0</v>
      </c>
      <c r="AO1626" t="s">
        <v>54</v>
      </c>
      <c r="AP1626" t="s">
        <v>53</v>
      </c>
      <c r="AQ1626">
        <v>0</v>
      </c>
      <c r="AR1626" t="s">
        <v>145</v>
      </c>
      <c r="AS1626">
        <v>0</v>
      </c>
      <c r="AT1626">
        <v>0</v>
      </c>
      <c r="CC1626" t="s">
        <v>432</v>
      </c>
      <c r="CD1626">
        <v>85000</v>
      </c>
      <c r="CE1626" s="1">
        <v>42186</v>
      </c>
      <c r="CF1626" s="1">
        <v>42186</v>
      </c>
      <c r="CG1626" s="1">
        <v>42186</v>
      </c>
      <c r="CH1626" s="1">
        <v>49348</v>
      </c>
      <c r="CI1626" t="s">
        <v>51</v>
      </c>
      <c r="CK1626" t="s">
        <v>78</v>
      </c>
      <c r="CM1626" t="s">
        <v>54</v>
      </c>
      <c r="CN1626" t="s">
        <v>174</v>
      </c>
      <c r="CO1626" t="s">
        <v>86</v>
      </c>
      <c r="CR1626">
        <v>24</v>
      </c>
      <c r="CS1626">
        <v>0</v>
      </c>
      <c r="CT1626">
        <v>0</v>
      </c>
      <c r="CU1626">
        <v>0</v>
      </c>
    </row>
    <row r="1627" spans="1:112" x14ac:dyDescent="0.2">
      <c r="A1627" t="s">
        <v>180</v>
      </c>
      <c r="B1627" t="s">
        <v>181</v>
      </c>
      <c r="C1627" t="s">
        <v>184</v>
      </c>
      <c r="D1627" t="s">
        <v>513</v>
      </c>
      <c r="F1627" t="str">
        <f>"?108"</f>
        <v>?108</v>
      </c>
      <c r="G1627" t="s">
        <v>49</v>
      </c>
      <c r="K1627" t="s">
        <v>51</v>
      </c>
      <c r="L1627" t="s">
        <v>52</v>
      </c>
      <c r="M1627">
        <v>135100.68299999999</v>
      </c>
      <c r="N1627">
        <v>471560.52299999999</v>
      </c>
      <c r="O1627" t="s">
        <v>53</v>
      </c>
      <c r="P1627" t="s">
        <v>54</v>
      </c>
      <c r="Q1627" t="s">
        <v>55</v>
      </c>
      <c r="T1627" t="s">
        <v>466</v>
      </c>
      <c r="U1627">
        <v>40</v>
      </c>
      <c r="V1627" s="1">
        <v>44197</v>
      </c>
      <c r="W1627" s="1">
        <v>44197</v>
      </c>
      <c r="X1627" s="1">
        <v>44197</v>
      </c>
      <c r="Y1627" s="1">
        <v>58807</v>
      </c>
      <c r="Z1627" t="s">
        <v>51</v>
      </c>
      <c r="AB1627" t="s">
        <v>54</v>
      </c>
      <c r="AE1627" t="s">
        <v>356</v>
      </c>
      <c r="AF1627">
        <v>20</v>
      </c>
      <c r="AG1627" s="1">
        <v>44197</v>
      </c>
      <c r="AH1627" s="1">
        <v>44197</v>
      </c>
      <c r="AI1627" s="1">
        <v>44197</v>
      </c>
      <c r="AJ1627" s="1">
        <v>51502</v>
      </c>
      <c r="AK1627" t="s">
        <v>51</v>
      </c>
      <c r="AN1627">
        <v>0</v>
      </c>
      <c r="AO1627" t="s">
        <v>54</v>
      </c>
      <c r="AP1627" t="s">
        <v>53</v>
      </c>
      <c r="AQ1627">
        <v>0</v>
      </c>
      <c r="AR1627" t="s">
        <v>145</v>
      </c>
      <c r="AS1627">
        <v>0</v>
      </c>
      <c r="AT1627">
        <v>0</v>
      </c>
      <c r="CC1627" t="s">
        <v>529</v>
      </c>
      <c r="CD1627">
        <v>85000</v>
      </c>
      <c r="CE1627" s="1">
        <v>44197</v>
      </c>
      <c r="CF1627" s="1">
        <v>44197</v>
      </c>
      <c r="CG1627" s="1">
        <v>44197</v>
      </c>
      <c r="CH1627" s="1">
        <v>51826</v>
      </c>
      <c r="CI1627" t="s">
        <v>51</v>
      </c>
      <c r="CK1627" t="s">
        <v>78</v>
      </c>
      <c r="CM1627" t="s">
        <v>54</v>
      </c>
      <c r="CN1627" t="s">
        <v>174</v>
      </c>
      <c r="CO1627" t="s">
        <v>86</v>
      </c>
      <c r="CR1627">
        <v>35</v>
      </c>
      <c r="CS1627">
        <v>0</v>
      </c>
      <c r="CT1627">
        <v>0</v>
      </c>
      <c r="CU1627">
        <v>0</v>
      </c>
    </row>
    <row r="1628" spans="1:112" x14ac:dyDescent="0.2">
      <c r="A1628" t="s">
        <v>180</v>
      </c>
      <c r="B1628" t="s">
        <v>181</v>
      </c>
      <c r="C1628" t="s">
        <v>184</v>
      </c>
      <c r="D1628" t="s">
        <v>513</v>
      </c>
      <c r="F1628" t="str">
        <f>"?109"</f>
        <v>?109</v>
      </c>
      <c r="G1628" t="s">
        <v>49</v>
      </c>
      <c r="K1628" t="s">
        <v>51</v>
      </c>
      <c r="L1628" t="s">
        <v>52</v>
      </c>
      <c r="M1628">
        <v>134982.016</v>
      </c>
      <c r="N1628">
        <v>471468.50699999998</v>
      </c>
      <c r="O1628" t="s">
        <v>53</v>
      </c>
      <c r="P1628" t="s">
        <v>54</v>
      </c>
      <c r="Q1628" t="s">
        <v>55</v>
      </c>
      <c r="T1628" t="s">
        <v>466</v>
      </c>
      <c r="U1628">
        <v>40</v>
      </c>
      <c r="V1628" s="1">
        <v>44197</v>
      </c>
      <c r="W1628" s="1">
        <v>44197</v>
      </c>
      <c r="X1628" s="1">
        <v>44197</v>
      </c>
      <c r="Y1628" s="1">
        <v>58807</v>
      </c>
      <c r="Z1628" t="s">
        <v>51</v>
      </c>
      <c r="AB1628" t="s">
        <v>54</v>
      </c>
      <c r="AE1628" t="s">
        <v>356</v>
      </c>
      <c r="AF1628">
        <v>20</v>
      </c>
      <c r="AG1628" s="1">
        <v>44197</v>
      </c>
      <c r="AH1628" s="1">
        <v>44197</v>
      </c>
      <c r="AI1628" s="1">
        <v>44197</v>
      </c>
      <c r="AJ1628" s="1">
        <v>51502</v>
      </c>
      <c r="AK1628" t="s">
        <v>51</v>
      </c>
      <c r="AN1628">
        <v>0</v>
      </c>
      <c r="AO1628" t="s">
        <v>54</v>
      </c>
      <c r="AP1628" t="s">
        <v>53</v>
      </c>
      <c r="AQ1628">
        <v>0</v>
      </c>
      <c r="AR1628" t="s">
        <v>145</v>
      </c>
      <c r="AS1628">
        <v>0</v>
      </c>
      <c r="AT1628">
        <v>0</v>
      </c>
      <c r="CC1628" t="s">
        <v>529</v>
      </c>
      <c r="CD1628">
        <v>85000</v>
      </c>
      <c r="CE1628" s="1">
        <v>44197</v>
      </c>
      <c r="CF1628" s="1">
        <v>44197</v>
      </c>
      <c r="CG1628" s="1">
        <v>44197</v>
      </c>
      <c r="CH1628" s="1">
        <v>51826</v>
      </c>
      <c r="CI1628" t="s">
        <v>51</v>
      </c>
      <c r="CK1628" t="s">
        <v>78</v>
      </c>
      <c r="CM1628" t="s">
        <v>54</v>
      </c>
      <c r="CN1628" t="s">
        <v>174</v>
      </c>
      <c r="CO1628" t="s">
        <v>86</v>
      </c>
      <c r="CR1628">
        <v>35</v>
      </c>
      <c r="CS1628">
        <v>0</v>
      </c>
      <c r="CT1628">
        <v>0</v>
      </c>
      <c r="CU1628">
        <v>0</v>
      </c>
    </row>
    <row r="1629" spans="1:112" x14ac:dyDescent="0.2">
      <c r="A1629" t="s">
        <v>180</v>
      </c>
      <c r="B1629" t="s">
        <v>181</v>
      </c>
      <c r="C1629" t="s">
        <v>184</v>
      </c>
      <c r="D1629" t="s">
        <v>513</v>
      </c>
      <c r="F1629" t="str">
        <f>"?110"</f>
        <v>?110</v>
      </c>
      <c r="G1629" t="s">
        <v>49</v>
      </c>
      <c r="K1629" t="s">
        <v>51</v>
      </c>
      <c r="L1629" t="s">
        <v>52</v>
      </c>
      <c r="M1629">
        <v>134778.78</v>
      </c>
      <c r="N1629">
        <v>471302.96</v>
      </c>
      <c r="O1629" t="s">
        <v>53</v>
      </c>
      <c r="P1629" t="s">
        <v>54</v>
      </c>
      <c r="Q1629" t="s">
        <v>55</v>
      </c>
      <c r="S1629" t="s">
        <v>514</v>
      </c>
      <c r="T1629" t="s">
        <v>514</v>
      </c>
      <c r="U1629">
        <v>30</v>
      </c>
      <c r="V1629" s="1">
        <v>44197</v>
      </c>
      <c r="W1629" s="1">
        <v>44197</v>
      </c>
      <c r="X1629" s="1">
        <v>44197</v>
      </c>
      <c r="Y1629" s="1">
        <v>55154</v>
      </c>
      <c r="Z1629" t="s">
        <v>51</v>
      </c>
      <c r="AB1629" t="s">
        <v>54</v>
      </c>
      <c r="AC1629">
        <v>1</v>
      </c>
      <c r="AE1629" t="s">
        <v>515</v>
      </c>
      <c r="AF1629">
        <v>20</v>
      </c>
      <c r="AG1629" s="1">
        <v>44197</v>
      </c>
      <c r="AH1629" s="1">
        <v>44197</v>
      </c>
      <c r="AI1629" s="1">
        <v>44197</v>
      </c>
      <c r="AJ1629" s="1">
        <v>51502</v>
      </c>
      <c r="AK1629" t="s">
        <v>51</v>
      </c>
      <c r="AN1629">
        <v>0</v>
      </c>
      <c r="AO1629" t="s">
        <v>54</v>
      </c>
      <c r="AP1629" t="s">
        <v>53</v>
      </c>
      <c r="AQ1629">
        <v>0</v>
      </c>
      <c r="AR1629" t="s">
        <v>53</v>
      </c>
      <c r="AS1629">
        <v>0</v>
      </c>
      <c r="AT1629">
        <v>0</v>
      </c>
      <c r="CC1629" t="s">
        <v>432</v>
      </c>
      <c r="CD1629">
        <v>85000</v>
      </c>
      <c r="CE1629" s="1">
        <v>44197</v>
      </c>
      <c r="CF1629" s="1">
        <v>44197</v>
      </c>
      <c r="CG1629" s="1">
        <v>44197</v>
      </c>
      <c r="CH1629" s="1">
        <v>51826</v>
      </c>
      <c r="CI1629" t="s">
        <v>51</v>
      </c>
      <c r="CK1629" t="s">
        <v>78</v>
      </c>
      <c r="CM1629" t="s">
        <v>54</v>
      </c>
      <c r="CN1629" t="s">
        <v>174</v>
      </c>
      <c r="CO1629" t="s">
        <v>86</v>
      </c>
      <c r="CR1629">
        <v>24</v>
      </c>
      <c r="CS1629">
        <v>0</v>
      </c>
      <c r="CT1629">
        <v>0</v>
      </c>
      <c r="CU1629">
        <v>0</v>
      </c>
    </row>
    <row r="1630" spans="1:112" x14ac:dyDescent="0.2">
      <c r="A1630" t="s">
        <v>180</v>
      </c>
      <c r="B1630" t="s">
        <v>181</v>
      </c>
      <c r="C1630" t="s">
        <v>433</v>
      </c>
      <c r="D1630" t="s">
        <v>426</v>
      </c>
      <c r="F1630" t="str">
        <f>"?127"</f>
        <v>?127</v>
      </c>
      <c r="G1630" t="s">
        <v>49</v>
      </c>
      <c r="K1630" t="s">
        <v>427</v>
      </c>
      <c r="L1630" t="s">
        <v>52</v>
      </c>
      <c r="M1630">
        <v>136796.03</v>
      </c>
      <c r="N1630">
        <v>470188.54</v>
      </c>
      <c r="O1630" t="s">
        <v>53</v>
      </c>
      <c r="P1630" t="s">
        <v>54</v>
      </c>
      <c r="AP1630" t="s">
        <v>53</v>
      </c>
      <c r="AR1630" t="s">
        <v>53</v>
      </c>
      <c r="BH1630" t="s">
        <v>53</v>
      </c>
    </row>
    <row r="1631" spans="1:112" x14ac:dyDescent="0.2">
      <c r="A1631" t="s">
        <v>180</v>
      </c>
      <c r="B1631" t="s">
        <v>181</v>
      </c>
      <c r="C1631" t="s">
        <v>433</v>
      </c>
      <c r="D1631" t="s">
        <v>434</v>
      </c>
      <c r="F1631" t="str">
        <f>"254373"</f>
        <v>254373</v>
      </c>
      <c r="G1631" t="s">
        <v>49</v>
      </c>
      <c r="K1631" t="s">
        <v>427</v>
      </c>
      <c r="L1631" t="s">
        <v>52</v>
      </c>
      <c r="M1631">
        <v>136897.07999999999</v>
      </c>
      <c r="N1631">
        <v>470159.41</v>
      </c>
      <c r="O1631" t="s">
        <v>53</v>
      </c>
      <c r="P1631" t="s">
        <v>54</v>
      </c>
      <c r="AP1631" t="s">
        <v>53</v>
      </c>
      <c r="AR1631" t="s">
        <v>53</v>
      </c>
      <c r="BH1631" t="s">
        <v>53</v>
      </c>
    </row>
    <row r="1632" spans="1:112" x14ac:dyDescent="0.2">
      <c r="A1632" t="s">
        <v>180</v>
      </c>
      <c r="B1632" t="s">
        <v>181</v>
      </c>
      <c r="C1632" t="s">
        <v>433</v>
      </c>
      <c r="D1632" t="s">
        <v>426</v>
      </c>
      <c r="F1632" t="str">
        <f>"?141"</f>
        <v>?141</v>
      </c>
      <c r="G1632" t="s">
        <v>49</v>
      </c>
      <c r="K1632" t="s">
        <v>427</v>
      </c>
      <c r="L1632" t="s">
        <v>52</v>
      </c>
      <c r="M1632">
        <v>136886.03</v>
      </c>
      <c r="N1632">
        <v>470175.22</v>
      </c>
      <c r="O1632" t="s">
        <v>53</v>
      </c>
      <c r="P1632" t="s">
        <v>54</v>
      </c>
      <c r="AP1632" t="s">
        <v>53</v>
      </c>
      <c r="AR1632" t="s">
        <v>53</v>
      </c>
      <c r="BH1632" t="s">
        <v>53</v>
      </c>
    </row>
    <row r="1633" spans="1:99" x14ac:dyDescent="0.2">
      <c r="A1633" t="s">
        <v>180</v>
      </c>
      <c r="B1633" t="s">
        <v>181</v>
      </c>
      <c r="C1633" t="s">
        <v>433</v>
      </c>
      <c r="D1633" t="s">
        <v>426</v>
      </c>
      <c r="F1633" t="str">
        <f>"?142"</f>
        <v>?142</v>
      </c>
      <c r="G1633" t="s">
        <v>49</v>
      </c>
      <c r="K1633" t="s">
        <v>427</v>
      </c>
      <c r="L1633" t="s">
        <v>52</v>
      </c>
      <c r="M1633">
        <v>136898.21</v>
      </c>
      <c r="N1633">
        <v>470188.93</v>
      </c>
      <c r="O1633" t="s">
        <v>53</v>
      </c>
      <c r="P1633" t="s">
        <v>54</v>
      </c>
      <c r="AP1633" t="s">
        <v>53</v>
      </c>
      <c r="AR1633" t="s">
        <v>53</v>
      </c>
      <c r="BH1633" t="s">
        <v>53</v>
      </c>
    </row>
    <row r="1634" spans="1:99" x14ac:dyDescent="0.2">
      <c r="A1634" t="s">
        <v>180</v>
      </c>
      <c r="B1634" t="s">
        <v>181</v>
      </c>
      <c r="C1634" t="s">
        <v>433</v>
      </c>
      <c r="D1634" t="s">
        <v>426</v>
      </c>
      <c r="F1634" t="str">
        <f>"?143"</f>
        <v>?143</v>
      </c>
      <c r="G1634" t="s">
        <v>49</v>
      </c>
      <c r="K1634" t="s">
        <v>427</v>
      </c>
      <c r="L1634" t="s">
        <v>52</v>
      </c>
      <c r="M1634">
        <v>136886.09</v>
      </c>
      <c r="N1634">
        <v>470200.64</v>
      </c>
      <c r="O1634" t="s">
        <v>53</v>
      </c>
      <c r="P1634" t="s">
        <v>54</v>
      </c>
      <c r="AP1634" t="s">
        <v>53</v>
      </c>
      <c r="AR1634" t="s">
        <v>53</v>
      </c>
      <c r="BH1634" t="s">
        <v>53</v>
      </c>
    </row>
    <row r="1635" spans="1:99" x14ac:dyDescent="0.2">
      <c r="A1635" t="s">
        <v>180</v>
      </c>
      <c r="B1635" t="s">
        <v>181</v>
      </c>
      <c r="C1635" t="s">
        <v>184</v>
      </c>
      <c r="D1635" t="s">
        <v>452</v>
      </c>
      <c r="F1635" t="str">
        <f>"?145"</f>
        <v>?145</v>
      </c>
      <c r="G1635" t="s">
        <v>49</v>
      </c>
      <c r="K1635" t="s">
        <v>51</v>
      </c>
      <c r="L1635" t="s">
        <v>52</v>
      </c>
      <c r="M1635">
        <v>136811.242</v>
      </c>
      <c r="N1635">
        <v>472761.83799999999</v>
      </c>
      <c r="O1635" t="s">
        <v>53</v>
      </c>
      <c r="P1635" t="s">
        <v>54</v>
      </c>
      <c r="Q1635" t="s">
        <v>55</v>
      </c>
      <c r="T1635" t="s">
        <v>431</v>
      </c>
      <c r="U1635">
        <v>40</v>
      </c>
      <c r="V1635" s="1">
        <v>37073</v>
      </c>
      <c r="W1635" s="1">
        <v>37073</v>
      </c>
      <c r="X1635" s="1">
        <v>37073</v>
      </c>
      <c r="Y1635" s="1">
        <v>51683</v>
      </c>
      <c r="Z1635" t="s">
        <v>51</v>
      </c>
      <c r="AB1635" t="s">
        <v>54</v>
      </c>
      <c r="AC1635">
        <v>1</v>
      </c>
      <c r="AE1635" t="s">
        <v>79</v>
      </c>
      <c r="AF1635">
        <v>20</v>
      </c>
      <c r="AG1635" s="1">
        <v>37073</v>
      </c>
      <c r="AH1635" s="1">
        <v>37073</v>
      </c>
      <c r="AI1635" s="1">
        <v>37073</v>
      </c>
      <c r="AJ1635" s="1">
        <v>44378</v>
      </c>
      <c r="AK1635" t="s">
        <v>51</v>
      </c>
      <c r="AN1635">
        <v>0</v>
      </c>
      <c r="AO1635" t="s">
        <v>54</v>
      </c>
      <c r="AP1635" t="s">
        <v>53</v>
      </c>
      <c r="AQ1635">
        <v>0</v>
      </c>
      <c r="AR1635" t="s">
        <v>145</v>
      </c>
      <c r="AS1635">
        <v>0</v>
      </c>
      <c r="AT1635">
        <v>0</v>
      </c>
      <c r="AW1635" t="s">
        <v>79</v>
      </c>
      <c r="AX1635">
        <v>20</v>
      </c>
      <c r="AY1635" s="1">
        <v>37073</v>
      </c>
      <c r="AZ1635" s="1">
        <v>37073</v>
      </c>
      <c r="BA1635" s="1">
        <v>37073</v>
      </c>
      <c r="BB1635" s="1">
        <v>44378</v>
      </c>
      <c r="BC1635" t="s">
        <v>51</v>
      </c>
      <c r="BE1635" t="s">
        <v>54</v>
      </c>
      <c r="BF1635">
        <v>5</v>
      </c>
      <c r="BG1635">
        <v>0</v>
      </c>
      <c r="BH1635" t="s">
        <v>53</v>
      </c>
      <c r="BK1635" t="s">
        <v>59</v>
      </c>
      <c r="BL1635">
        <v>14000</v>
      </c>
      <c r="BM1635" s="1">
        <v>42917</v>
      </c>
      <c r="BN1635" s="1">
        <v>42917</v>
      </c>
      <c r="BO1635" s="1">
        <v>42917</v>
      </c>
      <c r="BP1635" s="1">
        <v>44117</v>
      </c>
      <c r="BQ1635" t="s">
        <v>51</v>
      </c>
      <c r="BS1635" t="s">
        <v>60</v>
      </c>
      <c r="BT1635" t="s">
        <v>54</v>
      </c>
      <c r="BU1635" t="s">
        <v>61</v>
      </c>
      <c r="BV1635" t="s">
        <v>62</v>
      </c>
      <c r="BX1635">
        <v>24</v>
      </c>
      <c r="BY1635">
        <v>0</v>
      </c>
      <c r="BZ1635">
        <v>0</v>
      </c>
    </row>
    <row r="1636" spans="1:99" x14ac:dyDescent="0.2">
      <c r="A1636" t="s">
        <v>180</v>
      </c>
      <c r="B1636" t="s">
        <v>181</v>
      </c>
      <c r="C1636" t="s">
        <v>184</v>
      </c>
      <c r="D1636" t="s">
        <v>606</v>
      </c>
      <c r="F1636" t="str">
        <f>"?146"</f>
        <v>?146</v>
      </c>
      <c r="G1636" t="s">
        <v>49</v>
      </c>
      <c r="K1636" t="s">
        <v>51</v>
      </c>
      <c r="L1636" t="s">
        <v>52</v>
      </c>
      <c r="M1636">
        <v>136650.94</v>
      </c>
      <c r="N1636">
        <v>472899.53</v>
      </c>
      <c r="O1636" t="s">
        <v>53</v>
      </c>
      <c r="P1636" t="s">
        <v>54</v>
      </c>
      <c r="Q1636" t="s">
        <v>55</v>
      </c>
      <c r="T1636" t="s">
        <v>431</v>
      </c>
      <c r="U1636">
        <v>40</v>
      </c>
      <c r="V1636" s="1">
        <v>29952</v>
      </c>
      <c r="W1636" s="1">
        <v>29952</v>
      </c>
      <c r="X1636" s="1">
        <v>29952</v>
      </c>
      <c r="Y1636" s="1">
        <v>44562</v>
      </c>
      <c r="Z1636" t="s">
        <v>51</v>
      </c>
      <c r="AB1636" t="s">
        <v>54</v>
      </c>
      <c r="AC1636">
        <v>1</v>
      </c>
      <c r="AE1636" t="s">
        <v>79</v>
      </c>
      <c r="AF1636">
        <v>20</v>
      </c>
      <c r="AG1636" s="1">
        <v>29952</v>
      </c>
      <c r="AH1636" s="1">
        <v>29952</v>
      </c>
      <c r="AI1636" s="1">
        <v>29952</v>
      </c>
      <c r="AJ1636" s="1">
        <v>37257</v>
      </c>
      <c r="AK1636" t="s">
        <v>51</v>
      </c>
      <c r="AN1636">
        <v>0</v>
      </c>
      <c r="AO1636" t="s">
        <v>54</v>
      </c>
      <c r="AP1636" t="s">
        <v>53</v>
      </c>
      <c r="AQ1636">
        <v>0</v>
      </c>
      <c r="AR1636" t="s">
        <v>145</v>
      </c>
      <c r="AS1636">
        <v>0</v>
      </c>
      <c r="AT1636">
        <v>0</v>
      </c>
      <c r="CC1636" t="s">
        <v>432</v>
      </c>
      <c r="CD1636">
        <v>85000</v>
      </c>
      <c r="CE1636" s="1">
        <v>42552</v>
      </c>
      <c r="CF1636" s="1">
        <v>42552</v>
      </c>
      <c r="CG1636" s="1">
        <v>42552</v>
      </c>
      <c r="CH1636" s="1">
        <v>49714</v>
      </c>
      <c r="CI1636" t="s">
        <v>51</v>
      </c>
      <c r="CK1636" t="s">
        <v>78</v>
      </c>
      <c r="CM1636" t="s">
        <v>54</v>
      </c>
      <c r="CN1636" t="s">
        <v>174</v>
      </c>
      <c r="CO1636" t="s">
        <v>86</v>
      </c>
      <c r="CR1636">
        <v>24</v>
      </c>
      <c r="CS1636">
        <v>0</v>
      </c>
      <c r="CT1636">
        <v>0</v>
      </c>
      <c r="CU1636">
        <v>0</v>
      </c>
    </row>
    <row r="1637" spans="1:99" x14ac:dyDescent="0.2">
      <c r="A1637" t="s">
        <v>180</v>
      </c>
      <c r="B1637" t="s">
        <v>181</v>
      </c>
      <c r="C1637" t="s">
        <v>184</v>
      </c>
      <c r="D1637" t="s">
        <v>545</v>
      </c>
      <c r="F1637" t="str">
        <f>"?147"</f>
        <v>?147</v>
      </c>
      <c r="G1637" t="s">
        <v>49</v>
      </c>
      <c r="K1637" t="s">
        <v>51</v>
      </c>
      <c r="L1637" t="s">
        <v>52</v>
      </c>
      <c r="M1637">
        <v>136263.70000000001</v>
      </c>
      <c r="N1637">
        <v>473151.24</v>
      </c>
      <c r="O1637" t="s">
        <v>53</v>
      </c>
      <c r="P1637" t="s">
        <v>54</v>
      </c>
      <c r="Q1637" t="s">
        <v>55</v>
      </c>
      <c r="T1637" t="s">
        <v>431</v>
      </c>
      <c r="U1637">
        <v>40</v>
      </c>
      <c r="V1637" s="1">
        <v>40544</v>
      </c>
      <c r="W1637" s="1">
        <v>40544</v>
      </c>
      <c r="X1637" s="1">
        <v>40544</v>
      </c>
      <c r="Y1637" s="1">
        <v>55154</v>
      </c>
      <c r="Z1637" t="s">
        <v>51</v>
      </c>
      <c r="AB1637" t="s">
        <v>54</v>
      </c>
      <c r="AC1637">
        <v>1</v>
      </c>
      <c r="AE1637" t="s">
        <v>79</v>
      </c>
      <c r="AF1637">
        <v>20</v>
      </c>
      <c r="AG1637" s="1">
        <v>40544</v>
      </c>
      <c r="AH1637" s="1">
        <v>40544</v>
      </c>
      <c r="AI1637" s="1">
        <v>40544</v>
      </c>
      <c r="AJ1637" s="1">
        <v>47849</v>
      </c>
      <c r="AK1637" t="s">
        <v>51</v>
      </c>
      <c r="AN1637">
        <v>0</v>
      </c>
      <c r="AO1637" t="s">
        <v>54</v>
      </c>
      <c r="AP1637" t="s">
        <v>53</v>
      </c>
      <c r="AQ1637">
        <v>0</v>
      </c>
      <c r="AR1637" t="s">
        <v>145</v>
      </c>
      <c r="AS1637">
        <v>0</v>
      </c>
      <c r="AT1637">
        <v>0</v>
      </c>
      <c r="AW1637" t="s">
        <v>79</v>
      </c>
      <c r="AX1637">
        <v>20</v>
      </c>
      <c r="AY1637" s="1">
        <v>40544</v>
      </c>
      <c r="AZ1637" s="1">
        <v>40544</v>
      </c>
      <c r="BA1637" s="1">
        <v>40544</v>
      </c>
      <c r="BB1637" s="1">
        <v>47849</v>
      </c>
      <c r="BC1637" t="s">
        <v>51</v>
      </c>
      <c r="BE1637" t="s">
        <v>54</v>
      </c>
      <c r="BF1637">
        <v>5</v>
      </c>
      <c r="BG1637">
        <v>0</v>
      </c>
      <c r="BH1637" t="s">
        <v>53</v>
      </c>
      <c r="BK1637" t="s">
        <v>59</v>
      </c>
      <c r="BL1637">
        <v>14000</v>
      </c>
      <c r="BM1637" s="1">
        <v>42917</v>
      </c>
      <c r="BN1637" s="1">
        <v>42917</v>
      </c>
      <c r="BO1637" s="1">
        <v>42917</v>
      </c>
      <c r="BP1637" s="1">
        <v>44117</v>
      </c>
      <c r="BQ1637" t="s">
        <v>51</v>
      </c>
      <c r="BS1637" t="s">
        <v>60</v>
      </c>
      <c r="BT1637" t="s">
        <v>54</v>
      </c>
      <c r="BU1637" t="s">
        <v>61</v>
      </c>
      <c r="BV1637" t="s">
        <v>62</v>
      </c>
      <c r="BX1637">
        <v>24</v>
      </c>
      <c r="BY1637">
        <v>0</v>
      </c>
      <c r="BZ1637">
        <v>0</v>
      </c>
    </row>
    <row r="1638" spans="1:99" x14ac:dyDescent="0.2">
      <c r="A1638" t="s">
        <v>180</v>
      </c>
      <c r="B1638" t="s">
        <v>181</v>
      </c>
      <c r="C1638" t="s">
        <v>184</v>
      </c>
      <c r="D1638" t="s">
        <v>452</v>
      </c>
      <c r="F1638" t="str">
        <f>"?150"</f>
        <v>?150</v>
      </c>
      <c r="G1638" t="s">
        <v>49</v>
      </c>
      <c r="K1638" t="s">
        <v>51</v>
      </c>
      <c r="L1638" t="s">
        <v>52</v>
      </c>
      <c r="M1638">
        <v>136794.70000000001</v>
      </c>
      <c r="N1638">
        <v>473369.96</v>
      </c>
      <c r="O1638" t="s">
        <v>53</v>
      </c>
      <c r="P1638" t="s">
        <v>54</v>
      </c>
      <c r="Q1638" t="s">
        <v>55</v>
      </c>
      <c r="T1638" t="s">
        <v>431</v>
      </c>
      <c r="U1638">
        <v>40</v>
      </c>
      <c r="V1638" s="1">
        <v>29768</v>
      </c>
      <c r="W1638" s="1">
        <v>29768</v>
      </c>
      <c r="X1638" s="1">
        <v>29768</v>
      </c>
      <c r="Y1638" s="1">
        <v>44378</v>
      </c>
      <c r="Z1638" t="s">
        <v>51</v>
      </c>
      <c r="AB1638" t="s">
        <v>54</v>
      </c>
      <c r="AC1638">
        <v>1</v>
      </c>
      <c r="AE1638" t="s">
        <v>79</v>
      </c>
      <c r="AF1638">
        <v>20</v>
      </c>
      <c r="AG1638" s="1">
        <v>34881</v>
      </c>
      <c r="AH1638" s="1">
        <v>34881</v>
      </c>
      <c r="AI1638" s="1">
        <v>34881</v>
      </c>
      <c r="AJ1638" s="1">
        <v>42186</v>
      </c>
      <c r="AK1638" t="s">
        <v>51</v>
      </c>
      <c r="AN1638">
        <v>0</v>
      </c>
      <c r="AO1638" t="s">
        <v>54</v>
      </c>
      <c r="AP1638" t="s">
        <v>53</v>
      </c>
      <c r="AQ1638">
        <v>0</v>
      </c>
      <c r="AR1638" t="s">
        <v>145</v>
      </c>
      <c r="AS1638">
        <v>0</v>
      </c>
      <c r="AT1638">
        <v>0</v>
      </c>
      <c r="AW1638" t="s">
        <v>79</v>
      </c>
      <c r="AX1638">
        <v>20</v>
      </c>
      <c r="AY1638" s="1">
        <v>34881</v>
      </c>
      <c r="AZ1638" s="1">
        <v>34881</v>
      </c>
      <c r="BA1638" s="1">
        <v>34881</v>
      </c>
      <c r="BB1638" s="1">
        <v>42186</v>
      </c>
      <c r="BC1638" t="s">
        <v>51</v>
      </c>
      <c r="BE1638" t="s">
        <v>54</v>
      </c>
      <c r="BF1638">
        <v>5</v>
      </c>
      <c r="BG1638">
        <v>0</v>
      </c>
      <c r="BH1638" t="s">
        <v>53</v>
      </c>
      <c r="BK1638" t="s">
        <v>59</v>
      </c>
      <c r="BL1638">
        <v>14000</v>
      </c>
      <c r="BM1638" s="1">
        <v>42917</v>
      </c>
      <c r="BN1638" s="1">
        <v>42917</v>
      </c>
      <c r="BO1638" s="1">
        <v>42917</v>
      </c>
      <c r="BP1638" s="1">
        <v>44117</v>
      </c>
      <c r="BQ1638" t="s">
        <v>51</v>
      </c>
      <c r="BS1638" t="s">
        <v>60</v>
      </c>
      <c r="BT1638" t="s">
        <v>54</v>
      </c>
      <c r="BU1638" t="s">
        <v>61</v>
      </c>
      <c r="BV1638" t="s">
        <v>62</v>
      </c>
      <c r="BX1638">
        <v>24</v>
      </c>
      <c r="BY1638">
        <v>0</v>
      </c>
      <c r="BZ1638">
        <v>0</v>
      </c>
    </row>
    <row r="1639" spans="1:99" x14ac:dyDescent="0.2">
      <c r="A1639" t="s">
        <v>180</v>
      </c>
      <c r="B1639" t="s">
        <v>181</v>
      </c>
      <c r="C1639" t="s">
        <v>184</v>
      </c>
      <c r="D1639" t="s">
        <v>584</v>
      </c>
      <c r="F1639" t="str">
        <f>"?153"</f>
        <v>?153</v>
      </c>
      <c r="G1639" t="s">
        <v>49</v>
      </c>
      <c r="K1639" t="s">
        <v>586</v>
      </c>
      <c r="L1639" t="s">
        <v>52</v>
      </c>
      <c r="M1639">
        <v>136079.42000000001</v>
      </c>
      <c r="N1639">
        <v>472749.33</v>
      </c>
      <c r="O1639" t="s">
        <v>53</v>
      </c>
      <c r="P1639" t="s">
        <v>54</v>
      </c>
      <c r="AP1639" t="s">
        <v>53</v>
      </c>
      <c r="AR1639" t="s">
        <v>53</v>
      </c>
      <c r="BH1639" t="s">
        <v>53</v>
      </c>
    </row>
    <row r="1640" spans="1:99" x14ac:dyDescent="0.2">
      <c r="A1640" t="s">
        <v>180</v>
      </c>
      <c r="B1640" t="s">
        <v>181</v>
      </c>
      <c r="C1640" t="s">
        <v>184</v>
      </c>
      <c r="D1640" t="s">
        <v>584</v>
      </c>
      <c r="F1640" t="str">
        <f>"?154"</f>
        <v>?154</v>
      </c>
      <c r="G1640" t="s">
        <v>49</v>
      </c>
      <c r="K1640" t="s">
        <v>586</v>
      </c>
      <c r="L1640" t="s">
        <v>52</v>
      </c>
      <c r="M1640">
        <v>136087.67000000001</v>
      </c>
      <c r="N1640">
        <v>472765.02</v>
      </c>
      <c r="O1640" t="s">
        <v>53</v>
      </c>
      <c r="P1640" t="s">
        <v>54</v>
      </c>
      <c r="AP1640" t="s">
        <v>53</v>
      </c>
      <c r="AR1640" t="s">
        <v>53</v>
      </c>
      <c r="BH1640" t="s">
        <v>53</v>
      </c>
    </row>
    <row r="1641" spans="1:99" x14ac:dyDescent="0.2">
      <c r="A1641" t="s">
        <v>180</v>
      </c>
      <c r="B1641" t="s">
        <v>181</v>
      </c>
      <c r="C1641" t="s">
        <v>184</v>
      </c>
      <c r="D1641" t="s">
        <v>584</v>
      </c>
      <c r="F1641" t="str">
        <f>"?155"</f>
        <v>?155</v>
      </c>
      <c r="G1641" t="s">
        <v>49</v>
      </c>
      <c r="K1641" t="s">
        <v>586</v>
      </c>
      <c r="L1641" t="s">
        <v>52</v>
      </c>
      <c r="M1641">
        <v>136099.39000000001</v>
      </c>
      <c r="N1641">
        <v>472755.22</v>
      </c>
      <c r="O1641" t="s">
        <v>53</v>
      </c>
      <c r="P1641" t="s">
        <v>54</v>
      </c>
      <c r="AP1641" t="s">
        <v>53</v>
      </c>
      <c r="AR1641" t="s">
        <v>53</v>
      </c>
      <c r="BH1641" t="s">
        <v>53</v>
      </c>
    </row>
    <row r="1642" spans="1:99" x14ac:dyDescent="0.2">
      <c r="A1642" t="s">
        <v>180</v>
      </c>
      <c r="B1642" t="s">
        <v>181</v>
      </c>
      <c r="C1642" t="s">
        <v>184</v>
      </c>
      <c r="D1642" t="s">
        <v>584</v>
      </c>
      <c r="F1642" t="str">
        <f>"?156"</f>
        <v>?156</v>
      </c>
      <c r="G1642" t="s">
        <v>49</v>
      </c>
      <c r="K1642" t="s">
        <v>586</v>
      </c>
      <c r="L1642" t="s">
        <v>52</v>
      </c>
      <c r="M1642">
        <v>136108.82</v>
      </c>
      <c r="N1642">
        <v>472765.09</v>
      </c>
      <c r="O1642" t="s">
        <v>53</v>
      </c>
      <c r="P1642" t="s">
        <v>54</v>
      </c>
      <c r="AP1642" t="s">
        <v>53</v>
      </c>
      <c r="AR1642" t="s">
        <v>53</v>
      </c>
      <c r="BH1642" t="s">
        <v>53</v>
      </c>
    </row>
    <row r="1643" spans="1:99" x14ac:dyDescent="0.2">
      <c r="A1643" t="s">
        <v>180</v>
      </c>
      <c r="B1643" t="s">
        <v>181</v>
      </c>
      <c r="C1643" t="s">
        <v>184</v>
      </c>
      <c r="D1643" t="s">
        <v>584</v>
      </c>
      <c r="F1643" t="str">
        <f>"?162"</f>
        <v>?162</v>
      </c>
      <c r="G1643" t="s">
        <v>49</v>
      </c>
      <c r="K1643" t="s">
        <v>586</v>
      </c>
      <c r="L1643" t="s">
        <v>52</v>
      </c>
      <c r="M1643">
        <v>136074.137972203</v>
      </c>
      <c r="N1643">
        <v>472659.13394108298</v>
      </c>
      <c r="O1643" t="s">
        <v>53</v>
      </c>
      <c r="P1643" t="s">
        <v>54</v>
      </c>
      <c r="AP1643" t="s">
        <v>53</v>
      </c>
      <c r="AR1643" t="s">
        <v>53</v>
      </c>
      <c r="BH1643" t="s">
        <v>53</v>
      </c>
    </row>
    <row r="1644" spans="1:99" x14ac:dyDescent="0.2">
      <c r="A1644" t="s">
        <v>180</v>
      </c>
      <c r="B1644" t="s">
        <v>181</v>
      </c>
      <c r="C1644" t="s">
        <v>184</v>
      </c>
      <c r="D1644" t="s">
        <v>470</v>
      </c>
      <c r="F1644" t="str">
        <f>"?163"</f>
        <v>?163</v>
      </c>
      <c r="G1644" t="s">
        <v>49</v>
      </c>
      <c r="K1644" t="s">
        <v>51</v>
      </c>
      <c r="L1644" t="s">
        <v>52</v>
      </c>
      <c r="M1644">
        <v>136848.78</v>
      </c>
      <c r="N1644">
        <v>471350.12</v>
      </c>
      <c r="O1644" t="s">
        <v>53</v>
      </c>
      <c r="P1644" t="s">
        <v>54</v>
      </c>
      <c r="Q1644" t="s">
        <v>55</v>
      </c>
      <c r="T1644" t="s">
        <v>431</v>
      </c>
      <c r="U1644">
        <v>40</v>
      </c>
      <c r="V1644" s="1">
        <v>37073</v>
      </c>
      <c r="W1644" s="1">
        <v>37073</v>
      </c>
      <c r="X1644" s="1">
        <v>37073</v>
      </c>
      <c r="Y1644" s="1">
        <v>51683</v>
      </c>
      <c r="Z1644" t="s">
        <v>51</v>
      </c>
      <c r="AB1644" t="s">
        <v>54</v>
      </c>
      <c r="AC1644">
        <v>1</v>
      </c>
      <c r="AE1644" t="s">
        <v>79</v>
      </c>
      <c r="AF1644">
        <v>20</v>
      </c>
      <c r="AG1644" s="1">
        <v>37073</v>
      </c>
      <c r="AH1644" s="1">
        <v>37073</v>
      </c>
      <c r="AI1644" s="1">
        <v>37073</v>
      </c>
      <c r="AJ1644" s="1">
        <v>44378</v>
      </c>
      <c r="AK1644" t="s">
        <v>51</v>
      </c>
      <c r="AN1644">
        <v>0</v>
      </c>
      <c r="AO1644" t="s">
        <v>54</v>
      </c>
      <c r="AP1644" t="s">
        <v>53</v>
      </c>
      <c r="AQ1644">
        <v>0</v>
      </c>
      <c r="AR1644" t="s">
        <v>145</v>
      </c>
      <c r="AS1644">
        <v>0</v>
      </c>
      <c r="AT1644">
        <v>0</v>
      </c>
      <c r="AW1644" t="s">
        <v>79</v>
      </c>
      <c r="AX1644">
        <v>20</v>
      </c>
      <c r="AY1644" s="1">
        <v>37073</v>
      </c>
      <c r="AZ1644" s="1">
        <v>37073</v>
      </c>
      <c r="BA1644" s="1">
        <v>37073</v>
      </c>
      <c r="BB1644" s="1">
        <v>44378</v>
      </c>
      <c r="BC1644" t="s">
        <v>51</v>
      </c>
      <c r="BE1644" t="s">
        <v>54</v>
      </c>
      <c r="BF1644">
        <v>5</v>
      </c>
      <c r="BG1644">
        <v>0</v>
      </c>
      <c r="BH1644" t="s">
        <v>53</v>
      </c>
      <c r="BK1644" t="s">
        <v>59</v>
      </c>
      <c r="BL1644">
        <v>14000</v>
      </c>
      <c r="BM1644" s="1">
        <v>42917</v>
      </c>
      <c r="BN1644" s="1">
        <v>42917</v>
      </c>
      <c r="BO1644" s="1">
        <v>42917</v>
      </c>
      <c r="BP1644" s="1">
        <v>44117</v>
      </c>
      <c r="BQ1644" t="s">
        <v>51</v>
      </c>
      <c r="BS1644" t="s">
        <v>60</v>
      </c>
      <c r="BT1644" t="s">
        <v>54</v>
      </c>
      <c r="BU1644" t="s">
        <v>61</v>
      </c>
      <c r="BV1644" t="s">
        <v>62</v>
      </c>
      <c r="BX1644">
        <v>24</v>
      </c>
      <c r="BY1644">
        <v>0</v>
      </c>
      <c r="BZ1644">
        <v>0</v>
      </c>
    </row>
    <row r="1645" spans="1:99" x14ac:dyDescent="0.2">
      <c r="A1645" t="s">
        <v>180</v>
      </c>
      <c r="B1645" t="s">
        <v>181</v>
      </c>
      <c r="C1645" t="s">
        <v>433</v>
      </c>
      <c r="D1645" t="s">
        <v>426</v>
      </c>
      <c r="F1645" t="str">
        <f>"?175"</f>
        <v>?175</v>
      </c>
      <c r="G1645" t="s">
        <v>49</v>
      </c>
      <c r="K1645" t="s">
        <v>427</v>
      </c>
      <c r="L1645" t="s">
        <v>52</v>
      </c>
      <c r="M1645">
        <v>136750.46</v>
      </c>
      <c r="N1645">
        <v>470200.04</v>
      </c>
      <c r="O1645" t="s">
        <v>53</v>
      </c>
      <c r="P1645" t="s">
        <v>54</v>
      </c>
      <c r="AP1645" t="s">
        <v>53</v>
      </c>
      <c r="AR1645" t="s">
        <v>53</v>
      </c>
      <c r="BH1645" t="s">
        <v>53</v>
      </c>
    </row>
    <row r="1646" spans="1:99" x14ac:dyDescent="0.2">
      <c r="A1646" t="s">
        <v>180</v>
      </c>
      <c r="B1646" t="s">
        <v>181</v>
      </c>
      <c r="C1646" t="s">
        <v>433</v>
      </c>
      <c r="D1646" t="s">
        <v>426</v>
      </c>
      <c r="F1646" t="str">
        <f>"?176"</f>
        <v>?176</v>
      </c>
      <c r="G1646" t="s">
        <v>49</v>
      </c>
      <c r="K1646" t="s">
        <v>427</v>
      </c>
      <c r="L1646" t="s">
        <v>52</v>
      </c>
      <c r="M1646">
        <v>136707.93</v>
      </c>
      <c r="N1646">
        <v>470212.6</v>
      </c>
      <c r="O1646" t="s">
        <v>53</v>
      </c>
      <c r="P1646" t="s">
        <v>54</v>
      </c>
      <c r="AP1646" t="s">
        <v>53</v>
      </c>
      <c r="AR1646" t="s">
        <v>53</v>
      </c>
      <c r="BH1646" t="s">
        <v>53</v>
      </c>
    </row>
    <row r="1647" spans="1:99" x14ac:dyDescent="0.2">
      <c r="A1647" t="s">
        <v>180</v>
      </c>
      <c r="B1647" t="s">
        <v>181</v>
      </c>
      <c r="C1647" t="s">
        <v>184</v>
      </c>
      <c r="D1647" t="s">
        <v>470</v>
      </c>
      <c r="F1647" t="str">
        <f>"?177"</f>
        <v>?177</v>
      </c>
      <c r="G1647" t="s">
        <v>49</v>
      </c>
      <c r="K1647" t="s">
        <v>51</v>
      </c>
      <c r="L1647" t="s">
        <v>52</v>
      </c>
      <c r="M1647">
        <v>136859.17199999999</v>
      </c>
      <c r="N1647">
        <v>470645.68</v>
      </c>
      <c r="O1647" t="s">
        <v>53</v>
      </c>
      <c r="P1647" t="s">
        <v>54</v>
      </c>
      <c r="Q1647" t="s">
        <v>55</v>
      </c>
      <c r="T1647" t="s">
        <v>431</v>
      </c>
      <c r="U1647">
        <v>40</v>
      </c>
      <c r="V1647" s="1">
        <v>37073</v>
      </c>
      <c r="W1647" s="1">
        <v>37073</v>
      </c>
      <c r="X1647" s="1">
        <v>37073</v>
      </c>
      <c r="Y1647" s="1">
        <v>51683</v>
      </c>
      <c r="Z1647" t="s">
        <v>51</v>
      </c>
      <c r="AB1647" t="s">
        <v>54</v>
      </c>
      <c r="AC1647">
        <v>1</v>
      </c>
      <c r="AE1647" t="s">
        <v>79</v>
      </c>
      <c r="AF1647">
        <v>20</v>
      </c>
      <c r="AG1647" s="1">
        <v>37073</v>
      </c>
      <c r="AH1647" s="1">
        <v>37073</v>
      </c>
      <c r="AI1647" s="1">
        <v>37073</v>
      </c>
      <c r="AJ1647" s="1">
        <v>44378</v>
      </c>
      <c r="AK1647" t="s">
        <v>51</v>
      </c>
      <c r="AN1647">
        <v>0</v>
      </c>
      <c r="AO1647" t="s">
        <v>54</v>
      </c>
      <c r="AP1647" t="s">
        <v>53</v>
      </c>
      <c r="AQ1647">
        <v>0</v>
      </c>
      <c r="AR1647" t="s">
        <v>145</v>
      </c>
      <c r="AS1647">
        <v>0</v>
      </c>
      <c r="AT1647">
        <v>0</v>
      </c>
      <c r="AW1647" t="s">
        <v>79</v>
      </c>
      <c r="AX1647">
        <v>20</v>
      </c>
      <c r="AY1647" s="1">
        <v>37073</v>
      </c>
      <c r="AZ1647" s="1">
        <v>37073</v>
      </c>
      <c r="BA1647" s="1">
        <v>37073</v>
      </c>
      <c r="BB1647" s="1">
        <v>44378</v>
      </c>
      <c r="BC1647" t="s">
        <v>51</v>
      </c>
      <c r="BE1647" t="s">
        <v>54</v>
      </c>
      <c r="BF1647">
        <v>5</v>
      </c>
      <c r="BG1647">
        <v>0</v>
      </c>
      <c r="BH1647" t="s">
        <v>53</v>
      </c>
      <c r="BK1647" t="s">
        <v>59</v>
      </c>
      <c r="BL1647">
        <v>14000</v>
      </c>
      <c r="BM1647" s="1">
        <v>42917</v>
      </c>
      <c r="BN1647" s="1">
        <v>42917</v>
      </c>
      <c r="BO1647" s="1">
        <v>42917</v>
      </c>
      <c r="BP1647" s="1">
        <v>44117</v>
      </c>
      <c r="BQ1647" t="s">
        <v>51</v>
      </c>
      <c r="BS1647" t="s">
        <v>60</v>
      </c>
      <c r="BT1647" t="s">
        <v>54</v>
      </c>
      <c r="BU1647" t="s">
        <v>61</v>
      </c>
      <c r="BV1647" t="s">
        <v>62</v>
      </c>
      <c r="BX1647">
        <v>24</v>
      </c>
      <c r="BY1647">
        <v>0</v>
      </c>
      <c r="BZ1647">
        <v>0</v>
      </c>
    </row>
    <row r="1648" spans="1:99" x14ac:dyDescent="0.2">
      <c r="A1648" t="s">
        <v>180</v>
      </c>
      <c r="B1648" t="s">
        <v>181</v>
      </c>
      <c r="C1648" t="s">
        <v>182</v>
      </c>
      <c r="D1648" t="s">
        <v>513</v>
      </c>
      <c r="F1648" t="str">
        <f>"190 Hilversum"</f>
        <v>190 Hilversum</v>
      </c>
      <c r="G1648" t="s">
        <v>49</v>
      </c>
      <c r="K1648" t="s">
        <v>51</v>
      </c>
      <c r="L1648" t="s">
        <v>52</v>
      </c>
      <c r="M1648">
        <v>134377.32999999999</v>
      </c>
      <c r="N1648">
        <v>470984.34</v>
      </c>
      <c r="O1648" t="s">
        <v>53</v>
      </c>
      <c r="P1648" t="s">
        <v>54</v>
      </c>
      <c r="Q1648" t="s">
        <v>55</v>
      </c>
      <c r="S1648" t="s">
        <v>514</v>
      </c>
      <c r="T1648" t="s">
        <v>514</v>
      </c>
      <c r="U1648">
        <v>30</v>
      </c>
      <c r="V1648" s="1">
        <v>44197</v>
      </c>
      <c r="W1648" s="1">
        <v>44197</v>
      </c>
      <c r="X1648" s="1">
        <v>44197</v>
      </c>
      <c r="Y1648" s="1">
        <v>55154</v>
      </c>
      <c r="Z1648" t="s">
        <v>51</v>
      </c>
      <c r="AB1648" t="s">
        <v>54</v>
      </c>
      <c r="AC1648">
        <v>1</v>
      </c>
      <c r="AE1648" t="s">
        <v>515</v>
      </c>
      <c r="AF1648">
        <v>20</v>
      </c>
      <c r="AG1648" s="1">
        <v>44197</v>
      </c>
      <c r="AH1648" s="1">
        <v>44197</v>
      </c>
      <c r="AI1648" s="1">
        <v>44197</v>
      </c>
      <c r="AJ1648" s="1">
        <v>51502</v>
      </c>
      <c r="AK1648" t="s">
        <v>51</v>
      </c>
      <c r="AN1648">
        <v>0</v>
      </c>
      <c r="AO1648" t="s">
        <v>54</v>
      </c>
      <c r="AP1648" t="s">
        <v>53</v>
      </c>
      <c r="AQ1648">
        <v>0</v>
      </c>
      <c r="AR1648" t="s">
        <v>53</v>
      </c>
      <c r="AS1648">
        <v>0</v>
      </c>
      <c r="AT1648">
        <v>0</v>
      </c>
      <c r="CC1648" t="s">
        <v>432</v>
      </c>
      <c r="CD1648">
        <v>85000</v>
      </c>
      <c r="CE1648" s="1">
        <v>44197</v>
      </c>
      <c r="CF1648" s="1">
        <v>44197</v>
      </c>
      <c r="CG1648" s="1">
        <v>44197</v>
      </c>
      <c r="CH1648" s="1">
        <v>51826</v>
      </c>
      <c r="CI1648" t="s">
        <v>51</v>
      </c>
      <c r="CK1648" t="s">
        <v>78</v>
      </c>
      <c r="CM1648" t="s">
        <v>54</v>
      </c>
      <c r="CN1648" t="s">
        <v>174</v>
      </c>
      <c r="CO1648" t="s">
        <v>86</v>
      </c>
      <c r="CR1648">
        <v>24</v>
      </c>
      <c r="CS1648">
        <v>0</v>
      </c>
      <c r="CT1648">
        <v>0</v>
      </c>
      <c r="CU1648">
        <v>0</v>
      </c>
    </row>
    <row r="1649" spans="1:99" x14ac:dyDescent="0.2">
      <c r="A1649" t="s">
        <v>180</v>
      </c>
      <c r="B1649" t="s">
        <v>181</v>
      </c>
      <c r="C1649" t="s">
        <v>182</v>
      </c>
      <c r="D1649" t="s">
        <v>513</v>
      </c>
      <c r="F1649" t="str">
        <f>"?191 Hilversum"</f>
        <v>?191 Hilversum</v>
      </c>
      <c r="G1649" t="s">
        <v>49</v>
      </c>
      <c r="K1649" t="s">
        <v>429</v>
      </c>
      <c r="L1649" t="s">
        <v>52</v>
      </c>
      <c r="M1649">
        <v>134429.69</v>
      </c>
      <c r="N1649">
        <v>471022.53</v>
      </c>
      <c r="O1649" t="s">
        <v>53</v>
      </c>
      <c r="P1649" t="s">
        <v>54</v>
      </c>
      <c r="Q1649" t="s">
        <v>55</v>
      </c>
      <c r="S1649" t="s">
        <v>514</v>
      </c>
      <c r="T1649" t="s">
        <v>514</v>
      </c>
      <c r="U1649">
        <v>30</v>
      </c>
      <c r="V1649" s="1">
        <v>44197</v>
      </c>
      <c r="W1649" s="1">
        <v>44197</v>
      </c>
      <c r="X1649" s="1">
        <v>44197</v>
      </c>
      <c r="Y1649" s="1">
        <v>55154</v>
      </c>
      <c r="Z1649" t="s">
        <v>51</v>
      </c>
      <c r="AB1649" t="s">
        <v>54</v>
      </c>
      <c r="AC1649">
        <v>1</v>
      </c>
      <c r="AE1649" t="s">
        <v>515</v>
      </c>
      <c r="AF1649">
        <v>20</v>
      </c>
      <c r="AG1649" s="1">
        <v>44197</v>
      </c>
      <c r="AH1649" s="1">
        <v>44197</v>
      </c>
      <c r="AI1649" s="1">
        <v>44197</v>
      </c>
      <c r="AJ1649" s="1">
        <v>51502</v>
      </c>
      <c r="AK1649" t="s">
        <v>51</v>
      </c>
      <c r="AN1649">
        <v>0</v>
      </c>
      <c r="AO1649" t="s">
        <v>54</v>
      </c>
      <c r="AP1649" t="s">
        <v>53</v>
      </c>
      <c r="AQ1649">
        <v>0</v>
      </c>
      <c r="AR1649" t="s">
        <v>53</v>
      </c>
      <c r="AS1649">
        <v>0</v>
      </c>
      <c r="AT1649">
        <v>0</v>
      </c>
      <c r="CC1649" t="s">
        <v>432</v>
      </c>
      <c r="CD1649">
        <v>85000</v>
      </c>
      <c r="CE1649" s="1">
        <v>44197</v>
      </c>
      <c r="CF1649" s="1">
        <v>44197</v>
      </c>
      <c r="CG1649" s="1">
        <v>44197</v>
      </c>
      <c r="CH1649" s="1">
        <v>51826</v>
      </c>
      <c r="CI1649" t="s">
        <v>51</v>
      </c>
      <c r="CK1649" t="s">
        <v>78</v>
      </c>
      <c r="CM1649" t="s">
        <v>54</v>
      </c>
      <c r="CN1649" t="s">
        <v>174</v>
      </c>
      <c r="CO1649" t="s">
        <v>86</v>
      </c>
      <c r="CR1649">
        <v>24</v>
      </c>
      <c r="CS1649">
        <v>0</v>
      </c>
      <c r="CT1649">
        <v>0</v>
      </c>
      <c r="CU1649">
        <v>0</v>
      </c>
    </row>
    <row r="1650" spans="1:99" x14ac:dyDescent="0.2">
      <c r="A1650" t="s">
        <v>180</v>
      </c>
      <c r="B1650" t="s">
        <v>181</v>
      </c>
      <c r="C1650" t="s">
        <v>182</v>
      </c>
      <c r="D1650" t="s">
        <v>513</v>
      </c>
      <c r="F1650" t="str">
        <f>"193 Hilversum"</f>
        <v>193 Hilversum</v>
      </c>
      <c r="G1650" t="s">
        <v>49</v>
      </c>
      <c r="K1650" t="s">
        <v>51</v>
      </c>
      <c r="L1650" t="s">
        <v>52</v>
      </c>
      <c r="M1650">
        <v>134530.93</v>
      </c>
      <c r="N1650">
        <v>471085.6</v>
      </c>
      <c r="O1650" t="s">
        <v>53</v>
      </c>
      <c r="P1650" t="s">
        <v>54</v>
      </c>
      <c r="Q1650" t="s">
        <v>55</v>
      </c>
      <c r="S1650" t="s">
        <v>514</v>
      </c>
      <c r="T1650" t="s">
        <v>514</v>
      </c>
      <c r="U1650">
        <v>30</v>
      </c>
      <c r="V1650" s="1">
        <v>44197</v>
      </c>
      <c r="W1650" s="1">
        <v>44197</v>
      </c>
      <c r="X1650" s="1">
        <v>44197</v>
      </c>
      <c r="Y1650" s="1">
        <v>55154</v>
      </c>
      <c r="Z1650" t="s">
        <v>51</v>
      </c>
      <c r="AB1650" t="s">
        <v>54</v>
      </c>
      <c r="AC1650">
        <v>1</v>
      </c>
      <c r="AE1650" t="s">
        <v>515</v>
      </c>
      <c r="AF1650">
        <v>20</v>
      </c>
      <c r="AG1650" s="1">
        <v>44197</v>
      </c>
      <c r="AH1650" s="1">
        <v>44197</v>
      </c>
      <c r="AI1650" s="1">
        <v>44197</v>
      </c>
      <c r="AJ1650" s="1">
        <v>51502</v>
      </c>
      <c r="AK1650" t="s">
        <v>51</v>
      </c>
      <c r="AN1650">
        <v>0</v>
      </c>
      <c r="AO1650" t="s">
        <v>54</v>
      </c>
      <c r="AP1650" t="s">
        <v>53</v>
      </c>
      <c r="AQ1650">
        <v>0</v>
      </c>
      <c r="AR1650" t="s">
        <v>53</v>
      </c>
      <c r="AS1650">
        <v>0</v>
      </c>
      <c r="AT1650">
        <v>0</v>
      </c>
      <c r="CC1650" t="s">
        <v>432</v>
      </c>
      <c r="CD1650">
        <v>85000</v>
      </c>
      <c r="CE1650" s="1">
        <v>44197</v>
      </c>
      <c r="CF1650" s="1">
        <v>44197</v>
      </c>
      <c r="CG1650" s="1">
        <v>44197</v>
      </c>
      <c r="CH1650" s="1">
        <v>51826</v>
      </c>
      <c r="CI1650" t="s">
        <v>51</v>
      </c>
      <c r="CK1650" t="s">
        <v>78</v>
      </c>
      <c r="CM1650" t="s">
        <v>54</v>
      </c>
      <c r="CN1650" t="s">
        <v>174</v>
      </c>
      <c r="CO1650" t="s">
        <v>86</v>
      </c>
      <c r="CR1650">
        <v>24</v>
      </c>
      <c r="CS1650">
        <v>0</v>
      </c>
      <c r="CT1650">
        <v>0</v>
      </c>
      <c r="CU1650">
        <v>0</v>
      </c>
    </row>
    <row r="1651" spans="1:99" x14ac:dyDescent="0.2">
      <c r="A1651" t="s">
        <v>180</v>
      </c>
      <c r="B1651" t="s">
        <v>181</v>
      </c>
      <c r="C1651" t="s">
        <v>182</v>
      </c>
      <c r="D1651" t="s">
        <v>513</v>
      </c>
      <c r="F1651" t="str">
        <f>"?194 Hilversum"</f>
        <v>?194 Hilversum</v>
      </c>
      <c r="G1651" t="s">
        <v>49</v>
      </c>
      <c r="K1651" t="s">
        <v>429</v>
      </c>
      <c r="L1651" t="s">
        <v>52</v>
      </c>
      <c r="M1651">
        <v>134500.38</v>
      </c>
      <c r="N1651">
        <v>471076.78</v>
      </c>
      <c r="O1651" t="s">
        <v>53</v>
      </c>
      <c r="P1651" t="s">
        <v>54</v>
      </c>
      <c r="Q1651" t="s">
        <v>55</v>
      </c>
      <c r="S1651" t="s">
        <v>514</v>
      </c>
      <c r="T1651" t="s">
        <v>514</v>
      </c>
      <c r="U1651">
        <v>30</v>
      </c>
      <c r="V1651" s="1">
        <v>44197</v>
      </c>
      <c r="W1651" s="1">
        <v>44197</v>
      </c>
      <c r="X1651" s="1">
        <v>44197</v>
      </c>
      <c r="Y1651" s="1">
        <v>55154</v>
      </c>
      <c r="Z1651" t="s">
        <v>51</v>
      </c>
      <c r="AB1651" t="s">
        <v>54</v>
      </c>
      <c r="AC1651">
        <v>1</v>
      </c>
      <c r="AE1651" t="s">
        <v>515</v>
      </c>
      <c r="AF1651">
        <v>20</v>
      </c>
      <c r="AG1651" s="1">
        <v>44197</v>
      </c>
      <c r="AH1651" s="1">
        <v>44197</v>
      </c>
      <c r="AI1651" s="1">
        <v>44197</v>
      </c>
      <c r="AJ1651" s="1">
        <v>51502</v>
      </c>
      <c r="AK1651" t="s">
        <v>51</v>
      </c>
      <c r="AN1651">
        <v>0</v>
      </c>
      <c r="AO1651" t="s">
        <v>54</v>
      </c>
      <c r="AP1651" t="s">
        <v>53</v>
      </c>
      <c r="AQ1651">
        <v>0</v>
      </c>
      <c r="AR1651" t="s">
        <v>53</v>
      </c>
      <c r="AS1651">
        <v>0</v>
      </c>
      <c r="AT1651">
        <v>0</v>
      </c>
      <c r="CC1651" t="s">
        <v>432</v>
      </c>
      <c r="CD1651">
        <v>85000</v>
      </c>
      <c r="CE1651" s="1">
        <v>44197</v>
      </c>
      <c r="CF1651" s="1">
        <v>44197</v>
      </c>
      <c r="CG1651" s="1">
        <v>44197</v>
      </c>
      <c r="CH1651" s="1">
        <v>51826</v>
      </c>
      <c r="CI1651" t="s">
        <v>51</v>
      </c>
      <c r="CK1651" t="s">
        <v>78</v>
      </c>
      <c r="CM1651" t="s">
        <v>54</v>
      </c>
      <c r="CN1651" t="s">
        <v>174</v>
      </c>
      <c r="CO1651" t="s">
        <v>86</v>
      </c>
      <c r="CR1651">
        <v>24</v>
      </c>
      <c r="CS1651">
        <v>0</v>
      </c>
      <c r="CT1651">
        <v>0</v>
      </c>
      <c r="CU1651">
        <v>0</v>
      </c>
    </row>
    <row r="1652" spans="1:99" x14ac:dyDescent="0.2">
      <c r="A1652" t="s">
        <v>180</v>
      </c>
      <c r="B1652" t="s">
        <v>181</v>
      </c>
      <c r="C1652" t="s">
        <v>182</v>
      </c>
      <c r="D1652" t="s">
        <v>513</v>
      </c>
      <c r="F1652" t="str">
        <f>"?195 Hilversum"</f>
        <v>?195 Hilversum</v>
      </c>
      <c r="G1652" t="s">
        <v>49</v>
      </c>
      <c r="K1652" t="s">
        <v>429</v>
      </c>
      <c r="L1652" t="s">
        <v>52</v>
      </c>
      <c r="M1652">
        <v>134517.07999999999</v>
      </c>
      <c r="N1652">
        <v>471052.97</v>
      </c>
      <c r="O1652" t="s">
        <v>53</v>
      </c>
      <c r="P1652" t="s">
        <v>54</v>
      </c>
      <c r="AP1652" t="s">
        <v>53</v>
      </c>
      <c r="AR1652" t="s">
        <v>53</v>
      </c>
      <c r="BH1652" t="s">
        <v>53</v>
      </c>
    </row>
    <row r="1653" spans="1:99" x14ac:dyDescent="0.2">
      <c r="A1653" t="s">
        <v>180</v>
      </c>
      <c r="B1653" t="s">
        <v>181</v>
      </c>
      <c r="C1653" t="s">
        <v>184</v>
      </c>
      <c r="D1653" t="s">
        <v>513</v>
      </c>
      <c r="F1653" t="str">
        <f>"?196 Hilversum"</f>
        <v>?196 Hilversum</v>
      </c>
      <c r="G1653" t="s">
        <v>49</v>
      </c>
      <c r="K1653" t="s">
        <v>429</v>
      </c>
      <c r="L1653" t="s">
        <v>52</v>
      </c>
      <c r="M1653">
        <v>134486.12</v>
      </c>
      <c r="N1653">
        <v>470994.79</v>
      </c>
      <c r="O1653" t="s">
        <v>53</v>
      </c>
      <c r="P1653" t="s">
        <v>54</v>
      </c>
      <c r="AP1653" t="s">
        <v>53</v>
      </c>
      <c r="AR1653" t="s">
        <v>53</v>
      </c>
      <c r="BH1653" t="s">
        <v>53</v>
      </c>
    </row>
    <row r="1654" spans="1:99" x14ac:dyDescent="0.2">
      <c r="A1654" t="s">
        <v>180</v>
      </c>
      <c r="B1654" t="s">
        <v>181</v>
      </c>
      <c r="C1654" t="s">
        <v>184</v>
      </c>
      <c r="D1654" t="s">
        <v>513</v>
      </c>
      <c r="F1654" t="str">
        <f>"?197 Hilversum"</f>
        <v>?197 Hilversum</v>
      </c>
      <c r="G1654" t="s">
        <v>49</v>
      </c>
      <c r="K1654" t="s">
        <v>429</v>
      </c>
      <c r="L1654" t="s">
        <v>52</v>
      </c>
      <c r="M1654">
        <v>134504.32000000001</v>
      </c>
      <c r="N1654">
        <v>471028.27</v>
      </c>
      <c r="O1654" t="s">
        <v>53</v>
      </c>
      <c r="P1654" t="s">
        <v>54</v>
      </c>
      <c r="AP1654" t="s">
        <v>53</v>
      </c>
      <c r="AR1654" t="s">
        <v>53</v>
      </c>
      <c r="BH1654" t="s">
        <v>53</v>
      </c>
    </row>
    <row r="1655" spans="1:99" x14ac:dyDescent="0.2">
      <c r="A1655" t="s">
        <v>180</v>
      </c>
      <c r="B1655" t="s">
        <v>181</v>
      </c>
      <c r="C1655" t="s">
        <v>182</v>
      </c>
      <c r="D1655" t="s">
        <v>513</v>
      </c>
      <c r="F1655" t="str">
        <f>"?198 Hilversum"</f>
        <v>?198 Hilversum</v>
      </c>
      <c r="G1655" t="s">
        <v>49</v>
      </c>
      <c r="K1655" t="s">
        <v>429</v>
      </c>
      <c r="L1655" t="s">
        <v>52</v>
      </c>
      <c r="M1655">
        <v>134446.76</v>
      </c>
      <c r="N1655">
        <v>470931.41</v>
      </c>
      <c r="O1655" t="s">
        <v>53</v>
      </c>
      <c r="P1655" t="s">
        <v>54</v>
      </c>
      <c r="AP1655" t="s">
        <v>53</v>
      </c>
      <c r="AR1655" t="s">
        <v>53</v>
      </c>
      <c r="BH1655" t="s">
        <v>53</v>
      </c>
    </row>
    <row r="1656" spans="1:99" x14ac:dyDescent="0.2">
      <c r="A1656" t="s">
        <v>180</v>
      </c>
      <c r="B1656" t="s">
        <v>181</v>
      </c>
      <c r="C1656" t="s">
        <v>182</v>
      </c>
      <c r="D1656" t="s">
        <v>513</v>
      </c>
      <c r="F1656" t="str">
        <f>"?213"</f>
        <v>?213</v>
      </c>
      <c r="G1656" t="s">
        <v>49</v>
      </c>
      <c r="K1656" t="s">
        <v>427</v>
      </c>
      <c r="L1656" t="s">
        <v>52</v>
      </c>
      <c r="M1656">
        <v>134414.07999999999</v>
      </c>
      <c r="N1656">
        <v>470879.78</v>
      </c>
      <c r="O1656" t="s">
        <v>53</v>
      </c>
      <c r="P1656" t="s">
        <v>54</v>
      </c>
      <c r="AP1656" t="s">
        <v>53</v>
      </c>
      <c r="AR1656" t="s">
        <v>53</v>
      </c>
      <c r="BH1656" t="s">
        <v>53</v>
      </c>
    </row>
    <row r="1657" spans="1:99" x14ac:dyDescent="0.2">
      <c r="A1657" t="s">
        <v>180</v>
      </c>
      <c r="B1657" t="s">
        <v>181</v>
      </c>
      <c r="C1657" t="s">
        <v>433</v>
      </c>
      <c r="D1657" t="s">
        <v>499</v>
      </c>
      <c r="F1657" t="str">
        <f>"?214"</f>
        <v>?214</v>
      </c>
      <c r="G1657" t="s">
        <v>49</v>
      </c>
      <c r="K1657" t="s">
        <v>427</v>
      </c>
      <c r="L1657" t="s">
        <v>52</v>
      </c>
      <c r="M1657">
        <v>134342.59</v>
      </c>
      <c r="N1657">
        <v>470834.02</v>
      </c>
      <c r="O1657" t="s">
        <v>53</v>
      </c>
      <c r="P1657" t="s">
        <v>54</v>
      </c>
      <c r="AP1657" t="s">
        <v>53</v>
      </c>
      <c r="AR1657" t="s">
        <v>53</v>
      </c>
      <c r="BH1657" t="s">
        <v>53</v>
      </c>
    </row>
    <row r="1658" spans="1:99" x14ac:dyDescent="0.2">
      <c r="A1658" t="s">
        <v>180</v>
      </c>
      <c r="B1658" t="s">
        <v>181</v>
      </c>
      <c r="C1658" t="s">
        <v>184</v>
      </c>
      <c r="D1658" t="s">
        <v>426</v>
      </c>
      <c r="F1658" t="str">
        <f>"?215"</f>
        <v>?215</v>
      </c>
      <c r="G1658" t="s">
        <v>49</v>
      </c>
      <c r="K1658" t="s">
        <v>427</v>
      </c>
      <c r="L1658" t="s">
        <v>52</v>
      </c>
      <c r="M1658">
        <v>134410.54999999999</v>
      </c>
      <c r="N1658">
        <v>470843.5</v>
      </c>
      <c r="O1658" t="s">
        <v>53</v>
      </c>
      <c r="P1658" t="s">
        <v>54</v>
      </c>
      <c r="AP1658" t="s">
        <v>53</v>
      </c>
      <c r="AR1658" t="s">
        <v>53</v>
      </c>
      <c r="BH1658" t="s">
        <v>53</v>
      </c>
    </row>
    <row r="1659" spans="1:99" x14ac:dyDescent="0.2">
      <c r="A1659" t="s">
        <v>180</v>
      </c>
      <c r="B1659" t="s">
        <v>181</v>
      </c>
      <c r="C1659" t="s">
        <v>433</v>
      </c>
      <c r="D1659" t="s">
        <v>426</v>
      </c>
      <c r="F1659" t="str">
        <f>"?216"</f>
        <v>?216</v>
      </c>
      <c r="G1659" t="s">
        <v>49</v>
      </c>
      <c r="K1659" t="s">
        <v>427</v>
      </c>
      <c r="L1659" t="s">
        <v>52</v>
      </c>
      <c r="M1659">
        <v>134297.26</v>
      </c>
      <c r="N1659">
        <v>470900.72</v>
      </c>
      <c r="O1659" t="s">
        <v>53</v>
      </c>
      <c r="P1659" t="s">
        <v>54</v>
      </c>
      <c r="AP1659" t="s">
        <v>53</v>
      </c>
      <c r="AR1659" t="s">
        <v>53</v>
      </c>
      <c r="BH1659" t="s">
        <v>53</v>
      </c>
    </row>
    <row r="1660" spans="1:99" x14ac:dyDescent="0.2">
      <c r="A1660" t="s">
        <v>180</v>
      </c>
      <c r="B1660" t="s">
        <v>181</v>
      </c>
      <c r="C1660" t="s">
        <v>184</v>
      </c>
      <c r="D1660" t="s">
        <v>657</v>
      </c>
      <c r="F1660" t="str">
        <f>"?250711"</f>
        <v>?250711</v>
      </c>
      <c r="G1660" t="s">
        <v>49</v>
      </c>
      <c r="K1660" t="s">
        <v>51</v>
      </c>
      <c r="L1660" t="s">
        <v>52</v>
      </c>
      <c r="M1660">
        <v>136777.29</v>
      </c>
      <c r="N1660">
        <v>472308.6</v>
      </c>
      <c r="O1660" t="s">
        <v>53</v>
      </c>
      <c r="P1660" t="s">
        <v>54</v>
      </c>
      <c r="Q1660" t="s">
        <v>55</v>
      </c>
      <c r="T1660" t="s">
        <v>805</v>
      </c>
      <c r="U1660">
        <v>40</v>
      </c>
      <c r="V1660" s="1">
        <v>36342</v>
      </c>
      <c r="W1660" s="1">
        <v>36342</v>
      </c>
      <c r="X1660" s="1">
        <v>36342</v>
      </c>
      <c r="Y1660" s="1">
        <v>50952</v>
      </c>
      <c r="Z1660" t="s">
        <v>51</v>
      </c>
      <c r="AB1660" t="s">
        <v>54</v>
      </c>
      <c r="AC1660">
        <v>1</v>
      </c>
      <c r="AE1660" t="s">
        <v>57</v>
      </c>
      <c r="AF1660">
        <v>20</v>
      </c>
      <c r="AG1660" s="1">
        <v>36342</v>
      </c>
      <c r="AH1660" s="1">
        <v>36342</v>
      </c>
      <c r="AI1660" s="1">
        <v>36342</v>
      </c>
      <c r="AJ1660" s="1">
        <v>43647</v>
      </c>
      <c r="AK1660" t="s">
        <v>51</v>
      </c>
      <c r="AN1660">
        <v>0</v>
      </c>
      <c r="AO1660" t="s">
        <v>54</v>
      </c>
      <c r="AP1660" t="s">
        <v>53</v>
      </c>
      <c r="AQ1660">
        <v>0</v>
      </c>
      <c r="AR1660" t="s">
        <v>53</v>
      </c>
      <c r="AS1660">
        <v>0</v>
      </c>
      <c r="AT1660">
        <v>0</v>
      </c>
      <c r="AW1660" t="s">
        <v>58</v>
      </c>
      <c r="AX1660">
        <v>20</v>
      </c>
      <c r="AY1660" s="1">
        <v>36342</v>
      </c>
      <c r="AZ1660" s="1">
        <v>36342</v>
      </c>
      <c r="BA1660" s="1">
        <v>36342</v>
      </c>
      <c r="BB1660" s="1">
        <v>43647</v>
      </c>
      <c r="BC1660" t="s">
        <v>51</v>
      </c>
      <c r="BE1660" t="s">
        <v>54</v>
      </c>
      <c r="BF1660">
        <v>2</v>
      </c>
      <c r="BG1660">
        <v>0</v>
      </c>
      <c r="BH1660" t="s">
        <v>53</v>
      </c>
      <c r="BK1660" t="s">
        <v>59</v>
      </c>
      <c r="BL1660">
        <v>14000</v>
      </c>
      <c r="BM1660" s="1">
        <v>41091</v>
      </c>
      <c r="BN1660" s="1">
        <v>41091</v>
      </c>
      <c r="BO1660" s="1">
        <v>41091</v>
      </c>
      <c r="BP1660" s="1">
        <v>42291</v>
      </c>
      <c r="BQ1660" t="s">
        <v>51</v>
      </c>
      <c r="BS1660" t="s">
        <v>60</v>
      </c>
      <c r="BT1660" t="s">
        <v>54</v>
      </c>
      <c r="BU1660" t="s">
        <v>61</v>
      </c>
      <c r="BV1660" t="s">
        <v>62</v>
      </c>
      <c r="BX1660">
        <v>24</v>
      </c>
      <c r="BY1660">
        <v>0</v>
      </c>
      <c r="BZ1660">
        <v>0</v>
      </c>
    </row>
    <row r="1661" spans="1:99" x14ac:dyDescent="0.2">
      <c r="A1661" t="s">
        <v>180</v>
      </c>
      <c r="B1661" t="s">
        <v>181</v>
      </c>
      <c r="C1661" t="s">
        <v>184</v>
      </c>
      <c r="D1661" t="s">
        <v>670</v>
      </c>
      <c r="F1661" t="str">
        <f>"?250731"</f>
        <v>?250731</v>
      </c>
      <c r="G1661" t="s">
        <v>49</v>
      </c>
      <c r="H1661" t="s">
        <v>233</v>
      </c>
      <c r="K1661" t="s">
        <v>51</v>
      </c>
      <c r="L1661" t="s">
        <v>52</v>
      </c>
      <c r="M1661">
        <v>136037.60999999999</v>
      </c>
      <c r="N1661">
        <v>472480.44</v>
      </c>
      <c r="O1661" t="s">
        <v>53</v>
      </c>
      <c r="P1661" t="s">
        <v>54</v>
      </c>
      <c r="Q1661" t="s">
        <v>55</v>
      </c>
      <c r="T1661" t="s">
        <v>466</v>
      </c>
      <c r="U1661">
        <v>40</v>
      </c>
      <c r="V1661" s="1">
        <v>31229</v>
      </c>
      <c r="W1661" s="1">
        <v>31229</v>
      </c>
      <c r="X1661" s="1">
        <v>31229</v>
      </c>
      <c r="Y1661" s="1">
        <v>45839</v>
      </c>
      <c r="Z1661" t="s">
        <v>51</v>
      </c>
      <c r="AB1661" t="s">
        <v>54</v>
      </c>
      <c r="AC1661">
        <v>1</v>
      </c>
      <c r="AE1661" t="s">
        <v>84</v>
      </c>
      <c r="AF1661">
        <v>20</v>
      </c>
      <c r="AG1661" s="1">
        <v>31229</v>
      </c>
      <c r="AH1661" s="1">
        <v>31229</v>
      </c>
      <c r="AI1661" s="1">
        <v>31229</v>
      </c>
      <c r="AJ1661" s="1">
        <v>38534</v>
      </c>
      <c r="AK1661" t="s">
        <v>51</v>
      </c>
      <c r="AN1661">
        <v>0</v>
      </c>
      <c r="AO1661" t="s">
        <v>54</v>
      </c>
      <c r="AP1661" t="s">
        <v>53</v>
      </c>
      <c r="AQ1661">
        <v>0</v>
      </c>
      <c r="AR1661" t="s">
        <v>53</v>
      </c>
      <c r="AS1661">
        <v>0</v>
      </c>
      <c r="AT1661">
        <v>0</v>
      </c>
      <c r="CC1661" t="s">
        <v>185</v>
      </c>
      <c r="CD1661">
        <v>85000</v>
      </c>
      <c r="CE1661" s="1">
        <v>42552</v>
      </c>
      <c r="CF1661" s="1">
        <v>42552</v>
      </c>
      <c r="CG1661" s="1">
        <v>42552</v>
      </c>
      <c r="CH1661" s="1">
        <v>49714</v>
      </c>
      <c r="CI1661" t="s">
        <v>51</v>
      </c>
      <c r="CK1661" t="s">
        <v>78</v>
      </c>
      <c r="CM1661" t="s">
        <v>54</v>
      </c>
      <c r="CN1661" t="s">
        <v>174</v>
      </c>
      <c r="CO1661" t="s">
        <v>86</v>
      </c>
      <c r="CR1661">
        <v>15</v>
      </c>
      <c r="CS1661">
        <v>0</v>
      </c>
      <c r="CT1661">
        <v>0</v>
      </c>
      <c r="CU1661">
        <v>0</v>
      </c>
    </row>
    <row r="1662" spans="1:99" x14ac:dyDescent="0.2">
      <c r="A1662" t="s">
        <v>180</v>
      </c>
      <c r="B1662" t="s">
        <v>181</v>
      </c>
      <c r="C1662" t="s">
        <v>184</v>
      </c>
      <c r="D1662" t="s">
        <v>705</v>
      </c>
      <c r="F1662" t="str">
        <f>"?251203"</f>
        <v>?251203</v>
      </c>
      <c r="G1662" t="s">
        <v>49</v>
      </c>
      <c r="K1662" t="s">
        <v>51</v>
      </c>
      <c r="L1662" t="s">
        <v>52</v>
      </c>
      <c r="M1662">
        <v>136329.81959540799</v>
      </c>
      <c r="N1662">
        <v>472340.17566078698</v>
      </c>
      <c r="O1662" t="s">
        <v>53</v>
      </c>
      <c r="P1662" t="s">
        <v>54</v>
      </c>
      <c r="Q1662" t="s">
        <v>55</v>
      </c>
      <c r="T1662" t="s">
        <v>241</v>
      </c>
      <c r="U1662">
        <v>40</v>
      </c>
      <c r="V1662" s="1">
        <v>26481</v>
      </c>
      <c r="W1662" s="1">
        <v>26481</v>
      </c>
      <c r="X1662" s="1">
        <v>26481</v>
      </c>
      <c r="Y1662" s="1">
        <v>41091</v>
      </c>
      <c r="Z1662" t="s">
        <v>51</v>
      </c>
      <c r="AB1662" t="s">
        <v>54</v>
      </c>
      <c r="AC1662">
        <v>1</v>
      </c>
      <c r="AE1662" t="s">
        <v>222</v>
      </c>
      <c r="AF1662">
        <v>20</v>
      </c>
      <c r="AG1662" s="1">
        <v>26481</v>
      </c>
      <c r="AH1662" s="1">
        <v>26481</v>
      </c>
      <c r="AI1662" s="1">
        <v>26481</v>
      </c>
      <c r="AJ1662" s="1">
        <v>33786</v>
      </c>
      <c r="AK1662" t="s">
        <v>51</v>
      </c>
      <c r="AN1662">
        <v>0</v>
      </c>
      <c r="AO1662" t="s">
        <v>54</v>
      </c>
      <c r="AP1662" t="s">
        <v>53</v>
      </c>
      <c r="AQ1662">
        <v>0</v>
      </c>
      <c r="AR1662" t="s">
        <v>53</v>
      </c>
      <c r="AS1662">
        <v>0</v>
      </c>
      <c r="AT1662">
        <v>0</v>
      </c>
      <c r="AW1662" t="s">
        <v>58</v>
      </c>
      <c r="AX1662">
        <v>20</v>
      </c>
      <c r="AY1662" s="1">
        <v>26481</v>
      </c>
      <c r="AZ1662" s="1">
        <v>26481</v>
      </c>
      <c r="BA1662" s="1">
        <v>26481</v>
      </c>
      <c r="BB1662" s="1">
        <v>33786</v>
      </c>
      <c r="BC1662" t="s">
        <v>51</v>
      </c>
      <c r="BE1662" t="s">
        <v>54</v>
      </c>
      <c r="BF1662">
        <v>2</v>
      </c>
      <c r="BG1662">
        <v>0</v>
      </c>
      <c r="BH1662" t="s">
        <v>53</v>
      </c>
      <c r="BK1662" t="s">
        <v>743</v>
      </c>
      <c r="BL1662">
        <v>14000</v>
      </c>
      <c r="BM1662" s="1">
        <v>42917</v>
      </c>
      <c r="BN1662" s="1">
        <v>42917</v>
      </c>
      <c r="BO1662" s="1">
        <v>42917</v>
      </c>
      <c r="BP1662" s="1">
        <v>44117</v>
      </c>
      <c r="BQ1662" t="s">
        <v>51</v>
      </c>
      <c r="BS1662" t="s">
        <v>60</v>
      </c>
      <c r="BT1662" t="s">
        <v>54</v>
      </c>
      <c r="BU1662" t="s">
        <v>61</v>
      </c>
      <c r="BV1662" t="s">
        <v>62</v>
      </c>
      <c r="BX1662">
        <v>50</v>
      </c>
      <c r="BY1662">
        <v>0</v>
      </c>
      <c r="BZ1662">
        <v>0</v>
      </c>
    </row>
    <row r="1663" spans="1:99" x14ac:dyDescent="0.2">
      <c r="A1663" t="s">
        <v>180</v>
      </c>
      <c r="B1663" t="s">
        <v>181</v>
      </c>
      <c r="C1663" t="s">
        <v>184</v>
      </c>
      <c r="D1663" t="s">
        <v>801</v>
      </c>
      <c r="F1663" t="str">
        <f>"?252940"</f>
        <v>?252940</v>
      </c>
      <c r="G1663" t="s">
        <v>49</v>
      </c>
      <c r="K1663" t="s">
        <v>51</v>
      </c>
      <c r="L1663" t="s">
        <v>52</v>
      </c>
      <c r="M1663">
        <v>136638.53</v>
      </c>
      <c r="N1663">
        <v>471956.25</v>
      </c>
      <c r="O1663" t="s">
        <v>53</v>
      </c>
      <c r="P1663" t="s">
        <v>54</v>
      </c>
      <c r="Q1663" t="s">
        <v>55</v>
      </c>
      <c r="T1663" t="s">
        <v>431</v>
      </c>
      <c r="U1663">
        <v>40</v>
      </c>
      <c r="V1663" s="1">
        <v>38353</v>
      </c>
      <c r="W1663" s="1">
        <v>38353</v>
      </c>
      <c r="X1663" s="1">
        <v>38353</v>
      </c>
      <c r="Y1663" s="1">
        <v>52963</v>
      </c>
      <c r="Z1663" t="s">
        <v>51</v>
      </c>
      <c r="AB1663" t="s">
        <v>54</v>
      </c>
      <c r="AC1663">
        <v>1</v>
      </c>
      <c r="AE1663" t="s">
        <v>79</v>
      </c>
      <c r="AF1663">
        <v>20</v>
      </c>
      <c r="AG1663" s="1">
        <v>38353</v>
      </c>
      <c r="AH1663" s="1">
        <v>38353</v>
      </c>
      <c r="AI1663" s="1">
        <v>38353</v>
      </c>
      <c r="AJ1663" s="1">
        <v>45658</v>
      </c>
      <c r="AK1663" t="s">
        <v>51</v>
      </c>
      <c r="AN1663">
        <v>0</v>
      </c>
      <c r="AO1663" t="s">
        <v>54</v>
      </c>
      <c r="AP1663" t="s">
        <v>53</v>
      </c>
      <c r="AQ1663">
        <v>0</v>
      </c>
      <c r="AR1663" t="s">
        <v>145</v>
      </c>
      <c r="AS1663">
        <v>0</v>
      </c>
      <c r="AT1663">
        <v>0</v>
      </c>
      <c r="AW1663" t="s">
        <v>79</v>
      </c>
      <c r="AX1663">
        <v>20</v>
      </c>
      <c r="AY1663" s="1">
        <v>38353</v>
      </c>
      <c r="AZ1663" s="1">
        <v>38353</v>
      </c>
      <c r="BA1663" s="1">
        <v>38353</v>
      </c>
      <c r="BB1663" s="1">
        <v>45658</v>
      </c>
      <c r="BC1663" t="s">
        <v>51</v>
      </c>
      <c r="BE1663" t="s">
        <v>54</v>
      </c>
      <c r="BF1663">
        <v>5</v>
      </c>
      <c r="BG1663">
        <v>0</v>
      </c>
      <c r="BH1663" t="s">
        <v>53</v>
      </c>
      <c r="BK1663" t="s">
        <v>59</v>
      </c>
      <c r="BL1663">
        <v>14000</v>
      </c>
      <c r="BM1663" s="1">
        <v>42917</v>
      </c>
      <c r="BN1663" s="1">
        <v>42917</v>
      </c>
      <c r="BO1663" s="1">
        <v>42917</v>
      </c>
      <c r="BP1663" s="1">
        <v>44117</v>
      </c>
      <c r="BQ1663" t="s">
        <v>51</v>
      </c>
      <c r="BS1663" t="s">
        <v>60</v>
      </c>
      <c r="BT1663" t="s">
        <v>54</v>
      </c>
      <c r="BU1663" t="s">
        <v>61</v>
      </c>
      <c r="BV1663" t="s">
        <v>62</v>
      </c>
      <c r="BX1663">
        <v>24</v>
      </c>
      <c r="BY1663">
        <v>0</v>
      </c>
      <c r="BZ1663">
        <v>0</v>
      </c>
    </row>
    <row r="1664" spans="1:99" x14ac:dyDescent="0.2">
      <c r="A1664" t="s">
        <v>180</v>
      </c>
      <c r="B1664" t="s">
        <v>181</v>
      </c>
      <c r="C1664" t="s">
        <v>184</v>
      </c>
      <c r="D1664" t="s">
        <v>802</v>
      </c>
      <c r="F1664" t="str">
        <f>"?252957"</f>
        <v>?252957</v>
      </c>
      <c r="G1664" t="s">
        <v>49</v>
      </c>
      <c r="K1664" t="s">
        <v>51</v>
      </c>
      <c r="L1664" t="s">
        <v>52</v>
      </c>
      <c r="M1664">
        <v>136637.06</v>
      </c>
      <c r="N1664">
        <v>471985.98</v>
      </c>
      <c r="O1664" t="s">
        <v>53</v>
      </c>
      <c r="P1664" t="s">
        <v>54</v>
      </c>
      <c r="Q1664" t="s">
        <v>55</v>
      </c>
      <c r="T1664" t="s">
        <v>431</v>
      </c>
      <c r="U1664">
        <v>40</v>
      </c>
      <c r="V1664" s="1">
        <v>38353</v>
      </c>
      <c r="W1664" s="1">
        <v>38353</v>
      </c>
      <c r="X1664" s="1">
        <v>38353</v>
      </c>
      <c r="Y1664" s="1">
        <v>52963</v>
      </c>
      <c r="Z1664" t="s">
        <v>51</v>
      </c>
      <c r="AB1664" t="s">
        <v>54</v>
      </c>
      <c r="AC1664">
        <v>1</v>
      </c>
      <c r="AE1664" t="s">
        <v>79</v>
      </c>
      <c r="AF1664">
        <v>20</v>
      </c>
      <c r="AG1664" s="1">
        <v>38353</v>
      </c>
      <c r="AH1664" s="1">
        <v>38353</v>
      </c>
      <c r="AI1664" s="1">
        <v>38353</v>
      </c>
      <c r="AJ1664" s="1">
        <v>45658</v>
      </c>
      <c r="AK1664" t="s">
        <v>51</v>
      </c>
      <c r="AN1664">
        <v>0</v>
      </c>
      <c r="AO1664" t="s">
        <v>54</v>
      </c>
      <c r="AP1664" t="s">
        <v>53</v>
      </c>
      <c r="AQ1664">
        <v>0</v>
      </c>
      <c r="AR1664" t="s">
        <v>145</v>
      </c>
      <c r="AS1664">
        <v>0</v>
      </c>
      <c r="AT1664">
        <v>0</v>
      </c>
      <c r="AW1664" t="s">
        <v>79</v>
      </c>
      <c r="AX1664">
        <v>20</v>
      </c>
      <c r="AY1664" s="1">
        <v>38353</v>
      </c>
      <c r="AZ1664" s="1">
        <v>38353</v>
      </c>
      <c r="BA1664" s="1">
        <v>38353</v>
      </c>
      <c r="BB1664" s="1">
        <v>45658</v>
      </c>
      <c r="BC1664" t="s">
        <v>51</v>
      </c>
      <c r="BE1664" t="s">
        <v>54</v>
      </c>
      <c r="BF1664">
        <v>5</v>
      </c>
      <c r="BG1664">
        <v>0</v>
      </c>
      <c r="BH1664" t="s">
        <v>53</v>
      </c>
      <c r="BK1664" t="s">
        <v>59</v>
      </c>
      <c r="BL1664">
        <v>14000</v>
      </c>
      <c r="BM1664" s="1">
        <v>42917</v>
      </c>
      <c r="BN1664" s="1">
        <v>42917</v>
      </c>
      <c r="BO1664" s="1">
        <v>42917</v>
      </c>
      <c r="BP1664" s="1">
        <v>44117</v>
      </c>
      <c r="BQ1664" t="s">
        <v>51</v>
      </c>
      <c r="BS1664" t="s">
        <v>60</v>
      </c>
      <c r="BT1664" t="s">
        <v>54</v>
      </c>
      <c r="BU1664" t="s">
        <v>61</v>
      </c>
      <c r="BV1664" t="s">
        <v>62</v>
      </c>
      <c r="BX1664">
        <v>24</v>
      </c>
      <c r="BY1664">
        <v>0</v>
      </c>
      <c r="BZ1664">
        <v>0</v>
      </c>
    </row>
    <row r="1665" spans="1:99" x14ac:dyDescent="0.2">
      <c r="A1665" t="s">
        <v>180</v>
      </c>
      <c r="B1665" t="s">
        <v>181</v>
      </c>
      <c r="C1665" t="s">
        <v>184</v>
      </c>
      <c r="D1665" t="s">
        <v>677</v>
      </c>
      <c r="F1665" t="str">
        <f>"?253256"</f>
        <v>?253256</v>
      </c>
      <c r="G1665" t="s">
        <v>49</v>
      </c>
      <c r="K1665" t="s">
        <v>51</v>
      </c>
      <c r="L1665" t="s">
        <v>52</v>
      </c>
      <c r="M1665">
        <v>136233.74</v>
      </c>
      <c r="N1665">
        <v>472115.32</v>
      </c>
      <c r="O1665" t="s">
        <v>53</v>
      </c>
      <c r="P1665" t="s">
        <v>54</v>
      </c>
      <c r="Q1665" t="s">
        <v>55</v>
      </c>
      <c r="T1665" t="s">
        <v>431</v>
      </c>
      <c r="U1665">
        <v>40</v>
      </c>
      <c r="V1665" s="1">
        <v>32874</v>
      </c>
      <c r="W1665" s="1">
        <v>32874</v>
      </c>
      <c r="X1665" s="1">
        <v>32874</v>
      </c>
      <c r="Y1665" s="1">
        <v>47484</v>
      </c>
      <c r="Z1665" t="s">
        <v>51</v>
      </c>
      <c r="AB1665" t="s">
        <v>54</v>
      </c>
      <c r="AC1665">
        <v>1</v>
      </c>
      <c r="AE1665" t="s">
        <v>79</v>
      </c>
      <c r="AF1665">
        <v>20</v>
      </c>
      <c r="AG1665" s="1">
        <v>32874</v>
      </c>
      <c r="AH1665" s="1">
        <v>32874</v>
      </c>
      <c r="AI1665" s="1">
        <v>32874</v>
      </c>
      <c r="AJ1665" s="1">
        <v>40179</v>
      </c>
      <c r="AK1665" t="s">
        <v>51</v>
      </c>
      <c r="AN1665">
        <v>0</v>
      </c>
      <c r="AO1665" t="s">
        <v>54</v>
      </c>
      <c r="AP1665" t="s">
        <v>53</v>
      </c>
      <c r="AQ1665">
        <v>0</v>
      </c>
      <c r="AR1665" t="s">
        <v>145</v>
      </c>
      <c r="AS1665">
        <v>0</v>
      </c>
      <c r="AT1665">
        <v>0</v>
      </c>
      <c r="AW1665" t="s">
        <v>79</v>
      </c>
      <c r="AX1665">
        <v>20</v>
      </c>
      <c r="AY1665" s="1">
        <v>32874</v>
      </c>
      <c r="AZ1665" s="1">
        <v>32874</v>
      </c>
      <c r="BA1665" s="1">
        <v>32874</v>
      </c>
      <c r="BB1665" s="1">
        <v>40179</v>
      </c>
      <c r="BC1665" t="s">
        <v>51</v>
      </c>
      <c r="BE1665" t="s">
        <v>54</v>
      </c>
      <c r="BF1665">
        <v>5</v>
      </c>
      <c r="BG1665">
        <v>0</v>
      </c>
      <c r="BH1665" t="s">
        <v>53</v>
      </c>
      <c r="BK1665" t="s">
        <v>763</v>
      </c>
      <c r="BL1665">
        <v>14000</v>
      </c>
      <c r="BM1665" s="1">
        <v>42917</v>
      </c>
      <c r="BN1665" s="1">
        <v>42917</v>
      </c>
      <c r="BO1665" s="1">
        <v>42917</v>
      </c>
      <c r="BP1665" s="1">
        <v>44117</v>
      </c>
      <c r="BQ1665" t="s">
        <v>51</v>
      </c>
      <c r="BS1665" t="s">
        <v>60</v>
      </c>
      <c r="BT1665" t="s">
        <v>54</v>
      </c>
      <c r="BU1665" t="s">
        <v>61</v>
      </c>
      <c r="BV1665" t="s">
        <v>62</v>
      </c>
      <c r="BW1665">
        <v>830</v>
      </c>
      <c r="BX1665">
        <v>36</v>
      </c>
      <c r="BY1665">
        <v>0</v>
      </c>
      <c r="BZ1665">
        <v>0</v>
      </c>
    </row>
    <row r="1666" spans="1:99" x14ac:dyDescent="0.2">
      <c r="A1666" t="s">
        <v>180</v>
      </c>
      <c r="B1666" t="s">
        <v>181</v>
      </c>
      <c r="C1666" t="s">
        <v>184</v>
      </c>
      <c r="D1666" t="s">
        <v>731</v>
      </c>
      <c r="F1666" t="str">
        <f>"?267"</f>
        <v>?267</v>
      </c>
      <c r="G1666" t="s">
        <v>49</v>
      </c>
      <c r="K1666" t="s">
        <v>51</v>
      </c>
      <c r="L1666" t="s">
        <v>52</v>
      </c>
      <c r="M1666">
        <v>136769.76999999999</v>
      </c>
      <c r="N1666">
        <v>472071.19</v>
      </c>
      <c r="O1666" t="s">
        <v>53</v>
      </c>
      <c r="P1666" t="s">
        <v>54</v>
      </c>
      <c r="Q1666" t="s">
        <v>55</v>
      </c>
      <c r="T1666" t="s">
        <v>431</v>
      </c>
      <c r="U1666">
        <v>40</v>
      </c>
      <c r="V1666" s="1">
        <v>31594</v>
      </c>
      <c r="W1666" s="1">
        <v>31594</v>
      </c>
      <c r="X1666" s="1">
        <v>31594</v>
      </c>
      <c r="Y1666" s="1">
        <v>46204</v>
      </c>
      <c r="Z1666" t="s">
        <v>51</v>
      </c>
      <c r="AB1666" t="s">
        <v>54</v>
      </c>
      <c r="AC1666">
        <v>1</v>
      </c>
      <c r="AE1666" t="s">
        <v>79</v>
      </c>
      <c r="AF1666">
        <v>20</v>
      </c>
      <c r="AG1666" s="1">
        <v>38169</v>
      </c>
      <c r="AH1666" s="1">
        <v>38169</v>
      </c>
      <c r="AI1666" s="1">
        <v>38169</v>
      </c>
      <c r="AJ1666" s="1">
        <v>45474</v>
      </c>
      <c r="AK1666" t="s">
        <v>51</v>
      </c>
      <c r="AN1666">
        <v>0</v>
      </c>
      <c r="AO1666" t="s">
        <v>54</v>
      </c>
      <c r="AP1666" t="s">
        <v>53</v>
      </c>
      <c r="AQ1666">
        <v>0</v>
      </c>
      <c r="AR1666" t="s">
        <v>145</v>
      </c>
      <c r="AS1666">
        <v>0</v>
      </c>
      <c r="AT1666">
        <v>0</v>
      </c>
      <c r="AW1666" t="s">
        <v>79</v>
      </c>
      <c r="AX1666">
        <v>20</v>
      </c>
      <c r="AY1666" s="1">
        <v>38169</v>
      </c>
      <c r="AZ1666" s="1">
        <v>38169</v>
      </c>
      <c r="BA1666" s="1">
        <v>38169</v>
      </c>
      <c r="BB1666" s="1">
        <v>45474</v>
      </c>
      <c r="BC1666" t="s">
        <v>51</v>
      </c>
      <c r="BE1666" t="s">
        <v>54</v>
      </c>
      <c r="BF1666">
        <v>5</v>
      </c>
      <c r="BG1666">
        <v>0</v>
      </c>
      <c r="BH1666" t="s">
        <v>53</v>
      </c>
      <c r="BK1666" t="s">
        <v>59</v>
      </c>
      <c r="BL1666">
        <v>14000</v>
      </c>
      <c r="BM1666" s="1">
        <v>42917</v>
      </c>
      <c r="BN1666" s="1">
        <v>42917</v>
      </c>
      <c r="BO1666" s="1">
        <v>42917</v>
      </c>
      <c r="BP1666" s="1">
        <v>44117</v>
      </c>
      <c r="BQ1666" t="s">
        <v>51</v>
      </c>
      <c r="BS1666" t="s">
        <v>60</v>
      </c>
      <c r="BT1666" t="s">
        <v>54</v>
      </c>
      <c r="BU1666" t="s">
        <v>61</v>
      </c>
      <c r="BV1666" t="s">
        <v>62</v>
      </c>
      <c r="BX1666">
        <v>24</v>
      </c>
      <c r="BY1666">
        <v>0</v>
      </c>
      <c r="BZ1666">
        <v>0</v>
      </c>
    </row>
    <row r="1667" spans="1:99" x14ac:dyDescent="0.2">
      <c r="A1667" t="s">
        <v>180</v>
      </c>
      <c r="B1667" t="s">
        <v>181</v>
      </c>
      <c r="C1667" t="s">
        <v>184</v>
      </c>
      <c r="D1667" t="s">
        <v>744</v>
      </c>
      <c r="F1667" t="str">
        <f>"?28"</f>
        <v>?28</v>
      </c>
      <c r="G1667" t="s">
        <v>49</v>
      </c>
      <c r="K1667" t="s">
        <v>51</v>
      </c>
      <c r="L1667" t="s">
        <v>52</v>
      </c>
      <c r="M1667">
        <v>136405.04999999999</v>
      </c>
      <c r="N1667">
        <v>472252.06</v>
      </c>
      <c r="O1667" t="s">
        <v>53</v>
      </c>
      <c r="P1667" t="s">
        <v>54</v>
      </c>
      <c r="Q1667" t="s">
        <v>55</v>
      </c>
      <c r="T1667" t="s">
        <v>431</v>
      </c>
      <c r="U1667">
        <v>40</v>
      </c>
      <c r="V1667" s="1">
        <v>42186</v>
      </c>
      <c r="W1667" s="1">
        <v>42186</v>
      </c>
      <c r="X1667" s="1">
        <v>42186</v>
      </c>
      <c r="Y1667" s="1">
        <v>56796</v>
      </c>
      <c r="Z1667" t="s">
        <v>51</v>
      </c>
      <c r="AB1667" t="s">
        <v>54</v>
      </c>
      <c r="AC1667">
        <v>1</v>
      </c>
      <c r="AE1667" t="s">
        <v>79</v>
      </c>
      <c r="AF1667">
        <v>20</v>
      </c>
      <c r="AG1667" s="1">
        <v>42186</v>
      </c>
      <c r="AH1667" s="1">
        <v>42186</v>
      </c>
      <c r="AI1667" s="1">
        <v>42186</v>
      </c>
      <c r="AJ1667" s="1">
        <v>49491</v>
      </c>
      <c r="AK1667" t="s">
        <v>51</v>
      </c>
      <c r="AN1667">
        <v>0</v>
      </c>
      <c r="AO1667" t="s">
        <v>54</v>
      </c>
      <c r="AP1667" t="s">
        <v>53</v>
      </c>
      <c r="AQ1667">
        <v>0</v>
      </c>
      <c r="AR1667" t="s">
        <v>145</v>
      </c>
      <c r="AS1667">
        <v>0</v>
      </c>
      <c r="AT1667">
        <v>0</v>
      </c>
      <c r="CC1667" t="s">
        <v>432</v>
      </c>
      <c r="CD1667">
        <v>85000</v>
      </c>
      <c r="CE1667" s="1">
        <v>42186</v>
      </c>
      <c r="CF1667" s="1">
        <v>42186</v>
      </c>
      <c r="CG1667" s="1">
        <v>42186</v>
      </c>
      <c r="CH1667" s="1">
        <v>49348</v>
      </c>
      <c r="CI1667" t="s">
        <v>51</v>
      </c>
      <c r="CK1667" t="s">
        <v>78</v>
      </c>
      <c r="CM1667" t="s">
        <v>54</v>
      </c>
      <c r="CN1667" t="s">
        <v>174</v>
      </c>
      <c r="CO1667" t="s">
        <v>86</v>
      </c>
      <c r="CR1667">
        <v>24</v>
      </c>
      <c r="CS1667">
        <v>0</v>
      </c>
      <c r="CT1667">
        <v>0</v>
      </c>
      <c r="CU1667">
        <v>0</v>
      </c>
    </row>
    <row r="1668" spans="1:99" x14ac:dyDescent="0.2">
      <c r="A1668" t="s">
        <v>180</v>
      </c>
      <c r="B1668" t="s">
        <v>181</v>
      </c>
      <c r="C1668" t="s">
        <v>499</v>
      </c>
      <c r="D1668" t="s">
        <v>500</v>
      </c>
      <c r="F1668" t="str">
        <f>"?300"</f>
        <v>?300</v>
      </c>
      <c r="G1668" t="s">
        <v>49</v>
      </c>
      <c r="K1668" t="s">
        <v>51</v>
      </c>
      <c r="L1668" t="s">
        <v>52</v>
      </c>
      <c r="M1668">
        <v>133901.29999999999</v>
      </c>
      <c r="N1668">
        <v>471146.56</v>
      </c>
      <c r="O1668" t="s">
        <v>53</v>
      </c>
      <c r="P1668" t="s">
        <v>54</v>
      </c>
      <c r="Q1668" t="s">
        <v>55</v>
      </c>
      <c r="T1668" t="s">
        <v>431</v>
      </c>
      <c r="U1668">
        <v>40</v>
      </c>
      <c r="V1668" s="1">
        <v>37073</v>
      </c>
      <c r="W1668" s="1">
        <v>37073</v>
      </c>
      <c r="X1668" s="1">
        <v>37073</v>
      </c>
      <c r="Y1668" s="1">
        <v>51683</v>
      </c>
      <c r="Z1668" t="s">
        <v>51</v>
      </c>
      <c r="AB1668" t="s">
        <v>54</v>
      </c>
      <c r="AC1668">
        <v>1</v>
      </c>
      <c r="AE1668" t="s">
        <v>79</v>
      </c>
      <c r="AF1668">
        <v>20</v>
      </c>
      <c r="AG1668" s="1">
        <v>37073</v>
      </c>
      <c r="AH1668" s="1">
        <v>37073</v>
      </c>
      <c r="AI1668" s="1">
        <v>37073</v>
      </c>
      <c r="AJ1668" s="1">
        <v>44378</v>
      </c>
      <c r="AK1668" t="s">
        <v>51</v>
      </c>
      <c r="AN1668">
        <v>0</v>
      </c>
      <c r="AO1668" t="s">
        <v>54</v>
      </c>
      <c r="AP1668" t="s">
        <v>53</v>
      </c>
      <c r="AQ1668">
        <v>0</v>
      </c>
      <c r="AR1668" t="s">
        <v>145</v>
      </c>
      <c r="AS1668">
        <v>0</v>
      </c>
      <c r="AT1668">
        <v>0</v>
      </c>
      <c r="AW1668" t="s">
        <v>79</v>
      </c>
      <c r="AX1668">
        <v>20</v>
      </c>
      <c r="AY1668" s="1">
        <v>37073</v>
      </c>
      <c r="AZ1668" s="1">
        <v>37073</v>
      </c>
      <c r="BA1668" s="1">
        <v>37073</v>
      </c>
      <c r="BB1668" s="1">
        <v>44378</v>
      </c>
      <c r="BC1668" t="s">
        <v>51</v>
      </c>
      <c r="BE1668" t="s">
        <v>54</v>
      </c>
      <c r="BF1668">
        <v>5</v>
      </c>
      <c r="BG1668">
        <v>0</v>
      </c>
      <c r="BH1668" t="s">
        <v>53</v>
      </c>
      <c r="BK1668" t="s">
        <v>59</v>
      </c>
      <c r="BL1668">
        <v>14000</v>
      </c>
      <c r="BM1668" s="1">
        <v>42917</v>
      </c>
      <c r="BN1668" s="1">
        <v>42917</v>
      </c>
      <c r="BO1668" s="1">
        <v>42917</v>
      </c>
      <c r="BP1668" s="1">
        <v>44117</v>
      </c>
      <c r="BQ1668" t="s">
        <v>51</v>
      </c>
      <c r="BS1668" t="s">
        <v>60</v>
      </c>
      <c r="BT1668" t="s">
        <v>54</v>
      </c>
      <c r="BU1668" t="s">
        <v>61</v>
      </c>
      <c r="BV1668" t="s">
        <v>62</v>
      </c>
      <c r="BX1668">
        <v>24</v>
      </c>
      <c r="BY1668">
        <v>0</v>
      </c>
      <c r="BZ1668">
        <v>0</v>
      </c>
    </row>
    <row r="1669" spans="1:99" x14ac:dyDescent="0.2">
      <c r="A1669" t="s">
        <v>180</v>
      </c>
      <c r="B1669" t="s">
        <v>181</v>
      </c>
      <c r="C1669" t="s">
        <v>499</v>
      </c>
      <c r="D1669" t="s">
        <v>426</v>
      </c>
      <c r="F1669" t="str">
        <f>"?301"</f>
        <v>?301</v>
      </c>
      <c r="G1669" t="s">
        <v>49</v>
      </c>
      <c r="K1669" t="s">
        <v>51</v>
      </c>
      <c r="L1669" t="s">
        <v>52</v>
      </c>
      <c r="M1669">
        <v>133848.54999999999</v>
      </c>
      <c r="N1669">
        <v>471198.21</v>
      </c>
      <c r="O1669" t="s">
        <v>53</v>
      </c>
      <c r="P1669" t="s">
        <v>54</v>
      </c>
      <c r="Q1669" t="s">
        <v>55</v>
      </c>
      <c r="T1669" t="s">
        <v>431</v>
      </c>
      <c r="U1669">
        <v>40</v>
      </c>
      <c r="V1669" s="1">
        <v>28126</v>
      </c>
      <c r="W1669" s="1">
        <v>28126</v>
      </c>
      <c r="X1669" s="1">
        <v>28126</v>
      </c>
      <c r="Y1669" s="1">
        <v>42736</v>
      </c>
      <c r="Z1669" t="s">
        <v>51</v>
      </c>
      <c r="AB1669" t="s">
        <v>54</v>
      </c>
      <c r="AC1669">
        <v>1</v>
      </c>
      <c r="AE1669" t="s">
        <v>79</v>
      </c>
      <c r="AF1669">
        <v>20</v>
      </c>
      <c r="AG1669" s="1">
        <v>33420</v>
      </c>
      <c r="AH1669" s="1">
        <v>33420</v>
      </c>
      <c r="AI1669" s="1">
        <v>33420</v>
      </c>
      <c r="AJ1669" s="1">
        <v>40725</v>
      </c>
      <c r="AK1669" t="s">
        <v>51</v>
      </c>
      <c r="AN1669">
        <v>0</v>
      </c>
      <c r="AO1669" t="s">
        <v>54</v>
      </c>
      <c r="AP1669" t="s">
        <v>53</v>
      </c>
      <c r="AQ1669">
        <v>0</v>
      </c>
      <c r="AR1669" t="s">
        <v>145</v>
      </c>
      <c r="AS1669">
        <v>0</v>
      </c>
      <c r="AT1669">
        <v>0</v>
      </c>
      <c r="CC1669" t="s">
        <v>432</v>
      </c>
      <c r="CD1669">
        <v>85000</v>
      </c>
      <c r="CE1669" s="1">
        <v>42917</v>
      </c>
      <c r="CF1669" s="1">
        <v>42917</v>
      </c>
      <c r="CG1669" s="1">
        <v>42917</v>
      </c>
      <c r="CH1669" s="1">
        <v>50504</v>
      </c>
      <c r="CI1669" t="s">
        <v>51</v>
      </c>
      <c r="CK1669" t="s">
        <v>78</v>
      </c>
      <c r="CM1669" t="s">
        <v>54</v>
      </c>
      <c r="CN1669" t="s">
        <v>174</v>
      </c>
      <c r="CO1669" t="s">
        <v>86</v>
      </c>
      <c r="CR1669">
        <v>24</v>
      </c>
      <c r="CS1669">
        <v>0</v>
      </c>
      <c r="CT1669">
        <v>0</v>
      </c>
      <c r="CU1669">
        <v>0</v>
      </c>
    </row>
    <row r="1670" spans="1:99" x14ac:dyDescent="0.2">
      <c r="A1670" t="s">
        <v>180</v>
      </c>
      <c r="B1670" t="s">
        <v>181</v>
      </c>
      <c r="C1670" t="s">
        <v>433</v>
      </c>
      <c r="D1670" t="s">
        <v>426</v>
      </c>
      <c r="F1670" t="str">
        <f>"?309"</f>
        <v>?309</v>
      </c>
      <c r="G1670" t="s">
        <v>49</v>
      </c>
      <c r="K1670" t="s">
        <v>427</v>
      </c>
      <c r="L1670" t="s">
        <v>52</v>
      </c>
      <c r="M1670">
        <v>134540.32999999999</v>
      </c>
      <c r="N1670">
        <v>470774.5</v>
      </c>
      <c r="O1670" t="s">
        <v>53</v>
      </c>
      <c r="P1670" t="s">
        <v>54</v>
      </c>
      <c r="AP1670" t="s">
        <v>53</v>
      </c>
      <c r="AR1670" t="s">
        <v>53</v>
      </c>
      <c r="BH1670" t="s">
        <v>53</v>
      </c>
    </row>
    <row r="1671" spans="1:99" x14ac:dyDescent="0.2">
      <c r="A1671" t="s">
        <v>180</v>
      </c>
      <c r="B1671" t="s">
        <v>181</v>
      </c>
      <c r="C1671" t="s">
        <v>433</v>
      </c>
      <c r="D1671" t="s">
        <v>426</v>
      </c>
      <c r="F1671" t="str">
        <f>"?310"</f>
        <v>?310</v>
      </c>
      <c r="G1671" t="s">
        <v>49</v>
      </c>
      <c r="K1671" t="s">
        <v>427</v>
      </c>
      <c r="L1671" t="s">
        <v>52</v>
      </c>
      <c r="M1671">
        <v>134503.72</v>
      </c>
      <c r="N1671">
        <v>470797.44</v>
      </c>
      <c r="O1671" t="s">
        <v>53</v>
      </c>
      <c r="P1671" t="s">
        <v>54</v>
      </c>
      <c r="AP1671" t="s">
        <v>53</v>
      </c>
      <c r="AR1671" t="s">
        <v>53</v>
      </c>
      <c r="BH1671" t="s">
        <v>53</v>
      </c>
    </row>
    <row r="1672" spans="1:99" x14ac:dyDescent="0.2">
      <c r="A1672" t="s">
        <v>180</v>
      </c>
      <c r="B1672" t="s">
        <v>181</v>
      </c>
      <c r="C1672" t="s">
        <v>184</v>
      </c>
      <c r="D1672" t="s">
        <v>426</v>
      </c>
      <c r="F1672" t="str">
        <f>"?311"</f>
        <v>?311</v>
      </c>
      <c r="G1672" t="s">
        <v>49</v>
      </c>
      <c r="K1672" t="s">
        <v>427</v>
      </c>
      <c r="L1672" t="s">
        <v>52</v>
      </c>
      <c r="M1672">
        <v>134473.03</v>
      </c>
      <c r="N1672">
        <v>470817.84</v>
      </c>
      <c r="O1672" t="s">
        <v>53</v>
      </c>
      <c r="P1672" t="s">
        <v>54</v>
      </c>
      <c r="AP1672" t="s">
        <v>53</v>
      </c>
      <c r="AR1672" t="s">
        <v>53</v>
      </c>
      <c r="BH1672" t="s">
        <v>53</v>
      </c>
    </row>
    <row r="1673" spans="1:99" x14ac:dyDescent="0.2">
      <c r="A1673" t="s">
        <v>180</v>
      </c>
      <c r="B1673" t="s">
        <v>181</v>
      </c>
      <c r="C1673" t="s">
        <v>184</v>
      </c>
      <c r="D1673" t="s">
        <v>426</v>
      </c>
      <c r="F1673" t="str">
        <f>"?312"</f>
        <v>?312</v>
      </c>
      <c r="G1673" t="s">
        <v>49</v>
      </c>
      <c r="K1673" t="s">
        <v>427</v>
      </c>
      <c r="L1673" t="s">
        <v>52</v>
      </c>
      <c r="M1673">
        <v>134443.70000000001</v>
      </c>
      <c r="N1673">
        <v>470837.84</v>
      </c>
      <c r="O1673" t="s">
        <v>53</v>
      </c>
      <c r="P1673" t="s">
        <v>54</v>
      </c>
      <c r="AP1673" t="s">
        <v>53</v>
      </c>
      <c r="AR1673" t="s">
        <v>53</v>
      </c>
      <c r="BH1673" t="s">
        <v>53</v>
      </c>
    </row>
    <row r="1674" spans="1:99" x14ac:dyDescent="0.2">
      <c r="A1674" t="s">
        <v>180</v>
      </c>
      <c r="B1674" t="s">
        <v>181</v>
      </c>
      <c r="C1674" t="s">
        <v>433</v>
      </c>
      <c r="D1674" t="s">
        <v>426</v>
      </c>
      <c r="F1674" t="str">
        <f>"?313"</f>
        <v>?313</v>
      </c>
      <c r="G1674" t="s">
        <v>49</v>
      </c>
      <c r="K1674" t="s">
        <v>427</v>
      </c>
      <c r="L1674" t="s">
        <v>52</v>
      </c>
      <c r="M1674">
        <v>134390.97</v>
      </c>
      <c r="N1674">
        <v>470836.72</v>
      </c>
      <c r="O1674" t="s">
        <v>53</v>
      </c>
      <c r="P1674" t="s">
        <v>54</v>
      </c>
      <c r="AP1674" t="s">
        <v>53</v>
      </c>
      <c r="AR1674" t="s">
        <v>53</v>
      </c>
      <c r="BH1674" t="s">
        <v>53</v>
      </c>
    </row>
    <row r="1675" spans="1:99" x14ac:dyDescent="0.2">
      <c r="A1675" t="s">
        <v>180</v>
      </c>
      <c r="B1675" t="s">
        <v>181</v>
      </c>
      <c r="C1675" t="s">
        <v>182</v>
      </c>
      <c r="D1675" t="s">
        <v>513</v>
      </c>
      <c r="F1675" t="str">
        <f>"?314"</f>
        <v>?314</v>
      </c>
      <c r="G1675" t="s">
        <v>49</v>
      </c>
      <c r="K1675" t="s">
        <v>427</v>
      </c>
      <c r="L1675" t="s">
        <v>52</v>
      </c>
      <c r="M1675">
        <v>134409.26999999999</v>
      </c>
      <c r="N1675">
        <v>470864.78</v>
      </c>
      <c r="O1675" t="s">
        <v>53</v>
      </c>
      <c r="P1675" t="s">
        <v>54</v>
      </c>
      <c r="AP1675" t="s">
        <v>53</v>
      </c>
      <c r="AR1675" t="s">
        <v>53</v>
      </c>
      <c r="BH1675" t="s">
        <v>53</v>
      </c>
    </row>
    <row r="1676" spans="1:99" x14ac:dyDescent="0.2">
      <c r="A1676" t="s">
        <v>180</v>
      </c>
      <c r="B1676" t="s">
        <v>181</v>
      </c>
      <c r="C1676" t="s">
        <v>182</v>
      </c>
      <c r="D1676" t="s">
        <v>426</v>
      </c>
      <c r="F1676" t="str">
        <f>"?315"</f>
        <v>?315</v>
      </c>
      <c r="G1676" t="s">
        <v>49</v>
      </c>
      <c r="K1676" t="s">
        <v>427</v>
      </c>
      <c r="L1676" t="s">
        <v>52</v>
      </c>
      <c r="M1676">
        <v>134389.43</v>
      </c>
      <c r="N1676">
        <v>470858.9</v>
      </c>
      <c r="O1676" t="s">
        <v>53</v>
      </c>
      <c r="P1676" t="s">
        <v>54</v>
      </c>
      <c r="AP1676" t="s">
        <v>53</v>
      </c>
      <c r="AR1676" t="s">
        <v>53</v>
      </c>
      <c r="BH1676" t="s">
        <v>53</v>
      </c>
    </row>
    <row r="1677" spans="1:99" x14ac:dyDescent="0.2">
      <c r="A1677" t="s">
        <v>180</v>
      </c>
      <c r="B1677" t="s">
        <v>181</v>
      </c>
      <c r="C1677" t="s">
        <v>182</v>
      </c>
      <c r="D1677" t="s">
        <v>426</v>
      </c>
      <c r="F1677" t="str">
        <f>"?316"</f>
        <v>?316</v>
      </c>
      <c r="G1677" t="s">
        <v>49</v>
      </c>
      <c r="K1677" t="s">
        <v>427</v>
      </c>
      <c r="L1677" t="s">
        <v>52</v>
      </c>
      <c r="M1677">
        <v>134388.54999999999</v>
      </c>
      <c r="N1677">
        <v>470876</v>
      </c>
      <c r="O1677" t="s">
        <v>53</v>
      </c>
      <c r="P1677" t="s">
        <v>54</v>
      </c>
      <c r="AP1677" t="s">
        <v>53</v>
      </c>
      <c r="AR1677" t="s">
        <v>53</v>
      </c>
      <c r="BH1677" t="s">
        <v>53</v>
      </c>
    </row>
    <row r="1678" spans="1:99" x14ac:dyDescent="0.2">
      <c r="A1678" t="s">
        <v>180</v>
      </c>
      <c r="B1678" t="s">
        <v>181</v>
      </c>
      <c r="C1678" t="s">
        <v>433</v>
      </c>
      <c r="D1678" t="s">
        <v>499</v>
      </c>
      <c r="F1678" t="str">
        <f>"?317"</f>
        <v>?317</v>
      </c>
      <c r="G1678" t="s">
        <v>49</v>
      </c>
      <c r="K1678" t="s">
        <v>427</v>
      </c>
      <c r="L1678" t="s">
        <v>52</v>
      </c>
      <c r="M1678">
        <v>134364.17000000001</v>
      </c>
      <c r="N1678">
        <v>470815.65</v>
      </c>
      <c r="O1678" t="s">
        <v>53</v>
      </c>
      <c r="P1678" t="s">
        <v>54</v>
      </c>
      <c r="AP1678" t="s">
        <v>53</v>
      </c>
      <c r="AR1678" t="s">
        <v>53</v>
      </c>
      <c r="BH1678" t="s">
        <v>53</v>
      </c>
    </row>
    <row r="1679" spans="1:99" x14ac:dyDescent="0.2">
      <c r="A1679" t="s">
        <v>180</v>
      </c>
      <c r="B1679" t="s">
        <v>181</v>
      </c>
      <c r="C1679" t="s">
        <v>433</v>
      </c>
      <c r="D1679" t="s">
        <v>426</v>
      </c>
      <c r="F1679" t="str">
        <f>"?326"</f>
        <v>?326</v>
      </c>
      <c r="G1679" t="s">
        <v>49</v>
      </c>
      <c r="K1679" t="s">
        <v>427</v>
      </c>
      <c r="L1679" t="s">
        <v>52</v>
      </c>
      <c r="M1679">
        <v>134392.74</v>
      </c>
      <c r="N1679">
        <v>470825.9</v>
      </c>
      <c r="O1679" t="s">
        <v>53</v>
      </c>
      <c r="P1679" t="s">
        <v>54</v>
      </c>
      <c r="AP1679" t="s">
        <v>53</v>
      </c>
      <c r="AR1679" t="s">
        <v>53</v>
      </c>
      <c r="BH1679" t="s">
        <v>53</v>
      </c>
    </row>
    <row r="1680" spans="1:99" x14ac:dyDescent="0.2">
      <c r="A1680" t="s">
        <v>180</v>
      </c>
      <c r="B1680" t="s">
        <v>181</v>
      </c>
      <c r="C1680" t="s">
        <v>433</v>
      </c>
      <c r="D1680" t="s">
        <v>426</v>
      </c>
      <c r="F1680" t="str">
        <f>"?336"</f>
        <v>?336</v>
      </c>
      <c r="G1680" t="s">
        <v>49</v>
      </c>
      <c r="K1680" t="s">
        <v>427</v>
      </c>
      <c r="L1680" t="s">
        <v>52</v>
      </c>
      <c r="M1680">
        <v>134360.18</v>
      </c>
      <c r="N1680">
        <v>470859.29</v>
      </c>
      <c r="O1680" t="s">
        <v>53</v>
      </c>
      <c r="P1680" t="s">
        <v>54</v>
      </c>
      <c r="AP1680" t="s">
        <v>53</v>
      </c>
      <c r="AR1680" t="s">
        <v>53</v>
      </c>
      <c r="BH1680" t="s">
        <v>53</v>
      </c>
    </row>
    <row r="1681" spans="1:78" x14ac:dyDescent="0.2">
      <c r="A1681" t="s">
        <v>180</v>
      </c>
      <c r="B1681" t="s">
        <v>181</v>
      </c>
      <c r="C1681" t="s">
        <v>433</v>
      </c>
      <c r="D1681" t="s">
        <v>499</v>
      </c>
      <c r="F1681" t="str">
        <f>"?337"</f>
        <v>?337</v>
      </c>
      <c r="G1681" t="s">
        <v>49</v>
      </c>
      <c r="K1681" t="s">
        <v>427</v>
      </c>
      <c r="L1681" t="s">
        <v>52</v>
      </c>
      <c r="M1681">
        <v>134322.04999999999</v>
      </c>
      <c r="N1681">
        <v>470854.78</v>
      </c>
      <c r="O1681" t="s">
        <v>53</v>
      </c>
      <c r="P1681" t="s">
        <v>54</v>
      </c>
      <c r="AP1681" t="s">
        <v>53</v>
      </c>
      <c r="AR1681" t="s">
        <v>53</v>
      </c>
      <c r="BH1681" t="s">
        <v>53</v>
      </c>
    </row>
    <row r="1682" spans="1:78" x14ac:dyDescent="0.2">
      <c r="A1682" t="s">
        <v>180</v>
      </c>
      <c r="B1682" t="s">
        <v>181</v>
      </c>
      <c r="C1682" t="s">
        <v>433</v>
      </c>
      <c r="D1682" t="s">
        <v>426</v>
      </c>
      <c r="F1682" t="str">
        <f>"?338"</f>
        <v>?338</v>
      </c>
      <c r="G1682" t="s">
        <v>49</v>
      </c>
      <c r="K1682" t="s">
        <v>427</v>
      </c>
      <c r="L1682" t="s">
        <v>52</v>
      </c>
      <c r="M1682">
        <v>134328.81</v>
      </c>
      <c r="N1682">
        <v>470879.99</v>
      </c>
      <c r="O1682" t="s">
        <v>53</v>
      </c>
      <c r="P1682" t="s">
        <v>54</v>
      </c>
      <c r="AP1682" t="s">
        <v>53</v>
      </c>
      <c r="AR1682" t="s">
        <v>53</v>
      </c>
      <c r="BH1682" t="s">
        <v>53</v>
      </c>
    </row>
    <row r="1683" spans="1:78" x14ac:dyDescent="0.2">
      <c r="A1683" t="s">
        <v>180</v>
      </c>
      <c r="B1683" t="s">
        <v>181</v>
      </c>
      <c r="C1683" t="s">
        <v>433</v>
      </c>
      <c r="D1683" t="s">
        <v>499</v>
      </c>
      <c r="F1683" t="str">
        <f>"?339"</f>
        <v>?339</v>
      </c>
      <c r="G1683" t="s">
        <v>49</v>
      </c>
      <c r="K1683" t="s">
        <v>427</v>
      </c>
      <c r="L1683" t="s">
        <v>52</v>
      </c>
      <c r="M1683">
        <v>134304.57999999999</v>
      </c>
      <c r="N1683">
        <v>470874.4</v>
      </c>
      <c r="O1683" t="s">
        <v>53</v>
      </c>
      <c r="P1683" t="s">
        <v>54</v>
      </c>
      <c r="AP1683" t="s">
        <v>53</v>
      </c>
      <c r="AR1683" t="s">
        <v>53</v>
      </c>
      <c r="BH1683" t="s">
        <v>53</v>
      </c>
    </row>
    <row r="1684" spans="1:78" x14ac:dyDescent="0.2">
      <c r="A1684" t="s">
        <v>180</v>
      </c>
      <c r="B1684" t="s">
        <v>181</v>
      </c>
      <c r="C1684" t="s">
        <v>433</v>
      </c>
      <c r="D1684" t="s">
        <v>500</v>
      </c>
      <c r="F1684" t="str">
        <f>"?340"</f>
        <v>?340</v>
      </c>
      <c r="G1684" t="s">
        <v>49</v>
      </c>
      <c r="K1684" t="s">
        <v>427</v>
      </c>
      <c r="L1684" t="s">
        <v>52</v>
      </c>
      <c r="M1684">
        <v>134278.14000000001</v>
      </c>
      <c r="N1684">
        <v>470906.94</v>
      </c>
      <c r="O1684" t="s">
        <v>53</v>
      </c>
      <c r="P1684" t="s">
        <v>54</v>
      </c>
      <c r="AP1684" t="s">
        <v>53</v>
      </c>
      <c r="AR1684" t="s">
        <v>53</v>
      </c>
      <c r="BH1684" t="s">
        <v>53</v>
      </c>
    </row>
    <row r="1685" spans="1:78" x14ac:dyDescent="0.2">
      <c r="A1685" t="s">
        <v>180</v>
      </c>
      <c r="B1685" t="s">
        <v>181</v>
      </c>
      <c r="C1685" t="s">
        <v>433</v>
      </c>
      <c r="D1685" t="s">
        <v>499</v>
      </c>
      <c r="F1685" t="str">
        <f>"?341"</f>
        <v>?341</v>
      </c>
      <c r="G1685" t="s">
        <v>49</v>
      </c>
      <c r="K1685" t="s">
        <v>427</v>
      </c>
      <c r="L1685" t="s">
        <v>52</v>
      </c>
      <c r="M1685">
        <v>134283.28</v>
      </c>
      <c r="N1685">
        <v>470891.85</v>
      </c>
      <c r="O1685" t="s">
        <v>53</v>
      </c>
      <c r="P1685" t="s">
        <v>54</v>
      </c>
      <c r="AP1685" t="s">
        <v>53</v>
      </c>
      <c r="AR1685" t="s">
        <v>53</v>
      </c>
      <c r="BH1685" t="s">
        <v>53</v>
      </c>
    </row>
    <row r="1686" spans="1:78" x14ac:dyDescent="0.2">
      <c r="A1686" t="s">
        <v>180</v>
      </c>
      <c r="B1686" t="s">
        <v>181</v>
      </c>
      <c r="C1686" t="s">
        <v>499</v>
      </c>
      <c r="D1686" t="s">
        <v>426</v>
      </c>
      <c r="F1686" t="str">
        <f>"?342"</f>
        <v>?342</v>
      </c>
      <c r="G1686" t="s">
        <v>49</v>
      </c>
      <c r="K1686" t="s">
        <v>427</v>
      </c>
      <c r="L1686" t="s">
        <v>52</v>
      </c>
      <c r="M1686">
        <v>134265.82999999999</v>
      </c>
      <c r="N1686">
        <v>470921.28</v>
      </c>
      <c r="O1686" t="s">
        <v>53</v>
      </c>
      <c r="P1686" t="s">
        <v>54</v>
      </c>
      <c r="AP1686" t="s">
        <v>53</v>
      </c>
      <c r="AR1686" t="s">
        <v>53</v>
      </c>
      <c r="BH1686" t="s">
        <v>53</v>
      </c>
    </row>
    <row r="1687" spans="1:78" x14ac:dyDescent="0.2">
      <c r="A1687" t="s">
        <v>180</v>
      </c>
      <c r="B1687" t="s">
        <v>181</v>
      </c>
      <c r="C1687" t="s">
        <v>499</v>
      </c>
      <c r="D1687" t="s">
        <v>500</v>
      </c>
      <c r="F1687" t="str">
        <f>"?343"</f>
        <v>?343</v>
      </c>
      <c r="G1687" t="s">
        <v>49</v>
      </c>
      <c r="K1687" t="s">
        <v>427</v>
      </c>
      <c r="L1687" t="s">
        <v>52</v>
      </c>
      <c r="M1687">
        <v>134249.96</v>
      </c>
      <c r="N1687">
        <v>470916.83</v>
      </c>
      <c r="O1687" t="s">
        <v>53</v>
      </c>
      <c r="P1687" t="s">
        <v>54</v>
      </c>
      <c r="AP1687" t="s">
        <v>53</v>
      </c>
      <c r="AR1687" t="s">
        <v>53</v>
      </c>
      <c r="BH1687" t="s">
        <v>53</v>
      </c>
    </row>
    <row r="1688" spans="1:78" x14ac:dyDescent="0.2">
      <c r="A1688" t="s">
        <v>180</v>
      </c>
      <c r="B1688" t="s">
        <v>181</v>
      </c>
      <c r="C1688" t="s">
        <v>184</v>
      </c>
      <c r="D1688" t="s">
        <v>584</v>
      </c>
      <c r="F1688" t="str">
        <f>"?48"</f>
        <v>?48</v>
      </c>
      <c r="G1688" t="s">
        <v>49</v>
      </c>
      <c r="K1688" t="s">
        <v>586</v>
      </c>
      <c r="L1688" t="s">
        <v>52</v>
      </c>
      <c r="M1688">
        <v>136086.16</v>
      </c>
      <c r="N1688">
        <v>472700.56</v>
      </c>
      <c r="O1688" t="s">
        <v>53</v>
      </c>
      <c r="P1688" t="s">
        <v>54</v>
      </c>
      <c r="AP1688" t="s">
        <v>53</v>
      </c>
      <c r="AR1688" t="s">
        <v>53</v>
      </c>
      <c r="BH1688" t="s">
        <v>53</v>
      </c>
    </row>
    <row r="1689" spans="1:78" x14ac:dyDescent="0.2">
      <c r="A1689" t="s">
        <v>180</v>
      </c>
      <c r="B1689" t="s">
        <v>181</v>
      </c>
      <c r="C1689" t="s">
        <v>184</v>
      </c>
      <c r="D1689" t="s">
        <v>584</v>
      </c>
      <c r="F1689" t="str">
        <f>"?49"</f>
        <v>?49</v>
      </c>
      <c r="G1689" t="s">
        <v>49</v>
      </c>
      <c r="K1689" t="s">
        <v>586</v>
      </c>
      <c r="L1689" t="s">
        <v>52</v>
      </c>
      <c r="M1689">
        <v>136066.01999999999</v>
      </c>
      <c r="N1689">
        <v>472701.78</v>
      </c>
      <c r="O1689" t="s">
        <v>53</v>
      </c>
      <c r="P1689" t="s">
        <v>54</v>
      </c>
      <c r="AP1689" t="s">
        <v>53</v>
      </c>
      <c r="AR1689" t="s">
        <v>53</v>
      </c>
      <c r="BH1689" t="s">
        <v>53</v>
      </c>
    </row>
    <row r="1690" spans="1:78" x14ac:dyDescent="0.2">
      <c r="A1690" t="s">
        <v>180</v>
      </c>
      <c r="B1690" t="s">
        <v>181</v>
      </c>
      <c r="C1690" t="s">
        <v>184</v>
      </c>
      <c r="D1690" t="s">
        <v>584</v>
      </c>
      <c r="F1690" t="str">
        <f>"?50"</f>
        <v>?50</v>
      </c>
      <c r="G1690" t="s">
        <v>49</v>
      </c>
      <c r="K1690" t="s">
        <v>586</v>
      </c>
      <c r="L1690" t="s">
        <v>52</v>
      </c>
      <c r="M1690">
        <v>136082.23999999999</v>
      </c>
      <c r="N1690">
        <v>472720.08</v>
      </c>
      <c r="O1690" t="s">
        <v>53</v>
      </c>
      <c r="P1690" t="s">
        <v>54</v>
      </c>
      <c r="AP1690" t="s">
        <v>53</v>
      </c>
      <c r="AR1690" t="s">
        <v>53</v>
      </c>
      <c r="BH1690" t="s">
        <v>53</v>
      </c>
    </row>
    <row r="1691" spans="1:78" x14ac:dyDescent="0.2">
      <c r="A1691" t="s">
        <v>180</v>
      </c>
      <c r="B1691" t="s">
        <v>181</v>
      </c>
      <c r="C1691" t="s">
        <v>184</v>
      </c>
      <c r="D1691" t="s">
        <v>764</v>
      </c>
      <c r="F1691" t="str">
        <f>"?500"</f>
        <v>?500</v>
      </c>
      <c r="G1691" t="s">
        <v>49</v>
      </c>
      <c r="H1691" t="s">
        <v>230</v>
      </c>
      <c r="K1691" t="s">
        <v>51</v>
      </c>
      <c r="L1691" t="s">
        <v>52</v>
      </c>
      <c r="M1691">
        <v>136331.141</v>
      </c>
      <c r="N1691">
        <v>472667.935</v>
      </c>
      <c r="O1691" t="s">
        <v>53</v>
      </c>
      <c r="P1691" t="s">
        <v>54</v>
      </c>
      <c r="Q1691" t="s">
        <v>55</v>
      </c>
      <c r="T1691" t="s">
        <v>241</v>
      </c>
      <c r="U1691">
        <v>40</v>
      </c>
      <c r="V1691" s="1">
        <v>23743</v>
      </c>
      <c r="W1691" s="1">
        <v>23743</v>
      </c>
      <c r="X1691" s="1">
        <v>23743</v>
      </c>
      <c r="Y1691" s="1">
        <v>38353</v>
      </c>
      <c r="Z1691" t="s">
        <v>51</v>
      </c>
      <c r="AB1691" t="s">
        <v>54</v>
      </c>
      <c r="AC1691">
        <v>1</v>
      </c>
      <c r="AE1691" t="s">
        <v>222</v>
      </c>
      <c r="AF1691">
        <v>20</v>
      </c>
      <c r="AG1691" s="1">
        <v>36342</v>
      </c>
      <c r="AH1691" s="1">
        <v>36342</v>
      </c>
      <c r="AI1691" s="1">
        <v>36342</v>
      </c>
      <c r="AJ1691" s="1">
        <v>43647</v>
      </c>
      <c r="AK1691" t="s">
        <v>51</v>
      </c>
      <c r="AN1691">
        <v>0</v>
      </c>
      <c r="AO1691" t="s">
        <v>54</v>
      </c>
      <c r="AP1691" t="s">
        <v>53</v>
      </c>
      <c r="AQ1691">
        <v>0</v>
      </c>
      <c r="AR1691" t="s">
        <v>53</v>
      </c>
      <c r="AS1691">
        <v>0</v>
      </c>
      <c r="AT1691">
        <v>0</v>
      </c>
      <c r="AW1691" t="s">
        <v>58</v>
      </c>
      <c r="AX1691">
        <v>20</v>
      </c>
      <c r="AY1691" s="1">
        <v>36342</v>
      </c>
      <c r="AZ1691" s="1">
        <v>36342</v>
      </c>
      <c r="BA1691" s="1">
        <v>36342</v>
      </c>
      <c r="BB1691" s="1">
        <v>43647</v>
      </c>
      <c r="BC1691" t="s">
        <v>51</v>
      </c>
      <c r="BE1691" t="s">
        <v>54</v>
      </c>
      <c r="BF1691">
        <v>2</v>
      </c>
      <c r="BG1691">
        <v>0</v>
      </c>
      <c r="BH1691" t="s">
        <v>53</v>
      </c>
      <c r="BK1691" t="s">
        <v>65</v>
      </c>
      <c r="BL1691">
        <v>14000</v>
      </c>
      <c r="BM1691" s="1">
        <v>44508</v>
      </c>
      <c r="BN1691" s="1">
        <v>44508</v>
      </c>
      <c r="BO1691" s="1">
        <v>44508</v>
      </c>
      <c r="BP1691" s="1">
        <v>45667</v>
      </c>
      <c r="BQ1691" t="s">
        <v>51</v>
      </c>
      <c r="BS1691" t="s">
        <v>60</v>
      </c>
      <c r="BT1691" t="s">
        <v>54</v>
      </c>
      <c r="BU1691" t="s">
        <v>61</v>
      </c>
      <c r="BV1691" t="s">
        <v>62</v>
      </c>
      <c r="BX1691">
        <v>36</v>
      </c>
      <c r="BY1691">
        <v>0</v>
      </c>
      <c r="BZ1691">
        <v>0</v>
      </c>
    </row>
    <row r="1692" spans="1:78" x14ac:dyDescent="0.2">
      <c r="A1692" t="s">
        <v>180</v>
      </c>
      <c r="B1692" t="s">
        <v>181</v>
      </c>
      <c r="C1692" t="s">
        <v>184</v>
      </c>
      <c r="D1692" t="s">
        <v>677</v>
      </c>
      <c r="F1692" t="str">
        <f>"?502"</f>
        <v>?502</v>
      </c>
      <c r="G1692" t="s">
        <v>49</v>
      </c>
      <c r="K1692" t="s">
        <v>51</v>
      </c>
      <c r="L1692" t="s">
        <v>52</v>
      </c>
      <c r="M1692">
        <v>136436.11600000001</v>
      </c>
      <c r="N1692">
        <v>472063.41700000002</v>
      </c>
      <c r="O1692" t="s">
        <v>53</v>
      </c>
      <c r="P1692" t="s">
        <v>54</v>
      </c>
      <c r="Q1692" t="s">
        <v>55</v>
      </c>
      <c r="T1692" t="s">
        <v>241</v>
      </c>
      <c r="U1692">
        <v>40</v>
      </c>
      <c r="V1692" s="1">
        <v>33604</v>
      </c>
      <c r="W1692" s="1">
        <v>33604</v>
      </c>
      <c r="X1692" s="1">
        <v>33604</v>
      </c>
      <c r="Y1692" s="1">
        <v>48214</v>
      </c>
      <c r="Z1692" t="s">
        <v>51</v>
      </c>
      <c r="AB1692" t="s">
        <v>54</v>
      </c>
      <c r="AE1692" t="s">
        <v>222</v>
      </c>
      <c r="AF1692">
        <v>20</v>
      </c>
      <c r="AG1692" s="1">
        <v>33604</v>
      </c>
      <c r="AH1692" s="1">
        <v>33604</v>
      </c>
      <c r="AI1692" s="1">
        <v>33604</v>
      </c>
      <c r="AJ1692" s="1">
        <v>40909</v>
      </c>
      <c r="AK1692" t="s">
        <v>51</v>
      </c>
      <c r="AN1692">
        <v>0</v>
      </c>
      <c r="AO1692" t="s">
        <v>54</v>
      </c>
      <c r="AP1692" t="s">
        <v>53</v>
      </c>
      <c r="AQ1692">
        <v>0</v>
      </c>
      <c r="AR1692" t="s">
        <v>53</v>
      </c>
      <c r="AS1692">
        <v>0</v>
      </c>
      <c r="AT1692">
        <v>0</v>
      </c>
      <c r="BK1692" t="s">
        <v>65</v>
      </c>
      <c r="BL1692">
        <v>14000</v>
      </c>
      <c r="BM1692" s="1">
        <v>42917</v>
      </c>
      <c r="BN1692" s="1">
        <v>42917</v>
      </c>
      <c r="BO1692" s="1">
        <v>42917</v>
      </c>
      <c r="BP1692" s="1">
        <v>44117</v>
      </c>
      <c r="BQ1692" t="s">
        <v>51</v>
      </c>
      <c r="BS1692" t="s">
        <v>60</v>
      </c>
      <c r="BT1692" t="s">
        <v>54</v>
      </c>
      <c r="BU1692" t="s">
        <v>61</v>
      </c>
      <c r="BV1692" t="s">
        <v>62</v>
      </c>
      <c r="BX1692">
        <v>36</v>
      </c>
      <c r="BY1692">
        <v>0</v>
      </c>
      <c r="BZ1692">
        <v>0</v>
      </c>
    </row>
    <row r="1693" spans="1:78" x14ac:dyDescent="0.2">
      <c r="A1693" t="s">
        <v>180</v>
      </c>
      <c r="B1693" t="s">
        <v>181</v>
      </c>
      <c r="C1693" t="s">
        <v>184</v>
      </c>
      <c r="D1693" t="s">
        <v>584</v>
      </c>
      <c r="F1693" t="str">
        <f>"?51"</f>
        <v>?51</v>
      </c>
      <c r="G1693" t="s">
        <v>49</v>
      </c>
      <c r="K1693" t="s">
        <v>586</v>
      </c>
      <c r="L1693" t="s">
        <v>52</v>
      </c>
      <c r="M1693">
        <v>136064.53</v>
      </c>
      <c r="N1693">
        <v>472717.15</v>
      </c>
      <c r="O1693" t="s">
        <v>53</v>
      </c>
      <c r="P1693" t="s">
        <v>54</v>
      </c>
      <c r="AP1693" t="s">
        <v>53</v>
      </c>
      <c r="AR1693" t="s">
        <v>53</v>
      </c>
      <c r="BH1693" t="s">
        <v>53</v>
      </c>
    </row>
    <row r="1694" spans="1:78" x14ac:dyDescent="0.2">
      <c r="A1694" t="s">
        <v>180</v>
      </c>
      <c r="B1694" t="s">
        <v>181</v>
      </c>
      <c r="C1694" t="s">
        <v>184</v>
      </c>
      <c r="D1694" t="s">
        <v>584</v>
      </c>
      <c r="F1694" t="str">
        <f>"252022"</f>
        <v>252022</v>
      </c>
      <c r="G1694" t="s">
        <v>49</v>
      </c>
      <c r="K1694" t="s">
        <v>586</v>
      </c>
      <c r="L1694" t="s">
        <v>52</v>
      </c>
      <c r="M1694">
        <v>136071.75</v>
      </c>
      <c r="N1694">
        <v>472733.96</v>
      </c>
      <c r="O1694" t="s">
        <v>53</v>
      </c>
      <c r="P1694" t="s">
        <v>54</v>
      </c>
      <c r="AP1694" t="s">
        <v>53</v>
      </c>
      <c r="AR1694" t="s">
        <v>53</v>
      </c>
      <c r="BH1694" t="s">
        <v>53</v>
      </c>
    </row>
    <row r="1695" spans="1:78" x14ac:dyDescent="0.2">
      <c r="A1695" t="s">
        <v>180</v>
      </c>
      <c r="B1695" t="s">
        <v>181</v>
      </c>
      <c r="C1695" t="s">
        <v>182</v>
      </c>
      <c r="D1695" t="s">
        <v>545</v>
      </c>
      <c r="F1695" t="str">
        <f>"?61"</f>
        <v>?61</v>
      </c>
      <c r="G1695" t="s">
        <v>49</v>
      </c>
      <c r="K1695" t="s">
        <v>51</v>
      </c>
      <c r="L1695" t="s">
        <v>52</v>
      </c>
      <c r="M1695">
        <v>135692.51853129501</v>
      </c>
      <c r="N1695">
        <v>472857.215510201</v>
      </c>
      <c r="O1695" t="s">
        <v>53</v>
      </c>
      <c r="P1695" t="s">
        <v>54</v>
      </c>
      <c r="Q1695" t="s">
        <v>55</v>
      </c>
      <c r="T1695" t="s">
        <v>81</v>
      </c>
      <c r="U1695">
        <v>40</v>
      </c>
      <c r="V1695" s="1">
        <v>40544</v>
      </c>
      <c r="W1695" s="1">
        <v>40544</v>
      </c>
      <c r="X1695" s="1">
        <v>40544</v>
      </c>
      <c r="Y1695" s="1">
        <v>55154</v>
      </c>
      <c r="Z1695" t="s">
        <v>51</v>
      </c>
      <c r="AB1695" t="s">
        <v>54</v>
      </c>
      <c r="AE1695" t="s">
        <v>613</v>
      </c>
      <c r="AF1695">
        <v>20</v>
      </c>
      <c r="AG1695" s="1">
        <v>40544</v>
      </c>
      <c r="AH1695" s="1">
        <v>40544</v>
      </c>
      <c r="AI1695" s="1">
        <v>40544</v>
      </c>
      <c r="AJ1695" s="1">
        <v>47849</v>
      </c>
      <c r="AK1695" t="s">
        <v>51</v>
      </c>
      <c r="AN1695">
        <v>0</v>
      </c>
      <c r="AO1695" t="s">
        <v>54</v>
      </c>
      <c r="AP1695" t="s">
        <v>53</v>
      </c>
      <c r="AQ1695">
        <v>0</v>
      </c>
      <c r="AR1695" t="s">
        <v>53</v>
      </c>
      <c r="AS1695">
        <v>0</v>
      </c>
      <c r="AT1695">
        <v>0</v>
      </c>
      <c r="BK1695" t="s">
        <v>65</v>
      </c>
      <c r="BL1695">
        <v>14000</v>
      </c>
      <c r="BM1695" s="1">
        <v>42917</v>
      </c>
      <c r="BN1695" s="1">
        <v>42917</v>
      </c>
      <c r="BO1695" s="1">
        <v>42917</v>
      </c>
      <c r="BP1695" s="1">
        <v>44117</v>
      </c>
      <c r="BQ1695" t="s">
        <v>51</v>
      </c>
      <c r="BS1695" t="s">
        <v>60</v>
      </c>
      <c r="BT1695" t="s">
        <v>54</v>
      </c>
      <c r="BU1695" t="s">
        <v>61</v>
      </c>
      <c r="BV1695" t="s">
        <v>62</v>
      </c>
      <c r="BX1695">
        <v>36</v>
      </c>
      <c r="BY1695">
        <v>0</v>
      </c>
      <c r="BZ1695">
        <v>0</v>
      </c>
    </row>
    <row r="1696" spans="1:78" x14ac:dyDescent="0.2">
      <c r="A1696" t="s">
        <v>180</v>
      </c>
      <c r="B1696" t="s">
        <v>181</v>
      </c>
      <c r="C1696" t="s">
        <v>182</v>
      </c>
      <c r="D1696" t="s">
        <v>545</v>
      </c>
      <c r="F1696" t="str">
        <f>"?62"</f>
        <v>?62</v>
      </c>
      <c r="G1696" t="s">
        <v>49</v>
      </c>
      <c r="K1696" t="s">
        <v>51</v>
      </c>
      <c r="L1696" t="s">
        <v>52</v>
      </c>
      <c r="M1696">
        <v>135660.97</v>
      </c>
      <c r="N1696">
        <v>472866.35</v>
      </c>
      <c r="O1696" t="s">
        <v>53</v>
      </c>
      <c r="P1696" t="s">
        <v>54</v>
      </c>
      <c r="Q1696" t="s">
        <v>55</v>
      </c>
      <c r="T1696" t="s">
        <v>81</v>
      </c>
      <c r="U1696">
        <v>40</v>
      </c>
      <c r="V1696" s="1">
        <v>30317</v>
      </c>
      <c r="W1696" s="1">
        <v>30317</v>
      </c>
      <c r="X1696" s="1">
        <v>30317</v>
      </c>
      <c r="Y1696" s="1">
        <v>44927</v>
      </c>
      <c r="Z1696" t="s">
        <v>51</v>
      </c>
      <c r="AB1696" t="s">
        <v>54</v>
      </c>
      <c r="AE1696" t="s">
        <v>613</v>
      </c>
      <c r="AF1696">
        <v>20</v>
      </c>
      <c r="AG1696" s="1">
        <v>40544</v>
      </c>
      <c r="AH1696" s="1">
        <v>40544</v>
      </c>
      <c r="AI1696" s="1">
        <v>40544</v>
      </c>
      <c r="AJ1696" s="1">
        <v>47849</v>
      </c>
      <c r="AK1696" t="s">
        <v>51</v>
      </c>
      <c r="AN1696">
        <v>0</v>
      </c>
      <c r="AO1696" t="s">
        <v>54</v>
      </c>
      <c r="AP1696" t="s">
        <v>53</v>
      </c>
      <c r="AQ1696">
        <v>0</v>
      </c>
      <c r="AR1696" t="s">
        <v>53</v>
      </c>
      <c r="AS1696">
        <v>0</v>
      </c>
      <c r="AT1696">
        <v>0</v>
      </c>
      <c r="BK1696" t="s">
        <v>65</v>
      </c>
      <c r="BL1696">
        <v>14000</v>
      </c>
      <c r="BM1696" s="1">
        <v>42917</v>
      </c>
      <c r="BN1696" s="1">
        <v>42917</v>
      </c>
      <c r="BO1696" s="1">
        <v>42917</v>
      </c>
      <c r="BP1696" s="1">
        <v>44117</v>
      </c>
      <c r="BQ1696" t="s">
        <v>51</v>
      </c>
      <c r="BS1696" t="s">
        <v>60</v>
      </c>
      <c r="BT1696" t="s">
        <v>54</v>
      </c>
      <c r="BU1696" t="s">
        <v>61</v>
      </c>
      <c r="BV1696" t="s">
        <v>62</v>
      </c>
      <c r="BX1696">
        <v>36</v>
      </c>
      <c r="BY1696">
        <v>0</v>
      </c>
      <c r="BZ1696">
        <v>0</v>
      </c>
    </row>
    <row r="1697" spans="1:99" x14ac:dyDescent="0.2">
      <c r="A1697" t="s">
        <v>180</v>
      </c>
      <c r="B1697" t="s">
        <v>181</v>
      </c>
      <c r="C1697" t="s">
        <v>182</v>
      </c>
      <c r="D1697" t="s">
        <v>545</v>
      </c>
      <c r="F1697" t="str">
        <f>"?63"</f>
        <v>?63</v>
      </c>
      <c r="G1697" t="s">
        <v>49</v>
      </c>
      <c r="K1697" t="s">
        <v>51</v>
      </c>
      <c r="L1697" t="s">
        <v>52</v>
      </c>
      <c r="M1697">
        <v>135699.646749801</v>
      </c>
      <c r="N1697">
        <v>472915.380527106</v>
      </c>
      <c r="O1697" t="s">
        <v>53</v>
      </c>
      <c r="P1697" t="s">
        <v>54</v>
      </c>
      <c r="Q1697" t="s">
        <v>55</v>
      </c>
      <c r="T1697" t="s">
        <v>81</v>
      </c>
      <c r="U1697">
        <v>40</v>
      </c>
      <c r="V1697" s="1">
        <v>25569</v>
      </c>
      <c r="W1697" s="1">
        <v>25569</v>
      </c>
      <c r="X1697" s="1">
        <v>25569</v>
      </c>
      <c r="Y1697" s="1">
        <v>40179</v>
      </c>
      <c r="Z1697" t="s">
        <v>51</v>
      </c>
      <c r="AB1697" t="s">
        <v>54</v>
      </c>
      <c r="AE1697" t="s">
        <v>613</v>
      </c>
      <c r="AF1697">
        <v>20</v>
      </c>
      <c r="AG1697" s="1">
        <v>40544</v>
      </c>
      <c r="AH1697" s="1">
        <v>40544</v>
      </c>
      <c r="AI1697" s="1">
        <v>40544</v>
      </c>
      <c r="AJ1697" s="1">
        <v>47849</v>
      </c>
      <c r="AK1697" t="s">
        <v>51</v>
      </c>
      <c r="AN1697">
        <v>0</v>
      </c>
      <c r="AO1697" t="s">
        <v>54</v>
      </c>
      <c r="AP1697" t="s">
        <v>53</v>
      </c>
      <c r="AQ1697">
        <v>0</v>
      </c>
      <c r="AR1697" t="s">
        <v>53</v>
      </c>
      <c r="AS1697">
        <v>0</v>
      </c>
      <c r="AT1697">
        <v>0</v>
      </c>
      <c r="BK1697" t="s">
        <v>65</v>
      </c>
      <c r="BL1697">
        <v>14000</v>
      </c>
      <c r="BM1697" s="1">
        <v>42926</v>
      </c>
      <c r="BN1697" s="1">
        <v>42926</v>
      </c>
      <c r="BO1697" s="1">
        <v>42926</v>
      </c>
      <c r="BP1697" s="1">
        <v>44122</v>
      </c>
      <c r="BQ1697" t="s">
        <v>51</v>
      </c>
      <c r="BS1697" t="s">
        <v>60</v>
      </c>
      <c r="BT1697" t="s">
        <v>54</v>
      </c>
      <c r="BU1697" t="s">
        <v>61</v>
      </c>
      <c r="BV1697" t="s">
        <v>62</v>
      </c>
      <c r="BX1697">
        <v>36</v>
      </c>
      <c r="BY1697">
        <v>0</v>
      </c>
      <c r="BZ1697">
        <v>0</v>
      </c>
    </row>
    <row r="1698" spans="1:99" x14ac:dyDescent="0.2">
      <c r="A1698" t="s">
        <v>180</v>
      </c>
      <c r="B1698" t="s">
        <v>181</v>
      </c>
      <c r="C1698" t="s">
        <v>184</v>
      </c>
      <c r="D1698" t="s">
        <v>513</v>
      </c>
      <c r="F1698" t="str">
        <f>"?64"</f>
        <v>?64</v>
      </c>
      <c r="G1698" t="s">
        <v>49</v>
      </c>
      <c r="K1698" t="s">
        <v>51</v>
      </c>
      <c r="L1698" t="s">
        <v>52</v>
      </c>
      <c r="M1698">
        <v>135013.31299999999</v>
      </c>
      <c r="N1698">
        <v>471490.80699999997</v>
      </c>
      <c r="O1698" t="s">
        <v>53</v>
      </c>
      <c r="P1698" t="s">
        <v>54</v>
      </c>
      <c r="Q1698" t="s">
        <v>55</v>
      </c>
      <c r="T1698" t="s">
        <v>466</v>
      </c>
      <c r="U1698">
        <v>40</v>
      </c>
      <c r="V1698" s="1">
        <v>44197</v>
      </c>
      <c r="W1698" s="1">
        <v>44197</v>
      </c>
      <c r="X1698" s="1">
        <v>44197</v>
      </c>
      <c r="Y1698" s="1">
        <v>58807</v>
      </c>
      <c r="Z1698" t="s">
        <v>51</v>
      </c>
      <c r="AB1698" t="s">
        <v>54</v>
      </c>
      <c r="AE1698" t="s">
        <v>356</v>
      </c>
      <c r="AF1698">
        <v>20</v>
      </c>
      <c r="AG1698" s="1">
        <v>44197</v>
      </c>
      <c r="AH1698" s="1">
        <v>44197</v>
      </c>
      <c r="AI1698" s="1">
        <v>44197</v>
      </c>
      <c r="AJ1698" s="1">
        <v>51502</v>
      </c>
      <c r="AK1698" t="s">
        <v>51</v>
      </c>
      <c r="AN1698">
        <v>0</v>
      </c>
      <c r="AO1698" t="s">
        <v>54</v>
      </c>
      <c r="AP1698" t="s">
        <v>53</v>
      </c>
      <c r="AQ1698">
        <v>0</v>
      </c>
      <c r="AR1698" t="s">
        <v>145</v>
      </c>
      <c r="AS1698">
        <v>0</v>
      </c>
      <c r="AT1698">
        <v>0</v>
      </c>
      <c r="CC1698" t="s">
        <v>529</v>
      </c>
      <c r="CD1698">
        <v>85000</v>
      </c>
      <c r="CE1698" s="1">
        <v>44197</v>
      </c>
      <c r="CF1698" s="1">
        <v>44197</v>
      </c>
      <c r="CG1698" s="1">
        <v>44197</v>
      </c>
      <c r="CH1698" s="1">
        <v>51826</v>
      </c>
      <c r="CI1698" t="s">
        <v>51</v>
      </c>
      <c r="CK1698" t="s">
        <v>78</v>
      </c>
      <c r="CM1698" t="s">
        <v>54</v>
      </c>
      <c r="CN1698" t="s">
        <v>174</v>
      </c>
      <c r="CO1698" t="s">
        <v>86</v>
      </c>
      <c r="CR1698">
        <v>35</v>
      </c>
      <c r="CS1698">
        <v>0</v>
      </c>
      <c r="CT1698">
        <v>0</v>
      </c>
      <c r="CU1698">
        <v>0</v>
      </c>
    </row>
    <row r="1699" spans="1:99" x14ac:dyDescent="0.2">
      <c r="A1699" t="s">
        <v>180</v>
      </c>
      <c r="B1699" t="s">
        <v>181</v>
      </c>
      <c r="C1699" t="s">
        <v>184</v>
      </c>
      <c r="D1699" t="s">
        <v>513</v>
      </c>
      <c r="F1699" t="str">
        <f>"?65"</f>
        <v>?65</v>
      </c>
      <c r="G1699" t="s">
        <v>49</v>
      </c>
      <c r="K1699" t="s">
        <v>51</v>
      </c>
      <c r="L1699" t="s">
        <v>52</v>
      </c>
      <c r="M1699">
        <v>134704.23000000001</v>
      </c>
      <c r="N1699">
        <v>471241.13</v>
      </c>
      <c r="O1699" t="s">
        <v>53</v>
      </c>
      <c r="P1699" t="s">
        <v>54</v>
      </c>
      <c r="Q1699" t="s">
        <v>55</v>
      </c>
      <c r="S1699" t="s">
        <v>514</v>
      </c>
      <c r="T1699" t="s">
        <v>514</v>
      </c>
      <c r="U1699">
        <v>30</v>
      </c>
      <c r="V1699" s="1">
        <v>44197</v>
      </c>
      <c r="W1699" s="1">
        <v>44197</v>
      </c>
      <c r="X1699" s="1">
        <v>44197</v>
      </c>
      <c r="Y1699" s="1">
        <v>55154</v>
      </c>
      <c r="Z1699" t="s">
        <v>51</v>
      </c>
      <c r="AB1699" t="s">
        <v>54</v>
      </c>
      <c r="AC1699">
        <v>1</v>
      </c>
      <c r="AE1699" t="s">
        <v>515</v>
      </c>
      <c r="AF1699">
        <v>20</v>
      </c>
      <c r="AG1699" s="1">
        <v>44197</v>
      </c>
      <c r="AH1699" s="1">
        <v>44197</v>
      </c>
      <c r="AI1699" s="1">
        <v>44197</v>
      </c>
      <c r="AJ1699" s="1">
        <v>51502</v>
      </c>
      <c r="AK1699" t="s">
        <v>51</v>
      </c>
      <c r="AN1699">
        <v>0</v>
      </c>
      <c r="AO1699" t="s">
        <v>54</v>
      </c>
      <c r="AP1699" t="s">
        <v>53</v>
      </c>
      <c r="AQ1699">
        <v>0</v>
      </c>
      <c r="AR1699" t="s">
        <v>53</v>
      </c>
      <c r="AS1699">
        <v>0</v>
      </c>
      <c r="AT1699">
        <v>0</v>
      </c>
      <c r="CC1699" t="s">
        <v>432</v>
      </c>
      <c r="CD1699">
        <v>85000</v>
      </c>
      <c r="CE1699" s="1">
        <v>44197</v>
      </c>
      <c r="CF1699" s="1">
        <v>44197</v>
      </c>
      <c r="CG1699" s="1">
        <v>44197</v>
      </c>
      <c r="CH1699" s="1">
        <v>51826</v>
      </c>
      <c r="CI1699" t="s">
        <v>51</v>
      </c>
      <c r="CK1699" t="s">
        <v>78</v>
      </c>
      <c r="CM1699" t="s">
        <v>54</v>
      </c>
      <c r="CN1699" t="s">
        <v>174</v>
      </c>
      <c r="CO1699" t="s">
        <v>86</v>
      </c>
      <c r="CR1699">
        <v>24</v>
      </c>
      <c r="CS1699">
        <v>0</v>
      </c>
      <c r="CT1699">
        <v>0</v>
      </c>
      <c r="CU1699">
        <v>0</v>
      </c>
    </row>
    <row r="1700" spans="1:99" x14ac:dyDescent="0.2">
      <c r="A1700" t="s">
        <v>180</v>
      </c>
      <c r="B1700" t="s">
        <v>181</v>
      </c>
      <c r="C1700" t="s">
        <v>184</v>
      </c>
      <c r="D1700" t="s">
        <v>513</v>
      </c>
      <c r="F1700" t="str">
        <f>"250273"</f>
        <v>250273</v>
      </c>
      <c r="G1700" t="s">
        <v>49</v>
      </c>
      <c r="K1700" t="s">
        <v>51</v>
      </c>
      <c r="L1700" t="s">
        <v>52</v>
      </c>
      <c r="M1700">
        <v>134692.34</v>
      </c>
      <c r="N1700">
        <v>471230.54</v>
      </c>
      <c r="O1700" t="s">
        <v>53</v>
      </c>
      <c r="P1700" t="s">
        <v>54</v>
      </c>
      <c r="Q1700" t="s">
        <v>55</v>
      </c>
      <c r="S1700" t="s">
        <v>514</v>
      </c>
      <c r="T1700" t="s">
        <v>514</v>
      </c>
      <c r="U1700">
        <v>30</v>
      </c>
      <c r="V1700" s="1">
        <v>44197</v>
      </c>
      <c r="W1700" s="1">
        <v>44197</v>
      </c>
      <c r="X1700" s="1">
        <v>44197</v>
      </c>
      <c r="Y1700" s="1">
        <v>55154</v>
      </c>
      <c r="Z1700" t="s">
        <v>51</v>
      </c>
      <c r="AB1700" t="s">
        <v>54</v>
      </c>
      <c r="AC1700">
        <v>1</v>
      </c>
      <c r="AE1700" t="s">
        <v>515</v>
      </c>
      <c r="AF1700">
        <v>20</v>
      </c>
      <c r="AG1700" s="1">
        <v>44197</v>
      </c>
      <c r="AH1700" s="1">
        <v>44197</v>
      </c>
      <c r="AI1700" s="1">
        <v>44197</v>
      </c>
      <c r="AJ1700" s="1">
        <v>51502</v>
      </c>
      <c r="AK1700" t="s">
        <v>51</v>
      </c>
      <c r="AN1700">
        <v>0</v>
      </c>
      <c r="AO1700" t="s">
        <v>54</v>
      </c>
      <c r="AP1700" t="s">
        <v>53</v>
      </c>
      <c r="AQ1700">
        <v>0</v>
      </c>
      <c r="AR1700" t="s">
        <v>53</v>
      </c>
      <c r="AS1700">
        <v>0</v>
      </c>
      <c r="AT1700">
        <v>0</v>
      </c>
      <c r="CC1700" t="s">
        <v>432</v>
      </c>
      <c r="CD1700">
        <v>85000</v>
      </c>
      <c r="CE1700" s="1">
        <v>44197</v>
      </c>
      <c r="CF1700" s="1">
        <v>44197</v>
      </c>
      <c r="CG1700" s="1">
        <v>44197</v>
      </c>
      <c r="CH1700" s="1">
        <v>51826</v>
      </c>
      <c r="CI1700" t="s">
        <v>51</v>
      </c>
      <c r="CK1700" t="s">
        <v>78</v>
      </c>
      <c r="CM1700" t="s">
        <v>54</v>
      </c>
      <c r="CN1700" t="s">
        <v>174</v>
      </c>
      <c r="CO1700" t="s">
        <v>86</v>
      </c>
      <c r="CR1700">
        <v>24</v>
      </c>
      <c r="CS1700">
        <v>0</v>
      </c>
      <c r="CT1700">
        <v>0</v>
      </c>
      <c r="CU1700">
        <v>0</v>
      </c>
    </row>
    <row r="1701" spans="1:99" x14ac:dyDescent="0.2">
      <c r="A1701" t="s">
        <v>180</v>
      </c>
      <c r="B1701" t="s">
        <v>181</v>
      </c>
      <c r="C1701" t="s">
        <v>184</v>
      </c>
      <c r="D1701" t="s">
        <v>584</v>
      </c>
      <c r="F1701" t="str">
        <f>"?67"</f>
        <v>?67</v>
      </c>
      <c r="G1701" t="s">
        <v>49</v>
      </c>
      <c r="K1701" t="s">
        <v>586</v>
      </c>
      <c r="L1701" t="s">
        <v>52</v>
      </c>
      <c r="M1701">
        <v>136079.14000000001</v>
      </c>
      <c r="N1701">
        <v>472669.62</v>
      </c>
      <c r="O1701" t="s">
        <v>53</v>
      </c>
      <c r="P1701" t="s">
        <v>54</v>
      </c>
      <c r="AP1701" t="s">
        <v>53</v>
      </c>
      <c r="AR1701" t="s">
        <v>53</v>
      </c>
      <c r="BH1701" t="s">
        <v>53</v>
      </c>
    </row>
    <row r="1702" spans="1:99" x14ac:dyDescent="0.2">
      <c r="A1702" t="s">
        <v>180</v>
      </c>
      <c r="B1702" t="s">
        <v>181</v>
      </c>
      <c r="C1702" t="s">
        <v>184</v>
      </c>
      <c r="D1702" t="s">
        <v>584</v>
      </c>
      <c r="F1702" t="str">
        <f>"?68"</f>
        <v>?68</v>
      </c>
      <c r="G1702" t="s">
        <v>49</v>
      </c>
      <c r="K1702" t="s">
        <v>586</v>
      </c>
      <c r="L1702" t="s">
        <v>52</v>
      </c>
      <c r="M1702">
        <v>136074.35999999999</v>
      </c>
      <c r="N1702">
        <v>472683.38</v>
      </c>
      <c r="O1702" t="s">
        <v>53</v>
      </c>
      <c r="P1702" t="s">
        <v>54</v>
      </c>
      <c r="AP1702" t="s">
        <v>53</v>
      </c>
      <c r="AR1702" t="s">
        <v>53</v>
      </c>
      <c r="BH1702" t="s">
        <v>53</v>
      </c>
    </row>
    <row r="1703" spans="1:99" x14ac:dyDescent="0.2">
      <c r="A1703" t="s">
        <v>180</v>
      </c>
      <c r="B1703" t="s">
        <v>181</v>
      </c>
      <c r="C1703" t="s">
        <v>433</v>
      </c>
      <c r="D1703" t="s">
        <v>426</v>
      </c>
      <c r="F1703" t="str">
        <f>"?69"</f>
        <v>?69</v>
      </c>
      <c r="G1703" t="s">
        <v>49</v>
      </c>
      <c r="K1703" t="s">
        <v>427</v>
      </c>
      <c r="L1703" t="s">
        <v>52</v>
      </c>
      <c r="M1703">
        <v>136872.03</v>
      </c>
      <c r="N1703">
        <v>470187.19</v>
      </c>
      <c r="O1703" t="s">
        <v>53</v>
      </c>
      <c r="P1703" t="s">
        <v>54</v>
      </c>
      <c r="AP1703" t="s">
        <v>53</v>
      </c>
      <c r="AR1703" t="s">
        <v>53</v>
      </c>
      <c r="BH1703" t="s">
        <v>53</v>
      </c>
    </row>
    <row r="1704" spans="1:99" x14ac:dyDescent="0.2">
      <c r="A1704" t="s">
        <v>180</v>
      </c>
      <c r="B1704" t="s">
        <v>181</v>
      </c>
      <c r="C1704" t="s">
        <v>433</v>
      </c>
      <c r="D1704" t="s">
        <v>426</v>
      </c>
      <c r="F1704" t="str">
        <f>"?70"</f>
        <v>?70</v>
      </c>
      <c r="G1704" t="s">
        <v>49</v>
      </c>
      <c r="K1704" t="s">
        <v>427</v>
      </c>
      <c r="L1704" t="s">
        <v>52</v>
      </c>
      <c r="M1704">
        <v>136842.06</v>
      </c>
      <c r="N1704">
        <v>470179.72</v>
      </c>
      <c r="O1704" t="s">
        <v>53</v>
      </c>
      <c r="P1704" t="s">
        <v>54</v>
      </c>
      <c r="AP1704" t="s">
        <v>53</v>
      </c>
      <c r="AR1704" t="s">
        <v>53</v>
      </c>
      <c r="BH1704" t="s">
        <v>53</v>
      </c>
    </row>
    <row r="1705" spans="1:99" x14ac:dyDescent="0.2">
      <c r="A1705" t="s">
        <v>180</v>
      </c>
      <c r="B1705" t="s">
        <v>181</v>
      </c>
      <c r="C1705" t="s">
        <v>433</v>
      </c>
      <c r="D1705" t="s">
        <v>426</v>
      </c>
      <c r="F1705" t="str">
        <f>"?71"</f>
        <v>?71</v>
      </c>
      <c r="G1705" t="s">
        <v>49</v>
      </c>
      <c r="K1705" t="s">
        <v>427</v>
      </c>
      <c r="L1705" t="s">
        <v>52</v>
      </c>
      <c r="M1705">
        <v>136844.48000000001</v>
      </c>
      <c r="N1705">
        <v>470202.31</v>
      </c>
      <c r="O1705" t="s">
        <v>53</v>
      </c>
      <c r="P1705" t="s">
        <v>54</v>
      </c>
      <c r="AP1705" t="s">
        <v>53</v>
      </c>
      <c r="AR1705" t="s">
        <v>53</v>
      </c>
      <c r="BH1705" t="s">
        <v>53</v>
      </c>
    </row>
    <row r="1706" spans="1:99" x14ac:dyDescent="0.2">
      <c r="A1706" t="s">
        <v>180</v>
      </c>
      <c r="B1706" t="s">
        <v>181</v>
      </c>
      <c r="C1706" t="s">
        <v>184</v>
      </c>
      <c r="D1706" t="s">
        <v>470</v>
      </c>
      <c r="F1706" t="str">
        <f>"?72"</f>
        <v>?72</v>
      </c>
      <c r="G1706" t="s">
        <v>49</v>
      </c>
      <c r="K1706" t="s">
        <v>51</v>
      </c>
      <c r="L1706" t="s">
        <v>52</v>
      </c>
      <c r="M1706">
        <v>136889.57999999999</v>
      </c>
      <c r="N1706">
        <v>470287.05</v>
      </c>
      <c r="O1706" t="s">
        <v>53</v>
      </c>
      <c r="P1706" t="s">
        <v>54</v>
      </c>
      <c r="Q1706" t="s">
        <v>55</v>
      </c>
      <c r="T1706" t="s">
        <v>431</v>
      </c>
      <c r="U1706">
        <v>40</v>
      </c>
      <c r="V1706" s="1">
        <v>37073</v>
      </c>
      <c r="W1706" s="1">
        <v>37073</v>
      </c>
      <c r="X1706" s="1">
        <v>37073</v>
      </c>
      <c r="Y1706" s="1">
        <v>51683</v>
      </c>
      <c r="Z1706" t="s">
        <v>51</v>
      </c>
      <c r="AB1706" t="s">
        <v>54</v>
      </c>
      <c r="AC1706">
        <v>1</v>
      </c>
      <c r="AE1706" t="s">
        <v>79</v>
      </c>
      <c r="AF1706">
        <v>20</v>
      </c>
      <c r="AG1706" s="1">
        <v>37073</v>
      </c>
      <c r="AH1706" s="1">
        <v>37073</v>
      </c>
      <c r="AI1706" s="1">
        <v>37073</v>
      </c>
      <c r="AJ1706" s="1">
        <v>44378</v>
      </c>
      <c r="AK1706" t="s">
        <v>51</v>
      </c>
      <c r="AN1706">
        <v>0</v>
      </c>
      <c r="AO1706" t="s">
        <v>54</v>
      </c>
      <c r="AP1706" t="s">
        <v>53</v>
      </c>
      <c r="AQ1706">
        <v>0</v>
      </c>
      <c r="AR1706" t="s">
        <v>145</v>
      </c>
      <c r="AS1706">
        <v>0</v>
      </c>
      <c r="AT1706">
        <v>0</v>
      </c>
      <c r="AW1706" t="s">
        <v>79</v>
      </c>
      <c r="AX1706">
        <v>20</v>
      </c>
      <c r="AY1706" s="1">
        <v>37073</v>
      </c>
      <c r="AZ1706" s="1">
        <v>37073</v>
      </c>
      <c r="BA1706" s="1">
        <v>37073</v>
      </c>
      <c r="BB1706" s="1">
        <v>44378</v>
      </c>
      <c r="BC1706" t="s">
        <v>51</v>
      </c>
      <c r="BE1706" t="s">
        <v>54</v>
      </c>
      <c r="BF1706">
        <v>5</v>
      </c>
      <c r="BG1706">
        <v>0</v>
      </c>
      <c r="BH1706" t="s">
        <v>53</v>
      </c>
      <c r="BK1706" t="s">
        <v>59</v>
      </c>
      <c r="BL1706">
        <v>14000</v>
      </c>
      <c r="BM1706" s="1">
        <v>42917</v>
      </c>
      <c r="BN1706" s="1">
        <v>42917</v>
      </c>
      <c r="BO1706" s="1">
        <v>42917</v>
      </c>
      <c r="BP1706" s="1">
        <v>44117</v>
      </c>
      <c r="BQ1706" t="s">
        <v>51</v>
      </c>
      <c r="BS1706" t="s">
        <v>60</v>
      </c>
      <c r="BT1706" t="s">
        <v>54</v>
      </c>
      <c r="BU1706" t="s">
        <v>61</v>
      </c>
      <c r="BV1706" t="s">
        <v>62</v>
      </c>
      <c r="BX1706">
        <v>24</v>
      </c>
      <c r="BY1706">
        <v>0</v>
      </c>
      <c r="BZ1706">
        <v>0</v>
      </c>
    </row>
    <row r="1707" spans="1:99" x14ac:dyDescent="0.2">
      <c r="A1707" t="s">
        <v>180</v>
      </c>
      <c r="B1707" t="s">
        <v>181</v>
      </c>
      <c r="C1707" t="s">
        <v>184</v>
      </c>
      <c r="D1707" t="s">
        <v>470</v>
      </c>
      <c r="F1707" t="str">
        <f>"?73"</f>
        <v>?73</v>
      </c>
      <c r="G1707" t="s">
        <v>49</v>
      </c>
      <c r="K1707" t="s">
        <v>51</v>
      </c>
      <c r="L1707" t="s">
        <v>52</v>
      </c>
      <c r="M1707">
        <v>136864.76</v>
      </c>
      <c r="N1707">
        <v>470393.06</v>
      </c>
      <c r="O1707" t="s">
        <v>53</v>
      </c>
      <c r="P1707" t="s">
        <v>54</v>
      </c>
      <c r="Q1707" t="s">
        <v>55</v>
      </c>
      <c r="T1707" t="s">
        <v>431</v>
      </c>
      <c r="U1707">
        <v>40</v>
      </c>
      <c r="V1707" s="1">
        <v>37073</v>
      </c>
      <c r="W1707" s="1">
        <v>37073</v>
      </c>
      <c r="X1707" s="1">
        <v>37073</v>
      </c>
      <c r="Y1707" s="1">
        <v>51683</v>
      </c>
      <c r="Z1707" t="s">
        <v>51</v>
      </c>
      <c r="AB1707" t="s">
        <v>54</v>
      </c>
      <c r="AC1707">
        <v>1</v>
      </c>
      <c r="AE1707" t="s">
        <v>79</v>
      </c>
      <c r="AF1707">
        <v>20</v>
      </c>
      <c r="AG1707" s="1">
        <v>37073</v>
      </c>
      <c r="AH1707" s="1">
        <v>37073</v>
      </c>
      <c r="AI1707" s="1">
        <v>37073</v>
      </c>
      <c r="AJ1707" s="1">
        <v>44378</v>
      </c>
      <c r="AK1707" t="s">
        <v>51</v>
      </c>
      <c r="AN1707">
        <v>0</v>
      </c>
      <c r="AO1707" t="s">
        <v>54</v>
      </c>
      <c r="AP1707" t="s">
        <v>53</v>
      </c>
      <c r="AQ1707">
        <v>0</v>
      </c>
      <c r="AR1707" t="s">
        <v>145</v>
      </c>
      <c r="AS1707">
        <v>0</v>
      </c>
      <c r="AT1707">
        <v>0</v>
      </c>
      <c r="AW1707" t="s">
        <v>79</v>
      </c>
      <c r="AX1707">
        <v>20</v>
      </c>
      <c r="AY1707" s="1">
        <v>37073</v>
      </c>
      <c r="AZ1707" s="1">
        <v>37073</v>
      </c>
      <c r="BA1707" s="1">
        <v>37073</v>
      </c>
      <c r="BB1707" s="1">
        <v>44378</v>
      </c>
      <c r="BC1707" t="s">
        <v>51</v>
      </c>
      <c r="BE1707" t="s">
        <v>54</v>
      </c>
      <c r="BF1707">
        <v>5</v>
      </c>
      <c r="BG1707">
        <v>0</v>
      </c>
      <c r="BH1707" t="s">
        <v>53</v>
      </c>
      <c r="BK1707" t="s">
        <v>59</v>
      </c>
      <c r="BL1707">
        <v>14000</v>
      </c>
      <c r="BM1707" s="1">
        <v>42917</v>
      </c>
      <c r="BN1707" s="1">
        <v>42917</v>
      </c>
      <c r="BO1707" s="1">
        <v>42917</v>
      </c>
      <c r="BP1707" s="1">
        <v>44117</v>
      </c>
      <c r="BQ1707" t="s">
        <v>51</v>
      </c>
      <c r="BS1707" t="s">
        <v>60</v>
      </c>
      <c r="BT1707" t="s">
        <v>54</v>
      </c>
      <c r="BU1707" t="s">
        <v>61</v>
      </c>
      <c r="BV1707" t="s">
        <v>62</v>
      </c>
      <c r="BX1707">
        <v>24</v>
      </c>
      <c r="BY1707">
        <v>0</v>
      </c>
      <c r="BZ1707">
        <v>0</v>
      </c>
    </row>
    <row r="1708" spans="1:99" x14ac:dyDescent="0.2">
      <c r="A1708" t="s">
        <v>180</v>
      </c>
      <c r="B1708" t="s">
        <v>181</v>
      </c>
      <c r="C1708" t="s">
        <v>184</v>
      </c>
      <c r="D1708" t="s">
        <v>784</v>
      </c>
      <c r="F1708" t="str">
        <f>"?90"</f>
        <v>?90</v>
      </c>
      <c r="G1708" t="s">
        <v>49</v>
      </c>
      <c r="K1708" t="s">
        <v>51</v>
      </c>
      <c r="L1708" t="s">
        <v>52</v>
      </c>
      <c r="M1708">
        <v>136438.76999999999</v>
      </c>
      <c r="N1708">
        <v>472339.91</v>
      </c>
      <c r="O1708" t="s">
        <v>53</v>
      </c>
      <c r="P1708" t="s">
        <v>54</v>
      </c>
      <c r="Q1708" t="s">
        <v>55</v>
      </c>
      <c r="T1708" t="s">
        <v>431</v>
      </c>
      <c r="U1708">
        <v>40</v>
      </c>
      <c r="V1708" s="1">
        <v>27942</v>
      </c>
      <c r="W1708" s="1">
        <v>27942</v>
      </c>
      <c r="X1708" s="1">
        <v>27942</v>
      </c>
      <c r="Y1708" s="1">
        <v>42552</v>
      </c>
      <c r="Z1708" t="s">
        <v>51</v>
      </c>
      <c r="AB1708" t="s">
        <v>54</v>
      </c>
      <c r="AC1708">
        <v>1</v>
      </c>
      <c r="AE1708" t="s">
        <v>79</v>
      </c>
      <c r="AF1708">
        <v>20</v>
      </c>
      <c r="AG1708" s="1">
        <v>38169</v>
      </c>
      <c r="AH1708" s="1">
        <v>38169</v>
      </c>
      <c r="AI1708" s="1">
        <v>38169</v>
      </c>
      <c r="AJ1708" s="1">
        <v>45474</v>
      </c>
      <c r="AK1708" t="s">
        <v>51</v>
      </c>
      <c r="AN1708">
        <v>0</v>
      </c>
      <c r="AO1708" t="s">
        <v>54</v>
      </c>
      <c r="AP1708" t="s">
        <v>53</v>
      </c>
      <c r="AQ1708">
        <v>0</v>
      </c>
      <c r="AR1708" t="s">
        <v>145</v>
      </c>
      <c r="AS1708">
        <v>0</v>
      </c>
      <c r="AT1708">
        <v>0</v>
      </c>
      <c r="AW1708" t="s">
        <v>79</v>
      </c>
      <c r="AX1708">
        <v>20</v>
      </c>
      <c r="AY1708" s="1">
        <v>38169</v>
      </c>
      <c r="AZ1708" s="1">
        <v>38169</v>
      </c>
      <c r="BA1708" s="1">
        <v>38169</v>
      </c>
      <c r="BB1708" s="1">
        <v>45474</v>
      </c>
      <c r="BC1708" t="s">
        <v>51</v>
      </c>
      <c r="BE1708" t="s">
        <v>54</v>
      </c>
      <c r="BF1708">
        <v>5</v>
      </c>
      <c r="BG1708">
        <v>0</v>
      </c>
      <c r="BH1708" t="s">
        <v>53</v>
      </c>
      <c r="BK1708" t="s">
        <v>763</v>
      </c>
      <c r="BL1708">
        <v>14000</v>
      </c>
      <c r="BM1708" s="1">
        <v>42917</v>
      </c>
      <c r="BN1708" s="1">
        <v>42917</v>
      </c>
      <c r="BO1708" s="1">
        <v>42917</v>
      </c>
      <c r="BP1708" s="1">
        <v>44117</v>
      </c>
      <c r="BQ1708" t="s">
        <v>51</v>
      </c>
      <c r="BS1708" t="s">
        <v>60</v>
      </c>
      <c r="BT1708" t="s">
        <v>54</v>
      </c>
      <c r="BU1708" t="s">
        <v>61</v>
      </c>
      <c r="BV1708" t="s">
        <v>62</v>
      </c>
      <c r="BW1708">
        <v>830</v>
      </c>
      <c r="BX1708">
        <v>36</v>
      </c>
      <c r="BY1708">
        <v>0</v>
      </c>
      <c r="BZ1708">
        <v>0</v>
      </c>
    </row>
    <row r="1709" spans="1:99" x14ac:dyDescent="0.2">
      <c r="A1709" t="s">
        <v>180</v>
      </c>
      <c r="B1709" t="s">
        <v>181</v>
      </c>
      <c r="C1709" t="s">
        <v>433</v>
      </c>
      <c r="D1709" t="s">
        <v>512</v>
      </c>
      <c r="F1709" t="str">
        <f>"25024?"</f>
        <v>25024?</v>
      </c>
      <c r="G1709" t="s">
        <v>49</v>
      </c>
      <c r="K1709" t="s">
        <v>51</v>
      </c>
      <c r="L1709" t="s">
        <v>52</v>
      </c>
      <c r="M1709">
        <v>136136.04999999999</v>
      </c>
      <c r="N1709">
        <v>469782.09</v>
      </c>
      <c r="O1709" t="s">
        <v>53</v>
      </c>
      <c r="P1709" t="s">
        <v>54</v>
      </c>
      <c r="Q1709" t="s">
        <v>55</v>
      </c>
      <c r="T1709" t="s">
        <v>431</v>
      </c>
      <c r="U1709">
        <v>40</v>
      </c>
      <c r="V1709" s="1">
        <v>32874</v>
      </c>
      <c r="W1709" s="1">
        <v>32874</v>
      </c>
      <c r="X1709" s="1">
        <v>32874</v>
      </c>
      <c r="Y1709" s="1">
        <v>47484</v>
      </c>
      <c r="Z1709" t="s">
        <v>51</v>
      </c>
      <c r="AB1709" t="s">
        <v>54</v>
      </c>
      <c r="AC1709">
        <v>1</v>
      </c>
      <c r="AE1709" t="s">
        <v>79</v>
      </c>
      <c r="AF1709">
        <v>20</v>
      </c>
      <c r="AG1709" s="1">
        <v>32874</v>
      </c>
      <c r="AH1709" s="1">
        <v>32874</v>
      </c>
      <c r="AI1709" s="1">
        <v>32874</v>
      </c>
      <c r="AJ1709" s="1">
        <v>40179</v>
      </c>
      <c r="AK1709" t="s">
        <v>51</v>
      </c>
      <c r="AN1709">
        <v>0</v>
      </c>
      <c r="AO1709" t="s">
        <v>54</v>
      </c>
      <c r="AP1709" t="s">
        <v>53</v>
      </c>
      <c r="AQ1709">
        <v>0</v>
      </c>
      <c r="AR1709" t="s">
        <v>145</v>
      </c>
      <c r="AS1709">
        <v>0</v>
      </c>
      <c r="AT1709">
        <v>0</v>
      </c>
      <c r="AW1709" t="s">
        <v>79</v>
      </c>
      <c r="AX1709">
        <v>20</v>
      </c>
      <c r="AY1709" s="1">
        <v>32874</v>
      </c>
      <c r="AZ1709" s="1">
        <v>32874</v>
      </c>
      <c r="BA1709" s="1">
        <v>32874</v>
      </c>
      <c r="BB1709" s="1">
        <v>40179</v>
      </c>
      <c r="BC1709" t="s">
        <v>51</v>
      </c>
      <c r="BE1709" t="s">
        <v>54</v>
      </c>
      <c r="BF1709">
        <v>5</v>
      </c>
      <c r="BG1709">
        <v>0</v>
      </c>
      <c r="BH1709" t="s">
        <v>53</v>
      </c>
      <c r="BK1709" t="s">
        <v>59</v>
      </c>
      <c r="BL1709">
        <v>14000</v>
      </c>
      <c r="BM1709" s="1">
        <v>42917</v>
      </c>
      <c r="BN1709" s="1">
        <v>42917</v>
      </c>
      <c r="BO1709" s="1">
        <v>42917</v>
      </c>
      <c r="BP1709" s="1">
        <v>44117</v>
      </c>
      <c r="BQ1709" t="s">
        <v>51</v>
      </c>
      <c r="BS1709" t="s">
        <v>60</v>
      </c>
      <c r="BT1709" t="s">
        <v>54</v>
      </c>
      <c r="BU1709" t="s">
        <v>61</v>
      </c>
      <c r="BV1709" t="s">
        <v>62</v>
      </c>
      <c r="BX1709">
        <v>24</v>
      </c>
      <c r="BY1709">
        <v>0</v>
      </c>
      <c r="BZ1709">
        <v>0</v>
      </c>
    </row>
    <row r="1710" spans="1:99" x14ac:dyDescent="0.2">
      <c r="A1710" t="s">
        <v>367</v>
      </c>
      <c r="B1710" t="s">
        <v>440</v>
      </c>
      <c r="C1710" t="s">
        <v>441</v>
      </c>
      <c r="D1710" t="s">
        <v>806</v>
      </c>
      <c r="F1710" t="str">
        <f>"26481"</f>
        <v>26481</v>
      </c>
      <c r="G1710" t="s">
        <v>49</v>
      </c>
      <c r="H1710" t="s">
        <v>807</v>
      </c>
      <c r="K1710" t="s">
        <v>51</v>
      </c>
      <c r="L1710" t="s">
        <v>52</v>
      </c>
      <c r="M1710">
        <v>134538.59</v>
      </c>
      <c r="N1710">
        <v>468796.08</v>
      </c>
      <c r="O1710" t="s">
        <v>53</v>
      </c>
      <c r="P1710" t="s">
        <v>54</v>
      </c>
      <c r="Q1710" t="s">
        <v>55</v>
      </c>
      <c r="T1710" t="s">
        <v>808</v>
      </c>
      <c r="U1710">
        <v>40</v>
      </c>
      <c r="V1710" s="1">
        <v>27759</v>
      </c>
      <c r="W1710" s="1">
        <v>27759</v>
      </c>
      <c r="X1710" s="1">
        <v>27759</v>
      </c>
      <c r="Y1710" s="1">
        <v>42369</v>
      </c>
      <c r="Z1710" t="s">
        <v>51</v>
      </c>
      <c r="AB1710" t="s">
        <v>54</v>
      </c>
      <c r="AC1710">
        <v>1</v>
      </c>
      <c r="AD1710" t="s">
        <v>809</v>
      </c>
      <c r="AE1710" t="s">
        <v>810</v>
      </c>
      <c r="AF1710">
        <v>20</v>
      </c>
      <c r="AG1710" s="1">
        <v>43282</v>
      </c>
      <c r="AH1710" s="1">
        <v>43282</v>
      </c>
      <c r="AI1710" s="1">
        <v>43282</v>
      </c>
      <c r="AK1710" t="s">
        <v>51</v>
      </c>
      <c r="AN1710">
        <v>0</v>
      </c>
      <c r="AO1710" t="s">
        <v>54</v>
      </c>
      <c r="AP1710" t="s">
        <v>53</v>
      </c>
      <c r="AQ1710">
        <v>0</v>
      </c>
      <c r="AR1710" t="s">
        <v>53</v>
      </c>
      <c r="AS1710">
        <v>0</v>
      </c>
      <c r="AT1710">
        <v>0</v>
      </c>
      <c r="CC1710" t="s">
        <v>669</v>
      </c>
      <c r="CD1710">
        <v>85000</v>
      </c>
      <c r="CE1710" s="1">
        <v>43282</v>
      </c>
      <c r="CF1710" s="1">
        <v>43282</v>
      </c>
      <c r="CG1710" s="1">
        <v>43282</v>
      </c>
      <c r="CI1710" t="s">
        <v>51</v>
      </c>
      <c r="CK1710" t="s">
        <v>78</v>
      </c>
      <c r="CM1710" t="s">
        <v>54</v>
      </c>
      <c r="CN1710" t="s">
        <v>174</v>
      </c>
      <c r="CO1710" t="s">
        <v>86</v>
      </c>
      <c r="CR1710">
        <v>50</v>
      </c>
      <c r="CS1710">
        <v>0</v>
      </c>
      <c r="CT1710">
        <v>0</v>
      </c>
      <c r="CU1710">
        <v>0</v>
      </c>
    </row>
    <row r="1711" spans="1:99" x14ac:dyDescent="0.2">
      <c r="A1711" t="s">
        <v>367</v>
      </c>
      <c r="B1711" t="s">
        <v>440</v>
      </c>
      <c r="C1711" t="s">
        <v>441</v>
      </c>
      <c r="D1711" t="s">
        <v>806</v>
      </c>
      <c r="F1711" t="str">
        <f>"26553"</f>
        <v>26553</v>
      </c>
      <c r="G1711" t="s">
        <v>49</v>
      </c>
      <c r="H1711" t="s">
        <v>811</v>
      </c>
      <c r="K1711" t="s">
        <v>51</v>
      </c>
      <c r="L1711" t="s">
        <v>52</v>
      </c>
      <c r="M1711">
        <v>133185.81</v>
      </c>
      <c r="N1711">
        <v>468834.8</v>
      </c>
      <c r="O1711" t="s">
        <v>53</v>
      </c>
      <c r="P1711" t="s">
        <v>54</v>
      </c>
      <c r="Q1711" t="s">
        <v>55</v>
      </c>
      <c r="T1711" t="s">
        <v>808</v>
      </c>
      <c r="U1711">
        <v>40</v>
      </c>
      <c r="V1711" s="1">
        <v>26298</v>
      </c>
      <c r="W1711" s="1">
        <v>26298</v>
      </c>
      <c r="X1711" s="1">
        <v>26298</v>
      </c>
      <c r="Y1711" s="1">
        <v>40908</v>
      </c>
      <c r="Z1711" t="s">
        <v>51</v>
      </c>
      <c r="AB1711" t="s">
        <v>54</v>
      </c>
      <c r="AE1711" t="s">
        <v>356</v>
      </c>
      <c r="AF1711">
        <v>20</v>
      </c>
      <c r="AG1711" s="1">
        <v>44369</v>
      </c>
      <c r="AH1711" s="1">
        <v>44369</v>
      </c>
      <c r="AI1711" s="1">
        <v>44369</v>
      </c>
      <c r="AJ1711" s="1">
        <v>51674</v>
      </c>
      <c r="AK1711" t="s">
        <v>51</v>
      </c>
      <c r="AN1711">
        <v>0</v>
      </c>
      <c r="AO1711" t="s">
        <v>54</v>
      </c>
      <c r="AP1711" t="s">
        <v>53</v>
      </c>
      <c r="AQ1711">
        <v>0</v>
      </c>
      <c r="AR1711" t="s">
        <v>145</v>
      </c>
      <c r="AS1711">
        <v>0</v>
      </c>
      <c r="AT1711">
        <v>0</v>
      </c>
      <c r="AW1711" t="s">
        <v>172</v>
      </c>
      <c r="AX1711">
        <v>15</v>
      </c>
      <c r="AY1711" s="1">
        <v>44369</v>
      </c>
      <c r="AZ1711" s="1">
        <v>44369</v>
      </c>
      <c r="BA1711" s="1">
        <v>44369</v>
      </c>
      <c r="BB1711" s="1">
        <v>49848</v>
      </c>
      <c r="BC1711" t="s">
        <v>51</v>
      </c>
      <c r="BE1711" t="s">
        <v>54</v>
      </c>
      <c r="BF1711">
        <v>40</v>
      </c>
      <c r="BG1711">
        <v>0</v>
      </c>
      <c r="BH1711" t="s">
        <v>145</v>
      </c>
      <c r="CC1711" t="s">
        <v>812</v>
      </c>
      <c r="CD1711">
        <v>100000</v>
      </c>
      <c r="CE1711" s="1">
        <v>44369</v>
      </c>
      <c r="CF1711" s="1">
        <v>44369</v>
      </c>
      <c r="CG1711" s="1">
        <v>44369</v>
      </c>
      <c r="CH1711" s="1">
        <v>52844</v>
      </c>
      <c r="CI1711" t="s">
        <v>51</v>
      </c>
      <c r="CK1711" t="s">
        <v>78</v>
      </c>
      <c r="CM1711" t="s">
        <v>54</v>
      </c>
      <c r="CN1711" t="s">
        <v>174</v>
      </c>
      <c r="CO1711" t="s">
        <v>86</v>
      </c>
      <c r="CP1711">
        <v>830</v>
      </c>
      <c r="CR1711">
        <v>18</v>
      </c>
      <c r="CS1711">
        <v>2700</v>
      </c>
      <c r="CT1711">
        <v>0</v>
      </c>
      <c r="CU1711">
        <v>16</v>
      </c>
    </row>
    <row r="1712" spans="1:99" x14ac:dyDescent="0.2">
      <c r="A1712" t="s">
        <v>367</v>
      </c>
      <c r="B1712" t="s">
        <v>440</v>
      </c>
      <c r="C1712" t="s">
        <v>441</v>
      </c>
      <c r="D1712" t="s">
        <v>806</v>
      </c>
      <c r="F1712" t="str">
        <f>"26554"</f>
        <v>26554</v>
      </c>
      <c r="G1712" t="s">
        <v>49</v>
      </c>
      <c r="H1712" t="s">
        <v>813</v>
      </c>
      <c r="K1712" t="s">
        <v>51</v>
      </c>
      <c r="L1712" t="s">
        <v>52</v>
      </c>
      <c r="M1712">
        <v>133167.17000000001</v>
      </c>
      <c r="N1712">
        <v>468819.1</v>
      </c>
      <c r="O1712" t="s">
        <v>53</v>
      </c>
      <c r="P1712" t="s">
        <v>54</v>
      </c>
      <c r="Q1712" t="s">
        <v>55</v>
      </c>
      <c r="T1712" t="s">
        <v>808</v>
      </c>
      <c r="U1712">
        <v>40</v>
      </c>
      <c r="V1712" s="1">
        <v>26298</v>
      </c>
      <c r="W1712" s="1">
        <v>26298</v>
      </c>
      <c r="X1712" s="1">
        <v>26298</v>
      </c>
      <c r="Y1712" s="1">
        <v>40908</v>
      </c>
      <c r="Z1712" t="s">
        <v>51</v>
      </c>
      <c r="AB1712" t="s">
        <v>54</v>
      </c>
      <c r="AC1712">
        <v>1</v>
      </c>
      <c r="AE1712" t="s">
        <v>814</v>
      </c>
      <c r="AF1712">
        <v>20</v>
      </c>
      <c r="AG1712" s="1">
        <v>37075</v>
      </c>
      <c r="AH1712" s="1">
        <v>37075</v>
      </c>
      <c r="AI1712" s="1">
        <v>37075</v>
      </c>
      <c r="AJ1712" s="1">
        <v>44380</v>
      </c>
      <c r="AK1712" t="s">
        <v>51</v>
      </c>
      <c r="AN1712">
        <v>0</v>
      </c>
      <c r="AO1712" t="s">
        <v>54</v>
      </c>
      <c r="AP1712" t="s">
        <v>53</v>
      </c>
      <c r="AQ1712">
        <v>0</v>
      </c>
      <c r="AR1712" t="s">
        <v>53</v>
      </c>
      <c r="AS1712">
        <v>0</v>
      </c>
      <c r="AT1712">
        <v>0</v>
      </c>
      <c r="AW1712" t="s">
        <v>58</v>
      </c>
      <c r="AX1712">
        <v>20</v>
      </c>
      <c r="AY1712" s="1">
        <v>37075</v>
      </c>
      <c r="AZ1712" s="1">
        <v>37075</v>
      </c>
      <c r="BA1712" s="1">
        <v>37075</v>
      </c>
      <c r="BB1712" s="1">
        <v>44380</v>
      </c>
      <c r="BC1712" t="s">
        <v>51</v>
      </c>
      <c r="BE1712" t="s">
        <v>54</v>
      </c>
      <c r="BF1712">
        <v>2</v>
      </c>
      <c r="BG1712">
        <v>0</v>
      </c>
      <c r="BH1712" t="s">
        <v>53</v>
      </c>
      <c r="BK1712" t="s">
        <v>361</v>
      </c>
      <c r="BL1712">
        <v>21500</v>
      </c>
      <c r="BM1712" s="1">
        <v>42917</v>
      </c>
      <c r="BN1712" s="1">
        <v>42917</v>
      </c>
      <c r="BO1712" s="1">
        <v>42917</v>
      </c>
      <c r="BP1712" s="1">
        <v>44728</v>
      </c>
      <c r="BQ1712" t="s">
        <v>51</v>
      </c>
      <c r="BS1712" t="s">
        <v>60</v>
      </c>
      <c r="BT1712" t="s">
        <v>54</v>
      </c>
      <c r="BU1712" t="s">
        <v>362</v>
      </c>
      <c r="BV1712" t="s">
        <v>354</v>
      </c>
      <c r="BX1712">
        <v>70</v>
      </c>
      <c r="BY1712">
        <v>0</v>
      </c>
      <c r="BZ1712">
        <v>0</v>
      </c>
    </row>
    <row r="1713" spans="1:99" x14ac:dyDescent="0.2">
      <c r="A1713" t="s">
        <v>367</v>
      </c>
      <c r="B1713" t="s">
        <v>440</v>
      </c>
      <c r="C1713" t="s">
        <v>441</v>
      </c>
      <c r="D1713" t="s">
        <v>806</v>
      </c>
      <c r="F1713" t="str">
        <f>"26577"</f>
        <v>26577</v>
      </c>
      <c r="G1713" t="s">
        <v>49</v>
      </c>
      <c r="H1713" t="s">
        <v>815</v>
      </c>
      <c r="K1713" t="s">
        <v>51</v>
      </c>
      <c r="L1713" t="s">
        <v>52</v>
      </c>
      <c r="M1713">
        <v>134514.74</v>
      </c>
      <c r="N1713">
        <v>468786.62</v>
      </c>
      <c r="O1713" t="s">
        <v>53</v>
      </c>
      <c r="P1713" t="s">
        <v>54</v>
      </c>
      <c r="Q1713" t="s">
        <v>55</v>
      </c>
      <c r="T1713" t="s">
        <v>808</v>
      </c>
      <c r="U1713">
        <v>40</v>
      </c>
      <c r="V1713" s="1">
        <v>26298</v>
      </c>
      <c r="W1713" s="1">
        <v>26298</v>
      </c>
      <c r="X1713" s="1">
        <v>26298</v>
      </c>
      <c r="Y1713" s="1">
        <v>40908</v>
      </c>
      <c r="Z1713" t="s">
        <v>51</v>
      </c>
      <c r="AB1713" t="s">
        <v>54</v>
      </c>
      <c r="AC1713">
        <v>1</v>
      </c>
      <c r="AD1713" t="s">
        <v>809</v>
      </c>
      <c r="AE1713" t="s">
        <v>810</v>
      </c>
      <c r="AF1713">
        <v>20</v>
      </c>
      <c r="AG1713" s="1">
        <v>43282</v>
      </c>
      <c r="AH1713" s="1">
        <v>43282</v>
      </c>
      <c r="AI1713" s="1">
        <v>43282</v>
      </c>
      <c r="AJ1713" s="1">
        <v>50587</v>
      </c>
      <c r="AK1713" t="s">
        <v>51</v>
      </c>
      <c r="AN1713">
        <v>0</v>
      </c>
      <c r="AO1713" t="s">
        <v>54</v>
      </c>
      <c r="AP1713" t="s">
        <v>53</v>
      </c>
      <c r="AQ1713">
        <v>0</v>
      </c>
      <c r="AR1713" t="s">
        <v>53</v>
      </c>
      <c r="AS1713">
        <v>0</v>
      </c>
      <c r="AT1713">
        <v>0</v>
      </c>
      <c r="CC1713" t="s">
        <v>669</v>
      </c>
      <c r="CD1713">
        <v>85000</v>
      </c>
      <c r="CE1713" s="1">
        <v>43282</v>
      </c>
      <c r="CF1713" s="1">
        <v>43282</v>
      </c>
      <c r="CG1713" s="1">
        <v>43282</v>
      </c>
      <c r="CH1713" s="1">
        <v>50869</v>
      </c>
      <c r="CI1713" t="s">
        <v>51</v>
      </c>
      <c r="CK1713" t="s">
        <v>78</v>
      </c>
      <c r="CM1713" t="s">
        <v>54</v>
      </c>
      <c r="CN1713" t="s">
        <v>174</v>
      </c>
      <c r="CO1713" t="s">
        <v>86</v>
      </c>
      <c r="CR1713">
        <v>50</v>
      </c>
      <c r="CS1713">
        <v>0</v>
      </c>
      <c r="CT1713">
        <v>0</v>
      </c>
      <c r="CU1713">
        <v>0</v>
      </c>
    </row>
    <row r="1714" spans="1:99" x14ac:dyDescent="0.2">
      <c r="A1714" t="s">
        <v>367</v>
      </c>
      <c r="B1714" t="s">
        <v>440</v>
      </c>
      <c r="C1714" t="s">
        <v>441</v>
      </c>
      <c r="D1714" t="s">
        <v>816</v>
      </c>
      <c r="F1714" t="str">
        <f>"26673"</f>
        <v>26673</v>
      </c>
      <c r="G1714" t="s">
        <v>49</v>
      </c>
      <c r="H1714" t="s">
        <v>817</v>
      </c>
      <c r="K1714" t="s">
        <v>51</v>
      </c>
      <c r="L1714" t="s">
        <v>52</v>
      </c>
      <c r="M1714">
        <v>134364.71</v>
      </c>
      <c r="N1714">
        <v>468805.75</v>
      </c>
      <c r="O1714" t="s">
        <v>53</v>
      </c>
      <c r="P1714" t="s">
        <v>54</v>
      </c>
      <c r="Q1714" t="s">
        <v>55</v>
      </c>
      <c r="T1714" t="s">
        <v>818</v>
      </c>
      <c r="U1714">
        <v>40</v>
      </c>
      <c r="V1714" s="1">
        <v>31047</v>
      </c>
      <c r="W1714" s="1">
        <v>31047</v>
      </c>
      <c r="X1714" s="1">
        <v>31047</v>
      </c>
      <c r="Y1714" s="1">
        <v>45657</v>
      </c>
      <c r="Z1714" t="s">
        <v>51</v>
      </c>
      <c r="AB1714" t="s">
        <v>54</v>
      </c>
      <c r="AC1714">
        <v>1</v>
      </c>
      <c r="AE1714" t="s">
        <v>819</v>
      </c>
      <c r="AF1714">
        <v>20</v>
      </c>
      <c r="AG1714" s="1">
        <v>31047</v>
      </c>
      <c r="AH1714" s="1">
        <v>31047</v>
      </c>
      <c r="AI1714" s="1">
        <v>31047</v>
      </c>
      <c r="AJ1714" s="1">
        <v>38352</v>
      </c>
      <c r="AK1714" t="s">
        <v>51</v>
      </c>
      <c r="AN1714">
        <v>0</v>
      </c>
      <c r="AO1714" t="s">
        <v>54</v>
      </c>
      <c r="AP1714" t="s">
        <v>53</v>
      </c>
      <c r="AQ1714">
        <v>0</v>
      </c>
      <c r="AR1714" t="s">
        <v>53</v>
      </c>
      <c r="AS1714">
        <v>0</v>
      </c>
      <c r="AT1714">
        <v>0</v>
      </c>
      <c r="AW1714" t="s">
        <v>58</v>
      </c>
      <c r="AX1714">
        <v>20</v>
      </c>
      <c r="AY1714" s="1">
        <v>31047</v>
      </c>
      <c r="AZ1714" s="1">
        <v>31047</v>
      </c>
      <c r="BA1714" s="1">
        <v>31047</v>
      </c>
      <c r="BB1714" s="1">
        <v>38352</v>
      </c>
      <c r="BC1714" t="s">
        <v>51</v>
      </c>
      <c r="BE1714" t="s">
        <v>54</v>
      </c>
      <c r="BF1714">
        <v>2</v>
      </c>
      <c r="BG1714">
        <v>0</v>
      </c>
      <c r="BH1714" t="s">
        <v>53</v>
      </c>
      <c r="BK1714" t="s">
        <v>720</v>
      </c>
      <c r="BL1714">
        <v>17000</v>
      </c>
      <c r="BM1714" s="1">
        <v>42917</v>
      </c>
      <c r="BN1714" s="1">
        <v>42917</v>
      </c>
      <c r="BO1714" s="1">
        <v>42917</v>
      </c>
      <c r="BP1714" s="1">
        <v>44339</v>
      </c>
      <c r="BQ1714" t="s">
        <v>51</v>
      </c>
      <c r="BS1714" t="s">
        <v>60</v>
      </c>
      <c r="BT1714" t="s">
        <v>54</v>
      </c>
      <c r="BU1714" t="s">
        <v>721</v>
      </c>
      <c r="BV1714" t="s">
        <v>722</v>
      </c>
      <c r="BX1714">
        <v>18</v>
      </c>
      <c r="BY1714">
        <v>0</v>
      </c>
      <c r="BZ1714">
        <v>0</v>
      </c>
    </row>
    <row r="1715" spans="1:99" x14ac:dyDescent="0.2">
      <c r="A1715" t="s">
        <v>367</v>
      </c>
      <c r="B1715" t="s">
        <v>440</v>
      </c>
      <c r="C1715" t="s">
        <v>441</v>
      </c>
      <c r="D1715" t="s">
        <v>816</v>
      </c>
      <c r="F1715" t="str">
        <f>"26674"</f>
        <v>26674</v>
      </c>
      <c r="G1715" t="s">
        <v>49</v>
      </c>
      <c r="H1715" t="s">
        <v>820</v>
      </c>
      <c r="K1715" t="s">
        <v>51</v>
      </c>
      <c r="L1715" t="s">
        <v>52</v>
      </c>
      <c r="M1715">
        <v>134371.88</v>
      </c>
      <c r="N1715">
        <v>468834.56</v>
      </c>
      <c r="O1715" t="s">
        <v>53</v>
      </c>
      <c r="P1715" t="s">
        <v>54</v>
      </c>
      <c r="Q1715" t="s">
        <v>55</v>
      </c>
      <c r="T1715" t="s">
        <v>818</v>
      </c>
      <c r="U1715">
        <v>40</v>
      </c>
      <c r="V1715" s="1">
        <v>31047</v>
      </c>
      <c r="W1715" s="1">
        <v>31047</v>
      </c>
      <c r="X1715" s="1">
        <v>31047</v>
      </c>
      <c r="Y1715" s="1">
        <v>45657</v>
      </c>
      <c r="Z1715" t="s">
        <v>51</v>
      </c>
      <c r="AB1715" t="s">
        <v>54</v>
      </c>
      <c r="AC1715">
        <v>1</v>
      </c>
      <c r="AE1715" t="s">
        <v>819</v>
      </c>
      <c r="AF1715">
        <v>20</v>
      </c>
      <c r="AG1715" s="1">
        <v>31047</v>
      </c>
      <c r="AH1715" s="1">
        <v>31047</v>
      </c>
      <c r="AI1715" s="1">
        <v>31047</v>
      </c>
      <c r="AJ1715" s="1">
        <v>38352</v>
      </c>
      <c r="AK1715" t="s">
        <v>51</v>
      </c>
      <c r="AN1715">
        <v>0</v>
      </c>
      <c r="AO1715" t="s">
        <v>54</v>
      </c>
      <c r="AP1715" t="s">
        <v>53</v>
      </c>
      <c r="AQ1715">
        <v>0</v>
      </c>
      <c r="AR1715" t="s">
        <v>53</v>
      </c>
      <c r="AS1715">
        <v>0</v>
      </c>
      <c r="AT1715">
        <v>0</v>
      </c>
      <c r="AW1715" t="s">
        <v>58</v>
      </c>
      <c r="AX1715">
        <v>20</v>
      </c>
      <c r="AY1715" s="1">
        <v>31047</v>
      </c>
      <c r="AZ1715" s="1">
        <v>31047</v>
      </c>
      <c r="BA1715" s="1">
        <v>31047</v>
      </c>
      <c r="BB1715" s="1">
        <v>38352</v>
      </c>
      <c r="BC1715" t="s">
        <v>51</v>
      </c>
      <c r="BE1715" t="s">
        <v>54</v>
      </c>
      <c r="BF1715">
        <v>2</v>
      </c>
      <c r="BG1715">
        <v>0</v>
      </c>
      <c r="BH1715" t="s">
        <v>53</v>
      </c>
      <c r="BK1715" t="s">
        <v>720</v>
      </c>
      <c r="BL1715">
        <v>17000</v>
      </c>
      <c r="BM1715" s="1">
        <v>42917</v>
      </c>
      <c r="BN1715" s="1">
        <v>42917</v>
      </c>
      <c r="BO1715" s="1">
        <v>42917</v>
      </c>
      <c r="BP1715" s="1">
        <v>44339</v>
      </c>
      <c r="BQ1715" t="s">
        <v>51</v>
      </c>
      <c r="BS1715" t="s">
        <v>60</v>
      </c>
      <c r="BT1715" t="s">
        <v>54</v>
      </c>
      <c r="BU1715" t="s">
        <v>721</v>
      </c>
      <c r="BV1715" t="s">
        <v>722</v>
      </c>
      <c r="BX1715">
        <v>18</v>
      </c>
      <c r="BY1715">
        <v>0</v>
      </c>
      <c r="BZ1715">
        <v>0</v>
      </c>
    </row>
    <row r="1716" spans="1:99" x14ac:dyDescent="0.2">
      <c r="A1716" t="s">
        <v>367</v>
      </c>
      <c r="B1716" t="s">
        <v>440</v>
      </c>
      <c r="C1716" t="s">
        <v>441</v>
      </c>
      <c r="D1716" t="s">
        <v>816</v>
      </c>
      <c r="F1716" t="str">
        <f>"26675"</f>
        <v>26675</v>
      </c>
      <c r="G1716" t="s">
        <v>49</v>
      </c>
      <c r="H1716" t="s">
        <v>821</v>
      </c>
      <c r="K1716" t="s">
        <v>51</v>
      </c>
      <c r="L1716" t="s">
        <v>52</v>
      </c>
      <c r="M1716">
        <v>134377.51</v>
      </c>
      <c r="N1716">
        <v>468855.06</v>
      </c>
      <c r="O1716" t="s">
        <v>53</v>
      </c>
      <c r="P1716" t="s">
        <v>54</v>
      </c>
      <c r="Q1716" t="s">
        <v>55</v>
      </c>
      <c r="T1716" t="s">
        <v>818</v>
      </c>
      <c r="U1716">
        <v>40</v>
      </c>
      <c r="V1716" s="1">
        <v>31047</v>
      </c>
      <c r="W1716" s="1">
        <v>31047</v>
      </c>
      <c r="X1716" s="1">
        <v>31047</v>
      </c>
      <c r="Y1716" s="1">
        <v>45657</v>
      </c>
      <c r="Z1716" t="s">
        <v>51</v>
      </c>
      <c r="AB1716" t="s">
        <v>54</v>
      </c>
      <c r="AC1716">
        <v>1</v>
      </c>
      <c r="AE1716" t="s">
        <v>819</v>
      </c>
      <c r="AF1716">
        <v>20</v>
      </c>
      <c r="AG1716" s="1">
        <v>31047</v>
      </c>
      <c r="AH1716" s="1">
        <v>31047</v>
      </c>
      <c r="AI1716" s="1">
        <v>31047</v>
      </c>
      <c r="AJ1716" s="1">
        <v>38352</v>
      </c>
      <c r="AK1716" t="s">
        <v>51</v>
      </c>
      <c r="AN1716">
        <v>0</v>
      </c>
      <c r="AO1716" t="s">
        <v>54</v>
      </c>
      <c r="AP1716" t="s">
        <v>53</v>
      </c>
      <c r="AQ1716">
        <v>0</v>
      </c>
      <c r="AR1716" t="s">
        <v>53</v>
      </c>
      <c r="AS1716">
        <v>0</v>
      </c>
      <c r="AT1716">
        <v>0</v>
      </c>
      <c r="AW1716" t="s">
        <v>58</v>
      </c>
      <c r="AX1716">
        <v>20</v>
      </c>
      <c r="AY1716" s="1">
        <v>31047</v>
      </c>
      <c r="AZ1716" s="1">
        <v>31047</v>
      </c>
      <c r="BA1716" s="1">
        <v>31047</v>
      </c>
      <c r="BB1716" s="1">
        <v>38352</v>
      </c>
      <c r="BC1716" t="s">
        <v>51</v>
      </c>
      <c r="BE1716" t="s">
        <v>54</v>
      </c>
      <c r="BF1716">
        <v>2</v>
      </c>
      <c r="BG1716">
        <v>0</v>
      </c>
      <c r="BH1716" t="s">
        <v>53</v>
      </c>
      <c r="BK1716" t="s">
        <v>720</v>
      </c>
      <c r="BL1716">
        <v>17000</v>
      </c>
      <c r="BM1716" s="1">
        <v>42917</v>
      </c>
      <c r="BN1716" s="1">
        <v>42917</v>
      </c>
      <c r="BO1716" s="1">
        <v>42917</v>
      </c>
      <c r="BP1716" s="1">
        <v>44339</v>
      </c>
      <c r="BQ1716" t="s">
        <v>51</v>
      </c>
      <c r="BS1716" t="s">
        <v>60</v>
      </c>
      <c r="BT1716" t="s">
        <v>54</v>
      </c>
      <c r="BU1716" t="s">
        <v>721</v>
      </c>
      <c r="BV1716" t="s">
        <v>722</v>
      </c>
      <c r="BX1716">
        <v>18</v>
      </c>
      <c r="BY1716">
        <v>0</v>
      </c>
      <c r="BZ1716">
        <v>0</v>
      </c>
    </row>
    <row r="1717" spans="1:99" x14ac:dyDescent="0.2">
      <c r="A1717" t="s">
        <v>367</v>
      </c>
      <c r="B1717" t="s">
        <v>440</v>
      </c>
      <c r="C1717" t="s">
        <v>441</v>
      </c>
      <c r="D1717" t="s">
        <v>816</v>
      </c>
      <c r="F1717" t="str">
        <f>"26676"</f>
        <v>26676</v>
      </c>
      <c r="G1717" t="s">
        <v>49</v>
      </c>
      <c r="H1717" t="s">
        <v>822</v>
      </c>
      <c r="K1717" t="s">
        <v>51</v>
      </c>
      <c r="L1717" t="s">
        <v>52</v>
      </c>
      <c r="M1717">
        <v>134383.94</v>
      </c>
      <c r="N1717">
        <v>468874.94</v>
      </c>
      <c r="O1717" t="s">
        <v>53</v>
      </c>
      <c r="P1717" t="s">
        <v>54</v>
      </c>
      <c r="Q1717" t="s">
        <v>55</v>
      </c>
      <c r="T1717" t="s">
        <v>818</v>
      </c>
      <c r="U1717">
        <v>40</v>
      </c>
      <c r="V1717" s="1">
        <v>31047</v>
      </c>
      <c r="W1717" s="1">
        <v>31047</v>
      </c>
      <c r="X1717" s="1">
        <v>31047</v>
      </c>
      <c r="Y1717" s="1">
        <v>45657</v>
      </c>
      <c r="Z1717" t="s">
        <v>51</v>
      </c>
      <c r="AB1717" t="s">
        <v>54</v>
      </c>
      <c r="AC1717">
        <v>1</v>
      </c>
      <c r="AE1717" t="s">
        <v>819</v>
      </c>
      <c r="AF1717">
        <v>20</v>
      </c>
      <c r="AG1717" s="1">
        <v>31047</v>
      </c>
      <c r="AH1717" s="1">
        <v>31047</v>
      </c>
      <c r="AI1717" s="1">
        <v>31047</v>
      </c>
      <c r="AJ1717" s="1">
        <v>38352</v>
      </c>
      <c r="AK1717" t="s">
        <v>51</v>
      </c>
      <c r="AN1717">
        <v>0</v>
      </c>
      <c r="AO1717" t="s">
        <v>54</v>
      </c>
      <c r="AP1717" t="s">
        <v>53</v>
      </c>
      <c r="AQ1717">
        <v>0</v>
      </c>
      <c r="AR1717" t="s">
        <v>53</v>
      </c>
      <c r="AS1717">
        <v>0</v>
      </c>
      <c r="AT1717">
        <v>0</v>
      </c>
      <c r="AW1717" t="s">
        <v>58</v>
      </c>
      <c r="AX1717">
        <v>20</v>
      </c>
      <c r="AY1717" s="1">
        <v>31047</v>
      </c>
      <c r="AZ1717" s="1">
        <v>31047</v>
      </c>
      <c r="BA1717" s="1">
        <v>31047</v>
      </c>
      <c r="BB1717" s="1">
        <v>38352</v>
      </c>
      <c r="BC1717" t="s">
        <v>51</v>
      </c>
      <c r="BE1717" t="s">
        <v>54</v>
      </c>
      <c r="BF1717">
        <v>2</v>
      </c>
      <c r="BG1717">
        <v>0</v>
      </c>
      <c r="BH1717" t="s">
        <v>53</v>
      </c>
      <c r="BK1717" t="s">
        <v>720</v>
      </c>
      <c r="BL1717">
        <v>17000</v>
      </c>
      <c r="BM1717" s="1">
        <v>42917</v>
      </c>
      <c r="BN1717" s="1">
        <v>42917</v>
      </c>
      <c r="BO1717" s="1">
        <v>42917</v>
      </c>
      <c r="BP1717" s="1">
        <v>44339</v>
      </c>
      <c r="BQ1717" t="s">
        <v>51</v>
      </c>
      <c r="BS1717" t="s">
        <v>60</v>
      </c>
      <c r="BT1717" t="s">
        <v>54</v>
      </c>
      <c r="BU1717" t="s">
        <v>721</v>
      </c>
      <c r="BV1717" t="s">
        <v>722</v>
      </c>
      <c r="BX1717">
        <v>18</v>
      </c>
      <c r="BY1717">
        <v>0</v>
      </c>
      <c r="BZ1717">
        <v>0</v>
      </c>
    </row>
    <row r="1718" spans="1:99" x14ac:dyDescent="0.2">
      <c r="A1718" t="s">
        <v>367</v>
      </c>
      <c r="B1718" t="s">
        <v>440</v>
      </c>
      <c r="C1718" t="s">
        <v>441</v>
      </c>
      <c r="D1718" t="s">
        <v>823</v>
      </c>
      <c r="F1718" t="str">
        <f>"26678"</f>
        <v>26678</v>
      </c>
      <c r="G1718" t="s">
        <v>49</v>
      </c>
      <c r="H1718" t="s">
        <v>824</v>
      </c>
      <c r="K1718" t="s">
        <v>51</v>
      </c>
      <c r="L1718" t="s">
        <v>52</v>
      </c>
      <c r="M1718">
        <v>134436.57999999999</v>
      </c>
      <c r="N1718">
        <v>468867.45</v>
      </c>
      <c r="O1718" t="s">
        <v>53</v>
      </c>
      <c r="P1718" t="s">
        <v>54</v>
      </c>
      <c r="Q1718" t="s">
        <v>55</v>
      </c>
      <c r="T1718" t="s">
        <v>818</v>
      </c>
      <c r="U1718">
        <v>40</v>
      </c>
      <c r="V1718" s="1">
        <v>40564</v>
      </c>
      <c r="W1718" s="1">
        <v>40564</v>
      </c>
      <c r="X1718" s="1">
        <v>40564</v>
      </c>
      <c r="Y1718" s="1">
        <v>55174</v>
      </c>
      <c r="Z1718" t="s">
        <v>51</v>
      </c>
      <c r="AB1718" t="s">
        <v>54</v>
      </c>
      <c r="AC1718">
        <v>1</v>
      </c>
      <c r="AE1718" t="s">
        <v>825</v>
      </c>
      <c r="AF1718">
        <v>20</v>
      </c>
      <c r="AG1718" s="1">
        <v>40564</v>
      </c>
      <c r="AH1718" s="1">
        <v>40564</v>
      </c>
      <c r="AI1718" s="1">
        <v>40564</v>
      </c>
      <c r="AJ1718" s="1">
        <v>47869</v>
      </c>
      <c r="AK1718" t="s">
        <v>51</v>
      </c>
      <c r="AN1718">
        <v>0</v>
      </c>
      <c r="AO1718" t="s">
        <v>54</v>
      </c>
      <c r="AP1718" t="s">
        <v>53</v>
      </c>
      <c r="AQ1718">
        <v>0</v>
      </c>
      <c r="AR1718" t="s">
        <v>53</v>
      </c>
      <c r="AS1718">
        <v>0</v>
      </c>
      <c r="AT1718">
        <v>0</v>
      </c>
      <c r="AW1718" t="s">
        <v>58</v>
      </c>
      <c r="AX1718">
        <v>20</v>
      </c>
      <c r="AY1718" s="1">
        <v>40564</v>
      </c>
      <c r="AZ1718" s="1">
        <v>40564</v>
      </c>
      <c r="BA1718" s="1">
        <v>40564</v>
      </c>
      <c r="BB1718" s="1">
        <v>47869</v>
      </c>
      <c r="BC1718" t="s">
        <v>51</v>
      </c>
      <c r="BE1718" t="s">
        <v>54</v>
      </c>
      <c r="BF1718">
        <v>2</v>
      </c>
      <c r="BG1718">
        <v>0</v>
      </c>
      <c r="BH1718" t="s">
        <v>53</v>
      </c>
      <c r="BK1718" t="s">
        <v>59</v>
      </c>
      <c r="BL1718">
        <v>14000</v>
      </c>
      <c r="BM1718" s="1">
        <v>42917</v>
      </c>
      <c r="BN1718" s="1">
        <v>42917</v>
      </c>
      <c r="BO1718" s="1">
        <v>42917</v>
      </c>
      <c r="BP1718" s="1">
        <v>44117</v>
      </c>
      <c r="BQ1718" t="s">
        <v>51</v>
      </c>
      <c r="BS1718" t="s">
        <v>60</v>
      </c>
      <c r="BT1718" t="s">
        <v>54</v>
      </c>
      <c r="BU1718" t="s">
        <v>61</v>
      </c>
      <c r="BV1718" t="s">
        <v>62</v>
      </c>
      <c r="BX1718">
        <v>24</v>
      </c>
      <c r="BY1718">
        <v>0</v>
      </c>
      <c r="BZ1718">
        <v>0</v>
      </c>
    </row>
    <row r="1719" spans="1:99" x14ac:dyDescent="0.2">
      <c r="A1719" t="s">
        <v>367</v>
      </c>
      <c r="B1719" t="s">
        <v>440</v>
      </c>
      <c r="C1719" t="s">
        <v>441</v>
      </c>
      <c r="D1719" t="s">
        <v>816</v>
      </c>
      <c r="F1719" t="str">
        <f>"26679"</f>
        <v>26679</v>
      </c>
      <c r="G1719" t="s">
        <v>49</v>
      </c>
      <c r="H1719" t="s">
        <v>826</v>
      </c>
      <c r="K1719" t="s">
        <v>51</v>
      </c>
      <c r="L1719" t="s">
        <v>52</v>
      </c>
      <c r="M1719">
        <v>134427.49</v>
      </c>
      <c r="N1719">
        <v>468894.29</v>
      </c>
      <c r="O1719" t="s">
        <v>53</v>
      </c>
      <c r="P1719" t="s">
        <v>54</v>
      </c>
      <c r="Q1719" t="s">
        <v>55</v>
      </c>
      <c r="T1719" t="s">
        <v>818</v>
      </c>
      <c r="U1719">
        <v>40</v>
      </c>
      <c r="V1719" s="1">
        <v>31047</v>
      </c>
      <c r="W1719" s="1">
        <v>31047</v>
      </c>
      <c r="X1719" s="1">
        <v>31047</v>
      </c>
      <c r="Y1719" s="1">
        <v>45657</v>
      </c>
      <c r="Z1719" t="s">
        <v>51</v>
      </c>
      <c r="AB1719" t="s">
        <v>54</v>
      </c>
      <c r="AC1719">
        <v>1</v>
      </c>
      <c r="AE1719" t="s">
        <v>827</v>
      </c>
      <c r="AF1719">
        <v>20</v>
      </c>
      <c r="AG1719" s="1">
        <v>33861</v>
      </c>
      <c r="AH1719" s="1">
        <v>33861</v>
      </c>
      <c r="AI1719" s="1">
        <v>33861</v>
      </c>
      <c r="AJ1719" s="1">
        <v>41166</v>
      </c>
      <c r="AK1719" t="s">
        <v>51</v>
      </c>
      <c r="AN1719">
        <v>0</v>
      </c>
      <c r="AO1719" t="s">
        <v>54</v>
      </c>
      <c r="AP1719" t="s">
        <v>53</v>
      </c>
      <c r="AQ1719">
        <v>0</v>
      </c>
      <c r="AR1719" t="s">
        <v>53</v>
      </c>
      <c r="AS1719">
        <v>0</v>
      </c>
      <c r="AT1719">
        <v>0</v>
      </c>
      <c r="AW1719" t="s">
        <v>58</v>
      </c>
      <c r="AX1719">
        <v>20</v>
      </c>
      <c r="AY1719" s="1">
        <v>33861</v>
      </c>
      <c r="AZ1719" s="1">
        <v>33861</v>
      </c>
      <c r="BA1719" s="1">
        <v>33861</v>
      </c>
      <c r="BB1719" s="1">
        <v>41166</v>
      </c>
      <c r="BC1719" t="s">
        <v>51</v>
      </c>
      <c r="BE1719" t="s">
        <v>54</v>
      </c>
      <c r="BF1719">
        <v>2</v>
      </c>
      <c r="BG1719">
        <v>0</v>
      </c>
      <c r="BH1719" t="s">
        <v>53</v>
      </c>
      <c r="BK1719" t="s">
        <v>720</v>
      </c>
      <c r="BL1719">
        <v>17000</v>
      </c>
      <c r="BM1719" s="1">
        <v>43844</v>
      </c>
      <c r="BN1719" s="1">
        <v>43844</v>
      </c>
      <c r="BO1719" s="1">
        <v>43844</v>
      </c>
      <c r="BP1719" s="1">
        <v>45286</v>
      </c>
      <c r="BQ1719" t="s">
        <v>51</v>
      </c>
      <c r="BS1719" t="s">
        <v>60</v>
      </c>
      <c r="BT1719" t="s">
        <v>54</v>
      </c>
      <c r="BU1719" t="s">
        <v>721</v>
      </c>
      <c r="BV1719" t="s">
        <v>722</v>
      </c>
      <c r="BX1719">
        <v>18</v>
      </c>
      <c r="BY1719">
        <v>0</v>
      </c>
      <c r="BZ1719">
        <v>0</v>
      </c>
    </row>
    <row r="1720" spans="1:99" x14ac:dyDescent="0.2">
      <c r="A1720" t="s">
        <v>367</v>
      </c>
      <c r="B1720" t="s">
        <v>440</v>
      </c>
      <c r="C1720" t="s">
        <v>441</v>
      </c>
      <c r="D1720" t="s">
        <v>816</v>
      </c>
      <c r="F1720" t="str">
        <f>"26680"</f>
        <v>26680</v>
      </c>
      <c r="G1720" t="s">
        <v>49</v>
      </c>
      <c r="H1720" t="s">
        <v>828</v>
      </c>
      <c r="K1720" t="s">
        <v>51</v>
      </c>
      <c r="L1720" t="s">
        <v>52</v>
      </c>
      <c r="M1720">
        <v>134432.28</v>
      </c>
      <c r="N1720">
        <v>468920.31</v>
      </c>
      <c r="O1720" t="s">
        <v>53</v>
      </c>
      <c r="P1720" t="s">
        <v>54</v>
      </c>
      <c r="Q1720" t="s">
        <v>55</v>
      </c>
      <c r="T1720" t="s">
        <v>818</v>
      </c>
      <c r="U1720">
        <v>40</v>
      </c>
      <c r="V1720" s="1">
        <v>31047</v>
      </c>
      <c r="W1720" s="1">
        <v>31047</v>
      </c>
      <c r="X1720" s="1">
        <v>31047</v>
      </c>
      <c r="Y1720" s="1">
        <v>45657</v>
      </c>
      <c r="Z1720" t="s">
        <v>51</v>
      </c>
      <c r="AB1720" t="s">
        <v>54</v>
      </c>
      <c r="AC1720">
        <v>1</v>
      </c>
      <c r="AE1720" t="s">
        <v>827</v>
      </c>
      <c r="AF1720">
        <v>20</v>
      </c>
      <c r="AG1720" s="1">
        <v>33463</v>
      </c>
      <c r="AH1720" s="1">
        <v>33463</v>
      </c>
      <c r="AI1720" s="1">
        <v>33463</v>
      </c>
      <c r="AJ1720" s="1">
        <v>40768</v>
      </c>
      <c r="AK1720" t="s">
        <v>51</v>
      </c>
      <c r="AN1720">
        <v>0</v>
      </c>
      <c r="AO1720" t="s">
        <v>54</v>
      </c>
      <c r="AP1720" t="s">
        <v>53</v>
      </c>
      <c r="AQ1720">
        <v>0</v>
      </c>
      <c r="AR1720" t="s">
        <v>53</v>
      </c>
      <c r="AS1720">
        <v>0</v>
      </c>
      <c r="AT1720">
        <v>0</v>
      </c>
      <c r="AW1720" t="s">
        <v>58</v>
      </c>
      <c r="AX1720">
        <v>20</v>
      </c>
      <c r="AY1720" s="1">
        <v>33463</v>
      </c>
      <c r="AZ1720" s="1">
        <v>33463</v>
      </c>
      <c r="BA1720" s="1">
        <v>33463</v>
      </c>
      <c r="BB1720" s="1">
        <v>40768</v>
      </c>
      <c r="BC1720" t="s">
        <v>51</v>
      </c>
      <c r="BE1720" t="s">
        <v>54</v>
      </c>
      <c r="BF1720">
        <v>2</v>
      </c>
      <c r="BG1720">
        <v>0</v>
      </c>
      <c r="BH1720" t="s">
        <v>53</v>
      </c>
      <c r="BK1720" t="s">
        <v>720</v>
      </c>
      <c r="BL1720">
        <v>17000</v>
      </c>
      <c r="BM1720" s="1">
        <v>44908</v>
      </c>
      <c r="BN1720" s="1">
        <v>44908</v>
      </c>
      <c r="BO1720" s="1">
        <v>44908</v>
      </c>
      <c r="BP1720" s="1">
        <v>46350</v>
      </c>
      <c r="BQ1720" t="s">
        <v>51</v>
      </c>
      <c r="BS1720" t="s">
        <v>60</v>
      </c>
      <c r="BT1720" t="s">
        <v>54</v>
      </c>
      <c r="BU1720" t="s">
        <v>721</v>
      </c>
      <c r="BV1720" t="s">
        <v>722</v>
      </c>
      <c r="BX1720">
        <v>18</v>
      </c>
      <c r="BY1720">
        <v>0</v>
      </c>
      <c r="BZ1720">
        <v>0</v>
      </c>
    </row>
    <row r="1721" spans="1:99" x14ac:dyDescent="0.2">
      <c r="A1721" t="s">
        <v>367</v>
      </c>
      <c r="B1721" t="s">
        <v>440</v>
      </c>
      <c r="C1721" t="s">
        <v>441</v>
      </c>
      <c r="D1721" t="s">
        <v>816</v>
      </c>
      <c r="F1721" t="str">
        <f>"26681"</f>
        <v>26681</v>
      </c>
      <c r="G1721" t="s">
        <v>49</v>
      </c>
      <c r="H1721" t="s">
        <v>829</v>
      </c>
      <c r="K1721" t="s">
        <v>51</v>
      </c>
      <c r="L1721" t="s">
        <v>52</v>
      </c>
      <c r="M1721">
        <v>134444.66</v>
      </c>
      <c r="N1721">
        <v>468931.98</v>
      </c>
      <c r="O1721" t="s">
        <v>53</v>
      </c>
      <c r="P1721" t="s">
        <v>54</v>
      </c>
      <c r="Q1721" t="s">
        <v>55</v>
      </c>
      <c r="T1721" t="s">
        <v>818</v>
      </c>
      <c r="U1721">
        <v>40</v>
      </c>
      <c r="V1721" s="1">
        <v>31047</v>
      </c>
      <c r="W1721" s="1">
        <v>31047</v>
      </c>
      <c r="X1721" s="1">
        <v>31047</v>
      </c>
      <c r="Y1721" s="1">
        <v>45657</v>
      </c>
      <c r="Z1721" t="s">
        <v>51</v>
      </c>
      <c r="AB1721" t="s">
        <v>54</v>
      </c>
      <c r="AC1721">
        <v>1</v>
      </c>
      <c r="AE1721" t="s">
        <v>819</v>
      </c>
      <c r="AF1721">
        <v>20</v>
      </c>
      <c r="AG1721" s="1">
        <v>31047</v>
      </c>
      <c r="AH1721" s="1">
        <v>31047</v>
      </c>
      <c r="AI1721" s="1">
        <v>31047</v>
      </c>
      <c r="AJ1721" s="1">
        <v>38352</v>
      </c>
      <c r="AK1721" t="s">
        <v>51</v>
      </c>
      <c r="AN1721">
        <v>0</v>
      </c>
      <c r="AO1721" t="s">
        <v>54</v>
      </c>
      <c r="AP1721" t="s">
        <v>53</v>
      </c>
      <c r="AQ1721">
        <v>0</v>
      </c>
      <c r="AR1721" t="s">
        <v>53</v>
      </c>
      <c r="AS1721">
        <v>0</v>
      </c>
      <c r="AT1721">
        <v>0</v>
      </c>
      <c r="AW1721" t="s">
        <v>333</v>
      </c>
      <c r="AX1721">
        <v>0</v>
      </c>
      <c r="AY1721" s="1">
        <v>43605</v>
      </c>
      <c r="AZ1721" s="1">
        <v>43605</v>
      </c>
      <c r="BA1721" s="1">
        <v>43605</v>
      </c>
      <c r="BB1721" s="1">
        <v>43605</v>
      </c>
      <c r="BC1721" t="s">
        <v>51</v>
      </c>
      <c r="BE1721" t="s">
        <v>54</v>
      </c>
      <c r="BF1721">
        <v>0</v>
      </c>
      <c r="BG1721">
        <v>0</v>
      </c>
      <c r="BH1721" t="s">
        <v>53</v>
      </c>
      <c r="BK1721" t="s">
        <v>720</v>
      </c>
      <c r="BL1721">
        <v>17000</v>
      </c>
      <c r="BM1721" s="1">
        <v>43605</v>
      </c>
      <c r="BN1721" s="1">
        <v>43605</v>
      </c>
      <c r="BO1721" s="1">
        <v>43605</v>
      </c>
      <c r="BP1721" s="1">
        <v>45033</v>
      </c>
      <c r="BQ1721" t="s">
        <v>51</v>
      </c>
      <c r="BS1721" t="s">
        <v>60</v>
      </c>
      <c r="BT1721" t="s">
        <v>54</v>
      </c>
      <c r="BU1721" t="s">
        <v>721</v>
      </c>
      <c r="BV1721" t="s">
        <v>722</v>
      </c>
      <c r="BX1721">
        <v>18</v>
      </c>
      <c r="BY1721">
        <v>0</v>
      </c>
      <c r="BZ1721">
        <v>0</v>
      </c>
    </row>
    <row r="1722" spans="1:99" x14ac:dyDescent="0.2">
      <c r="A1722" t="s">
        <v>367</v>
      </c>
      <c r="B1722" t="s">
        <v>440</v>
      </c>
      <c r="C1722" t="s">
        <v>441</v>
      </c>
      <c r="D1722" t="s">
        <v>816</v>
      </c>
      <c r="F1722" t="str">
        <f>"26682"</f>
        <v>26682</v>
      </c>
      <c r="G1722" t="s">
        <v>49</v>
      </c>
      <c r="H1722" t="s">
        <v>830</v>
      </c>
      <c r="K1722" t="s">
        <v>51</v>
      </c>
      <c r="L1722" t="s">
        <v>52</v>
      </c>
      <c r="M1722">
        <v>134446.82</v>
      </c>
      <c r="N1722">
        <v>468954.12</v>
      </c>
      <c r="O1722" t="s">
        <v>53</v>
      </c>
      <c r="P1722" t="s">
        <v>54</v>
      </c>
      <c r="Q1722" t="s">
        <v>55</v>
      </c>
      <c r="T1722" t="s">
        <v>818</v>
      </c>
      <c r="U1722">
        <v>40</v>
      </c>
      <c r="V1722" s="1">
        <v>31047</v>
      </c>
      <c r="W1722" s="1">
        <v>31047</v>
      </c>
      <c r="X1722" s="1">
        <v>31047</v>
      </c>
      <c r="Y1722" s="1">
        <v>45657</v>
      </c>
      <c r="Z1722" t="s">
        <v>51</v>
      </c>
      <c r="AB1722" t="s">
        <v>54</v>
      </c>
      <c r="AC1722">
        <v>1</v>
      </c>
      <c r="AE1722" t="s">
        <v>819</v>
      </c>
      <c r="AF1722">
        <v>20</v>
      </c>
      <c r="AG1722" s="1">
        <v>31047</v>
      </c>
      <c r="AH1722" s="1">
        <v>31047</v>
      </c>
      <c r="AI1722" s="1">
        <v>31047</v>
      </c>
      <c r="AJ1722" s="1">
        <v>38352</v>
      </c>
      <c r="AK1722" t="s">
        <v>51</v>
      </c>
      <c r="AN1722">
        <v>0</v>
      </c>
      <c r="AO1722" t="s">
        <v>54</v>
      </c>
      <c r="AP1722" t="s">
        <v>53</v>
      </c>
      <c r="AQ1722">
        <v>0</v>
      </c>
      <c r="AR1722" t="s">
        <v>53</v>
      </c>
      <c r="AS1722">
        <v>0</v>
      </c>
      <c r="AT1722">
        <v>0</v>
      </c>
      <c r="AW1722" t="s">
        <v>58</v>
      </c>
      <c r="AX1722">
        <v>20</v>
      </c>
      <c r="AY1722" s="1">
        <v>31047</v>
      </c>
      <c r="AZ1722" s="1">
        <v>31047</v>
      </c>
      <c r="BA1722" s="1">
        <v>31047</v>
      </c>
      <c r="BB1722" s="1">
        <v>38352</v>
      </c>
      <c r="BC1722" t="s">
        <v>51</v>
      </c>
      <c r="BE1722" t="s">
        <v>54</v>
      </c>
      <c r="BF1722">
        <v>2</v>
      </c>
      <c r="BG1722">
        <v>0</v>
      </c>
      <c r="BH1722" t="s">
        <v>53</v>
      </c>
      <c r="BK1722" t="s">
        <v>720</v>
      </c>
      <c r="BL1722">
        <v>17000</v>
      </c>
      <c r="BM1722" s="1">
        <v>43850</v>
      </c>
      <c r="BN1722" s="1">
        <v>43850</v>
      </c>
      <c r="BO1722" s="1">
        <v>43850</v>
      </c>
      <c r="BP1722" s="1">
        <v>45293</v>
      </c>
      <c r="BQ1722" t="s">
        <v>51</v>
      </c>
      <c r="BS1722" t="s">
        <v>60</v>
      </c>
      <c r="BT1722" t="s">
        <v>54</v>
      </c>
      <c r="BU1722" t="s">
        <v>721</v>
      </c>
      <c r="BV1722" t="s">
        <v>722</v>
      </c>
      <c r="BX1722">
        <v>18</v>
      </c>
      <c r="BY1722">
        <v>0</v>
      </c>
      <c r="BZ1722">
        <v>0</v>
      </c>
    </row>
    <row r="1723" spans="1:99" x14ac:dyDescent="0.2">
      <c r="A1723" t="s">
        <v>367</v>
      </c>
      <c r="B1723" t="s">
        <v>440</v>
      </c>
      <c r="C1723" t="s">
        <v>441</v>
      </c>
      <c r="D1723" t="s">
        <v>816</v>
      </c>
      <c r="F1723" t="str">
        <f>"26683"</f>
        <v>26683</v>
      </c>
      <c r="G1723" t="s">
        <v>49</v>
      </c>
      <c r="H1723" t="s">
        <v>831</v>
      </c>
      <c r="K1723" t="s">
        <v>51</v>
      </c>
      <c r="L1723" t="s">
        <v>52</v>
      </c>
      <c r="M1723">
        <v>134463.82999999999</v>
      </c>
      <c r="N1723">
        <v>468971.13</v>
      </c>
      <c r="O1723" t="s">
        <v>53</v>
      </c>
      <c r="P1723" t="s">
        <v>54</v>
      </c>
      <c r="Q1723" t="s">
        <v>55</v>
      </c>
      <c r="T1723" t="s">
        <v>818</v>
      </c>
      <c r="U1723">
        <v>40</v>
      </c>
      <c r="V1723" s="1">
        <v>31047</v>
      </c>
      <c r="W1723" s="1">
        <v>31047</v>
      </c>
      <c r="X1723" s="1">
        <v>31047</v>
      </c>
      <c r="Y1723" s="1">
        <v>45657</v>
      </c>
      <c r="Z1723" t="s">
        <v>51</v>
      </c>
      <c r="AB1723" t="s">
        <v>54</v>
      </c>
      <c r="AC1723">
        <v>1</v>
      </c>
      <c r="AE1723" t="s">
        <v>819</v>
      </c>
      <c r="AF1723">
        <v>20</v>
      </c>
      <c r="AG1723" s="1">
        <v>31047</v>
      </c>
      <c r="AH1723" s="1">
        <v>31047</v>
      </c>
      <c r="AI1723" s="1">
        <v>31047</v>
      </c>
      <c r="AJ1723" s="1">
        <v>38352</v>
      </c>
      <c r="AK1723" t="s">
        <v>51</v>
      </c>
      <c r="AN1723">
        <v>0</v>
      </c>
      <c r="AO1723" t="s">
        <v>54</v>
      </c>
      <c r="AP1723" t="s">
        <v>53</v>
      </c>
      <c r="AQ1723">
        <v>0</v>
      </c>
      <c r="AR1723" t="s">
        <v>53</v>
      </c>
      <c r="AS1723">
        <v>0</v>
      </c>
      <c r="AT1723">
        <v>0</v>
      </c>
      <c r="AW1723" t="s">
        <v>58</v>
      </c>
      <c r="AX1723">
        <v>20</v>
      </c>
      <c r="AY1723" s="1">
        <v>31047</v>
      </c>
      <c r="AZ1723" s="1">
        <v>31047</v>
      </c>
      <c r="BA1723" s="1">
        <v>31047</v>
      </c>
      <c r="BB1723" s="1">
        <v>38352</v>
      </c>
      <c r="BC1723" t="s">
        <v>51</v>
      </c>
      <c r="BE1723" t="s">
        <v>54</v>
      </c>
      <c r="BF1723">
        <v>2</v>
      </c>
      <c r="BG1723">
        <v>0</v>
      </c>
      <c r="BH1723" t="s">
        <v>53</v>
      </c>
      <c r="BK1723" t="s">
        <v>720</v>
      </c>
      <c r="BL1723">
        <v>17000</v>
      </c>
      <c r="BM1723" s="1">
        <v>43787</v>
      </c>
      <c r="BN1723" s="1">
        <v>43787</v>
      </c>
      <c r="BO1723" s="1">
        <v>43787</v>
      </c>
      <c r="BP1723" s="1">
        <v>45228</v>
      </c>
      <c r="BQ1723" t="s">
        <v>51</v>
      </c>
      <c r="BS1723" t="s">
        <v>60</v>
      </c>
      <c r="BT1723" t="s">
        <v>54</v>
      </c>
      <c r="BU1723" t="s">
        <v>721</v>
      </c>
      <c r="BV1723" t="s">
        <v>722</v>
      </c>
      <c r="BX1723">
        <v>18</v>
      </c>
      <c r="BY1723">
        <v>0</v>
      </c>
      <c r="BZ1723">
        <v>0</v>
      </c>
    </row>
    <row r="1724" spans="1:99" x14ac:dyDescent="0.2">
      <c r="A1724" t="s">
        <v>367</v>
      </c>
      <c r="B1724" t="s">
        <v>440</v>
      </c>
      <c r="C1724" t="s">
        <v>441</v>
      </c>
      <c r="D1724" t="s">
        <v>816</v>
      </c>
      <c r="F1724" t="str">
        <f>"26684"</f>
        <v>26684</v>
      </c>
      <c r="G1724" t="s">
        <v>49</v>
      </c>
      <c r="H1724" t="s">
        <v>832</v>
      </c>
      <c r="K1724" t="s">
        <v>51</v>
      </c>
      <c r="L1724" t="s">
        <v>52</v>
      </c>
      <c r="M1724">
        <v>134486.43</v>
      </c>
      <c r="N1724">
        <v>468959.71</v>
      </c>
      <c r="O1724" t="s">
        <v>53</v>
      </c>
      <c r="P1724" t="s">
        <v>54</v>
      </c>
      <c r="Q1724" t="s">
        <v>55</v>
      </c>
      <c r="T1724" t="s">
        <v>818</v>
      </c>
      <c r="U1724">
        <v>40</v>
      </c>
      <c r="V1724" s="1">
        <v>31047</v>
      </c>
      <c r="W1724" s="1">
        <v>31047</v>
      </c>
      <c r="X1724" s="1">
        <v>31047</v>
      </c>
      <c r="Y1724" s="1">
        <v>45657</v>
      </c>
      <c r="Z1724" t="s">
        <v>51</v>
      </c>
      <c r="AB1724" t="s">
        <v>54</v>
      </c>
      <c r="AC1724">
        <v>1</v>
      </c>
      <c r="AE1724" t="s">
        <v>819</v>
      </c>
      <c r="AF1724">
        <v>20</v>
      </c>
      <c r="AG1724" s="1">
        <v>31047</v>
      </c>
      <c r="AH1724" s="1">
        <v>31047</v>
      </c>
      <c r="AI1724" s="1">
        <v>31047</v>
      </c>
      <c r="AJ1724" s="1">
        <v>38352</v>
      </c>
      <c r="AK1724" t="s">
        <v>51</v>
      </c>
      <c r="AN1724">
        <v>0</v>
      </c>
      <c r="AO1724" t="s">
        <v>54</v>
      </c>
      <c r="AP1724" t="s">
        <v>53</v>
      </c>
      <c r="AQ1724">
        <v>0</v>
      </c>
      <c r="AR1724" t="s">
        <v>53</v>
      </c>
      <c r="AS1724">
        <v>0</v>
      </c>
      <c r="AT1724">
        <v>0</v>
      </c>
      <c r="AW1724" t="s">
        <v>58</v>
      </c>
      <c r="AX1724">
        <v>20</v>
      </c>
      <c r="AY1724" s="1">
        <v>31047</v>
      </c>
      <c r="AZ1724" s="1">
        <v>31047</v>
      </c>
      <c r="BA1724" s="1">
        <v>31047</v>
      </c>
      <c r="BB1724" s="1">
        <v>38352</v>
      </c>
      <c r="BC1724" t="s">
        <v>51</v>
      </c>
      <c r="BE1724" t="s">
        <v>54</v>
      </c>
      <c r="BF1724">
        <v>2</v>
      </c>
      <c r="BG1724">
        <v>0</v>
      </c>
      <c r="BH1724" t="s">
        <v>53</v>
      </c>
      <c r="BK1724" t="s">
        <v>720</v>
      </c>
      <c r="BL1724">
        <v>17000</v>
      </c>
      <c r="BM1724" s="1">
        <v>42917</v>
      </c>
      <c r="BN1724" s="1">
        <v>42917</v>
      </c>
      <c r="BO1724" s="1">
        <v>42917</v>
      </c>
      <c r="BP1724" s="1">
        <v>44339</v>
      </c>
      <c r="BQ1724" t="s">
        <v>51</v>
      </c>
      <c r="BS1724" t="s">
        <v>60</v>
      </c>
      <c r="BT1724" t="s">
        <v>54</v>
      </c>
      <c r="BU1724" t="s">
        <v>721</v>
      </c>
      <c r="BV1724" t="s">
        <v>722</v>
      </c>
      <c r="BX1724">
        <v>18</v>
      </c>
      <c r="BY1724">
        <v>0</v>
      </c>
      <c r="BZ1724">
        <v>0</v>
      </c>
    </row>
    <row r="1725" spans="1:99" x14ac:dyDescent="0.2">
      <c r="A1725" t="s">
        <v>367</v>
      </c>
      <c r="B1725" t="s">
        <v>440</v>
      </c>
      <c r="C1725" t="s">
        <v>441</v>
      </c>
      <c r="D1725" t="s">
        <v>816</v>
      </c>
      <c r="F1725" t="str">
        <f>"26685"</f>
        <v>26685</v>
      </c>
      <c r="G1725" t="s">
        <v>49</v>
      </c>
      <c r="H1725" t="s">
        <v>833</v>
      </c>
      <c r="K1725" t="s">
        <v>51</v>
      </c>
      <c r="L1725" t="s">
        <v>52</v>
      </c>
      <c r="M1725">
        <v>134433.37</v>
      </c>
      <c r="N1725">
        <v>468985.33</v>
      </c>
      <c r="O1725" t="s">
        <v>53</v>
      </c>
      <c r="P1725" t="s">
        <v>54</v>
      </c>
      <c r="Q1725" t="s">
        <v>55</v>
      </c>
      <c r="T1725" t="s">
        <v>818</v>
      </c>
      <c r="U1725">
        <v>40</v>
      </c>
      <c r="V1725" s="1">
        <v>31047</v>
      </c>
      <c r="W1725" s="1">
        <v>31047</v>
      </c>
      <c r="X1725" s="1">
        <v>31047</v>
      </c>
      <c r="Y1725" s="1">
        <v>45657</v>
      </c>
      <c r="Z1725" t="s">
        <v>51</v>
      </c>
      <c r="AB1725" t="s">
        <v>54</v>
      </c>
      <c r="AC1725">
        <v>1</v>
      </c>
      <c r="AE1725" t="s">
        <v>819</v>
      </c>
      <c r="AF1725">
        <v>20</v>
      </c>
      <c r="AG1725" s="1">
        <v>31047</v>
      </c>
      <c r="AH1725" s="1">
        <v>31047</v>
      </c>
      <c r="AI1725" s="1">
        <v>31047</v>
      </c>
      <c r="AJ1725" s="1">
        <v>38352</v>
      </c>
      <c r="AK1725" t="s">
        <v>51</v>
      </c>
      <c r="AN1725">
        <v>0</v>
      </c>
      <c r="AO1725" t="s">
        <v>54</v>
      </c>
      <c r="AP1725" t="s">
        <v>53</v>
      </c>
      <c r="AQ1725">
        <v>0</v>
      </c>
      <c r="AR1725" t="s">
        <v>53</v>
      </c>
      <c r="AS1725">
        <v>0</v>
      </c>
      <c r="AT1725">
        <v>0</v>
      </c>
      <c r="AW1725" t="s">
        <v>58</v>
      </c>
      <c r="AX1725">
        <v>20</v>
      </c>
      <c r="AY1725" s="1">
        <v>31047</v>
      </c>
      <c r="AZ1725" s="1">
        <v>31047</v>
      </c>
      <c r="BA1725" s="1">
        <v>31047</v>
      </c>
      <c r="BB1725" s="1">
        <v>38352</v>
      </c>
      <c r="BC1725" t="s">
        <v>51</v>
      </c>
      <c r="BE1725" t="s">
        <v>54</v>
      </c>
      <c r="BF1725">
        <v>2</v>
      </c>
      <c r="BG1725">
        <v>0</v>
      </c>
      <c r="BH1725" t="s">
        <v>53</v>
      </c>
      <c r="BK1725" t="s">
        <v>720</v>
      </c>
      <c r="BL1725">
        <v>17000</v>
      </c>
      <c r="BM1725" s="1">
        <v>43844</v>
      </c>
      <c r="BN1725" s="1">
        <v>43844</v>
      </c>
      <c r="BO1725" s="1">
        <v>43844</v>
      </c>
      <c r="BP1725" s="1">
        <v>45286</v>
      </c>
      <c r="BQ1725" t="s">
        <v>51</v>
      </c>
      <c r="BS1725" t="s">
        <v>60</v>
      </c>
      <c r="BT1725" t="s">
        <v>54</v>
      </c>
      <c r="BU1725" t="s">
        <v>721</v>
      </c>
      <c r="BV1725" t="s">
        <v>722</v>
      </c>
      <c r="BX1725">
        <v>18</v>
      </c>
      <c r="BY1725">
        <v>0</v>
      </c>
      <c r="BZ1725">
        <v>0</v>
      </c>
    </row>
    <row r="1726" spans="1:99" x14ac:dyDescent="0.2">
      <c r="A1726" t="s">
        <v>367</v>
      </c>
      <c r="B1726" t="s">
        <v>440</v>
      </c>
      <c r="C1726" t="s">
        <v>441</v>
      </c>
      <c r="D1726" t="s">
        <v>816</v>
      </c>
      <c r="F1726" t="str">
        <f>"26686"</f>
        <v>26686</v>
      </c>
      <c r="G1726" t="s">
        <v>49</v>
      </c>
      <c r="H1726" t="s">
        <v>834</v>
      </c>
      <c r="K1726" t="s">
        <v>51</v>
      </c>
      <c r="L1726" t="s">
        <v>52</v>
      </c>
      <c r="M1726">
        <v>134425.49</v>
      </c>
      <c r="N1726">
        <v>468966.54</v>
      </c>
      <c r="O1726" t="s">
        <v>53</v>
      </c>
      <c r="P1726" t="s">
        <v>54</v>
      </c>
      <c r="Q1726" t="s">
        <v>55</v>
      </c>
      <c r="T1726" t="s">
        <v>818</v>
      </c>
      <c r="U1726">
        <v>40</v>
      </c>
      <c r="V1726" s="1">
        <v>31047</v>
      </c>
      <c r="W1726" s="1">
        <v>31047</v>
      </c>
      <c r="X1726" s="1">
        <v>31047</v>
      </c>
      <c r="Y1726" s="1">
        <v>45657</v>
      </c>
      <c r="Z1726" t="s">
        <v>51</v>
      </c>
      <c r="AB1726" t="s">
        <v>54</v>
      </c>
      <c r="AC1726">
        <v>1</v>
      </c>
      <c r="AE1726" t="s">
        <v>819</v>
      </c>
      <c r="AF1726">
        <v>20</v>
      </c>
      <c r="AG1726" s="1">
        <v>31047</v>
      </c>
      <c r="AH1726" s="1">
        <v>31047</v>
      </c>
      <c r="AI1726" s="1">
        <v>31047</v>
      </c>
      <c r="AJ1726" s="1">
        <v>38352</v>
      </c>
      <c r="AK1726" t="s">
        <v>51</v>
      </c>
      <c r="AN1726">
        <v>0</v>
      </c>
      <c r="AO1726" t="s">
        <v>54</v>
      </c>
      <c r="AP1726" t="s">
        <v>53</v>
      </c>
      <c r="AQ1726">
        <v>0</v>
      </c>
      <c r="AR1726" t="s">
        <v>53</v>
      </c>
      <c r="AS1726">
        <v>0</v>
      </c>
      <c r="AT1726">
        <v>0</v>
      </c>
      <c r="AW1726" t="s">
        <v>58</v>
      </c>
      <c r="AX1726">
        <v>20</v>
      </c>
      <c r="AY1726" s="1">
        <v>31047</v>
      </c>
      <c r="AZ1726" s="1">
        <v>31047</v>
      </c>
      <c r="BA1726" s="1">
        <v>31047</v>
      </c>
      <c r="BB1726" s="1">
        <v>38352</v>
      </c>
      <c r="BC1726" t="s">
        <v>51</v>
      </c>
      <c r="BE1726" t="s">
        <v>54</v>
      </c>
      <c r="BF1726">
        <v>2</v>
      </c>
      <c r="BG1726">
        <v>0</v>
      </c>
      <c r="BH1726" t="s">
        <v>53</v>
      </c>
      <c r="BK1726" t="s">
        <v>720</v>
      </c>
      <c r="BL1726">
        <v>17000</v>
      </c>
      <c r="BM1726" s="1">
        <v>43850</v>
      </c>
      <c r="BN1726" s="1">
        <v>43850</v>
      </c>
      <c r="BO1726" s="1">
        <v>43850</v>
      </c>
      <c r="BP1726" s="1">
        <v>45293</v>
      </c>
      <c r="BQ1726" t="s">
        <v>51</v>
      </c>
      <c r="BS1726" t="s">
        <v>60</v>
      </c>
      <c r="BT1726" t="s">
        <v>54</v>
      </c>
      <c r="BU1726" t="s">
        <v>721</v>
      </c>
      <c r="BV1726" t="s">
        <v>722</v>
      </c>
      <c r="BX1726">
        <v>18</v>
      </c>
      <c r="BY1726">
        <v>0</v>
      </c>
      <c r="BZ1726">
        <v>0</v>
      </c>
    </row>
    <row r="1727" spans="1:99" x14ac:dyDescent="0.2">
      <c r="A1727" t="s">
        <v>367</v>
      </c>
      <c r="B1727" t="s">
        <v>440</v>
      </c>
      <c r="C1727" t="s">
        <v>441</v>
      </c>
      <c r="D1727" t="s">
        <v>816</v>
      </c>
      <c r="F1727" t="str">
        <f>"26687"</f>
        <v>26687</v>
      </c>
      <c r="G1727" t="s">
        <v>49</v>
      </c>
      <c r="H1727" t="s">
        <v>835</v>
      </c>
      <c r="K1727" t="s">
        <v>51</v>
      </c>
      <c r="L1727" t="s">
        <v>52</v>
      </c>
      <c r="M1727">
        <v>134474.09</v>
      </c>
      <c r="N1727">
        <v>468943.59</v>
      </c>
      <c r="O1727" t="s">
        <v>53</v>
      </c>
      <c r="P1727" t="s">
        <v>54</v>
      </c>
      <c r="Q1727" t="s">
        <v>55</v>
      </c>
      <c r="T1727" t="s">
        <v>818</v>
      </c>
      <c r="U1727">
        <v>40</v>
      </c>
      <c r="V1727" s="1">
        <v>31047</v>
      </c>
      <c r="W1727" s="1">
        <v>31047</v>
      </c>
      <c r="X1727" s="1">
        <v>31047</v>
      </c>
      <c r="Y1727" s="1">
        <v>45657</v>
      </c>
      <c r="Z1727" t="s">
        <v>51</v>
      </c>
      <c r="AB1727" t="s">
        <v>54</v>
      </c>
      <c r="AC1727">
        <v>1</v>
      </c>
      <c r="AE1727" t="s">
        <v>819</v>
      </c>
      <c r="AF1727">
        <v>20</v>
      </c>
      <c r="AG1727" s="1">
        <v>31047</v>
      </c>
      <c r="AH1727" s="1">
        <v>31047</v>
      </c>
      <c r="AI1727" s="1">
        <v>31047</v>
      </c>
      <c r="AJ1727" s="1">
        <v>38352</v>
      </c>
      <c r="AK1727" t="s">
        <v>51</v>
      </c>
      <c r="AN1727">
        <v>0</v>
      </c>
      <c r="AO1727" t="s">
        <v>54</v>
      </c>
      <c r="AP1727" t="s">
        <v>53</v>
      </c>
      <c r="AQ1727">
        <v>0</v>
      </c>
      <c r="AR1727" t="s">
        <v>53</v>
      </c>
      <c r="AS1727">
        <v>0</v>
      </c>
      <c r="AT1727">
        <v>0</v>
      </c>
      <c r="AW1727" t="s">
        <v>58</v>
      </c>
      <c r="AX1727">
        <v>20</v>
      </c>
      <c r="AY1727" s="1">
        <v>31047</v>
      </c>
      <c r="AZ1727" s="1">
        <v>31047</v>
      </c>
      <c r="BA1727" s="1">
        <v>31047</v>
      </c>
      <c r="BB1727" s="1">
        <v>38352</v>
      </c>
      <c r="BC1727" t="s">
        <v>51</v>
      </c>
      <c r="BE1727" t="s">
        <v>54</v>
      </c>
      <c r="BF1727">
        <v>2</v>
      </c>
      <c r="BG1727">
        <v>0</v>
      </c>
      <c r="BH1727" t="s">
        <v>53</v>
      </c>
      <c r="BK1727" t="s">
        <v>720</v>
      </c>
      <c r="BL1727">
        <v>17000</v>
      </c>
      <c r="BM1727" s="1">
        <v>43186</v>
      </c>
      <c r="BN1727" s="1">
        <v>43186</v>
      </c>
      <c r="BO1727" s="1">
        <v>43186</v>
      </c>
      <c r="BP1727" s="1">
        <v>44624</v>
      </c>
      <c r="BQ1727" t="s">
        <v>51</v>
      </c>
      <c r="BS1727" t="s">
        <v>60</v>
      </c>
      <c r="BT1727" t="s">
        <v>54</v>
      </c>
      <c r="BU1727" t="s">
        <v>721</v>
      </c>
      <c r="BV1727" t="s">
        <v>722</v>
      </c>
      <c r="BX1727">
        <v>18</v>
      </c>
      <c r="BY1727">
        <v>0</v>
      </c>
      <c r="BZ1727">
        <v>0</v>
      </c>
    </row>
    <row r="1728" spans="1:99" x14ac:dyDescent="0.2">
      <c r="A1728" t="s">
        <v>367</v>
      </c>
      <c r="B1728" t="s">
        <v>440</v>
      </c>
      <c r="C1728" t="s">
        <v>441</v>
      </c>
      <c r="D1728" t="s">
        <v>816</v>
      </c>
      <c r="F1728" t="str">
        <f>"26688"</f>
        <v>26688</v>
      </c>
      <c r="G1728" t="s">
        <v>49</v>
      </c>
      <c r="H1728" t="s">
        <v>836</v>
      </c>
      <c r="K1728" t="s">
        <v>51</v>
      </c>
      <c r="L1728" t="s">
        <v>52</v>
      </c>
      <c r="M1728">
        <v>134464.64000000001</v>
      </c>
      <c r="N1728">
        <v>468924.96</v>
      </c>
      <c r="O1728" t="s">
        <v>53</v>
      </c>
      <c r="P1728" t="s">
        <v>54</v>
      </c>
      <c r="Q1728" t="s">
        <v>55</v>
      </c>
      <c r="T1728" t="s">
        <v>818</v>
      </c>
      <c r="U1728">
        <v>40</v>
      </c>
      <c r="V1728" s="1">
        <v>31047</v>
      </c>
      <c r="W1728" s="1">
        <v>31047</v>
      </c>
      <c r="X1728" s="1">
        <v>31047</v>
      </c>
      <c r="Y1728" s="1">
        <v>45657</v>
      </c>
      <c r="Z1728" t="s">
        <v>51</v>
      </c>
      <c r="AB1728" t="s">
        <v>54</v>
      </c>
      <c r="AC1728">
        <v>1</v>
      </c>
      <c r="AE1728" t="s">
        <v>819</v>
      </c>
      <c r="AF1728">
        <v>20</v>
      </c>
      <c r="AG1728" s="1">
        <v>31047</v>
      </c>
      <c r="AH1728" s="1">
        <v>31047</v>
      </c>
      <c r="AI1728" s="1">
        <v>31047</v>
      </c>
      <c r="AJ1728" s="1">
        <v>38352</v>
      </c>
      <c r="AK1728" t="s">
        <v>51</v>
      </c>
      <c r="AN1728">
        <v>0</v>
      </c>
      <c r="AO1728" t="s">
        <v>54</v>
      </c>
      <c r="AP1728" t="s">
        <v>53</v>
      </c>
      <c r="AQ1728">
        <v>0</v>
      </c>
      <c r="AR1728" t="s">
        <v>53</v>
      </c>
      <c r="AS1728">
        <v>0</v>
      </c>
      <c r="AT1728">
        <v>0</v>
      </c>
      <c r="AW1728" t="s">
        <v>58</v>
      </c>
      <c r="AX1728">
        <v>20</v>
      </c>
      <c r="AY1728" s="1">
        <v>31047</v>
      </c>
      <c r="AZ1728" s="1">
        <v>31047</v>
      </c>
      <c r="BA1728" s="1">
        <v>31047</v>
      </c>
      <c r="BB1728" s="1">
        <v>38352</v>
      </c>
      <c r="BC1728" t="s">
        <v>51</v>
      </c>
      <c r="BE1728" t="s">
        <v>54</v>
      </c>
      <c r="BF1728">
        <v>2</v>
      </c>
      <c r="BG1728">
        <v>0</v>
      </c>
      <c r="BH1728" t="s">
        <v>53</v>
      </c>
      <c r="BK1728" t="s">
        <v>720</v>
      </c>
      <c r="BL1728">
        <v>17000</v>
      </c>
      <c r="BM1728" s="1">
        <v>43815</v>
      </c>
      <c r="BN1728" s="1">
        <v>43815</v>
      </c>
      <c r="BO1728" s="1">
        <v>43815</v>
      </c>
      <c r="BP1728" s="1">
        <v>45257</v>
      </c>
      <c r="BQ1728" t="s">
        <v>51</v>
      </c>
      <c r="BS1728" t="s">
        <v>60</v>
      </c>
      <c r="BT1728" t="s">
        <v>54</v>
      </c>
      <c r="BU1728" t="s">
        <v>721</v>
      </c>
      <c r="BV1728" t="s">
        <v>722</v>
      </c>
      <c r="BX1728">
        <v>18</v>
      </c>
      <c r="BY1728">
        <v>0</v>
      </c>
      <c r="BZ1728">
        <v>0</v>
      </c>
    </row>
    <row r="1729" spans="1:99" x14ac:dyDescent="0.2">
      <c r="A1729" t="s">
        <v>367</v>
      </c>
      <c r="B1729" t="s">
        <v>440</v>
      </c>
      <c r="C1729" t="s">
        <v>441</v>
      </c>
      <c r="D1729" t="s">
        <v>816</v>
      </c>
      <c r="F1729" t="str">
        <f>"26689"</f>
        <v>26689</v>
      </c>
      <c r="G1729" t="s">
        <v>49</v>
      </c>
      <c r="H1729" t="s">
        <v>837</v>
      </c>
      <c r="K1729" t="s">
        <v>51</v>
      </c>
      <c r="L1729" t="s">
        <v>52</v>
      </c>
      <c r="M1729">
        <v>134455.46</v>
      </c>
      <c r="N1729">
        <v>468906.33</v>
      </c>
      <c r="O1729" t="s">
        <v>53</v>
      </c>
      <c r="P1729" t="s">
        <v>54</v>
      </c>
      <c r="Q1729" t="s">
        <v>55</v>
      </c>
      <c r="T1729" t="s">
        <v>818</v>
      </c>
      <c r="U1729">
        <v>40</v>
      </c>
      <c r="V1729" s="1">
        <v>31047</v>
      </c>
      <c r="W1729" s="1">
        <v>31047</v>
      </c>
      <c r="X1729" s="1">
        <v>31047</v>
      </c>
      <c r="Y1729" s="1">
        <v>45657</v>
      </c>
      <c r="Z1729" t="s">
        <v>51</v>
      </c>
      <c r="AB1729" t="s">
        <v>54</v>
      </c>
      <c r="AC1729">
        <v>1</v>
      </c>
      <c r="AE1729" t="s">
        <v>819</v>
      </c>
      <c r="AF1729">
        <v>20</v>
      </c>
      <c r="AG1729" s="1">
        <v>31047</v>
      </c>
      <c r="AH1729" s="1">
        <v>31047</v>
      </c>
      <c r="AI1729" s="1">
        <v>31047</v>
      </c>
      <c r="AJ1729" s="1">
        <v>38352</v>
      </c>
      <c r="AK1729" t="s">
        <v>51</v>
      </c>
      <c r="AN1729">
        <v>0</v>
      </c>
      <c r="AO1729" t="s">
        <v>54</v>
      </c>
      <c r="AP1729" t="s">
        <v>53</v>
      </c>
      <c r="AQ1729">
        <v>0</v>
      </c>
      <c r="AR1729" t="s">
        <v>53</v>
      </c>
      <c r="AS1729">
        <v>0</v>
      </c>
      <c r="AT1729">
        <v>0</v>
      </c>
      <c r="AW1729" t="s">
        <v>58</v>
      </c>
      <c r="AX1729">
        <v>20</v>
      </c>
      <c r="AY1729" s="1">
        <v>31047</v>
      </c>
      <c r="AZ1729" s="1">
        <v>31047</v>
      </c>
      <c r="BA1729" s="1">
        <v>31047</v>
      </c>
      <c r="BB1729" s="1">
        <v>38352</v>
      </c>
      <c r="BC1729" t="s">
        <v>51</v>
      </c>
      <c r="BE1729" t="s">
        <v>54</v>
      </c>
      <c r="BF1729">
        <v>2</v>
      </c>
      <c r="BG1729">
        <v>0</v>
      </c>
      <c r="BH1729" t="s">
        <v>53</v>
      </c>
      <c r="BK1729" t="s">
        <v>720</v>
      </c>
      <c r="BL1729">
        <v>17000</v>
      </c>
      <c r="BM1729" s="1">
        <v>44908</v>
      </c>
      <c r="BN1729" s="1">
        <v>44908</v>
      </c>
      <c r="BO1729" s="1">
        <v>44908</v>
      </c>
      <c r="BP1729" s="1">
        <v>46350</v>
      </c>
      <c r="BQ1729" t="s">
        <v>51</v>
      </c>
      <c r="BS1729" t="s">
        <v>60</v>
      </c>
      <c r="BT1729" t="s">
        <v>54</v>
      </c>
      <c r="BU1729" t="s">
        <v>721</v>
      </c>
      <c r="BV1729" t="s">
        <v>722</v>
      </c>
      <c r="BX1729">
        <v>18</v>
      </c>
      <c r="BY1729">
        <v>0</v>
      </c>
      <c r="BZ1729">
        <v>0</v>
      </c>
    </row>
    <row r="1730" spans="1:99" x14ac:dyDescent="0.2">
      <c r="A1730" t="s">
        <v>367</v>
      </c>
      <c r="B1730" t="s">
        <v>440</v>
      </c>
      <c r="C1730" t="s">
        <v>441</v>
      </c>
      <c r="D1730" t="s">
        <v>816</v>
      </c>
      <c r="F1730" t="str">
        <f>"26690"</f>
        <v>26690</v>
      </c>
      <c r="G1730" t="s">
        <v>49</v>
      </c>
      <c r="H1730" t="s">
        <v>838</v>
      </c>
      <c r="K1730" t="s">
        <v>51</v>
      </c>
      <c r="L1730" t="s">
        <v>52</v>
      </c>
      <c r="M1730">
        <v>134446.54999999999</v>
      </c>
      <c r="N1730">
        <v>468887.16</v>
      </c>
      <c r="O1730" t="s">
        <v>53</v>
      </c>
      <c r="P1730" t="s">
        <v>54</v>
      </c>
      <c r="Q1730" t="s">
        <v>55</v>
      </c>
      <c r="T1730" t="s">
        <v>818</v>
      </c>
      <c r="U1730">
        <v>40</v>
      </c>
      <c r="V1730" s="1">
        <v>31047</v>
      </c>
      <c r="W1730" s="1">
        <v>31047</v>
      </c>
      <c r="X1730" s="1">
        <v>31047</v>
      </c>
      <c r="Y1730" s="1">
        <v>45657</v>
      </c>
      <c r="Z1730" t="s">
        <v>51</v>
      </c>
      <c r="AB1730" t="s">
        <v>54</v>
      </c>
      <c r="AC1730">
        <v>1</v>
      </c>
      <c r="AE1730" t="s">
        <v>552</v>
      </c>
      <c r="AF1730">
        <v>20</v>
      </c>
      <c r="AG1730" s="1">
        <v>43899</v>
      </c>
      <c r="AH1730" s="1">
        <v>43899</v>
      </c>
      <c r="AI1730" s="1">
        <v>43899</v>
      </c>
      <c r="AJ1730" s="1">
        <v>51204</v>
      </c>
      <c r="AK1730" t="s">
        <v>51</v>
      </c>
      <c r="AN1730">
        <v>0</v>
      </c>
      <c r="AO1730" t="s">
        <v>54</v>
      </c>
      <c r="AP1730" t="s">
        <v>53</v>
      </c>
      <c r="AQ1730">
        <v>0</v>
      </c>
      <c r="AR1730" t="s">
        <v>145</v>
      </c>
      <c r="AS1730">
        <v>0</v>
      </c>
      <c r="AT1730">
        <v>0</v>
      </c>
      <c r="AW1730" t="s">
        <v>58</v>
      </c>
      <c r="AX1730">
        <v>20</v>
      </c>
      <c r="AY1730" s="1">
        <v>31047</v>
      </c>
      <c r="AZ1730" s="1">
        <v>31047</v>
      </c>
      <c r="BA1730" s="1">
        <v>43899</v>
      </c>
      <c r="BB1730" s="1">
        <v>38352</v>
      </c>
      <c r="BC1730" t="s">
        <v>51</v>
      </c>
      <c r="BE1730" t="s">
        <v>54</v>
      </c>
      <c r="BF1730">
        <v>2</v>
      </c>
      <c r="BG1730">
        <v>0</v>
      </c>
      <c r="BH1730" t="s">
        <v>53</v>
      </c>
      <c r="BK1730" t="s">
        <v>720</v>
      </c>
      <c r="BL1730">
        <v>17000</v>
      </c>
      <c r="BM1730" s="1">
        <v>43892</v>
      </c>
      <c r="BN1730" s="1">
        <v>43892</v>
      </c>
      <c r="BO1730" s="1">
        <v>43899</v>
      </c>
      <c r="BP1730" s="1">
        <v>45331</v>
      </c>
      <c r="BQ1730" t="s">
        <v>51</v>
      </c>
      <c r="BS1730" t="s">
        <v>60</v>
      </c>
      <c r="BT1730" t="s">
        <v>54</v>
      </c>
      <c r="BU1730" t="s">
        <v>721</v>
      </c>
      <c r="BV1730" t="s">
        <v>722</v>
      </c>
      <c r="BX1730">
        <v>18</v>
      </c>
      <c r="BY1730">
        <v>0</v>
      </c>
      <c r="BZ1730">
        <v>0</v>
      </c>
    </row>
    <row r="1731" spans="1:99" x14ac:dyDescent="0.2">
      <c r="A1731" t="s">
        <v>367</v>
      </c>
      <c r="B1731" t="s">
        <v>440</v>
      </c>
      <c r="C1731" t="s">
        <v>441</v>
      </c>
      <c r="D1731" t="s">
        <v>839</v>
      </c>
      <c r="F1731" t="str">
        <f>"26700"</f>
        <v>26700</v>
      </c>
      <c r="G1731" t="s">
        <v>49</v>
      </c>
      <c r="H1731" t="s">
        <v>840</v>
      </c>
      <c r="K1731" t="s">
        <v>51</v>
      </c>
      <c r="L1731" t="s">
        <v>52</v>
      </c>
      <c r="M1731">
        <v>134784.97</v>
      </c>
      <c r="N1731">
        <v>468378.39</v>
      </c>
      <c r="O1731" t="s">
        <v>53</v>
      </c>
      <c r="P1731" t="s">
        <v>54</v>
      </c>
      <c r="Q1731" t="s">
        <v>55</v>
      </c>
      <c r="T1731" t="s">
        <v>841</v>
      </c>
      <c r="U1731">
        <v>40</v>
      </c>
      <c r="V1731" s="1">
        <v>29220</v>
      </c>
      <c r="W1731" s="1">
        <v>29220</v>
      </c>
      <c r="X1731" s="1">
        <v>29220</v>
      </c>
      <c r="Y1731" s="1">
        <v>43830</v>
      </c>
      <c r="Z1731" t="s">
        <v>51</v>
      </c>
      <c r="AB1731" t="s">
        <v>54</v>
      </c>
      <c r="AC1731">
        <v>1</v>
      </c>
      <c r="AE1731" t="s">
        <v>342</v>
      </c>
      <c r="AF1731">
        <v>20</v>
      </c>
      <c r="AG1731" s="1">
        <v>43070</v>
      </c>
      <c r="AH1731" s="1">
        <v>43070</v>
      </c>
      <c r="AI1731" s="1">
        <v>43070</v>
      </c>
      <c r="AJ1731" s="1">
        <v>50375</v>
      </c>
      <c r="AK1731" t="s">
        <v>51</v>
      </c>
      <c r="AN1731">
        <v>0</v>
      </c>
      <c r="AO1731" t="s">
        <v>54</v>
      </c>
      <c r="AP1731" t="s">
        <v>53</v>
      </c>
      <c r="AQ1731">
        <v>0</v>
      </c>
      <c r="AR1731" t="s">
        <v>145</v>
      </c>
      <c r="AS1731">
        <v>19</v>
      </c>
      <c r="AT1731">
        <v>1800</v>
      </c>
      <c r="CC1731" t="s">
        <v>173</v>
      </c>
      <c r="CD1731">
        <v>100000</v>
      </c>
      <c r="CE1731" s="1">
        <v>43070</v>
      </c>
      <c r="CF1731" s="1">
        <v>43070</v>
      </c>
      <c r="CG1731" s="1">
        <v>43070</v>
      </c>
      <c r="CH1731" s="1">
        <v>52010</v>
      </c>
      <c r="CI1731" t="s">
        <v>51</v>
      </c>
      <c r="CK1731" t="s">
        <v>78</v>
      </c>
      <c r="CM1731" t="s">
        <v>54</v>
      </c>
      <c r="CN1731" t="s">
        <v>174</v>
      </c>
      <c r="CO1731" t="s">
        <v>86</v>
      </c>
      <c r="CP1731">
        <v>830</v>
      </c>
      <c r="CR1731">
        <v>19</v>
      </c>
      <c r="CS1731">
        <v>1800</v>
      </c>
      <c r="CT1731">
        <v>0</v>
      </c>
      <c r="CU1731">
        <v>16</v>
      </c>
    </row>
    <row r="1732" spans="1:99" x14ac:dyDescent="0.2">
      <c r="A1732" t="s">
        <v>367</v>
      </c>
      <c r="B1732" t="s">
        <v>440</v>
      </c>
      <c r="C1732" t="s">
        <v>441</v>
      </c>
      <c r="D1732" t="s">
        <v>806</v>
      </c>
      <c r="F1732" t="str">
        <f>"26718"</f>
        <v>26718</v>
      </c>
      <c r="G1732" t="s">
        <v>49</v>
      </c>
      <c r="H1732" t="s">
        <v>842</v>
      </c>
      <c r="K1732" t="s">
        <v>51</v>
      </c>
      <c r="L1732" t="s">
        <v>52</v>
      </c>
      <c r="M1732">
        <v>133165.62</v>
      </c>
      <c r="N1732">
        <v>468839.08</v>
      </c>
      <c r="O1732" t="s">
        <v>53</v>
      </c>
      <c r="P1732" t="s">
        <v>54</v>
      </c>
      <c r="Q1732" t="s">
        <v>55</v>
      </c>
      <c r="T1732" t="s">
        <v>843</v>
      </c>
      <c r="U1732">
        <v>40</v>
      </c>
      <c r="V1732" s="1">
        <v>27759</v>
      </c>
      <c r="W1732" s="1">
        <v>27759</v>
      </c>
      <c r="X1732" s="1">
        <v>27759</v>
      </c>
      <c r="Y1732" s="1">
        <v>42369</v>
      </c>
      <c r="Z1732" t="s">
        <v>51</v>
      </c>
      <c r="AB1732" t="s">
        <v>54</v>
      </c>
      <c r="AC1732">
        <v>1</v>
      </c>
      <c r="AE1732" t="s">
        <v>844</v>
      </c>
      <c r="AF1732">
        <v>20</v>
      </c>
      <c r="AG1732" s="1">
        <v>31777</v>
      </c>
      <c r="AH1732" s="1">
        <v>31777</v>
      </c>
      <c r="AI1732" s="1">
        <v>31777</v>
      </c>
      <c r="AJ1732" s="1">
        <v>39082</v>
      </c>
      <c r="AK1732" t="s">
        <v>51</v>
      </c>
      <c r="AN1732">
        <v>0</v>
      </c>
      <c r="AO1732" t="s">
        <v>54</v>
      </c>
      <c r="AP1732" t="s">
        <v>53</v>
      </c>
      <c r="AQ1732">
        <v>0</v>
      </c>
      <c r="AR1732" t="s">
        <v>53</v>
      </c>
      <c r="AS1732">
        <v>0</v>
      </c>
      <c r="AT1732">
        <v>0</v>
      </c>
      <c r="AW1732" t="s">
        <v>58</v>
      </c>
      <c r="AX1732">
        <v>20</v>
      </c>
      <c r="AY1732" s="1">
        <v>44131</v>
      </c>
      <c r="AZ1732" s="1">
        <v>44131</v>
      </c>
      <c r="BA1732" s="1">
        <v>44131</v>
      </c>
      <c r="BB1732" s="1">
        <v>51436</v>
      </c>
      <c r="BC1732" t="s">
        <v>51</v>
      </c>
      <c r="BE1732" t="s">
        <v>54</v>
      </c>
      <c r="BF1732">
        <v>2</v>
      </c>
      <c r="BG1732">
        <v>0</v>
      </c>
      <c r="BH1732" t="s">
        <v>53</v>
      </c>
      <c r="BK1732" t="s">
        <v>845</v>
      </c>
      <c r="BL1732">
        <v>12000</v>
      </c>
      <c r="BM1732" s="1">
        <v>44131</v>
      </c>
      <c r="BN1732" s="1">
        <v>44131</v>
      </c>
      <c r="BO1732" s="1">
        <v>44131</v>
      </c>
      <c r="BP1732" s="1">
        <v>45142</v>
      </c>
      <c r="BQ1732" t="s">
        <v>51</v>
      </c>
      <c r="BS1732" t="s">
        <v>60</v>
      </c>
      <c r="BT1732" t="s">
        <v>54</v>
      </c>
      <c r="BU1732" t="s">
        <v>72</v>
      </c>
      <c r="BV1732" t="s">
        <v>73</v>
      </c>
      <c r="BX1732">
        <v>90</v>
      </c>
      <c r="BY1732">
        <v>0</v>
      </c>
      <c r="BZ1732">
        <v>0</v>
      </c>
    </row>
    <row r="1733" spans="1:99" x14ac:dyDescent="0.2">
      <c r="A1733" t="s">
        <v>367</v>
      </c>
      <c r="B1733" t="s">
        <v>440</v>
      </c>
      <c r="C1733" t="s">
        <v>441</v>
      </c>
      <c r="D1733" t="s">
        <v>846</v>
      </c>
      <c r="F1733" t="str">
        <f>"26719"</f>
        <v>26719</v>
      </c>
      <c r="G1733" t="s">
        <v>49</v>
      </c>
      <c r="H1733" t="s">
        <v>847</v>
      </c>
      <c r="K1733" t="s">
        <v>51</v>
      </c>
      <c r="L1733" t="s">
        <v>52</v>
      </c>
      <c r="M1733">
        <v>133179.93</v>
      </c>
      <c r="N1733">
        <v>468862.8</v>
      </c>
      <c r="O1733" t="s">
        <v>53</v>
      </c>
      <c r="P1733" t="s">
        <v>54</v>
      </c>
      <c r="Q1733" t="s">
        <v>55</v>
      </c>
      <c r="T1733" t="s">
        <v>808</v>
      </c>
      <c r="U1733">
        <v>40</v>
      </c>
      <c r="V1733" s="1">
        <v>27394</v>
      </c>
      <c r="W1733" s="1">
        <v>27394</v>
      </c>
      <c r="X1733" s="1">
        <v>27394</v>
      </c>
      <c r="Y1733" s="1">
        <v>42004</v>
      </c>
      <c r="Z1733" t="s">
        <v>51</v>
      </c>
      <c r="AB1733" t="s">
        <v>54</v>
      </c>
      <c r="AE1733" t="s">
        <v>356</v>
      </c>
      <c r="AF1733">
        <v>20</v>
      </c>
      <c r="AG1733" s="1">
        <v>44369</v>
      </c>
      <c r="AH1733" s="1">
        <v>44369</v>
      </c>
      <c r="AI1733" s="1">
        <v>44369</v>
      </c>
      <c r="AJ1733" s="1">
        <v>51674</v>
      </c>
      <c r="AK1733" t="s">
        <v>51</v>
      </c>
      <c r="AN1733">
        <v>0</v>
      </c>
      <c r="AO1733" t="s">
        <v>54</v>
      </c>
      <c r="AP1733" t="s">
        <v>53</v>
      </c>
      <c r="AQ1733">
        <v>0</v>
      </c>
      <c r="AR1733" t="s">
        <v>145</v>
      </c>
      <c r="AS1733">
        <v>0</v>
      </c>
      <c r="AT1733">
        <v>0</v>
      </c>
      <c r="AW1733" t="s">
        <v>172</v>
      </c>
      <c r="AX1733">
        <v>15</v>
      </c>
      <c r="AY1733" s="1">
        <v>44369</v>
      </c>
      <c r="AZ1733" s="1">
        <v>44369</v>
      </c>
      <c r="BA1733" s="1">
        <v>44369</v>
      </c>
      <c r="BB1733" s="1">
        <v>49848</v>
      </c>
      <c r="BC1733" t="s">
        <v>51</v>
      </c>
      <c r="BE1733" t="s">
        <v>54</v>
      </c>
      <c r="BF1733">
        <v>40</v>
      </c>
      <c r="BG1733">
        <v>0</v>
      </c>
      <c r="BH1733" t="s">
        <v>145</v>
      </c>
      <c r="CC1733" t="s">
        <v>250</v>
      </c>
      <c r="CD1733">
        <v>100000</v>
      </c>
      <c r="CE1733" s="1">
        <v>44369</v>
      </c>
      <c r="CF1733" s="1">
        <v>44369</v>
      </c>
      <c r="CG1733" s="1">
        <v>44369</v>
      </c>
      <c r="CH1733" s="1">
        <v>52844</v>
      </c>
      <c r="CI1733" t="s">
        <v>51</v>
      </c>
      <c r="CK1733" t="s">
        <v>78</v>
      </c>
      <c r="CM1733" t="s">
        <v>54</v>
      </c>
      <c r="CN1733" t="s">
        <v>174</v>
      </c>
      <c r="CR1733">
        <v>13.2</v>
      </c>
      <c r="CS1733">
        <v>1800</v>
      </c>
      <c r="CT1733">
        <v>0</v>
      </c>
      <c r="CU1733">
        <v>16</v>
      </c>
    </row>
    <row r="1734" spans="1:99" x14ac:dyDescent="0.2">
      <c r="A1734" t="s">
        <v>367</v>
      </c>
      <c r="B1734" t="s">
        <v>440</v>
      </c>
      <c r="C1734" t="s">
        <v>441</v>
      </c>
      <c r="D1734" t="s">
        <v>846</v>
      </c>
      <c r="F1734" t="str">
        <f>"26720"</f>
        <v>26720</v>
      </c>
      <c r="G1734" t="s">
        <v>49</v>
      </c>
      <c r="H1734" t="s">
        <v>848</v>
      </c>
      <c r="K1734" t="s">
        <v>51</v>
      </c>
      <c r="L1734" t="s">
        <v>52</v>
      </c>
      <c r="M1734">
        <v>133194.38</v>
      </c>
      <c r="N1734">
        <v>468897.01</v>
      </c>
      <c r="O1734" t="s">
        <v>53</v>
      </c>
      <c r="P1734" t="s">
        <v>54</v>
      </c>
      <c r="Q1734" t="s">
        <v>55</v>
      </c>
      <c r="T1734" t="s">
        <v>183</v>
      </c>
      <c r="U1734">
        <v>40</v>
      </c>
      <c r="V1734" s="1">
        <v>27394</v>
      </c>
      <c r="W1734" s="1">
        <v>27394</v>
      </c>
      <c r="X1734" s="1">
        <v>27394</v>
      </c>
      <c r="Y1734" s="1">
        <v>42004</v>
      </c>
      <c r="Z1734" t="s">
        <v>51</v>
      </c>
      <c r="AB1734" t="s">
        <v>54</v>
      </c>
      <c r="AE1734" t="s">
        <v>356</v>
      </c>
      <c r="AF1734">
        <v>20</v>
      </c>
      <c r="AG1734" s="1">
        <v>44369</v>
      </c>
      <c r="AH1734" s="1">
        <v>44369</v>
      </c>
      <c r="AI1734" s="1">
        <v>44369</v>
      </c>
      <c r="AJ1734" s="1">
        <v>51674</v>
      </c>
      <c r="AK1734" t="s">
        <v>51</v>
      </c>
      <c r="AN1734">
        <v>0</v>
      </c>
      <c r="AO1734" t="s">
        <v>54</v>
      </c>
      <c r="AP1734" t="s">
        <v>53</v>
      </c>
      <c r="AQ1734">
        <v>0</v>
      </c>
      <c r="AR1734" t="s">
        <v>145</v>
      </c>
      <c r="AS1734">
        <v>0</v>
      </c>
      <c r="AT1734">
        <v>0</v>
      </c>
      <c r="AW1734" t="s">
        <v>172</v>
      </c>
      <c r="AX1734">
        <v>15</v>
      </c>
      <c r="AY1734" s="1">
        <v>44369</v>
      </c>
      <c r="AZ1734" s="1">
        <v>44369</v>
      </c>
      <c r="BA1734" s="1">
        <v>44369</v>
      </c>
      <c r="BB1734" s="1">
        <v>49848</v>
      </c>
      <c r="BC1734" t="s">
        <v>51</v>
      </c>
      <c r="BE1734" t="s">
        <v>54</v>
      </c>
      <c r="BF1734">
        <v>40</v>
      </c>
      <c r="BG1734">
        <v>0</v>
      </c>
      <c r="BH1734" t="s">
        <v>145</v>
      </c>
      <c r="CC1734" t="s">
        <v>250</v>
      </c>
      <c r="CD1734">
        <v>100000</v>
      </c>
      <c r="CE1734" s="1">
        <v>44369</v>
      </c>
      <c r="CF1734" s="1">
        <v>44369</v>
      </c>
      <c r="CG1734" s="1">
        <v>44369</v>
      </c>
      <c r="CH1734" s="1">
        <v>52844</v>
      </c>
      <c r="CI1734" t="s">
        <v>51</v>
      </c>
      <c r="CK1734" t="s">
        <v>78</v>
      </c>
      <c r="CM1734" t="s">
        <v>54</v>
      </c>
      <c r="CN1734" t="s">
        <v>174</v>
      </c>
      <c r="CR1734">
        <v>13.2</v>
      </c>
      <c r="CS1734">
        <v>1800</v>
      </c>
      <c r="CT1734">
        <v>0</v>
      </c>
      <c r="CU1734">
        <v>16</v>
      </c>
    </row>
    <row r="1735" spans="1:99" x14ac:dyDescent="0.2">
      <c r="A1735" t="s">
        <v>367</v>
      </c>
      <c r="B1735" t="s">
        <v>440</v>
      </c>
      <c r="C1735" t="s">
        <v>441</v>
      </c>
      <c r="D1735" t="s">
        <v>846</v>
      </c>
      <c r="F1735" t="str">
        <f>"26721"</f>
        <v>26721</v>
      </c>
      <c r="G1735" t="s">
        <v>49</v>
      </c>
      <c r="H1735" t="s">
        <v>849</v>
      </c>
      <c r="K1735" t="s">
        <v>51</v>
      </c>
      <c r="L1735" t="s">
        <v>52</v>
      </c>
      <c r="M1735">
        <v>133203.64000000001</v>
      </c>
      <c r="N1735">
        <v>468928.8</v>
      </c>
      <c r="O1735" t="s">
        <v>53</v>
      </c>
      <c r="P1735" t="s">
        <v>54</v>
      </c>
      <c r="Q1735" t="s">
        <v>55</v>
      </c>
      <c r="T1735" t="s">
        <v>841</v>
      </c>
      <c r="U1735">
        <v>40</v>
      </c>
      <c r="V1735" s="1">
        <v>42552</v>
      </c>
      <c r="W1735" s="1">
        <v>42552</v>
      </c>
      <c r="X1735" s="1">
        <v>42552</v>
      </c>
      <c r="Y1735" s="1">
        <v>57162</v>
      </c>
      <c r="Z1735" t="s">
        <v>51</v>
      </c>
      <c r="AB1735" t="s">
        <v>54</v>
      </c>
      <c r="AC1735">
        <v>1</v>
      </c>
      <c r="AE1735" t="s">
        <v>79</v>
      </c>
      <c r="AF1735">
        <v>20</v>
      </c>
      <c r="AG1735" s="1">
        <v>42552</v>
      </c>
      <c r="AH1735" s="1">
        <v>42552</v>
      </c>
      <c r="AI1735" s="1">
        <v>42552</v>
      </c>
      <c r="AJ1735" s="1">
        <v>49857</v>
      </c>
      <c r="AK1735" t="s">
        <v>51</v>
      </c>
      <c r="AN1735">
        <v>0</v>
      </c>
      <c r="AO1735" t="s">
        <v>54</v>
      </c>
      <c r="AP1735" t="s">
        <v>53</v>
      </c>
      <c r="AQ1735">
        <v>0</v>
      </c>
      <c r="AR1735" t="s">
        <v>145</v>
      </c>
      <c r="AS1735">
        <v>0</v>
      </c>
      <c r="AT1735">
        <v>0</v>
      </c>
      <c r="CC1735" t="s">
        <v>850</v>
      </c>
      <c r="CD1735">
        <v>1</v>
      </c>
      <c r="CE1735" s="1">
        <v>42552</v>
      </c>
      <c r="CF1735" s="1">
        <v>42552</v>
      </c>
      <c r="CG1735" s="1">
        <v>42552</v>
      </c>
      <c r="CH1735" s="1">
        <v>49714</v>
      </c>
      <c r="CI1735" t="s">
        <v>51</v>
      </c>
      <c r="CK1735" t="s">
        <v>78</v>
      </c>
      <c r="CM1735" t="s">
        <v>54</v>
      </c>
      <c r="CN1735" t="s">
        <v>174</v>
      </c>
      <c r="CO1735" t="s">
        <v>86</v>
      </c>
      <c r="CR1735">
        <v>18</v>
      </c>
      <c r="CS1735">
        <v>0</v>
      </c>
      <c r="CT1735">
        <v>0</v>
      </c>
      <c r="CU1735">
        <v>0</v>
      </c>
    </row>
    <row r="1736" spans="1:99" x14ac:dyDescent="0.2">
      <c r="A1736" t="s">
        <v>367</v>
      </c>
      <c r="B1736" t="s">
        <v>440</v>
      </c>
      <c r="C1736" t="s">
        <v>441</v>
      </c>
      <c r="D1736" t="s">
        <v>846</v>
      </c>
      <c r="F1736" t="str">
        <f>"254396"</f>
        <v>254396</v>
      </c>
      <c r="G1736" t="s">
        <v>49</v>
      </c>
      <c r="H1736" t="s">
        <v>851</v>
      </c>
      <c r="K1736" t="s">
        <v>51</v>
      </c>
      <c r="L1736" t="s">
        <v>52</v>
      </c>
      <c r="M1736">
        <v>133193.75</v>
      </c>
      <c r="N1736">
        <v>468965.26</v>
      </c>
      <c r="O1736" t="s">
        <v>53</v>
      </c>
      <c r="P1736" t="s">
        <v>54</v>
      </c>
      <c r="Q1736" t="s">
        <v>55</v>
      </c>
      <c r="T1736" t="s">
        <v>841</v>
      </c>
      <c r="U1736">
        <v>40</v>
      </c>
      <c r="V1736" s="1">
        <v>42552</v>
      </c>
      <c r="W1736" s="1">
        <v>42552</v>
      </c>
      <c r="X1736" s="1">
        <v>42552</v>
      </c>
      <c r="Y1736" s="1">
        <v>57162</v>
      </c>
      <c r="Z1736" t="s">
        <v>51</v>
      </c>
      <c r="AB1736" t="s">
        <v>54</v>
      </c>
      <c r="AC1736">
        <v>1</v>
      </c>
      <c r="AE1736" t="s">
        <v>79</v>
      </c>
      <c r="AF1736">
        <v>20</v>
      </c>
      <c r="AG1736" s="1">
        <v>42552</v>
      </c>
      <c r="AH1736" s="1">
        <v>42552</v>
      </c>
      <c r="AI1736" s="1">
        <v>42552</v>
      </c>
      <c r="AJ1736" s="1">
        <v>49857</v>
      </c>
      <c r="AK1736" t="s">
        <v>51</v>
      </c>
      <c r="AN1736">
        <v>0</v>
      </c>
      <c r="AO1736" t="s">
        <v>54</v>
      </c>
      <c r="AP1736" t="s">
        <v>53</v>
      </c>
      <c r="AQ1736">
        <v>0</v>
      </c>
      <c r="AR1736" t="s">
        <v>145</v>
      </c>
      <c r="AS1736">
        <v>0</v>
      </c>
      <c r="AT1736">
        <v>0</v>
      </c>
      <c r="CC1736" t="s">
        <v>850</v>
      </c>
      <c r="CD1736">
        <v>1</v>
      </c>
      <c r="CE1736" s="1">
        <v>42552</v>
      </c>
      <c r="CF1736" s="1">
        <v>42552</v>
      </c>
      <c r="CG1736" s="1">
        <v>42552</v>
      </c>
      <c r="CH1736" s="1">
        <v>49714</v>
      </c>
      <c r="CI1736" t="s">
        <v>51</v>
      </c>
      <c r="CK1736" t="s">
        <v>78</v>
      </c>
      <c r="CM1736" t="s">
        <v>54</v>
      </c>
      <c r="CN1736" t="s">
        <v>174</v>
      </c>
      <c r="CO1736" t="s">
        <v>86</v>
      </c>
      <c r="CR1736">
        <v>18</v>
      </c>
      <c r="CS1736">
        <v>0</v>
      </c>
      <c r="CT1736">
        <v>0</v>
      </c>
      <c r="CU1736">
        <v>0</v>
      </c>
    </row>
    <row r="1737" spans="1:99" x14ac:dyDescent="0.2">
      <c r="A1737" t="s">
        <v>367</v>
      </c>
      <c r="B1737" t="s">
        <v>440</v>
      </c>
      <c r="C1737" t="s">
        <v>441</v>
      </c>
      <c r="D1737" t="s">
        <v>846</v>
      </c>
      <c r="F1737" t="str">
        <f>"254397"</f>
        <v>254397</v>
      </c>
      <c r="G1737" t="s">
        <v>49</v>
      </c>
      <c r="H1737" t="s">
        <v>852</v>
      </c>
      <c r="K1737" t="s">
        <v>51</v>
      </c>
      <c r="L1737" t="s">
        <v>52</v>
      </c>
      <c r="M1737">
        <v>133190.89000000001</v>
      </c>
      <c r="N1737">
        <v>468995.91</v>
      </c>
      <c r="O1737" t="s">
        <v>53</v>
      </c>
      <c r="P1737" t="s">
        <v>54</v>
      </c>
      <c r="Q1737" t="s">
        <v>55</v>
      </c>
      <c r="T1737" t="s">
        <v>841</v>
      </c>
      <c r="U1737">
        <v>40</v>
      </c>
      <c r="V1737" s="1">
        <v>42552</v>
      </c>
      <c r="W1737" s="1">
        <v>42552</v>
      </c>
      <c r="X1737" s="1">
        <v>42552</v>
      </c>
      <c r="Y1737" s="1">
        <v>57162</v>
      </c>
      <c r="Z1737" t="s">
        <v>51</v>
      </c>
      <c r="AB1737" t="s">
        <v>54</v>
      </c>
      <c r="AC1737">
        <v>1</v>
      </c>
      <c r="AE1737" t="s">
        <v>79</v>
      </c>
      <c r="AF1737">
        <v>20</v>
      </c>
      <c r="AG1737" s="1">
        <v>42552</v>
      </c>
      <c r="AH1737" s="1">
        <v>42552</v>
      </c>
      <c r="AI1737" s="1">
        <v>42552</v>
      </c>
      <c r="AJ1737" s="1">
        <v>49857</v>
      </c>
      <c r="AK1737" t="s">
        <v>51</v>
      </c>
      <c r="AN1737">
        <v>0</v>
      </c>
      <c r="AO1737" t="s">
        <v>54</v>
      </c>
      <c r="AP1737" t="s">
        <v>53</v>
      </c>
      <c r="AQ1737">
        <v>0</v>
      </c>
      <c r="AR1737" t="s">
        <v>145</v>
      </c>
      <c r="AS1737">
        <v>0</v>
      </c>
      <c r="AT1737">
        <v>0</v>
      </c>
      <c r="CC1737" t="s">
        <v>850</v>
      </c>
      <c r="CD1737">
        <v>1</v>
      </c>
      <c r="CE1737" s="1">
        <v>42552</v>
      </c>
      <c r="CF1737" s="1">
        <v>42552</v>
      </c>
      <c r="CG1737" s="1">
        <v>42552</v>
      </c>
      <c r="CH1737" s="1">
        <v>49714</v>
      </c>
      <c r="CI1737" t="s">
        <v>51</v>
      </c>
      <c r="CK1737" t="s">
        <v>78</v>
      </c>
      <c r="CM1737" t="s">
        <v>54</v>
      </c>
      <c r="CN1737" t="s">
        <v>174</v>
      </c>
      <c r="CO1737" t="s">
        <v>86</v>
      </c>
      <c r="CR1737">
        <v>18</v>
      </c>
      <c r="CS1737">
        <v>0</v>
      </c>
      <c r="CT1737">
        <v>0</v>
      </c>
      <c r="CU1737">
        <v>0</v>
      </c>
    </row>
    <row r="1738" spans="1:99" x14ac:dyDescent="0.2">
      <c r="A1738" t="s">
        <v>367</v>
      </c>
      <c r="B1738" t="s">
        <v>440</v>
      </c>
      <c r="C1738" t="s">
        <v>441</v>
      </c>
      <c r="D1738" t="s">
        <v>846</v>
      </c>
      <c r="F1738" t="str">
        <f>"254398"</f>
        <v>254398</v>
      </c>
      <c r="G1738" t="s">
        <v>49</v>
      </c>
      <c r="H1738" t="s">
        <v>853</v>
      </c>
      <c r="I1738" t="s">
        <v>854</v>
      </c>
      <c r="K1738" t="s">
        <v>51</v>
      </c>
      <c r="L1738" t="s">
        <v>52</v>
      </c>
      <c r="M1738">
        <v>133186.70000000001</v>
      </c>
      <c r="N1738">
        <v>469051.19</v>
      </c>
      <c r="O1738" t="s">
        <v>53</v>
      </c>
      <c r="P1738" t="s">
        <v>54</v>
      </c>
      <c r="Q1738" t="s">
        <v>55</v>
      </c>
      <c r="T1738" t="s">
        <v>841</v>
      </c>
      <c r="U1738">
        <v>40</v>
      </c>
      <c r="V1738" s="1">
        <v>42552</v>
      </c>
      <c r="W1738" s="1">
        <v>42552</v>
      </c>
      <c r="X1738" s="1">
        <v>42552</v>
      </c>
      <c r="Y1738" s="1">
        <v>57162</v>
      </c>
      <c r="Z1738" t="s">
        <v>51</v>
      </c>
      <c r="AB1738" t="s">
        <v>54</v>
      </c>
      <c r="AC1738">
        <v>1</v>
      </c>
      <c r="AE1738" t="s">
        <v>79</v>
      </c>
      <c r="AF1738">
        <v>20</v>
      </c>
      <c r="AG1738" s="1">
        <v>42552</v>
      </c>
      <c r="AH1738" s="1">
        <v>42552</v>
      </c>
      <c r="AI1738" s="1">
        <v>42552</v>
      </c>
      <c r="AJ1738" s="1">
        <v>49857</v>
      </c>
      <c r="AK1738" t="s">
        <v>51</v>
      </c>
      <c r="AN1738">
        <v>0</v>
      </c>
      <c r="AO1738" t="s">
        <v>54</v>
      </c>
      <c r="AP1738" t="s">
        <v>53</v>
      </c>
      <c r="AQ1738">
        <v>0</v>
      </c>
      <c r="AR1738" t="s">
        <v>145</v>
      </c>
      <c r="AS1738">
        <v>0</v>
      </c>
      <c r="AT1738">
        <v>0</v>
      </c>
      <c r="CC1738" t="s">
        <v>850</v>
      </c>
      <c r="CD1738">
        <v>1</v>
      </c>
      <c r="CE1738" s="1">
        <v>43591</v>
      </c>
      <c r="CF1738" s="1">
        <v>43591</v>
      </c>
      <c r="CG1738" s="1">
        <v>43591</v>
      </c>
      <c r="CH1738" s="1">
        <v>43591</v>
      </c>
      <c r="CI1738" t="s">
        <v>51</v>
      </c>
      <c r="CK1738" t="s">
        <v>78</v>
      </c>
      <c r="CM1738" t="s">
        <v>54</v>
      </c>
      <c r="CN1738" t="s">
        <v>174</v>
      </c>
      <c r="CO1738" t="s">
        <v>86</v>
      </c>
      <c r="CR1738">
        <v>18</v>
      </c>
      <c r="CS1738">
        <v>0</v>
      </c>
      <c r="CT1738">
        <v>0</v>
      </c>
      <c r="CU1738">
        <v>0</v>
      </c>
    </row>
    <row r="1739" spans="1:99" x14ac:dyDescent="0.2">
      <c r="A1739" t="s">
        <v>367</v>
      </c>
      <c r="B1739" t="s">
        <v>440</v>
      </c>
      <c r="C1739" t="s">
        <v>441</v>
      </c>
      <c r="D1739" t="s">
        <v>846</v>
      </c>
      <c r="F1739" t="str">
        <f>"254399"</f>
        <v>254399</v>
      </c>
      <c r="G1739" t="s">
        <v>49</v>
      </c>
      <c r="H1739" t="s">
        <v>855</v>
      </c>
      <c r="K1739" t="s">
        <v>51</v>
      </c>
      <c r="L1739" t="s">
        <v>52</v>
      </c>
      <c r="M1739">
        <v>133185.10999999999</v>
      </c>
      <c r="N1739">
        <v>469085.2</v>
      </c>
      <c r="O1739" t="s">
        <v>53</v>
      </c>
      <c r="P1739" t="s">
        <v>54</v>
      </c>
      <c r="Q1739" t="s">
        <v>55</v>
      </c>
      <c r="T1739" t="s">
        <v>183</v>
      </c>
      <c r="U1739">
        <v>40</v>
      </c>
      <c r="V1739" s="1">
        <v>42552</v>
      </c>
      <c r="W1739" s="1">
        <v>42552</v>
      </c>
      <c r="X1739" s="1">
        <v>42552</v>
      </c>
      <c r="Y1739" s="1">
        <v>57162</v>
      </c>
      <c r="Z1739" t="s">
        <v>51</v>
      </c>
      <c r="AB1739" t="s">
        <v>54</v>
      </c>
      <c r="AC1739">
        <v>1</v>
      </c>
      <c r="AE1739" t="s">
        <v>79</v>
      </c>
      <c r="AF1739">
        <v>20</v>
      </c>
      <c r="AG1739" s="1">
        <v>42552</v>
      </c>
      <c r="AH1739" s="1">
        <v>42552</v>
      </c>
      <c r="AI1739" s="1">
        <v>42552</v>
      </c>
      <c r="AJ1739" s="1">
        <v>49857</v>
      </c>
      <c r="AK1739" t="s">
        <v>51</v>
      </c>
      <c r="AN1739">
        <v>0</v>
      </c>
      <c r="AO1739" t="s">
        <v>54</v>
      </c>
      <c r="AP1739" t="s">
        <v>53</v>
      </c>
      <c r="AQ1739">
        <v>0</v>
      </c>
      <c r="AR1739" t="s">
        <v>145</v>
      </c>
      <c r="AS1739">
        <v>0</v>
      </c>
      <c r="AT1739">
        <v>0</v>
      </c>
      <c r="CC1739" t="s">
        <v>850</v>
      </c>
      <c r="CD1739">
        <v>1</v>
      </c>
      <c r="CE1739" s="1">
        <v>42552</v>
      </c>
      <c r="CF1739" s="1">
        <v>42552</v>
      </c>
      <c r="CG1739" s="1">
        <v>42552</v>
      </c>
      <c r="CH1739" s="1">
        <v>49714</v>
      </c>
      <c r="CI1739" t="s">
        <v>51</v>
      </c>
      <c r="CK1739" t="s">
        <v>78</v>
      </c>
      <c r="CM1739" t="s">
        <v>54</v>
      </c>
      <c r="CN1739" t="s">
        <v>174</v>
      </c>
      <c r="CO1739" t="s">
        <v>86</v>
      </c>
      <c r="CR1739">
        <v>18</v>
      </c>
      <c r="CS1739">
        <v>0</v>
      </c>
      <c r="CT1739">
        <v>0</v>
      </c>
      <c r="CU1739">
        <v>0</v>
      </c>
    </row>
    <row r="1740" spans="1:99" x14ac:dyDescent="0.2">
      <c r="A1740" t="s">
        <v>367</v>
      </c>
      <c r="B1740" t="s">
        <v>440</v>
      </c>
      <c r="C1740" t="s">
        <v>441</v>
      </c>
      <c r="D1740" t="s">
        <v>846</v>
      </c>
      <c r="F1740" t="str">
        <f>"254400"</f>
        <v>254400</v>
      </c>
      <c r="G1740" t="s">
        <v>49</v>
      </c>
      <c r="H1740" t="s">
        <v>856</v>
      </c>
      <c r="K1740" t="s">
        <v>51</v>
      </c>
      <c r="L1740" t="s">
        <v>52</v>
      </c>
      <c r="M1740">
        <v>133183.04000000001</v>
      </c>
      <c r="N1740">
        <v>469121.75</v>
      </c>
      <c r="O1740" t="s">
        <v>53</v>
      </c>
      <c r="P1740" t="s">
        <v>54</v>
      </c>
      <c r="Q1740" t="s">
        <v>55</v>
      </c>
      <c r="T1740" t="s">
        <v>183</v>
      </c>
      <c r="U1740">
        <v>40</v>
      </c>
      <c r="V1740" s="1">
        <v>42552</v>
      </c>
      <c r="W1740" s="1">
        <v>42552</v>
      </c>
      <c r="X1740" s="1">
        <v>42552</v>
      </c>
      <c r="Y1740" s="1">
        <v>57162</v>
      </c>
      <c r="Z1740" t="s">
        <v>51</v>
      </c>
      <c r="AB1740" t="s">
        <v>54</v>
      </c>
      <c r="AC1740">
        <v>1</v>
      </c>
      <c r="AE1740" t="s">
        <v>79</v>
      </c>
      <c r="AF1740">
        <v>20</v>
      </c>
      <c r="AG1740" s="1">
        <v>42552</v>
      </c>
      <c r="AH1740" s="1">
        <v>42552</v>
      </c>
      <c r="AI1740" s="1">
        <v>42552</v>
      </c>
      <c r="AJ1740" s="1">
        <v>49857</v>
      </c>
      <c r="AK1740" t="s">
        <v>51</v>
      </c>
      <c r="AN1740">
        <v>0</v>
      </c>
      <c r="AO1740" t="s">
        <v>54</v>
      </c>
      <c r="AP1740" t="s">
        <v>53</v>
      </c>
      <c r="AQ1740">
        <v>0</v>
      </c>
      <c r="AR1740" t="s">
        <v>145</v>
      </c>
      <c r="AS1740">
        <v>0</v>
      </c>
      <c r="AT1740">
        <v>0</v>
      </c>
      <c r="CC1740" t="s">
        <v>850</v>
      </c>
      <c r="CD1740">
        <v>1</v>
      </c>
      <c r="CE1740" s="1">
        <v>42552</v>
      </c>
      <c r="CF1740" s="1">
        <v>42552</v>
      </c>
      <c r="CG1740" s="1">
        <v>42552</v>
      </c>
      <c r="CH1740" s="1">
        <v>49714</v>
      </c>
      <c r="CI1740" t="s">
        <v>51</v>
      </c>
      <c r="CK1740" t="s">
        <v>78</v>
      </c>
      <c r="CM1740" t="s">
        <v>54</v>
      </c>
      <c r="CN1740" t="s">
        <v>174</v>
      </c>
      <c r="CO1740" t="s">
        <v>86</v>
      </c>
      <c r="CR1740">
        <v>18</v>
      </c>
      <c r="CS1740">
        <v>0</v>
      </c>
      <c r="CT1740">
        <v>0</v>
      </c>
      <c r="CU1740">
        <v>0</v>
      </c>
    </row>
    <row r="1741" spans="1:99" x14ac:dyDescent="0.2">
      <c r="A1741" t="s">
        <v>367</v>
      </c>
      <c r="B1741" t="s">
        <v>440</v>
      </c>
      <c r="C1741" t="s">
        <v>441</v>
      </c>
      <c r="D1741" t="s">
        <v>846</v>
      </c>
      <c r="F1741" t="str">
        <f>"254401"</f>
        <v>254401</v>
      </c>
      <c r="G1741" t="s">
        <v>49</v>
      </c>
      <c r="H1741" t="s">
        <v>857</v>
      </c>
      <c r="K1741" t="s">
        <v>51</v>
      </c>
      <c r="L1741" t="s">
        <v>52</v>
      </c>
      <c r="M1741">
        <v>133180.70000000001</v>
      </c>
      <c r="N1741">
        <v>469159.55</v>
      </c>
      <c r="O1741" t="s">
        <v>53</v>
      </c>
      <c r="P1741" t="s">
        <v>54</v>
      </c>
      <c r="Q1741" t="s">
        <v>55</v>
      </c>
      <c r="T1741" t="s">
        <v>183</v>
      </c>
      <c r="U1741">
        <v>40</v>
      </c>
      <c r="V1741" s="1">
        <v>42552</v>
      </c>
      <c r="W1741" s="1">
        <v>42552</v>
      </c>
      <c r="X1741" s="1">
        <v>42552</v>
      </c>
      <c r="Y1741" s="1">
        <v>57162</v>
      </c>
      <c r="Z1741" t="s">
        <v>51</v>
      </c>
      <c r="AB1741" t="s">
        <v>54</v>
      </c>
      <c r="AC1741">
        <v>1</v>
      </c>
      <c r="AE1741" t="s">
        <v>79</v>
      </c>
      <c r="AF1741">
        <v>20</v>
      </c>
      <c r="AG1741" s="1">
        <v>42552</v>
      </c>
      <c r="AH1741" s="1">
        <v>42552</v>
      </c>
      <c r="AI1741" s="1">
        <v>42552</v>
      </c>
      <c r="AJ1741" s="1">
        <v>49857</v>
      </c>
      <c r="AK1741" t="s">
        <v>51</v>
      </c>
      <c r="AN1741">
        <v>0</v>
      </c>
      <c r="AO1741" t="s">
        <v>54</v>
      </c>
      <c r="AP1741" t="s">
        <v>53</v>
      </c>
      <c r="AQ1741">
        <v>0</v>
      </c>
      <c r="AR1741" t="s">
        <v>145</v>
      </c>
      <c r="AS1741">
        <v>0</v>
      </c>
      <c r="AT1741">
        <v>0</v>
      </c>
      <c r="CC1741" t="s">
        <v>850</v>
      </c>
      <c r="CD1741">
        <v>1</v>
      </c>
      <c r="CE1741" s="1">
        <v>43234</v>
      </c>
      <c r="CF1741" s="1">
        <v>43234</v>
      </c>
      <c r="CG1741" s="1">
        <v>43234</v>
      </c>
      <c r="CH1741" s="1">
        <v>50422</v>
      </c>
      <c r="CI1741" t="s">
        <v>51</v>
      </c>
      <c r="CK1741" t="s">
        <v>78</v>
      </c>
      <c r="CM1741" t="s">
        <v>54</v>
      </c>
      <c r="CN1741" t="s">
        <v>174</v>
      </c>
      <c r="CO1741" t="s">
        <v>86</v>
      </c>
      <c r="CR1741">
        <v>18</v>
      </c>
      <c r="CS1741">
        <v>0</v>
      </c>
      <c r="CT1741">
        <v>0</v>
      </c>
      <c r="CU1741">
        <v>0</v>
      </c>
    </row>
    <row r="1742" spans="1:99" x14ac:dyDescent="0.2">
      <c r="A1742" t="s">
        <v>367</v>
      </c>
      <c r="B1742" t="s">
        <v>440</v>
      </c>
      <c r="C1742" t="s">
        <v>441</v>
      </c>
      <c r="D1742" t="s">
        <v>846</v>
      </c>
      <c r="F1742" t="str">
        <f>"254402"</f>
        <v>254402</v>
      </c>
      <c r="G1742" t="s">
        <v>49</v>
      </c>
      <c r="H1742" t="s">
        <v>858</v>
      </c>
      <c r="K1742" t="s">
        <v>51</v>
      </c>
      <c r="L1742" t="s">
        <v>52</v>
      </c>
      <c r="M1742">
        <v>133178.42000000001</v>
      </c>
      <c r="N1742">
        <v>469198.82</v>
      </c>
      <c r="O1742" t="s">
        <v>53</v>
      </c>
      <c r="P1742" t="s">
        <v>54</v>
      </c>
      <c r="Q1742" t="s">
        <v>55</v>
      </c>
      <c r="T1742" t="s">
        <v>841</v>
      </c>
      <c r="U1742">
        <v>40</v>
      </c>
      <c r="V1742" s="1">
        <v>42552</v>
      </c>
      <c r="W1742" s="1">
        <v>42552</v>
      </c>
      <c r="X1742" s="1">
        <v>42552</v>
      </c>
      <c r="Y1742" s="1">
        <v>57162</v>
      </c>
      <c r="Z1742" t="s">
        <v>51</v>
      </c>
      <c r="AB1742" t="s">
        <v>54</v>
      </c>
      <c r="AC1742">
        <v>1</v>
      </c>
      <c r="AE1742" t="s">
        <v>79</v>
      </c>
      <c r="AF1742">
        <v>20</v>
      </c>
      <c r="AG1742" s="1">
        <v>42552</v>
      </c>
      <c r="AH1742" s="1">
        <v>42552</v>
      </c>
      <c r="AI1742" s="1">
        <v>42552</v>
      </c>
      <c r="AJ1742" s="1">
        <v>49857</v>
      </c>
      <c r="AK1742" t="s">
        <v>51</v>
      </c>
      <c r="AN1742">
        <v>0</v>
      </c>
      <c r="AO1742" t="s">
        <v>54</v>
      </c>
      <c r="AP1742" t="s">
        <v>53</v>
      </c>
      <c r="AQ1742">
        <v>0</v>
      </c>
      <c r="AR1742" t="s">
        <v>145</v>
      </c>
      <c r="AS1742">
        <v>0</v>
      </c>
      <c r="AT1742">
        <v>0</v>
      </c>
      <c r="CC1742" t="s">
        <v>850</v>
      </c>
      <c r="CD1742">
        <v>1</v>
      </c>
      <c r="CE1742" s="1">
        <v>43234</v>
      </c>
      <c r="CF1742" s="1">
        <v>43234</v>
      </c>
      <c r="CG1742" s="1">
        <v>43234</v>
      </c>
      <c r="CH1742" s="1">
        <v>50422</v>
      </c>
      <c r="CI1742" t="s">
        <v>51</v>
      </c>
      <c r="CK1742" t="s">
        <v>78</v>
      </c>
      <c r="CM1742" t="s">
        <v>54</v>
      </c>
      <c r="CN1742" t="s">
        <v>174</v>
      </c>
      <c r="CO1742" t="s">
        <v>86</v>
      </c>
      <c r="CR1742">
        <v>18</v>
      </c>
      <c r="CS1742">
        <v>0</v>
      </c>
      <c r="CT1742">
        <v>0</v>
      </c>
      <c r="CU1742">
        <v>0</v>
      </c>
    </row>
    <row r="1743" spans="1:99" x14ac:dyDescent="0.2">
      <c r="A1743" t="s">
        <v>367</v>
      </c>
      <c r="B1743" t="s">
        <v>440</v>
      </c>
      <c r="C1743" t="s">
        <v>441</v>
      </c>
      <c r="D1743" t="s">
        <v>846</v>
      </c>
      <c r="F1743" t="str">
        <f>"254403"</f>
        <v>254403</v>
      </c>
      <c r="G1743" t="s">
        <v>49</v>
      </c>
      <c r="H1743" t="s">
        <v>859</v>
      </c>
      <c r="K1743" t="s">
        <v>51</v>
      </c>
      <c r="L1743" t="s">
        <v>52</v>
      </c>
      <c r="M1743">
        <v>133176.25</v>
      </c>
      <c r="N1743">
        <v>469236.37</v>
      </c>
      <c r="O1743" t="s">
        <v>53</v>
      </c>
      <c r="P1743" t="s">
        <v>54</v>
      </c>
      <c r="Q1743" t="s">
        <v>55</v>
      </c>
      <c r="T1743" t="s">
        <v>841</v>
      </c>
      <c r="U1743">
        <v>40</v>
      </c>
      <c r="V1743" s="1">
        <v>42552</v>
      </c>
      <c r="W1743" s="1">
        <v>42552</v>
      </c>
      <c r="X1743" s="1">
        <v>42552</v>
      </c>
      <c r="Y1743" s="1">
        <v>57162</v>
      </c>
      <c r="Z1743" t="s">
        <v>51</v>
      </c>
      <c r="AB1743" t="s">
        <v>54</v>
      </c>
      <c r="AC1743">
        <v>1</v>
      </c>
      <c r="AE1743" t="s">
        <v>79</v>
      </c>
      <c r="AF1743">
        <v>20</v>
      </c>
      <c r="AG1743" s="1">
        <v>42552</v>
      </c>
      <c r="AH1743" s="1">
        <v>42552</v>
      </c>
      <c r="AI1743" s="1">
        <v>42552</v>
      </c>
      <c r="AJ1743" s="1">
        <v>49857</v>
      </c>
      <c r="AK1743" t="s">
        <v>51</v>
      </c>
      <c r="AN1743">
        <v>0</v>
      </c>
      <c r="AO1743" t="s">
        <v>54</v>
      </c>
      <c r="AP1743" t="s">
        <v>53</v>
      </c>
      <c r="AQ1743">
        <v>0</v>
      </c>
      <c r="AR1743" t="s">
        <v>145</v>
      </c>
      <c r="AS1743">
        <v>0</v>
      </c>
      <c r="AT1743">
        <v>0</v>
      </c>
      <c r="CC1743" t="s">
        <v>850</v>
      </c>
      <c r="CD1743">
        <v>1</v>
      </c>
      <c r="CE1743" s="1">
        <v>42552</v>
      </c>
      <c r="CF1743" s="1">
        <v>42552</v>
      </c>
      <c r="CG1743" s="1">
        <v>42552</v>
      </c>
      <c r="CH1743" s="1">
        <v>49714</v>
      </c>
      <c r="CI1743" t="s">
        <v>51</v>
      </c>
      <c r="CK1743" t="s">
        <v>78</v>
      </c>
      <c r="CM1743" t="s">
        <v>54</v>
      </c>
      <c r="CN1743" t="s">
        <v>174</v>
      </c>
      <c r="CO1743" t="s">
        <v>86</v>
      </c>
      <c r="CR1743">
        <v>18</v>
      </c>
      <c r="CS1743">
        <v>0</v>
      </c>
      <c r="CT1743">
        <v>0</v>
      </c>
      <c r="CU1743">
        <v>0</v>
      </c>
    </row>
    <row r="1744" spans="1:99" x14ac:dyDescent="0.2">
      <c r="A1744" t="s">
        <v>367</v>
      </c>
      <c r="B1744" t="s">
        <v>440</v>
      </c>
      <c r="C1744" t="s">
        <v>441</v>
      </c>
      <c r="D1744" t="s">
        <v>846</v>
      </c>
      <c r="F1744" t="str">
        <f>"254404"</f>
        <v>254404</v>
      </c>
      <c r="G1744" t="s">
        <v>49</v>
      </c>
      <c r="H1744" t="s">
        <v>860</v>
      </c>
      <c r="K1744" t="s">
        <v>51</v>
      </c>
      <c r="L1744" t="s">
        <v>52</v>
      </c>
      <c r="M1744">
        <v>133173.78</v>
      </c>
      <c r="N1744">
        <v>469275.13</v>
      </c>
      <c r="O1744" t="s">
        <v>53</v>
      </c>
      <c r="P1744" t="s">
        <v>54</v>
      </c>
      <c r="Q1744" t="s">
        <v>55</v>
      </c>
      <c r="T1744" t="s">
        <v>183</v>
      </c>
      <c r="U1744">
        <v>40</v>
      </c>
      <c r="V1744" s="1">
        <v>42552</v>
      </c>
      <c r="W1744" s="1">
        <v>42552</v>
      </c>
      <c r="X1744" s="1">
        <v>42552</v>
      </c>
      <c r="Y1744" s="1">
        <v>57162</v>
      </c>
      <c r="Z1744" t="s">
        <v>51</v>
      </c>
      <c r="AB1744" t="s">
        <v>54</v>
      </c>
      <c r="AC1744">
        <v>1</v>
      </c>
      <c r="AE1744" t="s">
        <v>79</v>
      </c>
      <c r="AF1744">
        <v>20</v>
      </c>
      <c r="AG1744" s="1">
        <v>42552</v>
      </c>
      <c r="AH1744" s="1">
        <v>42552</v>
      </c>
      <c r="AI1744" s="1">
        <v>42552</v>
      </c>
      <c r="AJ1744" s="1">
        <v>49857</v>
      </c>
      <c r="AK1744" t="s">
        <v>51</v>
      </c>
      <c r="AN1744">
        <v>0</v>
      </c>
      <c r="AO1744" t="s">
        <v>54</v>
      </c>
      <c r="AP1744" t="s">
        <v>53</v>
      </c>
      <c r="AQ1744">
        <v>0</v>
      </c>
      <c r="AR1744" t="s">
        <v>145</v>
      </c>
      <c r="AS1744">
        <v>0</v>
      </c>
      <c r="AT1744">
        <v>0</v>
      </c>
      <c r="CC1744" t="s">
        <v>850</v>
      </c>
      <c r="CD1744">
        <v>1</v>
      </c>
      <c r="CE1744" s="1">
        <v>42552</v>
      </c>
      <c r="CF1744" s="1">
        <v>42552</v>
      </c>
      <c r="CG1744" s="1">
        <v>42552</v>
      </c>
      <c r="CH1744" s="1">
        <v>49714</v>
      </c>
      <c r="CI1744" t="s">
        <v>51</v>
      </c>
      <c r="CK1744" t="s">
        <v>78</v>
      </c>
      <c r="CM1744" t="s">
        <v>54</v>
      </c>
      <c r="CN1744" t="s">
        <v>174</v>
      </c>
      <c r="CO1744" t="s">
        <v>86</v>
      </c>
      <c r="CR1744">
        <v>18</v>
      </c>
      <c r="CS1744">
        <v>0</v>
      </c>
      <c r="CT1744">
        <v>0</v>
      </c>
      <c r="CU1744">
        <v>0</v>
      </c>
    </row>
    <row r="1745" spans="1:99" x14ac:dyDescent="0.2">
      <c r="A1745" t="s">
        <v>367</v>
      </c>
      <c r="B1745" t="s">
        <v>440</v>
      </c>
      <c r="C1745" t="s">
        <v>441</v>
      </c>
      <c r="D1745" t="s">
        <v>846</v>
      </c>
      <c r="F1745" t="str">
        <f>"254405"</f>
        <v>254405</v>
      </c>
      <c r="G1745" t="s">
        <v>49</v>
      </c>
      <c r="H1745" t="s">
        <v>861</v>
      </c>
      <c r="K1745" t="s">
        <v>51</v>
      </c>
      <c r="L1745" t="s">
        <v>52</v>
      </c>
      <c r="M1745">
        <v>133171.07999999999</v>
      </c>
      <c r="N1745">
        <v>469313.56</v>
      </c>
      <c r="O1745" t="s">
        <v>53</v>
      </c>
      <c r="P1745" t="s">
        <v>54</v>
      </c>
      <c r="Q1745" t="s">
        <v>55</v>
      </c>
      <c r="T1745" t="s">
        <v>841</v>
      </c>
      <c r="U1745">
        <v>40</v>
      </c>
      <c r="V1745" s="1">
        <v>42552</v>
      </c>
      <c r="W1745" s="1">
        <v>42552</v>
      </c>
      <c r="X1745" s="1">
        <v>42552</v>
      </c>
      <c r="Y1745" s="1">
        <v>57162</v>
      </c>
      <c r="Z1745" t="s">
        <v>51</v>
      </c>
      <c r="AB1745" t="s">
        <v>54</v>
      </c>
      <c r="AC1745">
        <v>1</v>
      </c>
      <c r="AE1745" t="s">
        <v>79</v>
      </c>
      <c r="AF1745">
        <v>20</v>
      </c>
      <c r="AG1745" s="1">
        <v>42552</v>
      </c>
      <c r="AH1745" s="1">
        <v>42552</v>
      </c>
      <c r="AI1745" s="1">
        <v>42552</v>
      </c>
      <c r="AJ1745" s="1">
        <v>49857</v>
      </c>
      <c r="AK1745" t="s">
        <v>51</v>
      </c>
      <c r="AN1745">
        <v>0</v>
      </c>
      <c r="AO1745" t="s">
        <v>54</v>
      </c>
      <c r="AP1745" t="s">
        <v>53</v>
      </c>
      <c r="AQ1745">
        <v>0</v>
      </c>
      <c r="AR1745" t="s">
        <v>145</v>
      </c>
      <c r="AS1745">
        <v>0</v>
      </c>
      <c r="AT1745">
        <v>0</v>
      </c>
      <c r="CC1745" t="s">
        <v>850</v>
      </c>
      <c r="CD1745">
        <v>1</v>
      </c>
      <c r="CE1745" s="1">
        <v>42552</v>
      </c>
      <c r="CF1745" s="1">
        <v>42552</v>
      </c>
      <c r="CG1745" s="1">
        <v>42552</v>
      </c>
      <c r="CH1745" s="1">
        <v>49714</v>
      </c>
      <c r="CI1745" t="s">
        <v>51</v>
      </c>
      <c r="CK1745" t="s">
        <v>78</v>
      </c>
      <c r="CM1745" t="s">
        <v>54</v>
      </c>
      <c r="CN1745" t="s">
        <v>174</v>
      </c>
      <c r="CO1745" t="s">
        <v>86</v>
      </c>
      <c r="CR1745">
        <v>18</v>
      </c>
      <c r="CS1745">
        <v>0</v>
      </c>
      <c r="CT1745">
        <v>0</v>
      </c>
      <c r="CU1745">
        <v>0</v>
      </c>
    </row>
    <row r="1746" spans="1:99" x14ac:dyDescent="0.2">
      <c r="A1746" t="s">
        <v>367</v>
      </c>
      <c r="B1746" t="s">
        <v>440</v>
      </c>
      <c r="C1746" t="s">
        <v>441</v>
      </c>
      <c r="D1746" t="s">
        <v>846</v>
      </c>
      <c r="F1746" t="str">
        <f>"254406"</f>
        <v>254406</v>
      </c>
      <c r="G1746" t="s">
        <v>49</v>
      </c>
      <c r="H1746" t="s">
        <v>862</v>
      </c>
      <c r="K1746" t="s">
        <v>51</v>
      </c>
      <c r="L1746" t="s">
        <v>52</v>
      </c>
      <c r="M1746">
        <v>133168.68</v>
      </c>
      <c r="N1746">
        <v>469367.37</v>
      </c>
      <c r="O1746" t="s">
        <v>53</v>
      </c>
      <c r="P1746" t="s">
        <v>54</v>
      </c>
      <c r="Q1746" t="s">
        <v>55</v>
      </c>
      <c r="T1746" t="s">
        <v>183</v>
      </c>
      <c r="U1746">
        <v>40</v>
      </c>
      <c r="V1746" s="1">
        <v>42552</v>
      </c>
      <c r="W1746" s="1">
        <v>42552</v>
      </c>
      <c r="X1746" s="1">
        <v>42552</v>
      </c>
      <c r="Y1746" s="1">
        <v>57162</v>
      </c>
      <c r="Z1746" t="s">
        <v>51</v>
      </c>
      <c r="AB1746" t="s">
        <v>54</v>
      </c>
      <c r="AC1746">
        <v>1</v>
      </c>
      <c r="AE1746" t="s">
        <v>79</v>
      </c>
      <c r="AF1746">
        <v>20</v>
      </c>
      <c r="AG1746" s="1">
        <v>42552</v>
      </c>
      <c r="AH1746" s="1">
        <v>42552</v>
      </c>
      <c r="AI1746" s="1">
        <v>42552</v>
      </c>
      <c r="AJ1746" s="1">
        <v>49857</v>
      </c>
      <c r="AK1746" t="s">
        <v>51</v>
      </c>
      <c r="AN1746">
        <v>0</v>
      </c>
      <c r="AO1746" t="s">
        <v>54</v>
      </c>
      <c r="AP1746" t="s">
        <v>53</v>
      </c>
      <c r="AQ1746">
        <v>0</v>
      </c>
      <c r="AR1746" t="s">
        <v>145</v>
      </c>
      <c r="AS1746">
        <v>0</v>
      </c>
      <c r="AT1746">
        <v>0</v>
      </c>
      <c r="CC1746" t="s">
        <v>850</v>
      </c>
      <c r="CD1746">
        <v>1</v>
      </c>
      <c r="CE1746" s="1">
        <v>42552</v>
      </c>
      <c r="CF1746" s="1">
        <v>42552</v>
      </c>
      <c r="CG1746" s="1">
        <v>42552</v>
      </c>
      <c r="CH1746" s="1">
        <v>49714</v>
      </c>
      <c r="CI1746" t="s">
        <v>51</v>
      </c>
      <c r="CK1746" t="s">
        <v>78</v>
      </c>
      <c r="CM1746" t="s">
        <v>54</v>
      </c>
      <c r="CN1746" t="s">
        <v>174</v>
      </c>
      <c r="CO1746" t="s">
        <v>86</v>
      </c>
      <c r="CR1746">
        <v>18</v>
      </c>
      <c r="CS1746">
        <v>0</v>
      </c>
      <c r="CT1746">
        <v>0</v>
      </c>
      <c r="CU1746">
        <v>0</v>
      </c>
    </row>
    <row r="1747" spans="1:99" x14ac:dyDescent="0.2">
      <c r="A1747" t="s">
        <v>367</v>
      </c>
      <c r="B1747" t="s">
        <v>440</v>
      </c>
      <c r="C1747" t="s">
        <v>441</v>
      </c>
      <c r="D1747" t="s">
        <v>846</v>
      </c>
      <c r="F1747" t="str">
        <f>"254407"</f>
        <v>254407</v>
      </c>
      <c r="G1747" t="s">
        <v>49</v>
      </c>
      <c r="H1747" t="s">
        <v>863</v>
      </c>
      <c r="K1747" t="s">
        <v>51</v>
      </c>
      <c r="L1747" t="s">
        <v>52</v>
      </c>
      <c r="M1747">
        <v>133164.49</v>
      </c>
      <c r="N1747">
        <v>469403.73</v>
      </c>
      <c r="O1747" t="s">
        <v>53</v>
      </c>
      <c r="P1747" t="s">
        <v>54</v>
      </c>
      <c r="Q1747" t="s">
        <v>55</v>
      </c>
      <c r="T1747" t="s">
        <v>183</v>
      </c>
      <c r="U1747">
        <v>40</v>
      </c>
      <c r="V1747" s="1">
        <v>42552</v>
      </c>
      <c r="W1747" s="1">
        <v>42552</v>
      </c>
      <c r="X1747" s="1">
        <v>42552</v>
      </c>
      <c r="Y1747" s="1">
        <v>57162</v>
      </c>
      <c r="Z1747" t="s">
        <v>51</v>
      </c>
      <c r="AB1747" t="s">
        <v>54</v>
      </c>
      <c r="AC1747">
        <v>1</v>
      </c>
      <c r="AE1747" t="s">
        <v>79</v>
      </c>
      <c r="AF1747">
        <v>20</v>
      </c>
      <c r="AG1747" s="1">
        <v>42552</v>
      </c>
      <c r="AH1747" s="1">
        <v>42552</v>
      </c>
      <c r="AI1747" s="1">
        <v>42552</v>
      </c>
      <c r="AJ1747" s="1">
        <v>49857</v>
      </c>
      <c r="AK1747" t="s">
        <v>51</v>
      </c>
      <c r="AN1747">
        <v>0</v>
      </c>
      <c r="AO1747" t="s">
        <v>54</v>
      </c>
      <c r="AP1747" t="s">
        <v>53</v>
      </c>
      <c r="AQ1747">
        <v>0</v>
      </c>
      <c r="AR1747" t="s">
        <v>145</v>
      </c>
      <c r="AS1747">
        <v>0</v>
      </c>
      <c r="AT1747">
        <v>0</v>
      </c>
      <c r="CC1747" t="s">
        <v>850</v>
      </c>
      <c r="CD1747">
        <v>1</v>
      </c>
      <c r="CE1747" s="1">
        <v>42552</v>
      </c>
      <c r="CF1747" s="1">
        <v>42552</v>
      </c>
      <c r="CG1747" s="1">
        <v>42552</v>
      </c>
      <c r="CH1747" s="1">
        <v>49714</v>
      </c>
      <c r="CI1747" t="s">
        <v>51</v>
      </c>
      <c r="CK1747" t="s">
        <v>78</v>
      </c>
      <c r="CM1747" t="s">
        <v>54</v>
      </c>
      <c r="CN1747" t="s">
        <v>174</v>
      </c>
      <c r="CO1747" t="s">
        <v>86</v>
      </c>
      <c r="CR1747">
        <v>18</v>
      </c>
      <c r="CS1747">
        <v>0</v>
      </c>
      <c r="CT1747">
        <v>0</v>
      </c>
      <c r="CU1747">
        <v>0</v>
      </c>
    </row>
    <row r="1748" spans="1:99" x14ac:dyDescent="0.2">
      <c r="A1748" t="s">
        <v>367</v>
      </c>
      <c r="B1748" t="s">
        <v>440</v>
      </c>
      <c r="C1748" t="s">
        <v>441</v>
      </c>
      <c r="D1748" t="s">
        <v>846</v>
      </c>
      <c r="F1748" t="str">
        <f>"254408"</f>
        <v>254408</v>
      </c>
      <c r="G1748" t="s">
        <v>49</v>
      </c>
      <c r="H1748" t="s">
        <v>864</v>
      </c>
      <c r="K1748" t="s">
        <v>51</v>
      </c>
      <c r="L1748" t="s">
        <v>52</v>
      </c>
      <c r="M1748">
        <v>133165.46</v>
      </c>
      <c r="N1748">
        <v>469436.88</v>
      </c>
      <c r="O1748" t="s">
        <v>53</v>
      </c>
      <c r="P1748" t="s">
        <v>54</v>
      </c>
      <c r="Q1748" t="s">
        <v>55</v>
      </c>
      <c r="T1748" t="s">
        <v>841</v>
      </c>
      <c r="U1748">
        <v>40</v>
      </c>
      <c r="V1748" s="1">
        <v>42552</v>
      </c>
      <c r="W1748" s="1">
        <v>42552</v>
      </c>
      <c r="X1748" s="1">
        <v>42552</v>
      </c>
      <c r="Y1748" s="1">
        <v>57162</v>
      </c>
      <c r="Z1748" t="s">
        <v>51</v>
      </c>
      <c r="AB1748" t="s">
        <v>54</v>
      </c>
      <c r="AC1748">
        <v>1</v>
      </c>
      <c r="AE1748" t="s">
        <v>79</v>
      </c>
      <c r="AF1748">
        <v>20</v>
      </c>
      <c r="AG1748" s="1">
        <v>42552</v>
      </c>
      <c r="AH1748" s="1">
        <v>42552</v>
      </c>
      <c r="AI1748" s="1">
        <v>42552</v>
      </c>
      <c r="AJ1748" s="1">
        <v>49857</v>
      </c>
      <c r="AK1748" t="s">
        <v>51</v>
      </c>
      <c r="AN1748">
        <v>0</v>
      </c>
      <c r="AO1748" t="s">
        <v>54</v>
      </c>
      <c r="AP1748" t="s">
        <v>53</v>
      </c>
      <c r="AQ1748">
        <v>0</v>
      </c>
      <c r="AR1748" t="s">
        <v>145</v>
      </c>
      <c r="AS1748">
        <v>0</v>
      </c>
      <c r="AT1748">
        <v>0</v>
      </c>
      <c r="CC1748" t="s">
        <v>850</v>
      </c>
      <c r="CD1748">
        <v>1</v>
      </c>
      <c r="CE1748" s="1">
        <v>42552</v>
      </c>
      <c r="CF1748" s="1">
        <v>42552</v>
      </c>
      <c r="CG1748" s="1">
        <v>42552</v>
      </c>
      <c r="CH1748" s="1">
        <v>49714</v>
      </c>
      <c r="CI1748" t="s">
        <v>51</v>
      </c>
      <c r="CK1748" t="s">
        <v>78</v>
      </c>
      <c r="CM1748" t="s">
        <v>54</v>
      </c>
      <c r="CN1748" t="s">
        <v>174</v>
      </c>
      <c r="CO1748" t="s">
        <v>86</v>
      </c>
      <c r="CR1748">
        <v>18</v>
      </c>
      <c r="CS1748">
        <v>0</v>
      </c>
      <c r="CT1748">
        <v>0</v>
      </c>
      <c r="CU1748">
        <v>0</v>
      </c>
    </row>
    <row r="1749" spans="1:99" x14ac:dyDescent="0.2">
      <c r="A1749" t="s">
        <v>367</v>
      </c>
      <c r="B1749" t="s">
        <v>440</v>
      </c>
      <c r="C1749" t="s">
        <v>441</v>
      </c>
      <c r="D1749" t="s">
        <v>846</v>
      </c>
      <c r="F1749" t="str">
        <f>"254409"</f>
        <v>254409</v>
      </c>
      <c r="G1749" t="s">
        <v>49</v>
      </c>
      <c r="H1749" t="s">
        <v>864</v>
      </c>
      <c r="K1749" t="s">
        <v>51</v>
      </c>
      <c r="L1749" t="s">
        <v>52</v>
      </c>
      <c r="M1749">
        <v>133164.19</v>
      </c>
      <c r="N1749">
        <v>469490.69</v>
      </c>
      <c r="O1749" t="s">
        <v>53</v>
      </c>
      <c r="P1749" t="s">
        <v>54</v>
      </c>
      <c r="Q1749" t="s">
        <v>55</v>
      </c>
      <c r="T1749" t="s">
        <v>183</v>
      </c>
      <c r="U1749">
        <v>40</v>
      </c>
      <c r="V1749" s="1">
        <v>42552</v>
      </c>
      <c r="W1749" s="1">
        <v>42552</v>
      </c>
      <c r="X1749" s="1">
        <v>42552</v>
      </c>
      <c r="Y1749" s="1">
        <v>57162</v>
      </c>
      <c r="Z1749" t="s">
        <v>51</v>
      </c>
      <c r="AB1749" t="s">
        <v>54</v>
      </c>
      <c r="AC1749">
        <v>1</v>
      </c>
      <c r="AE1749" t="s">
        <v>79</v>
      </c>
      <c r="AF1749">
        <v>20</v>
      </c>
      <c r="AG1749" s="1">
        <v>42552</v>
      </c>
      <c r="AH1749" s="1">
        <v>42552</v>
      </c>
      <c r="AI1749" s="1">
        <v>42552</v>
      </c>
      <c r="AJ1749" s="1">
        <v>49857</v>
      </c>
      <c r="AK1749" t="s">
        <v>51</v>
      </c>
      <c r="AN1749">
        <v>0</v>
      </c>
      <c r="AO1749" t="s">
        <v>54</v>
      </c>
      <c r="AP1749" t="s">
        <v>53</v>
      </c>
      <c r="AQ1749">
        <v>0</v>
      </c>
      <c r="AR1749" t="s">
        <v>145</v>
      </c>
      <c r="AS1749">
        <v>0</v>
      </c>
      <c r="AT1749">
        <v>0</v>
      </c>
      <c r="CC1749" t="s">
        <v>850</v>
      </c>
      <c r="CD1749">
        <v>1</v>
      </c>
      <c r="CE1749" s="1">
        <v>43172</v>
      </c>
      <c r="CF1749" s="1">
        <v>43172</v>
      </c>
      <c r="CG1749" s="1">
        <v>43172</v>
      </c>
      <c r="CH1749" s="1">
        <v>50384</v>
      </c>
      <c r="CI1749" t="s">
        <v>51</v>
      </c>
      <c r="CK1749" t="s">
        <v>78</v>
      </c>
      <c r="CM1749" t="s">
        <v>54</v>
      </c>
      <c r="CN1749" t="s">
        <v>174</v>
      </c>
      <c r="CO1749" t="s">
        <v>86</v>
      </c>
      <c r="CR1749">
        <v>18</v>
      </c>
      <c r="CS1749">
        <v>0</v>
      </c>
      <c r="CT1749">
        <v>0</v>
      </c>
      <c r="CU1749">
        <v>0</v>
      </c>
    </row>
    <row r="1750" spans="1:99" x14ac:dyDescent="0.2">
      <c r="A1750" t="s">
        <v>367</v>
      </c>
      <c r="B1750" t="s">
        <v>440</v>
      </c>
      <c r="C1750" t="s">
        <v>441</v>
      </c>
      <c r="D1750" t="s">
        <v>846</v>
      </c>
      <c r="F1750" t="str">
        <f>"254410"</f>
        <v>254410</v>
      </c>
      <c r="G1750" t="s">
        <v>49</v>
      </c>
      <c r="H1750" t="s">
        <v>865</v>
      </c>
      <c r="K1750" t="s">
        <v>51</v>
      </c>
      <c r="L1750" t="s">
        <v>52</v>
      </c>
      <c r="M1750">
        <v>133163.6</v>
      </c>
      <c r="N1750">
        <v>469508.42</v>
      </c>
      <c r="O1750" t="s">
        <v>53</v>
      </c>
      <c r="P1750" t="s">
        <v>54</v>
      </c>
      <c r="Q1750" t="s">
        <v>55</v>
      </c>
      <c r="T1750" t="s">
        <v>841</v>
      </c>
      <c r="U1750">
        <v>40</v>
      </c>
      <c r="V1750" s="1">
        <v>42552</v>
      </c>
      <c r="W1750" s="1">
        <v>42552</v>
      </c>
      <c r="X1750" s="1">
        <v>42552</v>
      </c>
      <c r="Y1750" s="1">
        <v>57162</v>
      </c>
      <c r="Z1750" t="s">
        <v>51</v>
      </c>
      <c r="AB1750" t="s">
        <v>54</v>
      </c>
      <c r="AC1750">
        <v>1</v>
      </c>
      <c r="AE1750" t="s">
        <v>79</v>
      </c>
      <c r="AF1750">
        <v>20</v>
      </c>
      <c r="AG1750" s="1">
        <v>42552</v>
      </c>
      <c r="AH1750" s="1">
        <v>42552</v>
      </c>
      <c r="AI1750" s="1">
        <v>42552</v>
      </c>
      <c r="AJ1750" s="1">
        <v>49857</v>
      </c>
      <c r="AK1750" t="s">
        <v>51</v>
      </c>
      <c r="AN1750">
        <v>0</v>
      </c>
      <c r="AO1750" t="s">
        <v>54</v>
      </c>
      <c r="AP1750" t="s">
        <v>53</v>
      </c>
      <c r="AQ1750">
        <v>0</v>
      </c>
      <c r="AR1750" t="s">
        <v>145</v>
      </c>
      <c r="AS1750">
        <v>0</v>
      </c>
      <c r="AT1750">
        <v>0</v>
      </c>
      <c r="CC1750" t="s">
        <v>850</v>
      </c>
      <c r="CD1750">
        <v>1</v>
      </c>
      <c r="CE1750" s="1">
        <v>42552</v>
      </c>
      <c r="CF1750" s="1">
        <v>42552</v>
      </c>
      <c r="CG1750" s="1">
        <v>42552</v>
      </c>
      <c r="CH1750" s="1">
        <v>49714</v>
      </c>
      <c r="CI1750" t="s">
        <v>51</v>
      </c>
      <c r="CK1750" t="s">
        <v>78</v>
      </c>
      <c r="CM1750" t="s">
        <v>54</v>
      </c>
      <c r="CN1750" t="s">
        <v>174</v>
      </c>
      <c r="CO1750" t="s">
        <v>86</v>
      </c>
      <c r="CR1750">
        <v>18</v>
      </c>
      <c r="CS1750">
        <v>0</v>
      </c>
      <c r="CT1750">
        <v>0</v>
      </c>
      <c r="CU1750">
        <v>0</v>
      </c>
    </row>
    <row r="1751" spans="1:99" x14ac:dyDescent="0.2">
      <c r="A1751" t="s">
        <v>367</v>
      </c>
      <c r="B1751" t="s">
        <v>440</v>
      </c>
      <c r="C1751" t="s">
        <v>441</v>
      </c>
      <c r="D1751" t="s">
        <v>846</v>
      </c>
      <c r="F1751" t="str">
        <f>"254411"</f>
        <v>254411</v>
      </c>
      <c r="G1751" t="s">
        <v>49</v>
      </c>
      <c r="H1751" t="s">
        <v>866</v>
      </c>
      <c r="K1751" t="s">
        <v>51</v>
      </c>
      <c r="L1751" t="s">
        <v>52</v>
      </c>
      <c r="M1751">
        <v>133162.4</v>
      </c>
      <c r="N1751">
        <v>469544.2</v>
      </c>
      <c r="O1751" t="s">
        <v>53</v>
      </c>
      <c r="P1751" t="s">
        <v>54</v>
      </c>
      <c r="Q1751" t="s">
        <v>55</v>
      </c>
      <c r="T1751" t="s">
        <v>841</v>
      </c>
      <c r="U1751">
        <v>40</v>
      </c>
      <c r="V1751" s="1">
        <v>42552</v>
      </c>
      <c r="W1751" s="1">
        <v>42552</v>
      </c>
      <c r="X1751" s="1">
        <v>42552</v>
      </c>
      <c r="Y1751" s="1">
        <v>57162</v>
      </c>
      <c r="Z1751" t="s">
        <v>51</v>
      </c>
      <c r="AB1751" t="s">
        <v>54</v>
      </c>
      <c r="AC1751">
        <v>1</v>
      </c>
      <c r="AE1751" t="s">
        <v>79</v>
      </c>
      <c r="AF1751">
        <v>20</v>
      </c>
      <c r="AG1751" s="1">
        <v>42552</v>
      </c>
      <c r="AH1751" s="1">
        <v>42552</v>
      </c>
      <c r="AI1751" s="1">
        <v>42552</v>
      </c>
      <c r="AJ1751" s="1">
        <v>49857</v>
      </c>
      <c r="AK1751" t="s">
        <v>51</v>
      </c>
      <c r="AN1751">
        <v>0</v>
      </c>
      <c r="AO1751" t="s">
        <v>54</v>
      </c>
      <c r="AP1751" t="s">
        <v>53</v>
      </c>
      <c r="AQ1751">
        <v>0</v>
      </c>
      <c r="AR1751" t="s">
        <v>145</v>
      </c>
      <c r="AS1751">
        <v>0</v>
      </c>
      <c r="AT1751">
        <v>0</v>
      </c>
      <c r="CC1751" t="s">
        <v>850</v>
      </c>
      <c r="CD1751">
        <v>1</v>
      </c>
      <c r="CE1751" s="1">
        <v>42552</v>
      </c>
      <c r="CF1751" s="1">
        <v>42552</v>
      </c>
      <c r="CG1751" s="1">
        <v>42552</v>
      </c>
      <c r="CH1751" s="1">
        <v>49714</v>
      </c>
      <c r="CI1751" t="s">
        <v>51</v>
      </c>
      <c r="CK1751" t="s">
        <v>78</v>
      </c>
      <c r="CM1751" t="s">
        <v>54</v>
      </c>
      <c r="CN1751" t="s">
        <v>174</v>
      </c>
      <c r="CO1751" t="s">
        <v>86</v>
      </c>
      <c r="CR1751">
        <v>18</v>
      </c>
      <c r="CS1751">
        <v>0</v>
      </c>
      <c r="CT1751">
        <v>0</v>
      </c>
      <c r="CU1751">
        <v>0</v>
      </c>
    </row>
    <row r="1752" spans="1:99" x14ac:dyDescent="0.2">
      <c r="A1752" t="s">
        <v>367</v>
      </c>
      <c r="B1752" t="s">
        <v>440</v>
      </c>
      <c r="C1752" t="s">
        <v>441</v>
      </c>
      <c r="D1752" t="s">
        <v>846</v>
      </c>
      <c r="F1752" t="str">
        <f>"254412"</f>
        <v>254412</v>
      </c>
      <c r="G1752" t="s">
        <v>49</v>
      </c>
      <c r="H1752" t="s">
        <v>867</v>
      </c>
      <c r="K1752" t="s">
        <v>51</v>
      </c>
      <c r="L1752" t="s">
        <v>52</v>
      </c>
      <c r="M1752">
        <v>133160.91</v>
      </c>
      <c r="N1752">
        <v>469582.34</v>
      </c>
      <c r="O1752" t="s">
        <v>53</v>
      </c>
      <c r="P1752" t="s">
        <v>54</v>
      </c>
      <c r="Q1752" t="s">
        <v>55</v>
      </c>
      <c r="T1752" t="s">
        <v>841</v>
      </c>
      <c r="U1752">
        <v>40</v>
      </c>
      <c r="V1752" s="1">
        <v>42552</v>
      </c>
      <c r="W1752" s="1">
        <v>42552</v>
      </c>
      <c r="X1752" s="1">
        <v>42552</v>
      </c>
      <c r="Y1752" s="1">
        <v>57162</v>
      </c>
      <c r="Z1752" t="s">
        <v>51</v>
      </c>
      <c r="AB1752" t="s">
        <v>54</v>
      </c>
      <c r="AC1752">
        <v>1</v>
      </c>
      <c r="AE1752" t="s">
        <v>79</v>
      </c>
      <c r="AF1752">
        <v>20</v>
      </c>
      <c r="AG1752" s="1">
        <v>42552</v>
      </c>
      <c r="AH1752" s="1">
        <v>42552</v>
      </c>
      <c r="AI1752" s="1">
        <v>42552</v>
      </c>
      <c r="AJ1752" s="1">
        <v>49857</v>
      </c>
      <c r="AK1752" t="s">
        <v>51</v>
      </c>
      <c r="AN1752">
        <v>0</v>
      </c>
      <c r="AO1752" t="s">
        <v>54</v>
      </c>
      <c r="AP1752" t="s">
        <v>53</v>
      </c>
      <c r="AQ1752">
        <v>0</v>
      </c>
      <c r="AR1752" t="s">
        <v>145</v>
      </c>
      <c r="AS1752">
        <v>0</v>
      </c>
      <c r="AT1752">
        <v>0</v>
      </c>
      <c r="CC1752" t="s">
        <v>850</v>
      </c>
      <c r="CD1752">
        <v>1</v>
      </c>
      <c r="CE1752" s="1">
        <v>42552</v>
      </c>
      <c r="CF1752" s="1">
        <v>42552</v>
      </c>
      <c r="CG1752" s="1">
        <v>42552</v>
      </c>
      <c r="CH1752" s="1">
        <v>49714</v>
      </c>
      <c r="CI1752" t="s">
        <v>51</v>
      </c>
      <c r="CK1752" t="s">
        <v>78</v>
      </c>
      <c r="CM1752" t="s">
        <v>54</v>
      </c>
      <c r="CN1752" t="s">
        <v>174</v>
      </c>
      <c r="CO1752" t="s">
        <v>86</v>
      </c>
      <c r="CR1752">
        <v>18</v>
      </c>
      <c r="CS1752">
        <v>0</v>
      </c>
      <c r="CT1752">
        <v>0</v>
      </c>
      <c r="CU1752">
        <v>0</v>
      </c>
    </row>
    <row r="1753" spans="1:99" x14ac:dyDescent="0.2">
      <c r="A1753" t="s">
        <v>367</v>
      </c>
      <c r="B1753" t="s">
        <v>440</v>
      </c>
      <c r="C1753" t="s">
        <v>441</v>
      </c>
      <c r="D1753" t="s">
        <v>846</v>
      </c>
      <c r="F1753" t="str">
        <f>"254413"</f>
        <v>254413</v>
      </c>
      <c r="G1753" t="s">
        <v>49</v>
      </c>
      <c r="H1753" t="s">
        <v>868</v>
      </c>
      <c r="K1753" t="s">
        <v>51</v>
      </c>
      <c r="L1753" t="s">
        <v>52</v>
      </c>
      <c r="M1753">
        <v>133159.4</v>
      </c>
      <c r="N1753">
        <v>469618.79</v>
      </c>
      <c r="O1753" t="s">
        <v>53</v>
      </c>
      <c r="P1753" t="s">
        <v>54</v>
      </c>
      <c r="Q1753" t="s">
        <v>55</v>
      </c>
      <c r="T1753" t="s">
        <v>183</v>
      </c>
      <c r="U1753">
        <v>40</v>
      </c>
      <c r="V1753" s="1">
        <v>42552</v>
      </c>
      <c r="W1753" s="1">
        <v>42552</v>
      </c>
      <c r="X1753" s="1">
        <v>42552</v>
      </c>
      <c r="Y1753" s="1">
        <v>57162</v>
      </c>
      <c r="Z1753" t="s">
        <v>51</v>
      </c>
      <c r="AB1753" t="s">
        <v>54</v>
      </c>
      <c r="AC1753">
        <v>1</v>
      </c>
      <c r="AE1753" t="s">
        <v>79</v>
      </c>
      <c r="AF1753">
        <v>20</v>
      </c>
      <c r="AG1753" s="1">
        <v>42552</v>
      </c>
      <c r="AH1753" s="1">
        <v>42552</v>
      </c>
      <c r="AI1753" s="1">
        <v>42552</v>
      </c>
      <c r="AJ1753" s="1">
        <v>49857</v>
      </c>
      <c r="AK1753" t="s">
        <v>51</v>
      </c>
      <c r="AN1753">
        <v>0</v>
      </c>
      <c r="AO1753" t="s">
        <v>54</v>
      </c>
      <c r="AP1753" t="s">
        <v>53</v>
      </c>
      <c r="AQ1753">
        <v>0</v>
      </c>
      <c r="AR1753" t="s">
        <v>145</v>
      </c>
      <c r="AS1753">
        <v>0</v>
      </c>
      <c r="AT1753">
        <v>0</v>
      </c>
      <c r="CC1753" t="s">
        <v>850</v>
      </c>
      <c r="CD1753">
        <v>1</v>
      </c>
      <c r="CE1753" s="1">
        <v>42552</v>
      </c>
      <c r="CF1753" s="1">
        <v>42552</v>
      </c>
      <c r="CG1753" s="1">
        <v>42552</v>
      </c>
      <c r="CH1753" s="1">
        <v>49714</v>
      </c>
      <c r="CI1753" t="s">
        <v>51</v>
      </c>
      <c r="CK1753" t="s">
        <v>78</v>
      </c>
      <c r="CM1753" t="s">
        <v>54</v>
      </c>
      <c r="CN1753" t="s">
        <v>174</v>
      </c>
      <c r="CO1753" t="s">
        <v>86</v>
      </c>
      <c r="CR1753">
        <v>18</v>
      </c>
      <c r="CS1753">
        <v>0</v>
      </c>
      <c r="CT1753">
        <v>0</v>
      </c>
      <c r="CU1753">
        <v>0</v>
      </c>
    </row>
    <row r="1754" spans="1:99" x14ac:dyDescent="0.2">
      <c r="A1754" t="s">
        <v>367</v>
      </c>
      <c r="B1754" t="s">
        <v>440</v>
      </c>
      <c r="C1754" t="s">
        <v>441</v>
      </c>
      <c r="D1754" t="s">
        <v>846</v>
      </c>
      <c r="F1754" t="str">
        <f>"254414"</f>
        <v>254414</v>
      </c>
      <c r="G1754" t="s">
        <v>49</v>
      </c>
      <c r="H1754" t="s">
        <v>869</v>
      </c>
      <c r="K1754" t="s">
        <v>51</v>
      </c>
      <c r="L1754" t="s">
        <v>52</v>
      </c>
      <c r="M1754">
        <v>133158.44</v>
      </c>
      <c r="N1754">
        <v>469661.99</v>
      </c>
      <c r="O1754" t="s">
        <v>53</v>
      </c>
      <c r="P1754" t="s">
        <v>54</v>
      </c>
      <c r="Q1754" t="s">
        <v>55</v>
      </c>
      <c r="T1754" t="s">
        <v>841</v>
      </c>
      <c r="U1754">
        <v>40</v>
      </c>
      <c r="V1754" s="1">
        <v>42552</v>
      </c>
      <c r="W1754" s="1">
        <v>42552</v>
      </c>
      <c r="X1754" s="1">
        <v>42552</v>
      </c>
      <c r="Y1754" s="1">
        <v>57162</v>
      </c>
      <c r="Z1754" t="s">
        <v>51</v>
      </c>
      <c r="AB1754" t="s">
        <v>54</v>
      </c>
      <c r="AC1754">
        <v>1</v>
      </c>
      <c r="AE1754" t="s">
        <v>79</v>
      </c>
      <c r="AF1754">
        <v>20</v>
      </c>
      <c r="AG1754" s="1">
        <v>42552</v>
      </c>
      <c r="AH1754" s="1">
        <v>42552</v>
      </c>
      <c r="AI1754" s="1">
        <v>42552</v>
      </c>
      <c r="AJ1754" s="1">
        <v>49857</v>
      </c>
      <c r="AK1754" t="s">
        <v>51</v>
      </c>
      <c r="AN1754">
        <v>0</v>
      </c>
      <c r="AO1754" t="s">
        <v>54</v>
      </c>
      <c r="AP1754" t="s">
        <v>53</v>
      </c>
      <c r="AQ1754">
        <v>0</v>
      </c>
      <c r="AR1754" t="s">
        <v>145</v>
      </c>
      <c r="AS1754">
        <v>0</v>
      </c>
      <c r="AT1754">
        <v>0</v>
      </c>
      <c r="CC1754" t="s">
        <v>850</v>
      </c>
      <c r="CD1754">
        <v>1</v>
      </c>
      <c r="CE1754" s="1">
        <v>44551</v>
      </c>
      <c r="CF1754" s="1">
        <v>44551</v>
      </c>
      <c r="CG1754" s="1">
        <v>44551</v>
      </c>
      <c r="CH1754" s="1">
        <v>51759</v>
      </c>
      <c r="CI1754" t="s">
        <v>51</v>
      </c>
      <c r="CK1754" t="s">
        <v>78</v>
      </c>
      <c r="CM1754" t="s">
        <v>54</v>
      </c>
      <c r="CN1754" t="s">
        <v>174</v>
      </c>
      <c r="CO1754" t="s">
        <v>86</v>
      </c>
      <c r="CR1754">
        <v>18</v>
      </c>
      <c r="CS1754">
        <v>0</v>
      </c>
      <c r="CT1754">
        <v>0</v>
      </c>
      <c r="CU1754">
        <v>0</v>
      </c>
    </row>
    <row r="1755" spans="1:99" x14ac:dyDescent="0.2">
      <c r="A1755" t="s">
        <v>367</v>
      </c>
      <c r="B1755" t="s">
        <v>440</v>
      </c>
      <c r="C1755" t="s">
        <v>441</v>
      </c>
      <c r="D1755" t="s">
        <v>846</v>
      </c>
      <c r="F1755" t="str">
        <f>"254415"</f>
        <v>254415</v>
      </c>
      <c r="G1755" t="s">
        <v>49</v>
      </c>
      <c r="H1755" t="s">
        <v>870</v>
      </c>
      <c r="K1755" t="s">
        <v>51</v>
      </c>
      <c r="L1755" t="s">
        <v>52</v>
      </c>
      <c r="M1755">
        <v>133156.63</v>
      </c>
      <c r="N1755">
        <v>469707.96</v>
      </c>
      <c r="O1755" t="s">
        <v>53</v>
      </c>
      <c r="P1755" t="s">
        <v>54</v>
      </c>
      <c r="Q1755" t="s">
        <v>55</v>
      </c>
      <c r="T1755" t="s">
        <v>183</v>
      </c>
      <c r="U1755">
        <v>40</v>
      </c>
      <c r="V1755" s="1">
        <v>42552</v>
      </c>
      <c r="W1755" s="1">
        <v>42552</v>
      </c>
      <c r="X1755" s="1">
        <v>42552</v>
      </c>
      <c r="Y1755" s="1">
        <v>57162</v>
      </c>
      <c r="Z1755" t="s">
        <v>51</v>
      </c>
      <c r="AB1755" t="s">
        <v>54</v>
      </c>
      <c r="AC1755">
        <v>1</v>
      </c>
      <c r="AE1755" t="s">
        <v>79</v>
      </c>
      <c r="AF1755">
        <v>20</v>
      </c>
      <c r="AG1755" s="1">
        <v>42552</v>
      </c>
      <c r="AH1755" s="1">
        <v>42552</v>
      </c>
      <c r="AI1755" s="1">
        <v>42552</v>
      </c>
      <c r="AJ1755" s="1">
        <v>49857</v>
      </c>
      <c r="AK1755" t="s">
        <v>51</v>
      </c>
      <c r="AN1755">
        <v>0</v>
      </c>
      <c r="AO1755" t="s">
        <v>54</v>
      </c>
      <c r="AP1755" t="s">
        <v>53</v>
      </c>
      <c r="AQ1755">
        <v>0</v>
      </c>
      <c r="AR1755" t="s">
        <v>145</v>
      </c>
      <c r="AS1755">
        <v>0</v>
      </c>
      <c r="AT1755">
        <v>0</v>
      </c>
      <c r="CC1755" t="s">
        <v>850</v>
      </c>
      <c r="CD1755">
        <v>1</v>
      </c>
      <c r="CE1755" s="1">
        <v>42552</v>
      </c>
      <c r="CF1755" s="1">
        <v>42552</v>
      </c>
      <c r="CG1755" s="1">
        <v>42552</v>
      </c>
      <c r="CH1755" s="1">
        <v>49714</v>
      </c>
      <c r="CI1755" t="s">
        <v>51</v>
      </c>
      <c r="CK1755" t="s">
        <v>78</v>
      </c>
      <c r="CM1755" t="s">
        <v>54</v>
      </c>
      <c r="CN1755" t="s">
        <v>174</v>
      </c>
      <c r="CO1755" t="s">
        <v>86</v>
      </c>
      <c r="CR1755">
        <v>18</v>
      </c>
      <c r="CS1755">
        <v>0</v>
      </c>
      <c r="CT1755">
        <v>0</v>
      </c>
      <c r="CU1755">
        <v>0</v>
      </c>
    </row>
    <row r="1756" spans="1:99" x14ac:dyDescent="0.2">
      <c r="A1756" t="s">
        <v>367</v>
      </c>
      <c r="B1756" t="s">
        <v>440</v>
      </c>
      <c r="C1756" t="s">
        <v>441</v>
      </c>
      <c r="D1756" t="s">
        <v>846</v>
      </c>
      <c r="F1756" t="str">
        <f>"254416"</f>
        <v>254416</v>
      </c>
      <c r="G1756" t="s">
        <v>49</v>
      </c>
      <c r="H1756" t="s">
        <v>871</v>
      </c>
      <c r="K1756" t="s">
        <v>51</v>
      </c>
      <c r="L1756" t="s">
        <v>52</v>
      </c>
      <c r="M1756">
        <v>133155.01</v>
      </c>
      <c r="N1756">
        <v>469744.39</v>
      </c>
      <c r="O1756" t="s">
        <v>53</v>
      </c>
      <c r="P1756" t="s">
        <v>54</v>
      </c>
      <c r="Q1756" t="s">
        <v>55</v>
      </c>
      <c r="T1756" t="s">
        <v>841</v>
      </c>
      <c r="U1756">
        <v>40</v>
      </c>
      <c r="V1756" s="1">
        <v>42552</v>
      </c>
      <c r="W1756" s="1">
        <v>42552</v>
      </c>
      <c r="X1756" s="1">
        <v>42552</v>
      </c>
      <c r="Y1756" s="1">
        <v>57162</v>
      </c>
      <c r="Z1756" t="s">
        <v>51</v>
      </c>
      <c r="AB1756" t="s">
        <v>54</v>
      </c>
      <c r="AC1756">
        <v>1</v>
      </c>
      <c r="AE1756" t="s">
        <v>79</v>
      </c>
      <c r="AF1756">
        <v>20</v>
      </c>
      <c r="AG1756" s="1">
        <v>42552</v>
      </c>
      <c r="AH1756" s="1">
        <v>42552</v>
      </c>
      <c r="AI1756" s="1">
        <v>42552</v>
      </c>
      <c r="AJ1756" s="1">
        <v>49857</v>
      </c>
      <c r="AK1756" t="s">
        <v>51</v>
      </c>
      <c r="AN1756">
        <v>0</v>
      </c>
      <c r="AO1756" t="s">
        <v>54</v>
      </c>
      <c r="AP1756" t="s">
        <v>53</v>
      </c>
      <c r="AQ1756">
        <v>0</v>
      </c>
      <c r="AR1756" t="s">
        <v>145</v>
      </c>
      <c r="AS1756">
        <v>0</v>
      </c>
      <c r="AT1756">
        <v>0</v>
      </c>
      <c r="CC1756" t="s">
        <v>850</v>
      </c>
      <c r="CD1756">
        <v>1</v>
      </c>
      <c r="CE1756" s="1">
        <v>42552</v>
      </c>
      <c r="CF1756" s="1">
        <v>42552</v>
      </c>
      <c r="CG1756" s="1">
        <v>42552</v>
      </c>
      <c r="CH1756" s="1">
        <v>49714</v>
      </c>
      <c r="CI1756" t="s">
        <v>51</v>
      </c>
      <c r="CK1756" t="s">
        <v>78</v>
      </c>
      <c r="CM1756" t="s">
        <v>54</v>
      </c>
      <c r="CN1756" t="s">
        <v>174</v>
      </c>
      <c r="CO1756" t="s">
        <v>86</v>
      </c>
      <c r="CR1756">
        <v>18</v>
      </c>
      <c r="CS1756">
        <v>0</v>
      </c>
      <c r="CT1756">
        <v>0</v>
      </c>
      <c r="CU1756">
        <v>0</v>
      </c>
    </row>
    <row r="1757" spans="1:99" x14ac:dyDescent="0.2">
      <c r="A1757" t="s">
        <v>367</v>
      </c>
      <c r="B1757" t="s">
        <v>440</v>
      </c>
      <c r="C1757" t="s">
        <v>441</v>
      </c>
      <c r="D1757" t="s">
        <v>846</v>
      </c>
      <c r="F1757" t="str">
        <f>"254417"</f>
        <v>254417</v>
      </c>
      <c r="G1757" t="s">
        <v>49</v>
      </c>
      <c r="H1757" t="s">
        <v>872</v>
      </c>
      <c r="K1757" t="s">
        <v>51</v>
      </c>
      <c r="L1757" t="s">
        <v>52</v>
      </c>
      <c r="M1757">
        <v>133154.18</v>
      </c>
      <c r="N1757">
        <v>469780.73</v>
      </c>
      <c r="O1757" t="s">
        <v>53</v>
      </c>
      <c r="P1757" t="s">
        <v>54</v>
      </c>
      <c r="Q1757" t="s">
        <v>55</v>
      </c>
      <c r="T1757" t="s">
        <v>841</v>
      </c>
      <c r="U1757">
        <v>40</v>
      </c>
      <c r="V1757" s="1">
        <v>42552</v>
      </c>
      <c r="W1757" s="1">
        <v>42552</v>
      </c>
      <c r="X1757" s="1">
        <v>42552</v>
      </c>
      <c r="Y1757" s="1">
        <v>57162</v>
      </c>
      <c r="Z1757" t="s">
        <v>51</v>
      </c>
      <c r="AB1757" t="s">
        <v>54</v>
      </c>
      <c r="AC1757">
        <v>1</v>
      </c>
      <c r="AE1757" t="s">
        <v>79</v>
      </c>
      <c r="AF1757">
        <v>20</v>
      </c>
      <c r="AG1757" s="1">
        <v>42552</v>
      </c>
      <c r="AH1757" s="1">
        <v>42552</v>
      </c>
      <c r="AI1757" s="1">
        <v>42552</v>
      </c>
      <c r="AJ1757" s="1">
        <v>49857</v>
      </c>
      <c r="AK1757" t="s">
        <v>51</v>
      </c>
      <c r="AN1757">
        <v>0</v>
      </c>
      <c r="AO1757" t="s">
        <v>54</v>
      </c>
      <c r="AP1757" t="s">
        <v>53</v>
      </c>
      <c r="AQ1757">
        <v>0</v>
      </c>
      <c r="AR1757" t="s">
        <v>145</v>
      </c>
      <c r="AS1757">
        <v>0</v>
      </c>
      <c r="AT1757">
        <v>0</v>
      </c>
      <c r="CC1757" t="s">
        <v>850</v>
      </c>
      <c r="CD1757">
        <v>1</v>
      </c>
      <c r="CE1757" s="1">
        <v>42552</v>
      </c>
      <c r="CF1757" s="1">
        <v>42552</v>
      </c>
      <c r="CG1757" s="1">
        <v>42552</v>
      </c>
      <c r="CH1757" s="1">
        <v>49714</v>
      </c>
      <c r="CI1757" t="s">
        <v>51</v>
      </c>
      <c r="CK1757" t="s">
        <v>78</v>
      </c>
      <c r="CM1757" t="s">
        <v>54</v>
      </c>
      <c r="CN1757" t="s">
        <v>174</v>
      </c>
      <c r="CO1757" t="s">
        <v>86</v>
      </c>
      <c r="CR1757">
        <v>18</v>
      </c>
      <c r="CS1757">
        <v>0</v>
      </c>
      <c r="CT1757">
        <v>0</v>
      </c>
      <c r="CU1757">
        <v>0</v>
      </c>
    </row>
    <row r="1758" spans="1:99" x14ac:dyDescent="0.2">
      <c r="A1758" t="s">
        <v>367</v>
      </c>
      <c r="B1758" t="s">
        <v>440</v>
      </c>
      <c r="C1758" t="s">
        <v>441</v>
      </c>
      <c r="D1758" t="s">
        <v>846</v>
      </c>
      <c r="F1758" t="str">
        <f>"254418"</f>
        <v>254418</v>
      </c>
      <c r="G1758" t="s">
        <v>49</v>
      </c>
      <c r="H1758" t="s">
        <v>873</v>
      </c>
      <c r="K1758" t="s">
        <v>51</v>
      </c>
      <c r="L1758" t="s">
        <v>52</v>
      </c>
      <c r="M1758">
        <v>133149.67000000001</v>
      </c>
      <c r="N1758">
        <v>469821.2</v>
      </c>
      <c r="O1758" t="s">
        <v>53</v>
      </c>
      <c r="P1758" t="s">
        <v>54</v>
      </c>
      <c r="Q1758" t="s">
        <v>55</v>
      </c>
      <c r="T1758" t="s">
        <v>841</v>
      </c>
      <c r="U1758">
        <v>40</v>
      </c>
      <c r="V1758" s="1">
        <v>42552</v>
      </c>
      <c r="W1758" s="1">
        <v>42552</v>
      </c>
      <c r="X1758" s="1">
        <v>42552</v>
      </c>
      <c r="Y1758" s="1">
        <v>57162</v>
      </c>
      <c r="Z1758" t="s">
        <v>51</v>
      </c>
      <c r="AB1758" t="s">
        <v>54</v>
      </c>
      <c r="AC1758">
        <v>1</v>
      </c>
      <c r="AE1758" t="s">
        <v>79</v>
      </c>
      <c r="AF1758">
        <v>20</v>
      </c>
      <c r="AG1758" s="1">
        <v>42552</v>
      </c>
      <c r="AH1758" s="1">
        <v>42552</v>
      </c>
      <c r="AI1758" s="1">
        <v>42552</v>
      </c>
      <c r="AJ1758" s="1">
        <v>49857</v>
      </c>
      <c r="AK1758" t="s">
        <v>51</v>
      </c>
      <c r="AN1758">
        <v>0</v>
      </c>
      <c r="AO1758" t="s">
        <v>54</v>
      </c>
      <c r="AP1758" t="s">
        <v>53</v>
      </c>
      <c r="AQ1758">
        <v>0</v>
      </c>
      <c r="AR1758" t="s">
        <v>145</v>
      </c>
      <c r="AS1758">
        <v>0</v>
      </c>
      <c r="AT1758">
        <v>0</v>
      </c>
      <c r="CC1758" t="s">
        <v>850</v>
      </c>
      <c r="CD1758">
        <v>1</v>
      </c>
      <c r="CE1758" s="1">
        <v>42552</v>
      </c>
      <c r="CF1758" s="1">
        <v>42552</v>
      </c>
      <c r="CG1758" s="1">
        <v>42552</v>
      </c>
      <c r="CH1758" s="1">
        <v>49714</v>
      </c>
      <c r="CI1758" t="s">
        <v>51</v>
      </c>
      <c r="CK1758" t="s">
        <v>78</v>
      </c>
      <c r="CM1758" t="s">
        <v>54</v>
      </c>
      <c r="CN1758" t="s">
        <v>174</v>
      </c>
      <c r="CO1758" t="s">
        <v>86</v>
      </c>
      <c r="CR1758">
        <v>18</v>
      </c>
      <c r="CS1758">
        <v>0</v>
      </c>
      <c r="CT1758">
        <v>0</v>
      </c>
      <c r="CU1758">
        <v>0</v>
      </c>
    </row>
    <row r="1759" spans="1:99" x14ac:dyDescent="0.2">
      <c r="A1759" t="s">
        <v>367</v>
      </c>
      <c r="B1759" t="s">
        <v>440</v>
      </c>
      <c r="C1759" t="s">
        <v>441</v>
      </c>
      <c r="D1759" t="s">
        <v>846</v>
      </c>
      <c r="F1759" t="str">
        <f>"254419"</f>
        <v>254419</v>
      </c>
      <c r="G1759" t="s">
        <v>49</v>
      </c>
      <c r="H1759" t="s">
        <v>874</v>
      </c>
      <c r="K1759" t="s">
        <v>51</v>
      </c>
      <c r="L1759" t="s">
        <v>52</v>
      </c>
      <c r="M1759">
        <v>133144.26999999999</v>
      </c>
      <c r="N1759">
        <v>469861.99</v>
      </c>
      <c r="O1759" t="s">
        <v>53</v>
      </c>
      <c r="P1759" t="s">
        <v>54</v>
      </c>
      <c r="Q1759" t="s">
        <v>55</v>
      </c>
      <c r="T1759" t="s">
        <v>841</v>
      </c>
      <c r="U1759">
        <v>40</v>
      </c>
      <c r="V1759" s="1">
        <v>42552</v>
      </c>
      <c r="W1759" s="1">
        <v>42552</v>
      </c>
      <c r="X1759" s="1">
        <v>42552</v>
      </c>
      <c r="Y1759" s="1">
        <v>57162</v>
      </c>
      <c r="Z1759" t="s">
        <v>51</v>
      </c>
      <c r="AB1759" t="s">
        <v>54</v>
      </c>
      <c r="AC1759">
        <v>1</v>
      </c>
      <c r="AE1759" t="s">
        <v>79</v>
      </c>
      <c r="AF1759">
        <v>20</v>
      </c>
      <c r="AG1759" s="1">
        <v>42552</v>
      </c>
      <c r="AH1759" s="1">
        <v>42552</v>
      </c>
      <c r="AI1759" s="1">
        <v>42552</v>
      </c>
      <c r="AJ1759" s="1">
        <v>49857</v>
      </c>
      <c r="AK1759" t="s">
        <v>51</v>
      </c>
      <c r="AN1759">
        <v>0</v>
      </c>
      <c r="AO1759" t="s">
        <v>54</v>
      </c>
      <c r="AP1759" t="s">
        <v>53</v>
      </c>
      <c r="AQ1759">
        <v>0</v>
      </c>
      <c r="AR1759" t="s">
        <v>145</v>
      </c>
      <c r="AS1759">
        <v>0</v>
      </c>
      <c r="AT1759">
        <v>0</v>
      </c>
      <c r="CC1759" t="s">
        <v>850</v>
      </c>
      <c r="CD1759">
        <v>1</v>
      </c>
      <c r="CE1759" s="1">
        <v>44487</v>
      </c>
      <c r="CF1759" s="1">
        <v>44487</v>
      </c>
      <c r="CG1759" s="1">
        <v>44487</v>
      </c>
      <c r="CH1759" s="1">
        <v>51639</v>
      </c>
      <c r="CI1759" t="s">
        <v>51</v>
      </c>
      <c r="CK1759" t="s">
        <v>78</v>
      </c>
      <c r="CM1759" t="s">
        <v>54</v>
      </c>
      <c r="CN1759" t="s">
        <v>174</v>
      </c>
      <c r="CO1759" t="s">
        <v>86</v>
      </c>
      <c r="CR1759">
        <v>18</v>
      </c>
      <c r="CS1759">
        <v>0</v>
      </c>
      <c r="CT1759">
        <v>0</v>
      </c>
      <c r="CU1759">
        <v>0</v>
      </c>
    </row>
    <row r="1760" spans="1:99" x14ac:dyDescent="0.2">
      <c r="A1760" t="s">
        <v>367</v>
      </c>
      <c r="B1760" t="s">
        <v>440</v>
      </c>
      <c r="C1760" t="s">
        <v>441</v>
      </c>
      <c r="D1760" t="s">
        <v>846</v>
      </c>
      <c r="F1760" t="str">
        <f>"254420"</f>
        <v>254420</v>
      </c>
      <c r="G1760" t="s">
        <v>49</v>
      </c>
      <c r="H1760" t="s">
        <v>875</v>
      </c>
      <c r="K1760" t="s">
        <v>51</v>
      </c>
      <c r="L1760" t="s">
        <v>52</v>
      </c>
      <c r="M1760">
        <v>133144.82</v>
      </c>
      <c r="N1760">
        <v>469886.58</v>
      </c>
      <c r="O1760" t="s">
        <v>53</v>
      </c>
      <c r="P1760" t="s">
        <v>54</v>
      </c>
      <c r="Q1760" t="s">
        <v>55</v>
      </c>
      <c r="T1760" t="s">
        <v>841</v>
      </c>
      <c r="U1760">
        <v>40</v>
      </c>
      <c r="V1760" s="1">
        <v>42552</v>
      </c>
      <c r="W1760" s="1">
        <v>42552</v>
      </c>
      <c r="X1760" s="1">
        <v>42552</v>
      </c>
      <c r="Y1760" s="1">
        <v>57162</v>
      </c>
      <c r="Z1760" t="s">
        <v>51</v>
      </c>
      <c r="AB1760" t="s">
        <v>54</v>
      </c>
      <c r="AC1760">
        <v>1</v>
      </c>
      <c r="AE1760" t="s">
        <v>79</v>
      </c>
      <c r="AF1760">
        <v>20</v>
      </c>
      <c r="AG1760" s="1">
        <v>42552</v>
      </c>
      <c r="AH1760" s="1">
        <v>42552</v>
      </c>
      <c r="AI1760" s="1">
        <v>42552</v>
      </c>
      <c r="AJ1760" s="1">
        <v>49857</v>
      </c>
      <c r="AK1760" t="s">
        <v>51</v>
      </c>
      <c r="AN1760">
        <v>0</v>
      </c>
      <c r="AO1760" t="s">
        <v>54</v>
      </c>
      <c r="AP1760" t="s">
        <v>53</v>
      </c>
      <c r="AQ1760">
        <v>0</v>
      </c>
      <c r="AR1760" t="s">
        <v>145</v>
      </c>
      <c r="AS1760">
        <v>0</v>
      </c>
      <c r="AT1760">
        <v>0</v>
      </c>
      <c r="CC1760" t="s">
        <v>850</v>
      </c>
      <c r="CD1760">
        <v>1</v>
      </c>
      <c r="CE1760" s="1">
        <v>42552</v>
      </c>
      <c r="CF1760" s="1">
        <v>42552</v>
      </c>
      <c r="CG1760" s="1">
        <v>42552</v>
      </c>
      <c r="CH1760" s="1">
        <v>49714</v>
      </c>
      <c r="CI1760" t="s">
        <v>51</v>
      </c>
      <c r="CK1760" t="s">
        <v>78</v>
      </c>
      <c r="CM1760" t="s">
        <v>54</v>
      </c>
      <c r="CN1760" t="s">
        <v>174</v>
      </c>
      <c r="CO1760" t="s">
        <v>86</v>
      </c>
      <c r="CR1760">
        <v>18</v>
      </c>
      <c r="CS1760">
        <v>0</v>
      </c>
      <c r="CT1760">
        <v>0</v>
      </c>
      <c r="CU1760">
        <v>0</v>
      </c>
    </row>
    <row r="1761" spans="1:99" x14ac:dyDescent="0.2">
      <c r="A1761" t="s">
        <v>367</v>
      </c>
      <c r="B1761" t="s">
        <v>440</v>
      </c>
      <c r="C1761" t="s">
        <v>441</v>
      </c>
      <c r="D1761" t="s">
        <v>839</v>
      </c>
      <c r="F1761" t="str">
        <f>"26880"</f>
        <v>26880</v>
      </c>
      <c r="G1761" t="s">
        <v>49</v>
      </c>
      <c r="H1761" t="s">
        <v>876</v>
      </c>
      <c r="K1761" t="s">
        <v>51</v>
      </c>
      <c r="L1761" t="s">
        <v>52</v>
      </c>
      <c r="M1761">
        <v>134926.29999999999</v>
      </c>
      <c r="N1761">
        <v>468755.89</v>
      </c>
      <c r="O1761" t="s">
        <v>53</v>
      </c>
      <c r="P1761" t="s">
        <v>54</v>
      </c>
      <c r="Q1761" t="s">
        <v>55</v>
      </c>
      <c r="T1761" t="s">
        <v>841</v>
      </c>
      <c r="U1761">
        <v>40</v>
      </c>
      <c r="V1761" s="1">
        <v>29220</v>
      </c>
      <c r="W1761" s="1">
        <v>29220</v>
      </c>
      <c r="X1761" s="1">
        <v>29220</v>
      </c>
      <c r="Y1761" s="1">
        <v>43830</v>
      </c>
      <c r="Z1761" t="s">
        <v>51</v>
      </c>
      <c r="AB1761" t="s">
        <v>54</v>
      </c>
      <c r="AC1761">
        <v>1</v>
      </c>
      <c r="AE1761" t="s">
        <v>342</v>
      </c>
      <c r="AF1761">
        <v>20</v>
      </c>
      <c r="AG1761" s="1">
        <v>43070</v>
      </c>
      <c r="AH1761" s="1">
        <v>43070</v>
      </c>
      <c r="AI1761" s="1">
        <v>43070</v>
      </c>
      <c r="AJ1761" s="1">
        <v>50375</v>
      </c>
      <c r="AK1761" t="s">
        <v>51</v>
      </c>
      <c r="AN1761">
        <v>0</v>
      </c>
      <c r="AO1761" t="s">
        <v>54</v>
      </c>
      <c r="AP1761" t="s">
        <v>53</v>
      </c>
      <c r="AQ1761">
        <v>0</v>
      </c>
      <c r="AR1761" t="s">
        <v>145</v>
      </c>
      <c r="AS1761">
        <v>19</v>
      </c>
      <c r="AT1761">
        <v>1800</v>
      </c>
      <c r="CC1761" t="s">
        <v>173</v>
      </c>
      <c r="CD1761">
        <v>100000</v>
      </c>
      <c r="CE1761" s="1">
        <v>43070</v>
      </c>
      <c r="CF1761" s="1">
        <v>43070</v>
      </c>
      <c r="CG1761" s="1">
        <v>43070</v>
      </c>
      <c r="CH1761" s="1">
        <v>52010</v>
      </c>
      <c r="CI1761" t="s">
        <v>51</v>
      </c>
      <c r="CK1761" t="s">
        <v>78</v>
      </c>
      <c r="CM1761" t="s">
        <v>54</v>
      </c>
      <c r="CN1761" t="s">
        <v>174</v>
      </c>
      <c r="CO1761" t="s">
        <v>86</v>
      </c>
      <c r="CP1761">
        <v>830</v>
      </c>
      <c r="CR1761">
        <v>19</v>
      </c>
      <c r="CS1761">
        <v>1800</v>
      </c>
      <c r="CT1761">
        <v>0</v>
      </c>
      <c r="CU1761">
        <v>16</v>
      </c>
    </row>
    <row r="1762" spans="1:99" x14ac:dyDescent="0.2">
      <c r="A1762" t="s">
        <v>367</v>
      </c>
      <c r="B1762" t="s">
        <v>440</v>
      </c>
      <c r="C1762" t="s">
        <v>441</v>
      </c>
      <c r="D1762" t="s">
        <v>839</v>
      </c>
      <c r="F1762" t="str">
        <f>"26881"</f>
        <v>26881</v>
      </c>
      <c r="G1762" t="s">
        <v>49</v>
      </c>
      <c r="H1762" t="s">
        <v>877</v>
      </c>
      <c r="K1762" t="s">
        <v>51</v>
      </c>
      <c r="L1762" t="s">
        <v>52</v>
      </c>
      <c r="M1762">
        <v>134890.81</v>
      </c>
      <c r="N1762">
        <v>468754.2</v>
      </c>
      <c r="O1762" t="s">
        <v>53</v>
      </c>
      <c r="P1762" t="s">
        <v>54</v>
      </c>
      <c r="Q1762" t="s">
        <v>55</v>
      </c>
      <c r="T1762" t="s">
        <v>841</v>
      </c>
      <c r="U1762">
        <v>40</v>
      </c>
      <c r="V1762" s="1">
        <v>29220</v>
      </c>
      <c r="W1762" s="1">
        <v>29220</v>
      </c>
      <c r="X1762" s="1">
        <v>29220</v>
      </c>
      <c r="Y1762" s="1">
        <v>43830</v>
      </c>
      <c r="Z1762" t="s">
        <v>51</v>
      </c>
      <c r="AB1762" t="s">
        <v>54</v>
      </c>
      <c r="AC1762">
        <v>1</v>
      </c>
      <c r="AE1762" t="s">
        <v>342</v>
      </c>
      <c r="AF1762">
        <v>20</v>
      </c>
      <c r="AG1762" s="1">
        <v>43070</v>
      </c>
      <c r="AH1762" s="1">
        <v>43070</v>
      </c>
      <c r="AI1762" s="1">
        <v>43070</v>
      </c>
      <c r="AJ1762" s="1">
        <v>50375</v>
      </c>
      <c r="AK1762" t="s">
        <v>51</v>
      </c>
      <c r="AN1762">
        <v>0</v>
      </c>
      <c r="AO1762" t="s">
        <v>54</v>
      </c>
      <c r="AP1762" t="s">
        <v>53</v>
      </c>
      <c r="AQ1762">
        <v>0</v>
      </c>
      <c r="AR1762" t="s">
        <v>145</v>
      </c>
      <c r="AS1762">
        <v>19</v>
      </c>
      <c r="AT1762">
        <v>1800</v>
      </c>
      <c r="CC1762" t="s">
        <v>173</v>
      </c>
      <c r="CD1762">
        <v>100000</v>
      </c>
      <c r="CE1762" s="1">
        <v>43070</v>
      </c>
      <c r="CF1762" s="1">
        <v>43070</v>
      </c>
      <c r="CG1762" s="1">
        <v>43070</v>
      </c>
      <c r="CH1762" s="1">
        <v>52010</v>
      </c>
      <c r="CI1762" t="s">
        <v>51</v>
      </c>
      <c r="CK1762" t="s">
        <v>78</v>
      </c>
      <c r="CM1762" t="s">
        <v>54</v>
      </c>
      <c r="CN1762" t="s">
        <v>174</v>
      </c>
      <c r="CO1762" t="s">
        <v>86</v>
      </c>
      <c r="CP1762">
        <v>830</v>
      </c>
      <c r="CR1762">
        <v>19</v>
      </c>
      <c r="CS1762">
        <v>1800</v>
      </c>
      <c r="CT1762">
        <v>0</v>
      </c>
      <c r="CU1762">
        <v>16</v>
      </c>
    </row>
    <row r="1763" spans="1:99" x14ac:dyDescent="0.2">
      <c r="A1763" t="s">
        <v>367</v>
      </c>
      <c r="B1763" t="s">
        <v>440</v>
      </c>
      <c r="C1763" t="s">
        <v>441</v>
      </c>
      <c r="D1763" t="s">
        <v>839</v>
      </c>
      <c r="F1763" t="str">
        <f>"26882"</f>
        <v>26882</v>
      </c>
      <c r="G1763" t="s">
        <v>49</v>
      </c>
      <c r="H1763" t="s">
        <v>878</v>
      </c>
      <c r="K1763" t="s">
        <v>51</v>
      </c>
      <c r="L1763" t="s">
        <v>52</v>
      </c>
      <c r="M1763">
        <v>134845.13</v>
      </c>
      <c r="N1763">
        <v>468663.38</v>
      </c>
      <c r="O1763" t="s">
        <v>53</v>
      </c>
      <c r="P1763" t="s">
        <v>54</v>
      </c>
      <c r="Q1763" t="s">
        <v>55</v>
      </c>
      <c r="T1763" t="s">
        <v>841</v>
      </c>
      <c r="U1763">
        <v>40</v>
      </c>
      <c r="V1763" s="1">
        <v>29220</v>
      </c>
      <c r="W1763" s="1">
        <v>29220</v>
      </c>
      <c r="X1763" s="1">
        <v>29220</v>
      </c>
      <c r="Y1763" s="1">
        <v>43830</v>
      </c>
      <c r="Z1763" t="s">
        <v>51</v>
      </c>
      <c r="AB1763" t="s">
        <v>54</v>
      </c>
      <c r="AC1763">
        <v>1</v>
      </c>
      <c r="AE1763" t="s">
        <v>342</v>
      </c>
      <c r="AF1763">
        <v>20</v>
      </c>
      <c r="AG1763" s="1">
        <v>43070</v>
      </c>
      <c r="AH1763" s="1">
        <v>43070</v>
      </c>
      <c r="AI1763" s="1">
        <v>43070</v>
      </c>
      <c r="AJ1763" s="1">
        <v>50375</v>
      </c>
      <c r="AK1763" t="s">
        <v>51</v>
      </c>
      <c r="AN1763">
        <v>0</v>
      </c>
      <c r="AO1763" t="s">
        <v>54</v>
      </c>
      <c r="AP1763" t="s">
        <v>53</v>
      </c>
      <c r="AQ1763">
        <v>0</v>
      </c>
      <c r="AR1763" t="s">
        <v>145</v>
      </c>
      <c r="AS1763">
        <v>19</v>
      </c>
      <c r="AT1763">
        <v>1800</v>
      </c>
      <c r="CC1763" t="s">
        <v>173</v>
      </c>
      <c r="CD1763">
        <v>100000</v>
      </c>
      <c r="CE1763" s="1">
        <v>43070</v>
      </c>
      <c r="CF1763" s="1">
        <v>43070</v>
      </c>
      <c r="CG1763" s="1">
        <v>43070</v>
      </c>
      <c r="CH1763" s="1">
        <v>52010</v>
      </c>
      <c r="CI1763" t="s">
        <v>51</v>
      </c>
      <c r="CK1763" t="s">
        <v>78</v>
      </c>
      <c r="CM1763" t="s">
        <v>54</v>
      </c>
      <c r="CN1763" t="s">
        <v>174</v>
      </c>
      <c r="CO1763" t="s">
        <v>86</v>
      </c>
      <c r="CP1763">
        <v>830</v>
      </c>
      <c r="CR1763">
        <v>19</v>
      </c>
      <c r="CS1763">
        <v>1800</v>
      </c>
      <c r="CT1763">
        <v>0</v>
      </c>
      <c r="CU1763">
        <v>16</v>
      </c>
    </row>
    <row r="1764" spans="1:99" x14ac:dyDescent="0.2">
      <c r="A1764" t="s">
        <v>367</v>
      </c>
      <c r="B1764" t="s">
        <v>440</v>
      </c>
      <c r="C1764" t="s">
        <v>441</v>
      </c>
      <c r="D1764" t="s">
        <v>839</v>
      </c>
      <c r="F1764" t="str">
        <f>"26883"</f>
        <v>26883</v>
      </c>
      <c r="G1764" t="s">
        <v>49</v>
      </c>
      <c r="H1764" t="s">
        <v>879</v>
      </c>
      <c r="K1764" t="s">
        <v>51</v>
      </c>
      <c r="L1764" t="s">
        <v>52</v>
      </c>
      <c r="M1764">
        <v>134801.59</v>
      </c>
      <c r="N1764">
        <v>468573.64</v>
      </c>
      <c r="O1764" t="s">
        <v>53</v>
      </c>
      <c r="P1764" t="s">
        <v>54</v>
      </c>
      <c r="Q1764" t="s">
        <v>55</v>
      </c>
      <c r="T1764" t="s">
        <v>841</v>
      </c>
      <c r="U1764">
        <v>40</v>
      </c>
      <c r="V1764" s="1">
        <v>29220</v>
      </c>
      <c r="W1764" s="1">
        <v>29220</v>
      </c>
      <c r="X1764" s="1">
        <v>29220</v>
      </c>
      <c r="Y1764" s="1">
        <v>43830</v>
      </c>
      <c r="Z1764" t="s">
        <v>51</v>
      </c>
      <c r="AB1764" t="s">
        <v>54</v>
      </c>
      <c r="AC1764">
        <v>1</v>
      </c>
      <c r="AE1764" t="s">
        <v>342</v>
      </c>
      <c r="AF1764">
        <v>20</v>
      </c>
      <c r="AG1764" s="1">
        <v>43070</v>
      </c>
      <c r="AH1764" s="1">
        <v>43070</v>
      </c>
      <c r="AI1764" s="1">
        <v>43070</v>
      </c>
      <c r="AJ1764" s="1">
        <v>50375</v>
      </c>
      <c r="AK1764" t="s">
        <v>51</v>
      </c>
      <c r="AN1764">
        <v>0</v>
      </c>
      <c r="AO1764" t="s">
        <v>54</v>
      </c>
      <c r="AP1764" t="s">
        <v>53</v>
      </c>
      <c r="AQ1764">
        <v>0</v>
      </c>
      <c r="AR1764" t="s">
        <v>145</v>
      </c>
      <c r="AS1764">
        <v>19</v>
      </c>
      <c r="AT1764">
        <v>1800</v>
      </c>
      <c r="CC1764" t="s">
        <v>173</v>
      </c>
      <c r="CD1764">
        <v>100000</v>
      </c>
      <c r="CE1764" s="1">
        <v>43070</v>
      </c>
      <c r="CF1764" s="1">
        <v>43070</v>
      </c>
      <c r="CG1764" s="1">
        <v>43070</v>
      </c>
      <c r="CH1764" s="1">
        <v>52010</v>
      </c>
      <c r="CI1764" t="s">
        <v>51</v>
      </c>
      <c r="CK1764" t="s">
        <v>78</v>
      </c>
      <c r="CM1764" t="s">
        <v>54</v>
      </c>
      <c r="CN1764" t="s">
        <v>174</v>
      </c>
      <c r="CO1764" t="s">
        <v>86</v>
      </c>
      <c r="CP1764">
        <v>830</v>
      </c>
      <c r="CR1764">
        <v>19</v>
      </c>
      <c r="CS1764">
        <v>1800</v>
      </c>
      <c r="CT1764">
        <v>0</v>
      </c>
      <c r="CU1764">
        <v>16</v>
      </c>
    </row>
    <row r="1765" spans="1:99" x14ac:dyDescent="0.2">
      <c r="A1765" t="s">
        <v>367</v>
      </c>
      <c r="B1765" t="s">
        <v>440</v>
      </c>
      <c r="C1765" t="s">
        <v>441</v>
      </c>
      <c r="D1765" t="s">
        <v>839</v>
      </c>
      <c r="F1765" t="str">
        <f>"26884"</f>
        <v>26884</v>
      </c>
      <c r="G1765" t="s">
        <v>49</v>
      </c>
      <c r="H1765" t="s">
        <v>880</v>
      </c>
      <c r="K1765" t="s">
        <v>51</v>
      </c>
      <c r="L1765" t="s">
        <v>52</v>
      </c>
      <c r="M1765">
        <v>134758.75</v>
      </c>
      <c r="N1765">
        <v>468485.3</v>
      </c>
      <c r="O1765" t="s">
        <v>53</v>
      </c>
      <c r="P1765" t="s">
        <v>54</v>
      </c>
      <c r="Q1765" t="s">
        <v>55</v>
      </c>
      <c r="T1765" t="s">
        <v>841</v>
      </c>
      <c r="U1765">
        <v>40</v>
      </c>
      <c r="V1765" s="1">
        <v>29220</v>
      </c>
      <c r="W1765" s="1">
        <v>29220</v>
      </c>
      <c r="X1765" s="1">
        <v>29220</v>
      </c>
      <c r="Y1765" s="1">
        <v>43830</v>
      </c>
      <c r="Z1765" t="s">
        <v>51</v>
      </c>
      <c r="AB1765" t="s">
        <v>54</v>
      </c>
      <c r="AC1765">
        <v>1</v>
      </c>
      <c r="AE1765" t="s">
        <v>342</v>
      </c>
      <c r="AF1765">
        <v>20</v>
      </c>
      <c r="AG1765" s="1">
        <v>43070</v>
      </c>
      <c r="AH1765" s="1">
        <v>43070</v>
      </c>
      <c r="AI1765" s="1">
        <v>43070</v>
      </c>
      <c r="AJ1765" s="1">
        <v>50375</v>
      </c>
      <c r="AK1765" t="s">
        <v>51</v>
      </c>
      <c r="AN1765">
        <v>0</v>
      </c>
      <c r="AO1765" t="s">
        <v>54</v>
      </c>
      <c r="AP1765" t="s">
        <v>53</v>
      </c>
      <c r="AQ1765">
        <v>0</v>
      </c>
      <c r="AR1765" t="s">
        <v>145</v>
      </c>
      <c r="AS1765">
        <v>19</v>
      </c>
      <c r="AT1765">
        <v>1800</v>
      </c>
      <c r="CC1765" t="s">
        <v>173</v>
      </c>
      <c r="CD1765">
        <v>100000</v>
      </c>
      <c r="CE1765" s="1">
        <v>43070</v>
      </c>
      <c r="CF1765" s="1">
        <v>43070</v>
      </c>
      <c r="CG1765" s="1">
        <v>43070</v>
      </c>
      <c r="CH1765" s="1">
        <v>52010</v>
      </c>
      <c r="CI1765" t="s">
        <v>51</v>
      </c>
      <c r="CK1765" t="s">
        <v>78</v>
      </c>
      <c r="CM1765" t="s">
        <v>54</v>
      </c>
      <c r="CN1765" t="s">
        <v>174</v>
      </c>
      <c r="CO1765" t="s">
        <v>86</v>
      </c>
      <c r="CP1765">
        <v>830</v>
      </c>
      <c r="CR1765">
        <v>19</v>
      </c>
      <c r="CS1765">
        <v>1800</v>
      </c>
      <c r="CT1765">
        <v>0</v>
      </c>
      <c r="CU1765">
        <v>16</v>
      </c>
    </row>
    <row r="1766" spans="1:99" x14ac:dyDescent="0.2">
      <c r="A1766" t="s">
        <v>367</v>
      </c>
      <c r="B1766" t="s">
        <v>440</v>
      </c>
      <c r="C1766" t="s">
        <v>441</v>
      </c>
      <c r="D1766" t="s">
        <v>839</v>
      </c>
      <c r="F1766" t="str">
        <f>"26885"</f>
        <v>26885</v>
      </c>
      <c r="G1766" t="s">
        <v>49</v>
      </c>
      <c r="H1766" t="s">
        <v>881</v>
      </c>
      <c r="K1766" t="s">
        <v>51</v>
      </c>
      <c r="L1766" t="s">
        <v>52</v>
      </c>
      <c r="M1766">
        <v>134714.37</v>
      </c>
      <c r="N1766">
        <v>468393.46</v>
      </c>
      <c r="O1766" t="s">
        <v>53</v>
      </c>
      <c r="P1766" t="s">
        <v>54</v>
      </c>
      <c r="Q1766" t="s">
        <v>55</v>
      </c>
      <c r="T1766" t="s">
        <v>83</v>
      </c>
      <c r="U1766">
        <v>40</v>
      </c>
      <c r="V1766" s="1">
        <v>27759</v>
      </c>
      <c r="W1766" s="1">
        <v>27759</v>
      </c>
      <c r="X1766" s="1">
        <v>27759</v>
      </c>
      <c r="Y1766" s="1">
        <v>42369</v>
      </c>
      <c r="Z1766" t="s">
        <v>51</v>
      </c>
      <c r="AB1766" t="s">
        <v>54</v>
      </c>
      <c r="AC1766">
        <v>1</v>
      </c>
      <c r="AE1766" t="s">
        <v>342</v>
      </c>
      <c r="AF1766">
        <v>20</v>
      </c>
      <c r="AG1766" s="1">
        <v>43070</v>
      </c>
      <c r="AH1766" s="1">
        <v>43070</v>
      </c>
      <c r="AI1766" s="1">
        <v>43070</v>
      </c>
      <c r="AJ1766" s="1">
        <v>50375</v>
      </c>
      <c r="AK1766" t="s">
        <v>51</v>
      </c>
      <c r="AN1766">
        <v>0</v>
      </c>
      <c r="AO1766" t="s">
        <v>54</v>
      </c>
      <c r="AP1766" t="s">
        <v>53</v>
      </c>
      <c r="AQ1766">
        <v>0</v>
      </c>
      <c r="AR1766" t="s">
        <v>145</v>
      </c>
      <c r="AS1766">
        <v>19</v>
      </c>
      <c r="AT1766">
        <v>1800</v>
      </c>
      <c r="CC1766" t="s">
        <v>173</v>
      </c>
      <c r="CD1766">
        <v>100000</v>
      </c>
      <c r="CE1766" s="1">
        <v>43070</v>
      </c>
      <c r="CF1766" s="1">
        <v>43070</v>
      </c>
      <c r="CG1766" s="1">
        <v>43070</v>
      </c>
      <c r="CH1766" s="1">
        <v>52010</v>
      </c>
      <c r="CI1766" t="s">
        <v>51</v>
      </c>
      <c r="CK1766" t="s">
        <v>78</v>
      </c>
      <c r="CM1766" t="s">
        <v>54</v>
      </c>
      <c r="CN1766" t="s">
        <v>174</v>
      </c>
      <c r="CO1766" t="s">
        <v>86</v>
      </c>
      <c r="CP1766">
        <v>830</v>
      </c>
      <c r="CR1766">
        <v>19</v>
      </c>
      <c r="CS1766">
        <v>1800</v>
      </c>
      <c r="CT1766">
        <v>0</v>
      </c>
      <c r="CU1766">
        <v>16</v>
      </c>
    </row>
    <row r="1767" spans="1:99" x14ac:dyDescent="0.2">
      <c r="A1767" t="s">
        <v>367</v>
      </c>
      <c r="B1767" t="s">
        <v>440</v>
      </c>
      <c r="C1767" t="s">
        <v>441</v>
      </c>
      <c r="D1767" t="s">
        <v>839</v>
      </c>
      <c r="F1767" t="str">
        <f>"26886"</f>
        <v>26886</v>
      </c>
      <c r="G1767" t="s">
        <v>49</v>
      </c>
      <c r="H1767" t="s">
        <v>882</v>
      </c>
      <c r="K1767" t="s">
        <v>51</v>
      </c>
      <c r="L1767" t="s">
        <v>52</v>
      </c>
      <c r="M1767">
        <v>134955.09</v>
      </c>
      <c r="N1767">
        <v>468736.41</v>
      </c>
      <c r="O1767" t="s">
        <v>53</v>
      </c>
      <c r="P1767" t="s">
        <v>54</v>
      </c>
      <c r="Q1767" t="s">
        <v>55</v>
      </c>
      <c r="T1767" t="s">
        <v>841</v>
      </c>
      <c r="U1767">
        <v>40</v>
      </c>
      <c r="V1767" s="1">
        <v>29220</v>
      </c>
      <c r="W1767" s="1">
        <v>29220</v>
      </c>
      <c r="X1767" s="1">
        <v>29220</v>
      </c>
      <c r="Y1767" s="1">
        <v>43830</v>
      </c>
      <c r="Z1767" t="s">
        <v>51</v>
      </c>
      <c r="AB1767" t="s">
        <v>54</v>
      </c>
      <c r="AC1767">
        <v>1</v>
      </c>
      <c r="AE1767" t="s">
        <v>342</v>
      </c>
      <c r="AF1767">
        <v>20</v>
      </c>
      <c r="AG1767" s="1">
        <v>43070</v>
      </c>
      <c r="AH1767" s="1">
        <v>43070</v>
      </c>
      <c r="AI1767" s="1">
        <v>43070</v>
      </c>
      <c r="AJ1767" s="1">
        <v>50375</v>
      </c>
      <c r="AK1767" t="s">
        <v>51</v>
      </c>
      <c r="AN1767">
        <v>0</v>
      </c>
      <c r="AO1767" t="s">
        <v>54</v>
      </c>
      <c r="AP1767" t="s">
        <v>53</v>
      </c>
      <c r="AQ1767">
        <v>0</v>
      </c>
      <c r="AR1767" t="s">
        <v>145</v>
      </c>
      <c r="AS1767">
        <v>19</v>
      </c>
      <c r="AT1767">
        <v>1800</v>
      </c>
      <c r="CC1767" t="s">
        <v>173</v>
      </c>
      <c r="CD1767">
        <v>100000</v>
      </c>
      <c r="CE1767" s="1">
        <v>43070</v>
      </c>
      <c r="CF1767" s="1">
        <v>43070</v>
      </c>
      <c r="CG1767" s="1">
        <v>43070</v>
      </c>
      <c r="CH1767" s="1">
        <v>52010</v>
      </c>
      <c r="CI1767" t="s">
        <v>51</v>
      </c>
      <c r="CK1767" t="s">
        <v>78</v>
      </c>
      <c r="CM1767" t="s">
        <v>54</v>
      </c>
      <c r="CN1767" t="s">
        <v>174</v>
      </c>
      <c r="CO1767" t="s">
        <v>86</v>
      </c>
      <c r="CP1767">
        <v>830</v>
      </c>
      <c r="CR1767">
        <v>19</v>
      </c>
      <c r="CS1767">
        <v>1800</v>
      </c>
      <c r="CT1767">
        <v>0</v>
      </c>
      <c r="CU1767">
        <v>16</v>
      </c>
    </row>
    <row r="1768" spans="1:99" x14ac:dyDescent="0.2">
      <c r="A1768" t="s">
        <v>367</v>
      </c>
      <c r="B1768" t="s">
        <v>440</v>
      </c>
      <c r="C1768" t="s">
        <v>441</v>
      </c>
      <c r="D1768" t="s">
        <v>839</v>
      </c>
      <c r="F1768" t="str">
        <f>"26887"</f>
        <v>26887</v>
      </c>
      <c r="G1768" t="s">
        <v>49</v>
      </c>
      <c r="H1768" t="s">
        <v>883</v>
      </c>
      <c r="K1768" t="s">
        <v>51</v>
      </c>
      <c r="L1768" t="s">
        <v>52</v>
      </c>
      <c r="M1768">
        <v>134926.41</v>
      </c>
      <c r="N1768">
        <v>468663.31</v>
      </c>
      <c r="O1768" t="s">
        <v>53</v>
      </c>
      <c r="P1768" t="s">
        <v>54</v>
      </c>
      <c r="Q1768" t="s">
        <v>55</v>
      </c>
      <c r="T1768" t="s">
        <v>841</v>
      </c>
      <c r="U1768">
        <v>40</v>
      </c>
      <c r="V1768" s="1">
        <v>29220</v>
      </c>
      <c r="W1768" s="1">
        <v>29220</v>
      </c>
      <c r="X1768" s="1">
        <v>29220</v>
      </c>
      <c r="Y1768" s="1">
        <v>43830</v>
      </c>
      <c r="Z1768" t="s">
        <v>51</v>
      </c>
      <c r="AB1768" t="s">
        <v>54</v>
      </c>
      <c r="AC1768">
        <v>1</v>
      </c>
      <c r="AE1768" t="s">
        <v>342</v>
      </c>
      <c r="AF1768">
        <v>20</v>
      </c>
      <c r="AG1768" s="1">
        <v>43070</v>
      </c>
      <c r="AH1768" s="1">
        <v>43070</v>
      </c>
      <c r="AI1768" s="1">
        <v>43070</v>
      </c>
      <c r="AJ1768" s="1">
        <v>50375</v>
      </c>
      <c r="AK1768" t="s">
        <v>51</v>
      </c>
      <c r="AN1768">
        <v>0</v>
      </c>
      <c r="AO1768" t="s">
        <v>54</v>
      </c>
      <c r="AP1768" t="s">
        <v>53</v>
      </c>
      <c r="AQ1768">
        <v>0</v>
      </c>
      <c r="AR1768" t="s">
        <v>145</v>
      </c>
      <c r="AS1768">
        <v>19</v>
      </c>
      <c r="AT1768">
        <v>1800</v>
      </c>
      <c r="AW1768" t="s">
        <v>172</v>
      </c>
      <c r="AX1768">
        <v>15</v>
      </c>
      <c r="AY1768" s="1">
        <v>43070</v>
      </c>
      <c r="AZ1768" s="1">
        <v>43070</v>
      </c>
      <c r="BA1768" s="1">
        <v>43070</v>
      </c>
      <c r="BB1768" s="1">
        <v>48549</v>
      </c>
      <c r="BC1768" t="s">
        <v>51</v>
      </c>
      <c r="BE1768" t="s">
        <v>54</v>
      </c>
      <c r="BF1768">
        <v>40</v>
      </c>
      <c r="BG1768">
        <v>0</v>
      </c>
      <c r="BH1768" t="s">
        <v>145</v>
      </c>
      <c r="CC1768" t="s">
        <v>173</v>
      </c>
      <c r="CD1768">
        <v>100000</v>
      </c>
      <c r="CE1768" s="1">
        <v>43070</v>
      </c>
      <c r="CF1768" s="1">
        <v>43070</v>
      </c>
      <c r="CG1768" s="1">
        <v>43070</v>
      </c>
      <c r="CH1768" s="1">
        <v>52010</v>
      </c>
      <c r="CI1768" t="s">
        <v>51</v>
      </c>
      <c r="CK1768" t="s">
        <v>78</v>
      </c>
      <c r="CM1768" t="s">
        <v>54</v>
      </c>
      <c r="CN1768" t="s">
        <v>174</v>
      </c>
      <c r="CO1768" t="s">
        <v>86</v>
      </c>
      <c r="CP1768">
        <v>830</v>
      </c>
      <c r="CR1768">
        <v>19</v>
      </c>
      <c r="CS1768">
        <v>1800</v>
      </c>
      <c r="CT1768">
        <v>0</v>
      </c>
      <c r="CU1768">
        <v>16</v>
      </c>
    </row>
    <row r="1769" spans="1:99" x14ac:dyDescent="0.2">
      <c r="A1769" t="s">
        <v>367</v>
      </c>
      <c r="B1769" t="s">
        <v>440</v>
      </c>
      <c r="C1769" t="s">
        <v>441</v>
      </c>
      <c r="D1769" t="s">
        <v>839</v>
      </c>
      <c r="F1769" t="str">
        <f>"26888"</f>
        <v>26888</v>
      </c>
      <c r="G1769" t="s">
        <v>49</v>
      </c>
      <c r="H1769" t="s">
        <v>884</v>
      </c>
      <c r="K1769" t="s">
        <v>51</v>
      </c>
      <c r="L1769" t="s">
        <v>52</v>
      </c>
      <c r="M1769">
        <v>134875.92000000001</v>
      </c>
      <c r="N1769">
        <v>468554.34</v>
      </c>
      <c r="O1769" t="s">
        <v>53</v>
      </c>
      <c r="P1769" t="s">
        <v>54</v>
      </c>
      <c r="Q1769" t="s">
        <v>55</v>
      </c>
      <c r="T1769" t="s">
        <v>841</v>
      </c>
      <c r="U1769">
        <v>40</v>
      </c>
      <c r="V1769" s="1">
        <v>29220</v>
      </c>
      <c r="W1769" s="1">
        <v>29220</v>
      </c>
      <c r="X1769" s="1">
        <v>29220</v>
      </c>
      <c r="Y1769" s="1">
        <v>43830</v>
      </c>
      <c r="Z1769" t="s">
        <v>51</v>
      </c>
      <c r="AB1769" t="s">
        <v>54</v>
      </c>
      <c r="AC1769">
        <v>1</v>
      </c>
      <c r="AE1769" t="s">
        <v>342</v>
      </c>
      <c r="AF1769">
        <v>20</v>
      </c>
      <c r="AG1769" s="1">
        <v>43070</v>
      </c>
      <c r="AH1769" s="1">
        <v>43070</v>
      </c>
      <c r="AI1769" s="1">
        <v>43070</v>
      </c>
      <c r="AJ1769" s="1">
        <v>50375</v>
      </c>
      <c r="AK1769" t="s">
        <v>51</v>
      </c>
      <c r="AN1769">
        <v>0</v>
      </c>
      <c r="AO1769" t="s">
        <v>54</v>
      </c>
      <c r="AP1769" t="s">
        <v>53</v>
      </c>
      <c r="AQ1769">
        <v>0</v>
      </c>
      <c r="AR1769" t="s">
        <v>145</v>
      </c>
      <c r="AS1769">
        <v>19</v>
      </c>
      <c r="AT1769">
        <v>1800</v>
      </c>
      <c r="CC1769" t="s">
        <v>173</v>
      </c>
      <c r="CD1769">
        <v>100000</v>
      </c>
      <c r="CE1769" s="1">
        <v>43070</v>
      </c>
      <c r="CF1769" s="1">
        <v>43070</v>
      </c>
      <c r="CG1769" s="1">
        <v>43070</v>
      </c>
      <c r="CH1769" s="1">
        <v>52010</v>
      </c>
      <c r="CI1769" t="s">
        <v>51</v>
      </c>
      <c r="CK1769" t="s">
        <v>78</v>
      </c>
      <c r="CM1769" t="s">
        <v>54</v>
      </c>
      <c r="CN1769" t="s">
        <v>174</v>
      </c>
      <c r="CO1769" t="s">
        <v>86</v>
      </c>
      <c r="CP1769">
        <v>830</v>
      </c>
      <c r="CR1769">
        <v>19</v>
      </c>
      <c r="CS1769">
        <v>1800</v>
      </c>
      <c r="CT1769">
        <v>0</v>
      </c>
      <c r="CU1769">
        <v>16</v>
      </c>
    </row>
    <row r="1770" spans="1:99" x14ac:dyDescent="0.2">
      <c r="A1770" t="s">
        <v>367</v>
      </c>
      <c r="B1770" t="s">
        <v>440</v>
      </c>
      <c r="C1770" t="s">
        <v>441</v>
      </c>
      <c r="D1770" t="s">
        <v>839</v>
      </c>
      <c r="F1770" t="str">
        <f>"26889"</f>
        <v>26889</v>
      </c>
      <c r="G1770" t="s">
        <v>49</v>
      </c>
      <c r="H1770" t="s">
        <v>885</v>
      </c>
      <c r="K1770" t="s">
        <v>51</v>
      </c>
      <c r="L1770" t="s">
        <v>52</v>
      </c>
      <c r="M1770">
        <v>134829.54</v>
      </c>
      <c r="N1770">
        <v>468467.5</v>
      </c>
      <c r="O1770" t="s">
        <v>53</v>
      </c>
      <c r="P1770" t="s">
        <v>54</v>
      </c>
      <c r="Q1770" t="s">
        <v>55</v>
      </c>
      <c r="T1770" t="s">
        <v>841</v>
      </c>
      <c r="U1770">
        <v>40</v>
      </c>
      <c r="V1770" s="1">
        <v>29220</v>
      </c>
      <c r="W1770" s="1">
        <v>29220</v>
      </c>
      <c r="X1770" s="1">
        <v>29220</v>
      </c>
      <c r="Y1770" s="1">
        <v>43830</v>
      </c>
      <c r="Z1770" t="s">
        <v>51</v>
      </c>
      <c r="AB1770" t="s">
        <v>54</v>
      </c>
      <c r="AC1770">
        <v>1</v>
      </c>
      <c r="AE1770" t="s">
        <v>342</v>
      </c>
      <c r="AF1770">
        <v>20</v>
      </c>
      <c r="AG1770" s="1">
        <v>43070</v>
      </c>
      <c r="AH1770" s="1">
        <v>43070</v>
      </c>
      <c r="AI1770" s="1">
        <v>43070</v>
      </c>
      <c r="AJ1770" s="1">
        <v>50375</v>
      </c>
      <c r="AK1770" t="s">
        <v>51</v>
      </c>
      <c r="AN1770">
        <v>0</v>
      </c>
      <c r="AO1770" t="s">
        <v>54</v>
      </c>
      <c r="AP1770" t="s">
        <v>53</v>
      </c>
      <c r="AQ1770">
        <v>0</v>
      </c>
      <c r="AR1770" t="s">
        <v>145</v>
      </c>
      <c r="AS1770">
        <v>19</v>
      </c>
      <c r="AT1770">
        <v>1800</v>
      </c>
      <c r="CC1770" t="s">
        <v>173</v>
      </c>
      <c r="CD1770">
        <v>100000</v>
      </c>
      <c r="CE1770" s="1">
        <v>43070</v>
      </c>
      <c r="CF1770" s="1">
        <v>43070</v>
      </c>
      <c r="CG1770" s="1">
        <v>43070</v>
      </c>
      <c r="CH1770" s="1">
        <v>52010</v>
      </c>
      <c r="CI1770" t="s">
        <v>51</v>
      </c>
      <c r="CK1770" t="s">
        <v>78</v>
      </c>
      <c r="CM1770" t="s">
        <v>54</v>
      </c>
      <c r="CN1770" t="s">
        <v>174</v>
      </c>
      <c r="CO1770" t="s">
        <v>86</v>
      </c>
      <c r="CP1770">
        <v>830</v>
      </c>
      <c r="CR1770">
        <v>19</v>
      </c>
      <c r="CS1770">
        <v>1800</v>
      </c>
      <c r="CT1770">
        <v>0</v>
      </c>
      <c r="CU1770">
        <v>16</v>
      </c>
    </row>
    <row r="1771" spans="1:99" x14ac:dyDescent="0.2">
      <c r="A1771" t="s">
        <v>367</v>
      </c>
      <c r="B1771" t="s">
        <v>440</v>
      </c>
      <c r="C1771" t="s">
        <v>441</v>
      </c>
      <c r="D1771" t="s">
        <v>434</v>
      </c>
      <c r="F1771" t="str">
        <f>"27073"</f>
        <v>27073</v>
      </c>
      <c r="G1771" t="s">
        <v>49</v>
      </c>
      <c r="H1771" t="s">
        <v>886</v>
      </c>
      <c r="K1771" t="s">
        <v>51</v>
      </c>
      <c r="L1771" t="s">
        <v>52</v>
      </c>
      <c r="M1771">
        <v>136429.69</v>
      </c>
      <c r="N1771">
        <v>469286.96</v>
      </c>
      <c r="O1771" t="s">
        <v>53</v>
      </c>
      <c r="P1771" t="s">
        <v>54</v>
      </c>
      <c r="Q1771" t="s">
        <v>55</v>
      </c>
      <c r="T1771" t="s">
        <v>841</v>
      </c>
      <c r="U1771">
        <v>40</v>
      </c>
      <c r="V1771" s="1">
        <v>40577</v>
      </c>
      <c r="W1771" s="1">
        <v>40577</v>
      </c>
      <c r="X1771" s="1">
        <v>40577</v>
      </c>
      <c r="Y1771" s="1">
        <v>55187</v>
      </c>
      <c r="Z1771" t="s">
        <v>51</v>
      </c>
      <c r="AB1771" t="s">
        <v>54</v>
      </c>
      <c r="AC1771">
        <v>1</v>
      </c>
      <c r="AE1771" t="s">
        <v>64</v>
      </c>
      <c r="AF1771">
        <v>20</v>
      </c>
      <c r="AG1771" s="1">
        <v>40655</v>
      </c>
      <c r="AH1771" s="1">
        <v>40655</v>
      </c>
      <c r="AI1771" s="1">
        <v>40655</v>
      </c>
      <c r="AJ1771" s="1">
        <v>47960</v>
      </c>
      <c r="AK1771" t="s">
        <v>51</v>
      </c>
      <c r="AN1771">
        <v>0</v>
      </c>
      <c r="AO1771" t="s">
        <v>54</v>
      </c>
      <c r="AP1771" t="s">
        <v>53</v>
      </c>
      <c r="AQ1771">
        <v>0</v>
      </c>
      <c r="AR1771" t="s">
        <v>53</v>
      </c>
      <c r="AS1771">
        <v>0</v>
      </c>
      <c r="AT1771">
        <v>0</v>
      </c>
      <c r="AW1771" t="s">
        <v>58</v>
      </c>
      <c r="AX1771">
        <v>20</v>
      </c>
      <c r="AY1771" s="1">
        <v>40655</v>
      </c>
      <c r="AZ1771" s="1">
        <v>40655</v>
      </c>
      <c r="BA1771" s="1">
        <v>40655</v>
      </c>
      <c r="BB1771" s="1">
        <v>47960</v>
      </c>
      <c r="BC1771" t="s">
        <v>51</v>
      </c>
      <c r="BE1771" t="s">
        <v>54</v>
      </c>
      <c r="BF1771">
        <v>2</v>
      </c>
      <c r="BG1771">
        <v>0</v>
      </c>
      <c r="BH1771" t="s">
        <v>53</v>
      </c>
      <c r="BK1771" t="s">
        <v>65</v>
      </c>
      <c r="BL1771">
        <v>14000</v>
      </c>
      <c r="BM1771" s="1">
        <v>40655</v>
      </c>
      <c r="BN1771" s="1">
        <v>40655</v>
      </c>
      <c r="BO1771" s="1">
        <v>40655</v>
      </c>
      <c r="BP1771" s="1">
        <v>41879</v>
      </c>
      <c r="BQ1771" t="s">
        <v>51</v>
      </c>
      <c r="BS1771" t="s">
        <v>60</v>
      </c>
      <c r="BT1771" t="s">
        <v>54</v>
      </c>
      <c r="BU1771" t="s">
        <v>61</v>
      </c>
      <c r="BV1771" t="s">
        <v>62</v>
      </c>
      <c r="BX1771">
        <v>36</v>
      </c>
      <c r="BY1771">
        <v>0</v>
      </c>
      <c r="BZ1771">
        <v>0</v>
      </c>
    </row>
    <row r="1772" spans="1:99" x14ac:dyDescent="0.2">
      <c r="A1772" t="s">
        <v>367</v>
      </c>
      <c r="B1772" t="s">
        <v>440</v>
      </c>
      <c r="C1772" t="s">
        <v>441</v>
      </c>
      <c r="D1772" t="s">
        <v>434</v>
      </c>
      <c r="F1772" t="str">
        <f>"27074"</f>
        <v>27074</v>
      </c>
      <c r="G1772" t="s">
        <v>49</v>
      </c>
      <c r="H1772" t="s">
        <v>887</v>
      </c>
      <c r="K1772" t="s">
        <v>51</v>
      </c>
      <c r="L1772" t="s">
        <v>52</v>
      </c>
      <c r="M1772">
        <v>136448.49</v>
      </c>
      <c r="N1772">
        <v>469324.39</v>
      </c>
      <c r="O1772" t="s">
        <v>53</v>
      </c>
      <c r="P1772" t="s">
        <v>54</v>
      </c>
      <c r="Q1772" t="s">
        <v>55</v>
      </c>
      <c r="T1772" t="s">
        <v>841</v>
      </c>
      <c r="U1772">
        <v>40</v>
      </c>
      <c r="V1772" s="1">
        <v>40238</v>
      </c>
      <c r="W1772" s="1">
        <v>40238</v>
      </c>
      <c r="X1772" s="1">
        <v>40238</v>
      </c>
      <c r="Y1772" s="1">
        <v>54848</v>
      </c>
      <c r="Z1772" t="s">
        <v>51</v>
      </c>
      <c r="AB1772" t="s">
        <v>54</v>
      </c>
      <c r="AC1772">
        <v>1</v>
      </c>
      <c r="AE1772" t="s">
        <v>64</v>
      </c>
      <c r="AF1772">
        <v>20</v>
      </c>
      <c r="AG1772" s="1">
        <v>40655</v>
      </c>
      <c r="AH1772" s="1">
        <v>40655</v>
      </c>
      <c r="AI1772" s="1">
        <v>40655</v>
      </c>
      <c r="AJ1772" s="1">
        <v>47960</v>
      </c>
      <c r="AK1772" t="s">
        <v>51</v>
      </c>
      <c r="AN1772">
        <v>0</v>
      </c>
      <c r="AO1772" t="s">
        <v>54</v>
      </c>
      <c r="AP1772" t="s">
        <v>53</v>
      </c>
      <c r="AQ1772">
        <v>0</v>
      </c>
      <c r="AR1772" t="s">
        <v>53</v>
      </c>
      <c r="AS1772">
        <v>0</v>
      </c>
      <c r="AT1772">
        <v>0</v>
      </c>
      <c r="AW1772" t="s">
        <v>58</v>
      </c>
      <c r="AX1772">
        <v>20</v>
      </c>
      <c r="AY1772" s="1">
        <v>40655</v>
      </c>
      <c r="AZ1772" s="1">
        <v>40655</v>
      </c>
      <c r="BA1772" s="1">
        <v>40655</v>
      </c>
      <c r="BB1772" s="1">
        <v>47960</v>
      </c>
      <c r="BC1772" t="s">
        <v>51</v>
      </c>
      <c r="BE1772" t="s">
        <v>54</v>
      </c>
      <c r="BF1772">
        <v>2</v>
      </c>
      <c r="BG1772">
        <v>0</v>
      </c>
      <c r="BH1772" t="s">
        <v>53</v>
      </c>
      <c r="BK1772" t="s">
        <v>65</v>
      </c>
      <c r="BL1772">
        <v>14000</v>
      </c>
      <c r="BM1772" s="1">
        <v>40655</v>
      </c>
      <c r="BN1772" s="1">
        <v>40655</v>
      </c>
      <c r="BO1772" s="1">
        <v>40655</v>
      </c>
      <c r="BP1772" s="1">
        <v>41879</v>
      </c>
      <c r="BQ1772" t="s">
        <v>51</v>
      </c>
      <c r="BS1772" t="s">
        <v>60</v>
      </c>
      <c r="BT1772" t="s">
        <v>54</v>
      </c>
      <c r="BU1772" t="s">
        <v>61</v>
      </c>
      <c r="BV1772" t="s">
        <v>62</v>
      </c>
      <c r="BX1772">
        <v>36</v>
      </c>
      <c r="BY1772">
        <v>0</v>
      </c>
      <c r="BZ1772">
        <v>0</v>
      </c>
    </row>
    <row r="1773" spans="1:99" x14ac:dyDescent="0.2">
      <c r="A1773" t="s">
        <v>367</v>
      </c>
      <c r="B1773" t="s">
        <v>440</v>
      </c>
      <c r="C1773" t="s">
        <v>441</v>
      </c>
      <c r="D1773" t="s">
        <v>434</v>
      </c>
      <c r="F1773" t="str">
        <f>"27080"</f>
        <v>27080</v>
      </c>
      <c r="G1773" t="s">
        <v>49</v>
      </c>
      <c r="H1773" t="s">
        <v>888</v>
      </c>
      <c r="K1773" t="s">
        <v>51</v>
      </c>
      <c r="L1773" t="s">
        <v>52</v>
      </c>
      <c r="M1773">
        <v>136567.66</v>
      </c>
      <c r="N1773">
        <v>469555.44</v>
      </c>
      <c r="O1773" t="s">
        <v>53</v>
      </c>
      <c r="P1773" t="s">
        <v>54</v>
      </c>
      <c r="Q1773" t="s">
        <v>55</v>
      </c>
      <c r="T1773" t="s">
        <v>841</v>
      </c>
      <c r="U1773">
        <v>40</v>
      </c>
      <c r="V1773" s="1">
        <v>38623</v>
      </c>
      <c r="W1773" s="1">
        <v>38623</v>
      </c>
      <c r="X1773" s="1">
        <v>38623</v>
      </c>
      <c r="Y1773" s="1">
        <v>53233</v>
      </c>
      <c r="Z1773" t="s">
        <v>51</v>
      </c>
      <c r="AB1773" t="s">
        <v>54</v>
      </c>
      <c r="AC1773">
        <v>1</v>
      </c>
      <c r="AE1773" t="s">
        <v>64</v>
      </c>
      <c r="AF1773">
        <v>20</v>
      </c>
      <c r="AG1773" s="1">
        <v>40655</v>
      </c>
      <c r="AH1773" s="1">
        <v>40655</v>
      </c>
      <c r="AI1773" s="1">
        <v>40655</v>
      </c>
      <c r="AJ1773" s="1">
        <v>47960</v>
      </c>
      <c r="AK1773" t="s">
        <v>51</v>
      </c>
      <c r="AN1773">
        <v>0</v>
      </c>
      <c r="AO1773" t="s">
        <v>54</v>
      </c>
      <c r="AP1773" t="s">
        <v>53</v>
      </c>
      <c r="AQ1773">
        <v>0</v>
      </c>
      <c r="AR1773" t="s">
        <v>53</v>
      </c>
      <c r="AS1773">
        <v>0</v>
      </c>
      <c r="AT1773">
        <v>0</v>
      </c>
      <c r="AW1773" t="s">
        <v>58</v>
      </c>
      <c r="AX1773">
        <v>20</v>
      </c>
      <c r="AY1773" s="1">
        <v>40655</v>
      </c>
      <c r="AZ1773" s="1">
        <v>40655</v>
      </c>
      <c r="BA1773" s="1">
        <v>40655</v>
      </c>
      <c r="BB1773" s="1">
        <v>47960</v>
      </c>
      <c r="BC1773" t="s">
        <v>51</v>
      </c>
      <c r="BE1773" t="s">
        <v>54</v>
      </c>
      <c r="BF1773">
        <v>2</v>
      </c>
      <c r="BG1773">
        <v>0</v>
      </c>
      <c r="BH1773" t="s">
        <v>53</v>
      </c>
      <c r="BK1773" t="s">
        <v>65</v>
      </c>
      <c r="BL1773">
        <v>14000</v>
      </c>
      <c r="BM1773" s="1">
        <v>40655</v>
      </c>
      <c r="BN1773" s="1">
        <v>40655</v>
      </c>
      <c r="BO1773" s="1">
        <v>40655</v>
      </c>
      <c r="BP1773" s="1">
        <v>41879</v>
      </c>
      <c r="BQ1773" t="s">
        <v>51</v>
      </c>
      <c r="BS1773" t="s">
        <v>60</v>
      </c>
      <c r="BT1773" t="s">
        <v>54</v>
      </c>
      <c r="BU1773" t="s">
        <v>61</v>
      </c>
      <c r="BV1773" t="s">
        <v>62</v>
      </c>
      <c r="BX1773">
        <v>36</v>
      </c>
      <c r="BY1773">
        <v>0</v>
      </c>
      <c r="BZ1773">
        <v>0</v>
      </c>
    </row>
    <row r="1774" spans="1:99" x14ac:dyDescent="0.2">
      <c r="A1774" t="s">
        <v>367</v>
      </c>
      <c r="B1774" t="s">
        <v>440</v>
      </c>
      <c r="C1774" t="s">
        <v>441</v>
      </c>
      <c r="D1774" t="s">
        <v>434</v>
      </c>
      <c r="F1774" t="str">
        <f>"27081"</f>
        <v>27081</v>
      </c>
      <c r="G1774" t="s">
        <v>49</v>
      </c>
      <c r="H1774" t="s">
        <v>889</v>
      </c>
      <c r="K1774" t="s">
        <v>51</v>
      </c>
      <c r="L1774" t="s">
        <v>52</v>
      </c>
      <c r="M1774">
        <v>136590.16</v>
      </c>
      <c r="N1774">
        <v>469593.8</v>
      </c>
      <c r="O1774" t="s">
        <v>53</v>
      </c>
      <c r="P1774" t="s">
        <v>54</v>
      </c>
      <c r="Q1774" t="s">
        <v>55</v>
      </c>
      <c r="T1774" t="s">
        <v>890</v>
      </c>
      <c r="U1774">
        <v>40</v>
      </c>
      <c r="V1774" s="1">
        <v>38028</v>
      </c>
      <c r="W1774" s="1">
        <v>38028</v>
      </c>
      <c r="X1774" s="1">
        <v>38028</v>
      </c>
      <c r="Y1774" s="1">
        <v>52638</v>
      </c>
      <c r="Z1774" t="s">
        <v>51</v>
      </c>
      <c r="AB1774" t="s">
        <v>54</v>
      </c>
      <c r="AC1774">
        <v>1</v>
      </c>
      <c r="AE1774" t="s">
        <v>64</v>
      </c>
      <c r="AF1774">
        <v>20</v>
      </c>
      <c r="AG1774" s="1">
        <v>40655</v>
      </c>
      <c r="AH1774" s="1">
        <v>40655</v>
      </c>
      <c r="AI1774" s="1">
        <v>40655</v>
      </c>
      <c r="AJ1774" s="1">
        <v>47960</v>
      </c>
      <c r="AK1774" t="s">
        <v>51</v>
      </c>
      <c r="AN1774">
        <v>0</v>
      </c>
      <c r="AO1774" t="s">
        <v>54</v>
      </c>
      <c r="AP1774" t="s">
        <v>53</v>
      </c>
      <c r="AQ1774">
        <v>0</v>
      </c>
      <c r="AR1774" t="s">
        <v>53</v>
      </c>
      <c r="AS1774">
        <v>0</v>
      </c>
      <c r="AT1774">
        <v>0</v>
      </c>
      <c r="AW1774" t="s">
        <v>58</v>
      </c>
      <c r="AX1774">
        <v>20</v>
      </c>
      <c r="AY1774" s="1">
        <v>40655</v>
      </c>
      <c r="AZ1774" s="1">
        <v>40655</v>
      </c>
      <c r="BA1774" s="1">
        <v>40655</v>
      </c>
      <c r="BB1774" s="1">
        <v>47960</v>
      </c>
      <c r="BC1774" t="s">
        <v>51</v>
      </c>
      <c r="BE1774" t="s">
        <v>54</v>
      </c>
      <c r="BF1774">
        <v>2</v>
      </c>
      <c r="BG1774">
        <v>0</v>
      </c>
      <c r="BH1774" t="s">
        <v>53</v>
      </c>
      <c r="BK1774" t="s">
        <v>65</v>
      </c>
      <c r="BL1774">
        <v>14000</v>
      </c>
      <c r="BM1774" s="1">
        <v>44837</v>
      </c>
      <c r="BN1774" s="1">
        <v>44837</v>
      </c>
      <c r="BO1774" s="1">
        <v>44837</v>
      </c>
      <c r="BP1774" s="1">
        <v>46000</v>
      </c>
      <c r="BQ1774" t="s">
        <v>51</v>
      </c>
      <c r="BS1774" t="s">
        <v>60</v>
      </c>
      <c r="BT1774" t="s">
        <v>54</v>
      </c>
      <c r="BU1774" t="s">
        <v>61</v>
      </c>
      <c r="BV1774" t="s">
        <v>62</v>
      </c>
      <c r="BX1774">
        <v>36</v>
      </c>
      <c r="BY1774">
        <v>0</v>
      </c>
      <c r="BZ1774">
        <v>0</v>
      </c>
    </row>
    <row r="1775" spans="1:99" x14ac:dyDescent="0.2">
      <c r="A1775" t="s">
        <v>367</v>
      </c>
      <c r="B1775" t="s">
        <v>440</v>
      </c>
      <c r="C1775" t="s">
        <v>441</v>
      </c>
      <c r="D1775" t="s">
        <v>434</v>
      </c>
      <c r="F1775" t="str">
        <f>"27082"</f>
        <v>27082</v>
      </c>
      <c r="G1775" t="s">
        <v>49</v>
      </c>
      <c r="H1775" t="s">
        <v>891</v>
      </c>
      <c r="K1775" t="s">
        <v>51</v>
      </c>
      <c r="L1775" t="s">
        <v>52</v>
      </c>
      <c r="M1775">
        <v>136612.56</v>
      </c>
      <c r="N1775">
        <v>469630.3</v>
      </c>
      <c r="O1775" t="s">
        <v>53</v>
      </c>
      <c r="P1775" t="s">
        <v>54</v>
      </c>
      <c r="Q1775" t="s">
        <v>55</v>
      </c>
      <c r="T1775" t="s">
        <v>841</v>
      </c>
      <c r="U1775">
        <v>40</v>
      </c>
      <c r="V1775" s="1">
        <v>38797</v>
      </c>
      <c r="W1775" s="1">
        <v>38797</v>
      </c>
      <c r="X1775" s="1">
        <v>38797</v>
      </c>
      <c r="Y1775" s="1">
        <v>53407</v>
      </c>
      <c r="Z1775" t="s">
        <v>51</v>
      </c>
      <c r="AB1775" t="s">
        <v>54</v>
      </c>
      <c r="AC1775">
        <v>1</v>
      </c>
      <c r="AE1775" t="s">
        <v>64</v>
      </c>
      <c r="AF1775">
        <v>20</v>
      </c>
      <c r="AG1775" s="1">
        <v>40655</v>
      </c>
      <c r="AH1775" s="1">
        <v>40655</v>
      </c>
      <c r="AI1775" s="1">
        <v>40655</v>
      </c>
      <c r="AJ1775" s="1">
        <v>47960</v>
      </c>
      <c r="AK1775" t="s">
        <v>51</v>
      </c>
      <c r="AN1775">
        <v>0</v>
      </c>
      <c r="AO1775" t="s">
        <v>54</v>
      </c>
      <c r="AP1775" t="s">
        <v>53</v>
      </c>
      <c r="AQ1775">
        <v>0</v>
      </c>
      <c r="AR1775" t="s">
        <v>53</v>
      </c>
      <c r="AS1775">
        <v>0</v>
      </c>
      <c r="AT1775">
        <v>0</v>
      </c>
      <c r="AW1775" t="s">
        <v>58</v>
      </c>
      <c r="AX1775">
        <v>20</v>
      </c>
      <c r="AY1775" s="1">
        <v>40655</v>
      </c>
      <c r="AZ1775" s="1">
        <v>40655</v>
      </c>
      <c r="BA1775" s="1">
        <v>40655</v>
      </c>
      <c r="BB1775" s="1">
        <v>47960</v>
      </c>
      <c r="BC1775" t="s">
        <v>51</v>
      </c>
      <c r="BE1775" t="s">
        <v>54</v>
      </c>
      <c r="BF1775">
        <v>2</v>
      </c>
      <c r="BG1775">
        <v>0</v>
      </c>
      <c r="BH1775" t="s">
        <v>53</v>
      </c>
      <c r="BK1775" t="s">
        <v>65</v>
      </c>
      <c r="BL1775">
        <v>14000</v>
      </c>
      <c r="BM1775" s="1">
        <v>44858</v>
      </c>
      <c r="BN1775" s="1">
        <v>44858</v>
      </c>
      <c r="BO1775" s="1">
        <v>44858</v>
      </c>
      <c r="BP1775" s="1">
        <v>46019</v>
      </c>
      <c r="BQ1775" t="s">
        <v>51</v>
      </c>
      <c r="BS1775" t="s">
        <v>60</v>
      </c>
      <c r="BT1775" t="s">
        <v>54</v>
      </c>
      <c r="BU1775" t="s">
        <v>61</v>
      </c>
      <c r="BV1775" t="s">
        <v>62</v>
      </c>
      <c r="BX1775">
        <v>36</v>
      </c>
      <c r="BY1775">
        <v>0</v>
      </c>
      <c r="BZ1775">
        <v>0</v>
      </c>
    </row>
    <row r="1776" spans="1:99" x14ac:dyDescent="0.2">
      <c r="A1776" t="s">
        <v>367</v>
      </c>
      <c r="B1776" t="s">
        <v>440</v>
      </c>
      <c r="C1776" t="s">
        <v>441</v>
      </c>
      <c r="D1776" t="s">
        <v>816</v>
      </c>
      <c r="F1776" t="str">
        <f>"64415"</f>
        <v>64415</v>
      </c>
      <c r="G1776" t="s">
        <v>49</v>
      </c>
      <c r="H1776" t="s">
        <v>892</v>
      </c>
      <c r="K1776" t="s">
        <v>51</v>
      </c>
      <c r="L1776" t="s">
        <v>52</v>
      </c>
      <c r="M1776">
        <v>134394.88</v>
      </c>
      <c r="N1776">
        <v>468886.33</v>
      </c>
      <c r="O1776" t="s">
        <v>53</v>
      </c>
      <c r="P1776" t="s">
        <v>54</v>
      </c>
      <c r="Q1776" t="s">
        <v>55</v>
      </c>
      <c r="T1776" t="s">
        <v>818</v>
      </c>
      <c r="U1776">
        <v>40</v>
      </c>
      <c r="V1776" s="1">
        <v>33606</v>
      </c>
      <c r="W1776" s="1">
        <v>33606</v>
      </c>
      <c r="X1776" s="1">
        <v>33606</v>
      </c>
      <c r="Y1776" s="1">
        <v>48216</v>
      </c>
      <c r="Z1776" t="s">
        <v>51</v>
      </c>
      <c r="AB1776" t="s">
        <v>54</v>
      </c>
      <c r="AC1776">
        <v>1</v>
      </c>
      <c r="AE1776" t="s">
        <v>819</v>
      </c>
      <c r="AF1776">
        <v>20</v>
      </c>
      <c r="AG1776" s="1">
        <v>33606</v>
      </c>
      <c r="AH1776" s="1">
        <v>33606</v>
      </c>
      <c r="AI1776" s="1">
        <v>33606</v>
      </c>
      <c r="AJ1776" s="1">
        <v>40911</v>
      </c>
      <c r="AK1776" t="s">
        <v>51</v>
      </c>
      <c r="AN1776">
        <v>0</v>
      </c>
      <c r="AO1776" t="s">
        <v>54</v>
      </c>
      <c r="AP1776" t="s">
        <v>53</v>
      </c>
      <c r="AQ1776">
        <v>0</v>
      </c>
      <c r="AR1776" t="s">
        <v>53</v>
      </c>
      <c r="AS1776">
        <v>0</v>
      </c>
      <c r="AT1776">
        <v>0</v>
      </c>
      <c r="AW1776" t="s">
        <v>58</v>
      </c>
      <c r="AX1776">
        <v>20</v>
      </c>
      <c r="AY1776" s="1">
        <v>33606</v>
      </c>
      <c r="AZ1776" s="1">
        <v>33606</v>
      </c>
      <c r="BA1776" s="1">
        <v>33606</v>
      </c>
      <c r="BB1776" s="1">
        <v>40911</v>
      </c>
      <c r="BC1776" t="s">
        <v>51</v>
      </c>
      <c r="BE1776" t="s">
        <v>54</v>
      </c>
      <c r="BF1776">
        <v>2</v>
      </c>
      <c r="BG1776">
        <v>0</v>
      </c>
      <c r="BH1776" t="s">
        <v>53</v>
      </c>
      <c r="BK1776" t="s">
        <v>720</v>
      </c>
      <c r="BL1776">
        <v>17000</v>
      </c>
      <c r="BM1776" s="1">
        <v>42917</v>
      </c>
      <c r="BN1776" s="1">
        <v>42917</v>
      </c>
      <c r="BO1776" s="1">
        <v>42917</v>
      </c>
      <c r="BP1776" s="1">
        <v>44339</v>
      </c>
      <c r="BQ1776" t="s">
        <v>51</v>
      </c>
      <c r="BS1776" t="s">
        <v>60</v>
      </c>
      <c r="BT1776" t="s">
        <v>54</v>
      </c>
      <c r="BU1776" t="s">
        <v>721</v>
      </c>
      <c r="BV1776" t="s">
        <v>722</v>
      </c>
      <c r="BX1776">
        <v>18</v>
      </c>
      <c r="BY1776">
        <v>0</v>
      </c>
      <c r="BZ1776">
        <v>0</v>
      </c>
    </row>
    <row r="1777" spans="1:78" x14ac:dyDescent="0.2">
      <c r="A1777" t="s">
        <v>367</v>
      </c>
      <c r="B1777" t="s">
        <v>440</v>
      </c>
      <c r="C1777" t="s">
        <v>441</v>
      </c>
      <c r="D1777" t="s">
        <v>893</v>
      </c>
      <c r="F1777" t="str">
        <f>"75715"</f>
        <v>75715</v>
      </c>
      <c r="G1777" t="s">
        <v>49</v>
      </c>
      <c r="H1777" t="s">
        <v>894</v>
      </c>
      <c r="K1777" t="s">
        <v>51</v>
      </c>
      <c r="L1777" t="s">
        <v>52</v>
      </c>
      <c r="M1777">
        <v>134539.88</v>
      </c>
      <c r="N1777">
        <v>468931.8</v>
      </c>
      <c r="O1777" t="s">
        <v>53</v>
      </c>
      <c r="P1777" t="s">
        <v>54</v>
      </c>
      <c r="Q1777" t="s">
        <v>55</v>
      </c>
      <c r="T1777" t="s">
        <v>818</v>
      </c>
      <c r="U1777">
        <v>40</v>
      </c>
      <c r="V1777" s="1">
        <v>33192</v>
      </c>
      <c r="W1777" s="1">
        <v>33192</v>
      </c>
      <c r="X1777" s="1">
        <v>33192</v>
      </c>
      <c r="Y1777" s="1">
        <v>47802</v>
      </c>
      <c r="Z1777" t="s">
        <v>51</v>
      </c>
      <c r="AB1777" t="s">
        <v>54</v>
      </c>
      <c r="AC1777">
        <v>1</v>
      </c>
      <c r="AE1777" t="s">
        <v>827</v>
      </c>
      <c r="AF1777">
        <v>20</v>
      </c>
      <c r="AG1777" s="1">
        <v>33192</v>
      </c>
      <c r="AH1777" s="1">
        <v>33192</v>
      </c>
      <c r="AI1777" s="1">
        <v>33192</v>
      </c>
      <c r="AJ1777" s="1">
        <v>40497</v>
      </c>
      <c r="AK1777" t="s">
        <v>51</v>
      </c>
      <c r="AN1777">
        <v>0</v>
      </c>
      <c r="AO1777" t="s">
        <v>54</v>
      </c>
      <c r="AP1777" t="s">
        <v>53</v>
      </c>
      <c r="AQ1777">
        <v>0</v>
      </c>
      <c r="AR1777" t="s">
        <v>53</v>
      </c>
      <c r="AS1777">
        <v>0</v>
      </c>
      <c r="AT1777">
        <v>0</v>
      </c>
      <c r="AW1777" t="s">
        <v>58</v>
      </c>
      <c r="AX1777">
        <v>20</v>
      </c>
      <c r="AY1777" s="1">
        <v>33192</v>
      </c>
      <c r="AZ1777" s="1">
        <v>33192</v>
      </c>
      <c r="BA1777" s="1">
        <v>33192</v>
      </c>
      <c r="BB1777" s="1">
        <v>40497</v>
      </c>
      <c r="BC1777" t="s">
        <v>51</v>
      </c>
      <c r="BE1777" t="s">
        <v>54</v>
      </c>
      <c r="BF1777">
        <v>2</v>
      </c>
      <c r="BG1777">
        <v>0</v>
      </c>
      <c r="BH1777" t="s">
        <v>53</v>
      </c>
      <c r="BK1777" t="s">
        <v>720</v>
      </c>
      <c r="BL1777">
        <v>17000</v>
      </c>
      <c r="BM1777" s="1">
        <v>43838</v>
      </c>
      <c r="BN1777" s="1">
        <v>43838</v>
      </c>
      <c r="BO1777" s="1">
        <v>43838</v>
      </c>
      <c r="BP1777" s="1">
        <v>45280</v>
      </c>
      <c r="BQ1777" t="s">
        <v>51</v>
      </c>
      <c r="BS1777" t="s">
        <v>60</v>
      </c>
      <c r="BT1777" t="s">
        <v>54</v>
      </c>
      <c r="BU1777" t="s">
        <v>721</v>
      </c>
      <c r="BV1777" t="s">
        <v>722</v>
      </c>
      <c r="BX1777">
        <v>18</v>
      </c>
      <c r="BY1777">
        <v>0</v>
      </c>
      <c r="BZ1777">
        <v>0</v>
      </c>
    </row>
    <row r="1778" spans="1:78" x14ac:dyDescent="0.2">
      <c r="A1778" t="s">
        <v>367</v>
      </c>
      <c r="B1778" t="s">
        <v>440</v>
      </c>
      <c r="C1778" t="s">
        <v>441</v>
      </c>
      <c r="D1778" t="s">
        <v>893</v>
      </c>
      <c r="F1778" t="str">
        <f>"75716"</f>
        <v>75716</v>
      </c>
      <c r="G1778" t="s">
        <v>49</v>
      </c>
      <c r="H1778" t="s">
        <v>895</v>
      </c>
      <c r="K1778" t="s">
        <v>51</v>
      </c>
      <c r="L1778" t="s">
        <v>52</v>
      </c>
      <c r="M1778">
        <v>134530.74</v>
      </c>
      <c r="N1778">
        <v>468911.47</v>
      </c>
      <c r="O1778" t="s">
        <v>53</v>
      </c>
      <c r="P1778" t="s">
        <v>54</v>
      </c>
      <c r="Q1778" t="s">
        <v>55</v>
      </c>
      <c r="T1778" t="s">
        <v>818</v>
      </c>
      <c r="U1778">
        <v>40</v>
      </c>
      <c r="V1778" s="1">
        <v>33192</v>
      </c>
      <c r="W1778" s="1">
        <v>33192</v>
      </c>
      <c r="X1778" s="1">
        <v>33192</v>
      </c>
      <c r="Y1778" s="1">
        <v>47802</v>
      </c>
      <c r="Z1778" t="s">
        <v>51</v>
      </c>
      <c r="AB1778" t="s">
        <v>54</v>
      </c>
      <c r="AC1778">
        <v>1</v>
      </c>
      <c r="AE1778" t="s">
        <v>827</v>
      </c>
      <c r="AF1778">
        <v>20</v>
      </c>
      <c r="AG1778" s="1">
        <v>33192</v>
      </c>
      <c r="AH1778" s="1">
        <v>33192</v>
      </c>
      <c r="AI1778" s="1">
        <v>33192</v>
      </c>
      <c r="AJ1778" s="1">
        <v>40497</v>
      </c>
      <c r="AK1778" t="s">
        <v>51</v>
      </c>
      <c r="AN1778">
        <v>0</v>
      </c>
      <c r="AO1778" t="s">
        <v>54</v>
      </c>
      <c r="AP1778" t="s">
        <v>53</v>
      </c>
      <c r="AQ1778">
        <v>0</v>
      </c>
      <c r="AR1778" t="s">
        <v>53</v>
      </c>
      <c r="AS1778">
        <v>0</v>
      </c>
      <c r="AT1778">
        <v>0</v>
      </c>
      <c r="AW1778" t="s">
        <v>58</v>
      </c>
      <c r="AX1778">
        <v>20</v>
      </c>
      <c r="AY1778" s="1">
        <v>33192</v>
      </c>
      <c r="AZ1778" s="1">
        <v>33192</v>
      </c>
      <c r="BA1778" s="1">
        <v>33192</v>
      </c>
      <c r="BB1778" s="1">
        <v>40497</v>
      </c>
      <c r="BC1778" t="s">
        <v>51</v>
      </c>
      <c r="BE1778" t="s">
        <v>54</v>
      </c>
      <c r="BF1778">
        <v>2</v>
      </c>
      <c r="BG1778">
        <v>0</v>
      </c>
      <c r="BH1778" t="s">
        <v>53</v>
      </c>
      <c r="BK1778" t="s">
        <v>720</v>
      </c>
      <c r="BL1778">
        <v>17000</v>
      </c>
      <c r="BM1778" s="1">
        <v>43767</v>
      </c>
      <c r="BN1778" s="1">
        <v>43767</v>
      </c>
      <c r="BO1778" s="1">
        <v>43767</v>
      </c>
      <c r="BP1778" s="1">
        <v>45208</v>
      </c>
      <c r="BQ1778" t="s">
        <v>51</v>
      </c>
      <c r="BS1778" t="s">
        <v>60</v>
      </c>
      <c r="BT1778" t="s">
        <v>54</v>
      </c>
      <c r="BU1778" t="s">
        <v>721</v>
      </c>
      <c r="BV1778" t="s">
        <v>722</v>
      </c>
      <c r="BX1778">
        <v>18</v>
      </c>
      <c r="BY1778">
        <v>0</v>
      </c>
      <c r="BZ1778">
        <v>0</v>
      </c>
    </row>
    <row r="1779" spans="1:78" x14ac:dyDescent="0.2">
      <c r="A1779" t="s">
        <v>367</v>
      </c>
      <c r="B1779" t="s">
        <v>440</v>
      </c>
      <c r="C1779" t="s">
        <v>441</v>
      </c>
      <c r="D1779" t="s">
        <v>893</v>
      </c>
      <c r="F1779" t="str">
        <f>"75717"</f>
        <v>75717</v>
      </c>
      <c r="G1779" t="s">
        <v>49</v>
      </c>
      <c r="H1779" t="s">
        <v>896</v>
      </c>
      <c r="K1779" t="s">
        <v>51</v>
      </c>
      <c r="L1779" t="s">
        <v>52</v>
      </c>
      <c r="M1779">
        <v>134530.91</v>
      </c>
      <c r="N1779">
        <v>468894.24</v>
      </c>
      <c r="O1779" t="s">
        <v>53</v>
      </c>
      <c r="P1779" t="s">
        <v>54</v>
      </c>
      <c r="Q1779" t="s">
        <v>55</v>
      </c>
      <c r="T1779" t="s">
        <v>818</v>
      </c>
      <c r="U1779">
        <v>40</v>
      </c>
      <c r="V1779" s="1">
        <v>33192</v>
      </c>
      <c r="W1779" s="1">
        <v>33192</v>
      </c>
      <c r="X1779" s="1">
        <v>33192</v>
      </c>
      <c r="Y1779" s="1">
        <v>47802</v>
      </c>
      <c r="Z1779" t="s">
        <v>51</v>
      </c>
      <c r="AB1779" t="s">
        <v>54</v>
      </c>
      <c r="AC1779">
        <v>1</v>
      </c>
      <c r="AE1779" t="s">
        <v>827</v>
      </c>
      <c r="AF1779">
        <v>20</v>
      </c>
      <c r="AG1779" s="1">
        <v>33192</v>
      </c>
      <c r="AH1779" s="1">
        <v>33192</v>
      </c>
      <c r="AI1779" s="1">
        <v>33192</v>
      </c>
      <c r="AJ1779" s="1">
        <v>40497</v>
      </c>
      <c r="AK1779" t="s">
        <v>51</v>
      </c>
      <c r="AN1779">
        <v>0</v>
      </c>
      <c r="AO1779" t="s">
        <v>54</v>
      </c>
      <c r="AP1779" t="s">
        <v>53</v>
      </c>
      <c r="AQ1779">
        <v>0</v>
      </c>
      <c r="AR1779" t="s">
        <v>53</v>
      </c>
      <c r="AS1779">
        <v>0</v>
      </c>
      <c r="AT1779">
        <v>0</v>
      </c>
      <c r="AW1779" t="s">
        <v>58</v>
      </c>
      <c r="AX1779">
        <v>20</v>
      </c>
      <c r="AY1779" s="1">
        <v>33192</v>
      </c>
      <c r="AZ1779" s="1">
        <v>33192</v>
      </c>
      <c r="BA1779" s="1">
        <v>33192</v>
      </c>
      <c r="BB1779" s="1">
        <v>40497</v>
      </c>
      <c r="BC1779" t="s">
        <v>51</v>
      </c>
      <c r="BE1779" t="s">
        <v>54</v>
      </c>
      <c r="BF1779">
        <v>2</v>
      </c>
      <c r="BG1779">
        <v>0</v>
      </c>
      <c r="BH1779" t="s">
        <v>53</v>
      </c>
      <c r="BK1779" t="s">
        <v>720</v>
      </c>
      <c r="BL1779">
        <v>17000</v>
      </c>
      <c r="BM1779" s="1">
        <v>43794</v>
      </c>
      <c r="BN1779" s="1">
        <v>43794</v>
      </c>
      <c r="BO1779" s="1">
        <v>43794</v>
      </c>
      <c r="BP1779" s="1">
        <v>45236</v>
      </c>
      <c r="BQ1779" t="s">
        <v>51</v>
      </c>
      <c r="BS1779" t="s">
        <v>60</v>
      </c>
      <c r="BT1779" t="s">
        <v>54</v>
      </c>
      <c r="BU1779" t="s">
        <v>721</v>
      </c>
      <c r="BV1779" t="s">
        <v>722</v>
      </c>
      <c r="BX1779">
        <v>18</v>
      </c>
      <c r="BY1779">
        <v>0</v>
      </c>
      <c r="BZ1779">
        <v>0</v>
      </c>
    </row>
    <row r="1780" spans="1:78" x14ac:dyDescent="0.2">
      <c r="A1780" t="s">
        <v>367</v>
      </c>
      <c r="B1780" t="s">
        <v>440</v>
      </c>
      <c r="C1780" t="s">
        <v>441</v>
      </c>
      <c r="D1780" t="s">
        <v>893</v>
      </c>
      <c r="F1780" t="str">
        <f>"75718"</f>
        <v>75718</v>
      </c>
      <c r="G1780" t="s">
        <v>49</v>
      </c>
      <c r="H1780" t="s">
        <v>897</v>
      </c>
      <c r="K1780" t="s">
        <v>51</v>
      </c>
      <c r="L1780" t="s">
        <v>52</v>
      </c>
      <c r="M1780">
        <v>134524.69</v>
      </c>
      <c r="N1780">
        <v>468880.55</v>
      </c>
      <c r="O1780" t="s">
        <v>53</v>
      </c>
      <c r="P1780" t="s">
        <v>54</v>
      </c>
      <c r="Q1780" t="s">
        <v>55</v>
      </c>
      <c r="T1780" t="s">
        <v>818</v>
      </c>
      <c r="U1780">
        <v>40</v>
      </c>
      <c r="V1780" s="1">
        <v>33192</v>
      </c>
      <c r="W1780" s="1">
        <v>33192</v>
      </c>
      <c r="X1780" s="1">
        <v>33192</v>
      </c>
      <c r="Y1780" s="1">
        <v>47802</v>
      </c>
      <c r="Z1780" t="s">
        <v>51</v>
      </c>
      <c r="AB1780" t="s">
        <v>54</v>
      </c>
      <c r="AC1780">
        <v>1</v>
      </c>
      <c r="AE1780" t="s">
        <v>827</v>
      </c>
      <c r="AF1780">
        <v>20</v>
      </c>
      <c r="AG1780" s="1">
        <v>33192</v>
      </c>
      <c r="AH1780" s="1">
        <v>33192</v>
      </c>
      <c r="AI1780" s="1">
        <v>33192</v>
      </c>
      <c r="AJ1780" s="1">
        <v>40497</v>
      </c>
      <c r="AK1780" t="s">
        <v>51</v>
      </c>
      <c r="AN1780">
        <v>0</v>
      </c>
      <c r="AO1780" t="s">
        <v>54</v>
      </c>
      <c r="AP1780" t="s">
        <v>53</v>
      </c>
      <c r="AQ1780">
        <v>0</v>
      </c>
      <c r="AR1780" t="s">
        <v>53</v>
      </c>
      <c r="AS1780">
        <v>0</v>
      </c>
      <c r="AT1780">
        <v>0</v>
      </c>
      <c r="AW1780" t="s">
        <v>58</v>
      </c>
      <c r="AX1780">
        <v>20</v>
      </c>
      <c r="AY1780" s="1">
        <v>33192</v>
      </c>
      <c r="AZ1780" s="1">
        <v>33192</v>
      </c>
      <c r="BA1780" s="1">
        <v>33192</v>
      </c>
      <c r="BB1780" s="1">
        <v>40497</v>
      </c>
      <c r="BC1780" t="s">
        <v>51</v>
      </c>
      <c r="BE1780" t="s">
        <v>54</v>
      </c>
      <c r="BF1780">
        <v>2</v>
      </c>
      <c r="BG1780">
        <v>0</v>
      </c>
      <c r="BH1780" t="s">
        <v>53</v>
      </c>
      <c r="BK1780" t="s">
        <v>720</v>
      </c>
      <c r="BL1780">
        <v>17000</v>
      </c>
      <c r="BM1780" s="1">
        <v>43767</v>
      </c>
      <c r="BN1780" s="1">
        <v>43767</v>
      </c>
      <c r="BO1780" s="1">
        <v>43767</v>
      </c>
      <c r="BP1780" s="1">
        <v>45208</v>
      </c>
      <c r="BQ1780" t="s">
        <v>51</v>
      </c>
      <c r="BS1780" t="s">
        <v>60</v>
      </c>
      <c r="BT1780" t="s">
        <v>54</v>
      </c>
      <c r="BU1780" t="s">
        <v>721</v>
      </c>
      <c r="BV1780" t="s">
        <v>722</v>
      </c>
      <c r="BX1780">
        <v>18</v>
      </c>
      <c r="BY1780">
        <v>0</v>
      </c>
      <c r="BZ1780">
        <v>0</v>
      </c>
    </row>
    <row r="1781" spans="1:78" x14ac:dyDescent="0.2">
      <c r="A1781" t="s">
        <v>367</v>
      </c>
      <c r="B1781" t="s">
        <v>440</v>
      </c>
      <c r="C1781" t="s">
        <v>441</v>
      </c>
      <c r="D1781" t="s">
        <v>893</v>
      </c>
      <c r="F1781" t="str">
        <f>"75719"</f>
        <v>75719</v>
      </c>
      <c r="G1781" t="s">
        <v>49</v>
      </c>
      <c r="H1781" t="s">
        <v>898</v>
      </c>
      <c r="K1781" t="s">
        <v>51</v>
      </c>
      <c r="L1781" t="s">
        <v>52</v>
      </c>
      <c r="M1781">
        <v>134513.32</v>
      </c>
      <c r="N1781">
        <v>468883.08</v>
      </c>
      <c r="O1781" t="s">
        <v>53</v>
      </c>
      <c r="P1781" t="s">
        <v>54</v>
      </c>
      <c r="Q1781" t="s">
        <v>55</v>
      </c>
      <c r="T1781" t="s">
        <v>818</v>
      </c>
      <c r="U1781">
        <v>40</v>
      </c>
      <c r="V1781" s="1">
        <v>33192</v>
      </c>
      <c r="W1781" s="1">
        <v>33192</v>
      </c>
      <c r="X1781" s="1">
        <v>33192</v>
      </c>
      <c r="Y1781" s="1">
        <v>47802</v>
      </c>
      <c r="Z1781" t="s">
        <v>51</v>
      </c>
      <c r="AB1781" t="s">
        <v>54</v>
      </c>
      <c r="AC1781">
        <v>1</v>
      </c>
      <c r="AE1781" t="s">
        <v>827</v>
      </c>
      <c r="AF1781">
        <v>20</v>
      </c>
      <c r="AG1781" s="1">
        <v>33192</v>
      </c>
      <c r="AH1781" s="1">
        <v>33192</v>
      </c>
      <c r="AI1781" s="1">
        <v>33192</v>
      </c>
      <c r="AJ1781" s="1">
        <v>40497</v>
      </c>
      <c r="AK1781" t="s">
        <v>51</v>
      </c>
      <c r="AN1781">
        <v>0</v>
      </c>
      <c r="AO1781" t="s">
        <v>54</v>
      </c>
      <c r="AP1781" t="s">
        <v>53</v>
      </c>
      <c r="AQ1781">
        <v>0</v>
      </c>
      <c r="AR1781" t="s">
        <v>53</v>
      </c>
      <c r="AS1781">
        <v>0</v>
      </c>
      <c r="AT1781">
        <v>0</v>
      </c>
      <c r="AW1781" t="s">
        <v>58</v>
      </c>
      <c r="AX1781">
        <v>20</v>
      </c>
      <c r="AY1781" s="1">
        <v>33192</v>
      </c>
      <c r="AZ1781" s="1">
        <v>33192</v>
      </c>
      <c r="BA1781" s="1">
        <v>33192</v>
      </c>
      <c r="BB1781" s="1">
        <v>40497</v>
      </c>
      <c r="BC1781" t="s">
        <v>51</v>
      </c>
      <c r="BE1781" t="s">
        <v>54</v>
      </c>
      <c r="BF1781">
        <v>2</v>
      </c>
      <c r="BG1781">
        <v>0</v>
      </c>
      <c r="BH1781" t="s">
        <v>53</v>
      </c>
      <c r="BK1781" t="s">
        <v>720</v>
      </c>
      <c r="BL1781">
        <v>17000</v>
      </c>
      <c r="BM1781" s="1">
        <v>43838</v>
      </c>
      <c r="BN1781" s="1">
        <v>43838</v>
      </c>
      <c r="BO1781" s="1">
        <v>43838</v>
      </c>
      <c r="BP1781" s="1">
        <v>45280</v>
      </c>
      <c r="BQ1781" t="s">
        <v>51</v>
      </c>
      <c r="BS1781" t="s">
        <v>60</v>
      </c>
      <c r="BT1781" t="s">
        <v>54</v>
      </c>
      <c r="BU1781" t="s">
        <v>721</v>
      </c>
      <c r="BV1781" t="s">
        <v>722</v>
      </c>
      <c r="BX1781">
        <v>18</v>
      </c>
      <c r="BY1781">
        <v>0</v>
      </c>
      <c r="BZ1781">
        <v>0</v>
      </c>
    </row>
    <row r="1782" spans="1:78" x14ac:dyDescent="0.2">
      <c r="A1782" t="s">
        <v>367</v>
      </c>
      <c r="B1782" t="s">
        <v>440</v>
      </c>
      <c r="C1782" t="s">
        <v>441</v>
      </c>
      <c r="D1782" t="s">
        <v>893</v>
      </c>
      <c r="F1782" t="str">
        <f>"75720"</f>
        <v>75720</v>
      </c>
      <c r="G1782" t="s">
        <v>49</v>
      </c>
      <c r="H1782" t="s">
        <v>899</v>
      </c>
      <c r="K1782" t="s">
        <v>51</v>
      </c>
      <c r="L1782" t="s">
        <v>52</v>
      </c>
      <c r="M1782">
        <v>134518.07</v>
      </c>
      <c r="N1782">
        <v>468867.47</v>
      </c>
      <c r="O1782" t="s">
        <v>53</v>
      </c>
      <c r="P1782" t="s">
        <v>54</v>
      </c>
      <c r="Q1782" t="s">
        <v>55</v>
      </c>
      <c r="T1782" t="s">
        <v>818</v>
      </c>
      <c r="U1782">
        <v>40</v>
      </c>
      <c r="V1782" s="1">
        <v>33192</v>
      </c>
      <c r="W1782" s="1">
        <v>33192</v>
      </c>
      <c r="X1782" s="1">
        <v>33192</v>
      </c>
      <c r="Y1782" s="1">
        <v>47802</v>
      </c>
      <c r="Z1782" t="s">
        <v>51</v>
      </c>
      <c r="AB1782" t="s">
        <v>54</v>
      </c>
      <c r="AC1782">
        <v>1</v>
      </c>
      <c r="AE1782" t="s">
        <v>827</v>
      </c>
      <c r="AF1782">
        <v>20</v>
      </c>
      <c r="AG1782" s="1">
        <v>33192</v>
      </c>
      <c r="AH1782" s="1">
        <v>33192</v>
      </c>
      <c r="AI1782" s="1">
        <v>33192</v>
      </c>
      <c r="AJ1782" s="1">
        <v>40497</v>
      </c>
      <c r="AK1782" t="s">
        <v>51</v>
      </c>
      <c r="AN1782">
        <v>0</v>
      </c>
      <c r="AO1782" t="s">
        <v>54</v>
      </c>
      <c r="AP1782" t="s">
        <v>53</v>
      </c>
      <c r="AQ1782">
        <v>0</v>
      </c>
      <c r="AR1782" t="s">
        <v>53</v>
      </c>
      <c r="AS1782">
        <v>0</v>
      </c>
      <c r="AT1782">
        <v>0</v>
      </c>
      <c r="AW1782" t="s">
        <v>58</v>
      </c>
      <c r="AX1782">
        <v>20</v>
      </c>
      <c r="AY1782" s="1">
        <v>33192</v>
      </c>
      <c r="AZ1782" s="1">
        <v>33192</v>
      </c>
      <c r="BA1782" s="1">
        <v>33192</v>
      </c>
      <c r="BB1782" s="1">
        <v>40497</v>
      </c>
      <c r="BC1782" t="s">
        <v>51</v>
      </c>
      <c r="BE1782" t="s">
        <v>54</v>
      </c>
      <c r="BF1782">
        <v>2</v>
      </c>
      <c r="BG1782">
        <v>0</v>
      </c>
      <c r="BH1782" t="s">
        <v>53</v>
      </c>
      <c r="BK1782" t="s">
        <v>720</v>
      </c>
      <c r="BL1782">
        <v>17000</v>
      </c>
      <c r="BM1782" s="1">
        <v>44844</v>
      </c>
      <c r="BN1782" s="1">
        <v>44844</v>
      </c>
      <c r="BO1782" s="1">
        <v>44844</v>
      </c>
      <c r="BP1782" s="1">
        <v>46282</v>
      </c>
      <c r="BQ1782" t="s">
        <v>51</v>
      </c>
      <c r="BS1782" t="s">
        <v>60</v>
      </c>
      <c r="BT1782" t="s">
        <v>54</v>
      </c>
      <c r="BU1782" t="s">
        <v>721</v>
      </c>
      <c r="BV1782" t="s">
        <v>722</v>
      </c>
      <c r="BX1782">
        <v>18</v>
      </c>
      <c r="BY1782">
        <v>0</v>
      </c>
      <c r="BZ1782">
        <v>0</v>
      </c>
    </row>
    <row r="1783" spans="1:78" x14ac:dyDescent="0.2">
      <c r="A1783" t="s">
        <v>367</v>
      </c>
      <c r="B1783" t="s">
        <v>440</v>
      </c>
      <c r="C1783" t="s">
        <v>441</v>
      </c>
      <c r="D1783" t="s">
        <v>893</v>
      </c>
      <c r="F1783" t="str">
        <f>"75721"</f>
        <v>75721</v>
      </c>
      <c r="G1783" t="s">
        <v>49</v>
      </c>
      <c r="H1783" t="s">
        <v>900</v>
      </c>
      <c r="K1783" t="s">
        <v>51</v>
      </c>
      <c r="L1783" t="s">
        <v>52</v>
      </c>
      <c r="M1783">
        <v>134508.26</v>
      </c>
      <c r="N1783">
        <v>468856.6</v>
      </c>
      <c r="O1783" t="s">
        <v>53</v>
      </c>
      <c r="P1783" t="s">
        <v>54</v>
      </c>
      <c r="Q1783" t="s">
        <v>55</v>
      </c>
      <c r="T1783" t="s">
        <v>818</v>
      </c>
      <c r="U1783">
        <v>40</v>
      </c>
      <c r="V1783" s="1">
        <v>33192</v>
      </c>
      <c r="W1783" s="1">
        <v>33192</v>
      </c>
      <c r="X1783" s="1">
        <v>33192</v>
      </c>
      <c r="Y1783" s="1">
        <v>47802</v>
      </c>
      <c r="Z1783" t="s">
        <v>51</v>
      </c>
      <c r="AB1783" t="s">
        <v>54</v>
      </c>
      <c r="AC1783">
        <v>1</v>
      </c>
      <c r="AE1783" t="s">
        <v>827</v>
      </c>
      <c r="AF1783">
        <v>20</v>
      </c>
      <c r="AG1783" s="1">
        <v>33192</v>
      </c>
      <c r="AH1783" s="1">
        <v>33192</v>
      </c>
      <c r="AI1783" s="1">
        <v>33192</v>
      </c>
      <c r="AJ1783" s="1">
        <v>40497</v>
      </c>
      <c r="AK1783" t="s">
        <v>51</v>
      </c>
      <c r="AN1783">
        <v>0</v>
      </c>
      <c r="AO1783" t="s">
        <v>54</v>
      </c>
      <c r="AP1783" t="s">
        <v>53</v>
      </c>
      <c r="AQ1783">
        <v>0</v>
      </c>
      <c r="AR1783" t="s">
        <v>53</v>
      </c>
      <c r="AS1783">
        <v>0</v>
      </c>
      <c r="AT1783">
        <v>0</v>
      </c>
      <c r="AW1783" t="s">
        <v>58</v>
      </c>
      <c r="AX1783">
        <v>20</v>
      </c>
      <c r="AY1783" s="1">
        <v>33192</v>
      </c>
      <c r="AZ1783" s="1">
        <v>33192</v>
      </c>
      <c r="BA1783" s="1">
        <v>33192</v>
      </c>
      <c r="BB1783" s="1">
        <v>40497</v>
      </c>
      <c r="BC1783" t="s">
        <v>51</v>
      </c>
      <c r="BE1783" t="s">
        <v>54</v>
      </c>
      <c r="BF1783">
        <v>2</v>
      </c>
      <c r="BG1783">
        <v>0</v>
      </c>
      <c r="BH1783" t="s">
        <v>53</v>
      </c>
      <c r="BK1783" t="s">
        <v>720</v>
      </c>
      <c r="BL1783">
        <v>17000</v>
      </c>
      <c r="BM1783" s="1">
        <v>44908</v>
      </c>
      <c r="BN1783" s="1">
        <v>44908</v>
      </c>
      <c r="BO1783" s="1">
        <v>44908</v>
      </c>
      <c r="BP1783" s="1">
        <v>46350</v>
      </c>
      <c r="BQ1783" t="s">
        <v>51</v>
      </c>
      <c r="BS1783" t="s">
        <v>60</v>
      </c>
      <c r="BT1783" t="s">
        <v>54</v>
      </c>
      <c r="BU1783" t="s">
        <v>721</v>
      </c>
      <c r="BV1783" t="s">
        <v>722</v>
      </c>
      <c r="BX1783">
        <v>18</v>
      </c>
      <c r="BY1783">
        <v>0</v>
      </c>
      <c r="BZ1783">
        <v>0</v>
      </c>
    </row>
    <row r="1784" spans="1:78" x14ac:dyDescent="0.2">
      <c r="A1784" t="s">
        <v>367</v>
      </c>
      <c r="B1784" t="s">
        <v>440</v>
      </c>
      <c r="C1784" t="s">
        <v>441</v>
      </c>
      <c r="D1784" t="s">
        <v>823</v>
      </c>
      <c r="F1784" t="str">
        <f>"75723"</f>
        <v>75723</v>
      </c>
      <c r="G1784" t="s">
        <v>49</v>
      </c>
      <c r="H1784" t="s">
        <v>901</v>
      </c>
      <c r="K1784" t="s">
        <v>51</v>
      </c>
      <c r="L1784" t="s">
        <v>52</v>
      </c>
      <c r="M1784">
        <v>134474.81</v>
      </c>
      <c r="N1784">
        <v>468857.73</v>
      </c>
      <c r="O1784" t="s">
        <v>53</v>
      </c>
      <c r="P1784" t="s">
        <v>54</v>
      </c>
      <c r="Q1784" t="s">
        <v>55</v>
      </c>
      <c r="T1784" t="s">
        <v>818</v>
      </c>
      <c r="U1784">
        <v>40</v>
      </c>
      <c r="V1784" s="1">
        <v>33192</v>
      </c>
      <c r="W1784" s="1">
        <v>33192</v>
      </c>
      <c r="X1784" s="1">
        <v>33192</v>
      </c>
      <c r="Y1784" s="1">
        <v>47802</v>
      </c>
      <c r="Z1784" t="s">
        <v>51</v>
      </c>
      <c r="AB1784" t="s">
        <v>54</v>
      </c>
      <c r="AC1784">
        <v>1</v>
      </c>
      <c r="AE1784" t="s">
        <v>827</v>
      </c>
      <c r="AF1784">
        <v>20</v>
      </c>
      <c r="AG1784" s="1">
        <v>33863</v>
      </c>
      <c r="AH1784" s="1">
        <v>33863</v>
      </c>
      <c r="AI1784" s="1">
        <v>33863</v>
      </c>
      <c r="AJ1784" s="1">
        <v>41168</v>
      </c>
      <c r="AK1784" t="s">
        <v>51</v>
      </c>
      <c r="AN1784">
        <v>0</v>
      </c>
      <c r="AO1784" t="s">
        <v>54</v>
      </c>
      <c r="AP1784" t="s">
        <v>53</v>
      </c>
      <c r="AQ1784">
        <v>0</v>
      </c>
      <c r="AR1784" t="s">
        <v>53</v>
      </c>
      <c r="AS1784">
        <v>0</v>
      </c>
      <c r="AT1784">
        <v>0</v>
      </c>
      <c r="AW1784" t="s">
        <v>58</v>
      </c>
      <c r="AX1784">
        <v>20</v>
      </c>
      <c r="AY1784" s="1">
        <v>33863</v>
      </c>
      <c r="AZ1784" s="1">
        <v>33863</v>
      </c>
      <c r="BA1784" s="1">
        <v>33863</v>
      </c>
      <c r="BB1784" s="1">
        <v>41168</v>
      </c>
      <c r="BC1784" t="s">
        <v>51</v>
      </c>
      <c r="BE1784" t="s">
        <v>54</v>
      </c>
      <c r="BF1784">
        <v>2</v>
      </c>
      <c r="BG1784">
        <v>0</v>
      </c>
      <c r="BH1784" t="s">
        <v>53</v>
      </c>
      <c r="BK1784" t="s">
        <v>720</v>
      </c>
      <c r="BL1784">
        <v>17000</v>
      </c>
      <c r="BM1784" s="1">
        <v>43850</v>
      </c>
      <c r="BN1784" s="1">
        <v>43850</v>
      </c>
      <c r="BO1784" s="1">
        <v>43850</v>
      </c>
      <c r="BP1784" s="1">
        <v>45293</v>
      </c>
      <c r="BQ1784" t="s">
        <v>51</v>
      </c>
      <c r="BS1784" t="s">
        <v>60</v>
      </c>
      <c r="BT1784" t="s">
        <v>54</v>
      </c>
      <c r="BU1784" t="s">
        <v>721</v>
      </c>
      <c r="BV1784" t="s">
        <v>722</v>
      </c>
      <c r="BX1784">
        <v>18</v>
      </c>
      <c r="BY1784">
        <v>0</v>
      </c>
      <c r="BZ1784">
        <v>0</v>
      </c>
    </row>
    <row r="1785" spans="1:78" x14ac:dyDescent="0.2">
      <c r="A1785" t="s">
        <v>367</v>
      </c>
      <c r="B1785" t="s">
        <v>440</v>
      </c>
      <c r="C1785" t="s">
        <v>441</v>
      </c>
      <c r="D1785" t="s">
        <v>823</v>
      </c>
      <c r="F1785" t="str">
        <f>"75724"</f>
        <v>75724</v>
      </c>
      <c r="G1785" t="s">
        <v>49</v>
      </c>
      <c r="H1785" t="s">
        <v>902</v>
      </c>
      <c r="K1785" t="s">
        <v>51</v>
      </c>
      <c r="L1785" t="s">
        <v>52</v>
      </c>
      <c r="M1785">
        <v>134465.18</v>
      </c>
      <c r="N1785">
        <v>468858</v>
      </c>
      <c r="O1785" t="s">
        <v>53</v>
      </c>
      <c r="P1785" t="s">
        <v>54</v>
      </c>
      <c r="Q1785" t="s">
        <v>55</v>
      </c>
      <c r="T1785" t="s">
        <v>818</v>
      </c>
      <c r="U1785">
        <v>40</v>
      </c>
      <c r="V1785" s="1">
        <v>33192</v>
      </c>
      <c r="W1785" s="1">
        <v>33192</v>
      </c>
      <c r="X1785" s="1">
        <v>33192</v>
      </c>
      <c r="Y1785" s="1">
        <v>47802</v>
      </c>
      <c r="Z1785" t="s">
        <v>51</v>
      </c>
      <c r="AB1785" t="s">
        <v>54</v>
      </c>
      <c r="AC1785">
        <v>1</v>
      </c>
      <c r="AE1785" t="s">
        <v>827</v>
      </c>
      <c r="AF1785">
        <v>20</v>
      </c>
      <c r="AG1785" s="1">
        <v>33192</v>
      </c>
      <c r="AH1785" s="1">
        <v>33192</v>
      </c>
      <c r="AI1785" s="1">
        <v>33192</v>
      </c>
      <c r="AJ1785" s="1">
        <v>40497</v>
      </c>
      <c r="AK1785" t="s">
        <v>51</v>
      </c>
      <c r="AN1785">
        <v>0</v>
      </c>
      <c r="AO1785" t="s">
        <v>54</v>
      </c>
      <c r="AP1785" t="s">
        <v>53</v>
      </c>
      <c r="AQ1785">
        <v>0</v>
      </c>
      <c r="AR1785" t="s">
        <v>53</v>
      </c>
      <c r="AS1785">
        <v>0</v>
      </c>
      <c r="AT1785">
        <v>0</v>
      </c>
      <c r="AW1785" t="s">
        <v>58</v>
      </c>
      <c r="AX1785">
        <v>20</v>
      </c>
      <c r="AY1785" s="1">
        <v>33192</v>
      </c>
      <c r="AZ1785" s="1">
        <v>33192</v>
      </c>
      <c r="BA1785" s="1">
        <v>33192</v>
      </c>
      <c r="BB1785" s="1">
        <v>40497</v>
      </c>
      <c r="BC1785" t="s">
        <v>51</v>
      </c>
      <c r="BE1785" t="s">
        <v>54</v>
      </c>
      <c r="BF1785">
        <v>2</v>
      </c>
      <c r="BG1785">
        <v>0</v>
      </c>
      <c r="BH1785" t="s">
        <v>53</v>
      </c>
      <c r="BK1785" t="s">
        <v>720</v>
      </c>
      <c r="BL1785">
        <v>17000</v>
      </c>
      <c r="BM1785" s="1">
        <v>43850</v>
      </c>
      <c r="BN1785" s="1">
        <v>43850</v>
      </c>
      <c r="BO1785" s="1">
        <v>43850</v>
      </c>
      <c r="BP1785" s="1">
        <v>45293</v>
      </c>
      <c r="BQ1785" t="s">
        <v>51</v>
      </c>
      <c r="BS1785" t="s">
        <v>60</v>
      </c>
      <c r="BT1785" t="s">
        <v>54</v>
      </c>
      <c r="BU1785" t="s">
        <v>721</v>
      </c>
      <c r="BV1785" t="s">
        <v>722</v>
      </c>
      <c r="BX1785">
        <v>18</v>
      </c>
      <c r="BY1785">
        <v>0</v>
      </c>
      <c r="BZ1785">
        <v>0</v>
      </c>
    </row>
    <row r="1786" spans="1:78" x14ac:dyDescent="0.2">
      <c r="A1786" t="s">
        <v>367</v>
      </c>
      <c r="B1786" t="s">
        <v>440</v>
      </c>
      <c r="C1786" t="s">
        <v>441</v>
      </c>
      <c r="D1786" t="s">
        <v>823</v>
      </c>
      <c r="F1786" t="str">
        <f>"75725"</f>
        <v>75725</v>
      </c>
      <c r="G1786" t="s">
        <v>49</v>
      </c>
      <c r="H1786" t="s">
        <v>903</v>
      </c>
      <c r="K1786" t="s">
        <v>51</v>
      </c>
      <c r="L1786" t="s">
        <v>52</v>
      </c>
      <c r="M1786">
        <v>134449.95000000001</v>
      </c>
      <c r="N1786">
        <v>468861.39</v>
      </c>
      <c r="O1786" t="s">
        <v>53</v>
      </c>
      <c r="P1786" t="s">
        <v>54</v>
      </c>
      <c r="Q1786" t="s">
        <v>55</v>
      </c>
      <c r="T1786" t="s">
        <v>818</v>
      </c>
      <c r="U1786">
        <v>40</v>
      </c>
      <c r="V1786" s="1">
        <v>33192</v>
      </c>
      <c r="W1786" s="1">
        <v>33192</v>
      </c>
      <c r="X1786" s="1">
        <v>33192</v>
      </c>
      <c r="Y1786" s="1">
        <v>47802</v>
      </c>
      <c r="Z1786" t="s">
        <v>51</v>
      </c>
      <c r="AB1786" t="s">
        <v>54</v>
      </c>
      <c r="AC1786">
        <v>1</v>
      </c>
      <c r="AE1786" t="s">
        <v>827</v>
      </c>
      <c r="AF1786">
        <v>20</v>
      </c>
      <c r="AG1786" s="1">
        <v>33192</v>
      </c>
      <c r="AH1786" s="1">
        <v>33192</v>
      </c>
      <c r="AI1786" s="1">
        <v>33192</v>
      </c>
      <c r="AJ1786" s="1">
        <v>40497</v>
      </c>
      <c r="AK1786" t="s">
        <v>51</v>
      </c>
      <c r="AN1786">
        <v>0</v>
      </c>
      <c r="AO1786" t="s">
        <v>54</v>
      </c>
      <c r="AP1786" t="s">
        <v>53</v>
      </c>
      <c r="AQ1786">
        <v>0</v>
      </c>
      <c r="AR1786" t="s">
        <v>53</v>
      </c>
      <c r="AS1786">
        <v>0</v>
      </c>
      <c r="AT1786">
        <v>0</v>
      </c>
      <c r="AW1786" t="s">
        <v>58</v>
      </c>
      <c r="AX1786">
        <v>20</v>
      </c>
      <c r="AY1786" s="1">
        <v>33192</v>
      </c>
      <c r="AZ1786" s="1">
        <v>33192</v>
      </c>
      <c r="BA1786" s="1">
        <v>33192</v>
      </c>
      <c r="BB1786" s="1">
        <v>40497</v>
      </c>
      <c r="BC1786" t="s">
        <v>51</v>
      </c>
      <c r="BE1786" t="s">
        <v>54</v>
      </c>
      <c r="BF1786">
        <v>2</v>
      </c>
      <c r="BG1786">
        <v>0</v>
      </c>
      <c r="BH1786" t="s">
        <v>53</v>
      </c>
      <c r="BK1786" t="s">
        <v>720</v>
      </c>
      <c r="BL1786">
        <v>17000</v>
      </c>
      <c r="BM1786" s="1">
        <v>43774</v>
      </c>
      <c r="BN1786" s="1">
        <v>43774</v>
      </c>
      <c r="BO1786" s="1">
        <v>43774</v>
      </c>
      <c r="BP1786" s="1">
        <v>45214</v>
      </c>
      <c r="BQ1786" t="s">
        <v>51</v>
      </c>
      <c r="BS1786" t="s">
        <v>60</v>
      </c>
      <c r="BT1786" t="s">
        <v>54</v>
      </c>
      <c r="BU1786" t="s">
        <v>721</v>
      </c>
      <c r="BV1786" t="s">
        <v>722</v>
      </c>
      <c r="BX1786">
        <v>18</v>
      </c>
      <c r="BY1786">
        <v>0</v>
      </c>
      <c r="BZ1786">
        <v>0</v>
      </c>
    </row>
    <row r="1787" spans="1:78" x14ac:dyDescent="0.2">
      <c r="A1787" t="s">
        <v>367</v>
      </c>
      <c r="B1787" t="s">
        <v>440</v>
      </c>
      <c r="C1787" t="s">
        <v>441</v>
      </c>
      <c r="D1787" t="s">
        <v>893</v>
      </c>
      <c r="F1787" t="str">
        <f>"75726"</f>
        <v>75726</v>
      </c>
      <c r="G1787" t="s">
        <v>49</v>
      </c>
      <c r="H1787" t="s">
        <v>904</v>
      </c>
      <c r="K1787" t="s">
        <v>51</v>
      </c>
      <c r="L1787" t="s">
        <v>52</v>
      </c>
      <c r="M1787">
        <v>134499.85</v>
      </c>
      <c r="N1787">
        <v>468805.76</v>
      </c>
      <c r="O1787" t="s">
        <v>53</v>
      </c>
      <c r="P1787" t="s">
        <v>54</v>
      </c>
      <c r="Q1787" t="s">
        <v>55</v>
      </c>
      <c r="T1787" t="s">
        <v>818</v>
      </c>
      <c r="U1787">
        <v>40</v>
      </c>
      <c r="V1787" s="1">
        <v>33192</v>
      </c>
      <c r="W1787" s="1">
        <v>33192</v>
      </c>
      <c r="X1787" s="1">
        <v>33192</v>
      </c>
      <c r="Y1787" s="1">
        <v>47802</v>
      </c>
      <c r="Z1787" t="s">
        <v>51</v>
      </c>
      <c r="AB1787" t="s">
        <v>54</v>
      </c>
      <c r="AC1787">
        <v>1</v>
      </c>
      <c r="AE1787" t="s">
        <v>827</v>
      </c>
      <c r="AF1787">
        <v>20</v>
      </c>
      <c r="AG1787" s="1">
        <v>33192</v>
      </c>
      <c r="AH1787" s="1">
        <v>33192</v>
      </c>
      <c r="AI1787" s="1">
        <v>33192</v>
      </c>
      <c r="AJ1787" s="1">
        <v>40497</v>
      </c>
      <c r="AK1787" t="s">
        <v>51</v>
      </c>
      <c r="AN1787">
        <v>0</v>
      </c>
      <c r="AO1787" t="s">
        <v>54</v>
      </c>
      <c r="AP1787" t="s">
        <v>53</v>
      </c>
      <c r="AQ1787">
        <v>0</v>
      </c>
      <c r="AR1787" t="s">
        <v>53</v>
      </c>
      <c r="AS1787">
        <v>0</v>
      </c>
      <c r="AT1787">
        <v>0</v>
      </c>
      <c r="AW1787" t="s">
        <v>58</v>
      </c>
      <c r="AX1787">
        <v>20</v>
      </c>
      <c r="AY1787" s="1">
        <v>33192</v>
      </c>
      <c r="AZ1787" s="1">
        <v>33192</v>
      </c>
      <c r="BA1787" s="1">
        <v>33192</v>
      </c>
      <c r="BB1787" s="1">
        <v>40497</v>
      </c>
      <c r="BC1787" t="s">
        <v>51</v>
      </c>
      <c r="BE1787" t="s">
        <v>54</v>
      </c>
      <c r="BF1787">
        <v>2</v>
      </c>
      <c r="BG1787">
        <v>0</v>
      </c>
      <c r="BH1787" t="s">
        <v>53</v>
      </c>
      <c r="BK1787" t="s">
        <v>720</v>
      </c>
      <c r="BL1787">
        <v>17000</v>
      </c>
      <c r="BM1787" s="1">
        <v>44725</v>
      </c>
      <c r="BN1787" s="1">
        <v>44725</v>
      </c>
      <c r="BO1787" s="1">
        <v>44725</v>
      </c>
      <c r="BP1787" s="1">
        <v>46149</v>
      </c>
      <c r="BQ1787" t="s">
        <v>51</v>
      </c>
      <c r="BS1787" t="s">
        <v>60</v>
      </c>
      <c r="BT1787" t="s">
        <v>54</v>
      </c>
      <c r="BU1787" t="s">
        <v>721</v>
      </c>
      <c r="BV1787" t="s">
        <v>722</v>
      </c>
      <c r="BX1787">
        <v>18</v>
      </c>
      <c r="BY1787">
        <v>0</v>
      </c>
      <c r="BZ1787">
        <v>0</v>
      </c>
    </row>
    <row r="1788" spans="1:78" x14ac:dyDescent="0.2">
      <c r="A1788" t="s">
        <v>367</v>
      </c>
      <c r="B1788" t="s">
        <v>440</v>
      </c>
      <c r="C1788" t="s">
        <v>441</v>
      </c>
      <c r="D1788" t="s">
        <v>893</v>
      </c>
      <c r="F1788" t="str">
        <f>"75727"</f>
        <v>75727</v>
      </c>
      <c r="G1788" t="s">
        <v>49</v>
      </c>
      <c r="H1788" t="s">
        <v>905</v>
      </c>
      <c r="K1788" t="s">
        <v>51</v>
      </c>
      <c r="L1788" t="s">
        <v>52</v>
      </c>
      <c r="M1788">
        <v>134501.03</v>
      </c>
      <c r="N1788">
        <v>468815.28</v>
      </c>
      <c r="O1788" t="s">
        <v>53</v>
      </c>
      <c r="P1788" t="s">
        <v>54</v>
      </c>
      <c r="Q1788" t="s">
        <v>55</v>
      </c>
      <c r="T1788" t="s">
        <v>818</v>
      </c>
      <c r="U1788">
        <v>40</v>
      </c>
      <c r="V1788" s="1">
        <v>33192</v>
      </c>
      <c r="W1788" s="1">
        <v>33192</v>
      </c>
      <c r="X1788" s="1">
        <v>33192</v>
      </c>
      <c r="Y1788" s="1">
        <v>47802</v>
      </c>
      <c r="Z1788" t="s">
        <v>51</v>
      </c>
      <c r="AB1788" t="s">
        <v>54</v>
      </c>
      <c r="AC1788">
        <v>1</v>
      </c>
      <c r="AE1788" t="s">
        <v>827</v>
      </c>
      <c r="AF1788">
        <v>20</v>
      </c>
      <c r="AG1788" s="1">
        <v>33192</v>
      </c>
      <c r="AH1788" s="1">
        <v>33192</v>
      </c>
      <c r="AI1788" s="1">
        <v>33192</v>
      </c>
      <c r="AJ1788" s="1">
        <v>40497</v>
      </c>
      <c r="AK1788" t="s">
        <v>51</v>
      </c>
      <c r="AN1788">
        <v>0</v>
      </c>
      <c r="AO1788" t="s">
        <v>54</v>
      </c>
      <c r="AP1788" t="s">
        <v>53</v>
      </c>
      <c r="AQ1788">
        <v>0</v>
      </c>
      <c r="AR1788" t="s">
        <v>53</v>
      </c>
      <c r="AS1788">
        <v>0</v>
      </c>
      <c r="AT1788">
        <v>0</v>
      </c>
      <c r="AW1788" t="s">
        <v>58</v>
      </c>
      <c r="AX1788">
        <v>20</v>
      </c>
      <c r="AY1788" s="1">
        <v>33192</v>
      </c>
      <c r="AZ1788" s="1">
        <v>33192</v>
      </c>
      <c r="BA1788" s="1">
        <v>33192</v>
      </c>
      <c r="BB1788" s="1">
        <v>40497</v>
      </c>
      <c r="BC1788" t="s">
        <v>51</v>
      </c>
      <c r="BE1788" t="s">
        <v>54</v>
      </c>
      <c r="BF1788">
        <v>2</v>
      </c>
      <c r="BG1788">
        <v>0</v>
      </c>
      <c r="BH1788" t="s">
        <v>53</v>
      </c>
      <c r="BK1788" t="s">
        <v>720</v>
      </c>
      <c r="BL1788">
        <v>17000</v>
      </c>
      <c r="BM1788" s="1">
        <v>43850</v>
      </c>
      <c r="BN1788" s="1">
        <v>43850</v>
      </c>
      <c r="BO1788" s="1">
        <v>43850</v>
      </c>
      <c r="BP1788" s="1">
        <v>45293</v>
      </c>
      <c r="BQ1788" t="s">
        <v>51</v>
      </c>
      <c r="BS1788" t="s">
        <v>60</v>
      </c>
      <c r="BT1788" t="s">
        <v>54</v>
      </c>
      <c r="BU1788" t="s">
        <v>721</v>
      </c>
      <c r="BV1788" t="s">
        <v>722</v>
      </c>
      <c r="BX1788">
        <v>18</v>
      </c>
      <c r="BY1788">
        <v>0</v>
      </c>
      <c r="BZ1788">
        <v>0</v>
      </c>
    </row>
    <row r="1789" spans="1:78" x14ac:dyDescent="0.2">
      <c r="A1789" t="s">
        <v>367</v>
      </c>
      <c r="B1789" t="s">
        <v>440</v>
      </c>
      <c r="C1789" t="s">
        <v>441</v>
      </c>
      <c r="D1789" t="s">
        <v>893</v>
      </c>
      <c r="F1789" t="str">
        <f>"75728"</f>
        <v>75728</v>
      </c>
      <c r="G1789" t="s">
        <v>49</v>
      </c>
      <c r="H1789" t="s">
        <v>906</v>
      </c>
      <c r="K1789" t="s">
        <v>51</v>
      </c>
      <c r="L1789" t="s">
        <v>52</v>
      </c>
      <c r="M1789">
        <v>134502.53</v>
      </c>
      <c r="N1789">
        <v>468824.97</v>
      </c>
      <c r="O1789" t="s">
        <v>53</v>
      </c>
      <c r="P1789" t="s">
        <v>54</v>
      </c>
      <c r="Q1789" t="s">
        <v>55</v>
      </c>
      <c r="T1789" t="s">
        <v>818</v>
      </c>
      <c r="U1789">
        <v>40</v>
      </c>
      <c r="V1789" s="1">
        <v>33192</v>
      </c>
      <c r="W1789" s="1">
        <v>33192</v>
      </c>
      <c r="X1789" s="1">
        <v>33192</v>
      </c>
      <c r="Y1789" s="1">
        <v>47802</v>
      </c>
      <c r="Z1789" t="s">
        <v>51</v>
      </c>
      <c r="AB1789" t="s">
        <v>54</v>
      </c>
      <c r="AC1789">
        <v>1</v>
      </c>
      <c r="AE1789" t="s">
        <v>827</v>
      </c>
      <c r="AF1789">
        <v>20</v>
      </c>
      <c r="AG1789" s="1">
        <v>38722</v>
      </c>
      <c r="AH1789" s="1">
        <v>38722</v>
      </c>
      <c r="AI1789" s="1">
        <v>38722</v>
      </c>
      <c r="AJ1789" s="1">
        <v>46027</v>
      </c>
      <c r="AK1789" t="s">
        <v>51</v>
      </c>
      <c r="AN1789">
        <v>0</v>
      </c>
      <c r="AO1789" t="s">
        <v>54</v>
      </c>
      <c r="AP1789" t="s">
        <v>53</v>
      </c>
      <c r="AQ1789">
        <v>0</v>
      </c>
      <c r="AR1789" t="s">
        <v>53</v>
      </c>
      <c r="AS1789">
        <v>0</v>
      </c>
      <c r="AT1789">
        <v>0</v>
      </c>
      <c r="AW1789" t="s">
        <v>58</v>
      </c>
      <c r="AX1789">
        <v>20</v>
      </c>
      <c r="AY1789" s="1">
        <v>38722</v>
      </c>
      <c r="AZ1789" s="1">
        <v>38722</v>
      </c>
      <c r="BA1789" s="1">
        <v>38722</v>
      </c>
      <c r="BB1789" s="1">
        <v>46027</v>
      </c>
      <c r="BC1789" t="s">
        <v>51</v>
      </c>
      <c r="BE1789" t="s">
        <v>54</v>
      </c>
      <c r="BF1789">
        <v>2</v>
      </c>
      <c r="BG1789">
        <v>0</v>
      </c>
      <c r="BH1789" t="s">
        <v>53</v>
      </c>
      <c r="BK1789" t="s">
        <v>720</v>
      </c>
      <c r="BL1789">
        <v>17000</v>
      </c>
      <c r="BM1789" s="1">
        <v>43850</v>
      </c>
      <c r="BN1789" s="1">
        <v>43850</v>
      </c>
      <c r="BO1789" s="1">
        <v>43850</v>
      </c>
      <c r="BP1789" s="1">
        <v>45293</v>
      </c>
      <c r="BQ1789" t="s">
        <v>51</v>
      </c>
      <c r="BS1789" t="s">
        <v>60</v>
      </c>
      <c r="BT1789" t="s">
        <v>54</v>
      </c>
      <c r="BU1789" t="s">
        <v>721</v>
      </c>
      <c r="BV1789" t="s">
        <v>722</v>
      </c>
      <c r="BX1789">
        <v>18</v>
      </c>
      <c r="BY1789">
        <v>0</v>
      </c>
      <c r="BZ1789">
        <v>0</v>
      </c>
    </row>
    <row r="1790" spans="1:78" x14ac:dyDescent="0.2">
      <c r="A1790" t="s">
        <v>367</v>
      </c>
      <c r="B1790" t="s">
        <v>440</v>
      </c>
      <c r="C1790" t="s">
        <v>441</v>
      </c>
      <c r="D1790" t="s">
        <v>893</v>
      </c>
      <c r="F1790" t="str">
        <f>"75729"</f>
        <v>75729</v>
      </c>
      <c r="G1790" t="s">
        <v>49</v>
      </c>
      <c r="H1790" t="s">
        <v>907</v>
      </c>
      <c r="K1790" t="s">
        <v>51</v>
      </c>
      <c r="L1790" t="s">
        <v>52</v>
      </c>
      <c r="M1790">
        <v>134505.18</v>
      </c>
      <c r="N1790">
        <v>468840.87</v>
      </c>
      <c r="O1790" t="s">
        <v>53</v>
      </c>
      <c r="P1790" t="s">
        <v>54</v>
      </c>
      <c r="Q1790" t="s">
        <v>55</v>
      </c>
      <c r="T1790" t="s">
        <v>818</v>
      </c>
      <c r="U1790">
        <v>40</v>
      </c>
      <c r="V1790" s="1">
        <v>33192</v>
      </c>
      <c r="W1790" s="1">
        <v>33192</v>
      </c>
      <c r="X1790" s="1">
        <v>33192</v>
      </c>
      <c r="Y1790" s="1">
        <v>47802</v>
      </c>
      <c r="Z1790" t="s">
        <v>51</v>
      </c>
      <c r="AB1790" t="s">
        <v>54</v>
      </c>
      <c r="AC1790">
        <v>1</v>
      </c>
      <c r="AE1790" t="s">
        <v>827</v>
      </c>
      <c r="AF1790">
        <v>20</v>
      </c>
      <c r="AG1790" s="1">
        <v>33192</v>
      </c>
      <c r="AH1790" s="1">
        <v>33192</v>
      </c>
      <c r="AI1790" s="1">
        <v>33192</v>
      </c>
      <c r="AJ1790" s="1">
        <v>40497</v>
      </c>
      <c r="AK1790" t="s">
        <v>51</v>
      </c>
      <c r="AN1790">
        <v>0</v>
      </c>
      <c r="AO1790" t="s">
        <v>54</v>
      </c>
      <c r="AP1790" t="s">
        <v>53</v>
      </c>
      <c r="AQ1790">
        <v>0</v>
      </c>
      <c r="AR1790" t="s">
        <v>53</v>
      </c>
      <c r="AS1790">
        <v>0</v>
      </c>
      <c r="AT1790">
        <v>0</v>
      </c>
      <c r="AW1790" t="s">
        <v>58</v>
      </c>
      <c r="AX1790">
        <v>20</v>
      </c>
      <c r="AY1790" s="1">
        <v>33192</v>
      </c>
      <c r="AZ1790" s="1">
        <v>33192</v>
      </c>
      <c r="BA1790" s="1">
        <v>33192</v>
      </c>
      <c r="BB1790" s="1">
        <v>40497</v>
      </c>
      <c r="BC1790" t="s">
        <v>51</v>
      </c>
      <c r="BE1790" t="s">
        <v>54</v>
      </c>
      <c r="BF1790">
        <v>2</v>
      </c>
      <c r="BG1790">
        <v>0</v>
      </c>
      <c r="BH1790" t="s">
        <v>53</v>
      </c>
      <c r="BK1790" t="s">
        <v>720</v>
      </c>
      <c r="BL1790">
        <v>17000</v>
      </c>
      <c r="BM1790" s="1">
        <v>44908</v>
      </c>
      <c r="BN1790" s="1">
        <v>44908</v>
      </c>
      <c r="BO1790" s="1">
        <v>44908</v>
      </c>
      <c r="BP1790" s="1">
        <v>46350</v>
      </c>
      <c r="BQ1790" t="s">
        <v>51</v>
      </c>
      <c r="BS1790" t="s">
        <v>60</v>
      </c>
      <c r="BT1790" t="s">
        <v>54</v>
      </c>
      <c r="BU1790" t="s">
        <v>721</v>
      </c>
      <c r="BV1790" t="s">
        <v>722</v>
      </c>
      <c r="BX1790">
        <v>18</v>
      </c>
      <c r="BY1790">
        <v>0</v>
      </c>
      <c r="BZ1790">
        <v>0</v>
      </c>
    </row>
    <row r="1791" spans="1:78" x14ac:dyDescent="0.2">
      <c r="A1791" t="s">
        <v>367</v>
      </c>
      <c r="B1791" t="s">
        <v>440</v>
      </c>
      <c r="C1791" t="s">
        <v>441</v>
      </c>
      <c r="D1791" t="s">
        <v>908</v>
      </c>
      <c r="F1791" t="str">
        <f>"76833"</f>
        <v>76833</v>
      </c>
      <c r="G1791" t="s">
        <v>49</v>
      </c>
      <c r="H1791" t="s">
        <v>909</v>
      </c>
      <c r="K1791" t="s">
        <v>51</v>
      </c>
      <c r="L1791" t="s">
        <v>52</v>
      </c>
      <c r="M1791">
        <v>136242.31</v>
      </c>
      <c r="N1791">
        <v>468985.69</v>
      </c>
      <c r="O1791" t="s">
        <v>53</v>
      </c>
      <c r="P1791" t="s">
        <v>54</v>
      </c>
      <c r="Q1791" t="s">
        <v>55</v>
      </c>
      <c r="T1791" t="s">
        <v>841</v>
      </c>
      <c r="U1791">
        <v>40</v>
      </c>
      <c r="V1791" s="1">
        <v>33420</v>
      </c>
      <c r="W1791" s="1">
        <v>33420</v>
      </c>
      <c r="X1791" s="1">
        <v>33420</v>
      </c>
      <c r="Y1791" s="1">
        <v>48030</v>
      </c>
      <c r="Z1791" t="s">
        <v>51</v>
      </c>
      <c r="AB1791" t="s">
        <v>54</v>
      </c>
      <c r="AC1791">
        <v>1</v>
      </c>
      <c r="AE1791" t="s">
        <v>64</v>
      </c>
      <c r="AF1791">
        <v>20</v>
      </c>
      <c r="AG1791" s="1">
        <v>40655</v>
      </c>
      <c r="AH1791" s="1">
        <v>40655</v>
      </c>
      <c r="AI1791" s="1">
        <v>40655</v>
      </c>
      <c r="AJ1791" s="1">
        <v>47960</v>
      </c>
      <c r="AK1791" t="s">
        <v>51</v>
      </c>
      <c r="AN1791">
        <v>0</v>
      </c>
      <c r="AO1791" t="s">
        <v>54</v>
      </c>
      <c r="AP1791" t="s">
        <v>53</v>
      </c>
      <c r="AQ1791">
        <v>0</v>
      </c>
      <c r="AR1791" t="s">
        <v>53</v>
      </c>
      <c r="AS1791">
        <v>0</v>
      </c>
      <c r="AT1791">
        <v>0</v>
      </c>
      <c r="AW1791" t="s">
        <v>58</v>
      </c>
      <c r="AX1791">
        <v>20</v>
      </c>
      <c r="AY1791" s="1">
        <v>40655</v>
      </c>
      <c r="AZ1791" s="1">
        <v>40655</v>
      </c>
      <c r="BA1791" s="1">
        <v>40655</v>
      </c>
      <c r="BB1791" s="1">
        <v>47960</v>
      </c>
      <c r="BC1791" t="s">
        <v>51</v>
      </c>
      <c r="BE1791" t="s">
        <v>54</v>
      </c>
      <c r="BF1791">
        <v>2</v>
      </c>
      <c r="BG1791">
        <v>0</v>
      </c>
      <c r="BH1791" t="s">
        <v>53</v>
      </c>
      <c r="BK1791" t="s">
        <v>65</v>
      </c>
      <c r="BL1791">
        <v>14000</v>
      </c>
      <c r="BM1791" s="1">
        <v>40655</v>
      </c>
      <c r="BN1791" s="1">
        <v>40655</v>
      </c>
      <c r="BO1791" s="1">
        <v>40655</v>
      </c>
      <c r="BP1791" s="1">
        <v>41879</v>
      </c>
      <c r="BQ1791" t="s">
        <v>51</v>
      </c>
      <c r="BS1791" t="s">
        <v>60</v>
      </c>
      <c r="BT1791" t="s">
        <v>54</v>
      </c>
      <c r="BU1791" t="s">
        <v>61</v>
      </c>
      <c r="BV1791" t="s">
        <v>62</v>
      </c>
      <c r="BX1791">
        <v>36</v>
      </c>
      <c r="BY1791">
        <v>0</v>
      </c>
      <c r="BZ1791">
        <v>0</v>
      </c>
    </row>
    <row r="1792" spans="1:78" x14ac:dyDescent="0.2">
      <c r="A1792" t="s">
        <v>367</v>
      </c>
      <c r="B1792" t="s">
        <v>440</v>
      </c>
      <c r="C1792" t="s">
        <v>441</v>
      </c>
      <c r="D1792" t="s">
        <v>908</v>
      </c>
      <c r="F1792" t="str">
        <f>"76834"</f>
        <v>76834</v>
      </c>
      <c r="G1792" t="s">
        <v>49</v>
      </c>
      <c r="H1792" t="s">
        <v>909</v>
      </c>
      <c r="K1792" t="s">
        <v>51</v>
      </c>
      <c r="L1792" t="s">
        <v>52</v>
      </c>
      <c r="M1792">
        <v>136254.34</v>
      </c>
      <c r="N1792">
        <v>469011.76</v>
      </c>
      <c r="O1792" t="s">
        <v>53</v>
      </c>
      <c r="P1792" t="s">
        <v>54</v>
      </c>
      <c r="Q1792" t="s">
        <v>55</v>
      </c>
      <c r="T1792" t="s">
        <v>841</v>
      </c>
      <c r="U1792">
        <v>40</v>
      </c>
      <c r="V1792" s="1">
        <v>33420</v>
      </c>
      <c r="W1792" s="1">
        <v>33420</v>
      </c>
      <c r="X1792" s="1">
        <v>33420</v>
      </c>
      <c r="Y1792" s="1">
        <v>48030</v>
      </c>
      <c r="Z1792" t="s">
        <v>51</v>
      </c>
      <c r="AB1792" t="s">
        <v>54</v>
      </c>
      <c r="AC1792">
        <v>1</v>
      </c>
      <c r="AE1792" t="s">
        <v>64</v>
      </c>
      <c r="AF1792">
        <v>20</v>
      </c>
      <c r="AG1792" s="1">
        <v>40655</v>
      </c>
      <c r="AH1792" s="1">
        <v>40655</v>
      </c>
      <c r="AI1792" s="1">
        <v>40655</v>
      </c>
      <c r="AJ1792" s="1">
        <v>47960</v>
      </c>
      <c r="AK1792" t="s">
        <v>51</v>
      </c>
      <c r="AN1792">
        <v>0</v>
      </c>
      <c r="AO1792" t="s">
        <v>54</v>
      </c>
      <c r="AP1792" t="s">
        <v>53</v>
      </c>
      <c r="AQ1792">
        <v>0</v>
      </c>
      <c r="AR1792" t="s">
        <v>53</v>
      </c>
      <c r="AS1792">
        <v>0</v>
      </c>
      <c r="AT1792">
        <v>0</v>
      </c>
      <c r="AW1792" t="s">
        <v>58</v>
      </c>
      <c r="AX1792">
        <v>20</v>
      </c>
      <c r="AY1792" s="1">
        <v>40655</v>
      </c>
      <c r="AZ1792" s="1">
        <v>40655</v>
      </c>
      <c r="BA1792" s="1">
        <v>40655</v>
      </c>
      <c r="BB1792" s="1">
        <v>47960</v>
      </c>
      <c r="BC1792" t="s">
        <v>51</v>
      </c>
      <c r="BE1792" t="s">
        <v>54</v>
      </c>
      <c r="BF1792">
        <v>2</v>
      </c>
      <c r="BG1792">
        <v>0</v>
      </c>
      <c r="BH1792" t="s">
        <v>53</v>
      </c>
      <c r="BK1792" t="s">
        <v>65</v>
      </c>
      <c r="BL1792">
        <v>14000</v>
      </c>
      <c r="BM1792" s="1">
        <v>40655</v>
      </c>
      <c r="BN1792" s="1">
        <v>40655</v>
      </c>
      <c r="BO1792" s="1">
        <v>40655</v>
      </c>
      <c r="BP1792" s="1">
        <v>41879</v>
      </c>
      <c r="BQ1792" t="s">
        <v>51</v>
      </c>
      <c r="BS1792" t="s">
        <v>60</v>
      </c>
      <c r="BT1792" t="s">
        <v>54</v>
      </c>
      <c r="BU1792" t="s">
        <v>61</v>
      </c>
      <c r="BV1792" t="s">
        <v>62</v>
      </c>
      <c r="BX1792">
        <v>36</v>
      </c>
      <c r="BY1792">
        <v>0</v>
      </c>
      <c r="BZ1792">
        <v>0</v>
      </c>
    </row>
    <row r="1793" spans="1:78" x14ac:dyDescent="0.2">
      <c r="A1793" t="s">
        <v>367</v>
      </c>
      <c r="B1793" t="s">
        <v>440</v>
      </c>
      <c r="C1793" t="s">
        <v>441</v>
      </c>
      <c r="D1793" t="s">
        <v>908</v>
      </c>
      <c r="F1793" t="str">
        <f>"76835"</f>
        <v>76835</v>
      </c>
      <c r="G1793" t="s">
        <v>49</v>
      </c>
      <c r="H1793" t="s">
        <v>910</v>
      </c>
      <c r="K1793" t="s">
        <v>51</v>
      </c>
      <c r="L1793" t="s">
        <v>52</v>
      </c>
      <c r="M1793">
        <v>136268.96</v>
      </c>
      <c r="N1793">
        <v>469042.22</v>
      </c>
      <c r="O1793" t="s">
        <v>53</v>
      </c>
      <c r="P1793" t="s">
        <v>54</v>
      </c>
      <c r="Q1793" t="s">
        <v>55</v>
      </c>
      <c r="T1793" t="s">
        <v>841</v>
      </c>
      <c r="U1793">
        <v>40</v>
      </c>
      <c r="V1793" s="1">
        <v>33420</v>
      </c>
      <c r="W1793" s="1">
        <v>33420</v>
      </c>
      <c r="X1793" s="1">
        <v>33420</v>
      </c>
      <c r="Y1793" s="1">
        <v>48030</v>
      </c>
      <c r="Z1793" t="s">
        <v>51</v>
      </c>
      <c r="AB1793" t="s">
        <v>54</v>
      </c>
      <c r="AC1793">
        <v>1</v>
      </c>
      <c r="AE1793" t="s">
        <v>64</v>
      </c>
      <c r="AF1793">
        <v>20</v>
      </c>
      <c r="AG1793" s="1">
        <v>40655</v>
      </c>
      <c r="AH1793" s="1">
        <v>40655</v>
      </c>
      <c r="AI1793" s="1">
        <v>40655</v>
      </c>
      <c r="AJ1793" s="1">
        <v>47960</v>
      </c>
      <c r="AK1793" t="s">
        <v>51</v>
      </c>
      <c r="AN1793">
        <v>0</v>
      </c>
      <c r="AO1793" t="s">
        <v>54</v>
      </c>
      <c r="AP1793" t="s">
        <v>53</v>
      </c>
      <c r="AQ1793">
        <v>0</v>
      </c>
      <c r="AR1793" t="s">
        <v>53</v>
      </c>
      <c r="AS1793">
        <v>0</v>
      </c>
      <c r="AT1793">
        <v>0</v>
      </c>
      <c r="AW1793" t="s">
        <v>58</v>
      </c>
      <c r="AX1793">
        <v>20</v>
      </c>
      <c r="AY1793" s="1">
        <v>40655</v>
      </c>
      <c r="AZ1793" s="1">
        <v>40655</v>
      </c>
      <c r="BA1793" s="1">
        <v>40655</v>
      </c>
      <c r="BB1793" s="1">
        <v>47960</v>
      </c>
      <c r="BC1793" t="s">
        <v>51</v>
      </c>
      <c r="BE1793" t="s">
        <v>54</v>
      </c>
      <c r="BF1793">
        <v>2</v>
      </c>
      <c r="BG1793">
        <v>0</v>
      </c>
      <c r="BH1793" t="s">
        <v>53</v>
      </c>
      <c r="BK1793" t="s">
        <v>65</v>
      </c>
      <c r="BL1793">
        <v>14000</v>
      </c>
      <c r="BM1793" s="1">
        <v>44908</v>
      </c>
      <c r="BN1793" s="1">
        <v>44908</v>
      </c>
      <c r="BO1793" s="1">
        <v>44908</v>
      </c>
      <c r="BP1793" s="1">
        <v>46068</v>
      </c>
      <c r="BQ1793" t="s">
        <v>51</v>
      </c>
      <c r="BS1793" t="s">
        <v>60</v>
      </c>
      <c r="BT1793" t="s">
        <v>54</v>
      </c>
      <c r="BU1793" t="s">
        <v>61</v>
      </c>
      <c r="BV1793" t="s">
        <v>62</v>
      </c>
      <c r="BX1793">
        <v>36</v>
      </c>
      <c r="BY1793">
        <v>0</v>
      </c>
      <c r="BZ1793">
        <v>0</v>
      </c>
    </row>
    <row r="1794" spans="1:78" x14ac:dyDescent="0.2">
      <c r="A1794" t="s">
        <v>367</v>
      </c>
      <c r="B1794" t="s">
        <v>440</v>
      </c>
      <c r="C1794" t="s">
        <v>441</v>
      </c>
      <c r="D1794" t="s">
        <v>908</v>
      </c>
      <c r="F1794" t="str">
        <f>"76836"</f>
        <v>76836</v>
      </c>
      <c r="G1794" t="s">
        <v>49</v>
      </c>
      <c r="H1794" t="s">
        <v>911</v>
      </c>
      <c r="K1794" t="s">
        <v>51</v>
      </c>
      <c r="L1794" t="s">
        <v>52</v>
      </c>
      <c r="M1794">
        <v>136272.44</v>
      </c>
      <c r="N1794">
        <v>469070.99</v>
      </c>
      <c r="O1794" t="s">
        <v>53</v>
      </c>
      <c r="P1794" t="s">
        <v>54</v>
      </c>
      <c r="Q1794" t="s">
        <v>55</v>
      </c>
      <c r="T1794" t="s">
        <v>841</v>
      </c>
      <c r="U1794">
        <v>40</v>
      </c>
      <c r="V1794" s="1">
        <v>33420</v>
      </c>
      <c r="W1794" s="1">
        <v>33420</v>
      </c>
      <c r="X1794" s="1">
        <v>33420</v>
      </c>
      <c r="Y1794" s="1">
        <v>48030</v>
      </c>
      <c r="Z1794" t="s">
        <v>51</v>
      </c>
      <c r="AB1794" t="s">
        <v>54</v>
      </c>
      <c r="AC1794">
        <v>1</v>
      </c>
      <c r="AE1794" t="s">
        <v>64</v>
      </c>
      <c r="AF1794">
        <v>20</v>
      </c>
      <c r="AG1794" s="1">
        <v>40655</v>
      </c>
      <c r="AH1794" s="1">
        <v>40655</v>
      </c>
      <c r="AI1794" s="1">
        <v>40655</v>
      </c>
      <c r="AJ1794" s="1">
        <v>47960</v>
      </c>
      <c r="AK1794" t="s">
        <v>51</v>
      </c>
      <c r="AN1794">
        <v>0</v>
      </c>
      <c r="AO1794" t="s">
        <v>54</v>
      </c>
      <c r="AP1794" t="s">
        <v>53</v>
      </c>
      <c r="AQ1794">
        <v>0</v>
      </c>
      <c r="AR1794" t="s">
        <v>53</v>
      </c>
      <c r="AS1794">
        <v>0</v>
      </c>
      <c r="AT1794">
        <v>0</v>
      </c>
      <c r="AW1794" t="s">
        <v>58</v>
      </c>
      <c r="AX1794">
        <v>20</v>
      </c>
      <c r="AY1794" s="1">
        <v>40655</v>
      </c>
      <c r="AZ1794" s="1">
        <v>40655</v>
      </c>
      <c r="BA1794" s="1">
        <v>40655</v>
      </c>
      <c r="BB1794" s="1">
        <v>47960</v>
      </c>
      <c r="BC1794" t="s">
        <v>51</v>
      </c>
      <c r="BE1794" t="s">
        <v>54</v>
      </c>
      <c r="BF1794">
        <v>2</v>
      </c>
      <c r="BG1794">
        <v>0</v>
      </c>
      <c r="BH1794" t="s">
        <v>53</v>
      </c>
      <c r="BK1794" t="s">
        <v>65</v>
      </c>
      <c r="BL1794">
        <v>14000</v>
      </c>
      <c r="BM1794" s="1">
        <v>44858</v>
      </c>
      <c r="BN1794" s="1">
        <v>44858</v>
      </c>
      <c r="BO1794" s="1">
        <v>44858</v>
      </c>
      <c r="BP1794" s="1">
        <v>46019</v>
      </c>
      <c r="BQ1794" t="s">
        <v>51</v>
      </c>
      <c r="BS1794" t="s">
        <v>60</v>
      </c>
      <c r="BT1794" t="s">
        <v>54</v>
      </c>
      <c r="BU1794" t="s">
        <v>61</v>
      </c>
      <c r="BV1794" t="s">
        <v>62</v>
      </c>
      <c r="BX1794">
        <v>36</v>
      </c>
      <c r="BY1794">
        <v>0</v>
      </c>
      <c r="BZ1794">
        <v>0</v>
      </c>
    </row>
    <row r="1795" spans="1:78" x14ac:dyDescent="0.2">
      <c r="A1795" t="s">
        <v>367</v>
      </c>
      <c r="B1795" t="s">
        <v>440</v>
      </c>
      <c r="C1795" t="s">
        <v>441</v>
      </c>
      <c r="D1795" t="s">
        <v>908</v>
      </c>
      <c r="F1795" t="str">
        <f>"76837"</f>
        <v>76837</v>
      </c>
      <c r="G1795" t="s">
        <v>49</v>
      </c>
      <c r="H1795" t="s">
        <v>912</v>
      </c>
      <c r="K1795" t="s">
        <v>51</v>
      </c>
      <c r="L1795" t="s">
        <v>52</v>
      </c>
      <c r="M1795">
        <v>136306.03</v>
      </c>
      <c r="N1795">
        <v>469080.93</v>
      </c>
      <c r="O1795" t="s">
        <v>53</v>
      </c>
      <c r="P1795" t="s">
        <v>54</v>
      </c>
      <c r="Q1795" t="s">
        <v>55</v>
      </c>
      <c r="T1795" t="s">
        <v>841</v>
      </c>
      <c r="U1795">
        <v>40</v>
      </c>
      <c r="V1795" s="1">
        <v>33420</v>
      </c>
      <c r="W1795" s="1">
        <v>33420</v>
      </c>
      <c r="X1795" s="1">
        <v>33420</v>
      </c>
      <c r="Y1795" s="1">
        <v>48030</v>
      </c>
      <c r="Z1795" t="s">
        <v>51</v>
      </c>
      <c r="AB1795" t="s">
        <v>54</v>
      </c>
      <c r="AC1795">
        <v>1</v>
      </c>
      <c r="AE1795" t="s">
        <v>64</v>
      </c>
      <c r="AF1795">
        <v>20</v>
      </c>
      <c r="AG1795" s="1">
        <v>40655</v>
      </c>
      <c r="AH1795" s="1">
        <v>40655</v>
      </c>
      <c r="AI1795" s="1">
        <v>40655</v>
      </c>
      <c r="AJ1795" s="1">
        <v>47960</v>
      </c>
      <c r="AK1795" t="s">
        <v>51</v>
      </c>
      <c r="AN1795">
        <v>0</v>
      </c>
      <c r="AO1795" t="s">
        <v>54</v>
      </c>
      <c r="AP1795" t="s">
        <v>53</v>
      </c>
      <c r="AQ1795">
        <v>0</v>
      </c>
      <c r="AR1795" t="s">
        <v>53</v>
      </c>
      <c r="AS1795">
        <v>0</v>
      </c>
      <c r="AT1795">
        <v>0</v>
      </c>
      <c r="AW1795" t="s">
        <v>58</v>
      </c>
      <c r="AX1795">
        <v>20</v>
      </c>
      <c r="AY1795" s="1">
        <v>40655</v>
      </c>
      <c r="AZ1795" s="1">
        <v>40655</v>
      </c>
      <c r="BA1795" s="1">
        <v>40655</v>
      </c>
      <c r="BB1795" s="1">
        <v>47960</v>
      </c>
      <c r="BC1795" t="s">
        <v>51</v>
      </c>
      <c r="BE1795" t="s">
        <v>54</v>
      </c>
      <c r="BF1795">
        <v>2</v>
      </c>
      <c r="BG1795">
        <v>0</v>
      </c>
      <c r="BH1795" t="s">
        <v>53</v>
      </c>
      <c r="BK1795" t="s">
        <v>65</v>
      </c>
      <c r="BL1795">
        <v>14000</v>
      </c>
      <c r="BM1795" s="1">
        <v>44970</v>
      </c>
      <c r="BN1795" s="1">
        <v>44970</v>
      </c>
      <c r="BO1795" s="1">
        <v>44970</v>
      </c>
      <c r="BP1795" s="1">
        <v>46159</v>
      </c>
      <c r="BQ1795" t="s">
        <v>51</v>
      </c>
      <c r="BS1795" t="s">
        <v>60</v>
      </c>
      <c r="BT1795" t="s">
        <v>54</v>
      </c>
      <c r="BU1795" t="s">
        <v>61</v>
      </c>
      <c r="BV1795" t="s">
        <v>62</v>
      </c>
      <c r="BX1795">
        <v>36</v>
      </c>
      <c r="BY1795">
        <v>0</v>
      </c>
      <c r="BZ1795">
        <v>0</v>
      </c>
    </row>
    <row r="1796" spans="1:78" x14ac:dyDescent="0.2">
      <c r="A1796" t="s">
        <v>367</v>
      </c>
      <c r="B1796" t="s">
        <v>440</v>
      </c>
      <c r="C1796" t="s">
        <v>441</v>
      </c>
      <c r="D1796" t="s">
        <v>816</v>
      </c>
      <c r="F1796" t="str">
        <f>"84278"</f>
        <v>84278</v>
      </c>
      <c r="G1796" t="s">
        <v>49</v>
      </c>
      <c r="H1796" t="s">
        <v>913</v>
      </c>
      <c r="K1796" t="s">
        <v>51</v>
      </c>
      <c r="L1796" t="s">
        <v>52</v>
      </c>
      <c r="M1796">
        <v>134421.81</v>
      </c>
      <c r="N1796">
        <v>468874.17</v>
      </c>
      <c r="O1796" t="s">
        <v>53</v>
      </c>
      <c r="P1796" t="s">
        <v>54</v>
      </c>
      <c r="Q1796" t="s">
        <v>55</v>
      </c>
      <c r="T1796" t="s">
        <v>818</v>
      </c>
      <c r="U1796">
        <v>40</v>
      </c>
      <c r="V1796" s="1">
        <v>33478</v>
      </c>
      <c r="W1796" s="1">
        <v>33478</v>
      </c>
      <c r="X1796" s="1">
        <v>33478</v>
      </c>
      <c r="Y1796" s="1">
        <v>48088</v>
      </c>
      <c r="Z1796" t="s">
        <v>51</v>
      </c>
      <c r="AB1796" t="s">
        <v>54</v>
      </c>
      <c r="AC1796">
        <v>1</v>
      </c>
      <c r="AE1796" t="s">
        <v>827</v>
      </c>
      <c r="AF1796">
        <v>20</v>
      </c>
      <c r="AG1796" s="1">
        <v>33478</v>
      </c>
      <c r="AH1796" s="1">
        <v>33478</v>
      </c>
      <c r="AI1796" s="1">
        <v>33478</v>
      </c>
      <c r="AJ1796" s="1">
        <v>40783</v>
      </c>
      <c r="AK1796" t="s">
        <v>51</v>
      </c>
      <c r="AN1796">
        <v>0</v>
      </c>
      <c r="AO1796" t="s">
        <v>54</v>
      </c>
      <c r="AP1796" t="s">
        <v>53</v>
      </c>
      <c r="AQ1796">
        <v>0</v>
      </c>
      <c r="AR1796" t="s">
        <v>53</v>
      </c>
      <c r="AS1796">
        <v>0</v>
      </c>
      <c r="AT1796">
        <v>0</v>
      </c>
      <c r="AW1796" t="s">
        <v>58</v>
      </c>
      <c r="AX1796">
        <v>20</v>
      </c>
      <c r="AY1796" s="1">
        <v>33478</v>
      </c>
      <c r="AZ1796" s="1">
        <v>33478</v>
      </c>
      <c r="BA1796" s="1">
        <v>33478</v>
      </c>
      <c r="BB1796" s="1">
        <v>40783</v>
      </c>
      <c r="BC1796" t="s">
        <v>51</v>
      </c>
      <c r="BE1796" t="s">
        <v>54</v>
      </c>
      <c r="BF1796">
        <v>2</v>
      </c>
      <c r="BG1796">
        <v>0</v>
      </c>
      <c r="BH1796" t="s">
        <v>53</v>
      </c>
      <c r="BK1796" t="s">
        <v>720</v>
      </c>
      <c r="BL1796">
        <v>17000</v>
      </c>
      <c r="BM1796" s="1">
        <v>42917</v>
      </c>
      <c r="BN1796" s="1">
        <v>42917</v>
      </c>
      <c r="BO1796" s="1">
        <v>42917</v>
      </c>
      <c r="BP1796" s="1">
        <v>44339</v>
      </c>
      <c r="BQ1796" t="s">
        <v>51</v>
      </c>
      <c r="BS1796" t="s">
        <v>60</v>
      </c>
      <c r="BT1796" t="s">
        <v>54</v>
      </c>
      <c r="BU1796" t="s">
        <v>721</v>
      </c>
      <c r="BV1796" t="s">
        <v>722</v>
      </c>
      <c r="BX1796">
        <v>18</v>
      </c>
      <c r="BY1796">
        <v>0</v>
      </c>
      <c r="BZ1796">
        <v>0</v>
      </c>
    </row>
    <row r="1797" spans="1:78" x14ac:dyDescent="0.2">
      <c r="A1797" t="s">
        <v>367</v>
      </c>
      <c r="B1797" t="s">
        <v>440</v>
      </c>
      <c r="C1797" t="s">
        <v>441</v>
      </c>
      <c r="D1797" t="s">
        <v>893</v>
      </c>
      <c r="F1797" t="str">
        <f>"110024"</f>
        <v>110024</v>
      </c>
      <c r="G1797" t="s">
        <v>49</v>
      </c>
      <c r="H1797" t="s">
        <v>914</v>
      </c>
      <c r="K1797" t="s">
        <v>51</v>
      </c>
      <c r="L1797" t="s">
        <v>52</v>
      </c>
      <c r="M1797">
        <v>134486.70000000001</v>
      </c>
      <c r="N1797">
        <v>468925.02</v>
      </c>
      <c r="O1797" t="s">
        <v>53</v>
      </c>
      <c r="P1797" t="s">
        <v>54</v>
      </c>
      <c r="Q1797" t="s">
        <v>55</v>
      </c>
      <c r="T1797" t="s">
        <v>818</v>
      </c>
      <c r="U1797">
        <v>40</v>
      </c>
      <c r="V1797" s="1">
        <v>33421</v>
      </c>
      <c r="W1797" s="1">
        <v>33421</v>
      </c>
      <c r="X1797" s="1">
        <v>33421</v>
      </c>
      <c r="Y1797" s="1">
        <v>48031</v>
      </c>
      <c r="Z1797" t="s">
        <v>51</v>
      </c>
      <c r="AB1797" t="s">
        <v>54</v>
      </c>
      <c r="AC1797">
        <v>1</v>
      </c>
      <c r="AE1797" t="s">
        <v>827</v>
      </c>
      <c r="AF1797">
        <v>20</v>
      </c>
      <c r="AG1797" s="1">
        <v>33421</v>
      </c>
      <c r="AH1797" s="1">
        <v>33421</v>
      </c>
      <c r="AI1797" s="1">
        <v>33421</v>
      </c>
      <c r="AJ1797" s="1">
        <v>40726</v>
      </c>
      <c r="AK1797" t="s">
        <v>51</v>
      </c>
      <c r="AN1797">
        <v>0</v>
      </c>
      <c r="AO1797" t="s">
        <v>54</v>
      </c>
      <c r="AP1797" t="s">
        <v>53</v>
      </c>
      <c r="AQ1797">
        <v>0</v>
      </c>
      <c r="AR1797" t="s">
        <v>53</v>
      </c>
      <c r="AS1797">
        <v>0</v>
      </c>
      <c r="AT1797">
        <v>0</v>
      </c>
      <c r="AW1797" t="s">
        <v>58</v>
      </c>
      <c r="AX1797">
        <v>20</v>
      </c>
      <c r="AY1797" s="1">
        <v>33421</v>
      </c>
      <c r="AZ1797" s="1">
        <v>33421</v>
      </c>
      <c r="BA1797" s="1">
        <v>33421</v>
      </c>
      <c r="BB1797" s="1">
        <v>40726</v>
      </c>
      <c r="BC1797" t="s">
        <v>51</v>
      </c>
      <c r="BE1797" t="s">
        <v>54</v>
      </c>
      <c r="BF1797">
        <v>2</v>
      </c>
      <c r="BG1797">
        <v>0</v>
      </c>
      <c r="BH1797" t="s">
        <v>53</v>
      </c>
      <c r="BK1797" t="s">
        <v>720</v>
      </c>
      <c r="BL1797">
        <v>17000</v>
      </c>
      <c r="BM1797" s="1">
        <v>44228</v>
      </c>
      <c r="BN1797" s="1">
        <v>44228</v>
      </c>
      <c r="BO1797" s="1">
        <v>44228</v>
      </c>
      <c r="BP1797" s="1">
        <v>45671</v>
      </c>
      <c r="BQ1797" t="s">
        <v>51</v>
      </c>
      <c r="BS1797" t="s">
        <v>60</v>
      </c>
      <c r="BT1797" t="s">
        <v>54</v>
      </c>
      <c r="BU1797" t="s">
        <v>721</v>
      </c>
      <c r="BV1797" t="s">
        <v>722</v>
      </c>
      <c r="BX1797">
        <v>18</v>
      </c>
      <c r="BY1797">
        <v>0</v>
      </c>
      <c r="BZ1797">
        <v>0</v>
      </c>
    </row>
    <row r="1798" spans="1:78" x14ac:dyDescent="0.2">
      <c r="A1798" t="s">
        <v>367</v>
      </c>
      <c r="B1798" t="s">
        <v>440</v>
      </c>
      <c r="C1798" t="s">
        <v>441</v>
      </c>
      <c r="D1798" t="s">
        <v>893</v>
      </c>
      <c r="F1798" t="str">
        <f>"110025"</f>
        <v>110025</v>
      </c>
      <c r="G1798" t="s">
        <v>49</v>
      </c>
      <c r="H1798" t="s">
        <v>915</v>
      </c>
      <c r="K1798" t="s">
        <v>51</v>
      </c>
      <c r="L1798" t="s">
        <v>52</v>
      </c>
      <c r="M1798">
        <v>134502.57</v>
      </c>
      <c r="N1798">
        <v>468918.28</v>
      </c>
      <c r="O1798" t="s">
        <v>53</v>
      </c>
      <c r="P1798" t="s">
        <v>54</v>
      </c>
      <c r="Q1798" t="s">
        <v>55</v>
      </c>
      <c r="T1798" t="s">
        <v>818</v>
      </c>
      <c r="U1798">
        <v>40</v>
      </c>
      <c r="V1798" s="1">
        <v>33421</v>
      </c>
      <c r="W1798" s="1">
        <v>33421</v>
      </c>
      <c r="X1798" s="1">
        <v>33421</v>
      </c>
      <c r="Y1798" s="1">
        <v>48031</v>
      </c>
      <c r="Z1798" t="s">
        <v>51</v>
      </c>
      <c r="AB1798" t="s">
        <v>54</v>
      </c>
      <c r="AC1798">
        <v>1</v>
      </c>
      <c r="AE1798" t="s">
        <v>827</v>
      </c>
      <c r="AF1798">
        <v>20</v>
      </c>
      <c r="AG1798" s="1">
        <v>33421</v>
      </c>
      <c r="AH1798" s="1">
        <v>33421</v>
      </c>
      <c r="AI1798" s="1">
        <v>33421</v>
      </c>
      <c r="AJ1798" s="1">
        <v>40726</v>
      </c>
      <c r="AK1798" t="s">
        <v>51</v>
      </c>
      <c r="AN1798">
        <v>0</v>
      </c>
      <c r="AO1798" t="s">
        <v>54</v>
      </c>
      <c r="AP1798" t="s">
        <v>53</v>
      </c>
      <c r="AQ1798">
        <v>0</v>
      </c>
      <c r="AR1798" t="s">
        <v>53</v>
      </c>
      <c r="AS1798">
        <v>0</v>
      </c>
      <c r="AT1798">
        <v>0</v>
      </c>
      <c r="AW1798" t="s">
        <v>58</v>
      </c>
      <c r="AX1798">
        <v>20</v>
      </c>
      <c r="AY1798" s="1">
        <v>33421</v>
      </c>
      <c r="AZ1798" s="1">
        <v>33421</v>
      </c>
      <c r="BA1798" s="1">
        <v>33421</v>
      </c>
      <c r="BB1798" s="1">
        <v>40726</v>
      </c>
      <c r="BC1798" t="s">
        <v>51</v>
      </c>
      <c r="BE1798" t="s">
        <v>54</v>
      </c>
      <c r="BF1798">
        <v>2</v>
      </c>
      <c r="BG1798">
        <v>0</v>
      </c>
      <c r="BH1798" t="s">
        <v>53</v>
      </c>
      <c r="BK1798" t="s">
        <v>720</v>
      </c>
      <c r="BL1798">
        <v>17000</v>
      </c>
      <c r="BM1798" s="1">
        <v>43899</v>
      </c>
      <c r="BN1798" s="1">
        <v>43899</v>
      </c>
      <c r="BO1798" s="1">
        <v>43899</v>
      </c>
      <c r="BP1798" s="1">
        <v>45339</v>
      </c>
      <c r="BQ1798" t="s">
        <v>51</v>
      </c>
      <c r="BS1798" t="s">
        <v>60</v>
      </c>
      <c r="BT1798" t="s">
        <v>54</v>
      </c>
      <c r="BU1798" t="s">
        <v>721</v>
      </c>
      <c r="BV1798" t="s">
        <v>722</v>
      </c>
      <c r="BX1798">
        <v>18</v>
      </c>
      <c r="BY1798">
        <v>0</v>
      </c>
      <c r="BZ1798">
        <v>0</v>
      </c>
    </row>
    <row r="1799" spans="1:78" x14ac:dyDescent="0.2">
      <c r="A1799" t="s">
        <v>367</v>
      </c>
      <c r="B1799" t="s">
        <v>440</v>
      </c>
      <c r="C1799" t="s">
        <v>441</v>
      </c>
      <c r="D1799" t="s">
        <v>893</v>
      </c>
      <c r="F1799" t="str">
        <f>"110026"</f>
        <v>110026</v>
      </c>
      <c r="G1799" t="s">
        <v>49</v>
      </c>
      <c r="H1799" t="s">
        <v>916</v>
      </c>
      <c r="K1799" t="s">
        <v>51</v>
      </c>
      <c r="L1799" t="s">
        <v>52</v>
      </c>
      <c r="M1799">
        <v>134516.28</v>
      </c>
      <c r="N1799">
        <v>468910.91</v>
      </c>
      <c r="O1799" t="s">
        <v>53</v>
      </c>
      <c r="P1799" t="s">
        <v>54</v>
      </c>
      <c r="Q1799" t="s">
        <v>55</v>
      </c>
      <c r="T1799" t="s">
        <v>818</v>
      </c>
      <c r="U1799">
        <v>40</v>
      </c>
      <c r="V1799" s="1">
        <v>44434</v>
      </c>
      <c r="W1799" s="1">
        <v>44434</v>
      </c>
      <c r="X1799" s="1">
        <v>44434</v>
      </c>
      <c r="Y1799" s="1">
        <v>59044</v>
      </c>
      <c r="Z1799" t="s">
        <v>51</v>
      </c>
      <c r="AB1799" t="s">
        <v>54</v>
      </c>
      <c r="AC1799">
        <v>1</v>
      </c>
      <c r="AE1799" t="s">
        <v>827</v>
      </c>
      <c r="AF1799">
        <v>20</v>
      </c>
      <c r="AG1799" s="1">
        <v>33421</v>
      </c>
      <c r="AH1799" s="1">
        <v>33421</v>
      </c>
      <c r="AI1799" s="1">
        <v>44434</v>
      </c>
      <c r="AJ1799" s="1">
        <v>40726</v>
      </c>
      <c r="AK1799" t="s">
        <v>51</v>
      </c>
      <c r="AN1799">
        <v>0</v>
      </c>
      <c r="AO1799" t="s">
        <v>54</v>
      </c>
      <c r="AP1799" t="s">
        <v>53</v>
      </c>
      <c r="AQ1799">
        <v>0</v>
      </c>
      <c r="AR1799" t="s">
        <v>53</v>
      </c>
      <c r="AS1799">
        <v>0</v>
      </c>
      <c r="AT1799">
        <v>0</v>
      </c>
      <c r="AW1799" t="s">
        <v>58</v>
      </c>
      <c r="AX1799">
        <v>20</v>
      </c>
      <c r="AY1799" s="1">
        <v>33421</v>
      </c>
      <c r="AZ1799" s="1">
        <v>33421</v>
      </c>
      <c r="BA1799" s="1">
        <v>44434</v>
      </c>
      <c r="BB1799" s="1">
        <v>40726</v>
      </c>
      <c r="BC1799" t="s">
        <v>51</v>
      </c>
      <c r="BE1799" t="s">
        <v>54</v>
      </c>
      <c r="BF1799">
        <v>2</v>
      </c>
      <c r="BG1799">
        <v>0</v>
      </c>
      <c r="BH1799" t="s">
        <v>53</v>
      </c>
      <c r="BK1799" t="s">
        <v>720</v>
      </c>
      <c r="BL1799">
        <v>17000</v>
      </c>
      <c r="BM1799" s="1">
        <v>43794</v>
      </c>
      <c r="BN1799" s="1">
        <v>43794</v>
      </c>
      <c r="BO1799" s="1">
        <v>44434</v>
      </c>
      <c r="BP1799" s="1">
        <v>45236</v>
      </c>
      <c r="BQ1799" t="s">
        <v>51</v>
      </c>
      <c r="BS1799" t="s">
        <v>60</v>
      </c>
      <c r="BT1799" t="s">
        <v>54</v>
      </c>
      <c r="BU1799" t="s">
        <v>721</v>
      </c>
      <c r="BV1799" t="s">
        <v>722</v>
      </c>
      <c r="BX1799">
        <v>18</v>
      </c>
      <c r="BY1799">
        <v>0</v>
      </c>
      <c r="BZ1799">
        <v>0</v>
      </c>
    </row>
    <row r="1800" spans="1:78" x14ac:dyDescent="0.2">
      <c r="A1800" t="s">
        <v>367</v>
      </c>
      <c r="B1800" t="s">
        <v>440</v>
      </c>
      <c r="C1800" t="s">
        <v>441</v>
      </c>
      <c r="D1800" t="s">
        <v>893</v>
      </c>
      <c r="F1800" t="str">
        <f>"110027"</f>
        <v>110027</v>
      </c>
      <c r="G1800" t="s">
        <v>49</v>
      </c>
      <c r="H1800" t="s">
        <v>917</v>
      </c>
      <c r="K1800" t="s">
        <v>51</v>
      </c>
      <c r="L1800" t="s">
        <v>52</v>
      </c>
      <c r="M1800">
        <v>134527.21</v>
      </c>
      <c r="N1800">
        <v>468927.18</v>
      </c>
      <c r="O1800" t="s">
        <v>53</v>
      </c>
      <c r="P1800" t="s">
        <v>54</v>
      </c>
      <c r="Q1800" t="s">
        <v>55</v>
      </c>
      <c r="T1800" t="s">
        <v>818</v>
      </c>
      <c r="U1800">
        <v>40</v>
      </c>
      <c r="V1800" s="1">
        <v>33421</v>
      </c>
      <c r="W1800" s="1">
        <v>33421</v>
      </c>
      <c r="X1800" s="1">
        <v>33421</v>
      </c>
      <c r="Y1800" s="1">
        <v>48031</v>
      </c>
      <c r="Z1800" t="s">
        <v>51</v>
      </c>
      <c r="AB1800" t="s">
        <v>54</v>
      </c>
      <c r="AC1800">
        <v>1</v>
      </c>
      <c r="AE1800" t="s">
        <v>827</v>
      </c>
      <c r="AF1800">
        <v>20</v>
      </c>
      <c r="AG1800" s="1">
        <v>33421</v>
      </c>
      <c r="AH1800" s="1">
        <v>33421</v>
      </c>
      <c r="AI1800" s="1">
        <v>33421</v>
      </c>
      <c r="AJ1800" s="1">
        <v>40726</v>
      </c>
      <c r="AK1800" t="s">
        <v>51</v>
      </c>
      <c r="AN1800">
        <v>0</v>
      </c>
      <c r="AO1800" t="s">
        <v>54</v>
      </c>
      <c r="AP1800" t="s">
        <v>53</v>
      </c>
      <c r="AQ1800">
        <v>0</v>
      </c>
      <c r="AR1800" t="s">
        <v>53</v>
      </c>
      <c r="AS1800">
        <v>0</v>
      </c>
      <c r="AT1800">
        <v>0</v>
      </c>
      <c r="AW1800" t="s">
        <v>58</v>
      </c>
      <c r="AX1800">
        <v>20</v>
      </c>
      <c r="AY1800" s="1">
        <v>33421</v>
      </c>
      <c r="AZ1800" s="1">
        <v>33421</v>
      </c>
      <c r="BA1800" s="1">
        <v>33421</v>
      </c>
      <c r="BB1800" s="1">
        <v>40726</v>
      </c>
      <c r="BC1800" t="s">
        <v>51</v>
      </c>
      <c r="BE1800" t="s">
        <v>54</v>
      </c>
      <c r="BF1800">
        <v>2</v>
      </c>
      <c r="BG1800">
        <v>0</v>
      </c>
      <c r="BH1800" t="s">
        <v>53</v>
      </c>
      <c r="BK1800" t="s">
        <v>720</v>
      </c>
      <c r="BL1800">
        <v>17000</v>
      </c>
      <c r="BM1800" s="1">
        <v>43794</v>
      </c>
      <c r="BN1800" s="1">
        <v>43794</v>
      </c>
      <c r="BO1800" s="1">
        <v>43794</v>
      </c>
      <c r="BP1800" s="1">
        <v>45236</v>
      </c>
      <c r="BQ1800" t="s">
        <v>51</v>
      </c>
      <c r="BS1800" t="s">
        <v>60</v>
      </c>
      <c r="BT1800" t="s">
        <v>54</v>
      </c>
      <c r="BU1800" t="s">
        <v>721</v>
      </c>
      <c r="BV1800" t="s">
        <v>722</v>
      </c>
      <c r="BX1800">
        <v>18</v>
      </c>
      <c r="BY1800">
        <v>0</v>
      </c>
      <c r="BZ1800">
        <v>0</v>
      </c>
    </row>
    <row r="1801" spans="1:78" x14ac:dyDescent="0.2">
      <c r="A1801" t="s">
        <v>367</v>
      </c>
      <c r="B1801" t="s">
        <v>440</v>
      </c>
      <c r="C1801" t="s">
        <v>441</v>
      </c>
      <c r="D1801" t="s">
        <v>893</v>
      </c>
      <c r="F1801" t="str">
        <f>"110028"</f>
        <v>110028</v>
      </c>
      <c r="G1801" t="s">
        <v>49</v>
      </c>
      <c r="H1801" t="s">
        <v>918</v>
      </c>
      <c r="K1801" t="s">
        <v>51</v>
      </c>
      <c r="L1801" t="s">
        <v>52</v>
      </c>
      <c r="M1801">
        <v>134518.76999999999</v>
      </c>
      <c r="N1801">
        <v>468899.37</v>
      </c>
      <c r="O1801" t="s">
        <v>53</v>
      </c>
      <c r="P1801" t="s">
        <v>54</v>
      </c>
      <c r="Q1801" t="s">
        <v>55</v>
      </c>
      <c r="T1801" t="s">
        <v>818</v>
      </c>
      <c r="U1801">
        <v>40</v>
      </c>
      <c r="V1801" s="1">
        <v>33421</v>
      </c>
      <c r="W1801" s="1">
        <v>33421</v>
      </c>
      <c r="X1801" s="1">
        <v>33421</v>
      </c>
      <c r="Y1801" s="1">
        <v>48031</v>
      </c>
      <c r="Z1801" t="s">
        <v>51</v>
      </c>
      <c r="AB1801" t="s">
        <v>54</v>
      </c>
      <c r="AC1801">
        <v>1</v>
      </c>
      <c r="AE1801" t="s">
        <v>827</v>
      </c>
      <c r="AF1801">
        <v>20</v>
      </c>
      <c r="AG1801" s="1">
        <v>33421</v>
      </c>
      <c r="AH1801" s="1">
        <v>33421</v>
      </c>
      <c r="AI1801" s="1">
        <v>33421</v>
      </c>
      <c r="AJ1801" s="1">
        <v>40726</v>
      </c>
      <c r="AK1801" t="s">
        <v>51</v>
      </c>
      <c r="AN1801">
        <v>0</v>
      </c>
      <c r="AO1801" t="s">
        <v>54</v>
      </c>
      <c r="AP1801" t="s">
        <v>53</v>
      </c>
      <c r="AQ1801">
        <v>0</v>
      </c>
      <c r="AR1801" t="s">
        <v>53</v>
      </c>
      <c r="AS1801">
        <v>0</v>
      </c>
      <c r="AT1801">
        <v>0</v>
      </c>
      <c r="AW1801" t="s">
        <v>58</v>
      </c>
      <c r="AX1801">
        <v>20</v>
      </c>
      <c r="AY1801" s="1">
        <v>33421</v>
      </c>
      <c r="AZ1801" s="1">
        <v>33421</v>
      </c>
      <c r="BA1801" s="1">
        <v>33421</v>
      </c>
      <c r="BB1801" s="1">
        <v>40726</v>
      </c>
      <c r="BC1801" t="s">
        <v>51</v>
      </c>
      <c r="BE1801" t="s">
        <v>54</v>
      </c>
      <c r="BF1801">
        <v>2</v>
      </c>
      <c r="BG1801">
        <v>0</v>
      </c>
      <c r="BH1801" t="s">
        <v>53</v>
      </c>
      <c r="BK1801" t="s">
        <v>720</v>
      </c>
      <c r="BL1801">
        <v>17000</v>
      </c>
      <c r="BM1801" s="1">
        <v>43838</v>
      </c>
      <c r="BN1801" s="1">
        <v>43838</v>
      </c>
      <c r="BO1801" s="1">
        <v>43838</v>
      </c>
      <c r="BP1801" s="1">
        <v>45280</v>
      </c>
      <c r="BQ1801" t="s">
        <v>51</v>
      </c>
      <c r="BS1801" t="s">
        <v>60</v>
      </c>
      <c r="BT1801" t="s">
        <v>54</v>
      </c>
      <c r="BU1801" t="s">
        <v>721</v>
      </c>
      <c r="BV1801" t="s">
        <v>722</v>
      </c>
      <c r="BX1801">
        <v>18</v>
      </c>
      <c r="BY1801">
        <v>0</v>
      </c>
      <c r="BZ1801">
        <v>0</v>
      </c>
    </row>
    <row r="1802" spans="1:78" x14ac:dyDescent="0.2">
      <c r="A1802" t="s">
        <v>367</v>
      </c>
      <c r="B1802" t="s">
        <v>440</v>
      </c>
      <c r="C1802" t="s">
        <v>441</v>
      </c>
      <c r="D1802" t="s">
        <v>434</v>
      </c>
      <c r="F1802" t="str">
        <f>"119232"</f>
        <v>119232</v>
      </c>
      <c r="G1802" t="s">
        <v>49</v>
      </c>
      <c r="H1802" t="s">
        <v>919</v>
      </c>
      <c r="K1802" t="s">
        <v>51</v>
      </c>
      <c r="L1802" t="s">
        <v>52</v>
      </c>
      <c r="M1802">
        <v>136524.70000000001</v>
      </c>
      <c r="N1802">
        <v>469479.76</v>
      </c>
      <c r="O1802" t="s">
        <v>53</v>
      </c>
      <c r="P1802" t="s">
        <v>54</v>
      </c>
      <c r="Q1802" t="s">
        <v>55</v>
      </c>
      <c r="T1802" t="s">
        <v>841</v>
      </c>
      <c r="U1802">
        <v>40</v>
      </c>
      <c r="V1802" s="1">
        <v>38631</v>
      </c>
      <c r="W1802" s="1">
        <v>38631</v>
      </c>
      <c r="X1802" s="1">
        <v>38631</v>
      </c>
      <c r="Y1802" s="1">
        <v>53241</v>
      </c>
      <c r="Z1802" t="s">
        <v>51</v>
      </c>
      <c r="AB1802" t="s">
        <v>54</v>
      </c>
      <c r="AC1802">
        <v>1</v>
      </c>
      <c r="AE1802" t="s">
        <v>64</v>
      </c>
      <c r="AF1802">
        <v>20</v>
      </c>
      <c r="AG1802" s="1">
        <v>40655</v>
      </c>
      <c r="AH1802" s="1">
        <v>40655</v>
      </c>
      <c r="AI1802" s="1">
        <v>40655</v>
      </c>
      <c r="AJ1802" s="1">
        <v>47960</v>
      </c>
      <c r="AK1802" t="s">
        <v>51</v>
      </c>
      <c r="AN1802">
        <v>0</v>
      </c>
      <c r="AO1802" t="s">
        <v>54</v>
      </c>
      <c r="AP1802" t="s">
        <v>53</v>
      </c>
      <c r="AQ1802">
        <v>0</v>
      </c>
      <c r="AR1802" t="s">
        <v>53</v>
      </c>
      <c r="AS1802">
        <v>0</v>
      </c>
      <c r="AT1802">
        <v>0</v>
      </c>
      <c r="AW1802" t="s">
        <v>58</v>
      </c>
      <c r="AX1802">
        <v>20</v>
      </c>
      <c r="AY1802" s="1">
        <v>40655</v>
      </c>
      <c r="AZ1802" s="1">
        <v>40655</v>
      </c>
      <c r="BA1802" s="1">
        <v>40655</v>
      </c>
      <c r="BB1802" s="1">
        <v>47960</v>
      </c>
      <c r="BC1802" t="s">
        <v>51</v>
      </c>
      <c r="BE1802" t="s">
        <v>54</v>
      </c>
      <c r="BF1802">
        <v>2</v>
      </c>
      <c r="BG1802">
        <v>0</v>
      </c>
      <c r="BH1802" t="s">
        <v>53</v>
      </c>
      <c r="BK1802" t="s">
        <v>65</v>
      </c>
      <c r="BL1802">
        <v>14000</v>
      </c>
      <c r="BM1802" s="1">
        <v>40655</v>
      </c>
      <c r="BN1802" s="1">
        <v>40655</v>
      </c>
      <c r="BO1802" s="1">
        <v>40655</v>
      </c>
      <c r="BP1802" s="1">
        <v>41879</v>
      </c>
      <c r="BQ1802" t="s">
        <v>51</v>
      </c>
      <c r="BS1802" t="s">
        <v>60</v>
      </c>
      <c r="BT1802" t="s">
        <v>54</v>
      </c>
      <c r="BU1802" t="s">
        <v>61</v>
      </c>
      <c r="BV1802" t="s">
        <v>62</v>
      </c>
      <c r="BX1802">
        <v>36</v>
      </c>
      <c r="BY1802">
        <v>0</v>
      </c>
      <c r="BZ1802">
        <v>0</v>
      </c>
    </row>
    <row r="1803" spans="1:78" x14ac:dyDescent="0.2">
      <c r="A1803" t="s">
        <v>367</v>
      </c>
      <c r="B1803" t="s">
        <v>440</v>
      </c>
      <c r="C1803" t="s">
        <v>441</v>
      </c>
      <c r="D1803" t="s">
        <v>908</v>
      </c>
      <c r="F1803" t="str">
        <f>"130265"</f>
        <v>130265</v>
      </c>
      <c r="G1803" t="s">
        <v>49</v>
      </c>
      <c r="H1803" t="s">
        <v>920</v>
      </c>
      <c r="K1803" t="s">
        <v>51</v>
      </c>
      <c r="L1803" t="s">
        <v>52</v>
      </c>
      <c r="M1803">
        <v>136228.76</v>
      </c>
      <c r="N1803">
        <v>468958.98</v>
      </c>
      <c r="O1803" t="s">
        <v>53</v>
      </c>
      <c r="P1803" t="s">
        <v>54</v>
      </c>
      <c r="Q1803" t="s">
        <v>55</v>
      </c>
      <c r="T1803" t="s">
        <v>841</v>
      </c>
      <c r="U1803">
        <v>40</v>
      </c>
      <c r="V1803" s="1">
        <v>34481</v>
      </c>
      <c r="W1803" s="1">
        <v>34481</v>
      </c>
      <c r="X1803" s="1">
        <v>34481</v>
      </c>
      <c r="Y1803" s="1">
        <v>49091</v>
      </c>
      <c r="Z1803" t="s">
        <v>51</v>
      </c>
      <c r="AB1803" t="s">
        <v>54</v>
      </c>
      <c r="AC1803">
        <v>1</v>
      </c>
      <c r="AE1803" t="s">
        <v>64</v>
      </c>
      <c r="AF1803">
        <v>20</v>
      </c>
      <c r="AG1803" s="1">
        <v>40655</v>
      </c>
      <c r="AH1803" s="1">
        <v>40655</v>
      </c>
      <c r="AI1803" s="1">
        <v>40655</v>
      </c>
      <c r="AJ1803" s="1">
        <v>47960</v>
      </c>
      <c r="AK1803" t="s">
        <v>51</v>
      </c>
      <c r="AN1803">
        <v>0</v>
      </c>
      <c r="AO1803" t="s">
        <v>54</v>
      </c>
      <c r="AP1803" t="s">
        <v>53</v>
      </c>
      <c r="AQ1803">
        <v>0</v>
      </c>
      <c r="AR1803" t="s">
        <v>53</v>
      </c>
      <c r="AS1803">
        <v>0</v>
      </c>
      <c r="AT1803">
        <v>0</v>
      </c>
      <c r="AW1803" t="s">
        <v>58</v>
      </c>
      <c r="AX1803">
        <v>20</v>
      </c>
      <c r="AY1803" s="1">
        <v>40655</v>
      </c>
      <c r="AZ1803" s="1">
        <v>40655</v>
      </c>
      <c r="BA1803" s="1">
        <v>40655</v>
      </c>
      <c r="BB1803" s="1">
        <v>47960</v>
      </c>
      <c r="BC1803" t="s">
        <v>51</v>
      </c>
      <c r="BE1803" t="s">
        <v>54</v>
      </c>
      <c r="BF1803">
        <v>2</v>
      </c>
      <c r="BG1803">
        <v>0</v>
      </c>
      <c r="BH1803" t="s">
        <v>53</v>
      </c>
      <c r="BK1803" t="s">
        <v>65</v>
      </c>
      <c r="BL1803">
        <v>14000</v>
      </c>
      <c r="BM1803" s="1">
        <v>44676</v>
      </c>
      <c r="BN1803" s="1">
        <v>44676</v>
      </c>
      <c r="BO1803" s="1">
        <v>44676</v>
      </c>
      <c r="BP1803" s="1">
        <v>45899</v>
      </c>
      <c r="BQ1803" t="s">
        <v>51</v>
      </c>
      <c r="BS1803" t="s">
        <v>60</v>
      </c>
      <c r="BT1803" t="s">
        <v>54</v>
      </c>
      <c r="BU1803" t="s">
        <v>61</v>
      </c>
      <c r="BV1803" t="s">
        <v>62</v>
      </c>
      <c r="BX1803">
        <v>36</v>
      </c>
      <c r="BY1803">
        <v>0</v>
      </c>
      <c r="BZ1803">
        <v>0</v>
      </c>
    </row>
    <row r="1804" spans="1:78" x14ac:dyDescent="0.2">
      <c r="A1804" t="s">
        <v>367</v>
      </c>
      <c r="B1804" t="s">
        <v>440</v>
      </c>
      <c r="C1804" t="s">
        <v>441</v>
      </c>
      <c r="D1804" t="s">
        <v>908</v>
      </c>
      <c r="F1804" t="str">
        <f>"130346"</f>
        <v>130346</v>
      </c>
      <c r="G1804" t="s">
        <v>49</v>
      </c>
      <c r="H1804" t="s">
        <v>921</v>
      </c>
      <c r="K1804" t="s">
        <v>51</v>
      </c>
      <c r="L1804" t="s">
        <v>52</v>
      </c>
      <c r="M1804">
        <v>136156.79999999999</v>
      </c>
      <c r="N1804">
        <v>468856.92</v>
      </c>
      <c r="O1804" t="s">
        <v>53</v>
      </c>
      <c r="P1804" t="s">
        <v>54</v>
      </c>
      <c r="Q1804" t="s">
        <v>55</v>
      </c>
      <c r="T1804" t="s">
        <v>818</v>
      </c>
      <c r="U1804">
        <v>40</v>
      </c>
      <c r="V1804" s="1">
        <v>34571</v>
      </c>
      <c r="W1804" s="1">
        <v>34571</v>
      </c>
      <c r="X1804" s="1">
        <v>34571</v>
      </c>
      <c r="Y1804" s="1">
        <v>49181</v>
      </c>
      <c r="Z1804" t="s">
        <v>51</v>
      </c>
      <c r="AB1804" t="s">
        <v>54</v>
      </c>
      <c r="AC1804">
        <v>1</v>
      </c>
      <c r="AE1804" t="s">
        <v>827</v>
      </c>
      <c r="AF1804">
        <v>20</v>
      </c>
      <c r="AG1804" s="1">
        <v>34571</v>
      </c>
      <c r="AH1804" s="1">
        <v>34571</v>
      </c>
      <c r="AI1804" s="1">
        <v>34571</v>
      </c>
      <c r="AJ1804" s="1">
        <v>41876</v>
      </c>
      <c r="AK1804" t="s">
        <v>51</v>
      </c>
      <c r="AN1804">
        <v>0</v>
      </c>
      <c r="AO1804" t="s">
        <v>54</v>
      </c>
      <c r="AP1804" t="s">
        <v>53</v>
      </c>
      <c r="AQ1804">
        <v>0</v>
      </c>
      <c r="AR1804" t="s">
        <v>53</v>
      </c>
      <c r="AS1804">
        <v>0</v>
      </c>
      <c r="AT1804">
        <v>0</v>
      </c>
      <c r="AW1804" t="s">
        <v>58</v>
      </c>
      <c r="AX1804">
        <v>20</v>
      </c>
      <c r="AY1804" s="1">
        <v>34571</v>
      </c>
      <c r="AZ1804" s="1">
        <v>34571</v>
      </c>
      <c r="BA1804" s="1">
        <v>34571</v>
      </c>
      <c r="BB1804" s="1">
        <v>41876</v>
      </c>
      <c r="BC1804" t="s">
        <v>51</v>
      </c>
      <c r="BE1804" t="s">
        <v>54</v>
      </c>
      <c r="BF1804">
        <v>2</v>
      </c>
      <c r="BG1804">
        <v>0</v>
      </c>
      <c r="BH1804" t="s">
        <v>53</v>
      </c>
      <c r="BK1804" t="s">
        <v>720</v>
      </c>
      <c r="BL1804">
        <v>17000</v>
      </c>
      <c r="BM1804" s="1">
        <v>38292</v>
      </c>
      <c r="BN1804" s="1">
        <v>38292</v>
      </c>
      <c r="BO1804" s="1">
        <v>38292</v>
      </c>
      <c r="BP1804" s="1">
        <v>39733</v>
      </c>
      <c r="BQ1804" t="s">
        <v>51</v>
      </c>
      <c r="BS1804" t="s">
        <v>60</v>
      </c>
      <c r="BT1804" t="s">
        <v>54</v>
      </c>
      <c r="BU1804" t="s">
        <v>721</v>
      </c>
      <c r="BV1804" t="s">
        <v>722</v>
      </c>
      <c r="BX1804">
        <v>18</v>
      </c>
      <c r="BY1804">
        <v>0</v>
      </c>
      <c r="BZ1804">
        <v>0</v>
      </c>
    </row>
    <row r="1805" spans="1:78" x14ac:dyDescent="0.2">
      <c r="A1805" t="s">
        <v>367</v>
      </c>
      <c r="B1805" t="s">
        <v>440</v>
      </c>
      <c r="C1805" t="s">
        <v>441</v>
      </c>
      <c r="D1805" t="s">
        <v>908</v>
      </c>
      <c r="F1805" t="str">
        <f>"130347"</f>
        <v>130347</v>
      </c>
      <c r="G1805" t="s">
        <v>49</v>
      </c>
      <c r="H1805" t="s">
        <v>922</v>
      </c>
      <c r="K1805" t="s">
        <v>51</v>
      </c>
      <c r="L1805" t="s">
        <v>52</v>
      </c>
      <c r="M1805">
        <v>136163.14000000001</v>
      </c>
      <c r="N1805">
        <v>468870.17</v>
      </c>
      <c r="O1805" t="s">
        <v>53</v>
      </c>
      <c r="P1805" t="s">
        <v>54</v>
      </c>
      <c r="Q1805" t="s">
        <v>55</v>
      </c>
      <c r="T1805" t="s">
        <v>818</v>
      </c>
      <c r="U1805">
        <v>40</v>
      </c>
      <c r="V1805" s="1">
        <v>34571</v>
      </c>
      <c r="W1805" s="1">
        <v>34571</v>
      </c>
      <c r="X1805" s="1">
        <v>34571</v>
      </c>
      <c r="Y1805" s="1">
        <v>49181</v>
      </c>
      <c r="Z1805" t="s">
        <v>51</v>
      </c>
      <c r="AB1805" t="s">
        <v>54</v>
      </c>
      <c r="AC1805">
        <v>1</v>
      </c>
      <c r="AE1805" t="s">
        <v>827</v>
      </c>
      <c r="AF1805">
        <v>20</v>
      </c>
      <c r="AG1805" s="1">
        <v>34571</v>
      </c>
      <c r="AH1805" s="1">
        <v>34571</v>
      </c>
      <c r="AI1805" s="1">
        <v>34571</v>
      </c>
      <c r="AJ1805" s="1">
        <v>41876</v>
      </c>
      <c r="AK1805" t="s">
        <v>51</v>
      </c>
      <c r="AN1805">
        <v>0</v>
      </c>
      <c r="AO1805" t="s">
        <v>54</v>
      </c>
      <c r="AP1805" t="s">
        <v>53</v>
      </c>
      <c r="AQ1805">
        <v>0</v>
      </c>
      <c r="AR1805" t="s">
        <v>53</v>
      </c>
      <c r="AS1805">
        <v>0</v>
      </c>
      <c r="AT1805">
        <v>0</v>
      </c>
      <c r="AW1805" t="s">
        <v>58</v>
      </c>
      <c r="AX1805">
        <v>20</v>
      </c>
      <c r="AY1805" s="1">
        <v>34571</v>
      </c>
      <c r="AZ1805" s="1">
        <v>34571</v>
      </c>
      <c r="BA1805" s="1">
        <v>34571</v>
      </c>
      <c r="BB1805" s="1">
        <v>41876</v>
      </c>
      <c r="BC1805" t="s">
        <v>51</v>
      </c>
      <c r="BE1805" t="s">
        <v>54</v>
      </c>
      <c r="BF1805">
        <v>2</v>
      </c>
      <c r="BG1805">
        <v>0</v>
      </c>
      <c r="BH1805" t="s">
        <v>53</v>
      </c>
      <c r="BK1805" t="s">
        <v>720</v>
      </c>
      <c r="BL1805">
        <v>17000</v>
      </c>
      <c r="BM1805" s="1">
        <v>38292</v>
      </c>
      <c r="BN1805" s="1">
        <v>38292</v>
      </c>
      <c r="BO1805" s="1">
        <v>38292</v>
      </c>
      <c r="BP1805" s="1">
        <v>39733</v>
      </c>
      <c r="BQ1805" t="s">
        <v>51</v>
      </c>
      <c r="BS1805" t="s">
        <v>60</v>
      </c>
      <c r="BT1805" t="s">
        <v>54</v>
      </c>
      <c r="BU1805" t="s">
        <v>721</v>
      </c>
      <c r="BV1805" t="s">
        <v>722</v>
      </c>
      <c r="BX1805">
        <v>18</v>
      </c>
      <c r="BY1805">
        <v>0</v>
      </c>
      <c r="BZ1805">
        <v>0</v>
      </c>
    </row>
    <row r="1806" spans="1:78" x14ac:dyDescent="0.2">
      <c r="A1806" t="s">
        <v>367</v>
      </c>
      <c r="B1806" t="s">
        <v>440</v>
      </c>
      <c r="C1806" t="s">
        <v>441</v>
      </c>
      <c r="D1806" t="s">
        <v>434</v>
      </c>
      <c r="F1806" t="str">
        <f>"130800"</f>
        <v>130800</v>
      </c>
      <c r="G1806" t="s">
        <v>49</v>
      </c>
      <c r="H1806" t="s">
        <v>923</v>
      </c>
      <c r="K1806" t="s">
        <v>51</v>
      </c>
      <c r="L1806" t="s">
        <v>52</v>
      </c>
      <c r="M1806">
        <v>136505.04999999999</v>
      </c>
      <c r="N1806">
        <v>469441.57</v>
      </c>
      <c r="O1806" t="s">
        <v>53</v>
      </c>
      <c r="P1806" t="s">
        <v>54</v>
      </c>
      <c r="Q1806" t="s">
        <v>55</v>
      </c>
      <c r="T1806" t="s">
        <v>841</v>
      </c>
      <c r="U1806">
        <v>40</v>
      </c>
      <c r="V1806" s="1">
        <v>39153</v>
      </c>
      <c r="W1806" s="1">
        <v>39153</v>
      </c>
      <c r="X1806" s="1">
        <v>39153</v>
      </c>
      <c r="Y1806" s="1">
        <v>53763</v>
      </c>
      <c r="Z1806" t="s">
        <v>51</v>
      </c>
      <c r="AB1806" t="s">
        <v>54</v>
      </c>
      <c r="AC1806">
        <v>1</v>
      </c>
      <c r="AE1806" t="s">
        <v>64</v>
      </c>
      <c r="AF1806">
        <v>20</v>
      </c>
      <c r="AG1806" s="1">
        <v>40655</v>
      </c>
      <c r="AH1806" s="1">
        <v>40655</v>
      </c>
      <c r="AI1806" s="1">
        <v>40655</v>
      </c>
      <c r="AJ1806" s="1">
        <v>47960</v>
      </c>
      <c r="AK1806" t="s">
        <v>51</v>
      </c>
      <c r="AN1806">
        <v>0</v>
      </c>
      <c r="AO1806" t="s">
        <v>54</v>
      </c>
      <c r="AP1806" t="s">
        <v>53</v>
      </c>
      <c r="AQ1806">
        <v>0</v>
      </c>
      <c r="AR1806" t="s">
        <v>53</v>
      </c>
      <c r="AS1806">
        <v>0</v>
      </c>
      <c r="AT1806">
        <v>0</v>
      </c>
      <c r="AW1806" t="s">
        <v>58</v>
      </c>
      <c r="AX1806">
        <v>20</v>
      </c>
      <c r="AY1806" s="1">
        <v>40655</v>
      </c>
      <c r="AZ1806" s="1">
        <v>40655</v>
      </c>
      <c r="BA1806" s="1">
        <v>40655</v>
      </c>
      <c r="BB1806" s="1">
        <v>47960</v>
      </c>
      <c r="BC1806" t="s">
        <v>51</v>
      </c>
      <c r="BE1806" t="s">
        <v>54</v>
      </c>
      <c r="BF1806">
        <v>2</v>
      </c>
      <c r="BG1806">
        <v>0</v>
      </c>
      <c r="BH1806" t="s">
        <v>53</v>
      </c>
      <c r="BK1806" t="s">
        <v>65</v>
      </c>
      <c r="BL1806">
        <v>14000</v>
      </c>
      <c r="BM1806" s="1">
        <v>44837</v>
      </c>
      <c r="BN1806" s="1">
        <v>44837</v>
      </c>
      <c r="BO1806" s="1">
        <v>44837</v>
      </c>
      <c r="BP1806" s="1">
        <v>46000</v>
      </c>
      <c r="BQ1806" t="s">
        <v>51</v>
      </c>
      <c r="BS1806" t="s">
        <v>60</v>
      </c>
      <c r="BT1806" t="s">
        <v>54</v>
      </c>
      <c r="BU1806" t="s">
        <v>61</v>
      </c>
      <c r="BV1806" t="s">
        <v>62</v>
      </c>
      <c r="BX1806">
        <v>36</v>
      </c>
      <c r="BY1806">
        <v>0</v>
      </c>
      <c r="BZ1806">
        <v>0</v>
      </c>
    </row>
    <row r="1807" spans="1:78" x14ac:dyDescent="0.2">
      <c r="A1807" t="s">
        <v>367</v>
      </c>
      <c r="B1807" t="s">
        <v>440</v>
      </c>
      <c r="C1807" t="s">
        <v>441</v>
      </c>
      <c r="D1807" t="s">
        <v>434</v>
      </c>
      <c r="F1807" t="str">
        <f>"130828"</f>
        <v>130828</v>
      </c>
      <c r="G1807" t="s">
        <v>49</v>
      </c>
      <c r="H1807" t="s">
        <v>924</v>
      </c>
      <c r="K1807" t="s">
        <v>51</v>
      </c>
      <c r="L1807" t="s">
        <v>52</v>
      </c>
      <c r="M1807">
        <v>136663.88</v>
      </c>
      <c r="N1807">
        <v>469699.36</v>
      </c>
      <c r="O1807" t="s">
        <v>53</v>
      </c>
      <c r="P1807" t="s">
        <v>54</v>
      </c>
      <c r="Q1807" t="s">
        <v>55</v>
      </c>
      <c r="T1807" t="s">
        <v>841</v>
      </c>
      <c r="U1807">
        <v>40</v>
      </c>
      <c r="V1807" s="1">
        <v>34961</v>
      </c>
      <c r="W1807" s="1">
        <v>34961</v>
      </c>
      <c r="X1807" s="1">
        <v>34961</v>
      </c>
      <c r="Y1807" s="1">
        <v>49571</v>
      </c>
      <c r="Z1807" t="s">
        <v>51</v>
      </c>
      <c r="AB1807" t="s">
        <v>54</v>
      </c>
      <c r="AC1807">
        <v>1</v>
      </c>
      <c r="AE1807" t="s">
        <v>64</v>
      </c>
      <c r="AF1807">
        <v>20</v>
      </c>
      <c r="AG1807" s="1">
        <v>40655</v>
      </c>
      <c r="AH1807" s="1">
        <v>40655</v>
      </c>
      <c r="AI1807" s="1">
        <v>40655</v>
      </c>
      <c r="AJ1807" s="1">
        <v>47960</v>
      </c>
      <c r="AK1807" t="s">
        <v>51</v>
      </c>
      <c r="AN1807">
        <v>0</v>
      </c>
      <c r="AO1807" t="s">
        <v>54</v>
      </c>
      <c r="AP1807" t="s">
        <v>53</v>
      </c>
      <c r="AQ1807">
        <v>0</v>
      </c>
      <c r="AR1807" t="s">
        <v>53</v>
      </c>
      <c r="AS1807">
        <v>0</v>
      </c>
      <c r="AT1807">
        <v>0</v>
      </c>
      <c r="AW1807" t="s">
        <v>58</v>
      </c>
      <c r="AX1807">
        <v>20</v>
      </c>
      <c r="AY1807" s="1">
        <v>40655</v>
      </c>
      <c r="AZ1807" s="1">
        <v>40655</v>
      </c>
      <c r="BA1807" s="1">
        <v>40655</v>
      </c>
      <c r="BB1807" s="1">
        <v>47960</v>
      </c>
      <c r="BC1807" t="s">
        <v>51</v>
      </c>
      <c r="BE1807" t="s">
        <v>54</v>
      </c>
      <c r="BF1807">
        <v>2</v>
      </c>
      <c r="BG1807">
        <v>0</v>
      </c>
      <c r="BH1807" t="s">
        <v>53</v>
      </c>
      <c r="BK1807" t="s">
        <v>65</v>
      </c>
      <c r="BL1807">
        <v>14000</v>
      </c>
      <c r="BM1807" s="1">
        <v>40655</v>
      </c>
      <c r="BN1807" s="1">
        <v>40655</v>
      </c>
      <c r="BO1807" s="1">
        <v>40655</v>
      </c>
      <c r="BP1807" s="1">
        <v>41879</v>
      </c>
      <c r="BQ1807" t="s">
        <v>51</v>
      </c>
      <c r="BS1807" t="s">
        <v>60</v>
      </c>
      <c r="BT1807" t="s">
        <v>54</v>
      </c>
      <c r="BU1807" t="s">
        <v>61</v>
      </c>
      <c r="BV1807" t="s">
        <v>62</v>
      </c>
      <c r="BX1807">
        <v>36</v>
      </c>
      <c r="BY1807">
        <v>0</v>
      </c>
      <c r="BZ1807">
        <v>0</v>
      </c>
    </row>
    <row r="1808" spans="1:78" x14ac:dyDescent="0.2">
      <c r="A1808" t="s">
        <v>367</v>
      </c>
      <c r="B1808" t="s">
        <v>440</v>
      </c>
      <c r="C1808" t="s">
        <v>441</v>
      </c>
      <c r="D1808" t="s">
        <v>434</v>
      </c>
      <c r="F1808" t="str">
        <f>"130900"</f>
        <v>130900</v>
      </c>
      <c r="G1808" t="s">
        <v>49</v>
      </c>
      <c r="H1808" t="s">
        <v>925</v>
      </c>
      <c r="K1808" t="s">
        <v>51</v>
      </c>
      <c r="L1808" t="s">
        <v>52</v>
      </c>
      <c r="M1808">
        <v>136466.56</v>
      </c>
      <c r="N1808">
        <v>469364.47</v>
      </c>
      <c r="O1808" t="s">
        <v>53</v>
      </c>
      <c r="P1808" t="s">
        <v>54</v>
      </c>
      <c r="Q1808" t="s">
        <v>55</v>
      </c>
      <c r="T1808" t="s">
        <v>841</v>
      </c>
      <c r="U1808">
        <v>40</v>
      </c>
      <c r="V1808" s="1">
        <v>34982</v>
      </c>
      <c r="W1808" s="1">
        <v>34982</v>
      </c>
      <c r="X1808" s="1">
        <v>34982</v>
      </c>
      <c r="Y1808" s="1">
        <v>49592</v>
      </c>
      <c r="Z1808" t="s">
        <v>51</v>
      </c>
      <c r="AB1808" t="s">
        <v>54</v>
      </c>
      <c r="AC1808">
        <v>1</v>
      </c>
      <c r="AE1808" t="s">
        <v>844</v>
      </c>
      <c r="AF1808">
        <v>20</v>
      </c>
      <c r="AG1808" s="1">
        <v>29586</v>
      </c>
      <c r="AH1808" s="1">
        <v>29586</v>
      </c>
      <c r="AI1808" s="1">
        <v>34982</v>
      </c>
      <c r="AJ1808" s="1">
        <v>36891</v>
      </c>
      <c r="AK1808" t="s">
        <v>51</v>
      </c>
      <c r="AN1808">
        <v>0</v>
      </c>
      <c r="AO1808" t="s">
        <v>54</v>
      </c>
      <c r="AP1808" t="s">
        <v>53</v>
      </c>
      <c r="AQ1808">
        <v>0</v>
      </c>
      <c r="AR1808" t="s">
        <v>53</v>
      </c>
      <c r="AS1808">
        <v>0</v>
      </c>
      <c r="AT1808">
        <v>0</v>
      </c>
      <c r="AW1808" t="s">
        <v>58</v>
      </c>
      <c r="AX1808">
        <v>20</v>
      </c>
      <c r="AY1808" s="1">
        <v>29586</v>
      </c>
      <c r="AZ1808" s="1">
        <v>29586</v>
      </c>
      <c r="BA1808" s="1">
        <v>34982</v>
      </c>
      <c r="BB1808" s="1">
        <v>36891</v>
      </c>
      <c r="BC1808" t="s">
        <v>51</v>
      </c>
      <c r="BE1808" t="s">
        <v>54</v>
      </c>
      <c r="BF1808">
        <v>2</v>
      </c>
      <c r="BG1808">
        <v>0</v>
      </c>
      <c r="BH1808" t="s">
        <v>53</v>
      </c>
      <c r="BK1808" t="s">
        <v>926</v>
      </c>
      <c r="BL1808">
        <v>12000</v>
      </c>
      <c r="BM1808" s="1">
        <v>38261</v>
      </c>
      <c r="BN1808" s="1">
        <v>38261</v>
      </c>
      <c r="BO1808" s="1">
        <v>38261</v>
      </c>
      <c r="BP1808" s="1">
        <v>39253</v>
      </c>
      <c r="BQ1808" t="s">
        <v>51</v>
      </c>
      <c r="BS1808" t="s">
        <v>60</v>
      </c>
      <c r="BT1808" t="s">
        <v>54</v>
      </c>
      <c r="BU1808" t="s">
        <v>72</v>
      </c>
      <c r="BV1808" t="s">
        <v>73</v>
      </c>
      <c r="BX1808">
        <v>36</v>
      </c>
      <c r="BY1808">
        <v>0</v>
      </c>
      <c r="BZ1808">
        <v>0</v>
      </c>
    </row>
    <row r="1809" spans="1:99" x14ac:dyDescent="0.2">
      <c r="A1809" t="s">
        <v>367</v>
      </c>
      <c r="B1809" t="s">
        <v>440</v>
      </c>
      <c r="C1809" t="s">
        <v>441</v>
      </c>
      <c r="D1809" t="s">
        <v>823</v>
      </c>
      <c r="F1809" t="str">
        <f>"132562"</f>
        <v>132562</v>
      </c>
      <c r="G1809" t="s">
        <v>49</v>
      </c>
      <c r="H1809" t="s">
        <v>927</v>
      </c>
      <c r="K1809" t="s">
        <v>51</v>
      </c>
      <c r="L1809" t="s">
        <v>52</v>
      </c>
      <c r="M1809">
        <v>134493.63</v>
      </c>
      <c r="N1809">
        <v>468850.94</v>
      </c>
      <c r="O1809" t="s">
        <v>53</v>
      </c>
      <c r="P1809" t="s">
        <v>54</v>
      </c>
      <c r="Q1809" t="s">
        <v>55</v>
      </c>
      <c r="T1809" t="s">
        <v>818</v>
      </c>
      <c r="U1809">
        <v>40</v>
      </c>
      <c r="V1809" s="1">
        <v>39654</v>
      </c>
      <c r="W1809" s="1">
        <v>39654</v>
      </c>
      <c r="X1809" s="1">
        <v>39654</v>
      </c>
      <c r="Y1809" s="1">
        <v>54264</v>
      </c>
      <c r="Z1809" t="s">
        <v>51</v>
      </c>
      <c r="AB1809" t="s">
        <v>54</v>
      </c>
      <c r="AC1809">
        <v>1</v>
      </c>
      <c r="AE1809" t="s">
        <v>827</v>
      </c>
      <c r="AF1809">
        <v>20</v>
      </c>
      <c r="AG1809" s="1">
        <v>39654</v>
      </c>
      <c r="AH1809" s="1">
        <v>39654</v>
      </c>
      <c r="AI1809" s="1">
        <v>39654</v>
      </c>
      <c r="AJ1809" s="1">
        <v>46959</v>
      </c>
      <c r="AK1809" t="s">
        <v>51</v>
      </c>
      <c r="AN1809">
        <v>0</v>
      </c>
      <c r="AO1809" t="s">
        <v>54</v>
      </c>
      <c r="AP1809" t="s">
        <v>53</v>
      </c>
      <c r="AQ1809">
        <v>0</v>
      </c>
      <c r="AR1809" t="s">
        <v>53</v>
      </c>
      <c r="AS1809">
        <v>0</v>
      </c>
      <c r="AT1809">
        <v>0</v>
      </c>
      <c r="AW1809" t="s">
        <v>58</v>
      </c>
      <c r="AX1809">
        <v>20</v>
      </c>
      <c r="AY1809" s="1">
        <v>39654</v>
      </c>
      <c r="AZ1809" s="1">
        <v>39654</v>
      </c>
      <c r="BA1809" s="1">
        <v>39654</v>
      </c>
      <c r="BB1809" s="1">
        <v>46959</v>
      </c>
      <c r="BC1809" t="s">
        <v>51</v>
      </c>
      <c r="BE1809" t="s">
        <v>54</v>
      </c>
      <c r="BF1809">
        <v>2</v>
      </c>
      <c r="BG1809">
        <v>0</v>
      </c>
      <c r="BH1809" t="s">
        <v>53</v>
      </c>
      <c r="BK1809" t="s">
        <v>720</v>
      </c>
      <c r="BL1809">
        <v>17000</v>
      </c>
      <c r="BM1809" s="1">
        <v>42917</v>
      </c>
      <c r="BN1809" s="1">
        <v>42917</v>
      </c>
      <c r="BO1809" s="1">
        <v>42917</v>
      </c>
      <c r="BP1809" s="1">
        <v>44339</v>
      </c>
      <c r="BQ1809" t="s">
        <v>51</v>
      </c>
      <c r="BS1809" t="s">
        <v>60</v>
      </c>
      <c r="BT1809" t="s">
        <v>54</v>
      </c>
      <c r="BU1809" t="s">
        <v>721</v>
      </c>
      <c r="BV1809" t="s">
        <v>722</v>
      </c>
      <c r="BX1809">
        <v>18</v>
      </c>
      <c r="BY1809">
        <v>0</v>
      </c>
      <c r="BZ1809">
        <v>0</v>
      </c>
    </row>
    <row r="1810" spans="1:99" x14ac:dyDescent="0.2">
      <c r="A1810" t="s">
        <v>367</v>
      </c>
      <c r="B1810" t="s">
        <v>440</v>
      </c>
      <c r="C1810" t="s">
        <v>441</v>
      </c>
      <c r="D1810" t="s">
        <v>908</v>
      </c>
      <c r="F1810" t="str">
        <f>"132917"</f>
        <v>132917</v>
      </c>
      <c r="G1810" t="s">
        <v>49</v>
      </c>
      <c r="H1810" t="s">
        <v>928</v>
      </c>
      <c r="K1810" t="s">
        <v>51</v>
      </c>
      <c r="L1810" t="s">
        <v>52</v>
      </c>
      <c r="M1810">
        <v>136150.82</v>
      </c>
      <c r="N1810">
        <v>468845.48</v>
      </c>
      <c r="O1810" t="s">
        <v>53</v>
      </c>
      <c r="P1810" t="s">
        <v>54</v>
      </c>
      <c r="Q1810" t="s">
        <v>55</v>
      </c>
      <c r="T1810" t="s">
        <v>818</v>
      </c>
      <c r="U1810">
        <v>40</v>
      </c>
      <c r="V1810" s="1">
        <v>38852</v>
      </c>
      <c r="W1810" s="1">
        <v>38852</v>
      </c>
      <c r="X1810" s="1">
        <v>38852</v>
      </c>
      <c r="Y1810" s="1">
        <v>53462</v>
      </c>
      <c r="Z1810" t="s">
        <v>51</v>
      </c>
      <c r="AB1810" t="s">
        <v>54</v>
      </c>
      <c r="AC1810">
        <v>1</v>
      </c>
      <c r="AE1810" t="s">
        <v>825</v>
      </c>
      <c r="AF1810">
        <v>20</v>
      </c>
      <c r="AG1810" s="1">
        <v>40506</v>
      </c>
      <c r="AH1810" s="1">
        <v>40506</v>
      </c>
      <c r="AI1810" s="1">
        <v>40506</v>
      </c>
      <c r="AJ1810" s="1">
        <v>47811</v>
      </c>
      <c r="AK1810" t="s">
        <v>51</v>
      </c>
      <c r="AN1810">
        <v>0</v>
      </c>
      <c r="AO1810" t="s">
        <v>54</v>
      </c>
      <c r="AP1810" t="s">
        <v>53</v>
      </c>
      <c r="AQ1810">
        <v>0</v>
      </c>
      <c r="AR1810" t="s">
        <v>53</v>
      </c>
      <c r="AS1810">
        <v>0</v>
      </c>
      <c r="AT1810">
        <v>0</v>
      </c>
      <c r="AW1810" t="s">
        <v>58</v>
      </c>
      <c r="AX1810">
        <v>20</v>
      </c>
      <c r="AY1810" s="1">
        <v>40506</v>
      </c>
      <c r="AZ1810" s="1">
        <v>40506</v>
      </c>
      <c r="BA1810" s="1">
        <v>40506</v>
      </c>
      <c r="BB1810" s="1">
        <v>47811</v>
      </c>
      <c r="BC1810" t="s">
        <v>51</v>
      </c>
      <c r="BE1810" t="s">
        <v>54</v>
      </c>
      <c r="BF1810">
        <v>2</v>
      </c>
      <c r="BG1810">
        <v>0</v>
      </c>
      <c r="BH1810" t="s">
        <v>53</v>
      </c>
      <c r="BK1810" t="s">
        <v>59</v>
      </c>
      <c r="BL1810">
        <v>14000</v>
      </c>
      <c r="BM1810" s="1">
        <v>40506</v>
      </c>
      <c r="BN1810" s="1">
        <v>40506</v>
      </c>
      <c r="BO1810" s="1">
        <v>40506</v>
      </c>
      <c r="BP1810" s="1">
        <v>41664</v>
      </c>
      <c r="BQ1810" t="s">
        <v>51</v>
      </c>
      <c r="BS1810" t="s">
        <v>60</v>
      </c>
      <c r="BT1810" t="s">
        <v>54</v>
      </c>
      <c r="BU1810" t="s">
        <v>61</v>
      </c>
      <c r="BV1810" t="s">
        <v>62</v>
      </c>
      <c r="BX1810">
        <v>24</v>
      </c>
      <c r="BY1810">
        <v>0</v>
      </c>
      <c r="BZ1810">
        <v>0</v>
      </c>
    </row>
    <row r="1811" spans="1:99" x14ac:dyDescent="0.2">
      <c r="A1811" t="s">
        <v>367</v>
      </c>
      <c r="B1811" t="s">
        <v>440</v>
      </c>
      <c r="C1811" t="s">
        <v>441</v>
      </c>
      <c r="D1811" t="s">
        <v>846</v>
      </c>
      <c r="F1811" t="str">
        <f>"136088"</f>
        <v>136088</v>
      </c>
      <c r="G1811" t="s">
        <v>49</v>
      </c>
      <c r="H1811" t="s">
        <v>929</v>
      </c>
      <c r="K1811" t="s">
        <v>51</v>
      </c>
      <c r="L1811" t="s">
        <v>52</v>
      </c>
      <c r="M1811">
        <v>133208.69</v>
      </c>
      <c r="N1811">
        <v>468887.02</v>
      </c>
      <c r="O1811" t="s">
        <v>53</v>
      </c>
      <c r="P1811" t="s">
        <v>54</v>
      </c>
      <c r="Q1811" t="s">
        <v>55</v>
      </c>
      <c r="T1811" t="s">
        <v>841</v>
      </c>
      <c r="U1811">
        <v>40</v>
      </c>
      <c r="V1811" s="1">
        <v>35373</v>
      </c>
      <c r="W1811" s="1">
        <v>35373</v>
      </c>
      <c r="X1811" s="1">
        <v>35373</v>
      </c>
      <c r="Y1811" s="1">
        <v>49983</v>
      </c>
      <c r="Z1811" t="s">
        <v>51</v>
      </c>
      <c r="AB1811" t="s">
        <v>54</v>
      </c>
      <c r="AE1811" t="s">
        <v>356</v>
      </c>
      <c r="AF1811">
        <v>20</v>
      </c>
      <c r="AG1811" s="1">
        <v>44369</v>
      </c>
      <c r="AH1811" s="1">
        <v>44369</v>
      </c>
      <c r="AI1811" s="1">
        <v>44369</v>
      </c>
      <c r="AJ1811" s="1">
        <v>51674</v>
      </c>
      <c r="AK1811" t="s">
        <v>51</v>
      </c>
      <c r="AN1811">
        <v>0</v>
      </c>
      <c r="AO1811" t="s">
        <v>54</v>
      </c>
      <c r="AP1811" t="s">
        <v>53</v>
      </c>
      <c r="AQ1811">
        <v>0</v>
      </c>
      <c r="AR1811" t="s">
        <v>145</v>
      </c>
      <c r="AS1811">
        <v>0</v>
      </c>
      <c r="AT1811">
        <v>0</v>
      </c>
      <c r="AW1811" t="s">
        <v>172</v>
      </c>
      <c r="AX1811">
        <v>15</v>
      </c>
      <c r="AY1811" s="1">
        <v>44369</v>
      </c>
      <c r="AZ1811" s="1">
        <v>44369</v>
      </c>
      <c r="BA1811" s="1">
        <v>44369</v>
      </c>
      <c r="BB1811" s="1">
        <v>49848</v>
      </c>
      <c r="BC1811" t="s">
        <v>51</v>
      </c>
      <c r="BE1811" t="s">
        <v>54</v>
      </c>
      <c r="BF1811">
        <v>40</v>
      </c>
      <c r="BG1811">
        <v>0</v>
      </c>
      <c r="BH1811" t="s">
        <v>145</v>
      </c>
      <c r="CC1811" t="s">
        <v>250</v>
      </c>
      <c r="CD1811">
        <v>100000</v>
      </c>
      <c r="CE1811" s="1">
        <v>44369</v>
      </c>
      <c r="CF1811" s="1">
        <v>44369</v>
      </c>
      <c r="CG1811" s="1">
        <v>44369</v>
      </c>
      <c r="CH1811" s="1">
        <v>52844</v>
      </c>
      <c r="CI1811" t="s">
        <v>51</v>
      </c>
      <c r="CK1811" t="s">
        <v>78</v>
      </c>
      <c r="CM1811" t="s">
        <v>54</v>
      </c>
      <c r="CN1811" t="s">
        <v>174</v>
      </c>
      <c r="CR1811">
        <v>13.2</v>
      </c>
      <c r="CS1811">
        <v>1800</v>
      </c>
      <c r="CT1811">
        <v>0</v>
      </c>
      <c r="CU1811">
        <v>16</v>
      </c>
    </row>
    <row r="1812" spans="1:99" x14ac:dyDescent="0.2">
      <c r="A1812" t="s">
        <v>367</v>
      </c>
      <c r="B1812" t="s">
        <v>440</v>
      </c>
      <c r="C1812" t="s">
        <v>441</v>
      </c>
      <c r="D1812" t="s">
        <v>846</v>
      </c>
      <c r="F1812" t="str">
        <f>"136089"</f>
        <v>136089</v>
      </c>
      <c r="G1812" t="s">
        <v>49</v>
      </c>
      <c r="H1812" t="s">
        <v>930</v>
      </c>
      <c r="K1812" t="s">
        <v>51</v>
      </c>
      <c r="L1812" t="s">
        <v>52</v>
      </c>
      <c r="M1812">
        <v>133215.25</v>
      </c>
      <c r="N1812">
        <v>468908.82</v>
      </c>
      <c r="O1812" t="s">
        <v>53</v>
      </c>
      <c r="P1812" t="s">
        <v>54</v>
      </c>
      <c r="Q1812" t="s">
        <v>55</v>
      </c>
      <c r="T1812" t="s">
        <v>841</v>
      </c>
      <c r="U1812">
        <v>40</v>
      </c>
      <c r="V1812" s="1">
        <v>35373</v>
      </c>
      <c r="W1812" s="1">
        <v>35373</v>
      </c>
      <c r="X1812" s="1">
        <v>35373</v>
      </c>
      <c r="Y1812" s="1">
        <v>49983</v>
      </c>
      <c r="Z1812" t="s">
        <v>51</v>
      </c>
      <c r="AB1812" t="s">
        <v>54</v>
      </c>
      <c r="AE1812" t="s">
        <v>342</v>
      </c>
      <c r="AF1812">
        <v>20</v>
      </c>
      <c r="AG1812" s="1">
        <v>44369</v>
      </c>
      <c r="AH1812" s="1">
        <v>44369</v>
      </c>
      <c r="AI1812" s="1">
        <v>44369</v>
      </c>
      <c r="AJ1812" s="1">
        <v>51674</v>
      </c>
      <c r="AK1812" t="s">
        <v>51</v>
      </c>
      <c r="AN1812">
        <v>0</v>
      </c>
      <c r="AO1812" t="s">
        <v>54</v>
      </c>
      <c r="AP1812" t="s">
        <v>53</v>
      </c>
      <c r="AQ1812">
        <v>0</v>
      </c>
      <c r="AR1812" t="s">
        <v>145</v>
      </c>
      <c r="AS1812">
        <v>19</v>
      </c>
      <c r="AT1812">
        <v>1800</v>
      </c>
      <c r="AW1812" t="s">
        <v>172</v>
      </c>
      <c r="AX1812">
        <v>15</v>
      </c>
      <c r="AY1812" s="1">
        <v>44369</v>
      </c>
      <c r="AZ1812" s="1">
        <v>44369</v>
      </c>
      <c r="BA1812" s="1">
        <v>44369</v>
      </c>
      <c r="BB1812" s="1">
        <v>49848</v>
      </c>
      <c r="BC1812" t="s">
        <v>51</v>
      </c>
      <c r="BE1812" t="s">
        <v>54</v>
      </c>
      <c r="BF1812">
        <v>40</v>
      </c>
      <c r="BG1812">
        <v>0</v>
      </c>
      <c r="BH1812" t="s">
        <v>145</v>
      </c>
      <c r="CC1812" t="s">
        <v>250</v>
      </c>
      <c r="CD1812">
        <v>100000</v>
      </c>
      <c r="CE1812" s="1">
        <v>44369</v>
      </c>
      <c r="CF1812" s="1">
        <v>44369</v>
      </c>
      <c r="CG1812" s="1">
        <v>44369</v>
      </c>
      <c r="CH1812" s="1">
        <v>52844</v>
      </c>
      <c r="CI1812" t="s">
        <v>51</v>
      </c>
      <c r="CK1812" t="s">
        <v>78</v>
      </c>
      <c r="CM1812" t="s">
        <v>54</v>
      </c>
      <c r="CN1812" t="s">
        <v>174</v>
      </c>
      <c r="CR1812">
        <v>13.2</v>
      </c>
      <c r="CS1812">
        <v>1800</v>
      </c>
      <c r="CT1812">
        <v>0</v>
      </c>
      <c r="CU1812">
        <v>16</v>
      </c>
    </row>
    <row r="1813" spans="1:99" x14ac:dyDescent="0.2">
      <c r="A1813" t="s">
        <v>367</v>
      </c>
      <c r="B1813" t="s">
        <v>440</v>
      </c>
      <c r="C1813" t="s">
        <v>441</v>
      </c>
      <c r="D1813" t="s">
        <v>908</v>
      </c>
      <c r="F1813" t="str">
        <f>"145822"</f>
        <v>145822</v>
      </c>
      <c r="G1813" t="s">
        <v>49</v>
      </c>
      <c r="H1813" t="s">
        <v>931</v>
      </c>
      <c r="K1813" t="s">
        <v>51</v>
      </c>
      <c r="L1813" t="s">
        <v>52</v>
      </c>
      <c r="M1813">
        <v>136195.98000000001</v>
      </c>
      <c r="N1813">
        <v>468957.22</v>
      </c>
      <c r="O1813" t="s">
        <v>53</v>
      </c>
      <c r="P1813" t="s">
        <v>54</v>
      </c>
      <c r="Q1813" t="s">
        <v>55</v>
      </c>
      <c r="T1813" t="s">
        <v>841</v>
      </c>
      <c r="U1813">
        <v>40</v>
      </c>
      <c r="V1813" s="1">
        <v>36229</v>
      </c>
      <c r="W1813" s="1">
        <v>36229</v>
      </c>
      <c r="X1813" s="1">
        <v>36229</v>
      </c>
      <c r="Y1813" s="1">
        <v>50839</v>
      </c>
      <c r="Z1813" t="s">
        <v>51</v>
      </c>
      <c r="AB1813" t="s">
        <v>54</v>
      </c>
      <c r="AC1813">
        <v>1</v>
      </c>
      <c r="AE1813" t="s">
        <v>64</v>
      </c>
      <c r="AF1813">
        <v>20</v>
      </c>
      <c r="AG1813" s="1">
        <v>40655</v>
      </c>
      <c r="AH1813" s="1">
        <v>40655</v>
      </c>
      <c r="AI1813" s="1">
        <v>40655</v>
      </c>
      <c r="AJ1813" s="1">
        <v>47960</v>
      </c>
      <c r="AK1813" t="s">
        <v>51</v>
      </c>
      <c r="AN1813">
        <v>0</v>
      </c>
      <c r="AO1813" t="s">
        <v>54</v>
      </c>
      <c r="AP1813" t="s">
        <v>53</v>
      </c>
      <c r="AQ1813">
        <v>0</v>
      </c>
      <c r="AR1813" t="s">
        <v>53</v>
      </c>
      <c r="AS1813">
        <v>0</v>
      </c>
      <c r="AT1813">
        <v>0</v>
      </c>
      <c r="BH1813" t="s">
        <v>53</v>
      </c>
    </row>
    <row r="1814" spans="1:99" x14ac:dyDescent="0.2">
      <c r="A1814" t="s">
        <v>367</v>
      </c>
      <c r="B1814" t="s">
        <v>440</v>
      </c>
      <c r="C1814" t="s">
        <v>441</v>
      </c>
      <c r="D1814" t="s">
        <v>806</v>
      </c>
      <c r="F1814" t="str">
        <f>"161480"</f>
        <v>161480</v>
      </c>
      <c r="G1814" t="s">
        <v>49</v>
      </c>
      <c r="H1814" t="s">
        <v>932</v>
      </c>
      <c r="K1814" t="s">
        <v>51</v>
      </c>
      <c r="L1814" t="s">
        <v>52</v>
      </c>
      <c r="M1814">
        <v>133207.98000000001</v>
      </c>
      <c r="N1814">
        <v>468816.49</v>
      </c>
      <c r="O1814" t="s">
        <v>53</v>
      </c>
      <c r="P1814" t="s">
        <v>54</v>
      </c>
      <c r="Q1814" t="s">
        <v>55</v>
      </c>
      <c r="T1814" t="s">
        <v>933</v>
      </c>
      <c r="U1814">
        <v>40</v>
      </c>
      <c r="V1814" s="1">
        <v>37076</v>
      </c>
      <c r="W1814" s="1">
        <v>37076</v>
      </c>
      <c r="X1814" s="1">
        <v>37076</v>
      </c>
      <c r="Y1814" s="1">
        <v>51686</v>
      </c>
      <c r="Z1814" t="s">
        <v>51</v>
      </c>
      <c r="AB1814" t="s">
        <v>54</v>
      </c>
      <c r="AC1814">
        <v>1</v>
      </c>
      <c r="AE1814" t="s">
        <v>934</v>
      </c>
      <c r="AF1814">
        <v>20</v>
      </c>
      <c r="AG1814" s="1">
        <v>44196</v>
      </c>
      <c r="AH1814" s="1">
        <v>44196</v>
      </c>
      <c r="AI1814" s="1">
        <v>44196</v>
      </c>
      <c r="AK1814" t="s">
        <v>51</v>
      </c>
      <c r="AN1814">
        <v>0</v>
      </c>
      <c r="AO1814" t="s">
        <v>54</v>
      </c>
      <c r="AP1814" t="s">
        <v>53</v>
      </c>
      <c r="AQ1814">
        <v>0</v>
      </c>
      <c r="AR1814" t="s">
        <v>53</v>
      </c>
      <c r="AS1814">
        <v>0</v>
      </c>
      <c r="AT1814">
        <v>0</v>
      </c>
      <c r="AW1814" t="s">
        <v>172</v>
      </c>
      <c r="AX1814">
        <v>15</v>
      </c>
      <c r="AY1814" s="1">
        <v>44196</v>
      </c>
      <c r="AZ1814" s="1">
        <v>44196</v>
      </c>
      <c r="BA1814" s="1">
        <v>44196</v>
      </c>
      <c r="BC1814" t="s">
        <v>51</v>
      </c>
      <c r="BE1814" t="s">
        <v>54</v>
      </c>
      <c r="BF1814">
        <v>40</v>
      </c>
      <c r="BG1814">
        <v>0</v>
      </c>
      <c r="BH1814" t="s">
        <v>145</v>
      </c>
      <c r="CC1814" t="s">
        <v>669</v>
      </c>
      <c r="CD1814">
        <v>85000</v>
      </c>
      <c r="CE1814" s="1">
        <v>44196</v>
      </c>
      <c r="CF1814" s="1">
        <v>44196</v>
      </c>
      <c r="CG1814" s="1">
        <v>44196</v>
      </c>
      <c r="CI1814" t="s">
        <v>51</v>
      </c>
      <c r="CK1814" t="s">
        <v>78</v>
      </c>
      <c r="CM1814" t="s">
        <v>54</v>
      </c>
      <c r="CN1814" t="s">
        <v>174</v>
      </c>
      <c r="CO1814" t="s">
        <v>86</v>
      </c>
      <c r="CR1814">
        <v>50</v>
      </c>
      <c r="CS1814">
        <v>0</v>
      </c>
      <c r="CT1814">
        <v>0</v>
      </c>
      <c r="CU1814">
        <v>0</v>
      </c>
    </row>
    <row r="1815" spans="1:99" x14ac:dyDescent="0.2">
      <c r="A1815" t="s">
        <v>367</v>
      </c>
      <c r="B1815" t="s">
        <v>440</v>
      </c>
      <c r="C1815" t="s">
        <v>441</v>
      </c>
      <c r="D1815" t="s">
        <v>806</v>
      </c>
      <c r="F1815" t="str">
        <f>"161488"</f>
        <v>161488</v>
      </c>
      <c r="G1815" t="s">
        <v>49</v>
      </c>
      <c r="H1815" t="s">
        <v>935</v>
      </c>
      <c r="K1815" t="s">
        <v>51</v>
      </c>
      <c r="L1815" t="s">
        <v>52</v>
      </c>
      <c r="M1815">
        <v>133238.35</v>
      </c>
      <c r="N1815">
        <v>468811.89</v>
      </c>
      <c r="O1815" t="s">
        <v>53</v>
      </c>
      <c r="P1815" t="s">
        <v>54</v>
      </c>
      <c r="Q1815" t="s">
        <v>55</v>
      </c>
      <c r="T1815" t="s">
        <v>933</v>
      </c>
      <c r="U1815">
        <v>40</v>
      </c>
      <c r="V1815" s="1">
        <v>37076</v>
      </c>
      <c r="W1815" s="1">
        <v>37076</v>
      </c>
      <c r="X1815" s="1">
        <v>37076</v>
      </c>
      <c r="Y1815" s="1">
        <v>51686</v>
      </c>
      <c r="Z1815" t="s">
        <v>51</v>
      </c>
      <c r="AB1815" t="s">
        <v>54</v>
      </c>
      <c r="AC1815">
        <v>1</v>
      </c>
      <c r="AE1815" t="s">
        <v>934</v>
      </c>
      <c r="AF1815">
        <v>20</v>
      </c>
      <c r="AG1815" s="1">
        <v>44196</v>
      </c>
      <c r="AH1815" s="1">
        <v>44196</v>
      </c>
      <c r="AI1815" s="1">
        <v>44196</v>
      </c>
      <c r="AK1815" t="s">
        <v>51</v>
      </c>
      <c r="AN1815">
        <v>0</v>
      </c>
      <c r="AO1815" t="s">
        <v>54</v>
      </c>
      <c r="AP1815" t="s">
        <v>53</v>
      </c>
      <c r="AQ1815">
        <v>0</v>
      </c>
      <c r="AR1815" t="s">
        <v>53</v>
      </c>
      <c r="AS1815">
        <v>0</v>
      </c>
      <c r="AT1815">
        <v>0</v>
      </c>
      <c r="AW1815" t="s">
        <v>172</v>
      </c>
      <c r="AX1815">
        <v>15</v>
      </c>
      <c r="AY1815" s="1">
        <v>44196</v>
      </c>
      <c r="AZ1815" s="1">
        <v>44196</v>
      </c>
      <c r="BA1815" s="1">
        <v>44196</v>
      </c>
      <c r="BC1815" t="s">
        <v>51</v>
      </c>
      <c r="BE1815" t="s">
        <v>54</v>
      </c>
      <c r="BF1815">
        <v>40</v>
      </c>
      <c r="BG1815">
        <v>0</v>
      </c>
      <c r="BH1815" t="s">
        <v>145</v>
      </c>
      <c r="CC1815" t="s">
        <v>669</v>
      </c>
      <c r="CD1815">
        <v>85000</v>
      </c>
      <c r="CE1815" s="1">
        <v>44196</v>
      </c>
      <c r="CF1815" s="1">
        <v>44196</v>
      </c>
      <c r="CG1815" s="1">
        <v>44196</v>
      </c>
      <c r="CI1815" t="s">
        <v>51</v>
      </c>
      <c r="CK1815" t="s">
        <v>78</v>
      </c>
      <c r="CM1815" t="s">
        <v>54</v>
      </c>
      <c r="CN1815" t="s">
        <v>174</v>
      </c>
      <c r="CO1815" t="s">
        <v>86</v>
      </c>
      <c r="CR1815">
        <v>50</v>
      </c>
      <c r="CS1815">
        <v>0</v>
      </c>
      <c r="CT1815">
        <v>0</v>
      </c>
      <c r="CU1815">
        <v>0</v>
      </c>
    </row>
    <row r="1816" spans="1:99" x14ac:dyDescent="0.2">
      <c r="A1816" t="s">
        <v>367</v>
      </c>
      <c r="B1816" t="s">
        <v>440</v>
      </c>
      <c r="C1816" t="s">
        <v>441</v>
      </c>
      <c r="D1816" t="s">
        <v>806</v>
      </c>
      <c r="F1816" t="str">
        <f>"161489"</f>
        <v>161489</v>
      </c>
      <c r="G1816" t="s">
        <v>49</v>
      </c>
      <c r="H1816" t="s">
        <v>936</v>
      </c>
      <c r="K1816" t="s">
        <v>51</v>
      </c>
      <c r="L1816" t="s">
        <v>52</v>
      </c>
      <c r="M1816">
        <v>133267.25</v>
      </c>
      <c r="N1816">
        <v>468820.93</v>
      </c>
      <c r="O1816" t="s">
        <v>53</v>
      </c>
      <c r="P1816" t="s">
        <v>54</v>
      </c>
      <c r="Q1816" t="s">
        <v>55</v>
      </c>
      <c r="T1816" t="s">
        <v>933</v>
      </c>
      <c r="U1816">
        <v>40</v>
      </c>
      <c r="V1816" s="1">
        <v>37076</v>
      </c>
      <c r="W1816" s="1">
        <v>37076</v>
      </c>
      <c r="X1816" s="1">
        <v>37076</v>
      </c>
      <c r="Y1816" s="1">
        <v>51686</v>
      </c>
      <c r="Z1816" t="s">
        <v>51</v>
      </c>
      <c r="AB1816" t="s">
        <v>54</v>
      </c>
      <c r="AC1816">
        <v>1</v>
      </c>
      <c r="AE1816" t="s">
        <v>934</v>
      </c>
      <c r="AF1816">
        <v>20</v>
      </c>
      <c r="AG1816" s="1">
        <v>44196</v>
      </c>
      <c r="AH1816" s="1">
        <v>44196</v>
      </c>
      <c r="AI1816" s="1">
        <v>44196</v>
      </c>
      <c r="AJ1816" s="1">
        <v>51501</v>
      </c>
      <c r="AK1816" t="s">
        <v>51</v>
      </c>
      <c r="AN1816">
        <v>0</v>
      </c>
      <c r="AO1816" t="s">
        <v>54</v>
      </c>
      <c r="AP1816" t="s">
        <v>53</v>
      </c>
      <c r="AQ1816">
        <v>0</v>
      </c>
      <c r="AR1816" t="s">
        <v>53</v>
      </c>
      <c r="AS1816">
        <v>0</v>
      </c>
      <c r="AT1816">
        <v>0</v>
      </c>
      <c r="AW1816" t="s">
        <v>172</v>
      </c>
      <c r="AX1816">
        <v>15</v>
      </c>
      <c r="AY1816" s="1">
        <v>44196</v>
      </c>
      <c r="AZ1816" s="1">
        <v>44196</v>
      </c>
      <c r="BA1816" s="1">
        <v>44196</v>
      </c>
      <c r="BB1816" s="1">
        <v>49674</v>
      </c>
      <c r="BC1816" t="s">
        <v>51</v>
      </c>
      <c r="BE1816" t="s">
        <v>54</v>
      </c>
      <c r="BF1816">
        <v>40</v>
      </c>
      <c r="BG1816">
        <v>0</v>
      </c>
      <c r="BH1816" t="s">
        <v>145</v>
      </c>
      <c r="CC1816" t="s">
        <v>669</v>
      </c>
      <c r="CD1816">
        <v>85000</v>
      </c>
      <c r="CE1816" s="1">
        <v>44196</v>
      </c>
      <c r="CF1816" s="1">
        <v>44196</v>
      </c>
      <c r="CG1816" s="1">
        <v>44196</v>
      </c>
      <c r="CH1816" s="1">
        <v>51825</v>
      </c>
      <c r="CI1816" t="s">
        <v>51</v>
      </c>
      <c r="CK1816" t="s">
        <v>78</v>
      </c>
      <c r="CM1816" t="s">
        <v>54</v>
      </c>
      <c r="CN1816" t="s">
        <v>174</v>
      </c>
      <c r="CO1816" t="s">
        <v>86</v>
      </c>
      <c r="CR1816">
        <v>50</v>
      </c>
      <c r="CS1816">
        <v>0</v>
      </c>
      <c r="CT1816">
        <v>0</v>
      </c>
      <c r="CU1816">
        <v>0</v>
      </c>
    </row>
    <row r="1817" spans="1:99" x14ac:dyDescent="0.2">
      <c r="A1817" t="s">
        <v>367</v>
      </c>
      <c r="B1817" t="s">
        <v>440</v>
      </c>
      <c r="C1817" t="s">
        <v>441</v>
      </c>
      <c r="D1817" t="s">
        <v>806</v>
      </c>
      <c r="F1817" t="str">
        <f>"161490"</f>
        <v>161490</v>
      </c>
      <c r="G1817" t="s">
        <v>49</v>
      </c>
      <c r="H1817" t="s">
        <v>937</v>
      </c>
      <c r="K1817" t="s">
        <v>51</v>
      </c>
      <c r="L1817" t="s">
        <v>52</v>
      </c>
      <c r="M1817">
        <v>133359.53</v>
      </c>
      <c r="N1817">
        <v>468809.93</v>
      </c>
      <c r="O1817" t="s">
        <v>53</v>
      </c>
      <c r="P1817" t="s">
        <v>54</v>
      </c>
      <c r="Q1817" t="s">
        <v>55</v>
      </c>
      <c r="T1817" t="s">
        <v>933</v>
      </c>
      <c r="U1817">
        <v>40</v>
      </c>
      <c r="V1817" s="1">
        <v>37076</v>
      </c>
      <c r="W1817" s="1">
        <v>37076</v>
      </c>
      <c r="X1817" s="1">
        <v>37076</v>
      </c>
      <c r="Y1817" s="1">
        <v>51686</v>
      </c>
      <c r="Z1817" t="s">
        <v>51</v>
      </c>
      <c r="AB1817" t="s">
        <v>54</v>
      </c>
      <c r="AC1817">
        <v>1</v>
      </c>
      <c r="AE1817" t="s">
        <v>934</v>
      </c>
      <c r="AF1817">
        <v>20</v>
      </c>
      <c r="AG1817" s="1">
        <v>44196</v>
      </c>
      <c r="AH1817" s="1">
        <v>44196</v>
      </c>
      <c r="AI1817" s="1">
        <v>44196</v>
      </c>
      <c r="AK1817" t="s">
        <v>51</v>
      </c>
      <c r="AN1817">
        <v>0</v>
      </c>
      <c r="AO1817" t="s">
        <v>54</v>
      </c>
      <c r="AP1817" t="s">
        <v>53</v>
      </c>
      <c r="AQ1817">
        <v>0</v>
      </c>
      <c r="AR1817" t="s">
        <v>53</v>
      </c>
      <c r="AS1817">
        <v>0</v>
      </c>
      <c r="AT1817">
        <v>0</v>
      </c>
      <c r="AW1817" t="s">
        <v>172</v>
      </c>
      <c r="AX1817">
        <v>15</v>
      </c>
      <c r="AY1817" s="1">
        <v>44196</v>
      </c>
      <c r="AZ1817" s="1">
        <v>44196</v>
      </c>
      <c r="BA1817" s="1">
        <v>44196</v>
      </c>
      <c r="BC1817" t="s">
        <v>51</v>
      </c>
      <c r="BE1817" t="s">
        <v>54</v>
      </c>
      <c r="BF1817">
        <v>40</v>
      </c>
      <c r="BG1817">
        <v>0</v>
      </c>
      <c r="BH1817" t="s">
        <v>145</v>
      </c>
      <c r="CC1817" t="s">
        <v>669</v>
      </c>
      <c r="CD1817">
        <v>85000</v>
      </c>
      <c r="CE1817" s="1">
        <v>44196</v>
      </c>
      <c r="CF1817" s="1">
        <v>44196</v>
      </c>
      <c r="CG1817" s="1">
        <v>44196</v>
      </c>
      <c r="CI1817" t="s">
        <v>51</v>
      </c>
      <c r="CK1817" t="s">
        <v>78</v>
      </c>
      <c r="CM1817" t="s">
        <v>54</v>
      </c>
      <c r="CN1817" t="s">
        <v>174</v>
      </c>
      <c r="CO1817" t="s">
        <v>86</v>
      </c>
      <c r="CR1817">
        <v>50</v>
      </c>
      <c r="CS1817">
        <v>0</v>
      </c>
      <c r="CT1817">
        <v>0</v>
      </c>
      <c r="CU1817">
        <v>0</v>
      </c>
    </row>
    <row r="1818" spans="1:99" x14ac:dyDescent="0.2">
      <c r="A1818" t="s">
        <v>367</v>
      </c>
      <c r="B1818" t="s">
        <v>440</v>
      </c>
      <c r="C1818" t="s">
        <v>441</v>
      </c>
      <c r="D1818" t="s">
        <v>806</v>
      </c>
      <c r="F1818" t="str">
        <f>"161492"</f>
        <v>161492</v>
      </c>
      <c r="G1818" t="s">
        <v>49</v>
      </c>
      <c r="H1818" t="s">
        <v>938</v>
      </c>
      <c r="K1818" t="s">
        <v>51</v>
      </c>
      <c r="L1818" t="s">
        <v>52</v>
      </c>
      <c r="M1818">
        <v>133297.56</v>
      </c>
      <c r="N1818">
        <v>468811.3</v>
      </c>
      <c r="O1818" t="s">
        <v>53</v>
      </c>
      <c r="P1818" t="s">
        <v>54</v>
      </c>
      <c r="Q1818" t="s">
        <v>55</v>
      </c>
      <c r="T1818" t="s">
        <v>933</v>
      </c>
      <c r="U1818">
        <v>40</v>
      </c>
      <c r="V1818" s="1">
        <v>37076</v>
      </c>
      <c r="W1818" s="1">
        <v>37076</v>
      </c>
      <c r="X1818" s="1">
        <v>37076</v>
      </c>
      <c r="Y1818" s="1">
        <v>51686</v>
      </c>
      <c r="Z1818" t="s">
        <v>51</v>
      </c>
      <c r="AB1818" t="s">
        <v>54</v>
      </c>
      <c r="AC1818">
        <v>1</v>
      </c>
      <c r="AE1818" t="s">
        <v>934</v>
      </c>
      <c r="AF1818">
        <v>20</v>
      </c>
      <c r="AG1818" s="1">
        <v>44196</v>
      </c>
      <c r="AH1818" s="1">
        <v>44196</v>
      </c>
      <c r="AI1818" s="1">
        <v>44196</v>
      </c>
      <c r="AK1818" t="s">
        <v>51</v>
      </c>
      <c r="AN1818">
        <v>0</v>
      </c>
      <c r="AO1818" t="s">
        <v>54</v>
      </c>
      <c r="AP1818" t="s">
        <v>53</v>
      </c>
      <c r="AQ1818">
        <v>0</v>
      </c>
      <c r="AR1818" t="s">
        <v>53</v>
      </c>
      <c r="AS1818">
        <v>0</v>
      </c>
      <c r="AT1818">
        <v>0</v>
      </c>
      <c r="AW1818" t="s">
        <v>172</v>
      </c>
      <c r="AX1818">
        <v>15</v>
      </c>
      <c r="AY1818" s="1">
        <v>44196</v>
      </c>
      <c r="AZ1818" s="1">
        <v>44196</v>
      </c>
      <c r="BA1818" s="1">
        <v>44196</v>
      </c>
      <c r="BC1818" t="s">
        <v>51</v>
      </c>
      <c r="BE1818" t="s">
        <v>54</v>
      </c>
      <c r="BF1818">
        <v>40</v>
      </c>
      <c r="BG1818">
        <v>0</v>
      </c>
      <c r="BH1818" t="s">
        <v>145</v>
      </c>
      <c r="CC1818" t="s">
        <v>669</v>
      </c>
      <c r="CD1818">
        <v>85000</v>
      </c>
      <c r="CE1818" s="1">
        <v>44196</v>
      </c>
      <c r="CF1818" s="1">
        <v>44196</v>
      </c>
      <c r="CG1818" s="1">
        <v>44196</v>
      </c>
      <c r="CI1818" t="s">
        <v>51</v>
      </c>
      <c r="CK1818" t="s">
        <v>78</v>
      </c>
      <c r="CM1818" t="s">
        <v>54</v>
      </c>
      <c r="CN1818" t="s">
        <v>174</v>
      </c>
      <c r="CO1818" t="s">
        <v>86</v>
      </c>
      <c r="CR1818">
        <v>50</v>
      </c>
      <c r="CS1818">
        <v>0</v>
      </c>
      <c r="CT1818">
        <v>0</v>
      </c>
      <c r="CU1818">
        <v>0</v>
      </c>
    </row>
    <row r="1819" spans="1:99" x14ac:dyDescent="0.2">
      <c r="A1819" t="s">
        <v>367</v>
      </c>
      <c r="B1819" t="s">
        <v>440</v>
      </c>
      <c r="C1819" t="s">
        <v>441</v>
      </c>
      <c r="D1819" t="s">
        <v>806</v>
      </c>
      <c r="F1819" t="str">
        <f>"161494"</f>
        <v>161494</v>
      </c>
      <c r="G1819" t="s">
        <v>49</v>
      </c>
      <c r="H1819" t="s">
        <v>939</v>
      </c>
      <c r="K1819" t="s">
        <v>51</v>
      </c>
      <c r="L1819" t="s">
        <v>52</v>
      </c>
      <c r="M1819">
        <v>133381.89000000001</v>
      </c>
      <c r="N1819">
        <v>468819.49</v>
      </c>
      <c r="O1819" t="s">
        <v>53</v>
      </c>
      <c r="P1819" t="s">
        <v>54</v>
      </c>
      <c r="Q1819" t="s">
        <v>55</v>
      </c>
      <c r="T1819" t="s">
        <v>933</v>
      </c>
      <c r="U1819">
        <v>40</v>
      </c>
      <c r="V1819" s="1">
        <v>37076</v>
      </c>
      <c r="W1819" s="1">
        <v>37076</v>
      </c>
      <c r="X1819" s="1">
        <v>37076</v>
      </c>
      <c r="Y1819" s="1">
        <v>51686</v>
      </c>
      <c r="Z1819" t="s">
        <v>51</v>
      </c>
      <c r="AB1819" t="s">
        <v>54</v>
      </c>
      <c r="AC1819">
        <v>1</v>
      </c>
      <c r="AE1819" t="s">
        <v>934</v>
      </c>
      <c r="AF1819">
        <v>20</v>
      </c>
      <c r="AG1819" s="1">
        <v>44196</v>
      </c>
      <c r="AH1819" s="1">
        <v>44196</v>
      </c>
      <c r="AI1819" s="1">
        <v>44196</v>
      </c>
      <c r="AK1819" t="s">
        <v>51</v>
      </c>
      <c r="AN1819">
        <v>0</v>
      </c>
      <c r="AO1819" t="s">
        <v>54</v>
      </c>
      <c r="AP1819" t="s">
        <v>53</v>
      </c>
      <c r="AQ1819">
        <v>0</v>
      </c>
      <c r="AR1819" t="s">
        <v>53</v>
      </c>
      <c r="AS1819">
        <v>0</v>
      </c>
      <c r="AT1819">
        <v>0</v>
      </c>
      <c r="AW1819" t="s">
        <v>172</v>
      </c>
      <c r="AX1819">
        <v>15</v>
      </c>
      <c r="AY1819" s="1">
        <v>44196</v>
      </c>
      <c r="AZ1819" s="1">
        <v>44196</v>
      </c>
      <c r="BA1819" s="1">
        <v>44196</v>
      </c>
      <c r="BC1819" t="s">
        <v>51</v>
      </c>
      <c r="BE1819" t="s">
        <v>54</v>
      </c>
      <c r="BF1819">
        <v>40</v>
      </c>
      <c r="BG1819">
        <v>0</v>
      </c>
      <c r="BH1819" t="s">
        <v>145</v>
      </c>
      <c r="CC1819" t="s">
        <v>669</v>
      </c>
      <c r="CD1819">
        <v>85000</v>
      </c>
      <c r="CE1819" s="1">
        <v>44196</v>
      </c>
      <c r="CF1819" s="1">
        <v>44196</v>
      </c>
      <c r="CG1819" s="1">
        <v>44196</v>
      </c>
      <c r="CI1819" t="s">
        <v>51</v>
      </c>
      <c r="CK1819" t="s">
        <v>78</v>
      </c>
      <c r="CM1819" t="s">
        <v>54</v>
      </c>
      <c r="CN1819" t="s">
        <v>174</v>
      </c>
      <c r="CO1819" t="s">
        <v>86</v>
      </c>
      <c r="CR1819">
        <v>50</v>
      </c>
      <c r="CS1819">
        <v>0</v>
      </c>
      <c r="CT1819">
        <v>0</v>
      </c>
      <c r="CU1819">
        <v>0</v>
      </c>
    </row>
    <row r="1820" spans="1:99" x14ac:dyDescent="0.2">
      <c r="A1820" t="s">
        <v>367</v>
      </c>
      <c r="B1820" t="s">
        <v>440</v>
      </c>
      <c r="C1820" t="s">
        <v>441</v>
      </c>
      <c r="D1820" t="s">
        <v>806</v>
      </c>
      <c r="F1820" t="str">
        <f>"161495"</f>
        <v>161495</v>
      </c>
      <c r="G1820" t="s">
        <v>49</v>
      </c>
      <c r="H1820" t="s">
        <v>940</v>
      </c>
      <c r="K1820" t="s">
        <v>51</v>
      </c>
      <c r="L1820" t="s">
        <v>52</v>
      </c>
      <c r="M1820">
        <v>133424.37</v>
      </c>
      <c r="N1820">
        <v>468807.49</v>
      </c>
      <c r="O1820" t="s">
        <v>53</v>
      </c>
      <c r="P1820" t="s">
        <v>54</v>
      </c>
      <c r="Q1820" t="s">
        <v>55</v>
      </c>
      <c r="T1820" t="s">
        <v>933</v>
      </c>
      <c r="U1820">
        <v>40</v>
      </c>
      <c r="V1820" s="1">
        <v>37076</v>
      </c>
      <c r="W1820" s="1">
        <v>37076</v>
      </c>
      <c r="X1820" s="1">
        <v>37076</v>
      </c>
      <c r="Y1820" s="1">
        <v>51686</v>
      </c>
      <c r="Z1820" t="s">
        <v>51</v>
      </c>
      <c r="AB1820" t="s">
        <v>54</v>
      </c>
      <c r="AC1820">
        <v>1</v>
      </c>
      <c r="AE1820" t="s">
        <v>934</v>
      </c>
      <c r="AF1820">
        <v>20</v>
      </c>
      <c r="AG1820" s="1">
        <v>44196</v>
      </c>
      <c r="AH1820" s="1">
        <v>44196</v>
      </c>
      <c r="AI1820" s="1">
        <v>44196</v>
      </c>
      <c r="AK1820" t="s">
        <v>51</v>
      </c>
      <c r="AN1820">
        <v>0</v>
      </c>
      <c r="AO1820" t="s">
        <v>54</v>
      </c>
      <c r="AP1820" t="s">
        <v>53</v>
      </c>
      <c r="AQ1820">
        <v>0</v>
      </c>
      <c r="AR1820" t="s">
        <v>53</v>
      </c>
      <c r="AS1820">
        <v>0</v>
      </c>
      <c r="AT1820">
        <v>0</v>
      </c>
      <c r="AW1820" t="s">
        <v>172</v>
      </c>
      <c r="AX1820">
        <v>15</v>
      </c>
      <c r="AY1820" s="1">
        <v>44196</v>
      </c>
      <c r="AZ1820" s="1">
        <v>44196</v>
      </c>
      <c r="BA1820" s="1">
        <v>44196</v>
      </c>
      <c r="BC1820" t="s">
        <v>51</v>
      </c>
      <c r="BE1820" t="s">
        <v>54</v>
      </c>
      <c r="BF1820">
        <v>40</v>
      </c>
      <c r="BG1820">
        <v>0</v>
      </c>
      <c r="BH1820" t="s">
        <v>145</v>
      </c>
      <c r="CC1820" t="s">
        <v>669</v>
      </c>
      <c r="CD1820">
        <v>85000</v>
      </c>
      <c r="CE1820" s="1">
        <v>44196</v>
      </c>
      <c r="CF1820" s="1">
        <v>44196</v>
      </c>
      <c r="CG1820" s="1">
        <v>44196</v>
      </c>
      <c r="CI1820" t="s">
        <v>51</v>
      </c>
      <c r="CK1820" t="s">
        <v>78</v>
      </c>
      <c r="CM1820" t="s">
        <v>54</v>
      </c>
      <c r="CN1820" t="s">
        <v>174</v>
      </c>
      <c r="CO1820" t="s">
        <v>86</v>
      </c>
      <c r="CR1820">
        <v>50</v>
      </c>
      <c r="CS1820">
        <v>0</v>
      </c>
      <c r="CT1820">
        <v>0</v>
      </c>
      <c r="CU1820">
        <v>0</v>
      </c>
    </row>
    <row r="1821" spans="1:99" x14ac:dyDescent="0.2">
      <c r="A1821" t="s">
        <v>367</v>
      </c>
      <c r="B1821" t="s">
        <v>440</v>
      </c>
      <c r="C1821" t="s">
        <v>441</v>
      </c>
      <c r="D1821" t="s">
        <v>806</v>
      </c>
      <c r="F1821" t="str">
        <f>"161496"</f>
        <v>161496</v>
      </c>
      <c r="G1821" t="s">
        <v>49</v>
      </c>
      <c r="H1821" t="s">
        <v>941</v>
      </c>
      <c r="K1821" t="s">
        <v>51</v>
      </c>
      <c r="L1821" t="s">
        <v>52</v>
      </c>
      <c r="M1821">
        <v>133475.85</v>
      </c>
      <c r="N1821">
        <v>468805.91</v>
      </c>
      <c r="O1821" t="s">
        <v>53</v>
      </c>
      <c r="P1821" t="s">
        <v>54</v>
      </c>
      <c r="Q1821" t="s">
        <v>55</v>
      </c>
      <c r="T1821" t="s">
        <v>933</v>
      </c>
      <c r="U1821">
        <v>40</v>
      </c>
      <c r="V1821" s="1">
        <v>37076</v>
      </c>
      <c r="W1821" s="1">
        <v>37076</v>
      </c>
      <c r="X1821" s="1">
        <v>37076</v>
      </c>
      <c r="Y1821" s="1">
        <v>51686</v>
      </c>
      <c r="Z1821" t="s">
        <v>51</v>
      </c>
      <c r="AB1821" t="s">
        <v>54</v>
      </c>
      <c r="AC1821">
        <v>1</v>
      </c>
      <c r="AE1821" t="s">
        <v>934</v>
      </c>
      <c r="AF1821">
        <v>20</v>
      </c>
      <c r="AG1821" s="1">
        <v>44196</v>
      </c>
      <c r="AH1821" s="1">
        <v>44196</v>
      </c>
      <c r="AI1821" s="1">
        <v>44196</v>
      </c>
      <c r="AK1821" t="s">
        <v>51</v>
      </c>
      <c r="AN1821">
        <v>0</v>
      </c>
      <c r="AO1821" t="s">
        <v>54</v>
      </c>
      <c r="AP1821" t="s">
        <v>53</v>
      </c>
      <c r="AQ1821">
        <v>0</v>
      </c>
      <c r="AR1821" t="s">
        <v>53</v>
      </c>
      <c r="AS1821">
        <v>0</v>
      </c>
      <c r="AT1821">
        <v>0</v>
      </c>
      <c r="AW1821" t="s">
        <v>172</v>
      </c>
      <c r="AX1821">
        <v>15</v>
      </c>
      <c r="AY1821" s="1">
        <v>44196</v>
      </c>
      <c r="AZ1821" s="1">
        <v>44196</v>
      </c>
      <c r="BA1821" s="1">
        <v>44196</v>
      </c>
      <c r="BC1821" t="s">
        <v>51</v>
      </c>
      <c r="BE1821" t="s">
        <v>54</v>
      </c>
      <c r="BF1821">
        <v>40</v>
      </c>
      <c r="BG1821">
        <v>0</v>
      </c>
      <c r="BH1821" t="s">
        <v>145</v>
      </c>
      <c r="CC1821" t="s">
        <v>669</v>
      </c>
      <c r="CD1821">
        <v>85000</v>
      </c>
      <c r="CE1821" s="1">
        <v>44196</v>
      </c>
      <c r="CF1821" s="1">
        <v>44196</v>
      </c>
      <c r="CG1821" s="1">
        <v>44196</v>
      </c>
      <c r="CI1821" t="s">
        <v>51</v>
      </c>
      <c r="CK1821" t="s">
        <v>78</v>
      </c>
      <c r="CM1821" t="s">
        <v>54</v>
      </c>
      <c r="CN1821" t="s">
        <v>174</v>
      </c>
      <c r="CO1821" t="s">
        <v>86</v>
      </c>
      <c r="CR1821">
        <v>50</v>
      </c>
      <c r="CS1821">
        <v>0</v>
      </c>
      <c r="CT1821">
        <v>0</v>
      </c>
      <c r="CU1821">
        <v>0</v>
      </c>
    </row>
    <row r="1822" spans="1:99" x14ac:dyDescent="0.2">
      <c r="A1822" t="s">
        <v>367</v>
      </c>
      <c r="B1822" t="s">
        <v>440</v>
      </c>
      <c r="C1822" t="s">
        <v>441</v>
      </c>
      <c r="D1822" t="s">
        <v>806</v>
      </c>
      <c r="F1822" t="str">
        <f>"161497"</f>
        <v>161497</v>
      </c>
      <c r="G1822" t="s">
        <v>49</v>
      </c>
      <c r="H1822" t="s">
        <v>942</v>
      </c>
      <c r="K1822" t="s">
        <v>51</v>
      </c>
      <c r="L1822" t="s">
        <v>52</v>
      </c>
      <c r="M1822">
        <v>133507.81</v>
      </c>
      <c r="N1822">
        <v>468815.32</v>
      </c>
      <c r="O1822" t="s">
        <v>53</v>
      </c>
      <c r="P1822" t="s">
        <v>54</v>
      </c>
      <c r="Q1822" t="s">
        <v>55</v>
      </c>
      <c r="T1822" t="s">
        <v>933</v>
      </c>
      <c r="U1822">
        <v>40</v>
      </c>
      <c r="V1822" s="1">
        <v>37076</v>
      </c>
      <c r="W1822" s="1">
        <v>37076</v>
      </c>
      <c r="X1822" s="1">
        <v>37076</v>
      </c>
      <c r="Y1822" s="1">
        <v>51686</v>
      </c>
      <c r="Z1822" t="s">
        <v>51</v>
      </c>
      <c r="AB1822" t="s">
        <v>54</v>
      </c>
      <c r="AC1822">
        <v>1</v>
      </c>
      <c r="AE1822" t="s">
        <v>934</v>
      </c>
      <c r="AF1822">
        <v>20</v>
      </c>
      <c r="AG1822" s="1">
        <v>44196</v>
      </c>
      <c r="AH1822" s="1">
        <v>44196</v>
      </c>
      <c r="AI1822" s="1">
        <v>44196</v>
      </c>
      <c r="AK1822" t="s">
        <v>51</v>
      </c>
      <c r="AN1822">
        <v>0</v>
      </c>
      <c r="AO1822" t="s">
        <v>54</v>
      </c>
      <c r="AP1822" t="s">
        <v>53</v>
      </c>
      <c r="AQ1822">
        <v>0</v>
      </c>
      <c r="AR1822" t="s">
        <v>53</v>
      </c>
      <c r="AS1822">
        <v>0</v>
      </c>
      <c r="AT1822">
        <v>0</v>
      </c>
      <c r="AW1822" t="s">
        <v>172</v>
      </c>
      <c r="AX1822">
        <v>15</v>
      </c>
      <c r="AY1822" s="1">
        <v>44196</v>
      </c>
      <c r="AZ1822" s="1">
        <v>44196</v>
      </c>
      <c r="BA1822" s="1">
        <v>44196</v>
      </c>
      <c r="BC1822" t="s">
        <v>51</v>
      </c>
      <c r="BE1822" t="s">
        <v>54</v>
      </c>
      <c r="BF1822">
        <v>40</v>
      </c>
      <c r="BG1822">
        <v>0</v>
      </c>
      <c r="BH1822" t="s">
        <v>145</v>
      </c>
      <c r="CC1822" t="s">
        <v>669</v>
      </c>
      <c r="CD1822">
        <v>85000</v>
      </c>
      <c r="CE1822" s="1">
        <v>44196</v>
      </c>
      <c r="CF1822" s="1">
        <v>44196</v>
      </c>
      <c r="CG1822" s="1">
        <v>44196</v>
      </c>
      <c r="CI1822" t="s">
        <v>51</v>
      </c>
      <c r="CK1822" t="s">
        <v>78</v>
      </c>
      <c r="CM1822" t="s">
        <v>54</v>
      </c>
      <c r="CN1822" t="s">
        <v>174</v>
      </c>
      <c r="CO1822" t="s">
        <v>86</v>
      </c>
      <c r="CR1822">
        <v>50</v>
      </c>
      <c r="CS1822">
        <v>0</v>
      </c>
      <c r="CT1822">
        <v>0</v>
      </c>
      <c r="CU1822">
        <v>0</v>
      </c>
    </row>
    <row r="1823" spans="1:99" x14ac:dyDescent="0.2">
      <c r="A1823" t="s">
        <v>367</v>
      </c>
      <c r="B1823" t="s">
        <v>440</v>
      </c>
      <c r="C1823" t="s">
        <v>441</v>
      </c>
      <c r="D1823" t="s">
        <v>806</v>
      </c>
      <c r="F1823" t="str">
        <f>"161498"</f>
        <v>161498</v>
      </c>
      <c r="G1823" t="s">
        <v>49</v>
      </c>
      <c r="H1823" t="s">
        <v>943</v>
      </c>
      <c r="K1823" t="s">
        <v>51</v>
      </c>
      <c r="L1823" t="s">
        <v>52</v>
      </c>
      <c r="M1823">
        <v>133538.38</v>
      </c>
      <c r="N1823">
        <v>468803.14</v>
      </c>
      <c r="O1823" t="s">
        <v>53</v>
      </c>
      <c r="P1823" t="s">
        <v>54</v>
      </c>
      <c r="Q1823" t="s">
        <v>55</v>
      </c>
      <c r="T1823" t="s">
        <v>933</v>
      </c>
      <c r="U1823">
        <v>40</v>
      </c>
      <c r="V1823" s="1">
        <v>37076</v>
      </c>
      <c r="W1823" s="1">
        <v>37076</v>
      </c>
      <c r="X1823" s="1">
        <v>37076</v>
      </c>
      <c r="Y1823" s="1">
        <v>51686</v>
      </c>
      <c r="Z1823" t="s">
        <v>51</v>
      </c>
      <c r="AB1823" t="s">
        <v>54</v>
      </c>
      <c r="AC1823">
        <v>1</v>
      </c>
      <c r="AE1823" t="s">
        <v>934</v>
      </c>
      <c r="AF1823">
        <v>20</v>
      </c>
      <c r="AG1823" s="1">
        <v>44196</v>
      </c>
      <c r="AH1823" s="1">
        <v>44196</v>
      </c>
      <c r="AI1823" s="1">
        <v>44196</v>
      </c>
      <c r="AK1823" t="s">
        <v>51</v>
      </c>
      <c r="AN1823">
        <v>0</v>
      </c>
      <c r="AO1823" t="s">
        <v>54</v>
      </c>
      <c r="AP1823" t="s">
        <v>53</v>
      </c>
      <c r="AQ1823">
        <v>0</v>
      </c>
      <c r="AR1823" t="s">
        <v>53</v>
      </c>
      <c r="AS1823">
        <v>0</v>
      </c>
      <c r="AT1823">
        <v>0</v>
      </c>
      <c r="AW1823" t="s">
        <v>172</v>
      </c>
      <c r="AX1823">
        <v>15</v>
      </c>
      <c r="AY1823" s="1">
        <v>44196</v>
      </c>
      <c r="AZ1823" s="1">
        <v>44196</v>
      </c>
      <c r="BA1823" s="1">
        <v>44196</v>
      </c>
      <c r="BC1823" t="s">
        <v>51</v>
      </c>
      <c r="BE1823" t="s">
        <v>54</v>
      </c>
      <c r="BF1823">
        <v>40</v>
      </c>
      <c r="BG1823">
        <v>0</v>
      </c>
      <c r="BH1823" t="s">
        <v>145</v>
      </c>
      <c r="CC1823" t="s">
        <v>669</v>
      </c>
      <c r="CD1823">
        <v>85000</v>
      </c>
      <c r="CE1823" s="1">
        <v>44196</v>
      </c>
      <c r="CF1823" s="1">
        <v>44196</v>
      </c>
      <c r="CG1823" s="1">
        <v>44196</v>
      </c>
      <c r="CI1823" t="s">
        <v>51</v>
      </c>
      <c r="CK1823" t="s">
        <v>78</v>
      </c>
      <c r="CM1823" t="s">
        <v>54</v>
      </c>
      <c r="CN1823" t="s">
        <v>174</v>
      </c>
      <c r="CO1823" t="s">
        <v>86</v>
      </c>
      <c r="CR1823">
        <v>50</v>
      </c>
      <c r="CS1823">
        <v>0</v>
      </c>
      <c r="CT1823">
        <v>0</v>
      </c>
      <c r="CU1823">
        <v>0</v>
      </c>
    </row>
    <row r="1824" spans="1:99" x14ac:dyDescent="0.2">
      <c r="A1824" t="s">
        <v>367</v>
      </c>
      <c r="B1824" t="s">
        <v>440</v>
      </c>
      <c r="C1824" t="s">
        <v>441</v>
      </c>
      <c r="D1824" t="s">
        <v>806</v>
      </c>
      <c r="F1824" t="str">
        <f>"161499"</f>
        <v>161499</v>
      </c>
      <c r="G1824" t="s">
        <v>49</v>
      </c>
      <c r="H1824" t="s">
        <v>944</v>
      </c>
      <c r="K1824" t="s">
        <v>51</v>
      </c>
      <c r="L1824" t="s">
        <v>52</v>
      </c>
      <c r="M1824">
        <v>133568.79</v>
      </c>
      <c r="N1824">
        <v>468812.84</v>
      </c>
      <c r="O1824" t="s">
        <v>53</v>
      </c>
      <c r="P1824" t="s">
        <v>54</v>
      </c>
      <c r="Q1824" t="s">
        <v>55</v>
      </c>
      <c r="T1824" t="s">
        <v>933</v>
      </c>
      <c r="U1824">
        <v>40</v>
      </c>
      <c r="V1824" s="1">
        <v>37076</v>
      </c>
      <c r="W1824" s="1">
        <v>37076</v>
      </c>
      <c r="X1824" s="1">
        <v>37076</v>
      </c>
      <c r="Y1824" s="1">
        <v>51686</v>
      </c>
      <c r="Z1824" t="s">
        <v>51</v>
      </c>
      <c r="AB1824" t="s">
        <v>54</v>
      </c>
      <c r="AC1824">
        <v>1</v>
      </c>
      <c r="AE1824" t="s">
        <v>934</v>
      </c>
      <c r="AF1824">
        <v>20</v>
      </c>
      <c r="AG1824" s="1">
        <v>44196</v>
      </c>
      <c r="AH1824" s="1">
        <v>44196</v>
      </c>
      <c r="AI1824" s="1">
        <v>44196</v>
      </c>
      <c r="AK1824" t="s">
        <v>51</v>
      </c>
      <c r="AN1824">
        <v>0</v>
      </c>
      <c r="AO1824" t="s">
        <v>54</v>
      </c>
      <c r="AP1824" t="s">
        <v>53</v>
      </c>
      <c r="AQ1824">
        <v>0</v>
      </c>
      <c r="AR1824" t="s">
        <v>53</v>
      </c>
      <c r="AS1824">
        <v>0</v>
      </c>
      <c r="AT1824">
        <v>0</v>
      </c>
      <c r="AW1824" t="s">
        <v>172</v>
      </c>
      <c r="AX1824">
        <v>15</v>
      </c>
      <c r="AY1824" s="1">
        <v>44196</v>
      </c>
      <c r="AZ1824" s="1">
        <v>44196</v>
      </c>
      <c r="BA1824" s="1">
        <v>44196</v>
      </c>
      <c r="BC1824" t="s">
        <v>51</v>
      </c>
      <c r="BE1824" t="s">
        <v>54</v>
      </c>
      <c r="BF1824">
        <v>40</v>
      </c>
      <c r="BG1824">
        <v>0</v>
      </c>
      <c r="BH1824" t="s">
        <v>145</v>
      </c>
      <c r="CC1824" t="s">
        <v>669</v>
      </c>
      <c r="CD1824">
        <v>85000</v>
      </c>
      <c r="CE1824" s="1">
        <v>44196</v>
      </c>
      <c r="CF1824" s="1">
        <v>44196</v>
      </c>
      <c r="CG1824" s="1">
        <v>44196</v>
      </c>
      <c r="CI1824" t="s">
        <v>51</v>
      </c>
      <c r="CK1824" t="s">
        <v>78</v>
      </c>
      <c r="CM1824" t="s">
        <v>54</v>
      </c>
      <c r="CN1824" t="s">
        <v>174</v>
      </c>
      <c r="CO1824" t="s">
        <v>86</v>
      </c>
      <c r="CR1824">
        <v>50</v>
      </c>
      <c r="CS1824">
        <v>0</v>
      </c>
      <c r="CT1824">
        <v>0</v>
      </c>
      <c r="CU1824">
        <v>0</v>
      </c>
    </row>
    <row r="1825" spans="1:99" x14ac:dyDescent="0.2">
      <c r="A1825" t="s">
        <v>367</v>
      </c>
      <c r="B1825" t="s">
        <v>440</v>
      </c>
      <c r="C1825" t="s">
        <v>441</v>
      </c>
      <c r="D1825" t="s">
        <v>806</v>
      </c>
      <c r="F1825" t="str">
        <f>"161500"</f>
        <v>161500</v>
      </c>
      <c r="G1825" t="s">
        <v>49</v>
      </c>
      <c r="H1825" t="s">
        <v>945</v>
      </c>
      <c r="K1825" t="s">
        <v>51</v>
      </c>
      <c r="L1825" t="s">
        <v>52</v>
      </c>
      <c r="M1825">
        <v>133598.82</v>
      </c>
      <c r="N1825">
        <v>468800.57</v>
      </c>
      <c r="O1825" t="s">
        <v>53</v>
      </c>
      <c r="P1825" t="s">
        <v>54</v>
      </c>
      <c r="Q1825" t="s">
        <v>55</v>
      </c>
      <c r="T1825" t="s">
        <v>933</v>
      </c>
      <c r="U1825">
        <v>40</v>
      </c>
      <c r="V1825" s="1">
        <v>37076</v>
      </c>
      <c r="W1825" s="1">
        <v>37076</v>
      </c>
      <c r="X1825" s="1">
        <v>37076</v>
      </c>
      <c r="Y1825" s="1">
        <v>51686</v>
      </c>
      <c r="Z1825" t="s">
        <v>51</v>
      </c>
      <c r="AB1825" t="s">
        <v>54</v>
      </c>
      <c r="AC1825">
        <v>1</v>
      </c>
      <c r="AE1825" t="s">
        <v>934</v>
      </c>
      <c r="AF1825">
        <v>20</v>
      </c>
      <c r="AG1825" s="1">
        <v>44196</v>
      </c>
      <c r="AH1825" s="1">
        <v>44196</v>
      </c>
      <c r="AI1825" s="1">
        <v>44196</v>
      </c>
      <c r="AK1825" t="s">
        <v>51</v>
      </c>
      <c r="AN1825">
        <v>0</v>
      </c>
      <c r="AO1825" t="s">
        <v>54</v>
      </c>
      <c r="AP1825" t="s">
        <v>53</v>
      </c>
      <c r="AQ1825">
        <v>0</v>
      </c>
      <c r="AR1825" t="s">
        <v>53</v>
      </c>
      <c r="AS1825">
        <v>0</v>
      </c>
      <c r="AT1825">
        <v>0</v>
      </c>
      <c r="AW1825" t="s">
        <v>172</v>
      </c>
      <c r="AX1825">
        <v>15</v>
      </c>
      <c r="AY1825" s="1">
        <v>44196</v>
      </c>
      <c r="AZ1825" s="1">
        <v>44196</v>
      </c>
      <c r="BA1825" s="1">
        <v>44196</v>
      </c>
      <c r="BC1825" t="s">
        <v>51</v>
      </c>
      <c r="BE1825" t="s">
        <v>54</v>
      </c>
      <c r="BF1825">
        <v>40</v>
      </c>
      <c r="BG1825">
        <v>0</v>
      </c>
      <c r="BH1825" t="s">
        <v>145</v>
      </c>
      <c r="CC1825" t="s">
        <v>669</v>
      </c>
      <c r="CD1825">
        <v>85000</v>
      </c>
      <c r="CE1825" s="1">
        <v>44196</v>
      </c>
      <c r="CF1825" s="1">
        <v>44196</v>
      </c>
      <c r="CG1825" s="1">
        <v>44196</v>
      </c>
      <c r="CI1825" t="s">
        <v>51</v>
      </c>
      <c r="CK1825" t="s">
        <v>78</v>
      </c>
      <c r="CM1825" t="s">
        <v>54</v>
      </c>
      <c r="CN1825" t="s">
        <v>174</v>
      </c>
      <c r="CO1825" t="s">
        <v>86</v>
      </c>
      <c r="CR1825">
        <v>50</v>
      </c>
      <c r="CS1825">
        <v>0</v>
      </c>
      <c r="CT1825">
        <v>0</v>
      </c>
      <c r="CU1825">
        <v>0</v>
      </c>
    </row>
    <row r="1826" spans="1:99" x14ac:dyDescent="0.2">
      <c r="A1826" t="s">
        <v>367</v>
      </c>
      <c r="B1826" t="s">
        <v>440</v>
      </c>
      <c r="C1826" t="s">
        <v>441</v>
      </c>
      <c r="D1826" t="s">
        <v>806</v>
      </c>
      <c r="F1826" t="str">
        <f>"161676"</f>
        <v>161676</v>
      </c>
      <c r="G1826" t="s">
        <v>49</v>
      </c>
      <c r="H1826" t="s">
        <v>946</v>
      </c>
      <c r="K1826" t="s">
        <v>51</v>
      </c>
      <c r="L1826" t="s">
        <v>52</v>
      </c>
      <c r="M1826">
        <v>133629.04</v>
      </c>
      <c r="N1826">
        <v>468810.97</v>
      </c>
      <c r="O1826" t="s">
        <v>53</v>
      </c>
      <c r="P1826" t="s">
        <v>54</v>
      </c>
      <c r="Q1826" t="s">
        <v>55</v>
      </c>
      <c r="T1826" t="s">
        <v>933</v>
      </c>
      <c r="U1826">
        <v>40</v>
      </c>
      <c r="V1826" s="1">
        <v>37076</v>
      </c>
      <c r="W1826" s="1">
        <v>37076</v>
      </c>
      <c r="X1826" s="1">
        <v>37076</v>
      </c>
      <c r="Y1826" s="1">
        <v>51686</v>
      </c>
      <c r="Z1826" t="s">
        <v>51</v>
      </c>
      <c r="AB1826" t="s">
        <v>54</v>
      </c>
      <c r="AC1826">
        <v>1</v>
      </c>
      <c r="AE1826" t="s">
        <v>934</v>
      </c>
      <c r="AF1826">
        <v>20</v>
      </c>
      <c r="AG1826" s="1">
        <v>44196</v>
      </c>
      <c r="AH1826" s="1">
        <v>44196</v>
      </c>
      <c r="AI1826" s="1">
        <v>44196</v>
      </c>
      <c r="AJ1826" s="1">
        <v>51501</v>
      </c>
      <c r="AK1826" t="s">
        <v>51</v>
      </c>
      <c r="AN1826">
        <v>0</v>
      </c>
      <c r="AO1826" t="s">
        <v>54</v>
      </c>
      <c r="AP1826" t="s">
        <v>53</v>
      </c>
      <c r="AQ1826">
        <v>0</v>
      </c>
      <c r="AR1826" t="s">
        <v>53</v>
      </c>
      <c r="AS1826">
        <v>0</v>
      </c>
      <c r="AT1826">
        <v>0</v>
      </c>
      <c r="AW1826" t="s">
        <v>172</v>
      </c>
      <c r="AX1826">
        <v>15</v>
      </c>
      <c r="AY1826" s="1">
        <v>44196</v>
      </c>
      <c r="AZ1826" s="1">
        <v>44196</v>
      </c>
      <c r="BA1826" s="1">
        <v>44196</v>
      </c>
      <c r="BB1826" s="1">
        <v>49674</v>
      </c>
      <c r="BC1826" t="s">
        <v>51</v>
      </c>
      <c r="BE1826" t="s">
        <v>54</v>
      </c>
      <c r="BF1826">
        <v>40</v>
      </c>
      <c r="BG1826">
        <v>0</v>
      </c>
      <c r="BH1826" t="s">
        <v>145</v>
      </c>
      <c r="CC1826" t="s">
        <v>669</v>
      </c>
      <c r="CD1826">
        <v>85000</v>
      </c>
      <c r="CE1826" s="1">
        <v>44196</v>
      </c>
      <c r="CF1826" s="1">
        <v>44196</v>
      </c>
      <c r="CG1826" s="1">
        <v>44196</v>
      </c>
      <c r="CH1826" s="1">
        <v>51825</v>
      </c>
      <c r="CI1826" t="s">
        <v>51</v>
      </c>
      <c r="CK1826" t="s">
        <v>78</v>
      </c>
      <c r="CM1826" t="s">
        <v>54</v>
      </c>
      <c r="CN1826" t="s">
        <v>174</v>
      </c>
      <c r="CO1826" t="s">
        <v>86</v>
      </c>
      <c r="CR1826">
        <v>50</v>
      </c>
      <c r="CS1826">
        <v>0</v>
      </c>
      <c r="CT1826">
        <v>0</v>
      </c>
      <c r="CU1826">
        <v>0</v>
      </c>
    </row>
    <row r="1827" spans="1:99" x14ac:dyDescent="0.2">
      <c r="A1827" t="s">
        <v>367</v>
      </c>
      <c r="B1827" t="s">
        <v>440</v>
      </c>
      <c r="C1827" t="s">
        <v>441</v>
      </c>
      <c r="D1827" t="s">
        <v>806</v>
      </c>
      <c r="F1827" t="str">
        <f>"161677"</f>
        <v>161677</v>
      </c>
      <c r="G1827" t="s">
        <v>49</v>
      </c>
      <c r="H1827" t="s">
        <v>947</v>
      </c>
      <c r="K1827" t="s">
        <v>51</v>
      </c>
      <c r="L1827" t="s">
        <v>52</v>
      </c>
      <c r="M1827">
        <v>133659</v>
      </c>
      <c r="N1827">
        <v>468810.92</v>
      </c>
      <c r="O1827" t="s">
        <v>53</v>
      </c>
      <c r="P1827" t="s">
        <v>54</v>
      </c>
      <c r="Q1827" t="s">
        <v>55</v>
      </c>
      <c r="T1827" t="s">
        <v>933</v>
      </c>
      <c r="U1827">
        <v>40</v>
      </c>
      <c r="V1827" s="1">
        <v>37076</v>
      </c>
      <c r="W1827" s="1">
        <v>37076</v>
      </c>
      <c r="X1827" s="1">
        <v>37076</v>
      </c>
      <c r="Y1827" s="1">
        <v>51686</v>
      </c>
      <c r="Z1827" t="s">
        <v>51</v>
      </c>
      <c r="AB1827" t="s">
        <v>54</v>
      </c>
      <c r="AC1827">
        <v>1</v>
      </c>
      <c r="AE1827" t="s">
        <v>934</v>
      </c>
      <c r="AF1827">
        <v>20</v>
      </c>
      <c r="AG1827" s="1">
        <v>44196</v>
      </c>
      <c r="AH1827" s="1">
        <v>44196</v>
      </c>
      <c r="AI1827" s="1">
        <v>44196</v>
      </c>
      <c r="AK1827" t="s">
        <v>51</v>
      </c>
      <c r="AN1827">
        <v>0</v>
      </c>
      <c r="AO1827" t="s">
        <v>54</v>
      </c>
      <c r="AP1827" t="s">
        <v>53</v>
      </c>
      <c r="AQ1827">
        <v>0</v>
      </c>
      <c r="AR1827" t="s">
        <v>53</v>
      </c>
      <c r="AS1827">
        <v>0</v>
      </c>
      <c r="AT1827">
        <v>0</v>
      </c>
      <c r="AW1827" t="s">
        <v>172</v>
      </c>
      <c r="AX1827">
        <v>15</v>
      </c>
      <c r="AY1827" s="1">
        <v>44196</v>
      </c>
      <c r="AZ1827" s="1">
        <v>44196</v>
      </c>
      <c r="BA1827" s="1">
        <v>44196</v>
      </c>
      <c r="BC1827" t="s">
        <v>51</v>
      </c>
      <c r="BE1827" t="s">
        <v>54</v>
      </c>
      <c r="BF1827">
        <v>40</v>
      </c>
      <c r="BG1827">
        <v>0</v>
      </c>
      <c r="BH1827" t="s">
        <v>145</v>
      </c>
      <c r="CC1827" t="s">
        <v>669</v>
      </c>
      <c r="CD1827">
        <v>85000</v>
      </c>
      <c r="CE1827" s="1">
        <v>44196</v>
      </c>
      <c r="CF1827" s="1">
        <v>44196</v>
      </c>
      <c r="CG1827" s="1">
        <v>44196</v>
      </c>
      <c r="CI1827" t="s">
        <v>51</v>
      </c>
      <c r="CK1827" t="s">
        <v>78</v>
      </c>
      <c r="CM1827" t="s">
        <v>54</v>
      </c>
      <c r="CN1827" t="s">
        <v>174</v>
      </c>
      <c r="CO1827" t="s">
        <v>86</v>
      </c>
      <c r="CR1827">
        <v>50</v>
      </c>
      <c r="CS1827">
        <v>0</v>
      </c>
      <c r="CT1827">
        <v>0</v>
      </c>
      <c r="CU1827">
        <v>0</v>
      </c>
    </row>
    <row r="1828" spans="1:99" x14ac:dyDescent="0.2">
      <c r="A1828" t="s">
        <v>367</v>
      </c>
      <c r="B1828" t="s">
        <v>440</v>
      </c>
      <c r="C1828" t="s">
        <v>441</v>
      </c>
      <c r="D1828" t="s">
        <v>806</v>
      </c>
      <c r="F1828" t="str">
        <f>"161678"</f>
        <v>161678</v>
      </c>
      <c r="G1828" t="s">
        <v>49</v>
      </c>
      <c r="H1828" t="s">
        <v>948</v>
      </c>
      <c r="K1828" t="s">
        <v>51</v>
      </c>
      <c r="L1828" t="s">
        <v>52</v>
      </c>
      <c r="M1828">
        <v>133715.35999999999</v>
      </c>
      <c r="N1828">
        <v>468801.73</v>
      </c>
      <c r="O1828" t="s">
        <v>53</v>
      </c>
      <c r="P1828" t="s">
        <v>54</v>
      </c>
      <c r="Q1828" t="s">
        <v>55</v>
      </c>
      <c r="T1828" t="s">
        <v>933</v>
      </c>
      <c r="U1828">
        <v>40</v>
      </c>
      <c r="V1828" s="1">
        <v>37076</v>
      </c>
      <c r="W1828" s="1">
        <v>37076</v>
      </c>
      <c r="X1828" s="1">
        <v>37076</v>
      </c>
      <c r="Y1828" s="1">
        <v>51686</v>
      </c>
      <c r="Z1828" t="s">
        <v>51</v>
      </c>
      <c r="AB1828" t="s">
        <v>54</v>
      </c>
      <c r="AC1828">
        <v>1</v>
      </c>
      <c r="AE1828" t="s">
        <v>934</v>
      </c>
      <c r="AF1828">
        <v>20</v>
      </c>
      <c r="AG1828" s="1">
        <v>44196</v>
      </c>
      <c r="AH1828" s="1">
        <v>44196</v>
      </c>
      <c r="AI1828" s="1">
        <v>44196</v>
      </c>
      <c r="AJ1828" s="1">
        <v>51501</v>
      </c>
      <c r="AK1828" t="s">
        <v>51</v>
      </c>
      <c r="AN1828">
        <v>0</v>
      </c>
      <c r="AO1828" t="s">
        <v>54</v>
      </c>
      <c r="AP1828" t="s">
        <v>53</v>
      </c>
      <c r="AQ1828">
        <v>0</v>
      </c>
      <c r="AR1828" t="s">
        <v>53</v>
      </c>
      <c r="AS1828">
        <v>0</v>
      </c>
      <c r="AT1828">
        <v>0</v>
      </c>
      <c r="AW1828" t="s">
        <v>172</v>
      </c>
      <c r="AX1828">
        <v>15</v>
      </c>
      <c r="AY1828" s="1">
        <v>44196</v>
      </c>
      <c r="AZ1828" s="1">
        <v>44196</v>
      </c>
      <c r="BA1828" s="1">
        <v>44196</v>
      </c>
      <c r="BB1828" s="1">
        <v>49674</v>
      </c>
      <c r="BC1828" t="s">
        <v>51</v>
      </c>
      <c r="BE1828" t="s">
        <v>54</v>
      </c>
      <c r="BF1828">
        <v>40</v>
      </c>
      <c r="BG1828">
        <v>0</v>
      </c>
      <c r="BH1828" t="s">
        <v>145</v>
      </c>
      <c r="CC1828" t="s">
        <v>669</v>
      </c>
      <c r="CD1828">
        <v>85000</v>
      </c>
      <c r="CE1828" s="1">
        <v>44196</v>
      </c>
      <c r="CF1828" s="1">
        <v>44196</v>
      </c>
      <c r="CG1828" s="1">
        <v>44196</v>
      </c>
      <c r="CH1828" s="1">
        <v>51825</v>
      </c>
      <c r="CI1828" t="s">
        <v>51</v>
      </c>
      <c r="CK1828" t="s">
        <v>78</v>
      </c>
      <c r="CM1828" t="s">
        <v>54</v>
      </c>
      <c r="CN1828" t="s">
        <v>174</v>
      </c>
      <c r="CO1828" t="s">
        <v>86</v>
      </c>
      <c r="CR1828">
        <v>50</v>
      </c>
      <c r="CS1828">
        <v>0</v>
      </c>
      <c r="CT1828">
        <v>0</v>
      </c>
      <c r="CU1828">
        <v>0</v>
      </c>
    </row>
    <row r="1829" spans="1:99" x14ac:dyDescent="0.2">
      <c r="A1829" t="s">
        <v>367</v>
      </c>
      <c r="B1829" t="s">
        <v>440</v>
      </c>
      <c r="C1829" t="s">
        <v>441</v>
      </c>
      <c r="D1829" t="s">
        <v>806</v>
      </c>
      <c r="F1829" t="str">
        <f>"161679"</f>
        <v>161679</v>
      </c>
      <c r="G1829" t="s">
        <v>49</v>
      </c>
      <c r="H1829" t="s">
        <v>949</v>
      </c>
      <c r="K1829" t="s">
        <v>51</v>
      </c>
      <c r="L1829" t="s">
        <v>52</v>
      </c>
      <c r="M1829">
        <v>134490.60999999999</v>
      </c>
      <c r="N1829">
        <v>468786.47</v>
      </c>
      <c r="O1829" t="s">
        <v>53</v>
      </c>
      <c r="P1829" t="s">
        <v>54</v>
      </c>
      <c r="Q1829" t="s">
        <v>55</v>
      </c>
      <c r="T1829" t="s">
        <v>933</v>
      </c>
      <c r="U1829">
        <v>40</v>
      </c>
      <c r="V1829" s="1">
        <v>37076</v>
      </c>
      <c r="W1829" s="1">
        <v>37076</v>
      </c>
      <c r="X1829" s="1">
        <v>37076</v>
      </c>
      <c r="Y1829" s="1">
        <v>51686</v>
      </c>
      <c r="Z1829" t="s">
        <v>51</v>
      </c>
      <c r="AB1829" t="s">
        <v>54</v>
      </c>
      <c r="AC1829">
        <v>1</v>
      </c>
      <c r="AE1829" t="s">
        <v>934</v>
      </c>
      <c r="AF1829">
        <v>20</v>
      </c>
      <c r="AG1829" s="1">
        <v>44196</v>
      </c>
      <c r="AH1829" s="1">
        <v>44196</v>
      </c>
      <c r="AI1829" s="1">
        <v>44196</v>
      </c>
      <c r="AJ1829" s="1">
        <v>51501</v>
      </c>
      <c r="AK1829" t="s">
        <v>51</v>
      </c>
      <c r="AN1829">
        <v>0</v>
      </c>
      <c r="AO1829" t="s">
        <v>54</v>
      </c>
      <c r="AP1829" t="s">
        <v>53</v>
      </c>
      <c r="AQ1829">
        <v>0</v>
      </c>
      <c r="AR1829" t="s">
        <v>53</v>
      </c>
      <c r="AS1829">
        <v>0</v>
      </c>
      <c r="AT1829">
        <v>0</v>
      </c>
      <c r="AW1829" t="s">
        <v>172</v>
      </c>
      <c r="AX1829">
        <v>15</v>
      </c>
      <c r="AY1829" s="1">
        <v>44196</v>
      </c>
      <c r="AZ1829" s="1">
        <v>44196</v>
      </c>
      <c r="BA1829" s="1">
        <v>44196</v>
      </c>
      <c r="BB1829" s="1">
        <v>49674</v>
      </c>
      <c r="BC1829" t="s">
        <v>51</v>
      </c>
      <c r="BE1829" t="s">
        <v>54</v>
      </c>
      <c r="BF1829">
        <v>40</v>
      </c>
      <c r="BG1829">
        <v>0</v>
      </c>
      <c r="BH1829" t="s">
        <v>145</v>
      </c>
      <c r="CC1829" t="s">
        <v>669</v>
      </c>
      <c r="CD1829">
        <v>85000</v>
      </c>
      <c r="CE1829" s="1">
        <v>44196</v>
      </c>
      <c r="CF1829" s="1">
        <v>44196</v>
      </c>
      <c r="CG1829" s="1">
        <v>44196</v>
      </c>
      <c r="CH1829" s="1">
        <v>51825</v>
      </c>
      <c r="CI1829" t="s">
        <v>51</v>
      </c>
      <c r="CK1829" t="s">
        <v>78</v>
      </c>
      <c r="CM1829" t="s">
        <v>54</v>
      </c>
      <c r="CN1829" t="s">
        <v>174</v>
      </c>
      <c r="CO1829" t="s">
        <v>86</v>
      </c>
      <c r="CR1829">
        <v>50</v>
      </c>
      <c r="CS1829">
        <v>0</v>
      </c>
      <c r="CT1829">
        <v>0</v>
      </c>
      <c r="CU1829">
        <v>0</v>
      </c>
    </row>
    <row r="1830" spans="1:99" x14ac:dyDescent="0.2">
      <c r="A1830" t="s">
        <v>367</v>
      </c>
      <c r="B1830" t="s">
        <v>440</v>
      </c>
      <c r="C1830" t="s">
        <v>441</v>
      </c>
      <c r="D1830" t="s">
        <v>806</v>
      </c>
      <c r="F1830" t="str">
        <f>"161680"</f>
        <v>161680</v>
      </c>
      <c r="G1830" t="s">
        <v>49</v>
      </c>
      <c r="H1830" t="s">
        <v>950</v>
      </c>
      <c r="K1830" t="s">
        <v>51</v>
      </c>
      <c r="L1830" t="s">
        <v>52</v>
      </c>
      <c r="M1830">
        <v>133685.60999999999</v>
      </c>
      <c r="N1830">
        <v>468811.54</v>
      </c>
      <c r="O1830" t="s">
        <v>53</v>
      </c>
      <c r="P1830" t="s">
        <v>54</v>
      </c>
      <c r="Q1830" t="s">
        <v>55</v>
      </c>
      <c r="T1830" t="s">
        <v>933</v>
      </c>
      <c r="U1830">
        <v>40</v>
      </c>
      <c r="V1830" s="1">
        <v>37076</v>
      </c>
      <c r="W1830" s="1">
        <v>37076</v>
      </c>
      <c r="X1830" s="1">
        <v>37076</v>
      </c>
      <c r="Y1830" s="1">
        <v>51686</v>
      </c>
      <c r="Z1830" t="s">
        <v>51</v>
      </c>
      <c r="AB1830" t="s">
        <v>54</v>
      </c>
      <c r="AC1830">
        <v>1</v>
      </c>
      <c r="AE1830" t="s">
        <v>934</v>
      </c>
      <c r="AF1830">
        <v>20</v>
      </c>
      <c r="AG1830" s="1">
        <v>44196</v>
      </c>
      <c r="AH1830" s="1">
        <v>44196</v>
      </c>
      <c r="AI1830" s="1">
        <v>44196</v>
      </c>
      <c r="AK1830" t="s">
        <v>51</v>
      </c>
      <c r="AN1830">
        <v>0</v>
      </c>
      <c r="AO1830" t="s">
        <v>54</v>
      </c>
      <c r="AP1830" t="s">
        <v>53</v>
      </c>
      <c r="AQ1830">
        <v>0</v>
      </c>
      <c r="AR1830" t="s">
        <v>53</v>
      </c>
      <c r="AS1830">
        <v>0</v>
      </c>
      <c r="AT1830">
        <v>0</v>
      </c>
      <c r="AW1830" t="s">
        <v>172</v>
      </c>
      <c r="AX1830">
        <v>15</v>
      </c>
      <c r="AY1830" s="1">
        <v>44196</v>
      </c>
      <c r="AZ1830" s="1">
        <v>44196</v>
      </c>
      <c r="BA1830" s="1">
        <v>44196</v>
      </c>
      <c r="BC1830" t="s">
        <v>51</v>
      </c>
      <c r="BE1830" t="s">
        <v>54</v>
      </c>
      <c r="BF1830">
        <v>40</v>
      </c>
      <c r="BG1830">
        <v>0</v>
      </c>
      <c r="BH1830" t="s">
        <v>145</v>
      </c>
      <c r="CC1830" t="s">
        <v>669</v>
      </c>
      <c r="CD1830">
        <v>85000</v>
      </c>
      <c r="CE1830" s="1">
        <v>44196</v>
      </c>
      <c r="CF1830" s="1">
        <v>44196</v>
      </c>
      <c r="CG1830" s="1">
        <v>44196</v>
      </c>
      <c r="CI1830" t="s">
        <v>51</v>
      </c>
      <c r="CK1830" t="s">
        <v>78</v>
      </c>
      <c r="CM1830" t="s">
        <v>54</v>
      </c>
      <c r="CN1830" t="s">
        <v>174</v>
      </c>
      <c r="CO1830" t="s">
        <v>86</v>
      </c>
      <c r="CR1830">
        <v>50</v>
      </c>
      <c r="CS1830">
        <v>0</v>
      </c>
      <c r="CT1830">
        <v>0</v>
      </c>
      <c r="CU1830">
        <v>0</v>
      </c>
    </row>
    <row r="1831" spans="1:99" x14ac:dyDescent="0.2">
      <c r="A1831" t="s">
        <v>367</v>
      </c>
      <c r="B1831" t="s">
        <v>440</v>
      </c>
      <c r="C1831" t="s">
        <v>441</v>
      </c>
      <c r="D1831" t="s">
        <v>806</v>
      </c>
      <c r="F1831" t="str">
        <f>"161681"</f>
        <v>161681</v>
      </c>
      <c r="G1831" t="s">
        <v>49</v>
      </c>
      <c r="H1831" t="s">
        <v>951</v>
      </c>
      <c r="K1831" t="s">
        <v>51</v>
      </c>
      <c r="L1831" t="s">
        <v>52</v>
      </c>
      <c r="M1831">
        <v>134485.32999999999</v>
      </c>
      <c r="N1831">
        <v>468796.14</v>
      </c>
      <c r="O1831" t="s">
        <v>53</v>
      </c>
      <c r="P1831" t="s">
        <v>54</v>
      </c>
      <c r="Q1831" t="s">
        <v>55</v>
      </c>
      <c r="T1831" t="s">
        <v>933</v>
      </c>
      <c r="U1831">
        <v>40</v>
      </c>
      <c r="V1831" s="1">
        <v>37076</v>
      </c>
      <c r="W1831" s="1">
        <v>37076</v>
      </c>
      <c r="X1831" s="1">
        <v>37076</v>
      </c>
      <c r="Y1831" s="1">
        <v>51686</v>
      </c>
      <c r="Z1831" t="s">
        <v>51</v>
      </c>
      <c r="AB1831" t="s">
        <v>54</v>
      </c>
      <c r="AC1831">
        <v>1</v>
      </c>
      <c r="AE1831" t="s">
        <v>934</v>
      </c>
      <c r="AF1831">
        <v>20</v>
      </c>
      <c r="AG1831" s="1">
        <v>44196</v>
      </c>
      <c r="AH1831" s="1">
        <v>44196</v>
      </c>
      <c r="AI1831" s="1">
        <v>44196</v>
      </c>
      <c r="AK1831" t="s">
        <v>51</v>
      </c>
      <c r="AN1831">
        <v>0</v>
      </c>
      <c r="AO1831" t="s">
        <v>54</v>
      </c>
      <c r="AP1831" t="s">
        <v>53</v>
      </c>
      <c r="AQ1831">
        <v>0</v>
      </c>
      <c r="AR1831" t="s">
        <v>53</v>
      </c>
      <c r="AS1831">
        <v>0</v>
      </c>
      <c r="AT1831">
        <v>0</v>
      </c>
      <c r="AW1831" t="s">
        <v>172</v>
      </c>
      <c r="AX1831">
        <v>15</v>
      </c>
      <c r="AY1831" s="1">
        <v>44196</v>
      </c>
      <c r="AZ1831" s="1">
        <v>44196</v>
      </c>
      <c r="BA1831" s="1">
        <v>44196</v>
      </c>
      <c r="BC1831" t="s">
        <v>51</v>
      </c>
      <c r="BE1831" t="s">
        <v>54</v>
      </c>
      <c r="BF1831">
        <v>40</v>
      </c>
      <c r="BG1831">
        <v>0</v>
      </c>
      <c r="BH1831" t="s">
        <v>145</v>
      </c>
      <c r="CC1831" t="s">
        <v>669</v>
      </c>
      <c r="CD1831">
        <v>85000</v>
      </c>
      <c r="CE1831" s="1">
        <v>44196</v>
      </c>
      <c r="CF1831" s="1">
        <v>44196</v>
      </c>
      <c r="CG1831" s="1">
        <v>44196</v>
      </c>
      <c r="CI1831" t="s">
        <v>51</v>
      </c>
      <c r="CK1831" t="s">
        <v>78</v>
      </c>
      <c r="CM1831" t="s">
        <v>54</v>
      </c>
      <c r="CN1831" t="s">
        <v>174</v>
      </c>
      <c r="CO1831" t="s">
        <v>86</v>
      </c>
      <c r="CR1831">
        <v>50</v>
      </c>
      <c r="CS1831">
        <v>0</v>
      </c>
      <c r="CT1831">
        <v>0</v>
      </c>
      <c r="CU1831">
        <v>0</v>
      </c>
    </row>
    <row r="1832" spans="1:99" x14ac:dyDescent="0.2">
      <c r="A1832" t="s">
        <v>367</v>
      </c>
      <c r="B1832" t="s">
        <v>440</v>
      </c>
      <c r="C1832" t="s">
        <v>441</v>
      </c>
      <c r="D1832" t="s">
        <v>806</v>
      </c>
      <c r="F1832" t="str">
        <f>"161682"</f>
        <v>161682</v>
      </c>
      <c r="G1832" t="s">
        <v>49</v>
      </c>
      <c r="H1832" t="s">
        <v>952</v>
      </c>
      <c r="K1832" t="s">
        <v>51</v>
      </c>
      <c r="L1832" t="s">
        <v>52</v>
      </c>
      <c r="M1832">
        <v>134454.28</v>
      </c>
      <c r="N1832">
        <v>468785.61</v>
      </c>
      <c r="O1832" t="s">
        <v>53</v>
      </c>
      <c r="P1832" t="s">
        <v>54</v>
      </c>
      <c r="Q1832" t="s">
        <v>55</v>
      </c>
      <c r="T1832" t="s">
        <v>933</v>
      </c>
      <c r="U1832">
        <v>40</v>
      </c>
      <c r="V1832" s="1">
        <v>37076</v>
      </c>
      <c r="W1832" s="1">
        <v>37076</v>
      </c>
      <c r="X1832" s="1">
        <v>37076</v>
      </c>
      <c r="Y1832" s="1">
        <v>51686</v>
      </c>
      <c r="Z1832" t="s">
        <v>51</v>
      </c>
      <c r="AB1832" t="s">
        <v>54</v>
      </c>
      <c r="AC1832">
        <v>1</v>
      </c>
      <c r="AE1832" t="s">
        <v>934</v>
      </c>
      <c r="AF1832">
        <v>20</v>
      </c>
      <c r="AG1832" s="1">
        <v>44196</v>
      </c>
      <c r="AH1832" s="1">
        <v>44196</v>
      </c>
      <c r="AI1832" s="1">
        <v>44196</v>
      </c>
      <c r="AK1832" t="s">
        <v>51</v>
      </c>
      <c r="AN1832">
        <v>0</v>
      </c>
      <c r="AO1832" t="s">
        <v>54</v>
      </c>
      <c r="AP1832" t="s">
        <v>53</v>
      </c>
      <c r="AQ1832">
        <v>0</v>
      </c>
      <c r="AR1832" t="s">
        <v>53</v>
      </c>
      <c r="AS1832">
        <v>0</v>
      </c>
      <c r="AT1832">
        <v>0</v>
      </c>
      <c r="AW1832" t="s">
        <v>172</v>
      </c>
      <c r="AX1832">
        <v>15</v>
      </c>
      <c r="AY1832" s="1">
        <v>44196</v>
      </c>
      <c r="AZ1832" s="1">
        <v>44196</v>
      </c>
      <c r="BA1832" s="1">
        <v>44196</v>
      </c>
      <c r="BC1832" t="s">
        <v>51</v>
      </c>
      <c r="BE1832" t="s">
        <v>54</v>
      </c>
      <c r="BF1832">
        <v>40</v>
      </c>
      <c r="BG1832">
        <v>0</v>
      </c>
      <c r="BH1832" t="s">
        <v>145</v>
      </c>
      <c r="CC1832" t="s">
        <v>669</v>
      </c>
      <c r="CD1832">
        <v>85000</v>
      </c>
      <c r="CE1832" s="1">
        <v>44196</v>
      </c>
      <c r="CF1832" s="1">
        <v>44196</v>
      </c>
      <c r="CG1832" s="1">
        <v>44196</v>
      </c>
      <c r="CI1832" t="s">
        <v>51</v>
      </c>
      <c r="CK1832" t="s">
        <v>78</v>
      </c>
      <c r="CM1832" t="s">
        <v>54</v>
      </c>
      <c r="CN1832" t="s">
        <v>174</v>
      </c>
      <c r="CO1832" t="s">
        <v>86</v>
      </c>
      <c r="CR1832">
        <v>50</v>
      </c>
      <c r="CS1832">
        <v>0</v>
      </c>
      <c r="CT1832">
        <v>0</v>
      </c>
      <c r="CU1832">
        <v>0</v>
      </c>
    </row>
    <row r="1833" spans="1:99" x14ac:dyDescent="0.2">
      <c r="A1833" t="s">
        <v>367</v>
      </c>
      <c r="B1833" t="s">
        <v>440</v>
      </c>
      <c r="C1833" t="s">
        <v>441</v>
      </c>
      <c r="D1833" t="s">
        <v>806</v>
      </c>
      <c r="F1833" t="str">
        <f>"161683"</f>
        <v>161683</v>
      </c>
      <c r="G1833" t="s">
        <v>49</v>
      </c>
      <c r="H1833" t="s">
        <v>953</v>
      </c>
      <c r="K1833" t="s">
        <v>51</v>
      </c>
      <c r="L1833" t="s">
        <v>52</v>
      </c>
      <c r="M1833">
        <v>134425.57</v>
      </c>
      <c r="N1833">
        <v>468796.65</v>
      </c>
      <c r="O1833" t="s">
        <v>53</v>
      </c>
      <c r="P1833" t="s">
        <v>54</v>
      </c>
      <c r="Q1833" t="s">
        <v>55</v>
      </c>
      <c r="T1833" t="s">
        <v>933</v>
      </c>
      <c r="U1833">
        <v>40</v>
      </c>
      <c r="V1833" s="1">
        <v>37076</v>
      </c>
      <c r="W1833" s="1">
        <v>37076</v>
      </c>
      <c r="X1833" s="1">
        <v>37076</v>
      </c>
      <c r="Y1833" s="1">
        <v>51686</v>
      </c>
      <c r="Z1833" t="s">
        <v>51</v>
      </c>
      <c r="AB1833" t="s">
        <v>54</v>
      </c>
      <c r="AC1833">
        <v>1</v>
      </c>
      <c r="AE1833" t="s">
        <v>934</v>
      </c>
      <c r="AF1833">
        <v>20</v>
      </c>
      <c r="AG1833" s="1">
        <v>44196</v>
      </c>
      <c r="AH1833" s="1">
        <v>44196</v>
      </c>
      <c r="AI1833" s="1">
        <v>44196</v>
      </c>
      <c r="AK1833" t="s">
        <v>51</v>
      </c>
      <c r="AN1833">
        <v>0</v>
      </c>
      <c r="AO1833" t="s">
        <v>54</v>
      </c>
      <c r="AP1833" t="s">
        <v>53</v>
      </c>
      <c r="AQ1833">
        <v>0</v>
      </c>
      <c r="AR1833" t="s">
        <v>53</v>
      </c>
      <c r="AS1833">
        <v>0</v>
      </c>
      <c r="AT1833">
        <v>0</v>
      </c>
      <c r="AW1833" t="s">
        <v>172</v>
      </c>
      <c r="AX1833">
        <v>15</v>
      </c>
      <c r="AY1833" s="1">
        <v>44196</v>
      </c>
      <c r="AZ1833" s="1">
        <v>44196</v>
      </c>
      <c r="BA1833" s="1">
        <v>44196</v>
      </c>
      <c r="BC1833" t="s">
        <v>51</v>
      </c>
      <c r="BE1833" t="s">
        <v>54</v>
      </c>
      <c r="BF1833">
        <v>40</v>
      </c>
      <c r="BG1833">
        <v>0</v>
      </c>
      <c r="BH1833" t="s">
        <v>145</v>
      </c>
      <c r="CC1833" t="s">
        <v>669</v>
      </c>
      <c r="CD1833">
        <v>85000</v>
      </c>
      <c r="CE1833" s="1">
        <v>44196</v>
      </c>
      <c r="CF1833" s="1">
        <v>44196</v>
      </c>
      <c r="CG1833" s="1">
        <v>44196</v>
      </c>
      <c r="CI1833" t="s">
        <v>51</v>
      </c>
      <c r="CK1833" t="s">
        <v>78</v>
      </c>
      <c r="CM1833" t="s">
        <v>54</v>
      </c>
      <c r="CN1833" t="s">
        <v>174</v>
      </c>
      <c r="CO1833" t="s">
        <v>86</v>
      </c>
      <c r="CR1833">
        <v>50</v>
      </c>
      <c r="CS1833">
        <v>0</v>
      </c>
      <c r="CT1833">
        <v>0</v>
      </c>
      <c r="CU1833">
        <v>0</v>
      </c>
    </row>
    <row r="1834" spans="1:99" x14ac:dyDescent="0.2">
      <c r="A1834" t="s">
        <v>367</v>
      </c>
      <c r="B1834" t="s">
        <v>440</v>
      </c>
      <c r="C1834" t="s">
        <v>441</v>
      </c>
      <c r="D1834" t="s">
        <v>806</v>
      </c>
      <c r="F1834" t="str">
        <f>"161684"</f>
        <v>161684</v>
      </c>
      <c r="G1834" t="s">
        <v>49</v>
      </c>
      <c r="H1834" t="s">
        <v>954</v>
      </c>
      <c r="K1834" t="s">
        <v>51</v>
      </c>
      <c r="L1834" t="s">
        <v>52</v>
      </c>
      <c r="M1834">
        <v>134393.23000000001</v>
      </c>
      <c r="N1834">
        <v>468787.65</v>
      </c>
      <c r="O1834" t="s">
        <v>53</v>
      </c>
      <c r="P1834" t="s">
        <v>54</v>
      </c>
      <c r="Q1834" t="s">
        <v>55</v>
      </c>
      <c r="T1834" t="s">
        <v>933</v>
      </c>
      <c r="U1834">
        <v>40</v>
      </c>
      <c r="V1834" s="1">
        <v>37076</v>
      </c>
      <c r="W1834" s="1">
        <v>37076</v>
      </c>
      <c r="X1834" s="1">
        <v>37076</v>
      </c>
      <c r="Y1834" s="1">
        <v>51686</v>
      </c>
      <c r="Z1834" t="s">
        <v>51</v>
      </c>
      <c r="AB1834" t="s">
        <v>54</v>
      </c>
      <c r="AC1834">
        <v>1</v>
      </c>
      <c r="AE1834" t="s">
        <v>934</v>
      </c>
      <c r="AF1834">
        <v>20</v>
      </c>
      <c r="AG1834" s="1">
        <v>44196</v>
      </c>
      <c r="AH1834" s="1">
        <v>44196</v>
      </c>
      <c r="AI1834" s="1">
        <v>44196</v>
      </c>
      <c r="AK1834" t="s">
        <v>51</v>
      </c>
      <c r="AN1834">
        <v>0</v>
      </c>
      <c r="AO1834" t="s">
        <v>54</v>
      </c>
      <c r="AP1834" t="s">
        <v>53</v>
      </c>
      <c r="AQ1834">
        <v>0</v>
      </c>
      <c r="AR1834" t="s">
        <v>53</v>
      </c>
      <c r="AS1834">
        <v>0</v>
      </c>
      <c r="AT1834">
        <v>0</v>
      </c>
      <c r="AW1834" t="s">
        <v>172</v>
      </c>
      <c r="AX1834">
        <v>15</v>
      </c>
      <c r="AY1834" s="1">
        <v>44196</v>
      </c>
      <c r="AZ1834" s="1">
        <v>44196</v>
      </c>
      <c r="BA1834" s="1">
        <v>44196</v>
      </c>
      <c r="BC1834" t="s">
        <v>51</v>
      </c>
      <c r="BE1834" t="s">
        <v>54</v>
      </c>
      <c r="BF1834">
        <v>40</v>
      </c>
      <c r="BG1834">
        <v>0</v>
      </c>
      <c r="BH1834" t="s">
        <v>145</v>
      </c>
      <c r="CC1834" t="s">
        <v>669</v>
      </c>
      <c r="CD1834">
        <v>85000</v>
      </c>
      <c r="CE1834" s="1">
        <v>44196</v>
      </c>
      <c r="CF1834" s="1">
        <v>44196</v>
      </c>
      <c r="CG1834" s="1">
        <v>44196</v>
      </c>
      <c r="CI1834" t="s">
        <v>51</v>
      </c>
      <c r="CK1834" t="s">
        <v>78</v>
      </c>
      <c r="CM1834" t="s">
        <v>54</v>
      </c>
      <c r="CN1834" t="s">
        <v>174</v>
      </c>
      <c r="CO1834" t="s">
        <v>86</v>
      </c>
      <c r="CR1834">
        <v>50</v>
      </c>
      <c r="CS1834">
        <v>0</v>
      </c>
      <c r="CT1834">
        <v>0</v>
      </c>
      <c r="CU1834">
        <v>0</v>
      </c>
    </row>
    <row r="1835" spans="1:99" x14ac:dyDescent="0.2">
      <c r="A1835" t="s">
        <v>367</v>
      </c>
      <c r="B1835" t="s">
        <v>440</v>
      </c>
      <c r="C1835" t="s">
        <v>441</v>
      </c>
      <c r="D1835" t="s">
        <v>806</v>
      </c>
      <c r="F1835" t="str">
        <f>"161685"</f>
        <v>161685</v>
      </c>
      <c r="G1835" t="s">
        <v>49</v>
      </c>
      <c r="H1835" t="s">
        <v>955</v>
      </c>
      <c r="K1835" t="s">
        <v>51</v>
      </c>
      <c r="L1835" t="s">
        <v>52</v>
      </c>
      <c r="M1835">
        <v>134060.5</v>
      </c>
      <c r="N1835">
        <v>468806.47</v>
      </c>
      <c r="O1835" t="s">
        <v>53</v>
      </c>
      <c r="P1835" t="s">
        <v>54</v>
      </c>
      <c r="Q1835" t="s">
        <v>55</v>
      </c>
      <c r="T1835" t="s">
        <v>933</v>
      </c>
      <c r="U1835">
        <v>40</v>
      </c>
      <c r="V1835" s="1">
        <v>37076</v>
      </c>
      <c r="W1835" s="1">
        <v>37076</v>
      </c>
      <c r="X1835" s="1">
        <v>37076</v>
      </c>
      <c r="Y1835" s="1">
        <v>51686</v>
      </c>
      <c r="Z1835" t="s">
        <v>51</v>
      </c>
      <c r="AB1835" t="s">
        <v>54</v>
      </c>
      <c r="AC1835">
        <v>1</v>
      </c>
      <c r="AE1835" t="s">
        <v>934</v>
      </c>
      <c r="AF1835">
        <v>20</v>
      </c>
      <c r="AG1835" s="1">
        <v>44196</v>
      </c>
      <c r="AH1835" s="1">
        <v>44196</v>
      </c>
      <c r="AI1835" s="1">
        <v>44196</v>
      </c>
      <c r="AK1835" t="s">
        <v>51</v>
      </c>
      <c r="AN1835">
        <v>0</v>
      </c>
      <c r="AO1835" t="s">
        <v>54</v>
      </c>
      <c r="AP1835" t="s">
        <v>53</v>
      </c>
      <c r="AQ1835">
        <v>0</v>
      </c>
      <c r="AR1835" t="s">
        <v>53</v>
      </c>
      <c r="AS1835">
        <v>0</v>
      </c>
      <c r="AT1835">
        <v>0</v>
      </c>
      <c r="AW1835" t="s">
        <v>172</v>
      </c>
      <c r="AX1835">
        <v>15</v>
      </c>
      <c r="AY1835" s="1">
        <v>44196</v>
      </c>
      <c r="AZ1835" s="1">
        <v>44196</v>
      </c>
      <c r="BA1835" s="1">
        <v>44196</v>
      </c>
      <c r="BC1835" t="s">
        <v>51</v>
      </c>
      <c r="BE1835" t="s">
        <v>54</v>
      </c>
      <c r="BF1835">
        <v>40</v>
      </c>
      <c r="BG1835">
        <v>0</v>
      </c>
      <c r="BH1835" t="s">
        <v>145</v>
      </c>
      <c r="CC1835" t="s">
        <v>669</v>
      </c>
      <c r="CD1835">
        <v>85000</v>
      </c>
      <c r="CE1835" s="1">
        <v>44196</v>
      </c>
      <c r="CF1835" s="1">
        <v>44196</v>
      </c>
      <c r="CG1835" s="1">
        <v>44196</v>
      </c>
      <c r="CI1835" t="s">
        <v>51</v>
      </c>
      <c r="CK1835" t="s">
        <v>78</v>
      </c>
      <c r="CM1835" t="s">
        <v>54</v>
      </c>
      <c r="CN1835" t="s">
        <v>174</v>
      </c>
      <c r="CO1835" t="s">
        <v>86</v>
      </c>
      <c r="CR1835">
        <v>50</v>
      </c>
      <c r="CS1835">
        <v>0</v>
      </c>
      <c r="CT1835">
        <v>0</v>
      </c>
      <c r="CU1835">
        <v>0</v>
      </c>
    </row>
    <row r="1836" spans="1:99" x14ac:dyDescent="0.2">
      <c r="A1836" t="s">
        <v>367</v>
      </c>
      <c r="B1836" t="s">
        <v>440</v>
      </c>
      <c r="C1836" t="s">
        <v>441</v>
      </c>
      <c r="D1836" t="s">
        <v>806</v>
      </c>
      <c r="F1836" t="str">
        <f>"161686"</f>
        <v>161686</v>
      </c>
      <c r="G1836" t="s">
        <v>49</v>
      </c>
      <c r="H1836" t="s">
        <v>956</v>
      </c>
      <c r="K1836" t="s">
        <v>51</v>
      </c>
      <c r="L1836" t="s">
        <v>52</v>
      </c>
      <c r="M1836">
        <v>134114.92000000001</v>
      </c>
      <c r="N1836">
        <v>468804.61</v>
      </c>
      <c r="O1836" t="s">
        <v>53</v>
      </c>
      <c r="P1836" t="s">
        <v>54</v>
      </c>
      <c r="Q1836" t="s">
        <v>55</v>
      </c>
      <c r="T1836" t="s">
        <v>933</v>
      </c>
      <c r="U1836">
        <v>40</v>
      </c>
      <c r="V1836" s="1">
        <v>37076</v>
      </c>
      <c r="W1836" s="1">
        <v>37076</v>
      </c>
      <c r="X1836" s="1">
        <v>37076</v>
      </c>
      <c r="Y1836" s="1">
        <v>51686</v>
      </c>
      <c r="Z1836" t="s">
        <v>51</v>
      </c>
      <c r="AB1836" t="s">
        <v>54</v>
      </c>
      <c r="AC1836">
        <v>1</v>
      </c>
      <c r="AE1836" t="s">
        <v>934</v>
      </c>
      <c r="AF1836">
        <v>20</v>
      </c>
      <c r="AG1836" s="1">
        <v>44196</v>
      </c>
      <c r="AH1836" s="1">
        <v>44196</v>
      </c>
      <c r="AI1836" s="1">
        <v>44196</v>
      </c>
      <c r="AK1836" t="s">
        <v>51</v>
      </c>
      <c r="AN1836">
        <v>0</v>
      </c>
      <c r="AO1836" t="s">
        <v>54</v>
      </c>
      <c r="AP1836" t="s">
        <v>53</v>
      </c>
      <c r="AQ1836">
        <v>0</v>
      </c>
      <c r="AR1836" t="s">
        <v>53</v>
      </c>
      <c r="AS1836">
        <v>0</v>
      </c>
      <c r="AT1836">
        <v>0</v>
      </c>
      <c r="AW1836" t="s">
        <v>172</v>
      </c>
      <c r="AX1836">
        <v>15</v>
      </c>
      <c r="AY1836" s="1">
        <v>44196</v>
      </c>
      <c r="AZ1836" s="1">
        <v>44196</v>
      </c>
      <c r="BA1836" s="1">
        <v>44196</v>
      </c>
      <c r="BC1836" t="s">
        <v>51</v>
      </c>
      <c r="BE1836" t="s">
        <v>54</v>
      </c>
      <c r="BF1836">
        <v>40</v>
      </c>
      <c r="BG1836">
        <v>0</v>
      </c>
      <c r="BH1836" t="s">
        <v>145</v>
      </c>
      <c r="CC1836" t="s">
        <v>669</v>
      </c>
      <c r="CD1836">
        <v>85000</v>
      </c>
      <c r="CE1836" s="1">
        <v>44196</v>
      </c>
      <c r="CF1836" s="1">
        <v>44196</v>
      </c>
      <c r="CG1836" s="1">
        <v>44196</v>
      </c>
      <c r="CI1836" t="s">
        <v>51</v>
      </c>
      <c r="CK1836" t="s">
        <v>78</v>
      </c>
      <c r="CM1836" t="s">
        <v>54</v>
      </c>
      <c r="CN1836" t="s">
        <v>174</v>
      </c>
      <c r="CO1836" t="s">
        <v>86</v>
      </c>
      <c r="CR1836">
        <v>50</v>
      </c>
      <c r="CS1836">
        <v>0</v>
      </c>
      <c r="CT1836">
        <v>0</v>
      </c>
      <c r="CU1836">
        <v>0</v>
      </c>
    </row>
    <row r="1837" spans="1:99" x14ac:dyDescent="0.2">
      <c r="A1837" t="s">
        <v>367</v>
      </c>
      <c r="B1837" t="s">
        <v>440</v>
      </c>
      <c r="C1837" t="s">
        <v>441</v>
      </c>
      <c r="D1837" t="s">
        <v>806</v>
      </c>
      <c r="F1837" t="str">
        <f>"161687"</f>
        <v>161687</v>
      </c>
      <c r="G1837" t="s">
        <v>49</v>
      </c>
      <c r="H1837" t="s">
        <v>957</v>
      </c>
      <c r="K1837" t="s">
        <v>51</v>
      </c>
      <c r="L1837" t="s">
        <v>52</v>
      </c>
      <c r="M1837">
        <v>134089.34</v>
      </c>
      <c r="N1837">
        <v>468795.18</v>
      </c>
      <c r="O1837" t="s">
        <v>53</v>
      </c>
      <c r="P1837" t="s">
        <v>54</v>
      </c>
      <c r="Q1837" t="s">
        <v>55</v>
      </c>
      <c r="T1837" t="s">
        <v>933</v>
      </c>
      <c r="U1837">
        <v>40</v>
      </c>
      <c r="V1837" s="1">
        <v>37076</v>
      </c>
      <c r="W1837" s="1">
        <v>37076</v>
      </c>
      <c r="X1837" s="1">
        <v>37076</v>
      </c>
      <c r="Y1837" s="1">
        <v>51686</v>
      </c>
      <c r="Z1837" t="s">
        <v>51</v>
      </c>
      <c r="AB1837" t="s">
        <v>54</v>
      </c>
      <c r="AC1837">
        <v>1</v>
      </c>
      <c r="AE1837" t="s">
        <v>934</v>
      </c>
      <c r="AF1837">
        <v>20</v>
      </c>
      <c r="AG1837" s="1">
        <v>44196</v>
      </c>
      <c r="AH1837" s="1">
        <v>44196</v>
      </c>
      <c r="AI1837" s="1">
        <v>44196</v>
      </c>
      <c r="AK1837" t="s">
        <v>51</v>
      </c>
      <c r="AN1837">
        <v>0</v>
      </c>
      <c r="AO1837" t="s">
        <v>54</v>
      </c>
      <c r="AP1837" t="s">
        <v>53</v>
      </c>
      <c r="AQ1837">
        <v>0</v>
      </c>
      <c r="AR1837" t="s">
        <v>53</v>
      </c>
      <c r="AS1837">
        <v>0</v>
      </c>
      <c r="AT1837">
        <v>0</v>
      </c>
      <c r="AW1837" t="s">
        <v>172</v>
      </c>
      <c r="AX1837">
        <v>15</v>
      </c>
      <c r="AY1837" s="1">
        <v>44196</v>
      </c>
      <c r="AZ1837" s="1">
        <v>44196</v>
      </c>
      <c r="BA1837" s="1">
        <v>44196</v>
      </c>
      <c r="BC1837" t="s">
        <v>51</v>
      </c>
      <c r="BE1837" t="s">
        <v>54</v>
      </c>
      <c r="BF1837">
        <v>40</v>
      </c>
      <c r="BG1837">
        <v>0</v>
      </c>
      <c r="BH1837" t="s">
        <v>145</v>
      </c>
      <c r="CC1837" t="s">
        <v>669</v>
      </c>
      <c r="CD1837">
        <v>85000</v>
      </c>
      <c r="CE1837" s="1">
        <v>44196</v>
      </c>
      <c r="CF1837" s="1">
        <v>44196</v>
      </c>
      <c r="CG1837" s="1">
        <v>44196</v>
      </c>
      <c r="CI1837" t="s">
        <v>51</v>
      </c>
      <c r="CK1837" t="s">
        <v>78</v>
      </c>
      <c r="CM1837" t="s">
        <v>54</v>
      </c>
      <c r="CN1837" t="s">
        <v>174</v>
      </c>
      <c r="CO1837" t="s">
        <v>86</v>
      </c>
      <c r="CR1837">
        <v>50</v>
      </c>
      <c r="CS1837">
        <v>0</v>
      </c>
      <c r="CT1837">
        <v>0</v>
      </c>
      <c r="CU1837">
        <v>0</v>
      </c>
    </row>
    <row r="1838" spans="1:99" x14ac:dyDescent="0.2">
      <c r="A1838" t="s">
        <v>367</v>
      </c>
      <c r="B1838" t="s">
        <v>440</v>
      </c>
      <c r="C1838" t="s">
        <v>441</v>
      </c>
      <c r="D1838" t="s">
        <v>806</v>
      </c>
      <c r="F1838" t="str">
        <f>"161688"</f>
        <v>161688</v>
      </c>
      <c r="G1838" t="s">
        <v>49</v>
      </c>
      <c r="H1838" t="s">
        <v>958</v>
      </c>
      <c r="K1838" t="s">
        <v>51</v>
      </c>
      <c r="L1838" t="s">
        <v>52</v>
      </c>
      <c r="M1838">
        <v>134147.19</v>
      </c>
      <c r="N1838">
        <v>468802.85</v>
      </c>
      <c r="O1838" t="s">
        <v>53</v>
      </c>
      <c r="P1838" t="s">
        <v>54</v>
      </c>
      <c r="Q1838" t="s">
        <v>55</v>
      </c>
      <c r="T1838" t="s">
        <v>933</v>
      </c>
      <c r="U1838">
        <v>40</v>
      </c>
      <c r="V1838" s="1">
        <v>37076</v>
      </c>
      <c r="W1838" s="1">
        <v>37076</v>
      </c>
      <c r="X1838" s="1">
        <v>37076</v>
      </c>
      <c r="Y1838" s="1">
        <v>51686</v>
      </c>
      <c r="Z1838" t="s">
        <v>51</v>
      </c>
      <c r="AB1838" t="s">
        <v>54</v>
      </c>
      <c r="AC1838">
        <v>1</v>
      </c>
      <c r="AE1838" t="s">
        <v>934</v>
      </c>
      <c r="AF1838">
        <v>20</v>
      </c>
      <c r="AG1838" s="1">
        <v>44196</v>
      </c>
      <c r="AH1838" s="1">
        <v>44196</v>
      </c>
      <c r="AI1838" s="1">
        <v>44196</v>
      </c>
      <c r="AK1838" t="s">
        <v>51</v>
      </c>
      <c r="AN1838">
        <v>0</v>
      </c>
      <c r="AO1838" t="s">
        <v>54</v>
      </c>
      <c r="AP1838" t="s">
        <v>53</v>
      </c>
      <c r="AQ1838">
        <v>0</v>
      </c>
      <c r="AR1838" t="s">
        <v>53</v>
      </c>
      <c r="AS1838">
        <v>0</v>
      </c>
      <c r="AT1838">
        <v>0</v>
      </c>
      <c r="AW1838" t="s">
        <v>172</v>
      </c>
      <c r="AX1838">
        <v>15</v>
      </c>
      <c r="AY1838" s="1">
        <v>44196</v>
      </c>
      <c r="AZ1838" s="1">
        <v>44196</v>
      </c>
      <c r="BA1838" s="1">
        <v>44196</v>
      </c>
      <c r="BC1838" t="s">
        <v>51</v>
      </c>
      <c r="BE1838" t="s">
        <v>54</v>
      </c>
      <c r="BF1838">
        <v>40</v>
      </c>
      <c r="BG1838">
        <v>0</v>
      </c>
      <c r="BH1838" t="s">
        <v>145</v>
      </c>
      <c r="CC1838" t="s">
        <v>669</v>
      </c>
      <c r="CD1838">
        <v>85000</v>
      </c>
      <c r="CE1838" s="1">
        <v>44196</v>
      </c>
      <c r="CF1838" s="1">
        <v>44196</v>
      </c>
      <c r="CG1838" s="1">
        <v>44196</v>
      </c>
      <c r="CI1838" t="s">
        <v>51</v>
      </c>
      <c r="CK1838" t="s">
        <v>78</v>
      </c>
      <c r="CM1838" t="s">
        <v>54</v>
      </c>
      <c r="CN1838" t="s">
        <v>174</v>
      </c>
      <c r="CO1838" t="s">
        <v>86</v>
      </c>
      <c r="CR1838">
        <v>50</v>
      </c>
      <c r="CS1838">
        <v>0</v>
      </c>
      <c r="CT1838">
        <v>0</v>
      </c>
      <c r="CU1838">
        <v>0</v>
      </c>
    </row>
    <row r="1839" spans="1:99" x14ac:dyDescent="0.2">
      <c r="A1839" t="s">
        <v>367</v>
      </c>
      <c r="B1839" t="s">
        <v>440</v>
      </c>
      <c r="C1839" t="s">
        <v>441</v>
      </c>
      <c r="D1839" t="s">
        <v>806</v>
      </c>
      <c r="F1839" t="str">
        <f>"161689"</f>
        <v>161689</v>
      </c>
      <c r="G1839" t="s">
        <v>49</v>
      </c>
      <c r="H1839" t="s">
        <v>959</v>
      </c>
      <c r="K1839" t="s">
        <v>51</v>
      </c>
      <c r="L1839" t="s">
        <v>52</v>
      </c>
      <c r="M1839">
        <v>134174.91</v>
      </c>
      <c r="N1839">
        <v>468802.16</v>
      </c>
      <c r="O1839" t="s">
        <v>53</v>
      </c>
      <c r="P1839" t="s">
        <v>54</v>
      </c>
      <c r="Q1839" t="s">
        <v>55</v>
      </c>
      <c r="T1839" t="s">
        <v>933</v>
      </c>
      <c r="U1839">
        <v>40</v>
      </c>
      <c r="V1839" s="1">
        <v>37076</v>
      </c>
      <c r="W1839" s="1">
        <v>37076</v>
      </c>
      <c r="X1839" s="1">
        <v>37076</v>
      </c>
      <c r="Y1839" s="1">
        <v>51686</v>
      </c>
      <c r="Z1839" t="s">
        <v>51</v>
      </c>
      <c r="AB1839" t="s">
        <v>54</v>
      </c>
      <c r="AC1839">
        <v>1</v>
      </c>
      <c r="AE1839" t="s">
        <v>934</v>
      </c>
      <c r="AF1839">
        <v>20</v>
      </c>
      <c r="AG1839" s="1">
        <v>44196</v>
      </c>
      <c r="AH1839" s="1">
        <v>44196</v>
      </c>
      <c r="AI1839" s="1">
        <v>44196</v>
      </c>
      <c r="AK1839" t="s">
        <v>51</v>
      </c>
      <c r="AN1839">
        <v>0</v>
      </c>
      <c r="AO1839" t="s">
        <v>54</v>
      </c>
      <c r="AP1839" t="s">
        <v>53</v>
      </c>
      <c r="AQ1839">
        <v>0</v>
      </c>
      <c r="AR1839" t="s">
        <v>53</v>
      </c>
      <c r="AS1839">
        <v>0</v>
      </c>
      <c r="AT1839">
        <v>0</v>
      </c>
      <c r="AW1839" t="s">
        <v>172</v>
      </c>
      <c r="AX1839">
        <v>15</v>
      </c>
      <c r="AY1839" s="1">
        <v>44196</v>
      </c>
      <c r="AZ1839" s="1">
        <v>44196</v>
      </c>
      <c r="BA1839" s="1">
        <v>44196</v>
      </c>
      <c r="BC1839" t="s">
        <v>51</v>
      </c>
      <c r="BE1839" t="s">
        <v>54</v>
      </c>
      <c r="BF1839">
        <v>40</v>
      </c>
      <c r="BG1839">
        <v>0</v>
      </c>
      <c r="BH1839" t="s">
        <v>145</v>
      </c>
      <c r="CC1839" t="s">
        <v>669</v>
      </c>
      <c r="CD1839">
        <v>85000</v>
      </c>
      <c r="CE1839" s="1">
        <v>44196</v>
      </c>
      <c r="CF1839" s="1">
        <v>44196</v>
      </c>
      <c r="CG1839" s="1">
        <v>44196</v>
      </c>
      <c r="CI1839" t="s">
        <v>51</v>
      </c>
      <c r="CK1839" t="s">
        <v>78</v>
      </c>
      <c r="CM1839" t="s">
        <v>54</v>
      </c>
      <c r="CN1839" t="s">
        <v>174</v>
      </c>
      <c r="CO1839" t="s">
        <v>86</v>
      </c>
      <c r="CR1839">
        <v>50</v>
      </c>
      <c r="CS1839">
        <v>0</v>
      </c>
      <c r="CT1839">
        <v>0</v>
      </c>
      <c r="CU1839">
        <v>0</v>
      </c>
    </row>
    <row r="1840" spans="1:99" x14ac:dyDescent="0.2">
      <c r="A1840" t="s">
        <v>367</v>
      </c>
      <c r="B1840" t="s">
        <v>440</v>
      </c>
      <c r="C1840" t="s">
        <v>441</v>
      </c>
      <c r="D1840" t="s">
        <v>806</v>
      </c>
      <c r="F1840" t="str">
        <f>"161690"</f>
        <v>161690</v>
      </c>
      <c r="G1840" t="s">
        <v>49</v>
      </c>
      <c r="H1840" t="s">
        <v>960</v>
      </c>
      <c r="K1840" t="s">
        <v>51</v>
      </c>
      <c r="L1840" t="s">
        <v>52</v>
      </c>
      <c r="M1840">
        <v>134202.37</v>
      </c>
      <c r="N1840">
        <v>468790.73</v>
      </c>
      <c r="O1840" t="s">
        <v>53</v>
      </c>
      <c r="P1840" t="s">
        <v>54</v>
      </c>
      <c r="Q1840" t="s">
        <v>55</v>
      </c>
      <c r="T1840" t="s">
        <v>933</v>
      </c>
      <c r="U1840">
        <v>40</v>
      </c>
      <c r="V1840" s="1">
        <v>37076</v>
      </c>
      <c r="W1840" s="1">
        <v>37076</v>
      </c>
      <c r="X1840" s="1">
        <v>37076</v>
      </c>
      <c r="Y1840" s="1">
        <v>51686</v>
      </c>
      <c r="Z1840" t="s">
        <v>51</v>
      </c>
      <c r="AB1840" t="s">
        <v>54</v>
      </c>
      <c r="AC1840">
        <v>1</v>
      </c>
      <c r="AE1840" t="s">
        <v>934</v>
      </c>
      <c r="AF1840">
        <v>20</v>
      </c>
      <c r="AG1840" s="1">
        <v>44196</v>
      </c>
      <c r="AH1840" s="1">
        <v>44196</v>
      </c>
      <c r="AI1840" s="1">
        <v>44196</v>
      </c>
      <c r="AK1840" t="s">
        <v>51</v>
      </c>
      <c r="AN1840">
        <v>0</v>
      </c>
      <c r="AO1840" t="s">
        <v>54</v>
      </c>
      <c r="AP1840" t="s">
        <v>53</v>
      </c>
      <c r="AQ1840">
        <v>0</v>
      </c>
      <c r="AR1840" t="s">
        <v>53</v>
      </c>
      <c r="AS1840">
        <v>0</v>
      </c>
      <c r="AT1840">
        <v>0</v>
      </c>
      <c r="AW1840" t="s">
        <v>172</v>
      </c>
      <c r="AX1840">
        <v>15</v>
      </c>
      <c r="AY1840" s="1">
        <v>44196</v>
      </c>
      <c r="AZ1840" s="1">
        <v>44196</v>
      </c>
      <c r="BA1840" s="1">
        <v>44196</v>
      </c>
      <c r="BC1840" t="s">
        <v>51</v>
      </c>
      <c r="BE1840" t="s">
        <v>54</v>
      </c>
      <c r="BF1840">
        <v>40</v>
      </c>
      <c r="BG1840">
        <v>0</v>
      </c>
      <c r="BH1840" t="s">
        <v>145</v>
      </c>
      <c r="CC1840" t="s">
        <v>669</v>
      </c>
      <c r="CD1840">
        <v>85000</v>
      </c>
      <c r="CE1840" s="1">
        <v>44196</v>
      </c>
      <c r="CF1840" s="1">
        <v>44196</v>
      </c>
      <c r="CG1840" s="1">
        <v>44196</v>
      </c>
      <c r="CI1840" t="s">
        <v>51</v>
      </c>
      <c r="CK1840" t="s">
        <v>78</v>
      </c>
      <c r="CM1840" t="s">
        <v>54</v>
      </c>
      <c r="CN1840" t="s">
        <v>174</v>
      </c>
      <c r="CO1840" t="s">
        <v>86</v>
      </c>
      <c r="CR1840">
        <v>50</v>
      </c>
      <c r="CS1840">
        <v>0</v>
      </c>
      <c r="CT1840">
        <v>0</v>
      </c>
      <c r="CU1840">
        <v>0</v>
      </c>
    </row>
    <row r="1841" spans="1:99" x14ac:dyDescent="0.2">
      <c r="A1841" t="s">
        <v>367</v>
      </c>
      <c r="B1841" t="s">
        <v>440</v>
      </c>
      <c r="C1841" t="s">
        <v>441</v>
      </c>
      <c r="D1841" t="s">
        <v>806</v>
      </c>
      <c r="F1841" t="str">
        <f>"161691"</f>
        <v>161691</v>
      </c>
      <c r="G1841" t="s">
        <v>49</v>
      </c>
      <c r="H1841" t="s">
        <v>961</v>
      </c>
      <c r="K1841" t="s">
        <v>51</v>
      </c>
      <c r="L1841" t="s">
        <v>52</v>
      </c>
      <c r="M1841">
        <v>134240.60999999999</v>
      </c>
      <c r="N1841">
        <v>468800.41</v>
      </c>
      <c r="O1841" t="s">
        <v>53</v>
      </c>
      <c r="P1841" t="s">
        <v>54</v>
      </c>
      <c r="Q1841" t="s">
        <v>55</v>
      </c>
      <c r="T1841" t="s">
        <v>933</v>
      </c>
      <c r="U1841">
        <v>40</v>
      </c>
      <c r="V1841" s="1">
        <v>37076</v>
      </c>
      <c r="W1841" s="1">
        <v>37076</v>
      </c>
      <c r="X1841" s="1">
        <v>37076</v>
      </c>
      <c r="Y1841" s="1">
        <v>51686</v>
      </c>
      <c r="Z1841" t="s">
        <v>51</v>
      </c>
      <c r="AB1841" t="s">
        <v>54</v>
      </c>
      <c r="AC1841">
        <v>1</v>
      </c>
      <c r="AE1841" t="s">
        <v>934</v>
      </c>
      <c r="AF1841">
        <v>20</v>
      </c>
      <c r="AG1841" s="1">
        <v>44197</v>
      </c>
      <c r="AH1841" s="1">
        <v>44197</v>
      </c>
      <c r="AI1841" s="1">
        <v>44197</v>
      </c>
      <c r="AJ1841" s="1">
        <v>51502</v>
      </c>
      <c r="AK1841" t="s">
        <v>51</v>
      </c>
      <c r="AN1841">
        <v>0</v>
      </c>
      <c r="AO1841" t="s">
        <v>54</v>
      </c>
      <c r="AP1841" t="s">
        <v>53</v>
      </c>
      <c r="AQ1841">
        <v>0</v>
      </c>
      <c r="AR1841" t="s">
        <v>53</v>
      </c>
      <c r="AS1841">
        <v>0</v>
      </c>
      <c r="AT1841">
        <v>0</v>
      </c>
      <c r="AW1841" t="s">
        <v>172</v>
      </c>
      <c r="AX1841">
        <v>15</v>
      </c>
      <c r="AY1841" s="1">
        <v>44197</v>
      </c>
      <c r="AZ1841" s="1">
        <v>44197</v>
      </c>
      <c r="BA1841" s="1">
        <v>44197</v>
      </c>
      <c r="BB1841" s="1">
        <v>49675</v>
      </c>
      <c r="BC1841" t="s">
        <v>51</v>
      </c>
      <c r="BE1841" t="s">
        <v>54</v>
      </c>
      <c r="BF1841">
        <v>40</v>
      </c>
      <c r="BG1841">
        <v>0</v>
      </c>
      <c r="BH1841" t="s">
        <v>145</v>
      </c>
      <c r="CC1841" t="s">
        <v>669</v>
      </c>
      <c r="CD1841">
        <v>85000</v>
      </c>
      <c r="CE1841" s="1">
        <v>44197</v>
      </c>
      <c r="CF1841" s="1">
        <v>44197</v>
      </c>
      <c r="CG1841" s="1">
        <v>44197</v>
      </c>
      <c r="CH1841" s="1">
        <v>51826</v>
      </c>
      <c r="CI1841" t="s">
        <v>51</v>
      </c>
      <c r="CK1841" t="s">
        <v>78</v>
      </c>
      <c r="CM1841" t="s">
        <v>54</v>
      </c>
      <c r="CN1841" t="s">
        <v>174</v>
      </c>
      <c r="CO1841" t="s">
        <v>86</v>
      </c>
      <c r="CR1841">
        <v>50</v>
      </c>
      <c r="CS1841">
        <v>0</v>
      </c>
      <c r="CT1841">
        <v>0</v>
      </c>
      <c r="CU1841">
        <v>0</v>
      </c>
    </row>
    <row r="1842" spans="1:99" x14ac:dyDescent="0.2">
      <c r="A1842" t="s">
        <v>367</v>
      </c>
      <c r="B1842" t="s">
        <v>440</v>
      </c>
      <c r="C1842" t="s">
        <v>441</v>
      </c>
      <c r="D1842" t="s">
        <v>806</v>
      </c>
      <c r="F1842" t="str">
        <f>"161692"</f>
        <v>161692</v>
      </c>
      <c r="G1842" t="s">
        <v>49</v>
      </c>
      <c r="H1842" t="s">
        <v>962</v>
      </c>
      <c r="K1842" t="s">
        <v>51</v>
      </c>
      <c r="L1842" t="s">
        <v>52</v>
      </c>
      <c r="M1842">
        <v>134272.01</v>
      </c>
      <c r="N1842">
        <v>468789.07</v>
      </c>
      <c r="O1842" t="s">
        <v>53</v>
      </c>
      <c r="P1842" t="s">
        <v>54</v>
      </c>
      <c r="Q1842" t="s">
        <v>55</v>
      </c>
      <c r="T1842" t="s">
        <v>933</v>
      </c>
      <c r="U1842">
        <v>40</v>
      </c>
      <c r="V1842" s="1">
        <v>37076</v>
      </c>
      <c r="W1842" s="1">
        <v>37076</v>
      </c>
      <c r="X1842" s="1">
        <v>37076</v>
      </c>
      <c r="Y1842" s="1">
        <v>51686</v>
      </c>
      <c r="Z1842" t="s">
        <v>51</v>
      </c>
      <c r="AB1842" t="s">
        <v>54</v>
      </c>
      <c r="AC1842">
        <v>1</v>
      </c>
      <c r="AE1842" t="s">
        <v>934</v>
      </c>
      <c r="AF1842">
        <v>20</v>
      </c>
      <c r="AG1842" s="1">
        <v>44197</v>
      </c>
      <c r="AH1842" s="1">
        <v>44197</v>
      </c>
      <c r="AI1842" s="1">
        <v>44197</v>
      </c>
      <c r="AJ1842" s="1">
        <v>51502</v>
      </c>
      <c r="AK1842" t="s">
        <v>51</v>
      </c>
      <c r="AN1842">
        <v>0</v>
      </c>
      <c r="AO1842" t="s">
        <v>54</v>
      </c>
      <c r="AP1842" t="s">
        <v>53</v>
      </c>
      <c r="AQ1842">
        <v>0</v>
      </c>
      <c r="AR1842" t="s">
        <v>53</v>
      </c>
      <c r="AS1842">
        <v>0</v>
      </c>
      <c r="AT1842">
        <v>0</v>
      </c>
      <c r="AW1842" t="s">
        <v>172</v>
      </c>
      <c r="AX1842">
        <v>15</v>
      </c>
      <c r="AY1842" s="1">
        <v>44197</v>
      </c>
      <c r="AZ1842" s="1">
        <v>44197</v>
      </c>
      <c r="BA1842" s="1">
        <v>44197</v>
      </c>
      <c r="BB1842" s="1">
        <v>49675</v>
      </c>
      <c r="BC1842" t="s">
        <v>51</v>
      </c>
      <c r="BE1842" t="s">
        <v>54</v>
      </c>
      <c r="BF1842">
        <v>40</v>
      </c>
      <c r="BG1842">
        <v>0</v>
      </c>
      <c r="BH1842" t="s">
        <v>145</v>
      </c>
      <c r="CC1842" t="s">
        <v>669</v>
      </c>
      <c r="CD1842">
        <v>85000</v>
      </c>
      <c r="CE1842" s="1">
        <v>44197</v>
      </c>
      <c r="CF1842" s="1">
        <v>44197</v>
      </c>
      <c r="CG1842" s="1">
        <v>44197</v>
      </c>
      <c r="CH1842" s="1">
        <v>51826</v>
      </c>
      <c r="CI1842" t="s">
        <v>51</v>
      </c>
      <c r="CK1842" t="s">
        <v>78</v>
      </c>
      <c r="CM1842" t="s">
        <v>54</v>
      </c>
      <c r="CN1842" t="s">
        <v>174</v>
      </c>
      <c r="CO1842" t="s">
        <v>86</v>
      </c>
      <c r="CR1842">
        <v>50</v>
      </c>
      <c r="CS1842">
        <v>0</v>
      </c>
      <c r="CT1842">
        <v>0</v>
      </c>
      <c r="CU1842">
        <v>0</v>
      </c>
    </row>
    <row r="1843" spans="1:99" x14ac:dyDescent="0.2">
      <c r="A1843" t="s">
        <v>367</v>
      </c>
      <c r="B1843" t="s">
        <v>440</v>
      </c>
      <c r="C1843" t="s">
        <v>441</v>
      </c>
      <c r="D1843" t="s">
        <v>806</v>
      </c>
      <c r="F1843" t="str">
        <f>"161693"</f>
        <v>161693</v>
      </c>
      <c r="G1843" t="s">
        <v>49</v>
      </c>
      <c r="H1843" t="s">
        <v>963</v>
      </c>
      <c r="K1843" t="s">
        <v>51</v>
      </c>
      <c r="L1843" t="s">
        <v>52</v>
      </c>
      <c r="M1843">
        <v>134306.54300000001</v>
      </c>
      <c r="N1843">
        <v>468798.74699999997</v>
      </c>
      <c r="O1843" t="s">
        <v>53</v>
      </c>
      <c r="P1843" t="s">
        <v>54</v>
      </c>
      <c r="Q1843" t="s">
        <v>55</v>
      </c>
      <c r="T1843" t="s">
        <v>933</v>
      </c>
      <c r="U1843">
        <v>40</v>
      </c>
      <c r="V1843" s="1">
        <v>37076</v>
      </c>
      <c r="W1843" s="1">
        <v>37076</v>
      </c>
      <c r="X1843" s="1">
        <v>37076</v>
      </c>
      <c r="Y1843" s="1">
        <v>51686</v>
      </c>
      <c r="Z1843" t="s">
        <v>51</v>
      </c>
      <c r="AB1843" t="s">
        <v>54</v>
      </c>
      <c r="AC1843">
        <v>1</v>
      </c>
      <c r="AE1843" t="s">
        <v>934</v>
      </c>
      <c r="AF1843">
        <v>20</v>
      </c>
      <c r="AG1843" s="1">
        <v>44196</v>
      </c>
      <c r="AH1843" s="1">
        <v>44196</v>
      </c>
      <c r="AI1843" s="1">
        <v>44196</v>
      </c>
      <c r="AK1843" t="s">
        <v>51</v>
      </c>
      <c r="AN1843">
        <v>0</v>
      </c>
      <c r="AO1843" t="s">
        <v>54</v>
      </c>
      <c r="AP1843" t="s">
        <v>53</v>
      </c>
      <c r="AQ1843">
        <v>0</v>
      </c>
      <c r="AR1843" t="s">
        <v>53</v>
      </c>
      <c r="AS1843">
        <v>0</v>
      </c>
      <c r="AT1843">
        <v>0</v>
      </c>
      <c r="AW1843" t="s">
        <v>172</v>
      </c>
      <c r="AX1843">
        <v>15</v>
      </c>
      <c r="AY1843" s="1">
        <v>44196</v>
      </c>
      <c r="AZ1843" s="1">
        <v>44196</v>
      </c>
      <c r="BA1843" s="1">
        <v>44196</v>
      </c>
      <c r="BC1843" t="s">
        <v>51</v>
      </c>
      <c r="BE1843" t="s">
        <v>54</v>
      </c>
      <c r="BF1843">
        <v>40</v>
      </c>
      <c r="BG1843">
        <v>0</v>
      </c>
      <c r="BH1843" t="s">
        <v>145</v>
      </c>
      <c r="CC1843" t="s">
        <v>669</v>
      </c>
      <c r="CD1843">
        <v>85000</v>
      </c>
      <c r="CE1843" s="1">
        <v>44196</v>
      </c>
      <c r="CF1843" s="1">
        <v>44196</v>
      </c>
      <c r="CG1843" s="1">
        <v>44196</v>
      </c>
      <c r="CI1843" t="s">
        <v>51</v>
      </c>
      <c r="CK1843" t="s">
        <v>78</v>
      </c>
      <c r="CM1843" t="s">
        <v>54</v>
      </c>
      <c r="CN1843" t="s">
        <v>174</v>
      </c>
      <c r="CO1843" t="s">
        <v>86</v>
      </c>
      <c r="CR1843">
        <v>50</v>
      </c>
      <c r="CS1843">
        <v>0</v>
      </c>
      <c r="CT1843">
        <v>0</v>
      </c>
      <c r="CU1843">
        <v>0</v>
      </c>
    </row>
    <row r="1844" spans="1:99" x14ac:dyDescent="0.2">
      <c r="A1844" t="s">
        <v>367</v>
      </c>
      <c r="B1844" t="s">
        <v>440</v>
      </c>
      <c r="C1844" t="s">
        <v>441</v>
      </c>
      <c r="D1844" t="s">
        <v>806</v>
      </c>
      <c r="F1844" t="str">
        <f>"161694"</f>
        <v>161694</v>
      </c>
      <c r="G1844" t="s">
        <v>49</v>
      </c>
      <c r="H1844" t="s">
        <v>964</v>
      </c>
      <c r="K1844" t="s">
        <v>51</v>
      </c>
      <c r="L1844" t="s">
        <v>52</v>
      </c>
      <c r="M1844">
        <v>134337.67000000001</v>
      </c>
      <c r="N1844">
        <v>468788.17</v>
      </c>
      <c r="O1844" t="s">
        <v>53</v>
      </c>
      <c r="P1844" t="s">
        <v>54</v>
      </c>
      <c r="Q1844" t="s">
        <v>55</v>
      </c>
      <c r="T1844" t="s">
        <v>933</v>
      </c>
      <c r="U1844">
        <v>40</v>
      </c>
      <c r="V1844" s="1">
        <v>37076</v>
      </c>
      <c r="W1844" s="1">
        <v>37076</v>
      </c>
      <c r="X1844" s="1">
        <v>37076</v>
      </c>
      <c r="Y1844" s="1">
        <v>51686</v>
      </c>
      <c r="Z1844" t="s">
        <v>51</v>
      </c>
      <c r="AB1844" t="s">
        <v>54</v>
      </c>
      <c r="AC1844">
        <v>1</v>
      </c>
      <c r="AE1844" t="s">
        <v>934</v>
      </c>
      <c r="AF1844">
        <v>20</v>
      </c>
      <c r="AG1844" s="1">
        <v>44196</v>
      </c>
      <c r="AH1844" s="1">
        <v>44196</v>
      </c>
      <c r="AI1844" s="1">
        <v>44196</v>
      </c>
      <c r="AK1844" t="s">
        <v>51</v>
      </c>
      <c r="AN1844">
        <v>0</v>
      </c>
      <c r="AO1844" t="s">
        <v>54</v>
      </c>
      <c r="AP1844" t="s">
        <v>53</v>
      </c>
      <c r="AQ1844">
        <v>0</v>
      </c>
      <c r="AR1844" t="s">
        <v>53</v>
      </c>
      <c r="AS1844">
        <v>0</v>
      </c>
      <c r="AT1844">
        <v>0</v>
      </c>
      <c r="AW1844" t="s">
        <v>172</v>
      </c>
      <c r="AX1844">
        <v>15</v>
      </c>
      <c r="AY1844" s="1">
        <v>44196</v>
      </c>
      <c r="AZ1844" s="1">
        <v>44196</v>
      </c>
      <c r="BA1844" s="1">
        <v>44196</v>
      </c>
      <c r="BC1844" t="s">
        <v>51</v>
      </c>
      <c r="BE1844" t="s">
        <v>54</v>
      </c>
      <c r="BF1844">
        <v>40</v>
      </c>
      <c r="BG1844">
        <v>0</v>
      </c>
      <c r="BH1844" t="s">
        <v>145</v>
      </c>
      <c r="CC1844" t="s">
        <v>669</v>
      </c>
      <c r="CD1844">
        <v>85000</v>
      </c>
      <c r="CE1844" s="1">
        <v>44196</v>
      </c>
      <c r="CF1844" s="1">
        <v>44196</v>
      </c>
      <c r="CG1844" s="1">
        <v>44196</v>
      </c>
      <c r="CI1844" t="s">
        <v>51</v>
      </c>
      <c r="CK1844" t="s">
        <v>78</v>
      </c>
      <c r="CM1844" t="s">
        <v>54</v>
      </c>
      <c r="CN1844" t="s">
        <v>174</v>
      </c>
      <c r="CO1844" t="s">
        <v>86</v>
      </c>
      <c r="CR1844">
        <v>50</v>
      </c>
      <c r="CS1844">
        <v>0</v>
      </c>
      <c r="CT1844">
        <v>0</v>
      </c>
      <c r="CU1844">
        <v>0</v>
      </c>
    </row>
    <row r="1845" spans="1:99" x14ac:dyDescent="0.2">
      <c r="A1845" t="s">
        <v>367</v>
      </c>
      <c r="B1845" t="s">
        <v>440</v>
      </c>
      <c r="C1845" t="s">
        <v>441</v>
      </c>
      <c r="D1845" t="s">
        <v>806</v>
      </c>
      <c r="F1845" t="str">
        <f>"161695"</f>
        <v>161695</v>
      </c>
      <c r="G1845" t="s">
        <v>49</v>
      </c>
      <c r="H1845" t="s">
        <v>965</v>
      </c>
      <c r="K1845" t="s">
        <v>51</v>
      </c>
      <c r="L1845" t="s">
        <v>52</v>
      </c>
      <c r="M1845">
        <v>134367.75</v>
      </c>
      <c r="N1845">
        <v>468787.31</v>
      </c>
      <c r="O1845" t="s">
        <v>53</v>
      </c>
      <c r="P1845" t="s">
        <v>54</v>
      </c>
      <c r="Q1845" t="s">
        <v>55</v>
      </c>
      <c r="T1845" t="s">
        <v>933</v>
      </c>
      <c r="U1845">
        <v>40</v>
      </c>
      <c r="V1845" s="1">
        <v>37076</v>
      </c>
      <c r="W1845" s="1">
        <v>37076</v>
      </c>
      <c r="X1845" s="1">
        <v>37076</v>
      </c>
      <c r="Y1845" s="1">
        <v>51686</v>
      </c>
      <c r="Z1845" t="s">
        <v>51</v>
      </c>
      <c r="AB1845" t="s">
        <v>54</v>
      </c>
      <c r="AC1845">
        <v>1</v>
      </c>
      <c r="AE1845" t="s">
        <v>934</v>
      </c>
      <c r="AF1845">
        <v>20</v>
      </c>
      <c r="AG1845" s="1">
        <v>44196</v>
      </c>
      <c r="AH1845" s="1">
        <v>44196</v>
      </c>
      <c r="AI1845" s="1">
        <v>44196</v>
      </c>
      <c r="AK1845" t="s">
        <v>51</v>
      </c>
      <c r="AN1845">
        <v>0</v>
      </c>
      <c r="AO1845" t="s">
        <v>54</v>
      </c>
      <c r="AP1845" t="s">
        <v>53</v>
      </c>
      <c r="AQ1845">
        <v>0</v>
      </c>
      <c r="AR1845" t="s">
        <v>53</v>
      </c>
      <c r="AS1845">
        <v>0</v>
      </c>
      <c r="AT1845">
        <v>0</v>
      </c>
      <c r="AW1845" t="s">
        <v>172</v>
      </c>
      <c r="AX1845">
        <v>15</v>
      </c>
      <c r="AY1845" s="1">
        <v>44196</v>
      </c>
      <c r="AZ1845" s="1">
        <v>44196</v>
      </c>
      <c r="BA1845" s="1">
        <v>44196</v>
      </c>
      <c r="BC1845" t="s">
        <v>51</v>
      </c>
      <c r="BE1845" t="s">
        <v>54</v>
      </c>
      <c r="BF1845">
        <v>40</v>
      </c>
      <c r="BG1845">
        <v>0</v>
      </c>
      <c r="BH1845" t="s">
        <v>145</v>
      </c>
      <c r="CC1845" t="s">
        <v>669</v>
      </c>
      <c r="CD1845">
        <v>85000</v>
      </c>
      <c r="CE1845" s="1">
        <v>44196</v>
      </c>
      <c r="CF1845" s="1">
        <v>44196</v>
      </c>
      <c r="CG1845" s="1">
        <v>44196</v>
      </c>
      <c r="CI1845" t="s">
        <v>51</v>
      </c>
      <c r="CK1845" t="s">
        <v>78</v>
      </c>
      <c r="CM1845" t="s">
        <v>54</v>
      </c>
      <c r="CN1845" t="s">
        <v>174</v>
      </c>
      <c r="CO1845" t="s">
        <v>86</v>
      </c>
      <c r="CR1845">
        <v>50</v>
      </c>
      <c r="CS1845">
        <v>0</v>
      </c>
      <c r="CT1845">
        <v>0</v>
      </c>
      <c r="CU1845">
        <v>0</v>
      </c>
    </row>
    <row r="1846" spans="1:99" x14ac:dyDescent="0.2">
      <c r="A1846" t="s">
        <v>367</v>
      </c>
      <c r="B1846" t="s">
        <v>440</v>
      </c>
      <c r="C1846" t="s">
        <v>441</v>
      </c>
      <c r="D1846" t="s">
        <v>806</v>
      </c>
      <c r="F1846" t="str">
        <f>"161696"</f>
        <v>161696</v>
      </c>
      <c r="G1846" t="s">
        <v>49</v>
      </c>
      <c r="H1846" t="s">
        <v>966</v>
      </c>
      <c r="K1846" t="s">
        <v>51</v>
      </c>
      <c r="L1846" t="s">
        <v>52</v>
      </c>
      <c r="M1846">
        <v>133445.17000000001</v>
      </c>
      <c r="N1846">
        <v>468817.49</v>
      </c>
      <c r="O1846" t="s">
        <v>53</v>
      </c>
      <c r="P1846" t="s">
        <v>54</v>
      </c>
      <c r="Q1846" t="s">
        <v>55</v>
      </c>
      <c r="T1846" t="s">
        <v>933</v>
      </c>
      <c r="U1846">
        <v>40</v>
      </c>
      <c r="V1846" s="1">
        <v>37076</v>
      </c>
      <c r="W1846" s="1">
        <v>37076</v>
      </c>
      <c r="X1846" s="1">
        <v>37076</v>
      </c>
      <c r="Y1846" s="1">
        <v>51686</v>
      </c>
      <c r="Z1846" t="s">
        <v>51</v>
      </c>
      <c r="AB1846" t="s">
        <v>54</v>
      </c>
      <c r="AC1846">
        <v>1</v>
      </c>
      <c r="AE1846" t="s">
        <v>934</v>
      </c>
      <c r="AF1846">
        <v>20</v>
      </c>
      <c r="AG1846" s="1">
        <v>44196</v>
      </c>
      <c r="AH1846" s="1">
        <v>44196</v>
      </c>
      <c r="AI1846" s="1">
        <v>44196</v>
      </c>
      <c r="AK1846" t="s">
        <v>51</v>
      </c>
      <c r="AN1846">
        <v>0</v>
      </c>
      <c r="AO1846" t="s">
        <v>54</v>
      </c>
      <c r="AP1846" t="s">
        <v>53</v>
      </c>
      <c r="AQ1846">
        <v>0</v>
      </c>
      <c r="AR1846" t="s">
        <v>53</v>
      </c>
      <c r="AS1846">
        <v>0</v>
      </c>
      <c r="AT1846">
        <v>0</v>
      </c>
      <c r="AW1846" t="s">
        <v>172</v>
      </c>
      <c r="AX1846">
        <v>15</v>
      </c>
      <c r="AY1846" s="1">
        <v>44196</v>
      </c>
      <c r="AZ1846" s="1">
        <v>44196</v>
      </c>
      <c r="BA1846" s="1">
        <v>44196</v>
      </c>
      <c r="BC1846" t="s">
        <v>51</v>
      </c>
      <c r="BE1846" t="s">
        <v>54</v>
      </c>
      <c r="BF1846">
        <v>40</v>
      </c>
      <c r="BG1846">
        <v>0</v>
      </c>
      <c r="BH1846" t="s">
        <v>145</v>
      </c>
      <c r="CC1846" t="s">
        <v>669</v>
      </c>
      <c r="CD1846">
        <v>85000</v>
      </c>
      <c r="CE1846" s="1">
        <v>44196</v>
      </c>
      <c r="CF1846" s="1">
        <v>44196</v>
      </c>
      <c r="CG1846" s="1">
        <v>44196</v>
      </c>
      <c r="CI1846" t="s">
        <v>51</v>
      </c>
      <c r="CK1846" t="s">
        <v>78</v>
      </c>
      <c r="CM1846" t="s">
        <v>54</v>
      </c>
      <c r="CN1846" t="s">
        <v>174</v>
      </c>
      <c r="CO1846" t="s">
        <v>86</v>
      </c>
      <c r="CR1846">
        <v>50</v>
      </c>
      <c r="CS1846">
        <v>0</v>
      </c>
      <c r="CT1846">
        <v>0</v>
      </c>
      <c r="CU1846">
        <v>0</v>
      </c>
    </row>
    <row r="1847" spans="1:99" x14ac:dyDescent="0.2">
      <c r="A1847" t="s">
        <v>367</v>
      </c>
      <c r="B1847" t="s">
        <v>440</v>
      </c>
      <c r="C1847" t="s">
        <v>441</v>
      </c>
      <c r="D1847" t="s">
        <v>806</v>
      </c>
      <c r="F1847" t="str">
        <f>"211220"</f>
        <v>211220</v>
      </c>
      <c r="G1847" t="s">
        <v>49</v>
      </c>
      <c r="H1847" t="s">
        <v>967</v>
      </c>
      <c r="K1847" t="s">
        <v>51</v>
      </c>
      <c r="L1847" t="s">
        <v>52</v>
      </c>
      <c r="M1847">
        <v>133986.39300000001</v>
      </c>
      <c r="N1847">
        <v>468773.891</v>
      </c>
      <c r="O1847" t="s">
        <v>53</v>
      </c>
      <c r="P1847" t="s">
        <v>54</v>
      </c>
      <c r="Q1847" t="s">
        <v>55</v>
      </c>
      <c r="T1847" t="s">
        <v>968</v>
      </c>
      <c r="U1847">
        <v>40</v>
      </c>
      <c r="V1847" s="1">
        <v>40317</v>
      </c>
      <c r="W1847" s="1">
        <v>40317</v>
      </c>
      <c r="X1847" s="1">
        <v>40317</v>
      </c>
      <c r="Y1847" s="1">
        <v>54927</v>
      </c>
      <c r="Z1847" t="s">
        <v>51</v>
      </c>
      <c r="AB1847" t="s">
        <v>54</v>
      </c>
      <c r="AC1847">
        <v>1</v>
      </c>
      <c r="AE1847" t="s">
        <v>57</v>
      </c>
      <c r="AF1847">
        <v>20</v>
      </c>
      <c r="AG1847" s="1">
        <v>40199</v>
      </c>
      <c r="AH1847" s="1">
        <v>40199</v>
      </c>
      <c r="AI1847" s="1">
        <v>40317</v>
      </c>
      <c r="AJ1847" s="1">
        <v>47504</v>
      </c>
      <c r="AK1847" t="s">
        <v>51</v>
      </c>
      <c r="AN1847">
        <v>0</v>
      </c>
      <c r="AO1847" t="s">
        <v>54</v>
      </c>
      <c r="AP1847" t="s">
        <v>53</v>
      </c>
      <c r="AQ1847">
        <v>0</v>
      </c>
      <c r="AR1847" t="s">
        <v>53</v>
      </c>
      <c r="AS1847">
        <v>0</v>
      </c>
      <c r="AT1847">
        <v>0</v>
      </c>
      <c r="AW1847" t="s">
        <v>58</v>
      </c>
      <c r="AX1847">
        <v>20</v>
      </c>
      <c r="AY1847" s="1">
        <v>40199</v>
      </c>
      <c r="AZ1847" s="1">
        <v>40199</v>
      </c>
      <c r="BA1847" s="1">
        <v>40317</v>
      </c>
      <c r="BB1847" s="1">
        <v>47504</v>
      </c>
      <c r="BC1847" t="s">
        <v>51</v>
      </c>
      <c r="BE1847" t="s">
        <v>54</v>
      </c>
      <c r="BF1847">
        <v>2</v>
      </c>
      <c r="BG1847">
        <v>0</v>
      </c>
      <c r="BH1847" t="s">
        <v>53</v>
      </c>
      <c r="BK1847" t="s">
        <v>59</v>
      </c>
      <c r="BL1847">
        <v>14000</v>
      </c>
      <c r="BM1847" s="1">
        <v>42917</v>
      </c>
      <c r="BN1847" s="1">
        <v>42917</v>
      </c>
      <c r="BO1847" s="1">
        <v>42917</v>
      </c>
      <c r="BP1847" s="1">
        <v>44117</v>
      </c>
      <c r="BQ1847" t="s">
        <v>51</v>
      </c>
      <c r="BS1847" t="s">
        <v>60</v>
      </c>
      <c r="BT1847" t="s">
        <v>54</v>
      </c>
      <c r="BU1847" t="s">
        <v>61</v>
      </c>
      <c r="BV1847" t="s">
        <v>62</v>
      </c>
      <c r="BX1847">
        <v>24</v>
      </c>
      <c r="BY1847">
        <v>0</v>
      </c>
      <c r="BZ1847">
        <v>0</v>
      </c>
    </row>
    <row r="1848" spans="1:99" x14ac:dyDescent="0.2">
      <c r="A1848" t="s">
        <v>367</v>
      </c>
      <c r="B1848" t="s">
        <v>440</v>
      </c>
      <c r="C1848" t="s">
        <v>441</v>
      </c>
      <c r="D1848" t="s">
        <v>806</v>
      </c>
      <c r="F1848" t="str">
        <f>"211221"</f>
        <v>211221</v>
      </c>
      <c r="G1848" t="s">
        <v>49</v>
      </c>
      <c r="H1848" t="s">
        <v>967</v>
      </c>
      <c r="K1848" t="s">
        <v>51</v>
      </c>
      <c r="L1848" t="s">
        <v>52</v>
      </c>
      <c r="M1848">
        <v>133969.62</v>
      </c>
      <c r="N1848">
        <v>468763.25</v>
      </c>
      <c r="O1848" t="s">
        <v>53</v>
      </c>
      <c r="P1848" t="s">
        <v>54</v>
      </c>
      <c r="Q1848" t="s">
        <v>55</v>
      </c>
      <c r="T1848" t="s">
        <v>968</v>
      </c>
      <c r="U1848">
        <v>40</v>
      </c>
      <c r="V1848" s="1">
        <v>40317</v>
      </c>
      <c r="W1848" s="1">
        <v>40317</v>
      </c>
      <c r="X1848" s="1">
        <v>40317</v>
      </c>
      <c r="Y1848" s="1">
        <v>54927</v>
      </c>
      <c r="Z1848" t="s">
        <v>51</v>
      </c>
      <c r="AB1848" t="s">
        <v>54</v>
      </c>
      <c r="AC1848">
        <v>1</v>
      </c>
      <c r="AE1848" t="s">
        <v>57</v>
      </c>
      <c r="AF1848">
        <v>20</v>
      </c>
      <c r="AG1848" s="1">
        <v>40199</v>
      </c>
      <c r="AH1848" s="1">
        <v>40199</v>
      </c>
      <c r="AI1848" s="1">
        <v>40317</v>
      </c>
      <c r="AJ1848" s="1">
        <v>47504</v>
      </c>
      <c r="AK1848" t="s">
        <v>51</v>
      </c>
      <c r="AN1848">
        <v>0</v>
      </c>
      <c r="AO1848" t="s">
        <v>54</v>
      </c>
      <c r="AP1848" t="s">
        <v>53</v>
      </c>
      <c r="AQ1848">
        <v>0</v>
      </c>
      <c r="AR1848" t="s">
        <v>53</v>
      </c>
      <c r="AS1848">
        <v>0</v>
      </c>
      <c r="AT1848">
        <v>0</v>
      </c>
      <c r="AW1848" t="s">
        <v>58</v>
      </c>
      <c r="AX1848">
        <v>20</v>
      </c>
      <c r="AY1848" s="1">
        <v>40199</v>
      </c>
      <c r="AZ1848" s="1">
        <v>40199</v>
      </c>
      <c r="BA1848" s="1">
        <v>40317</v>
      </c>
      <c r="BB1848" s="1">
        <v>47504</v>
      </c>
      <c r="BC1848" t="s">
        <v>51</v>
      </c>
      <c r="BE1848" t="s">
        <v>54</v>
      </c>
      <c r="BF1848">
        <v>2</v>
      </c>
      <c r="BG1848">
        <v>0</v>
      </c>
      <c r="BH1848" t="s">
        <v>53</v>
      </c>
      <c r="BK1848" t="s">
        <v>59</v>
      </c>
      <c r="BL1848">
        <v>14000</v>
      </c>
      <c r="BM1848" s="1">
        <v>42917</v>
      </c>
      <c r="BN1848" s="1">
        <v>42917</v>
      </c>
      <c r="BO1848" s="1">
        <v>42917</v>
      </c>
      <c r="BP1848" s="1">
        <v>44117</v>
      </c>
      <c r="BQ1848" t="s">
        <v>51</v>
      </c>
      <c r="BS1848" t="s">
        <v>60</v>
      </c>
      <c r="BT1848" t="s">
        <v>54</v>
      </c>
      <c r="BU1848" t="s">
        <v>61</v>
      </c>
      <c r="BV1848" t="s">
        <v>62</v>
      </c>
      <c r="BX1848">
        <v>24</v>
      </c>
      <c r="BY1848">
        <v>0</v>
      </c>
      <c r="BZ1848">
        <v>0</v>
      </c>
    </row>
    <row r="1849" spans="1:99" x14ac:dyDescent="0.2">
      <c r="A1849" t="s">
        <v>367</v>
      </c>
      <c r="B1849" t="s">
        <v>440</v>
      </c>
      <c r="C1849" t="s">
        <v>441</v>
      </c>
      <c r="D1849" t="s">
        <v>806</v>
      </c>
      <c r="F1849" t="str">
        <f>"211222"</f>
        <v>211222</v>
      </c>
      <c r="G1849" t="s">
        <v>49</v>
      </c>
      <c r="H1849" t="s">
        <v>967</v>
      </c>
      <c r="K1849" t="s">
        <v>51</v>
      </c>
      <c r="L1849" t="s">
        <v>52</v>
      </c>
      <c r="M1849">
        <v>133972.34</v>
      </c>
      <c r="N1849">
        <v>468741.71</v>
      </c>
      <c r="O1849" t="s">
        <v>53</v>
      </c>
      <c r="P1849" t="s">
        <v>54</v>
      </c>
      <c r="Q1849" t="s">
        <v>55</v>
      </c>
      <c r="T1849" t="s">
        <v>968</v>
      </c>
      <c r="U1849">
        <v>40</v>
      </c>
      <c r="V1849" s="1">
        <v>40317</v>
      </c>
      <c r="W1849" s="1">
        <v>40317</v>
      </c>
      <c r="X1849" s="1">
        <v>40317</v>
      </c>
      <c r="Y1849" s="1">
        <v>54927</v>
      </c>
      <c r="Z1849" t="s">
        <v>51</v>
      </c>
      <c r="AB1849" t="s">
        <v>54</v>
      </c>
      <c r="AC1849">
        <v>1</v>
      </c>
      <c r="AE1849" t="s">
        <v>57</v>
      </c>
      <c r="AF1849">
        <v>20</v>
      </c>
      <c r="AG1849" s="1">
        <v>40199</v>
      </c>
      <c r="AH1849" s="1">
        <v>40199</v>
      </c>
      <c r="AI1849" s="1">
        <v>40317</v>
      </c>
      <c r="AJ1849" s="1">
        <v>47504</v>
      </c>
      <c r="AK1849" t="s">
        <v>51</v>
      </c>
      <c r="AN1849">
        <v>0</v>
      </c>
      <c r="AO1849" t="s">
        <v>54</v>
      </c>
      <c r="AP1849" t="s">
        <v>53</v>
      </c>
      <c r="AQ1849">
        <v>0</v>
      </c>
      <c r="AR1849" t="s">
        <v>53</v>
      </c>
      <c r="AS1849">
        <v>0</v>
      </c>
      <c r="AT1849">
        <v>0</v>
      </c>
      <c r="AW1849" t="s">
        <v>58</v>
      </c>
      <c r="AX1849">
        <v>20</v>
      </c>
      <c r="AY1849" s="1">
        <v>40199</v>
      </c>
      <c r="AZ1849" s="1">
        <v>40199</v>
      </c>
      <c r="BA1849" s="1">
        <v>40317</v>
      </c>
      <c r="BB1849" s="1">
        <v>47504</v>
      </c>
      <c r="BC1849" t="s">
        <v>51</v>
      </c>
      <c r="BE1849" t="s">
        <v>54</v>
      </c>
      <c r="BF1849">
        <v>2</v>
      </c>
      <c r="BG1849">
        <v>0</v>
      </c>
      <c r="BH1849" t="s">
        <v>53</v>
      </c>
      <c r="BK1849" t="s">
        <v>59</v>
      </c>
      <c r="BL1849">
        <v>14000</v>
      </c>
      <c r="BM1849" s="1">
        <v>42917</v>
      </c>
      <c r="BN1849" s="1">
        <v>42917</v>
      </c>
      <c r="BO1849" s="1">
        <v>42917</v>
      </c>
      <c r="BP1849" s="1">
        <v>44117</v>
      </c>
      <c r="BQ1849" t="s">
        <v>51</v>
      </c>
      <c r="BS1849" t="s">
        <v>60</v>
      </c>
      <c r="BT1849" t="s">
        <v>54</v>
      </c>
      <c r="BU1849" t="s">
        <v>61</v>
      </c>
      <c r="BV1849" t="s">
        <v>62</v>
      </c>
      <c r="BX1849">
        <v>24</v>
      </c>
      <c r="BY1849">
        <v>0</v>
      </c>
      <c r="BZ1849">
        <v>0</v>
      </c>
    </row>
    <row r="1850" spans="1:99" x14ac:dyDescent="0.2">
      <c r="A1850" t="s">
        <v>367</v>
      </c>
      <c r="B1850" t="s">
        <v>440</v>
      </c>
      <c r="C1850" t="s">
        <v>441</v>
      </c>
      <c r="D1850" t="s">
        <v>806</v>
      </c>
      <c r="F1850" t="str">
        <f>"211223"</f>
        <v>211223</v>
      </c>
      <c r="G1850" t="s">
        <v>49</v>
      </c>
      <c r="H1850" t="s">
        <v>967</v>
      </c>
      <c r="K1850" t="s">
        <v>51</v>
      </c>
      <c r="L1850" t="s">
        <v>52</v>
      </c>
      <c r="M1850">
        <v>133961.84</v>
      </c>
      <c r="N1850">
        <v>468721.86</v>
      </c>
      <c r="O1850" t="s">
        <v>53</v>
      </c>
      <c r="P1850" t="s">
        <v>54</v>
      </c>
      <c r="Q1850" t="s">
        <v>55</v>
      </c>
      <c r="T1850" t="s">
        <v>968</v>
      </c>
      <c r="U1850">
        <v>40</v>
      </c>
      <c r="V1850" s="1">
        <v>40317</v>
      </c>
      <c r="W1850" s="1">
        <v>40317</v>
      </c>
      <c r="X1850" s="1">
        <v>40317</v>
      </c>
      <c r="Y1850" s="1">
        <v>54927</v>
      </c>
      <c r="Z1850" t="s">
        <v>51</v>
      </c>
      <c r="AB1850" t="s">
        <v>54</v>
      </c>
      <c r="AC1850">
        <v>1</v>
      </c>
      <c r="AE1850" t="s">
        <v>57</v>
      </c>
      <c r="AF1850">
        <v>20</v>
      </c>
      <c r="AG1850" s="1">
        <v>40199</v>
      </c>
      <c r="AH1850" s="1">
        <v>40199</v>
      </c>
      <c r="AI1850" s="1">
        <v>40317</v>
      </c>
      <c r="AJ1850" s="1">
        <v>47504</v>
      </c>
      <c r="AK1850" t="s">
        <v>51</v>
      </c>
      <c r="AN1850">
        <v>0</v>
      </c>
      <c r="AO1850" t="s">
        <v>54</v>
      </c>
      <c r="AP1850" t="s">
        <v>53</v>
      </c>
      <c r="AQ1850">
        <v>0</v>
      </c>
      <c r="AR1850" t="s">
        <v>53</v>
      </c>
      <c r="AS1850">
        <v>0</v>
      </c>
      <c r="AT1850">
        <v>0</v>
      </c>
      <c r="AW1850" t="s">
        <v>58</v>
      </c>
      <c r="AX1850">
        <v>20</v>
      </c>
      <c r="AY1850" s="1">
        <v>40199</v>
      </c>
      <c r="AZ1850" s="1">
        <v>40199</v>
      </c>
      <c r="BA1850" s="1">
        <v>40317</v>
      </c>
      <c r="BB1850" s="1">
        <v>47504</v>
      </c>
      <c r="BC1850" t="s">
        <v>51</v>
      </c>
      <c r="BE1850" t="s">
        <v>54</v>
      </c>
      <c r="BF1850">
        <v>2</v>
      </c>
      <c r="BG1850">
        <v>0</v>
      </c>
      <c r="BH1850" t="s">
        <v>53</v>
      </c>
      <c r="BK1850" t="s">
        <v>59</v>
      </c>
      <c r="BL1850">
        <v>14000</v>
      </c>
      <c r="BM1850" s="1">
        <v>42917</v>
      </c>
      <c r="BN1850" s="1">
        <v>42917</v>
      </c>
      <c r="BO1850" s="1">
        <v>42917</v>
      </c>
      <c r="BP1850" s="1">
        <v>44117</v>
      </c>
      <c r="BQ1850" t="s">
        <v>51</v>
      </c>
      <c r="BS1850" t="s">
        <v>60</v>
      </c>
      <c r="BT1850" t="s">
        <v>54</v>
      </c>
      <c r="BU1850" t="s">
        <v>61</v>
      </c>
      <c r="BV1850" t="s">
        <v>62</v>
      </c>
      <c r="BX1850">
        <v>24</v>
      </c>
      <c r="BY1850">
        <v>0</v>
      </c>
      <c r="BZ1850">
        <v>0</v>
      </c>
    </row>
    <row r="1851" spans="1:99" x14ac:dyDescent="0.2">
      <c r="A1851" t="s">
        <v>367</v>
      </c>
      <c r="B1851" t="s">
        <v>440</v>
      </c>
      <c r="C1851" t="s">
        <v>441</v>
      </c>
      <c r="D1851" t="s">
        <v>434</v>
      </c>
      <c r="F1851" t="str">
        <f>"215569"</f>
        <v>215569</v>
      </c>
      <c r="G1851" t="s">
        <v>49</v>
      </c>
      <c r="H1851" t="s">
        <v>969</v>
      </c>
      <c r="K1851" t="s">
        <v>51</v>
      </c>
      <c r="L1851" t="s">
        <v>52</v>
      </c>
      <c r="M1851">
        <v>136126.818</v>
      </c>
      <c r="N1851">
        <v>468866.35499999998</v>
      </c>
      <c r="O1851" t="s">
        <v>53</v>
      </c>
      <c r="P1851" t="s">
        <v>54</v>
      </c>
      <c r="Q1851" t="s">
        <v>55</v>
      </c>
      <c r="T1851" t="s">
        <v>970</v>
      </c>
      <c r="U1851">
        <v>40</v>
      </c>
      <c r="V1851" s="1">
        <v>40655</v>
      </c>
      <c r="W1851" s="1">
        <v>40655</v>
      </c>
      <c r="X1851" s="1">
        <v>40655</v>
      </c>
      <c r="Y1851" s="1">
        <v>55265</v>
      </c>
      <c r="Z1851" t="s">
        <v>51</v>
      </c>
      <c r="AB1851" t="s">
        <v>54</v>
      </c>
      <c r="AC1851">
        <v>1</v>
      </c>
      <c r="AE1851" t="s">
        <v>91</v>
      </c>
      <c r="AF1851">
        <v>20</v>
      </c>
      <c r="AG1851" s="1">
        <v>40655</v>
      </c>
      <c r="AH1851" s="1">
        <v>40655</v>
      </c>
      <c r="AI1851" s="1">
        <v>40655</v>
      </c>
      <c r="AJ1851" s="1">
        <v>47960</v>
      </c>
      <c r="AK1851" t="s">
        <v>51</v>
      </c>
      <c r="AN1851">
        <v>0</v>
      </c>
      <c r="AO1851" t="s">
        <v>54</v>
      </c>
      <c r="AP1851" t="s">
        <v>53</v>
      </c>
      <c r="AQ1851">
        <v>0</v>
      </c>
      <c r="AR1851" t="s">
        <v>53</v>
      </c>
      <c r="AS1851">
        <v>0</v>
      </c>
      <c r="AT1851">
        <v>0</v>
      </c>
      <c r="BK1851" t="s">
        <v>374</v>
      </c>
      <c r="BL1851">
        <v>50000</v>
      </c>
      <c r="BM1851" s="1">
        <v>44369</v>
      </c>
      <c r="BN1851" s="1">
        <v>44369</v>
      </c>
      <c r="BO1851" s="1">
        <v>44369</v>
      </c>
      <c r="BP1851" s="1">
        <v>48587</v>
      </c>
      <c r="BQ1851" t="s">
        <v>51</v>
      </c>
      <c r="BS1851" t="s">
        <v>60</v>
      </c>
      <c r="BT1851" t="s">
        <v>54</v>
      </c>
      <c r="BU1851" t="s">
        <v>61</v>
      </c>
      <c r="BV1851" t="s">
        <v>62</v>
      </c>
      <c r="BX1851">
        <v>26</v>
      </c>
      <c r="BY1851">
        <v>2860</v>
      </c>
      <c r="BZ1851">
        <v>0</v>
      </c>
    </row>
    <row r="1852" spans="1:99" x14ac:dyDescent="0.2">
      <c r="A1852" t="s">
        <v>367</v>
      </c>
      <c r="B1852" t="s">
        <v>440</v>
      </c>
      <c r="C1852" t="s">
        <v>441</v>
      </c>
      <c r="D1852" t="s">
        <v>434</v>
      </c>
      <c r="F1852" t="str">
        <f>"215570"</f>
        <v>215570</v>
      </c>
      <c r="G1852" t="s">
        <v>49</v>
      </c>
      <c r="H1852" t="s">
        <v>969</v>
      </c>
      <c r="K1852" t="s">
        <v>51</v>
      </c>
      <c r="L1852" t="s">
        <v>52</v>
      </c>
      <c r="M1852">
        <v>136137.77600000001</v>
      </c>
      <c r="N1852">
        <v>468894.96799999999</v>
      </c>
      <c r="O1852" t="s">
        <v>53</v>
      </c>
      <c r="P1852" t="s">
        <v>54</v>
      </c>
      <c r="Q1852" t="s">
        <v>55</v>
      </c>
      <c r="T1852" t="s">
        <v>970</v>
      </c>
      <c r="U1852">
        <v>40</v>
      </c>
      <c r="V1852" s="1">
        <v>40655</v>
      </c>
      <c r="W1852" s="1">
        <v>40655</v>
      </c>
      <c r="X1852" s="1">
        <v>40655</v>
      </c>
      <c r="Y1852" s="1">
        <v>55265</v>
      </c>
      <c r="Z1852" t="s">
        <v>51</v>
      </c>
      <c r="AB1852" t="s">
        <v>54</v>
      </c>
      <c r="AC1852">
        <v>1</v>
      </c>
      <c r="AE1852" t="s">
        <v>91</v>
      </c>
      <c r="AF1852">
        <v>20</v>
      </c>
      <c r="AG1852" s="1">
        <v>40655</v>
      </c>
      <c r="AH1852" s="1">
        <v>40655</v>
      </c>
      <c r="AI1852" s="1">
        <v>40655</v>
      </c>
      <c r="AJ1852" s="1">
        <v>47960</v>
      </c>
      <c r="AK1852" t="s">
        <v>51</v>
      </c>
      <c r="AN1852">
        <v>0</v>
      </c>
      <c r="AO1852" t="s">
        <v>54</v>
      </c>
      <c r="AP1852" t="s">
        <v>53</v>
      </c>
      <c r="AQ1852">
        <v>0</v>
      </c>
      <c r="AR1852" t="s">
        <v>53</v>
      </c>
      <c r="AS1852">
        <v>0</v>
      </c>
      <c r="AT1852">
        <v>0</v>
      </c>
      <c r="BK1852" t="s">
        <v>374</v>
      </c>
      <c r="BL1852">
        <v>50000</v>
      </c>
      <c r="BM1852" s="1">
        <v>44369</v>
      </c>
      <c r="BN1852" s="1">
        <v>44369</v>
      </c>
      <c r="BO1852" s="1">
        <v>44369</v>
      </c>
      <c r="BP1852" s="1">
        <v>48587</v>
      </c>
      <c r="BQ1852" t="s">
        <v>51</v>
      </c>
      <c r="BS1852" t="s">
        <v>60</v>
      </c>
      <c r="BT1852" t="s">
        <v>54</v>
      </c>
      <c r="BU1852" t="s">
        <v>61</v>
      </c>
      <c r="BV1852" t="s">
        <v>62</v>
      </c>
      <c r="BX1852">
        <v>26</v>
      </c>
      <c r="BY1852">
        <v>2860</v>
      </c>
      <c r="BZ1852">
        <v>0</v>
      </c>
    </row>
    <row r="1853" spans="1:99" x14ac:dyDescent="0.2">
      <c r="A1853" t="s">
        <v>367</v>
      </c>
      <c r="B1853" t="s">
        <v>440</v>
      </c>
      <c r="C1853" t="s">
        <v>441</v>
      </c>
      <c r="D1853" t="s">
        <v>434</v>
      </c>
      <c r="F1853" t="str">
        <f>"215571"</f>
        <v>215571</v>
      </c>
      <c r="G1853" t="s">
        <v>49</v>
      </c>
      <c r="H1853" t="s">
        <v>971</v>
      </c>
      <c r="K1853" t="s">
        <v>51</v>
      </c>
      <c r="L1853" t="s">
        <v>52</v>
      </c>
      <c r="M1853">
        <v>136149.46</v>
      </c>
      <c r="N1853">
        <v>468921.68</v>
      </c>
      <c r="O1853" t="s">
        <v>53</v>
      </c>
      <c r="P1853" t="s">
        <v>54</v>
      </c>
      <c r="Q1853" t="s">
        <v>55</v>
      </c>
      <c r="T1853" t="s">
        <v>970</v>
      </c>
      <c r="U1853">
        <v>40</v>
      </c>
      <c r="V1853" s="1">
        <v>40655</v>
      </c>
      <c r="W1853" s="1">
        <v>40655</v>
      </c>
      <c r="X1853" s="1">
        <v>40655</v>
      </c>
      <c r="Y1853" s="1">
        <v>55265</v>
      </c>
      <c r="Z1853" t="s">
        <v>51</v>
      </c>
      <c r="AB1853" t="s">
        <v>54</v>
      </c>
      <c r="AC1853">
        <v>1</v>
      </c>
      <c r="AE1853" t="s">
        <v>91</v>
      </c>
      <c r="AF1853">
        <v>20</v>
      </c>
      <c r="AG1853" s="1">
        <v>40655</v>
      </c>
      <c r="AH1853" s="1">
        <v>40655</v>
      </c>
      <c r="AI1853" s="1">
        <v>40655</v>
      </c>
      <c r="AJ1853" s="1">
        <v>47960</v>
      </c>
      <c r="AK1853" t="s">
        <v>51</v>
      </c>
      <c r="AN1853">
        <v>0</v>
      </c>
      <c r="AO1853" t="s">
        <v>54</v>
      </c>
      <c r="AP1853" t="s">
        <v>53</v>
      </c>
      <c r="AQ1853">
        <v>0</v>
      </c>
      <c r="AR1853" t="s">
        <v>53</v>
      </c>
      <c r="AS1853">
        <v>0</v>
      </c>
      <c r="AT1853">
        <v>0</v>
      </c>
      <c r="BK1853" t="s">
        <v>374</v>
      </c>
      <c r="BL1853">
        <v>50000</v>
      </c>
      <c r="BM1853" s="1">
        <v>44369</v>
      </c>
      <c r="BN1853" s="1">
        <v>44369</v>
      </c>
      <c r="BO1853" s="1">
        <v>44369</v>
      </c>
      <c r="BP1853" s="1">
        <v>48587</v>
      </c>
      <c r="BQ1853" t="s">
        <v>51</v>
      </c>
      <c r="BS1853" t="s">
        <v>60</v>
      </c>
      <c r="BT1853" t="s">
        <v>54</v>
      </c>
      <c r="BU1853" t="s">
        <v>61</v>
      </c>
      <c r="BV1853" t="s">
        <v>62</v>
      </c>
      <c r="BX1853">
        <v>26</v>
      </c>
      <c r="BY1853">
        <v>2860</v>
      </c>
      <c r="BZ1853">
        <v>0</v>
      </c>
    </row>
    <row r="1854" spans="1:99" x14ac:dyDescent="0.2">
      <c r="A1854" t="s">
        <v>367</v>
      </c>
      <c r="B1854" t="s">
        <v>440</v>
      </c>
      <c r="C1854" t="s">
        <v>441</v>
      </c>
      <c r="D1854" t="s">
        <v>434</v>
      </c>
      <c r="F1854" t="str">
        <f>"215572"</f>
        <v>215572</v>
      </c>
      <c r="G1854" t="s">
        <v>49</v>
      </c>
      <c r="H1854" t="s">
        <v>972</v>
      </c>
      <c r="K1854" t="s">
        <v>51</v>
      </c>
      <c r="L1854" t="s">
        <v>52</v>
      </c>
      <c r="M1854">
        <v>136164.141</v>
      </c>
      <c r="N1854">
        <v>468950.772</v>
      </c>
      <c r="O1854" t="s">
        <v>53</v>
      </c>
      <c r="P1854" t="s">
        <v>54</v>
      </c>
      <c r="Q1854" t="s">
        <v>55</v>
      </c>
      <c r="T1854" t="s">
        <v>970</v>
      </c>
      <c r="U1854">
        <v>40</v>
      </c>
      <c r="V1854" s="1">
        <v>40655</v>
      </c>
      <c r="W1854" s="1">
        <v>40655</v>
      </c>
      <c r="X1854" s="1">
        <v>40655</v>
      </c>
      <c r="Y1854" s="1">
        <v>55265</v>
      </c>
      <c r="Z1854" t="s">
        <v>51</v>
      </c>
      <c r="AB1854" t="s">
        <v>54</v>
      </c>
      <c r="AC1854">
        <v>1</v>
      </c>
      <c r="AE1854" t="s">
        <v>91</v>
      </c>
      <c r="AF1854">
        <v>20</v>
      </c>
      <c r="AG1854" s="1">
        <v>40655</v>
      </c>
      <c r="AH1854" s="1">
        <v>40655</v>
      </c>
      <c r="AI1854" s="1">
        <v>40655</v>
      </c>
      <c r="AJ1854" s="1">
        <v>47960</v>
      </c>
      <c r="AK1854" t="s">
        <v>51</v>
      </c>
      <c r="AN1854">
        <v>0</v>
      </c>
      <c r="AO1854" t="s">
        <v>54</v>
      </c>
      <c r="AP1854" t="s">
        <v>53</v>
      </c>
      <c r="AQ1854">
        <v>0</v>
      </c>
      <c r="AR1854" t="s">
        <v>53</v>
      </c>
      <c r="AS1854">
        <v>0</v>
      </c>
      <c r="AT1854">
        <v>0</v>
      </c>
      <c r="BK1854" t="s">
        <v>374</v>
      </c>
      <c r="BL1854">
        <v>50000</v>
      </c>
      <c r="BM1854" s="1">
        <v>44369</v>
      </c>
      <c r="BN1854" s="1">
        <v>44369</v>
      </c>
      <c r="BO1854" s="1">
        <v>44369</v>
      </c>
      <c r="BP1854" s="1">
        <v>48587</v>
      </c>
      <c r="BQ1854" t="s">
        <v>51</v>
      </c>
      <c r="BS1854" t="s">
        <v>60</v>
      </c>
      <c r="BT1854" t="s">
        <v>54</v>
      </c>
      <c r="BU1854" t="s">
        <v>61</v>
      </c>
      <c r="BV1854" t="s">
        <v>62</v>
      </c>
      <c r="BX1854">
        <v>26</v>
      </c>
      <c r="BY1854">
        <v>2860</v>
      </c>
      <c r="BZ1854">
        <v>0</v>
      </c>
    </row>
    <row r="1855" spans="1:99" x14ac:dyDescent="0.2">
      <c r="A1855" t="s">
        <v>367</v>
      </c>
      <c r="B1855" t="s">
        <v>440</v>
      </c>
      <c r="C1855" t="s">
        <v>441</v>
      </c>
      <c r="D1855" t="s">
        <v>434</v>
      </c>
      <c r="F1855" t="str">
        <f>"215573"</f>
        <v>215573</v>
      </c>
      <c r="G1855" t="s">
        <v>49</v>
      </c>
      <c r="H1855" t="s">
        <v>973</v>
      </c>
      <c r="K1855" t="s">
        <v>51</v>
      </c>
      <c r="L1855" t="s">
        <v>52</v>
      </c>
      <c r="M1855">
        <v>136177.56899999999</v>
      </c>
      <c r="N1855">
        <v>468978.36</v>
      </c>
      <c r="O1855" t="s">
        <v>53</v>
      </c>
      <c r="P1855" t="s">
        <v>54</v>
      </c>
      <c r="Q1855" t="s">
        <v>55</v>
      </c>
      <c r="T1855" t="s">
        <v>970</v>
      </c>
      <c r="U1855">
        <v>40</v>
      </c>
      <c r="V1855" s="1">
        <v>40655</v>
      </c>
      <c r="W1855" s="1">
        <v>40655</v>
      </c>
      <c r="X1855" s="1">
        <v>40655</v>
      </c>
      <c r="Y1855" s="1">
        <v>55265</v>
      </c>
      <c r="Z1855" t="s">
        <v>51</v>
      </c>
      <c r="AB1855" t="s">
        <v>54</v>
      </c>
      <c r="AC1855">
        <v>1</v>
      </c>
      <c r="AE1855" t="s">
        <v>91</v>
      </c>
      <c r="AF1855">
        <v>20</v>
      </c>
      <c r="AG1855" s="1">
        <v>40655</v>
      </c>
      <c r="AH1855" s="1">
        <v>40655</v>
      </c>
      <c r="AI1855" s="1">
        <v>40655</v>
      </c>
      <c r="AJ1855" s="1">
        <v>47960</v>
      </c>
      <c r="AK1855" t="s">
        <v>51</v>
      </c>
      <c r="AN1855">
        <v>0</v>
      </c>
      <c r="AO1855" t="s">
        <v>54</v>
      </c>
      <c r="AP1855" t="s">
        <v>53</v>
      </c>
      <c r="AQ1855">
        <v>0</v>
      </c>
      <c r="AR1855" t="s">
        <v>53</v>
      </c>
      <c r="AS1855">
        <v>0</v>
      </c>
      <c r="AT1855">
        <v>0</v>
      </c>
      <c r="BK1855" t="s">
        <v>374</v>
      </c>
      <c r="BL1855">
        <v>50000</v>
      </c>
      <c r="BM1855" s="1">
        <v>44369</v>
      </c>
      <c r="BN1855" s="1">
        <v>44369</v>
      </c>
      <c r="BO1855" s="1">
        <v>44369</v>
      </c>
      <c r="BP1855" s="1">
        <v>48587</v>
      </c>
      <c r="BQ1855" t="s">
        <v>51</v>
      </c>
      <c r="BS1855" t="s">
        <v>60</v>
      </c>
      <c r="BT1855" t="s">
        <v>54</v>
      </c>
      <c r="BU1855" t="s">
        <v>61</v>
      </c>
      <c r="BV1855" t="s">
        <v>62</v>
      </c>
      <c r="BX1855">
        <v>26</v>
      </c>
      <c r="BY1855">
        <v>2860</v>
      </c>
      <c r="BZ1855">
        <v>0</v>
      </c>
    </row>
    <row r="1856" spans="1:99" x14ac:dyDescent="0.2">
      <c r="A1856" t="s">
        <v>367</v>
      </c>
      <c r="B1856" t="s">
        <v>440</v>
      </c>
      <c r="C1856" t="s">
        <v>441</v>
      </c>
      <c r="D1856" t="s">
        <v>434</v>
      </c>
      <c r="F1856" t="str">
        <f>"215574"</f>
        <v>215574</v>
      </c>
      <c r="G1856" t="s">
        <v>49</v>
      </c>
      <c r="H1856" t="s">
        <v>974</v>
      </c>
      <c r="K1856" t="s">
        <v>51</v>
      </c>
      <c r="L1856" t="s">
        <v>52</v>
      </c>
      <c r="M1856">
        <v>136190.73499999999</v>
      </c>
      <c r="N1856">
        <v>469005.98499999999</v>
      </c>
      <c r="O1856" t="s">
        <v>53</v>
      </c>
      <c r="P1856" t="s">
        <v>54</v>
      </c>
      <c r="Q1856" t="s">
        <v>55</v>
      </c>
      <c r="T1856" t="s">
        <v>970</v>
      </c>
      <c r="U1856">
        <v>40</v>
      </c>
      <c r="V1856" s="1">
        <v>40655</v>
      </c>
      <c r="W1856" s="1">
        <v>40655</v>
      </c>
      <c r="X1856" s="1">
        <v>40655</v>
      </c>
      <c r="Y1856" s="1">
        <v>55265</v>
      </c>
      <c r="Z1856" t="s">
        <v>51</v>
      </c>
      <c r="AB1856" t="s">
        <v>54</v>
      </c>
      <c r="AC1856">
        <v>1</v>
      </c>
      <c r="AE1856" t="s">
        <v>91</v>
      </c>
      <c r="AF1856">
        <v>20</v>
      </c>
      <c r="AG1856" s="1">
        <v>40655</v>
      </c>
      <c r="AH1856" s="1">
        <v>40655</v>
      </c>
      <c r="AI1856" s="1">
        <v>40655</v>
      </c>
      <c r="AJ1856" s="1">
        <v>47960</v>
      </c>
      <c r="AK1856" t="s">
        <v>51</v>
      </c>
      <c r="AN1856">
        <v>0</v>
      </c>
      <c r="AO1856" t="s">
        <v>54</v>
      </c>
      <c r="AP1856" t="s">
        <v>53</v>
      </c>
      <c r="AQ1856">
        <v>0</v>
      </c>
      <c r="AR1856" t="s">
        <v>53</v>
      </c>
      <c r="AS1856">
        <v>0</v>
      </c>
      <c r="AT1856">
        <v>0</v>
      </c>
      <c r="BK1856" t="s">
        <v>374</v>
      </c>
      <c r="BL1856">
        <v>50000</v>
      </c>
      <c r="BM1856" s="1">
        <v>44369</v>
      </c>
      <c r="BN1856" s="1">
        <v>44369</v>
      </c>
      <c r="BO1856" s="1">
        <v>44369</v>
      </c>
      <c r="BP1856" s="1">
        <v>48587</v>
      </c>
      <c r="BQ1856" t="s">
        <v>51</v>
      </c>
      <c r="BS1856" t="s">
        <v>60</v>
      </c>
      <c r="BT1856" t="s">
        <v>54</v>
      </c>
      <c r="BU1856" t="s">
        <v>61</v>
      </c>
      <c r="BV1856" t="s">
        <v>62</v>
      </c>
      <c r="BX1856">
        <v>26</v>
      </c>
      <c r="BY1856">
        <v>2860</v>
      </c>
      <c r="BZ1856">
        <v>0</v>
      </c>
    </row>
    <row r="1857" spans="1:99" x14ac:dyDescent="0.2">
      <c r="A1857" t="s">
        <v>367</v>
      </c>
      <c r="B1857" t="s">
        <v>440</v>
      </c>
      <c r="C1857" t="s">
        <v>441</v>
      </c>
      <c r="D1857" t="s">
        <v>434</v>
      </c>
      <c r="F1857" t="str">
        <f>"215575"</f>
        <v>215575</v>
      </c>
      <c r="G1857" t="s">
        <v>49</v>
      </c>
      <c r="H1857" t="s">
        <v>974</v>
      </c>
      <c r="K1857" t="s">
        <v>51</v>
      </c>
      <c r="L1857" t="s">
        <v>52</v>
      </c>
      <c r="M1857">
        <v>136203.98300000001</v>
      </c>
      <c r="N1857">
        <v>469034.11599999998</v>
      </c>
      <c r="O1857" t="s">
        <v>53</v>
      </c>
      <c r="P1857" t="s">
        <v>54</v>
      </c>
      <c r="Q1857" t="s">
        <v>55</v>
      </c>
      <c r="T1857" t="s">
        <v>970</v>
      </c>
      <c r="U1857">
        <v>40</v>
      </c>
      <c r="V1857" s="1">
        <v>40655</v>
      </c>
      <c r="W1857" s="1">
        <v>40655</v>
      </c>
      <c r="X1857" s="1">
        <v>40655</v>
      </c>
      <c r="Y1857" s="1">
        <v>55265</v>
      </c>
      <c r="Z1857" t="s">
        <v>51</v>
      </c>
      <c r="AB1857" t="s">
        <v>54</v>
      </c>
      <c r="AC1857">
        <v>1</v>
      </c>
      <c r="AE1857" t="s">
        <v>91</v>
      </c>
      <c r="AF1857">
        <v>20</v>
      </c>
      <c r="AG1857" s="1">
        <v>40655</v>
      </c>
      <c r="AH1857" s="1">
        <v>40655</v>
      </c>
      <c r="AI1857" s="1">
        <v>40655</v>
      </c>
      <c r="AJ1857" s="1">
        <v>47960</v>
      </c>
      <c r="AK1857" t="s">
        <v>51</v>
      </c>
      <c r="AN1857">
        <v>0</v>
      </c>
      <c r="AO1857" t="s">
        <v>54</v>
      </c>
      <c r="AP1857" t="s">
        <v>53</v>
      </c>
      <c r="AQ1857">
        <v>0</v>
      </c>
      <c r="AR1857" t="s">
        <v>53</v>
      </c>
      <c r="AS1857">
        <v>0</v>
      </c>
      <c r="AT1857">
        <v>0</v>
      </c>
      <c r="BK1857" t="s">
        <v>374</v>
      </c>
      <c r="BL1857">
        <v>50000</v>
      </c>
      <c r="BM1857" s="1">
        <v>44369</v>
      </c>
      <c r="BN1857" s="1">
        <v>44369</v>
      </c>
      <c r="BO1857" s="1">
        <v>44369</v>
      </c>
      <c r="BP1857" s="1">
        <v>48587</v>
      </c>
      <c r="BQ1857" t="s">
        <v>51</v>
      </c>
      <c r="BS1857" t="s">
        <v>60</v>
      </c>
      <c r="BT1857" t="s">
        <v>54</v>
      </c>
      <c r="BU1857" t="s">
        <v>61</v>
      </c>
      <c r="BV1857" t="s">
        <v>62</v>
      </c>
      <c r="BX1857">
        <v>26</v>
      </c>
      <c r="BY1857">
        <v>2860</v>
      </c>
      <c r="BZ1857">
        <v>0</v>
      </c>
    </row>
    <row r="1858" spans="1:99" x14ac:dyDescent="0.2">
      <c r="A1858" t="s">
        <v>367</v>
      </c>
      <c r="B1858" t="s">
        <v>440</v>
      </c>
      <c r="C1858" t="s">
        <v>441</v>
      </c>
      <c r="D1858" t="s">
        <v>434</v>
      </c>
      <c r="F1858" t="str">
        <f>"215576"</f>
        <v>215576</v>
      </c>
      <c r="G1858" t="s">
        <v>49</v>
      </c>
      <c r="H1858" t="s">
        <v>974</v>
      </c>
      <c r="K1858" t="s">
        <v>51</v>
      </c>
      <c r="L1858" t="s">
        <v>52</v>
      </c>
      <c r="M1858">
        <v>136217.12299999999</v>
      </c>
      <c r="N1858">
        <v>469061.70799999998</v>
      </c>
      <c r="O1858" t="s">
        <v>53</v>
      </c>
      <c r="P1858" t="s">
        <v>54</v>
      </c>
      <c r="Q1858" t="s">
        <v>55</v>
      </c>
      <c r="T1858" t="s">
        <v>970</v>
      </c>
      <c r="U1858">
        <v>40</v>
      </c>
      <c r="V1858" s="1">
        <v>40655</v>
      </c>
      <c r="W1858" s="1">
        <v>40655</v>
      </c>
      <c r="X1858" s="1">
        <v>40655</v>
      </c>
      <c r="Y1858" s="1">
        <v>55265</v>
      </c>
      <c r="Z1858" t="s">
        <v>51</v>
      </c>
      <c r="AB1858" t="s">
        <v>54</v>
      </c>
      <c r="AC1858">
        <v>1</v>
      </c>
      <c r="AE1858" t="s">
        <v>91</v>
      </c>
      <c r="AF1858">
        <v>20</v>
      </c>
      <c r="AG1858" s="1">
        <v>40655</v>
      </c>
      <c r="AH1858" s="1">
        <v>40655</v>
      </c>
      <c r="AI1858" s="1">
        <v>40655</v>
      </c>
      <c r="AJ1858" s="1">
        <v>47960</v>
      </c>
      <c r="AK1858" t="s">
        <v>51</v>
      </c>
      <c r="AN1858">
        <v>0</v>
      </c>
      <c r="AO1858" t="s">
        <v>54</v>
      </c>
      <c r="AP1858" t="s">
        <v>53</v>
      </c>
      <c r="AQ1858">
        <v>0</v>
      </c>
      <c r="AR1858" t="s">
        <v>53</v>
      </c>
      <c r="AS1858">
        <v>0</v>
      </c>
      <c r="AT1858">
        <v>0</v>
      </c>
      <c r="BK1858" t="s">
        <v>374</v>
      </c>
      <c r="BL1858">
        <v>50000</v>
      </c>
      <c r="BM1858" s="1">
        <v>44369</v>
      </c>
      <c r="BN1858" s="1">
        <v>44369</v>
      </c>
      <c r="BO1858" s="1">
        <v>44369</v>
      </c>
      <c r="BP1858" s="1">
        <v>48587</v>
      </c>
      <c r="BQ1858" t="s">
        <v>51</v>
      </c>
      <c r="BS1858" t="s">
        <v>60</v>
      </c>
      <c r="BT1858" t="s">
        <v>54</v>
      </c>
      <c r="BU1858" t="s">
        <v>61</v>
      </c>
      <c r="BV1858" t="s">
        <v>62</v>
      </c>
      <c r="BX1858">
        <v>26</v>
      </c>
      <c r="BY1858">
        <v>2860</v>
      </c>
      <c r="BZ1858">
        <v>0</v>
      </c>
    </row>
    <row r="1859" spans="1:99" x14ac:dyDescent="0.2">
      <c r="A1859" t="s">
        <v>367</v>
      </c>
      <c r="B1859" t="s">
        <v>440</v>
      </c>
      <c r="C1859" t="s">
        <v>441</v>
      </c>
      <c r="D1859" t="s">
        <v>434</v>
      </c>
      <c r="F1859" t="str">
        <f>"215577"</f>
        <v>215577</v>
      </c>
      <c r="G1859" t="s">
        <v>49</v>
      </c>
      <c r="H1859" t="s">
        <v>974</v>
      </c>
      <c r="K1859" t="s">
        <v>51</v>
      </c>
      <c r="L1859" t="s">
        <v>52</v>
      </c>
      <c r="M1859">
        <v>136230.61799999999</v>
      </c>
      <c r="N1859">
        <v>469089.359</v>
      </c>
      <c r="O1859" t="s">
        <v>53</v>
      </c>
      <c r="P1859" t="s">
        <v>54</v>
      </c>
      <c r="Q1859" t="s">
        <v>55</v>
      </c>
      <c r="T1859" t="s">
        <v>970</v>
      </c>
      <c r="U1859">
        <v>40</v>
      </c>
      <c r="V1859" s="1">
        <v>40655</v>
      </c>
      <c r="W1859" s="1">
        <v>40655</v>
      </c>
      <c r="X1859" s="1">
        <v>40655</v>
      </c>
      <c r="Y1859" s="1">
        <v>55265</v>
      </c>
      <c r="Z1859" t="s">
        <v>51</v>
      </c>
      <c r="AB1859" t="s">
        <v>54</v>
      </c>
      <c r="AC1859">
        <v>1</v>
      </c>
      <c r="AE1859" t="s">
        <v>91</v>
      </c>
      <c r="AF1859">
        <v>20</v>
      </c>
      <c r="AG1859" s="1">
        <v>40655</v>
      </c>
      <c r="AH1859" s="1">
        <v>40655</v>
      </c>
      <c r="AI1859" s="1">
        <v>40655</v>
      </c>
      <c r="AJ1859" s="1">
        <v>47960</v>
      </c>
      <c r="AK1859" t="s">
        <v>51</v>
      </c>
      <c r="AN1859">
        <v>0</v>
      </c>
      <c r="AO1859" t="s">
        <v>54</v>
      </c>
      <c r="AP1859" t="s">
        <v>53</v>
      </c>
      <c r="AQ1859">
        <v>0</v>
      </c>
      <c r="AR1859" t="s">
        <v>53</v>
      </c>
      <c r="AS1859">
        <v>0</v>
      </c>
      <c r="AT1859">
        <v>0</v>
      </c>
      <c r="BK1859" t="s">
        <v>374</v>
      </c>
      <c r="BL1859">
        <v>50000</v>
      </c>
      <c r="BM1859" s="1">
        <v>44369</v>
      </c>
      <c r="BN1859" s="1">
        <v>44369</v>
      </c>
      <c r="BO1859" s="1">
        <v>44369</v>
      </c>
      <c r="BP1859" s="1">
        <v>48587</v>
      </c>
      <c r="BQ1859" t="s">
        <v>51</v>
      </c>
      <c r="BS1859" t="s">
        <v>60</v>
      </c>
      <c r="BT1859" t="s">
        <v>54</v>
      </c>
      <c r="BU1859" t="s">
        <v>61</v>
      </c>
      <c r="BV1859" t="s">
        <v>62</v>
      </c>
      <c r="BX1859">
        <v>26</v>
      </c>
      <c r="BY1859">
        <v>2860</v>
      </c>
      <c r="BZ1859">
        <v>0</v>
      </c>
    </row>
    <row r="1860" spans="1:99" x14ac:dyDescent="0.2">
      <c r="A1860" t="s">
        <v>367</v>
      </c>
      <c r="B1860" t="s">
        <v>440</v>
      </c>
      <c r="C1860" t="s">
        <v>441</v>
      </c>
      <c r="D1860" t="s">
        <v>434</v>
      </c>
      <c r="F1860" t="str">
        <f>"215578"</f>
        <v>215578</v>
      </c>
      <c r="G1860" t="s">
        <v>49</v>
      </c>
      <c r="H1860" t="s">
        <v>974</v>
      </c>
      <c r="K1860" t="s">
        <v>51</v>
      </c>
      <c r="L1860" t="s">
        <v>52</v>
      </c>
      <c r="M1860">
        <v>136247.693</v>
      </c>
      <c r="N1860">
        <v>469113.25799999997</v>
      </c>
      <c r="O1860" t="s">
        <v>53</v>
      </c>
      <c r="P1860" t="s">
        <v>54</v>
      </c>
      <c r="Q1860" t="s">
        <v>55</v>
      </c>
      <c r="T1860" t="s">
        <v>970</v>
      </c>
      <c r="U1860">
        <v>40</v>
      </c>
      <c r="V1860" s="1">
        <v>40655</v>
      </c>
      <c r="W1860" s="1">
        <v>40655</v>
      </c>
      <c r="X1860" s="1">
        <v>40655</v>
      </c>
      <c r="Y1860" s="1">
        <v>55265</v>
      </c>
      <c r="Z1860" t="s">
        <v>51</v>
      </c>
      <c r="AB1860" t="s">
        <v>54</v>
      </c>
      <c r="AC1860">
        <v>1</v>
      </c>
      <c r="AE1860" t="s">
        <v>91</v>
      </c>
      <c r="AF1860">
        <v>20</v>
      </c>
      <c r="AG1860" s="1">
        <v>40655</v>
      </c>
      <c r="AH1860" s="1">
        <v>40655</v>
      </c>
      <c r="AI1860" s="1">
        <v>40655</v>
      </c>
      <c r="AJ1860" s="1">
        <v>47960</v>
      </c>
      <c r="AK1860" t="s">
        <v>51</v>
      </c>
      <c r="AN1860">
        <v>0</v>
      </c>
      <c r="AO1860" t="s">
        <v>54</v>
      </c>
      <c r="AP1860" t="s">
        <v>53</v>
      </c>
      <c r="AQ1860">
        <v>0</v>
      </c>
      <c r="AR1860" t="s">
        <v>53</v>
      </c>
      <c r="AS1860">
        <v>0</v>
      </c>
      <c r="AT1860">
        <v>0</v>
      </c>
      <c r="BK1860" t="s">
        <v>374</v>
      </c>
      <c r="BL1860">
        <v>50000</v>
      </c>
      <c r="BM1860" s="1">
        <v>44369</v>
      </c>
      <c r="BN1860" s="1">
        <v>44369</v>
      </c>
      <c r="BO1860" s="1">
        <v>44369</v>
      </c>
      <c r="BP1860" s="1">
        <v>48587</v>
      </c>
      <c r="BQ1860" t="s">
        <v>51</v>
      </c>
      <c r="BS1860" t="s">
        <v>60</v>
      </c>
      <c r="BT1860" t="s">
        <v>54</v>
      </c>
      <c r="BU1860" t="s">
        <v>61</v>
      </c>
      <c r="BV1860" t="s">
        <v>62</v>
      </c>
      <c r="BX1860">
        <v>26</v>
      </c>
      <c r="BY1860">
        <v>2860</v>
      </c>
      <c r="BZ1860">
        <v>0</v>
      </c>
    </row>
    <row r="1861" spans="1:99" x14ac:dyDescent="0.2">
      <c r="A1861" t="s">
        <v>367</v>
      </c>
      <c r="B1861" t="s">
        <v>440</v>
      </c>
      <c r="C1861" t="s">
        <v>441</v>
      </c>
      <c r="D1861" t="s">
        <v>434</v>
      </c>
      <c r="F1861" t="str">
        <f>"254372"</f>
        <v>254372</v>
      </c>
      <c r="G1861" t="s">
        <v>49</v>
      </c>
      <c r="H1861" t="s">
        <v>974</v>
      </c>
      <c r="K1861" t="s">
        <v>51</v>
      </c>
      <c r="L1861" t="s">
        <v>52</v>
      </c>
      <c r="M1861">
        <v>136273.38500000001</v>
      </c>
      <c r="N1861">
        <v>469129.68300000002</v>
      </c>
      <c r="O1861" t="s">
        <v>53</v>
      </c>
      <c r="P1861" t="s">
        <v>54</v>
      </c>
      <c r="Q1861" t="s">
        <v>55</v>
      </c>
      <c r="T1861" t="s">
        <v>970</v>
      </c>
      <c r="U1861">
        <v>40</v>
      </c>
      <c r="V1861" s="1">
        <v>40655</v>
      </c>
      <c r="W1861" s="1">
        <v>40655</v>
      </c>
      <c r="X1861" s="1">
        <v>40655</v>
      </c>
      <c r="Y1861" s="1">
        <v>55265</v>
      </c>
      <c r="Z1861" t="s">
        <v>51</v>
      </c>
      <c r="AB1861" t="s">
        <v>54</v>
      </c>
      <c r="AC1861">
        <v>1</v>
      </c>
      <c r="AE1861" t="s">
        <v>356</v>
      </c>
      <c r="AF1861">
        <v>20</v>
      </c>
      <c r="AG1861" s="1">
        <v>44249</v>
      </c>
      <c r="AH1861" s="1">
        <v>44249</v>
      </c>
      <c r="AI1861" s="1">
        <v>44249</v>
      </c>
      <c r="AJ1861" s="1">
        <v>51554</v>
      </c>
      <c r="AK1861" t="s">
        <v>51</v>
      </c>
      <c r="AN1861">
        <v>0</v>
      </c>
      <c r="AO1861" t="s">
        <v>54</v>
      </c>
      <c r="AP1861" t="s">
        <v>53</v>
      </c>
      <c r="AQ1861">
        <v>0</v>
      </c>
      <c r="AR1861" t="s">
        <v>145</v>
      </c>
      <c r="AS1861">
        <v>0</v>
      </c>
      <c r="AT1861">
        <v>0</v>
      </c>
      <c r="AW1861" t="s">
        <v>172</v>
      </c>
      <c r="AX1861">
        <v>15</v>
      </c>
      <c r="AY1861" s="1">
        <v>44369</v>
      </c>
      <c r="AZ1861" s="1">
        <v>44369</v>
      </c>
      <c r="BA1861" s="1">
        <v>44369</v>
      </c>
      <c r="BB1861" s="1">
        <v>49848</v>
      </c>
      <c r="BC1861" t="s">
        <v>51</v>
      </c>
      <c r="BE1861" t="s">
        <v>54</v>
      </c>
      <c r="BF1861">
        <v>40</v>
      </c>
      <c r="BG1861">
        <v>0</v>
      </c>
      <c r="BH1861" t="s">
        <v>145</v>
      </c>
      <c r="CC1861" t="s">
        <v>812</v>
      </c>
      <c r="CD1861">
        <v>100000</v>
      </c>
      <c r="CE1861" s="1">
        <v>44369</v>
      </c>
      <c r="CF1861" s="1">
        <v>44369</v>
      </c>
      <c r="CG1861" s="1">
        <v>44369</v>
      </c>
      <c r="CH1861" s="1">
        <v>52844</v>
      </c>
      <c r="CI1861" t="s">
        <v>51</v>
      </c>
      <c r="CK1861" t="s">
        <v>78</v>
      </c>
      <c r="CM1861" t="s">
        <v>54</v>
      </c>
      <c r="CN1861" t="s">
        <v>174</v>
      </c>
      <c r="CO1861" t="s">
        <v>86</v>
      </c>
      <c r="CP1861">
        <v>830</v>
      </c>
      <c r="CR1861">
        <v>18</v>
      </c>
      <c r="CS1861">
        <v>2700</v>
      </c>
      <c r="CT1861">
        <v>0</v>
      </c>
      <c r="CU1861">
        <v>16</v>
      </c>
    </row>
    <row r="1862" spans="1:99" x14ac:dyDescent="0.2">
      <c r="A1862" t="s">
        <v>367</v>
      </c>
      <c r="B1862" t="s">
        <v>440</v>
      </c>
      <c r="C1862" t="s">
        <v>441</v>
      </c>
      <c r="D1862" t="s">
        <v>434</v>
      </c>
      <c r="F1862" t="str">
        <f>"215580"</f>
        <v>215580</v>
      </c>
      <c r="G1862" t="s">
        <v>49</v>
      </c>
      <c r="H1862" t="s">
        <v>974</v>
      </c>
      <c r="K1862" t="s">
        <v>51</v>
      </c>
      <c r="L1862" t="s">
        <v>52</v>
      </c>
      <c r="M1862">
        <v>136302.65700000001</v>
      </c>
      <c r="N1862">
        <v>469136.28499999997</v>
      </c>
      <c r="O1862" t="s">
        <v>53</v>
      </c>
      <c r="P1862" t="s">
        <v>54</v>
      </c>
      <c r="Q1862" t="s">
        <v>55</v>
      </c>
      <c r="T1862" t="s">
        <v>970</v>
      </c>
      <c r="U1862">
        <v>40</v>
      </c>
      <c r="V1862" s="1">
        <v>40655</v>
      </c>
      <c r="W1862" s="1">
        <v>40655</v>
      </c>
      <c r="X1862" s="1">
        <v>40655</v>
      </c>
      <c r="Y1862" s="1">
        <v>55265</v>
      </c>
      <c r="Z1862" t="s">
        <v>51</v>
      </c>
      <c r="AB1862" t="s">
        <v>54</v>
      </c>
      <c r="AC1862">
        <v>1</v>
      </c>
      <c r="AE1862" t="s">
        <v>91</v>
      </c>
      <c r="AF1862">
        <v>20</v>
      </c>
      <c r="AG1862" s="1">
        <v>40655</v>
      </c>
      <c r="AH1862" s="1">
        <v>40655</v>
      </c>
      <c r="AI1862" s="1">
        <v>40655</v>
      </c>
      <c r="AJ1862" s="1">
        <v>47960</v>
      </c>
      <c r="AK1862" t="s">
        <v>51</v>
      </c>
      <c r="AN1862">
        <v>0</v>
      </c>
      <c r="AO1862" t="s">
        <v>54</v>
      </c>
      <c r="AP1862" t="s">
        <v>53</v>
      </c>
      <c r="AQ1862">
        <v>0</v>
      </c>
      <c r="AR1862" t="s">
        <v>53</v>
      </c>
      <c r="AS1862">
        <v>0</v>
      </c>
      <c r="AT1862">
        <v>0</v>
      </c>
      <c r="BK1862" t="s">
        <v>374</v>
      </c>
      <c r="BL1862">
        <v>50000</v>
      </c>
      <c r="BM1862" s="1">
        <v>44369</v>
      </c>
      <c r="BN1862" s="1">
        <v>44369</v>
      </c>
      <c r="BO1862" s="1">
        <v>44369</v>
      </c>
      <c r="BP1862" s="1">
        <v>48587</v>
      </c>
      <c r="BQ1862" t="s">
        <v>51</v>
      </c>
      <c r="BS1862" t="s">
        <v>60</v>
      </c>
      <c r="BT1862" t="s">
        <v>54</v>
      </c>
      <c r="BU1862" t="s">
        <v>61</v>
      </c>
      <c r="BV1862" t="s">
        <v>62</v>
      </c>
      <c r="BX1862">
        <v>26</v>
      </c>
      <c r="BY1862">
        <v>2860</v>
      </c>
      <c r="BZ1862">
        <v>0</v>
      </c>
    </row>
    <row r="1863" spans="1:99" x14ac:dyDescent="0.2">
      <c r="A1863" t="s">
        <v>367</v>
      </c>
      <c r="B1863" t="s">
        <v>440</v>
      </c>
      <c r="C1863" t="s">
        <v>441</v>
      </c>
      <c r="D1863" t="s">
        <v>434</v>
      </c>
      <c r="F1863" t="str">
        <f>"215581"</f>
        <v>215581</v>
      </c>
      <c r="G1863" t="s">
        <v>49</v>
      </c>
      <c r="H1863" t="s">
        <v>974</v>
      </c>
      <c r="K1863" t="s">
        <v>51</v>
      </c>
      <c r="L1863" t="s">
        <v>52</v>
      </c>
      <c r="M1863">
        <v>136333.16899999999</v>
      </c>
      <c r="N1863">
        <v>469140.82199999999</v>
      </c>
      <c r="O1863" t="s">
        <v>53</v>
      </c>
      <c r="P1863" t="s">
        <v>54</v>
      </c>
      <c r="Q1863" t="s">
        <v>55</v>
      </c>
      <c r="T1863" t="s">
        <v>970</v>
      </c>
      <c r="U1863">
        <v>40</v>
      </c>
      <c r="V1863" s="1">
        <v>40655</v>
      </c>
      <c r="W1863" s="1">
        <v>40655</v>
      </c>
      <c r="X1863" s="1">
        <v>40655</v>
      </c>
      <c r="Y1863" s="1">
        <v>55265</v>
      </c>
      <c r="Z1863" t="s">
        <v>51</v>
      </c>
      <c r="AB1863" t="s">
        <v>54</v>
      </c>
      <c r="AC1863">
        <v>1</v>
      </c>
      <c r="AE1863" t="s">
        <v>91</v>
      </c>
      <c r="AF1863">
        <v>20</v>
      </c>
      <c r="AG1863" s="1">
        <v>40655</v>
      </c>
      <c r="AH1863" s="1">
        <v>40655</v>
      </c>
      <c r="AI1863" s="1">
        <v>40655</v>
      </c>
      <c r="AJ1863" s="1">
        <v>47960</v>
      </c>
      <c r="AK1863" t="s">
        <v>51</v>
      </c>
      <c r="AN1863">
        <v>0</v>
      </c>
      <c r="AO1863" t="s">
        <v>54</v>
      </c>
      <c r="AP1863" t="s">
        <v>53</v>
      </c>
      <c r="AQ1863">
        <v>0</v>
      </c>
      <c r="AR1863" t="s">
        <v>53</v>
      </c>
      <c r="AS1863">
        <v>0</v>
      </c>
      <c r="AT1863">
        <v>0</v>
      </c>
      <c r="BK1863" t="s">
        <v>374</v>
      </c>
      <c r="BL1863">
        <v>50000</v>
      </c>
      <c r="BM1863" s="1">
        <v>44369</v>
      </c>
      <c r="BN1863" s="1">
        <v>44369</v>
      </c>
      <c r="BO1863" s="1">
        <v>44369</v>
      </c>
      <c r="BP1863" s="1">
        <v>48587</v>
      </c>
      <c r="BQ1863" t="s">
        <v>51</v>
      </c>
      <c r="BS1863" t="s">
        <v>60</v>
      </c>
      <c r="BT1863" t="s">
        <v>54</v>
      </c>
      <c r="BU1863" t="s">
        <v>61</v>
      </c>
      <c r="BV1863" t="s">
        <v>62</v>
      </c>
      <c r="BX1863">
        <v>26</v>
      </c>
      <c r="BY1863">
        <v>2860</v>
      </c>
      <c r="BZ1863">
        <v>0</v>
      </c>
    </row>
    <row r="1864" spans="1:99" x14ac:dyDescent="0.2">
      <c r="A1864" t="s">
        <v>367</v>
      </c>
      <c r="B1864" t="s">
        <v>440</v>
      </c>
      <c r="C1864" t="s">
        <v>441</v>
      </c>
      <c r="D1864" t="s">
        <v>434</v>
      </c>
      <c r="F1864" t="str">
        <f>"215582"</f>
        <v>215582</v>
      </c>
      <c r="G1864" t="s">
        <v>49</v>
      </c>
      <c r="H1864" t="s">
        <v>974</v>
      </c>
      <c r="K1864" t="s">
        <v>51</v>
      </c>
      <c r="L1864" t="s">
        <v>52</v>
      </c>
      <c r="M1864">
        <v>136361.31700000001</v>
      </c>
      <c r="N1864">
        <v>469144.40700000001</v>
      </c>
      <c r="O1864" t="s">
        <v>53</v>
      </c>
      <c r="P1864" t="s">
        <v>54</v>
      </c>
      <c r="Q1864" t="s">
        <v>55</v>
      </c>
      <c r="T1864" t="s">
        <v>970</v>
      </c>
      <c r="U1864">
        <v>40</v>
      </c>
      <c r="V1864" s="1">
        <v>40655</v>
      </c>
      <c r="W1864" s="1">
        <v>40655</v>
      </c>
      <c r="X1864" s="1">
        <v>40655</v>
      </c>
      <c r="Y1864" s="1">
        <v>55265</v>
      </c>
      <c r="Z1864" t="s">
        <v>51</v>
      </c>
      <c r="AB1864" t="s">
        <v>54</v>
      </c>
      <c r="AC1864">
        <v>1</v>
      </c>
      <c r="AE1864" t="s">
        <v>91</v>
      </c>
      <c r="AF1864">
        <v>20</v>
      </c>
      <c r="AG1864" s="1">
        <v>40655</v>
      </c>
      <c r="AH1864" s="1">
        <v>40655</v>
      </c>
      <c r="AI1864" s="1">
        <v>40655</v>
      </c>
      <c r="AJ1864" s="1">
        <v>47960</v>
      </c>
      <c r="AK1864" t="s">
        <v>51</v>
      </c>
      <c r="AN1864">
        <v>0</v>
      </c>
      <c r="AO1864" t="s">
        <v>54</v>
      </c>
      <c r="AP1864" t="s">
        <v>53</v>
      </c>
      <c r="AQ1864">
        <v>0</v>
      </c>
      <c r="AR1864" t="s">
        <v>53</v>
      </c>
      <c r="AS1864">
        <v>0</v>
      </c>
      <c r="AT1864">
        <v>0</v>
      </c>
      <c r="BK1864" t="s">
        <v>374</v>
      </c>
      <c r="BL1864">
        <v>50000</v>
      </c>
      <c r="BM1864" s="1">
        <v>44369</v>
      </c>
      <c r="BN1864" s="1">
        <v>44369</v>
      </c>
      <c r="BO1864" s="1">
        <v>44369</v>
      </c>
      <c r="BP1864" s="1">
        <v>48587</v>
      </c>
      <c r="BQ1864" t="s">
        <v>51</v>
      </c>
      <c r="BS1864" t="s">
        <v>60</v>
      </c>
      <c r="BT1864" t="s">
        <v>54</v>
      </c>
      <c r="BU1864" t="s">
        <v>61</v>
      </c>
      <c r="BV1864" t="s">
        <v>62</v>
      </c>
      <c r="BX1864">
        <v>26</v>
      </c>
      <c r="BY1864">
        <v>2860</v>
      </c>
      <c r="BZ1864">
        <v>0</v>
      </c>
    </row>
    <row r="1865" spans="1:99" x14ac:dyDescent="0.2">
      <c r="A1865" t="s">
        <v>367</v>
      </c>
      <c r="B1865" t="s">
        <v>440</v>
      </c>
      <c r="C1865" t="s">
        <v>441</v>
      </c>
      <c r="D1865" t="s">
        <v>434</v>
      </c>
      <c r="F1865" t="str">
        <f>"215583"</f>
        <v>215583</v>
      </c>
      <c r="G1865" t="s">
        <v>49</v>
      </c>
      <c r="H1865" t="s">
        <v>974</v>
      </c>
      <c r="K1865" t="s">
        <v>51</v>
      </c>
      <c r="L1865" t="s">
        <v>52</v>
      </c>
      <c r="M1865">
        <v>136382.522</v>
      </c>
      <c r="N1865">
        <v>469165.38299999997</v>
      </c>
      <c r="O1865" t="s">
        <v>53</v>
      </c>
      <c r="P1865" t="s">
        <v>54</v>
      </c>
      <c r="Q1865" t="s">
        <v>55</v>
      </c>
      <c r="T1865" t="s">
        <v>970</v>
      </c>
      <c r="U1865">
        <v>40</v>
      </c>
      <c r="V1865" s="1">
        <v>40655</v>
      </c>
      <c r="W1865" s="1">
        <v>40655</v>
      </c>
      <c r="X1865" s="1">
        <v>40655</v>
      </c>
      <c r="Y1865" s="1">
        <v>55265</v>
      </c>
      <c r="Z1865" t="s">
        <v>51</v>
      </c>
      <c r="AB1865" t="s">
        <v>54</v>
      </c>
      <c r="AC1865">
        <v>1</v>
      </c>
      <c r="AE1865" t="s">
        <v>91</v>
      </c>
      <c r="AF1865">
        <v>20</v>
      </c>
      <c r="AG1865" s="1">
        <v>40655</v>
      </c>
      <c r="AH1865" s="1">
        <v>40655</v>
      </c>
      <c r="AI1865" s="1">
        <v>40655</v>
      </c>
      <c r="AJ1865" s="1">
        <v>47960</v>
      </c>
      <c r="AK1865" t="s">
        <v>51</v>
      </c>
      <c r="AN1865">
        <v>0</v>
      </c>
      <c r="AO1865" t="s">
        <v>54</v>
      </c>
      <c r="AP1865" t="s">
        <v>53</v>
      </c>
      <c r="AQ1865">
        <v>0</v>
      </c>
      <c r="AR1865" t="s">
        <v>53</v>
      </c>
      <c r="AS1865">
        <v>0</v>
      </c>
      <c r="AT1865">
        <v>0</v>
      </c>
      <c r="BK1865" t="s">
        <v>374</v>
      </c>
      <c r="BL1865">
        <v>50000</v>
      </c>
      <c r="BM1865" s="1">
        <v>44369</v>
      </c>
      <c r="BN1865" s="1">
        <v>44369</v>
      </c>
      <c r="BO1865" s="1">
        <v>44369</v>
      </c>
      <c r="BP1865" s="1">
        <v>48587</v>
      </c>
      <c r="BQ1865" t="s">
        <v>51</v>
      </c>
      <c r="BS1865" t="s">
        <v>60</v>
      </c>
      <c r="BT1865" t="s">
        <v>54</v>
      </c>
      <c r="BU1865" t="s">
        <v>61</v>
      </c>
      <c r="BV1865" t="s">
        <v>62</v>
      </c>
      <c r="BX1865">
        <v>26</v>
      </c>
      <c r="BY1865">
        <v>2860</v>
      </c>
      <c r="BZ1865">
        <v>0</v>
      </c>
    </row>
    <row r="1866" spans="1:99" x14ac:dyDescent="0.2">
      <c r="A1866" t="s">
        <v>367</v>
      </c>
      <c r="B1866" t="s">
        <v>440</v>
      </c>
      <c r="C1866" t="s">
        <v>441</v>
      </c>
      <c r="D1866" t="s">
        <v>434</v>
      </c>
      <c r="F1866" t="str">
        <f>"215584"</f>
        <v>215584</v>
      </c>
      <c r="G1866" t="s">
        <v>49</v>
      </c>
      <c r="H1866" t="s">
        <v>974</v>
      </c>
      <c r="K1866" t="s">
        <v>51</v>
      </c>
      <c r="L1866" t="s">
        <v>52</v>
      </c>
      <c r="M1866">
        <v>136393.95600000001</v>
      </c>
      <c r="N1866">
        <v>469207.984</v>
      </c>
      <c r="O1866" t="s">
        <v>53</v>
      </c>
      <c r="P1866" t="s">
        <v>54</v>
      </c>
      <c r="Q1866" t="s">
        <v>55</v>
      </c>
      <c r="T1866" t="s">
        <v>841</v>
      </c>
      <c r="U1866">
        <v>40</v>
      </c>
      <c r="V1866" s="1">
        <v>40655</v>
      </c>
      <c r="W1866" s="1">
        <v>40655</v>
      </c>
      <c r="X1866" s="1">
        <v>40655</v>
      </c>
      <c r="Y1866" s="1">
        <v>55265</v>
      </c>
      <c r="Z1866" t="s">
        <v>51</v>
      </c>
      <c r="AB1866" t="s">
        <v>54</v>
      </c>
      <c r="AC1866">
        <v>1</v>
      </c>
      <c r="AE1866" t="s">
        <v>64</v>
      </c>
      <c r="AF1866">
        <v>20</v>
      </c>
      <c r="AG1866" s="1">
        <v>40655</v>
      </c>
      <c r="AH1866" s="1">
        <v>40655</v>
      </c>
      <c r="AI1866" s="1">
        <v>40655</v>
      </c>
      <c r="AJ1866" s="1">
        <v>47960</v>
      </c>
      <c r="AK1866" t="s">
        <v>51</v>
      </c>
      <c r="AN1866">
        <v>0</v>
      </c>
      <c r="AO1866" t="s">
        <v>54</v>
      </c>
      <c r="AP1866" t="s">
        <v>53</v>
      </c>
      <c r="AQ1866">
        <v>0</v>
      </c>
      <c r="AR1866" t="s">
        <v>53</v>
      </c>
      <c r="AS1866">
        <v>0</v>
      </c>
      <c r="AT1866">
        <v>0</v>
      </c>
      <c r="BK1866" t="s">
        <v>975</v>
      </c>
      <c r="BL1866">
        <v>50000</v>
      </c>
      <c r="BM1866" s="1">
        <v>44375</v>
      </c>
      <c r="BN1866" s="1">
        <v>44375</v>
      </c>
      <c r="BO1866" s="1">
        <v>44375</v>
      </c>
      <c r="BP1866" s="1">
        <v>48590</v>
      </c>
      <c r="BQ1866" t="s">
        <v>51</v>
      </c>
      <c r="BS1866" t="s">
        <v>60</v>
      </c>
      <c r="BT1866" t="s">
        <v>54</v>
      </c>
      <c r="BU1866" t="s">
        <v>61</v>
      </c>
      <c r="BV1866" t="s">
        <v>86</v>
      </c>
      <c r="BX1866">
        <v>18</v>
      </c>
      <c r="BY1866">
        <v>1980</v>
      </c>
      <c r="BZ1866">
        <v>0</v>
      </c>
    </row>
    <row r="1867" spans="1:99" x14ac:dyDescent="0.2">
      <c r="A1867" t="s">
        <v>367</v>
      </c>
      <c r="B1867" t="s">
        <v>440</v>
      </c>
      <c r="C1867" t="s">
        <v>441</v>
      </c>
      <c r="D1867" t="s">
        <v>434</v>
      </c>
      <c r="F1867" t="str">
        <f>"215585"</f>
        <v>215585</v>
      </c>
      <c r="G1867" t="s">
        <v>49</v>
      </c>
      <c r="H1867" t="s">
        <v>974</v>
      </c>
      <c r="K1867" t="s">
        <v>51</v>
      </c>
      <c r="L1867" t="s">
        <v>52</v>
      </c>
      <c r="M1867">
        <v>136412.01199999999</v>
      </c>
      <c r="N1867">
        <v>469246.89500000002</v>
      </c>
      <c r="O1867" t="s">
        <v>53</v>
      </c>
      <c r="P1867" t="s">
        <v>54</v>
      </c>
      <c r="Q1867" t="s">
        <v>55</v>
      </c>
      <c r="T1867" t="s">
        <v>841</v>
      </c>
      <c r="U1867">
        <v>40</v>
      </c>
      <c r="V1867" s="1">
        <v>40655</v>
      </c>
      <c r="W1867" s="1">
        <v>40655</v>
      </c>
      <c r="X1867" s="1">
        <v>40655</v>
      </c>
      <c r="Y1867" s="1">
        <v>55265</v>
      </c>
      <c r="Z1867" t="s">
        <v>51</v>
      </c>
      <c r="AB1867" t="s">
        <v>54</v>
      </c>
      <c r="AC1867">
        <v>1</v>
      </c>
      <c r="AE1867" t="s">
        <v>64</v>
      </c>
      <c r="AF1867">
        <v>20</v>
      </c>
      <c r="AG1867" s="1">
        <v>41303</v>
      </c>
      <c r="AH1867" s="1">
        <v>41303</v>
      </c>
      <c r="AI1867" s="1">
        <v>41303</v>
      </c>
      <c r="AJ1867" s="1">
        <v>48608</v>
      </c>
      <c r="AK1867" t="s">
        <v>51</v>
      </c>
      <c r="AN1867">
        <v>0</v>
      </c>
      <c r="AO1867" t="s">
        <v>54</v>
      </c>
      <c r="AP1867" t="s">
        <v>53</v>
      </c>
      <c r="AQ1867">
        <v>0</v>
      </c>
      <c r="AR1867" t="s">
        <v>53</v>
      </c>
      <c r="AS1867">
        <v>0</v>
      </c>
      <c r="AT1867">
        <v>0</v>
      </c>
      <c r="AW1867" t="s">
        <v>58</v>
      </c>
      <c r="AX1867">
        <v>20</v>
      </c>
      <c r="AY1867" s="1">
        <v>41303</v>
      </c>
      <c r="AZ1867" s="1">
        <v>41303</v>
      </c>
      <c r="BA1867" s="1">
        <v>41303</v>
      </c>
      <c r="BB1867" s="1">
        <v>48608</v>
      </c>
      <c r="BC1867" t="s">
        <v>51</v>
      </c>
      <c r="BE1867" t="s">
        <v>54</v>
      </c>
      <c r="BF1867">
        <v>2</v>
      </c>
      <c r="BG1867">
        <v>0</v>
      </c>
      <c r="BH1867" t="s">
        <v>53</v>
      </c>
      <c r="BK1867" t="s">
        <v>65</v>
      </c>
      <c r="BL1867">
        <v>14000</v>
      </c>
      <c r="BM1867" s="1">
        <v>41323</v>
      </c>
      <c r="BN1867" s="1">
        <v>41323</v>
      </c>
      <c r="BO1867" s="1">
        <v>41323</v>
      </c>
      <c r="BP1867" s="1">
        <v>42517</v>
      </c>
      <c r="BQ1867" t="s">
        <v>51</v>
      </c>
      <c r="BS1867" t="s">
        <v>60</v>
      </c>
      <c r="BT1867" t="s">
        <v>54</v>
      </c>
      <c r="BU1867" t="s">
        <v>61</v>
      </c>
      <c r="BV1867" t="s">
        <v>62</v>
      </c>
      <c r="BX1867">
        <v>36</v>
      </c>
      <c r="BY1867">
        <v>0</v>
      </c>
      <c r="BZ1867">
        <v>0</v>
      </c>
    </row>
    <row r="1868" spans="1:99" x14ac:dyDescent="0.2">
      <c r="A1868" t="s">
        <v>367</v>
      </c>
      <c r="B1868" t="s">
        <v>440</v>
      </c>
      <c r="C1868" t="s">
        <v>441</v>
      </c>
      <c r="D1868" t="s">
        <v>434</v>
      </c>
      <c r="F1868" t="str">
        <f>"215586"</f>
        <v>215586</v>
      </c>
      <c r="G1868" t="s">
        <v>49</v>
      </c>
      <c r="H1868" t="s">
        <v>974</v>
      </c>
      <c r="K1868" t="s">
        <v>51</v>
      </c>
      <c r="L1868" t="s">
        <v>52</v>
      </c>
      <c r="M1868">
        <v>136485.75200000001</v>
      </c>
      <c r="N1868">
        <v>469403.48300000001</v>
      </c>
      <c r="O1868" t="s">
        <v>53</v>
      </c>
      <c r="P1868" t="s">
        <v>54</v>
      </c>
      <c r="Q1868" t="s">
        <v>55</v>
      </c>
      <c r="T1868" t="s">
        <v>841</v>
      </c>
      <c r="U1868">
        <v>40</v>
      </c>
      <c r="V1868" s="1">
        <v>40655</v>
      </c>
      <c r="W1868" s="1">
        <v>40655</v>
      </c>
      <c r="X1868" s="1">
        <v>40655</v>
      </c>
      <c r="Y1868" s="1">
        <v>55265</v>
      </c>
      <c r="Z1868" t="s">
        <v>51</v>
      </c>
      <c r="AB1868" t="s">
        <v>54</v>
      </c>
      <c r="AC1868">
        <v>1</v>
      </c>
      <c r="AE1868" t="s">
        <v>64</v>
      </c>
      <c r="AF1868">
        <v>20</v>
      </c>
      <c r="AG1868" s="1">
        <v>40655</v>
      </c>
      <c r="AH1868" s="1">
        <v>40655</v>
      </c>
      <c r="AI1868" s="1">
        <v>40655</v>
      </c>
      <c r="AJ1868" s="1">
        <v>47960</v>
      </c>
      <c r="AK1868" t="s">
        <v>51</v>
      </c>
      <c r="AN1868">
        <v>0</v>
      </c>
      <c r="AO1868" t="s">
        <v>54</v>
      </c>
      <c r="AP1868" t="s">
        <v>53</v>
      </c>
      <c r="AQ1868">
        <v>0</v>
      </c>
      <c r="AR1868" t="s">
        <v>53</v>
      </c>
      <c r="AS1868">
        <v>0</v>
      </c>
      <c r="AT1868">
        <v>0</v>
      </c>
      <c r="AW1868" t="s">
        <v>58</v>
      </c>
      <c r="AX1868">
        <v>20</v>
      </c>
      <c r="AY1868" s="1">
        <v>40655</v>
      </c>
      <c r="AZ1868" s="1">
        <v>40655</v>
      </c>
      <c r="BA1868" s="1">
        <v>40655</v>
      </c>
      <c r="BB1868" s="1">
        <v>47960</v>
      </c>
      <c r="BC1868" t="s">
        <v>51</v>
      </c>
      <c r="BE1868" t="s">
        <v>54</v>
      </c>
      <c r="BF1868">
        <v>2</v>
      </c>
      <c r="BG1868">
        <v>0</v>
      </c>
      <c r="BH1868" t="s">
        <v>53</v>
      </c>
      <c r="BK1868" t="s">
        <v>65</v>
      </c>
      <c r="BL1868">
        <v>14000</v>
      </c>
      <c r="BM1868" s="1">
        <v>44893</v>
      </c>
      <c r="BN1868" s="1">
        <v>44893</v>
      </c>
      <c r="BO1868" s="1">
        <v>44893</v>
      </c>
      <c r="BP1868" s="1">
        <v>46051</v>
      </c>
      <c r="BQ1868" t="s">
        <v>51</v>
      </c>
      <c r="BS1868" t="s">
        <v>60</v>
      </c>
      <c r="BT1868" t="s">
        <v>54</v>
      </c>
      <c r="BU1868" t="s">
        <v>61</v>
      </c>
      <c r="BV1868" t="s">
        <v>62</v>
      </c>
      <c r="BX1868">
        <v>36</v>
      </c>
      <c r="BY1868">
        <v>0</v>
      </c>
      <c r="BZ1868">
        <v>0</v>
      </c>
    </row>
    <row r="1869" spans="1:99" x14ac:dyDescent="0.2">
      <c r="A1869" t="s">
        <v>367</v>
      </c>
      <c r="B1869" t="s">
        <v>440</v>
      </c>
      <c r="C1869" t="s">
        <v>441</v>
      </c>
      <c r="D1869" t="s">
        <v>434</v>
      </c>
      <c r="F1869" t="str">
        <f>"215587"</f>
        <v>215587</v>
      </c>
      <c r="G1869" t="s">
        <v>49</v>
      </c>
      <c r="H1869" t="s">
        <v>974</v>
      </c>
      <c r="K1869" t="s">
        <v>51</v>
      </c>
      <c r="L1869" t="s">
        <v>52</v>
      </c>
      <c r="M1869">
        <v>136546.495</v>
      </c>
      <c r="N1869">
        <v>469518.245</v>
      </c>
      <c r="O1869" t="s">
        <v>53</v>
      </c>
      <c r="P1869" t="s">
        <v>54</v>
      </c>
      <c r="Q1869" t="s">
        <v>55</v>
      </c>
      <c r="T1869" t="s">
        <v>841</v>
      </c>
      <c r="U1869">
        <v>40</v>
      </c>
      <c r="V1869" s="1">
        <v>40655</v>
      </c>
      <c r="W1869" s="1">
        <v>40655</v>
      </c>
      <c r="X1869" s="1">
        <v>40655</v>
      </c>
      <c r="Y1869" s="1">
        <v>55265</v>
      </c>
      <c r="Z1869" t="s">
        <v>51</v>
      </c>
      <c r="AB1869" t="s">
        <v>54</v>
      </c>
      <c r="AC1869">
        <v>1</v>
      </c>
      <c r="AE1869" t="s">
        <v>64</v>
      </c>
      <c r="AF1869">
        <v>20</v>
      </c>
      <c r="AG1869" s="1">
        <v>40655</v>
      </c>
      <c r="AH1869" s="1">
        <v>40655</v>
      </c>
      <c r="AI1869" s="1">
        <v>40655</v>
      </c>
      <c r="AJ1869" s="1">
        <v>47960</v>
      </c>
      <c r="AK1869" t="s">
        <v>51</v>
      </c>
      <c r="AN1869">
        <v>0</v>
      </c>
      <c r="AO1869" t="s">
        <v>54</v>
      </c>
      <c r="AP1869" t="s">
        <v>53</v>
      </c>
      <c r="AQ1869">
        <v>0</v>
      </c>
      <c r="AR1869" t="s">
        <v>53</v>
      </c>
      <c r="AS1869">
        <v>0</v>
      </c>
      <c r="AT1869">
        <v>0</v>
      </c>
      <c r="AW1869" t="s">
        <v>58</v>
      </c>
      <c r="AX1869">
        <v>20</v>
      </c>
      <c r="AY1869" s="1">
        <v>40655</v>
      </c>
      <c r="AZ1869" s="1">
        <v>40655</v>
      </c>
      <c r="BA1869" s="1">
        <v>40655</v>
      </c>
      <c r="BB1869" s="1">
        <v>47960</v>
      </c>
      <c r="BC1869" t="s">
        <v>51</v>
      </c>
      <c r="BE1869" t="s">
        <v>54</v>
      </c>
      <c r="BF1869">
        <v>2</v>
      </c>
      <c r="BG1869">
        <v>0</v>
      </c>
      <c r="BH1869" t="s">
        <v>53</v>
      </c>
      <c r="BK1869" t="s">
        <v>65</v>
      </c>
      <c r="BL1869">
        <v>14000</v>
      </c>
      <c r="BM1869" s="1">
        <v>40655</v>
      </c>
      <c r="BN1869" s="1">
        <v>40655</v>
      </c>
      <c r="BO1869" s="1">
        <v>40655</v>
      </c>
      <c r="BP1869" s="1">
        <v>41879</v>
      </c>
      <c r="BQ1869" t="s">
        <v>51</v>
      </c>
      <c r="BS1869" t="s">
        <v>60</v>
      </c>
      <c r="BT1869" t="s">
        <v>54</v>
      </c>
      <c r="BU1869" t="s">
        <v>61</v>
      </c>
      <c r="BV1869" t="s">
        <v>62</v>
      </c>
      <c r="BX1869">
        <v>36</v>
      </c>
      <c r="BY1869">
        <v>0</v>
      </c>
      <c r="BZ1869">
        <v>0</v>
      </c>
    </row>
    <row r="1870" spans="1:99" x14ac:dyDescent="0.2">
      <c r="A1870" t="s">
        <v>367</v>
      </c>
      <c r="B1870" t="s">
        <v>440</v>
      </c>
      <c r="C1870" t="s">
        <v>441</v>
      </c>
      <c r="D1870" t="s">
        <v>434</v>
      </c>
      <c r="F1870" t="str">
        <f>"215588"</f>
        <v>215588</v>
      </c>
      <c r="G1870" t="s">
        <v>49</v>
      </c>
      <c r="H1870" t="s">
        <v>976</v>
      </c>
      <c r="K1870" t="s">
        <v>51</v>
      </c>
      <c r="L1870" t="s">
        <v>52</v>
      </c>
      <c r="M1870">
        <v>136635.171</v>
      </c>
      <c r="N1870">
        <v>469667.03700000001</v>
      </c>
      <c r="O1870" t="s">
        <v>53</v>
      </c>
      <c r="P1870" t="s">
        <v>54</v>
      </c>
      <c r="Q1870" t="s">
        <v>55</v>
      </c>
      <c r="T1870" t="s">
        <v>841</v>
      </c>
      <c r="U1870">
        <v>40</v>
      </c>
      <c r="V1870" s="1">
        <v>40655</v>
      </c>
      <c r="W1870" s="1">
        <v>40655</v>
      </c>
      <c r="X1870" s="1">
        <v>40655</v>
      </c>
      <c r="Y1870" s="1">
        <v>55265</v>
      </c>
      <c r="Z1870" t="s">
        <v>51</v>
      </c>
      <c r="AB1870" t="s">
        <v>54</v>
      </c>
      <c r="AC1870">
        <v>1</v>
      </c>
      <c r="AE1870" t="s">
        <v>64</v>
      </c>
      <c r="AF1870">
        <v>20</v>
      </c>
      <c r="AG1870" s="1">
        <v>40655</v>
      </c>
      <c r="AH1870" s="1">
        <v>40655</v>
      </c>
      <c r="AI1870" s="1">
        <v>40655</v>
      </c>
      <c r="AJ1870" s="1">
        <v>47960</v>
      </c>
      <c r="AK1870" t="s">
        <v>51</v>
      </c>
      <c r="AN1870">
        <v>0</v>
      </c>
      <c r="AO1870" t="s">
        <v>54</v>
      </c>
      <c r="AP1870" t="s">
        <v>53</v>
      </c>
      <c r="AQ1870">
        <v>0</v>
      </c>
      <c r="AR1870" t="s">
        <v>53</v>
      </c>
      <c r="AS1870">
        <v>0</v>
      </c>
      <c r="AT1870">
        <v>0</v>
      </c>
      <c r="AW1870" t="s">
        <v>58</v>
      </c>
      <c r="AX1870">
        <v>20</v>
      </c>
      <c r="AY1870" s="1">
        <v>44578</v>
      </c>
      <c r="AZ1870" s="1">
        <v>44578</v>
      </c>
      <c r="BA1870" s="1">
        <v>44578</v>
      </c>
      <c r="BB1870" s="1">
        <v>51883</v>
      </c>
      <c r="BC1870" t="s">
        <v>51</v>
      </c>
      <c r="BE1870" t="s">
        <v>54</v>
      </c>
      <c r="BF1870">
        <v>2</v>
      </c>
      <c r="BG1870">
        <v>0</v>
      </c>
      <c r="BH1870" t="s">
        <v>53</v>
      </c>
      <c r="BK1870" t="s">
        <v>65</v>
      </c>
      <c r="BL1870">
        <v>14000</v>
      </c>
      <c r="BM1870" s="1">
        <v>44837</v>
      </c>
      <c r="BN1870" s="1">
        <v>44837</v>
      </c>
      <c r="BO1870" s="1">
        <v>44837</v>
      </c>
      <c r="BP1870" s="1">
        <v>46000</v>
      </c>
      <c r="BQ1870" t="s">
        <v>51</v>
      </c>
      <c r="BS1870" t="s">
        <v>60</v>
      </c>
      <c r="BT1870" t="s">
        <v>54</v>
      </c>
      <c r="BU1870" t="s">
        <v>61</v>
      </c>
      <c r="BV1870" t="s">
        <v>62</v>
      </c>
      <c r="BX1870">
        <v>36</v>
      </c>
      <c r="BY1870">
        <v>0</v>
      </c>
      <c r="BZ1870">
        <v>0</v>
      </c>
    </row>
    <row r="1871" spans="1:99" x14ac:dyDescent="0.2">
      <c r="A1871" t="s">
        <v>367</v>
      </c>
      <c r="B1871" t="s">
        <v>440</v>
      </c>
      <c r="C1871" t="s">
        <v>441</v>
      </c>
      <c r="D1871" t="s">
        <v>434</v>
      </c>
      <c r="F1871" t="str">
        <f>"215589"</f>
        <v>215589</v>
      </c>
      <c r="G1871" t="s">
        <v>49</v>
      </c>
      <c r="H1871" t="s">
        <v>977</v>
      </c>
      <c r="K1871" t="s">
        <v>51</v>
      </c>
      <c r="L1871" t="s">
        <v>52</v>
      </c>
      <c r="M1871">
        <v>136686.609</v>
      </c>
      <c r="N1871">
        <v>469737.17599999998</v>
      </c>
      <c r="O1871" t="s">
        <v>53</v>
      </c>
      <c r="P1871" t="s">
        <v>54</v>
      </c>
      <c r="Q1871" t="s">
        <v>55</v>
      </c>
      <c r="T1871" t="s">
        <v>841</v>
      </c>
      <c r="U1871">
        <v>40</v>
      </c>
      <c r="V1871" s="1">
        <v>40655</v>
      </c>
      <c r="W1871" s="1">
        <v>40655</v>
      </c>
      <c r="X1871" s="1">
        <v>40655</v>
      </c>
      <c r="Y1871" s="1">
        <v>55265</v>
      </c>
      <c r="Z1871" t="s">
        <v>51</v>
      </c>
      <c r="AB1871" t="s">
        <v>54</v>
      </c>
      <c r="AC1871">
        <v>1</v>
      </c>
      <c r="AE1871" t="s">
        <v>64</v>
      </c>
      <c r="AF1871">
        <v>20</v>
      </c>
      <c r="AG1871" s="1">
        <v>40655</v>
      </c>
      <c r="AH1871" s="1">
        <v>40655</v>
      </c>
      <c r="AI1871" s="1">
        <v>40655</v>
      </c>
      <c r="AJ1871" s="1">
        <v>47960</v>
      </c>
      <c r="AK1871" t="s">
        <v>51</v>
      </c>
      <c r="AN1871">
        <v>0</v>
      </c>
      <c r="AO1871" t="s">
        <v>54</v>
      </c>
      <c r="AP1871" t="s">
        <v>53</v>
      </c>
      <c r="AQ1871">
        <v>0</v>
      </c>
      <c r="AR1871" t="s">
        <v>53</v>
      </c>
      <c r="AS1871">
        <v>0</v>
      </c>
      <c r="AT1871">
        <v>0</v>
      </c>
      <c r="AW1871" t="s">
        <v>58</v>
      </c>
      <c r="AX1871">
        <v>20</v>
      </c>
      <c r="AY1871" s="1">
        <v>40655</v>
      </c>
      <c r="AZ1871" s="1">
        <v>40655</v>
      </c>
      <c r="BA1871" s="1">
        <v>40655</v>
      </c>
      <c r="BB1871" s="1">
        <v>47960</v>
      </c>
      <c r="BC1871" t="s">
        <v>51</v>
      </c>
      <c r="BE1871" t="s">
        <v>54</v>
      </c>
      <c r="BF1871">
        <v>2</v>
      </c>
      <c r="BG1871">
        <v>0</v>
      </c>
      <c r="BH1871" t="s">
        <v>53</v>
      </c>
      <c r="BK1871" t="s">
        <v>65</v>
      </c>
      <c r="BL1871">
        <v>14000</v>
      </c>
      <c r="BM1871" s="1">
        <v>40655</v>
      </c>
      <c r="BN1871" s="1">
        <v>40655</v>
      </c>
      <c r="BO1871" s="1">
        <v>40655</v>
      </c>
      <c r="BP1871" s="1">
        <v>41879</v>
      </c>
      <c r="BQ1871" t="s">
        <v>51</v>
      </c>
      <c r="BS1871" t="s">
        <v>60</v>
      </c>
      <c r="BT1871" t="s">
        <v>54</v>
      </c>
      <c r="BU1871" t="s">
        <v>61</v>
      </c>
      <c r="BV1871" t="s">
        <v>62</v>
      </c>
      <c r="BX1871">
        <v>36</v>
      </c>
      <c r="BY1871">
        <v>0</v>
      </c>
      <c r="BZ1871">
        <v>0</v>
      </c>
    </row>
    <row r="1872" spans="1:99" x14ac:dyDescent="0.2">
      <c r="A1872" t="s">
        <v>367</v>
      </c>
      <c r="B1872" t="s">
        <v>440</v>
      </c>
      <c r="C1872" t="s">
        <v>441</v>
      </c>
      <c r="D1872" t="s">
        <v>434</v>
      </c>
      <c r="F1872" t="str">
        <f>"215590"</f>
        <v>215590</v>
      </c>
      <c r="G1872" t="s">
        <v>49</v>
      </c>
      <c r="H1872" t="s">
        <v>978</v>
      </c>
      <c r="K1872" t="s">
        <v>51</v>
      </c>
      <c r="L1872" t="s">
        <v>52</v>
      </c>
      <c r="M1872">
        <v>136709.266</v>
      </c>
      <c r="N1872">
        <v>469773.92599999998</v>
      </c>
      <c r="O1872" t="s">
        <v>53</v>
      </c>
      <c r="P1872" t="s">
        <v>54</v>
      </c>
      <c r="Q1872" t="s">
        <v>55</v>
      </c>
      <c r="T1872" t="s">
        <v>841</v>
      </c>
      <c r="U1872">
        <v>40</v>
      </c>
      <c r="V1872" s="1">
        <v>40655</v>
      </c>
      <c r="W1872" s="1">
        <v>40655</v>
      </c>
      <c r="X1872" s="1">
        <v>40655</v>
      </c>
      <c r="Y1872" s="1">
        <v>55265</v>
      </c>
      <c r="Z1872" t="s">
        <v>51</v>
      </c>
      <c r="AB1872" t="s">
        <v>54</v>
      </c>
      <c r="AC1872">
        <v>1</v>
      </c>
      <c r="AE1872" t="s">
        <v>64</v>
      </c>
      <c r="AF1872">
        <v>20</v>
      </c>
      <c r="AG1872" s="1">
        <v>40655</v>
      </c>
      <c r="AH1872" s="1">
        <v>40655</v>
      </c>
      <c r="AI1872" s="1">
        <v>40655</v>
      </c>
      <c r="AJ1872" s="1">
        <v>47960</v>
      </c>
      <c r="AK1872" t="s">
        <v>51</v>
      </c>
      <c r="AN1872">
        <v>0</v>
      </c>
      <c r="AO1872" t="s">
        <v>54</v>
      </c>
      <c r="AP1872" t="s">
        <v>53</v>
      </c>
      <c r="AQ1872">
        <v>0</v>
      </c>
      <c r="AR1872" t="s">
        <v>53</v>
      </c>
      <c r="AS1872">
        <v>0</v>
      </c>
      <c r="AT1872">
        <v>0</v>
      </c>
      <c r="AW1872" t="s">
        <v>58</v>
      </c>
      <c r="AX1872">
        <v>20</v>
      </c>
      <c r="AY1872" s="1">
        <v>40655</v>
      </c>
      <c r="AZ1872" s="1">
        <v>40655</v>
      </c>
      <c r="BA1872" s="1">
        <v>40655</v>
      </c>
      <c r="BB1872" s="1">
        <v>47960</v>
      </c>
      <c r="BC1872" t="s">
        <v>51</v>
      </c>
      <c r="BE1872" t="s">
        <v>54</v>
      </c>
      <c r="BF1872">
        <v>2</v>
      </c>
      <c r="BG1872">
        <v>0</v>
      </c>
      <c r="BH1872" t="s">
        <v>53</v>
      </c>
      <c r="BK1872" t="s">
        <v>65</v>
      </c>
      <c r="BL1872">
        <v>14000</v>
      </c>
      <c r="BM1872" s="1">
        <v>40655</v>
      </c>
      <c r="BN1872" s="1">
        <v>40655</v>
      </c>
      <c r="BO1872" s="1">
        <v>40655</v>
      </c>
      <c r="BP1872" s="1">
        <v>41879</v>
      </c>
      <c r="BQ1872" t="s">
        <v>51</v>
      </c>
      <c r="BS1872" t="s">
        <v>60</v>
      </c>
      <c r="BT1872" t="s">
        <v>54</v>
      </c>
      <c r="BU1872" t="s">
        <v>61</v>
      </c>
      <c r="BV1872" t="s">
        <v>62</v>
      </c>
      <c r="BX1872">
        <v>36</v>
      </c>
      <c r="BY1872">
        <v>0</v>
      </c>
      <c r="BZ1872">
        <v>0</v>
      </c>
    </row>
    <row r="1873" spans="1:99" x14ac:dyDescent="0.2">
      <c r="A1873" t="s">
        <v>367</v>
      </c>
      <c r="B1873" t="s">
        <v>440</v>
      </c>
      <c r="C1873" t="s">
        <v>441</v>
      </c>
      <c r="D1873" t="s">
        <v>434</v>
      </c>
      <c r="F1873" t="str">
        <f>"215591"</f>
        <v>215591</v>
      </c>
      <c r="G1873" t="s">
        <v>49</v>
      </c>
      <c r="H1873" t="s">
        <v>979</v>
      </c>
      <c r="K1873" t="s">
        <v>51</v>
      </c>
      <c r="L1873" t="s">
        <v>52</v>
      </c>
      <c r="M1873">
        <v>136354.31700000001</v>
      </c>
      <c r="N1873">
        <v>469104.77500000002</v>
      </c>
      <c r="O1873" t="s">
        <v>53</v>
      </c>
      <c r="P1873" t="s">
        <v>54</v>
      </c>
      <c r="Q1873" t="s">
        <v>55</v>
      </c>
      <c r="T1873" t="s">
        <v>365</v>
      </c>
      <c r="U1873">
        <v>40</v>
      </c>
      <c r="V1873" s="1">
        <v>44369</v>
      </c>
      <c r="W1873" s="1">
        <v>44369</v>
      </c>
      <c r="X1873" s="1">
        <v>44369</v>
      </c>
      <c r="Y1873" s="1">
        <v>58979</v>
      </c>
      <c r="Z1873" t="s">
        <v>51</v>
      </c>
      <c r="AB1873" t="s">
        <v>54</v>
      </c>
      <c r="AE1873" t="s">
        <v>91</v>
      </c>
      <c r="AF1873">
        <v>20</v>
      </c>
      <c r="AG1873" s="1">
        <v>44369</v>
      </c>
      <c r="AH1873" s="1">
        <v>44369</v>
      </c>
      <c r="AI1873" s="1">
        <v>44369</v>
      </c>
      <c r="AJ1873" s="1">
        <v>51674</v>
      </c>
      <c r="AK1873" t="s">
        <v>51</v>
      </c>
      <c r="AN1873">
        <v>0</v>
      </c>
      <c r="AO1873" t="s">
        <v>54</v>
      </c>
      <c r="AP1873" t="s">
        <v>53</v>
      </c>
      <c r="AQ1873">
        <v>0</v>
      </c>
      <c r="AR1873" t="s">
        <v>53</v>
      </c>
      <c r="AS1873">
        <v>0</v>
      </c>
      <c r="AT1873">
        <v>0</v>
      </c>
      <c r="BK1873" t="s">
        <v>374</v>
      </c>
      <c r="BL1873">
        <v>50000</v>
      </c>
      <c r="BM1873" s="1">
        <v>44369</v>
      </c>
      <c r="BN1873" s="1">
        <v>44369</v>
      </c>
      <c r="BO1873" s="1">
        <v>44369</v>
      </c>
      <c r="BP1873" s="1">
        <v>48587</v>
      </c>
      <c r="BQ1873" t="s">
        <v>51</v>
      </c>
      <c r="BS1873" t="s">
        <v>60</v>
      </c>
      <c r="BT1873" t="s">
        <v>54</v>
      </c>
      <c r="BU1873" t="s">
        <v>61</v>
      </c>
      <c r="BV1873" t="s">
        <v>62</v>
      </c>
      <c r="BX1873">
        <v>26</v>
      </c>
      <c r="BY1873">
        <v>2860</v>
      </c>
      <c r="BZ1873">
        <v>0</v>
      </c>
    </row>
    <row r="1874" spans="1:99" x14ac:dyDescent="0.2">
      <c r="A1874" t="s">
        <v>367</v>
      </c>
      <c r="B1874" t="s">
        <v>440</v>
      </c>
      <c r="C1874" t="s">
        <v>441</v>
      </c>
      <c r="D1874" t="s">
        <v>434</v>
      </c>
      <c r="F1874" t="str">
        <f>"215592"</f>
        <v>215592</v>
      </c>
      <c r="G1874" t="s">
        <v>49</v>
      </c>
      <c r="H1874" t="s">
        <v>980</v>
      </c>
      <c r="K1874" t="s">
        <v>51</v>
      </c>
      <c r="L1874" t="s">
        <v>52</v>
      </c>
      <c r="M1874">
        <v>136331.15</v>
      </c>
      <c r="N1874">
        <v>469070.6</v>
      </c>
      <c r="O1874" t="s">
        <v>53</v>
      </c>
      <c r="P1874" t="s">
        <v>54</v>
      </c>
      <c r="Q1874" t="s">
        <v>55</v>
      </c>
      <c r="T1874" t="s">
        <v>841</v>
      </c>
      <c r="U1874">
        <v>40</v>
      </c>
      <c r="V1874" s="1">
        <v>41821</v>
      </c>
      <c r="W1874" s="1">
        <v>41821</v>
      </c>
      <c r="X1874" s="1">
        <v>41821</v>
      </c>
      <c r="Y1874" s="1">
        <v>56431</v>
      </c>
      <c r="Z1874" t="s">
        <v>51</v>
      </c>
      <c r="AB1874" t="s">
        <v>54</v>
      </c>
      <c r="AC1874">
        <v>1</v>
      </c>
      <c r="AE1874" t="s">
        <v>79</v>
      </c>
      <c r="AF1874">
        <v>20</v>
      </c>
      <c r="AG1874" s="1">
        <v>41821</v>
      </c>
      <c r="AH1874" s="1">
        <v>41821</v>
      </c>
      <c r="AI1874" s="1">
        <v>41821</v>
      </c>
      <c r="AJ1874" s="1">
        <v>49126</v>
      </c>
      <c r="AK1874" t="s">
        <v>51</v>
      </c>
      <c r="AN1874">
        <v>0</v>
      </c>
      <c r="AO1874" t="s">
        <v>54</v>
      </c>
      <c r="AP1874" t="s">
        <v>53</v>
      </c>
      <c r="AQ1874">
        <v>0</v>
      </c>
      <c r="AR1874" t="s">
        <v>145</v>
      </c>
      <c r="AS1874">
        <v>0</v>
      </c>
      <c r="AT1874">
        <v>0</v>
      </c>
      <c r="CC1874" t="s">
        <v>555</v>
      </c>
      <c r="CD1874">
        <v>85000</v>
      </c>
      <c r="CE1874" s="1">
        <v>41821</v>
      </c>
      <c r="CF1874" s="1">
        <v>41821</v>
      </c>
      <c r="CG1874" s="1">
        <v>41821</v>
      </c>
      <c r="CH1874" s="1">
        <v>48983</v>
      </c>
      <c r="CI1874" t="s">
        <v>51</v>
      </c>
      <c r="CK1874" t="s">
        <v>78</v>
      </c>
      <c r="CM1874" t="s">
        <v>54</v>
      </c>
      <c r="CN1874" t="s">
        <v>174</v>
      </c>
      <c r="CO1874" t="s">
        <v>86</v>
      </c>
      <c r="CR1874">
        <v>20</v>
      </c>
      <c r="CS1874">
        <v>0</v>
      </c>
      <c r="CT1874">
        <v>0</v>
      </c>
      <c r="CU1874">
        <v>0</v>
      </c>
    </row>
    <row r="1875" spans="1:99" x14ac:dyDescent="0.2">
      <c r="A1875" t="s">
        <v>367</v>
      </c>
      <c r="B1875" t="s">
        <v>440</v>
      </c>
      <c r="C1875" t="s">
        <v>441</v>
      </c>
      <c r="D1875" t="s">
        <v>434</v>
      </c>
      <c r="F1875" t="str">
        <f>"215593"</f>
        <v>215593</v>
      </c>
      <c r="G1875" t="s">
        <v>49</v>
      </c>
      <c r="H1875" t="s">
        <v>981</v>
      </c>
      <c r="K1875" t="s">
        <v>51</v>
      </c>
      <c r="L1875" t="s">
        <v>52</v>
      </c>
      <c r="M1875">
        <v>136319.32999999999</v>
      </c>
      <c r="N1875">
        <v>469044.92</v>
      </c>
      <c r="O1875" t="s">
        <v>53</v>
      </c>
      <c r="P1875" t="s">
        <v>54</v>
      </c>
      <c r="Q1875" t="s">
        <v>55</v>
      </c>
      <c r="T1875" t="s">
        <v>841</v>
      </c>
      <c r="U1875">
        <v>40</v>
      </c>
      <c r="V1875" s="1">
        <v>41821</v>
      </c>
      <c r="W1875" s="1">
        <v>41821</v>
      </c>
      <c r="X1875" s="1">
        <v>41821</v>
      </c>
      <c r="Y1875" s="1">
        <v>56431</v>
      </c>
      <c r="Z1875" t="s">
        <v>51</v>
      </c>
      <c r="AB1875" t="s">
        <v>54</v>
      </c>
      <c r="AC1875">
        <v>1</v>
      </c>
      <c r="AE1875" t="s">
        <v>79</v>
      </c>
      <c r="AF1875">
        <v>20</v>
      </c>
      <c r="AG1875" s="1">
        <v>41821</v>
      </c>
      <c r="AH1875" s="1">
        <v>41821</v>
      </c>
      <c r="AI1875" s="1">
        <v>41821</v>
      </c>
      <c r="AJ1875" s="1">
        <v>49126</v>
      </c>
      <c r="AK1875" t="s">
        <v>51</v>
      </c>
      <c r="AN1875">
        <v>0</v>
      </c>
      <c r="AO1875" t="s">
        <v>54</v>
      </c>
      <c r="AP1875" t="s">
        <v>53</v>
      </c>
      <c r="AQ1875">
        <v>0</v>
      </c>
      <c r="AR1875" t="s">
        <v>145</v>
      </c>
      <c r="AS1875">
        <v>0</v>
      </c>
      <c r="AT1875">
        <v>0</v>
      </c>
      <c r="CC1875" t="s">
        <v>555</v>
      </c>
      <c r="CD1875">
        <v>85000</v>
      </c>
      <c r="CE1875" s="1">
        <v>41821</v>
      </c>
      <c r="CF1875" s="1">
        <v>41821</v>
      </c>
      <c r="CG1875" s="1">
        <v>41821</v>
      </c>
      <c r="CH1875" s="1">
        <v>48983</v>
      </c>
      <c r="CI1875" t="s">
        <v>51</v>
      </c>
      <c r="CK1875" t="s">
        <v>78</v>
      </c>
      <c r="CM1875" t="s">
        <v>54</v>
      </c>
      <c r="CN1875" t="s">
        <v>174</v>
      </c>
      <c r="CO1875" t="s">
        <v>86</v>
      </c>
      <c r="CR1875">
        <v>20</v>
      </c>
      <c r="CS1875">
        <v>0</v>
      </c>
      <c r="CT1875">
        <v>0</v>
      </c>
      <c r="CU1875">
        <v>0</v>
      </c>
    </row>
    <row r="1876" spans="1:99" x14ac:dyDescent="0.2">
      <c r="A1876" t="s">
        <v>367</v>
      </c>
      <c r="B1876" t="s">
        <v>440</v>
      </c>
      <c r="C1876" t="s">
        <v>441</v>
      </c>
      <c r="D1876" t="s">
        <v>434</v>
      </c>
      <c r="F1876" t="str">
        <f>"215594"</f>
        <v>215594</v>
      </c>
      <c r="G1876" t="s">
        <v>49</v>
      </c>
      <c r="H1876" t="s">
        <v>982</v>
      </c>
      <c r="K1876" t="s">
        <v>51</v>
      </c>
      <c r="L1876" t="s">
        <v>52</v>
      </c>
      <c r="M1876">
        <v>136298.28</v>
      </c>
      <c r="N1876">
        <v>468999.33</v>
      </c>
      <c r="O1876" t="s">
        <v>53</v>
      </c>
      <c r="P1876" t="s">
        <v>54</v>
      </c>
      <c r="Q1876" t="s">
        <v>55</v>
      </c>
      <c r="T1876" t="s">
        <v>841</v>
      </c>
      <c r="U1876">
        <v>40</v>
      </c>
      <c r="V1876" s="1">
        <v>41821</v>
      </c>
      <c r="W1876" s="1">
        <v>41821</v>
      </c>
      <c r="X1876" s="1">
        <v>41821</v>
      </c>
      <c r="Y1876" s="1">
        <v>56431</v>
      </c>
      <c r="Z1876" t="s">
        <v>51</v>
      </c>
      <c r="AB1876" t="s">
        <v>54</v>
      </c>
      <c r="AC1876">
        <v>1</v>
      </c>
      <c r="AE1876" t="s">
        <v>79</v>
      </c>
      <c r="AF1876">
        <v>20</v>
      </c>
      <c r="AG1876" s="1">
        <v>41821</v>
      </c>
      <c r="AH1876" s="1">
        <v>41821</v>
      </c>
      <c r="AI1876" s="1">
        <v>41821</v>
      </c>
      <c r="AJ1876" s="1">
        <v>49126</v>
      </c>
      <c r="AK1876" t="s">
        <v>51</v>
      </c>
      <c r="AN1876">
        <v>0</v>
      </c>
      <c r="AO1876" t="s">
        <v>54</v>
      </c>
      <c r="AP1876" t="s">
        <v>53</v>
      </c>
      <c r="AQ1876">
        <v>0</v>
      </c>
      <c r="AR1876" t="s">
        <v>145</v>
      </c>
      <c r="AS1876">
        <v>0</v>
      </c>
      <c r="AT1876">
        <v>0</v>
      </c>
      <c r="CC1876" t="s">
        <v>555</v>
      </c>
      <c r="CD1876">
        <v>85000</v>
      </c>
      <c r="CE1876" s="1">
        <v>41821</v>
      </c>
      <c r="CF1876" s="1">
        <v>41821</v>
      </c>
      <c r="CG1876" s="1">
        <v>41821</v>
      </c>
      <c r="CH1876" s="1">
        <v>48983</v>
      </c>
      <c r="CI1876" t="s">
        <v>51</v>
      </c>
      <c r="CK1876" t="s">
        <v>78</v>
      </c>
      <c r="CM1876" t="s">
        <v>54</v>
      </c>
      <c r="CN1876" t="s">
        <v>174</v>
      </c>
      <c r="CO1876" t="s">
        <v>86</v>
      </c>
      <c r="CR1876">
        <v>20</v>
      </c>
      <c r="CS1876">
        <v>0</v>
      </c>
      <c r="CT1876">
        <v>0</v>
      </c>
      <c r="CU1876">
        <v>0</v>
      </c>
    </row>
    <row r="1877" spans="1:99" x14ac:dyDescent="0.2">
      <c r="A1877" t="s">
        <v>367</v>
      </c>
      <c r="B1877" t="s">
        <v>440</v>
      </c>
      <c r="C1877" t="s">
        <v>441</v>
      </c>
      <c r="D1877" t="s">
        <v>434</v>
      </c>
      <c r="F1877" t="str">
        <f>"215595"</f>
        <v>215595</v>
      </c>
      <c r="G1877" t="s">
        <v>49</v>
      </c>
      <c r="H1877" t="s">
        <v>983</v>
      </c>
      <c r="K1877" t="s">
        <v>51</v>
      </c>
      <c r="L1877" t="s">
        <v>52</v>
      </c>
      <c r="M1877">
        <v>136275.4</v>
      </c>
      <c r="N1877">
        <v>468951.11</v>
      </c>
      <c r="O1877" t="s">
        <v>53</v>
      </c>
      <c r="P1877" t="s">
        <v>54</v>
      </c>
      <c r="Q1877" t="s">
        <v>55</v>
      </c>
      <c r="T1877" t="s">
        <v>841</v>
      </c>
      <c r="U1877">
        <v>40</v>
      </c>
      <c r="V1877" s="1">
        <v>41821</v>
      </c>
      <c r="W1877" s="1">
        <v>41821</v>
      </c>
      <c r="X1877" s="1">
        <v>41821</v>
      </c>
      <c r="Y1877" s="1">
        <v>56431</v>
      </c>
      <c r="Z1877" t="s">
        <v>51</v>
      </c>
      <c r="AB1877" t="s">
        <v>54</v>
      </c>
      <c r="AC1877">
        <v>1</v>
      </c>
      <c r="AE1877" t="s">
        <v>79</v>
      </c>
      <c r="AF1877">
        <v>20</v>
      </c>
      <c r="AG1877" s="1">
        <v>41821</v>
      </c>
      <c r="AH1877" s="1">
        <v>41821</v>
      </c>
      <c r="AI1877" s="1">
        <v>41821</v>
      </c>
      <c r="AJ1877" s="1">
        <v>49126</v>
      </c>
      <c r="AK1877" t="s">
        <v>51</v>
      </c>
      <c r="AN1877">
        <v>0</v>
      </c>
      <c r="AO1877" t="s">
        <v>54</v>
      </c>
      <c r="AP1877" t="s">
        <v>53</v>
      </c>
      <c r="AQ1877">
        <v>0</v>
      </c>
      <c r="AR1877" t="s">
        <v>145</v>
      </c>
      <c r="AS1877">
        <v>0</v>
      </c>
      <c r="AT1877">
        <v>0</v>
      </c>
      <c r="CC1877" t="s">
        <v>555</v>
      </c>
      <c r="CD1877">
        <v>85000</v>
      </c>
      <c r="CE1877" s="1">
        <v>41821</v>
      </c>
      <c r="CF1877" s="1">
        <v>41821</v>
      </c>
      <c r="CG1877" s="1">
        <v>41821</v>
      </c>
      <c r="CH1877" s="1">
        <v>48983</v>
      </c>
      <c r="CI1877" t="s">
        <v>51</v>
      </c>
      <c r="CK1877" t="s">
        <v>78</v>
      </c>
      <c r="CM1877" t="s">
        <v>54</v>
      </c>
      <c r="CN1877" t="s">
        <v>174</v>
      </c>
      <c r="CO1877" t="s">
        <v>86</v>
      </c>
      <c r="CR1877">
        <v>20</v>
      </c>
      <c r="CS1877">
        <v>0</v>
      </c>
      <c r="CT1877">
        <v>0</v>
      </c>
      <c r="CU1877">
        <v>0</v>
      </c>
    </row>
    <row r="1878" spans="1:99" x14ac:dyDescent="0.2">
      <c r="A1878" t="s">
        <v>367</v>
      </c>
      <c r="B1878" t="s">
        <v>440</v>
      </c>
      <c r="C1878" t="s">
        <v>441</v>
      </c>
      <c r="D1878" t="s">
        <v>434</v>
      </c>
      <c r="F1878" t="str">
        <f>"215596"</f>
        <v>215596</v>
      </c>
      <c r="G1878" t="s">
        <v>49</v>
      </c>
      <c r="H1878" t="s">
        <v>984</v>
      </c>
      <c r="K1878" t="s">
        <v>51</v>
      </c>
      <c r="L1878" t="s">
        <v>52</v>
      </c>
      <c r="M1878">
        <v>136254.23000000001</v>
      </c>
      <c r="N1878">
        <v>468910.9</v>
      </c>
      <c r="O1878" t="s">
        <v>53</v>
      </c>
      <c r="P1878" t="s">
        <v>54</v>
      </c>
      <c r="Q1878" t="s">
        <v>55</v>
      </c>
      <c r="T1878" t="s">
        <v>841</v>
      </c>
      <c r="U1878">
        <v>40</v>
      </c>
      <c r="V1878" s="1">
        <v>41821</v>
      </c>
      <c r="W1878" s="1">
        <v>41821</v>
      </c>
      <c r="X1878" s="1">
        <v>41821</v>
      </c>
      <c r="Y1878" s="1">
        <v>56431</v>
      </c>
      <c r="Z1878" t="s">
        <v>51</v>
      </c>
      <c r="AB1878" t="s">
        <v>54</v>
      </c>
      <c r="AC1878">
        <v>1</v>
      </c>
      <c r="AE1878" t="s">
        <v>79</v>
      </c>
      <c r="AF1878">
        <v>20</v>
      </c>
      <c r="AG1878" s="1">
        <v>41821</v>
      </c>
      <c r="AH1878" s="1">
        <v>41821</v>
      </c>
      <c r="AI1878" s="1">
        <v>41821</v>
      </c>
      <c r="AJ1878" s="1">
        <v>49126</v>
      </c>
      <c r="AK1878" t="s">
        <v>51</v>
      </c>
      <c r="AN1878">
        <v>0</v>
      </c>
      <c r="AO1878" t="s">
        <v>54</v>
      </c>
      <c r="AP1878" t="s">
        <v>53</v>
      </c>
      <c r="AQ1878">
        <v>0</v>
      </c>
      <c r="AR1878" t="s">
        <v>145</v>
      </c>
      <c r="AS1878">
        <v>0</v>
      </c>
      <c r="AT1878">
        <v>0</v>
      </c>
      <c r="CC1878" t="s">
        <v>555</v>
      </c>
      <c r="CD1878">
        <v>85000</v>
      </c>
      <c r="CE1878" s="1">
        <v>41821</v>
      </c>
      <c r="CF1878" s="1">
        <v>41821</v>
      </c>
      <c r="CG1878" s="1">
        <v>41821</v>
      </c>
      <c r="CH1878" s="1">
        <v>48983</v>
      </c>
      <c r="CI1878" t="s">
        <v>51</v>
      </c>
      <c r="CK1878" t="s">
        <v>78</v>
      </c>
      <c r="CM1878" t="s">
        <v>54</v>
      </c>
      <c r="CN1878" t="s">
        <v>174</v>
      </c>
      <c r="CO1878" t="s">
        <v>86</v>
      </c>
      <c r="CR1878">
        <v>20</v>
      </c>
      <c r="CS1878">
        <v>0</v>
      </c>
      <c r="CT1878">
        <v>0</v>
      </c>
      <c r="CU1878">
        <v>0</v>
      </c>
    </row>
    <row r="1879" spans="1:99" x14ac:dyDescent="0.2">
      <c r="A1879" t="s">
        <v>367</v>
      </c>
      <c r="B1879" t="s">
        <v>440</v>
      </c>
      <c r="C1879" t="s">
        <v>441</v>
      </c>
      <c r="D1879" t="s">
        <v>434</v>
      </c>
      <c r="F1879" t="str">
        <f>"215597"</f>
        <v>215597</v>
      </c>
      <c r="G1879" t="s">
        <v>49</v>
      </c>
      <c r="H1879" t="s">
        <v>985</v>
      </c>
      <c r="K1879" t="s">
        <v>51</v>
      </c>
      <c r="L1879" t="s">
        <v>52</v>
      </c>
      <c r="M1879">
        <v>136243.14000000001</v>
      </c>
      <c r="N1879">
        <v>468888.61</v>
      </c>
      <c r="O1879" t="s">
        <v>53</v>
      </c>
      <c r="P1879" t="s">
        <v>54</v>
      </c>
      <c r="Q1879" t="s">
        <v>55</v>
      </c>
      <c r="T1879" t="s">
        <v>841</v>
      </c>
      <c r="U1879">
        <v>40</v>
      </c>
      <c r="V1879" s="1">
        <v>41821</v>
      </c>
      <c r="W1879" s="1">
        <v>41821</v>
      </c>
      <c r="X1879" s="1">
        <v>41821</v>
      </c>
      <c r="Y1879" s="1">
        <v>56431</v>
      </c>
      <c r="Z1879" t="s">
        <v>51</v>
      </c>
      <c r="AB1879" t="s">
        <v>54</v>
      </c>
      <c r="AC1879">
        <v>1</v>
      </c>
      <c r="AE1879" t="s">
        <v>79</v>
      </c>
      <c r="AF1879">
        <v>20</v>
      </c>
      <c r="AG1879" s="1">
        <v>41821</v>
      </c>
      <c r="AH1879" s="1">
        <v>41821</v>
      </c>
      <c r="AI1879" s="1">
        <v>41821</v>
      </c>
      <c r="AJ1879" s="1">
        <v>49126</v>
      </c>
      <c r="AK1879" t="s">
        <v>51</v>
      </c>
      <c r="AN1879">
        <v>0</v>
      </c>
      <c r="AO1879" t="s">
        <v>54</v>
      </c>
      <c r="AP1879" t="s">
        <v>53</v>
      </c>
      <c r="AQ1879">
        <v>0</v>
      </c>
      <c r="AR1879" t="s">
        <v>145</v>
      </c>
      <c r="AS1879">
        <v>0</v>
      </c>
      <c r="AT1879">
        <v>0</v>
      </c>
      <c r="CC1879" t="s">
        <v>555</v>
      </c>
      <c r="CD1879">
        <v>85000</v>
      </c>
      <c r="CE1879" s="1">
        <v>41821</v>
      </c>
      <c r="CF1879" s="1">
        <v>41821</v>
      </c>
      <c r="CG1879" s="1">
        <v>41821</v>
      </c>
      <c r="CH1879" s="1">
        <v>48983</v>
      </c>
      <c r="CI1879" t="s">
        <v>51</v>
      </c>
      <c r="CK1879" t="s">
        <v>78</v>
      </c>
      <c r="CM1879" t="s">
        <v>54</v>
      </c>
      <c r="CN1879" t="s">
        <v>174</v>
      </c>
      <c r="CO1879" t="s">
        <v>86</v>
      </c>
      <c r="CR1879">
        <v>20</v>
      </c>
      <c r="CS1879">
        <v>0</v>
      </c>
      <c r="CT1879">
        <v>0</v>
      </c>
      <c r="CU1879">
        <v>0</v>
      </c>
    </row>
    <row r="1880" spans="1:99" x14ac:dyDescent="0.2">
      <c r="A1880" t="s">
        <v>367</v>
      </c>
      <c r="B1880" t="s">
        <v>440</v>
      </c>
      <c r="C1880" t="s">
        <v>441</v>
      </c>
      <c r="D1880" t="s">
        <v>434</v>
      </c>
      <c r="F1880" t="str">
        <f>"215598"</f>
        <v>215598</v>
      </c>
      <c r="G1880" t="s">
        <v>49</v>
      </c>
      <c r="H1880" t="s">
        <v>986</v>
      </c>
      <c r="K1880" t="s">
        <v>51</v>
      </c>
      <c r="L1880" t="s">
        <v>52</v>
      </c>
      <c r="M1880">
        <v>136232.29999999999</v>
      </c>
      <c r="N1880">
        <v>468865.66</v>
      </c>
      <c r="O1880" t="s">
        <v>53</v>
      </c>
      <c r="P1880" t="s">
        <v>54</v>
      </c>
      <c r="Q1880" t="s">
        <v>55</v>
      </c>
      <c r="T1880" t="s">
        <v>841</v>
      </c>
      <c r="U1880">
        <v>40</v>
      </c>
      <c r="V1880" s="1">
        <v>41821</v>
      </c>
      <c r="W1880" s="1">
        <v>41821</v>
      </c>
      <c r="X1880" s="1">
        <v>41821</v>
      </c>
      <c r="Y1880" s="1">
        <v>56431</v>
      </c>
      <c r="Z1880" t="s">
        <v>51</v>
      </c>
      <c r="AB1880" t="s">
        <v>54</v>
      </c>
      <c r="AC1880">
        <v>1</v>
      </c>
      <c r="AE1880" t="s">
        <v>79</v>
      </c>
      <c r="AF1880">
        <v>20</v>
      </c>
      <c r="AG1880" s="1">
        <v>41821</v>
      </c>
      <c r="AH1880" s="1">
        <v>41821</v>
      </c>
      <c r="AI1880" s="1">
        <v>41821</v>
      </c>
      <c r="AJ1880" s="1">
        <v>49126</v>
      </c>
      <c r="AK1880" t="s">
        <v>51</v>
      </c>
      <c r="AN1880">
        <v>0</v>
      </c>
      <c r="AO1880" t="s">
        <v>54</v>
      </c>
      <c r="AP1880" t="s">
        <v>53</v>
      </c>
      <c r="AQ1880">
        <v>0</v>
      </c>
      <c r="AR1880" t="s">
        <v>145</v>
      </c>
      <c r="AS1880">
        <v>0</v>
      </c>
      <c r="AT1880">
        <v>0</v>
      </c>
      <c r="CC1880" t="s">
        <v>555</v>
      </c>
      <c r="CD1880">
        <v>85000</v>
      </c>
      <c r="CE1880" s="1">
        <v>41821</v>
      </c>
      <c r="CF1880" s="1">
        <v>41821</v>
      </c>
      <c r="CG1880" s="1">
        <v>41821</v>
      </c>
      <c r="CH1880" s="1">
        <v>48983</v>
      </c>
      <c r="CI1880" t="s">
        <v>51</v>
      </c>
      <c r="CK1880" t="s">
        <v>78</v>
      </c>
      <c r="CM1880" t="s">
        <v>54</v>
      </c>
      <c r="CN1880" t="s">
        <v>174</v>
      </c>
      <c r="CO1880" t="s">
        <v>86</v>
      </c>
      <c r="CR1880">
        <v>20</v>
      </c>
      <c r="CS1880">
        <v>0</v>
      </c>
      <c r="CT1880">
        <v>0</v>
      </c>
      <c r="CU1880">
        <v>0</v>
      </c>
    </row>
    <row r="1881" spans="1:99" x14ac:dyDescent="0.2">
      <c r="A1881" t="s">
        <v>367</v>
      </c>
      <c r="B1881" t="s">
        <v>440</v>
      </c>
      <c r="C1881" t="s">
        <v>441</v>
      </c>
      <c r="D1881" t="s">
        <v>434</v>
      </c>
      <c r="F1881" t="str">
        <f>"215599"</f>
        <v>215599</v>
      </c>
      <c r="G1881" t="s">
        <v>49</v>
      </c>
      <c r="H1881" t="s">
        <v>979</v>
      </c>
      <c r="K1881" t="s">
        <v>51</v>
      </c>
      <c r="L1881" t="s">
        <v>52</v>
      </c>
      <c r="M1881">
        <v>136351.342</v>
      </c>
      <c r="N1881">
        <v>469131.58500000002</v>
      </c>
      <c r="O1881" t="s">
        <v>53</v>
      </c>
      <c r="P1881" t="s">
        <v>54</v>
      </c>
      <c r="Q1881" t="s">
        <v>55</v>
      </c>
      <c r="T1881" t="s">
        <v>970</v>
      </c>
      <c r="U1881">
        <v>40</v>
      </c>
      <c r="V1881" s="1">
        <v>40655</v>
      </c>
      <c r="W1881" s="1">
        <v>40655</v>
      </c>
      <c r="X1881" s="1">
        <v>40655</v>
      </c>
      <c r="Y1881" s="1">
        <v>55265</v>
      </c>
      <c r="Z1881" t="s">
        <v>51</v>
      </c>
      <c r="AB1881" t="s">
        <v>54</v>
      </c>
      <c r="AC1881">
        <v>1</v>
      </c>
      <c r="AE1881" t="s">
        <v>64</v>
      </c>
      <c r="AF1881">
        <v>20</v>
      </c>
      <c r="AG1881" s="1">
        <v>40655</v>
      </c>
      <c r="AH1881" s="1">
        <v>40655</v>
      </c>
      <c r="AI1881" s="1">
        <v>40655</v>
      </c>
      <c r="AJ1881" s="1">
        <v>47960</v>
      </c>
      <c r="AK1881" t="s">
        <v>51</v>
      </c>
      <c r="AN1881">
        <v>0</v>
      </c>
      <c r="AO1881" t="s">
        <v>54</v>
      </c>
      <c r="AP1881" t="s">
        <v>53</v>
      </c>
      <c r="AQ1881">
        <v>0</v>
      </c>
      <c r="AR1881" t="s">
        <v>53</v>
      </c>
      <c r="AS1881">
        <v>0</v>
      </c>
      <c r="AT1881">
        <v>0</v>
      </c>
      <c r="BK1881" t="s">
        <v>975</v>
      </c>
      <c r="BL1881">
        <v>50000</v>
      </c>
      <c r="BM1881" s="1">
        <v>44375</v>
      </c>
      <c r="BN1881" s="1">
        <v>44375</v>
      </c>
      <c r="BO1881" s="1">
        <v>44375</v>
      </c>
      <c r="BP1881" s="1">
        <v>48590</v>
      </c>
      <c r="BQ1881" t="s">
        <v>51</v>
      </c>
      <c r="BS1881" t="s">
        <v>60</v>
      </c>
      <c r="BT1881" t="s">
        <v>54</v>
      </c>
      <c r="BU1881" t="s">
        <v>61</v>
      </c>
      <c r="BV1881" t="s">
        <v>86</v>
      </c>
      <c r="BX1881">
        <v>18</v>
      </c>
      <c r="BY1881">
        <v>1980</v>
      </c>
      <c r="BZ1881">
        <v>0</v>
      </c>
    </row>
    <row r="1882" spans="1:99" x14ac:dyDescent="0.2">
      <c r="A1882" t="s">
        <v>367</v>
      </c>
      <c r="B1882" t="s">
        <v>440</v>
      </c>
      <c r="C1882" t="s">
        <v>441</v>
      </c>
      <c r="D1882" t="s">
        <v>434</v>
      </c>
      <c r="F1882" t="str">
        <f>"215599"</f>
        <v>215599</v>
      </c>
      <c r="G1882" t="s">
        <v>49</v>
      </c>
      <c r="H1882" t="s">
        <v>979</v>
      </c>
      <c r="K1882" t="s">
        <v>51</v>
      </c>
      <c r="L1882" t="s">
        <v>52</v>
      </c>
      <c r="M1882">
        <v>136351.342</v>
      </c>
      <c r="N1882">
        <v>469131.58500000002</v>
      </c>
      <c r="O1882" t="s">
        <v>53</v>
      </c>
      <c r="P1882" t="s">
        <v>54</v>
      </c>
      <c r="Q1882" t="s">
        <v>55</v>
      </c>
      <c r="T1882" t="s">
        <v>970</v>
      </c>
      <c r="U1882">
        <v>40</v>
      </c>
      <c r="V1882" s="1">
        <v>40655</v>
      </c>
      <c r="W1882" s="1">
        <v>40655</v>
      </c>
      <c r="X1882" s="1">
        <v>40655</v>
      </c>
      <c r="Y1882" s="1">
        <v>55265</v>
      </c>
      <c r="Z1882" t="s">
        <v>51</v>
      </c>
      <c r="AB1882" t="s">
        <v>54</v>
      </c>
      <c r="AE1882" t="s">
        <v>64</v>
      </c>
      <c r="AF1882">
        <v>20</v>
      </c>
      <c r="AG1882" s="1">
        <v>40722</v>
      </c>
      <c r="AH1882" s="1">
        <v>44375</v>
      </c>
      <c r="AI1882" s="1">
        <v>44375</v>
      </c>
      <c r="AJ1882" s="1">
        <v>51680</v>
      </c>
      <c r="AK1882" t="s">
        <v>51</v>
      </c>
      <c r="AN1882">
        <v>0</v>
      </c>
      <c r="AO1882" t="s">
        <v>54</v>
      </c>
      <c r="AP1882" t="s">
        <v>53</v>
      </c>
      <c r="AQ1882">
        <v>0</v>
      </c>
      <c r="AR1882" t="s">
        <v>53</v>
      </c>
      <c r="AS1882">
        <v>0</v>
      </c>
      <c r="AT1882">
        <v>0</v>
      </c>
      <c r="BK1882" t="s">
        <v>975</v>
      </c>
      <c r="BL1882">
        <v>50000</v>
      </c>
      <c r="BM1882" s="1">
        <v>44375</v>
      </c>
      <c r="BN1882" s="1">
        <v>44375</v>
      </c>
      <c r="BO1882" s="1">
        <v>44375</v>
      </c>
      <c r="BP1882" s="1">
        <v>48590</v>
      </c>
      <c r="BQ1882" t="s">
        <v>51</v>
      </c>
      <c r="BS1882" t="s">
        <v>60</v>
      </c>
      <c r="BT1882" t="s">
        <v>54</v>
      </c>
      <c r="BU1882" t="s">
        <v>61</v>
      </c>
      <c r="BV1882" t="s">
        <v>86</v>
      </c>
      <c r="BX1882">
        <v>18</v>
      </c>
      <c r="BY1882">
        <v>1980</v>
      </c>
      <c r="BZ1882">
        <v>0</v>
      </c>
    </row>
    <row r="1883" spans="1:99" x14ac:dyDescent="0.2">
      <c r="A1883" t="s">
        <v>367</v>
      </c>
      <c r="B1883" t="s">
        <v>440</v>
      </c>
      <c r="C1883" t="s">
        <v>441</v>
      </c>
      <c r="D1883" t="s">
        <v>987</v>
      </c>
      <c r="F1883" t="str">
        <f>"253349"</f>
        <v>253349</v>
      </c>
      <c r="G1883" t="s">
        <v>49</v>
      </c>
      <c r="H1883" t="s">
        <v>988</v>
      </c>
      <c r="K1883" t="s">
        <v>51</v>
      </c>
      <c r="L1883" t="s">
        <v>52</v>
      </c>
      <c r="M1883">
        <v>134026.62</v>
      </c>
      <c r="N1883">
        <v>468821.15</v>
      </c>
      <c r="O1883" t="s">
        <v>53</v>
      </c>
      <c r="P1883" t="s">
        <v>54</v>
      </c>
      <c r="Q1883" t="s">
        <v>55</v>
      </c>
      <c r="S1883" t="s">
        <v>989</v>
      </c>
      <c r="T1883" t="s">
        <v>989</v>
      </c>
      <c r="U1883">
        <v>30</v>
      </c>
      <c r="V1883" s="1">
        <v>41821</v>
      </c>
      <c r="W1883" s="1">
        <v>41821</v>
      </c>
      <c r="X1883" s="1">
        <v>41821</v>
      </c>
      <c r="Y1883" s="1">
        <v>52779</v>
      </c>
      <c r="Z1883" t="s">
        <v>51</v>
      </c>
      <c r="AB1883" t="s">
        <v>54</v>
      </c>
      <c r="AC1883">
        <v>1</v>
      </c>
      <c r="AE1883" t="s">
        <v>171</v>
      </c>
      <c r="AF1883">
        <v>20</v>
      </c>
      <c r="AG1883" s="1">
        <v>41821</v>
      </c>
      <c r="AH1883" s="1">
        <v>41821</v>
      </c>
      <c r="AI1883" s="1">
        <v>41821</v>
      </c>
      <c r="AJ1883" s="1">
        <v>49126</v>
      </c>
      <c r="AK1883" t="s">
        <v>51</v>
      </c>
      <c r="AN1883">
        <v>0</v>
      </c>
      <c r="AO1883" t="s">
        <v>54</v>
      </c>
      <c r="AP1883" t="s">
        <v>53</v>
      </c>
      <c r="AQ1883">
        <v>0</v>
      </c>
      <c r="AR1883" t="s">
        <v>53</v>
      </c>
      <c r="AS1883">
        <v>0</v>
      </c>
      <c r="AT1883">
        <v>0</v>
      </c>
      <c r="CC1883" t="s">
        <v>850</v>
      </c>
      <c r="CD1883">
        <v>1</v>
      </c>
      <c r="CE1883" s="1">
        <v>41821</v>
      </c>
      <c r="CF1883" s="1">
        <v>41821</v>
      </c>
      <c r="CG1883" s="1">
        <v>41821</v>
      </c>
      <c r="CH1883" s="1">
        <v>48983</v>
      </c>
      <c r="CI1883" t="s">
        <v>51</v>
      </c>
      <c r="CK1883" t="s">
        <v>78</v>
      </c>
      <c r="CM1883" t="s">
        <v>54</v>
      </c>
      <c r="CN1883" t="s">
        <v>174</v>
      </c>
      <c r="CO1883" t="s">
        <v>86</v>
      </c>
      <c r="CR1883">
        <v>18</v>
      </c>
      <c r="CS1883">
        <v>0</v>
      </c>
      <c r="CT1883">
        <v>0</v>
      </c>
      <c r="CU1883">
        <v>0</v>
      </c>
    </row>
    <row r="1884" spans="1:99" x14ac:dyDescent="0.2">
      <c r="A1884" t="s">
        <v>367</v>
      </c>
      <c r="B1884" t="s">
        <v>440</v>
      </c>
      <c r="C1884" t="s">
        <v>441</v>
      </c>
      <c r="D1884" t="s">
        <v>990</v>
      </c>
      <c r="F1884" t="str">
        <f>"253350"</f>
        <v>253350</v>
      </c>
      <c r="G1884" t="s">
        <v>49</v>
      </c>
      <c r="H1884" t="s">
        <v>988</v>
      </c>
      <c r="K1884" t="s">
        <v>51</v>
      </c>
      <c r="L1884" t="s">
        <v>52</v>
      </c>
      <c r="M1884">
        <v>134102.9</v>
      </c>
      <c r="N1884">
        <v>468954.36</v>
      </c>
      <c r="O1884" t="s">
        <v>53</v>
      </c>
      <c r="P1884" t="s">
        <v>54</v>
      </c>
      <c r="Q1884" t="s">
        <v>55</v>
      </c>
      <c r="S1884" t="s">
        <v>989</v>
      </c>
      <c r="T1884" t="s">
        <v>989</v>
      </c>
      <c r="U1884">
        <v>30</v>
      </c>
      <c r="V1884" s="1">
        <v>41821</v>
      </c>
      <c r="W1884" s="1">
        <v>41821</v>
      </c>
      <c r="X1884" s="1">
        <v>41821</v>
      </c>
      <c r="Y1884" s="1">
        <v>52779</v>
      </c>
      <c r="Z1884" t="s">
        <v>51</v>
      </c>
      <c r="AB1884" t="s">
        <v>54</v>
      </c>
      <c r="AC1884">
        <v>1</v>
      </c>
      <c r="AE1884" t="s">
        <v>171</v>
      </c>
      <c r="AF1884">
        <v>20</v>
      </c>
      <c r="AG1884" s="1">
        <v>41821</v>
      </c>
      <c r="AH1884" s="1">
        <v>41821</v>
      </c>
      <c r="AI1884" s="1">
        <v>41821</v>
      </c>
      <c r="AJ1884" s="1">
        <v>49126</v>
      </c>
      <c r="AK1884" t="s">
        <v>51</v>
      </c>
      <c r="AN1884">
        <v>0</v>
      </c>
      <c r="AO1884" t="s">
        <v>54</v>
      </c>
      <c r="AP1884" t="s">
        <v>53</v>
      </c>
      <c r="AQ1884">
        <v>0</v>
      </c>
      <c r="AR1884" t="s">
        <v>53</v>
      </c>
      <c r="AS1884">
        <v>0</v>
      </c>
      <c r="AT1884">
        <v>0</v>
      </c>
      <c r="CC1884" t="s">
        <v>850</v>
      </c>
      <c r="CD1884">
        <v>1</v>
      </c>
      <c r="CE1884" s="1">
        <v>41821</v>
      </c>
      <c r="CF1884" s="1">
        <v>41821</v>
      </c>
      <c r="CG1884" s="1">
        <v>41821</v>
      </c>
      <c r="CH1884" s="1">
        <v>48983</v>
      </c>
      <c r="CI1884" t="s">
        <v>51</v>
      </c>
      <c r="CK1884" t="s">
        <v>78</v>
      </c>
      <c r="CM1884" t="s">
        <v>54</v>
      </c>
      <c r="CN1884" t="s">
        <v>174</v>
      </c>
      <c r="CO1884" t="s">
        <v>86</v>
      </c>
      <c r="CR1884">
        <v>18</v>
      </c>
      <c r="CS1884">
        <v>0</v>
      </c>
      <c r="CT1884">
        <v>0</v>
      </c>
      <c r="CU1884">
        <v>0</v>
      </c>
    </row>
    <row r="1885" spans="1:99" x14ac:dyDescent="0.2">
      <c r="A1885" t="s">
        <v>367</v>
      </c>
      <c r="B1885" t="s">
        <v>440</v>
      </c>
      <c r="C1885" t="s">
        <v>441</v>
      </c>
      <c r="D1885" t="s">
        <v>987</v>
      </c>
      <c r="F1885" t="str">
        <f>"253351"</f>
        <v>253351</v>
      </c>
      <c r="G1885" t="s">
        <v>49</v>
      </c>
      <c r="H1885" t="s">
        <v>991</v>
      </c>
      <c r="K1885" t="s">
        <v>51</v>
      </c>
      <c r="L1885" t="s">
        <v>52</v>
      </c>
      <c r="M1885">
        <v>134038.28</v>
      </c>
      <c r="N1885">
        <v>468846.21</v>
      </c>
      <c r="O1885" t="s">
        <v>53</v>
      </c>
      <c r="P1885" t="s">
        <v>54</v>
      </c>
      <c r="Q1885" t="s">
        <v>55</v>
      </c>
      <c r="S1885" t="s">
        <v>989</v>
      </c>
      <c r="T1885" t="s">
        <v>989</v>
      </c>
      <c r="U1885">
        <v>30</v>
      </c>
      <c r="V1885" s="1">
        <v>41821</v>
      </c>
      <c r="W1885" s="1">
        <v>41821</v>
      </c>
      <c r="X1885" s="1">
        <v>41821</v>
      </c>
      <c r="Y1885" s="1">
        <v>52779</v>
      </c>
      <c r="Z1885" t="s">
        <v>51</v>
      </c>
      <c r="AB1885" t="s">
        <v>54</v>
      </c>
      <c r="AC1885">
        <v>1</v>
      </c>
      <c r="AE1885" t="s">
        <v>171</v>
      </c>
      <c r="AF1885">
        <v>20</v>
      </c>
      <c r="AG1885" s="1">
        <v>41821</v>
      </c>
      <c r="AH1885" s="1">
        <v>41821</v>
      </c>
      <c r="AI1885" s="1">
        <v>41821</v>
      </c>
      <c r="AJ1885" s="1">
        <v>49126</v>
      </c>
      <c r="AK1885" t="s">
        <v>51</v>
      </c>
      <c r="AN1885">
        <v>0</v>
      </c>
      <c r="AO1885" t="s">
        <v>54</v>
      </c>
      <c r="AP1885" t="s">
        <v>53</v>
      </c>
      <c r="AQ1885">
        <v>0</v>
      </c>
      <c r="AR1885" t="s">
        <v>53</v>
      </c>
      <c r="AS1885">
        <v>0</v>
      </c>
      <c r="AT1885">
        <v>0</v>
      </c>
      <c r="CC1885" t="s">
        <v>850</v>
      </c>
      <c r="CD1885">
        <v>1</v>
      </c>
      <c r="CE1885" s="1">
        <v>43123</v>
      </c>
      <c r="CF1885" s="1">
        <v>43123</v>
      </c>
      <c r="CG1885" s="1">
        <v>43123</v>
      </c>
      <c r="CH1885" s="1">
        <v>50338</v>
      </c>
      <c r="CI1885" t="s">
        <v>51</v>
      </c>
      <c r="CK1885" t="s">
        <v>78</v>
      </c>
      <c r="CM1885" t="s">
        <v>54</v>
      </c>
      <c r="CN1885" t="s">
        <v>174</v>
      </c>
      <c r="CO1885" t="s">
        <v>86</v>
      </c>
      <c r="CR1885">
        <v>18</v>
      </c>
      <c r="CS1885">
        <v>0</v>
      </c>
      <c r="CT1885">
        <v>0</v>
      </c>
      <c r="CU1885">
        <v>0</v>
      </c>
    </row>
    <row r="1886" spans="1:99" x14ac:dyDescent="0.2">
      <c r="A1886" t="s">
        <v>367</v>
      </c>
      <c r="B1886" t="s">
        <v>440</v>
      </c>
      <c r="C1886" t="s">
        <v>441</v>
      </c>
      <c r="D1886" t="s">
        <v>987</v>
      </c>
      <c r="F1886" t="str">
        <f>"253352"</f>
        <v>253352</v>
      </c>
      <c r="G1886" t="s">
        <v>49</v>
      </c>
      <c r="H1886" t="s">
        <v>992</v>
      </c>
      <c r="K1886" t="s">
        <v>51</v>
      </c>
      <c r="L1886" t="s">
        <v>52</v>
      </c>
      <c r="M1886">
        <v>134058.82</v>
      </c>
      <c r="N1886">
        <v>468892.21</v>
      </c>
      <c r="O1886" t="s">
        <v>53</v>
      </c>
      <c r="P1886" t="s">
        <v>54</v>
      </c>
      <c r="Q1886" t="s">
        <v>55</v>
      </c>
      <c r="S1886" t="s">
        <v>989</v>
      </c>
      <c r="T1886" t="s">
        <v>989</v>
      </c>
      <c r="U1886">
        <v>30</v>
      </c>
      <c r="V1886" s="1">
        <v>41821</v>
      </c>
      <c r="W1886" s="1">
        <v>41821</v>
      </c>
      <c r="X1886" s="1">
        <v>41821</v>
      </c>
      <c r="Y1886" s="1">
        <v>52779</v>
      </c>
      <c r="Z1886" t="s">
        <v>51</v>
      </c>
      <c r="AB1886" t="s">
        <v>54</v>
      </c>
      <c r="AC1886">
        <v>1</v>
      </c>
      <c r="AE1886" t="s">
        <v>171</v>
      </c>
      <c r="AF1886">
        <v>20</v>
      </c>
      <c r="AG1886" s="1">
        <v>41821</v>
      </c>
      <c r="AH1886" s="1">
        <v>41821</v>
      </c>
      <c r="AI1886" s="1">
        <v>41821</v>
      </c>
      <c r="AJ1886" s="1">
        <v>49126</v>
      </c>
      <c r="AK1886" t="s">
        <v>51</v>
      </c>
      <c r="AN1886">
        <v>0</v>
      </c>
      <c r="AO1886" t="s">
        <v>54</v>
      </c>
      <c r="AP1886" t="s">
        <v>53</v>
      </c>
      <c r="AQ1886">
        <v>0</v>
      </c>
      <c r="AR1886" t="s">
        <v>53</v>
      </c>
      <c r="AS1886">
        <v>0</v>
      </c>
      <c r="AT1886">
        <v>0</v>
      </c>
      <c r="CC1886" t="s">
        <v>850</v>
      </c>
      <c r="CD1886">
        <v>1</v>
      </c>
      <c r="CE1886" s="1">
        <v>41821</v>
      </c>
      <c r="CF1886" s="1">
        <v>41821</v>
      </c>
      <c r="CG1886" s="1">
        <v>41821</v>
      </c>
      <c r="CH1886" s="1">
        <v>48983</v>
      </c>
      <c r="CI1886" t="s">
        <v>51</v>
      </c>
      <c r="CK1886" t="s">
        <v>78</v>
      </c>
      <c r="CM1886" t="s">
        <v>54</v>
      </c>
      <c r="CN1886" t="s">
        <v>174</v>
      </c>
      <c r="CO1886" t="s">
        <v>86</v>
      </c>
      <c r="CR1886">
        <v>18</v>
      </c>
      <c r="CS1886">
        <v>0</v>
      </c>
      <c r="CT1886">
        <v>0</v>
      </c>
      <c r="CU1886">
        <v>0</v>
      </c>
    </row>
    <row r="1887" spans="1:99" x14ac:dyDescent="0.2">
      <c r="A1887" t="s">
        <v>367</v>
      </c>
      <c r="B1887" t="s">
        <v>440</v>
      </c>
      <c r="C1887" t="s">
        <v>441</v>
      </c>
      <c r="D1887" t="s">
        <v>987</v>
      </c>
      <c r="F1887" t="str">
        <f>"253353"</f>
        <v>253353</v>
      </c>
      <c r="G1887" t="s">
        <v>49</v>
      </c>
      <c r="H1887" t="s">
        <v>993</v>
      </c>
      <c r="K1887" t="s">
        <v>51</v>
      </c>
      <c r="L1887" t="s">
        <v>52</v>
      </c>
      <c r="M1887">
        <v>134077.9</v>
      </c>
      <c r="N1887">
        <v>468931.5</v>
      </c>
      <c r="O1887" t="s">
        <v>53</v>
      </c>
      <c r="P1887" t="s">
        <v>54</v>
      </c>
      <c r="Q1887" t="s">
        <v>55</v>
      </c>
      <c r="S1887" t="s">
        <v>989</v>
      </c>
      <c r="T1887" t="s">
        <v>989</v>
      </c>
      <c r="U1887">
        <v>30</v>
      </c>
      <c r="V1887" s="1">
        <v>41821</v>
      </c>
      <c r="W1887" s="1">
        <v>41821</v>
      </c>
      <c r="X1887" s="1">
        <v>41821</v>
      </c>
      <c r="Y1887" s="1">
        <v>52779</v>
      </c>
      <c r="Z1887" t="s">
        <v>51</v>
      </c>
      <c r="AB1887" t="s">
        <v>54</v>
      </c>
      <c r="AC1887">
        <v>1</v>
      </c>
      <c r="AE1887" t="s">
        <v>171</v>
      </c>
      <c r="AF1887">
        <v>20</v>
      </c>
      <c r="AG1887" s="1">
        <v>41821</v>
      </c>
      <c r="AH1887" s="1">
        <v>41821</v>
      </c>
      <c r="AI1887" s="1">
        <v>41821</v>
      </c>
      <c r="AJ1887" s="1">
        <v>49126</v>
      </c>
      <c r="AK1887" t="s">
        <v>51</v>
      </c>
      <c r="AN1887">
        <v>0</v>
      </c>
      <c r="AO1887" t="s">
        <v>54</v>
      </c>
      <c r="AP1887" t="s">
        <v>53</v>
      </c>
      <c r="AQ1887">
        <v>0</v>
      </c>
      <c r="AR1887" t="s">
        <v>53</v>
      </c>
      <c r="AS1887">
        <v>0</v>
      </c>
      <c r="AT1887">
        <v>0</v>
      </c>
      <c r="CC1887" t="s">
        <v>850</v>
      </c>
      <c r="CD1887">
        <v>1</v>
      </c>
      <c r="CE1887" s="1">
        <v>41821</v>
      </c>
      <c r="CF1887" s="1">
        <v>41821</v>
      </c>
      <c r="CG1887" s="1">
        <v>41821</v>
      </c>
      <c r="CH1887" s="1">
        <v>48983</v>
      </c>
      <c r="CI1887" t="s">
        <v>51</v>
      </c>
      <c r="CK1887" t="s">
        <v>78</v>
      </c>
      <c r="CM1887" t="s">
        <v>54</v>
      </c>
      <c r="CN1887" t="s">
        <v>174</v>
      </c>
      <c r="CO1887" t="s">
        <v>86</v>
      </c>
      <c r="CR1887">
        <v>18</v>
      </c>
      <c r="CS1887">
        <v>0</v>
      </c>
      <c r="CT1887">
        <v>0</v>
      </c>
      <c r="CU1887">
        <v>0</v>
      </c>
    </row>
    <row r="1888" spans="1:99" x14ac:dyDescent="0.2">
      <c r="A1888" t="s">
        <v>367</v>
      </c>
      <c r="B1888" t="s">
        <v>440</v>
      </c>
      <c r="C1888" t="s">
        <v>441</v>
      </c>
      <c r="D1888" t="s">
        <v>987</v>
      </c>
      <c r="F1888" t="str">
        <f>"253354"</f>
        <v>253354</v>
      </c>
      <c r="G1888" t="s">
        <v>49</v>
      </c>
      <c r="H1888" t="s">
        <v>994</v>
      </c>
      <c r="K1888" t="s">
        <v>51</v>
      </c>
      <c r="L1888" t="s">
        <v>52</v>
      </c>
      <c r="M1888">
        <v>134090.12</v>
      </c>
      <c r="N1888">
        <v>468875.1</v>
      </c>
      <c r="O1888" t="s">
        <v>53</v>
      </c>
      <c r="P1888" t="s">
        <v>54</v>
      </c>
      <c r="Q1888" t="s">
        <v>55</v>
      </c>
      <c r="S1888" t="s">
        <v>989</v>
      </c>
      <c r="T1888" t="s">
        <v>989</v>
      </c>
      <c r="U1888">
        <v>30</v>
      </c>
      <c r="V1888" s="1">
        <v>41821</v>
      </c>
      <c r="W1888" s="1">
        <v>41821</v>
      </c>
      <c r="X1888" s="1">
        <v>41821</v>
      </c>
      <c r="Y1888" s="1">
        <v>52779</v>
      </c>
      <c r="Z1888" t="s">
        <v>51</v>
      </c>
      <c r="AB1888" t="s">
        <v>54</v>
      </c>
      <c r="AC1888">
        <v>1</v>
      </c>
      <c r="AE1888" t="s">
        <v>171</v>
      </c>
      <c r="AF1888">
        <v>20</v>
      </c>
      <c r="AG1888" s="1">
        <v>41821</v>
      </c>
      <c r="AH1888" s="1">
        <v>41821</v>
      </c>
      <c r="AI1888" s="1">
        <v>41821</v>
      </c>
      <c r="AJ1888" s="1">
        <v>49126</v>
      </c>
      <c r="AK1888" t="s">
        <v>51</v>
      </c>
      <c r="AN1888">
        <v>0</v>
      </c>
      <c r="AO1888" t="s">
        <v>54</v>
      </c>
      <c r="AP1888" t="s">
        <v>53</v>
      </c>
      <c r="AQ1888">
        <v>0</v>
      </c>
      <c r="AR1888" t="s">
        <v>53</v>
      </c>
      <c r="AS1888">
        <v>0</v>
      </c>
      <c r="AT1888">
        <v>0</v>
      </c>
      <c r="CC1888" t="s">
        <v>850</v>
      </c>
      <c r="CD1888">
        <v>1</v>
      </c>
      <c r="CE1888" s="1">
        <v>41821</v>
      </c>
      <c r="CF1888" s="1">
        <v>41821</v>
      </c>
      <c r="CG1888" s="1">
        <v>41821</v>
      </c>
      <c r="CH1888" s="1">
        <v>48983</v>
      </c>
      <c r="CI1888" t="s">
        <v>51</v>
      </c>
      <c r="CK1888" t="s">
        <v>78</v>
      </c>
      <c r="CM1888" t="s">
        <v>54</v>
      </c>
      <c r="CN1888" t="s">
        <v>174</v>
      </c>
      <c r="CO1888" t="s">
        <v>86</v>
      </c>
      <c r="CR1888">
        <v>18</v>
      </c>
      <c r="CS1888">
        <v>0</v>
      </c>
      <c r="CT1888">
        <v>0</v>
      </c>
      <c r="CU1888">
        <v>0</v>
      </c>
    </row>
    <row r="1889" spans="1:99" x14ac:dyDescent="0.2">
      <c r="A1889" t="s">
        <v>367</v>
      </c>
      <c r="B1889" t="s">
        <v>440</v>
      </c>
      <c r="C1889" t="s">
        <v>441</v>
      </c>
      <c r="D1889" t="s">
        <v>987</v>
      </c>
      <c r="F1889" t="str">
        <f>"253355"</f>
        <v>253355</v>
      </c>
      <c r="G1889" t="s">
        <v>49</v>
      </c>
      <c r="H1889" t="s">
        <v>995</v>
      </c>
      <c r="K1889" t="s">
        <v>51</v>
      </c>
      <c r="L1889" t="s">
        <v>52</v>
      </c>
      <c r="M1889">
        <v>134077.82999999999</v>
      </c>
      <c r="N1889">
        <v>468848.82</v>
      </c>
      <c r="O1889" t="s">
        <v>53</v>
      </c>
      <c r="P1889" t="s">
        <v>54</v>
      </c>
      <c r="Q1889" t="s">
        <v>55</v>
      </c>
      <c r="S1889" t="s">
        <v>989</v>
      </c>
      <c r="T1889" t="s">
        <v>989</v>
      </c>
      <c r="U1889">
        <v>30</v>
      </c>
      <c r="V1889" s="1">
        <v>41821</v>
      </c>
      <c r="W1889" s="1">
        <v>41821</v>
      </c>
      <c r="X1889" s="1">
        <v>41821</v>
      </c>
      <c r="Y1889" s="1">
        <v>52779</v>
      </c>
      <c r="Z1889" t="s">
        <v>51</v>
      </c>
      <c r="AB1889" t="s">
        <v>54</v>
      </c>
      <c r="AC1889">
        <v>1</v>
      </c>
      <c r="AE1889" t="s">
        <v>171</v>
      </c>
      <c r="AF1889">
        <v>20</v>
      </c>
      <c r="AG1889" s="1">
        <v>41821</v>
      </c>
      <c r="AH1889" s="1">
        <v>41821</v>
      </c>
      <c r="AI1889" s="1">
        <v>41821</v>
      </c>
      <c r="AJ1889" s="1">
        <v>49126</v>
      </c>
      <c r="AK1889" t="s">
        <v>51</v>
      </c>
      <c r="AN1889">
        <v>0</v>
      </c>
      <c r="AO1889" t="s">
        <v>54</v>
      </c>
      <c r="AP1889" t="s">
        <v>53</v>
      </c>
      <c r="AQ1889">
        <v>0</v>
      </c>
      <c r="AR1889" t="s">
        <v>53</v>
      </c>
      <c r="AS1889">
        <v>0</v>
      </c>
      <c r="AT1889">
        <v>0</v>
      </c>
      <c r="CC1889" t="s">
        <v>560</v>
      </c>
      <c r="CD1889">
        <v>85000</v>
      </c>
      <c r="CE1889" s="1">
        <v>41821</v>
      </c>
      <c r="CF1889" s="1">
        <v>41821</v>
      </c>
      <c r="CG1889" s="1">
        <v>41821</v>
      </c>
      <c r="CH1889" s="1">
        <v>48983</v>
      </c>
      <c r="CI1889" t="s">
        <v>51</v>
      </c>
      <c r="CK1889" t="s">
        <v>78</v>
      </c>
      <c r="CM1889" t="s">
        <v>54</v>
      </c>
      <c r="CN1889" t="s">
        <v>174</v>
      </c>
      <c r="CO1889" t="s">
        <v>86</v>
      </c>
      <c r="CR1889">
        <v>36</v>
      </c>
      <c r="CS1889">
        <v>0</v>
      </c>
      <c r="CT1889">
        <v>0</v>
      </c>
      <c r="CU1889">
        <v>0</v>
      </c>
    </row>
    <row r="1890" spans="1:99" x14ac:dyDescent="0.2">
      <c r="A1890" t="s">
        <v>367</v>
      </c>
      <c r="B1890" t="s">
        <v>440</v>
      </c>
      <c r="C1890" t="s">
        <v>441</v>
      </c>
      <c r="D1890" t="s">
        <v>987</v>
      </c>
      <c r="F1890" t="str">
        <f>"253356"</f>
        <v>253356</v>
      </c>
      <c r="G1890" t="s">
        <v>49</v>
      </c>
      <c r="H1890" t="s">
        <v>996</v>
      </c>
      <c r="K1890" t="s">
        <v>51</v>
      </c>
      <c r="L1890" t="s">
        <v>52</v>
      </c>
      <c r="M1890">
        <v>134063.71</v>
      </c>
      <c r="N1890">
        <v>468819</v>
      </c>
      <c r="O1890" t="s">
        <v>53</v>
      </c>
      <c r="P1890" t="s">
        <v>54</v>
      </c>
      <c r="Q1890" t="s">
        <v>55</v>
      </c>
      <c r="S1890" t="s">
        <v>989</v>
      </c>
      <c r="T1890" t="s">
        <v>989</v>
      </c>
      <c r="U1890">
        <v>30</v>
      </c>
      <c r="V1890" s="1">
        <v>41821</v>
      </c>
      <c r="W1890" s="1">
        <v>41821</v>
      </c>
      <c r="X1890" s="1">
        <v>41821</v>
      </c>
      <c r="Y1890" s="1">
        <v>52779</v>
      </c>
      <c r="Z1890" t="s">
        <v>51</v>
      </c>
      <c r="AB1890" t="s">
        <v>54</v>
      </c>
      <c r="AC1890">
        <v>1</v>
      </c>
      <c r="AE1890" t="s">
        <v>171</v>
      </c>
      <c r="AF1890">
        <v>20</v>
      </c>
      <c r="AG1890" s="1">
        <v>41821</v>
      </c>
      <c r="AH1890" s="1">
        <v>41821</v>
      </c>
      <c r="AI1890" s="1">
        <v>41821</v>
      </c>
      <c r="AJ1890" s="1">
        <v>49126</v>
      </c>
      <c r="AK1890" t="s">
        <v>51</v>
      </c>
      <c r="AN1890">
        <v>0</v>
      </c>
      <c r="AO1890" t="s">
        <v>54</v>
      </c>
      <c r="AP1890" t="s">
        <v>53</v>
      </c>
      <c r="AQ1890">
        <v>0</v>
      </c>
      <c r="AR1890" t="s">
        <v>53</v>
      </c>
      <c r="AS1890">
        <v>0</v>
      </c>
      <c r="AT1890">
        <v>0</v>
      </c>
      <c r="CC1890" t="s">
        <v>850</v>
      </c>
      <c r="CD1890">
        <v>1</v>
      </c>
      <c r="CE1890" s="1">
        <v>41821</v>
      </c>
      <c r="CF1890" s="1">
        <v>41821</v>
      </c>
      <c r="CG1890" s="1">
        <v>41821</v>
      </c>
      <c r="CH1890" s="1">
        <v>48983</v>
      </c>
      <c r="CI1890" t="s">
        <v>51</v>
      </c>
      <c r="CK1890" t="s">
        <v>78</v>
      </c>
      <c r="CM1890" t="s">
        <v>54</v>
      </c>
      <c r="CN1890" t="s">
        <v>174</v>
      </c>
      <c r="CO1890" t="s">
        <v>86</v>
      </c>
      <c r="CR1890">
        <v>18</v>
      </c>
      <c r="CS1890">
        <v>0</v>
      </c>
      <c r="CT1890">
        <v>0</v>
      </c>
      <c r="CU1890">
        <v>0</v>
      </c>
    </row>
    <row r="1891" spans="1:99" x14ac:dyDescent="0.2">
      <c r="A1891" t="s">
        <v>367</v>
      </c>
      <c r="B1891" t="s">
        <v>440</v>
      </c>
      <c r="C1891" t="s">
        <v>441</v>
      </c>
      <c r="D1891" t="s">
        <v>990</v>
      </c>
      <c r="F1891" t="str">
        <f>"253400"</f>
        <v>253400</v>
      </c>
      <c r="G1891" t="s">
        <v>49</v>
      </c>
      <c r="H1891" t="s">
        <v>997</v>
      </c>
      <c r="K1891" t="s">
        <v>51</v>
      </c>
      <c r="L1891" t="s">
        <v>52</v>
      </c>
      <c r="M1891">
        <v>134136.5</v>
      </c>
      <c r="N1891">
        <v>468946.05</v>
      </c>
      <c r="O1891" t="s">
        <v>53</v>
      </c>
      <c r="P1891" t="s">
        <v>54</v>
      </c>
      <c r="Q1891" t="s">
        <v>55</v>
      </c>
      <c r="S1891" t="s">
        <v>989</v>
      </c>
      <c r="T1891" t="s">
        <v>989</v>
      </c>
      <c r="U1891">
        <v>30</v>
      </c>
      <c r="V1891" s="1">
        <v>41821</v>
      </c>
      <c r="W1891" s="1">
        <v>41821</v>
      </c>
      <c r="X1891" s="1">
        <v>41821</v>
      </c>
      <c r="Y1891" s="1">
        <v>52779</v>
      </c>
      <c r="Z1891" t="s">
        <v>51</v>
      </c>
      <c r="AB1891" t="s">
        <v>54</v>
      </c>
      <c r="AC1891">
        <v>1</v>
      </c>
      <c r="AE1891" t="s">
        <v>171</v>
      </c>
      <c r="AF1891">
        <v>20</v>
      </c>
      <c r="AG1891" s="1">
        <v>41821</v>
      </c>
      <c r="AH1891" s="1">
        <v>41821</v>
      </c>
      <c r="AI1891" s="1">
        <v>41821</v>
      </c>
      <c r="AJ1891" s="1">
        <v>49126</v>
      </c>
      <c r="AK1891" t="s">
        <v>51</v>
      </c>
      <c r="AN1891">
        <v>0</v>
      </c>
      <c r="AO1891" t="s">
        <v>54</v>
      </c>
      <c r="AP1891" t="s">
        <v>53</v>
      </c>
      <c r="AQ1891">
        <v>0</v>
      </c>
      <c r="AR1891" t="s">
        <v>53</v>
      </c>
      <c r="AS1891">
        <v>0</v>
      </c>
      <c r="AT1891">
        <v>0</v>
      </c>
      <c r="CC1891" t="s">
        <v>850</v>
      </c>
      <c r="CD1891">
        <v>1</v>
      </c>
      <c r="CE1891" s="1">
        <v>41821</v>
      </c>
      <c r="CF1891" s="1">
        <v>41821</v>
      </c>
      <c r="CG1891" s="1">
        <v>41821</v>
      </c>
      <c r="CH1891" s="1">
        <v>48983</v>
      </c>
      <c r="CI1891" t="s">
        <v>51</v>
      </c>
      <c r="CK1891" t="s">
        <v>78</v>
      </c>
      <c r="CM1891" t="s">
        <v>54</v>
      </c>
      <c r="CN1891" t="s">
        <v>174</v>
      </c>
      <c r="CO1891" t="s">
        <v>86</v>
      </c>
      <c r="CR1891">
        <v>18</v>
      </c>
      <c r="CS1891">
        <v>0</v>
      </c>
      <c r="CT1891">
        <v>0</v>
      </c>
      <c r="CU1891">
        <v>0</v>
      </c>
    </row>
    <row r="1892" spans="1:99" x14ac:dyDescent="0.2">
      <c r="A1892" t="s">
        <v>367</v>
      </c>
      <c r="B1892" t="s">
        <v>440</v>
      </c>
      <c r="C1892" t="s">
        <v>441</v>
      </c>
      <c r="D1892" t="s">
        <v>990</v>
      </c>
      <c r="F1892" t="str">
        <f>"253401"</f>
        <v>253401</v>
      </c>
      <c r="G1892" t="s">
        <v>49</v>
      </c>
      <c r="H1892" t="s">
        <v>998</v>
      </c>
      <c r="K1892" t="s">
        <v>51</v>
      </c>
      <c r="L1892" t="s">
        <v>52</v>
      </c>
      <c r="M1892">
        <v>134162.76</v>
      </c>
      <c r="N1892">
        <v>468937.64</v>
      </c>
      <c r="O1892" t="s">
        <v>53</v>
      </c>
      <c r="P1892" t="s">
        <v>54</v>
      </c>
      <c r="Q1892" t="s">
        <v>55</v>
      </c>
      <c r="S1892" t="s">
        <v>989</v>
      </c>
      <c r="T1892" t="s">
        <v>989</v>
      </c>
      <c r="U1892">
        <v>30</v>
      </c>
      <c r="V1892" s="1">
        <v>41821</v>
      </c>
      <c r="W1892" s="1">
        <v>41821</v>
      </c>
      <c r="X1892" s="1">
        <v>41821</v>
      </c>
      <c r="Y1892" s="1">
        <v>52779</v>
      </c>
      <c r="Z1892" t="s">
        <v>51</v>
      </c>
      <c r="AB1892" t="s">
        <v>54</v>
      </c>
      <c r="AC1892">
        <v>1</v>
      </c>
      <c r="AE1892" t="s">
        <v>171</v>
      </c>
      <c r="AF1892">
        <v>20</v>
      </c>
      <c r="AG1892" s="1">
        <v>41821</v>
      </c>
      <c r="AH1892" s="1">
        <v>41821</v>
      </c>
      <c r="AI1892" s="1">
        <v>41821</v>
      </c>
      <c r="AJ1892" s="1">
        <v>49126</v>
      </c>
      <c r="AK1892" t="s">
        <v>51</v>
      </c>
      <c r="AN1892">
        <v>0</v>
      </c>
      <c r="AO1892" t="s">
        <v>54</v>
      </c>
      <c r="AP1892" t="s">
        <v>53</v>
      </c>
      <c r="AQ1892">
        <v>0</v>
      </c>
      <c r="AR1892" t="s">
        <v>53</v>
      </c>
      <c r="AS1892">
        <v>0</v>
      </c>
      <c r="AT1892">
        <v>0</v>
      </c>
      <c r="CC1892" t="s">
        <v>850</v>
      </c>
      <c r="CD1892">
        <v>1</v>
      </c>
      <c r="CE1892" s="1">
        <v>41821</v>
      </c>
      <c r="CF1892" s="1">
        <v>41821</v>
      </c>
      <c r="CG1892" s="1">
        <v>41821</v>
      </c>
      <c r="CH1892" s="1">
        <v>48983</v>
      </c>
      <c r="CI1892" t="s">
        <v>51</v>
      </c>
      <c r="CK1892" t="s">
        <v>78</v>
      </c>
      <c r="CM1892" t="s">
        <v>54</v>
      </c>
      <c r="CN1892" t="s">
        <v>174</v>
      </c>
      <c r="CO1892" t="s">
        <v>86</v>
      </c>
      <c r="CR1892">
        <v>18</v>
      </c>
      <c r="CS1892">
        <v>0</v>
      </c>
      <c r="CT1892">
        <v>0</v>
      </c>
      <c r="CU1892">
        <v>0</v>
      </c>
    </row>
    <row r="1893" spans="1:99" x14ac:dyDescent="0.2">
      <c r="A1893" t="s">
        <v>367</v>
      </c>
      <c r="B1893" t="s">
        <v>440</v>
      </c>
      <c r="C1893" t="s">
        <v>441</v>
      </c>
      <c r="D1893" t="s">
        <v>990</v>
      </c>
      <c r="F1893" t="str">
        <f>"253402"</f>
        <v>253402</v>
      </c>
      <c r="G1893" t="s">
        <v>49</v>
      </c>
      <c r="H1893" t="s">
        <v>999</v>
      </c>
      <c r="K1893" t="s">
        <v>51</v>
      </c>
      <c r="L1893" t="s">
        <v>52</v>
      </c>
      <c r="M1893">
        <v>134192.31</v>
      </c>
      <c r="N1893">
        <v>468927.91</v>
      </c>
      <c r="O1893" t="s">
        <v>53</v>
      </c>
      <c r="P1893" t="s">
        <v>54</v>
      </c>
      <c r="Q1893" t="s">
        <v>55</v>
      </c>
      <c r="S1893" t="s">
        <v>989</v>
      </c>
      <c r="T1893" t="s">
        <v>989</v>
      </c>
      <c r="U1893">
        <v>30</v>
      </c>
      <c r="V1893" s="1">
        <v>41821</v>
      </c>
      <c r="W1893" s="1">
        <v>41821</v>
      </c>
      <c r="X1893" s="1">
        <v>41821</v>
      </c>
      <c r="Y1893" s="1">
        <v>52779</v>
      </c>
      <c r="Z1893" t="s">
        <v>51</v>
      </c>
      <c r="AB1893" t="s">
        <v>54</v>
      </c>
      <c r="AC1893">
        <v>1</v>
      </c>
      <c r="AE1893" t="s">
        <v>171</v>
      </c>
      <c r="AF1893">
        <v>20</v>
      </c>
      <c r="AG1893" s="1">
        <v>41821</v>
      </c>
      <c r="AH1893" s="1">
        <v>41821</v>
      </c>
      <c r="AI1893" s="1">
        <v>41821</v>
      </c>
      <c r="AJ1893" s="1">
        <v>49126</v>
      </c>
      <c r="AK1893" t="s">
        <v>51</v>
      </c>
      <c r="AN1893">
        <v>0</v>
      </c>
      <c r="AO1893" t="s">
        <v>54</v>
      </c>
      <c r="AP1893" t="s">
        <v>53</v>
      </c>
      <c r="AQ1893">
        <v>0</v>
      </c>
      <c r="AR1893" t="s">
        <v>53</v>
      </c>
      <c r="AS1893">
        <v>0</v>
      </c>
      <c r="AT1893">
        <v>0</v>
      </c>
      <c r="CC1893" t="s">
        <v>850</v>
      </c>
      <c r="CD1893">
        <v>1</v>
      </c>
      <c r="CE1893" s="1">
        <v>41821</v>
      </c>
      <c r="CF1893" s="1">
        <v>41821</v>
      </c>
      <c r="CG1893" s="1">
        <v>41821</v>
      </c>
      <c r="CH1893" s="1">
        <v>48983</v>
      </c>
      <c r="CI1893" t="s">
        <v>51</v>
      </c>
      <c r="CK1893" t="s">
        <v>78</v>
      </c>
      <c r="CM1893" t="s">
        <v>54</v>
      </c>
      <c r="CN1893" t="s">
        <v>174</v>
      </c>
      <c r="CO1893" t="s">
        <v>86</v>
      </c>
      <c r="CR1893">
        <v>18</v>
      </c>
      <c r="CS1893">
        <v>0</v>
      </c>
      <c r="CT1893">
        <v>0</v>
      </c>
      <c r="CU1893">
        <v>0</v>
      </c>
    </row>
    <row r="1894" spans="1:99" x14ac:dyDescent="0.2">
      <c r="A1894" t="s">
        <v>367</v>
      </c>
      <c r="B1894" t="s">
        <v>440</v>
      </c>
      <c r="C1894" t="s">
        <v>441</v>
      </c>
      <c r="D1894" t="s">
        <v>990</v>
      </c>
      <c r="F1894" t="str">
        <f>"253403"</f>
        <v>253403</v>
      </c>
      <c r="G1894" t="s">
        <v>49</v>
      </c>
      <c r="H1894" t="s">
        <v>1000</v>
      </c>
      <c r="K1894" t="s">
        <v>51</v>
      </c>
      <c r="L1894" t="s">
        <v>52</v>
      </c>
      <c r="M1894">
        <v>134215.74</v>
      </c>
      <c r="N1894">
        <v>468920.44</v>
      </c>
      <c r="O1894" t="s">
        <v>53</v>
      </c>
      <c r="P1894" t="s">
        <v>54</v>
      </c>
      <c r="Q1894" t="s">
        <v>55</v>
      </c>
      <c r="S1894" t="s">
        <v>989</v>
      </c>
      <c r="T1894" t="s">
        <v>989</v>
      </c>
      <c r="U1894">
        <v>30</v>
      </c>
      <c r="V1894" s="1">
        <v>41821</v>
      </c>
      <c r="W1894" s="1">
        <v>41821</v>
      </c>
      <c r="X1894" s="1">
        <v>41821</v>
      </c>
      <c r="Y1894" s="1">
        <v>52779</v>
      </c>
      <c r="Z1894" t="s">
        <v>51</v>
      </c>
      <c r="AB1894" t="s">
        <v>54</v>
      </c>
      <c r="AC1894">
        <v>1</v>
      </c>
      <c r="AE1894" t="s">
        <v>171</v>
      </c>
      <c r="AF1894">
        <v>20</v>
      </c>
      <c r="AG1894" s="1">
        <v>41821</v>
      </c>
      <c r="AH1894" s="1">
        <v>41821</v>
      </c>
      <c r="AI1894" s="1">
        <v>41821</v>
      </c>
      <c r="AJ1894" s="1">
        <v>49126</v>
      </c>
      <c r="AK1894" t="s">
        <v>51</v>
      </c>
      <c r="AN1894">
        <v>0</v>
      </c>
      <c r="AO1894" t="s">
        <v>54</v>
      </c>
      <c r="AP1894" t="s">
        <v>53</v>
      </c>
      <c r="AQ1894">
        <v>0</v>
      </c>
      <c r="AR1894" t="s">
        <v>53</v>
      </c>
      <c r="AS1894">
        <v>0</v>
      </c>
      <c r="AT1894">
        <v>0</v>
      </c>
      <c r="CC1894" t="s">
        <v>850</v>
      </c>
      <c r="CD1894">
        <v>1</v>
      </c>
      <c r="CE1894" s="1">
        <v>41821</v>
      </c>
      <c r="CF1894" s="1">
        <v>41821</v>
      </c>
      <c r="CG1894" s="1">
        <v>41821</v>
      </c>
      <c r="CH1894" s="1">
        <v>48983</v>
      </c>
      <c r="CI1894" t="s">
        <v>51</v>
      </c>
      <c r="CK1894" t="s">
        <v>78</v>
      </c>
      <c r="CM1894" t="s">
        <v>54</v>
      </c>
      <c r="CN1894" t="s">
        <v>174</v>
      </c>
      <c r="CO1894" t="s">
        <v>86</v>
      </c>
      <c r="CR1894">
        <v>18</v>
      </c>
      <c r="CS1894">
        <v>0</v>
      </c>
      <c r="CT1894">
        <v>0</v>
      </c>
      <c r="CU1894">
        <v>0</v>
      </c>
    </row>
    <row r="1895" spans="1:99" x14ac:dyDescent="0.2">
      <c r="A1895" t="s">
        <v>367</v>
      </c>
      <c r="B1895" t="s">
        <v>440</v>
      </c>
      <c r="C1895" t="s">
        <v>441</v>
      </c>
      <c r="D1895" t="s">
        <v>990</v>
      </c>
      <c r="F1895" t="str">
        <f>"253404"</f>
        <v>253404</v>
      </c>
      <c r="G1895" t="s">
        <v>49</v>
      </c>
      <c r="H1895" t="s">
        <v>1001</v>
      </c>
      <c r="K1895" t="s">
        <v>51</v>
      </c>
      <c r="L1895" t="s">
        <v>52</v>
      </c>
      <c r="M1895">
        <v>134245.67000000001</v>
      </c>
      <c r="N1895">
        <v>468905.19</v>
      </c>
      <c r="O1895" t="s">
        <v>53</v>
      </c>
      <c r="P1895" t="s">
        <v>54</v>
      </c>
      <c r="Q1895" t="s">
        <v>55</v>
      </c>
      <c r="S1895" t="s">
        <v>989</v>
      </c>
      <c r="T1895" t="s">
        <v>989</v>
      </c>
      <c r="U1895">
        <v>30</v>
      </c>
      <c r="V1895" s="1">
        <v>41821</v>
      </c>
      <c r="W1895" s="1">
        <v>41821</v>
      </c>
      <c r="X1895" s="1">
        <v>41821</v>
      </c>
      <c r="Y1895" s="1">
        <v>52779</v>
      </c>
      <c r="Z1895" t="s">
        <v>51</v>
      </c>
      <c r="AB1895" t="s">
        <v>54</v>
      </c>
      <c r="AC1895">
        <v>1</v>
      </c>
      <c r="AE1895" t="s">
        <v>171</v>
      </c>
      <c r="AF1895">
        <v>20</v>
      </c>
      <c r="AG1895" s="1">
        <v>41821</v>
      </c>
      <c r="AH1895" s="1">
        <v>41821</v>
      </c>
      <c r="AI1895" s="1">
        <v>41821</v>
      </c>
      <c r="AJ1895" s="1">
        <v>49126</v>
      </c>
      <c r="AK1895" t="s">
        <v>51</v>
      </c>
      <c r="AN1895">
        <v>0</v>
      </c>
      <c r="AO1895" t="s">
        <v>54</v>
      </c>
      <c r="AP1895" t="s">
        <v>53</v>
      </c>
      <c r="AQ1895">
        <v>0</v>
      </c>
      <c r="AR1895" t="s">
        <v>53</v>
      </c>
      <c r="AS1895">
        <v>0</v>
      </c>
      <c r="AT1895">
        <v>0</v>
      </c>
      <c r="CC1895" t="s">
        <v>850</v>
      </c>
      <c r="CD1895">
        <v>1</v>
      </c>
      <c r="CE1895" s="1">
        <v>41821</v>
      </c>
      <c r="CF1895" s="1">
        <v>41821</v>
      </c>
      <c r="CG1895" s="1">
        <v>41821</v>
      </c>
      <c r="CH1895" s="1">
        <v>48983</v>
      </c>
      <c r="CI1895" t="s">
        <v>51</v>
      </c>
      <c r="CK1895" t="s">
        <v>78</v>
      </c>
      <c r="CM1895" t="s">
        <v>54</v>
      </c>
      <c r="CN1895" t="s">
        <v>174</v>
      </c>
      <c r="CO1895" t="s">
        <v>86</v>
      </c>
      <c r="CR1895">
        <v>18</v>
      </c>
      <c r="CS1895">
        <v>0</v>
      </c>
      <c r="CT1895">
        <v>0</v>
      </c>
      <c r="CU1895">
        <v>0</v>
      </c>
    </row>
    <row r="1896" spans="1:99" x14ac:dyDescent="0.2">
      <c r="A1896" t="s">
        <v>367</v>
      </c>
      <c r="B1896" t="s">
        <v>440</v>
      </c>
      <c r="C1896" t="s">
        <v>441</v>
      </c>
      <c r="D1896" t="s">
        <v>990</v>
      </c>
      <c r="F1896" t="str">
        <f>"253405"</f>
        <v>253405</v>
      </c>
      <c r="G1896" t="s">
        <v>49</v>
      </c>
      <c r="H1896" t="s">
        <v>1002</v>
      </c>
      <c r="K1896" t="s">
        <v>51</v>
      </c>
      <c r="L1896" t="s">
        <v>52</v>
      </c>
      <c r="M1896">
        <v>134245.17000000001</v>
      </c>
      <c r="N1896">
        <v>468877.39</v>
      </c>
      <c r="O1896" t="s">
        <v>53</v>
      </c>
      <c r="P1896" t="s">
        <v>54</v>
      </c>
      <c r="Q1896" t="s">
        <v>55</v>
      </c>
      <c r="S1896" t="s">
        <v>989</v>
      </c>
      <c r="T1896" t="s">
        <v>989</v>
      </c>
      <c r="U1896">
        <v>30</v>
      </c>
      <c r="V1896" s="1">
        <v>41821</v>
      </c>
      <c r="W1896" s="1">
        <v>41821</v>
      </c>
      <c r="X1896" s="1">
        <v>41821</v>
      </c>
      <c r="Y1896" s="1">
        <v>52779</v>
      </c>
      <c r="Z1896" t="s">
        <v>51</v>
      </c>
      <c r="AB1896" t="s">
        <v>54</v>
      </c>
      <c r="AC1896">
        <v>1</v>
      </c>
      <c r="AE1896" t="s">
        <v>171</v>
      </c>
      <c r="AF1896">
        <v>20</v>
      </c>
      <c r="AG1896" s="1">
        <v>41821</v>
      </c>
      <c r="AH1896" s="1">
        <v>41821</v>
      </c>
      <c r="AI1896" s="1">
        <v>41821</v>
      </c>
      <c r="AJ1896" s="1">
        <v>49126</v>
      </c>
      <c r="AK1896" t="s">
        <v>51</v>
      </c>
      <c r="AN1896">
        <v>0</v>
      </c>
      <c r="AO1896" t="s">
        <v>54</v>
      </c>
      <c r="AP1896" t="s">
        <v>53</v>
      </c>
      <c r="AQ1896">
        <v>0</v>
      </c>
      <c r="AR1896" t="s">
        <v>53</v>
      </c>
      <c r="AS1896">
        <v>0</v>
      </c>
      <c r="AT1896">
        <v>0</v>
      </c>
      <c r="CC1896" t="s">
        <v>850</v>
      </c>
      <c r="CD1896">
        <v>1</v>
      </c>
      <c r="CE1896" s="1">
        <v>41821</v>
      </c>
      <c r="CF1896" s="1">
        <v>41821</v>
      </c>
      <c r="CG1896" s="1">
        <v>41821</v>
      </c>
      <c r="CH1896" s="1">
        <v>48983</v>
      </c>
      <c r="CI1896" t="s">
        <v>51</v>
      </c>
      <c r="CK1896" t="s">
        <v>78</v>
      </c>
      <c r="CM1896" t="s">
        <v>54</v>
      </c>
      <c r="CN1896" t="s">
        <v>174</v>
      </c>
      <c r="CO1896" t="s">
        <v>86</v>
      </c>
      <c r="CR1896">
        <v>18</v>
      </c>
      <c r="CS1896">
        <v>0</v>
      </c>
      <c r="CT1896">
        <v>0</v>
      </c>
      <c r="CU1896">
        <v>0</v>
      </c>
    </row>
    <row r="1897" spans="1:99" x14ac:dyDescent="0.2">
      <c r="A1897" t="s">
        <v>367</v>
      </c>
      <c r="B1897" t="s">
        <v>440</v>
      </c>
      <c r="C1897" t="s">
        <v>441</v>
      </c>
      <c r="D1897" t="s">
        <v>987</v>
      </c>
      <c r="F1897" t="str">
        <f>"253406"</f>
        <v>253406</v>
      </c>
      <c r="G1897" t="s">
        <v>49</v>
      </c>
      <c r="H1897" t="s">
        <v>1003</v>
      </c>
      <c r="K1897" t="s">
        <v>51</v>
      </c>
      <c r="L1897" t="s">
        <v>52</v>
      </c>
      <c r="M1897">
        <v>134206.81</v>
      </c>
      <c r="N1897">
        <v>468872.97</v>
      </c>
      <c r="O1897" t="s">
        <v>53</v>
      </c>
      <c r="P1897" t="s">
        <v>54</v>
      </c>
      <c r="Q1897" t="s">
        <v>55</v>
      </c>
      <c r="S1897" t="s">
        <v>989</v>
      </c>
      <c r="T1897" t="s">
        <v>989</v>
      </c>
      <c r="U1897">
        <v>30</v>
      </c>
      <c r="V1897" s="1">
        <v>41821</v>
      </c>
      <c r="W1897" s="1">
        <v>41821</v>
      </c>
      <c r="X1897" s="1">
        <v>41821</v>
      </c>
      <c r="Y1897" s="1">
        <v>52779</v>
      </c>
      <c r="Z1897" t="s">
        <v>51</v>
      </c>
      <c r="AB1897" t="s">
        <v>54</v>
      </c>
      <c r="AC1897">
        <v>1</v>
      </c>
      <c r="AE1897" t="s">
        <v>171</v>
      </c>
      <c r="AF1897">
        <v>20</v>
      </c>
      <c r="AG1897" s="1">
        <v>41821</v>
      </c>
      <c r="AH1897" s="1">
        <v>41821</v>
      </c>
      <c r="AI1897" s="1">
        <v>41821</v>
      </c>
      <c r="AJ1897" s="1">
        <v>49126</v>
      </c>
      <c r="AK1897" t="s">
        <v>51</v>
      </c>
      <c r="AN1897">
        <v>0</v>
      </c>
      <c r="AO1897" t="s">
        <v>54</v>
      </c>
      <c r="AP1897" t="s">
        <v>53</v>
      </c>
      <c r="AQ1897">
        <v>0</v>
      </c>
      <c r="AR1897" t="s">
        <v>53</v>
      </c>
      <c r="AS1897">
        <v>0</v>
      </c>
      <c r="AT1897">
        <v>0</v>
      </c>
      <c r="CC1897" t="s">
        <v>850</v>
      </c>
      <c r="CD1897">
        <v>1</v>
      </c>
      <c r="CE1897" s="1">
        <v>41821</v>
      </c>
      <c r="CF1897" s="1">
        <v>41821</v>
      </c>
      <c r="CG1897" s="1">
        <v>41821</v>
      </c>
      <c r="CH1897" s="1">
        <v>48983</v>
      </c>
      <c r="CI1897" t="s">
        <v>51</v>
      </c>
      <c r="CK1897" t="s">
        <v>78</v>
      </c>
      <c r="CM1897" t="s">
        <v>54</v>
      </c>
      <c r="CN1897" t="s">
        <v>174</v>
      </c>
      <c r="CO1897" t="s">
        <v>86</v>
      </c>
      <c r="CR1897">
        <v>18</v>
      </c>
      <c r="CS1897">
        <v>0</v>
      </c>
      <c r="CT1897">
        <v>0</v>
      </c>
      <c r="CU1897">
        <v>0</v>
      </c>
    </row>
    <row r="1898" spans="1:99" x14ac:dyDescent="0.2">
      <c r="A1898" t="s">
        <v>367</v>
      </c>
      <c r="B1898" t="s">
        <v>440</v>
      </c>
      <c r="C1898" t="s">
        <v>441</v>
      </c>
      <c r="D1898" t="s">
        <v>987</v>
      </c>
      <c r="F1898" t="str">
        <f>"253407"</f>
        <v>253407</v>
      </c>
      <c r="G1898" t="s">
        <v>49</v>
      </c>
      <c r="H1898" t="s">
        <v>1004</v>
      </c>
      <c r="K1898" t="s">
        <v>51</v>
      </c>
      <c r="L1898" t="s">
        <v>52</v>
      </c>
      <c r="M1898">
        <v>134168.67000000001</v>
      </c>
      <c r="N1898">
        <v>468887.81</v>
      </c>
      <c r="O1898" t="s">
        <v>53</v>
      </c>
      <c r="P1898" t="s">
        <v>54</v>
      </c>
      <c r="Q1898" t="s">
        <v>55</v>
      </c>
      <c r="S1898" t="s">
        <v>989</v>
      </c>
      <c r="T1898" t="s">
        <v>989</v>
      </c>
      <c r="U1898">
        <v>30</v>
      </c>
      <c r="V1898" s="1">
        <v>41821</v>
      </c>
      <c r="W1898" s="1">
        <v>41821</v>
      </c>
      <c r="X1898" s="1">
        <v>41821</v>
      </c>
      <c r="Y1898" s="1">
        <v>52779</v>
      </c>
      <c r="Z1898" t="s">
        <v>51</v>
      </c>
      <c r="AB1898" t="s">
        <v>54</v>
      </c>
      <c r="AC1898">
        <v>1</v>
      </c>
      <c r="AE1898" t="s">
        <v>171</v>
      </c>
      <c r="AF1898">
        <v>20</v>
      </c>
      <c r="AG1898" s="1">
        <v>41821</v>
      </c>
      <c r="AH1898" s="1">
        <v>41821</v>
      </c>
      <c r="AI1898" s="1">
        <v>41821</v>
      </c>
      <c r="AJ1898" s="1">
        <v>49126</v>
      </c>
      <c r="AK1898" t="s">
        <v>51</v>
      </c>
      <c r="AN1898">
        <v>0</v>
      </c>
      <c r="AO1898" t="s">
        <v>54</v>
      </c>
      <c r="AP1898" t="s">
        <v>53</v>
      </c>
      <c r="AQ1898">
        <v>0</v>
      </c>
      <c r="AR1898" t="s">
        <v>53</v>
      </c>
      <c r="AS1898">
        <v>0</v>
      </c>
      <c r="AT1898">
        <v>0</v>
      </c>
      <c r="CC1898" t="s">
        <v>850</v>
      </c>
      <c r="CD1898">
        <v>1</v>
      </c>
      <c r="CE1898" s="1">
        <v>41821</v>
      </c>
      <c r="CF1898" s="1">
        <v>41821</v>
      </c>
      <c r="CG1898" s="1">
        <v>41821</v>
      </c>
      <c r="CH1898" s="1">
        <v>48983</v>
      </c>
      <c r="CI1898" t="s">
        <v>51</v>
      </c>
      <c r="CK1898" t="s">
        <v>78</v>
      </c>
      <c r="CM1898" t="s">
        <v>54</v>
      </c>
      <c r="CN1898" t="s">
        <v>174</v>
      </c>
      <c r="CO1898" t="s">
        <v>86</v>
      </c>
      <c r="CR1898">
        <v>18</v>
      </c>
      <c r="CS1898">
        <v>0</v>
      </c>
      <c r="CT1898">
        <v>0</v>
      </c>
      <c r="CU1898">
        <v>0</v>
      </c>
    </row>
    <row r="1899" spans="1:99" x14ac:dyDescent="0.2">
      <c r="A1899" t="s">
        <v>367</v>
      </c>
      <c r="B1899" t="s">
        <v>440</v>
      </c>
      <c r="C1899" t="s">
        <v>441</v>
      </c>
      <c r="D1899" t="s">
        <v>987</v>
      </c>
      <c r="F1899" t="str">
        <f>"253408"</f>
        <v>253408</v>
      </c>
      <c r="G1899" t="s">
        <v>49</v>
      </c>
      <c r="H1899" t="s">
        <v>1005</v>
      </c>
      <c r="K1899" t="s">
        <v>51</v>
      </c>
      <c r="L1899" t="s">
        <v>52</v>
      </c>
      <c r="M1899">
        <v>134141.10999999999</v>
      </c>
      <c r="N1899">
        <v>468904.54</v>
      </c>
      <c r="O1899" t="s">
        <v>53</v>
      </c>
      <c r="P1899" t="s">
        <v>54</v>
      </c>
      <c r="Q1899" t="s">
        <v>55</v>
      </c>
      <c r="S1899" t="s">
        <v>989</v>
      </c>
      <c r="T1899" t="s">
        <v>989</v>
      </c>
      <c r="U1899">
        <v>30</v>
      </c>
      <c r="V1899" s="1">
        <v>41821</v>
      </c>
      <c r="W1899" s="1">
        <v>41821</v>
      </c>
      <c r="X1899" s="1">
        <v>41821</v>
      </c>
      <c r="Y1899" s="1">
        <v>52779</v>
      </c>
      <c r="Z1899" t="s">
        <v>51</v>
      </c>
      <c r="AB1899" t="s">
        <v>54</v>
      </c>
      <c r="AC1899">
        <v>1</v>
      </c>
      <c r="AE1899" t="s">
        <v>171</v>
      </c>
      <c r="AF1899">
        <v>20</v>
      </c>
      <c r="AG1899" s="1">
        <v>41821</v>
      </c>
      <c r="AH1899" s="1">
        <v>41821</v>
      </c>
      <c r="AI1899" s="1">
        <v>41821</v>
      </c>
      <c r="AJ1899" s="1">
        <v>49126</v>
      </c>
      <c r="AK1899" t="s">
        <v>51</v>
      </c>
      <c r="AN1899">
        <v>0</v>
      </c>
      <c r="AO1899" t="s">
        <v>54</v>
      </c>
      <c r="AP1899" t="s">
        <v>53</v>
      </c>
      <c r="AQ1899">
        <v>0</v>
      </c>
      <c r="AR1899" t="s">
        <v>53</v>
      </c>
      <c r="AS1899">
        <v>0</v>
      </c>
      <c r="AT1899">
        <v>0</v>
      </c>
      <c r="CC1899" t="s">
        <v>850</v>
      </c>
      <c r="CD1899">
        <v>1</v>
      </c>
      <c r="CE1899" s="1">
        <v>41821</v>
      </c>
      <c r="CF1899" s="1">
        <v>41821</v>
      </c>
      <c r="CG1899" s="1">
        <v>41821</v>
      </c>
      <c r="CH1899" s="1">
        <v>48983</v>
      </c>
      <c r="CI1899" t="s">
        <v>51</v>
      </c>
      <c r="CK1899" t="s">
        <v>78</v>
      </c>
      <c r="CM1899" t="s">
        <v>54</v>
      </c>
      <c r="CN1899" t="s">
        <v>174</v>
      </c>
      <c r="CO1899" t="s">
        <v>86</v>
      </c>
      <c r="CR1899">
        <v>18</v>
      </c>
      <c r="CS1899">
        <v>0</v>
      </c>
      <c r="CT1899">
        <v>0</v>
      </c>
      <c r="CU1899">
        <v>0</v>
      </c>
    </row>
    <row r="1900" spans="1:99" x14ac:dyDescent="0.2">
      <c r="A1900" t="s">
        <v>367</v>
      </c>
      <c r="B1900" t="s">
        <v>440</v>
      </c>
      <c r="C1900" t="s">
        <v>441</v>
      </c>
      <c r="D1900" t="s">
        <v>987</v>
      </c>
      <c r="F1900" t="str">
        <f>"253409"</f>
        <v>253409</v>
      </c>
      <c r="G1900" t="s">
        <v>49</v>
      </c>
      <c r="H1900" t="s">
        <v>1006</v>
      </c>
      <c r="K1900" t="s">
        <v>51</v>
      </c>
      <c r="L1900" t="s">
        <v>52</v>
      </c>
      <c r="M1900">
        <v>134101.18</v>
      </c>
      <c r="N1900">
        <v>468911.93</v>
      </c>
      <c r="O1900" t="s">
        <v>53</v>
      </c>
      <c r="P1900" t="s">
        <v>54</v>
      </c>
      <c r="Q1900" t="s">
        <v>55</v>
      </c>
      <c r="S1900" t="s">
        <v>989</v>
      </c>
      <c r="T1900" t="s">
        <v>989</v>
      </c>
      <c r="U1900">
        <v>30</v>
      </c>
      <c r="V1900" s="1">
        <v>41821</v>
      </c>
      <c r="W1900" s="1">
        <v>41821</v>
      </c>
      <c r="X1900" s="1">
        <v>41821</v>
      </c>
      <c r="Y1900" s="1">
        <v>52779</v>
      </c>
      <c r="Z1900" t="s">
        <v>51</v>
      </c>
      <c r="AB1900" t="s">
        <v>54</v>
      </c>
      <c r="AC1900">
        <v>1</v>
      </c>
      <c r="AE1900" t="s">
        <v>171</v>
      </c>
      <c r="AF1900">
        <v>20</v>
      </c>
      <c r="AG1900" s="1">
        <v>41821</v>
      </c>
      <c r="AH1900" s="1">
        <v>41821</v>
      </c>
      <c r="AI1900" s="1">
        <v>41821</v>
      </c>
      <c r="AJ1900" s="1">
        <v>49126</v>
      </c>
      <c r="AK1900" t="s">
        <v>51</v>
      </c>
      <c r="AN1900">
        <v>0</v>
      </c>
      <c r="AO1900" t="s">
        <v>54</v>
      </c>
      <c r="AP1900" t="s">
        <v>53</v>
      </c>
      <c r="AQ1900">
        <v>0</v>
      </c>
      <c r="AR1900" t="s">
        <v>53</v>
      </c>
      <c r="AS1900">
        <v>0</v>
      </c>
      <c r="AT1900">
        <v>0</v>
      </c>
      <c r="CC1900" t="s">
        <v>850</v>
      </c>
      <c r="CD1900">
        <v>1</v>
      </c>
      <c r="CE1900" s="1">
        <v>44795</v>
      </c>
      <c r="CF1900" s="1">
        <v>44795</v>
      </c>
      <c r="CG1900" s="1">
        <v>44795</v>
      </c>
      <c r="CH1900" s="1">
        <v>51936</v>
      </c>
      <c r="CI1900" t="s">
        <v>51</v>
      </c>
      <c r="CK1900" t="s">
        <v>78</v>
      </c>
      <c r="CM1900" t="s">
        <v>54</v>
      </c>
      <c r="CN1900" t="s">
        <v>174</v>
      </c>
      <c r="CO1900" t="s">
        <v>86</v>
      </c>
      <c r="CR1900">
        <v>18</v>
      </c>
      <c r="CS1900">
        <v>0</v>
      </c>
      <c r="CT1900">
        <v>0</v>
      </c>
      <c r="CU1900">
        <v>0</v>
      </c>
    </row>
    <row r="1901" spans="1:99" x14ac:dyDescent="0.2">
      <c r="A1901" t="s">
        <v>367</v>
      </c>
      <c r="B1901" t="s">
        <v>440</v>
      </c>
      <c r="C1901" t="s">
        <v>441</v>
      </c>
      <c r="D1901" t="s">
        <v>987</v>
      </c>
      <c r="F1901" t="str">
        <f>"253410"</f>
        <v>253410</v>
      </c>
      <c r="G1901" t="s">
        <v>49</v>
      </c>
      <c r="H1901" t="s">
        <v>1007</v>
      </c>
      <c r="K1901" t="s">
        <v>51</v>
      </c>
      <c r="L1901" t="s">
        <v>52</v>
      </c>
      <c r="M1901">
        <v>134211.89000000001</v>
      </c>
      <c r="N1901">
        <v>468836.22</v>
      </c>
      <c r="O1901" t="s">
        <v>53</v>
      </c>
      <c r="P1901" t="s">
        <v>54</v>
      </c>
      <c r="Q1901" t="s">
        <v>55</v>
      </c>
      <c r="S1901" t="s">
        <v>989</v>
      </c>
      <c r="T1901" t="s">
        <v>989</v>
      </c>
      <c r="U1901">
        <v>30</v>
      </c>
      <c r="V1901" s="1">
        <v>41821</v>
      </c>
      <c r="W1901" s="1">
        <v>41821</v>
      </c>
      <c r="X1901" s="1">
        <v>41821</v>
      </c>
      <c r="Y1901" s="1">
        <v>52779</v>
      </c>
      <c r="Z1901" t="s">
        <v>51</v>
      </c>
      <c r="AB1901" t="s">
        <v>54</v>
      </c>
      <c r="AC1901">
        <v>1</v>
      </c>
      <c r="AE1901" t="s">
        <v>171</v>
      </c>
      <c r="AF1901">
        <v>20</v>
      </c>
      <c r="AG1901" s="1">
        <v>41821</v>
      </c>
      <c r="AH1901" s="1">
        <v>41821</v>
      </c>
      <c r="AI1901" s="1">
        <v>41821</v>
      </c>
      <c r="AJ1901" s="1">
        <v>49126</v>
      </c>
      <c r="AK1901" t="s">
        <v>51</v>
      </c>
      <c r="AN1901">
        <v>0</v>
      </c>
      <c r="AO1901" t="s">
        <v>54</v>
      </c>
      <c r="AP1901" t="s">
        <v>53</v>
      </c>
      <c r="AQ1901">
        <v>0</v>
      </c>
      <c r="AR1901" t="s">
        <v>53</v>
      </c>
      <c r="AS1901">
        <v>0</v>
      </c>
      <c r="AT1901">
        <v>0</v>
      </c>
      <c r="CC1901" t="s">
        <v>850</v>
      </c>
      <c r="CD1901">
        <v>1</v>
      </c>
      <c r="CE1901" s="1">
        <v>41821</v>
      </c>
      <c r="CF1901" s="1">
        <v>41821</v>
      </c>
      <c r="CG1901" s="1">
        <v>41821</v>
      </c>
      <c r="CH1901" s="1">
        <v>48983</v>
      </c>
      <c r="CI1901" t="s">
        <v>51</v>
      </c>
      <c r="CK1901" t="s">
        <v>78</v>
      </c>
      <c r="CM1901" t="s">
        <v>54</v>
      </c>
      <c r="CN1901" t="s">
        <v>174</v>
      </c>
      <c r="CO1901" t="s">
        <v>86</v>
      </c>
      <c r="CR1901">
        <v>18</v>
      </c>
      <c r="CS1901">
        <v>0</v>
      </c>
      <c r="CT1901">
        <v>0</v>
      </c>
      <c r="CU1901">
        <v>0</v>
      </c>
    </row>
    <row r="1902" spans="1:99" x14ac:dyDescent="0.2">
      <c r="A1902" t="s">
        <v>367</v>
      </c>
      <c r="B1902" t="s">
        <v>440</v>
      </c>
      <c r="C1902" t="s">
        <v>441</v>
      </c>
      <c r="D1902" t="s">
        <v>987</v>
      </c>
      <c r="F1902" t="str">
        <f>"253411"</f>
        <v>253411</v>
      </c>
      <c r="G1902" t="s">
        <v>49</v>
      </c>
      <c r="H1902" t="s">
        <v>1008</v>
      </c>
      <c r="K1902" t="s">
        <v>51</v>
      </c>
      <c r="L1902" t="s">
        <v>52</v>
      </c>
      <c r="M1902">
        <v>134201.89000000001</v>
      </c>
      <c r="N1902">
        <v>468813.64</v>
      </c>
      <c r="O1902" t="s">
        <v>53</v>
      </c>
      <c r="P1902" t="s">
        <v>54</v>
      </c>
      <c r="Q1902" t="s">
        <v>55</v>
      </c>
      <c r="S1902" t="s">
        <v>989</v>
      </c>
      <c r="T1902" t="s">
        <v>989</v>
      </c>
      <c r="U1902">
        <v>30</v>
      </c>
      <c r="V1902" s="1">
        <v>41821</v>
      </c>
      <c r="W1902" s="1">
        <v>41821</v>
      </c>
      <c r="X1902" s="1">
        <v>41821</v>
      </c>
      <c r="Y1902" s="1">
        <v>52779</v>
      </c>
      <c r="Z1902" t="s">
        <v>51</v>
      </c>
      <c r="AB1902" t="s">
        <v>54</v>
      </c>
      <c r="AC1902">
        <v>1</v>
      </c>
      <c r="AE1902" t="s">
        <v>171</v>
      </c>
      <c r="AF1902">
        <v>20</v>
      </c>
      <c r="AG1902" s="1">
        <v>41821</v>
      </c>
      <c r="AH1902" s="1">
        <v>41821</v>
      </c>
      <c r="AI1902" s="1">
        <v>41821</v>
      </c>
      <c r="AJ1902" s="1">
        <v>49126</v>
      </c>
      <c r="AK1902" t="s">
        <v>51</v>
      </c>
      <c r="AN1902">
        <v>0</v>
      </c>
      <c r="AO1902" t="s">
        <v>54</v>
      </c>
      <c r="AP1902" t="s">
        <v>53</v>
      </c>
      <c r="AQ1902">
        <v>0</v>
      </c>
      <c r="AR1902" t="s">
        <v>53</v>
      </c>
      <c r="AS1902">
        <v>0</v>
      </c>
      <c r="AT1902">
        <v>0</v>
      </c>
      <c r="CC1902" t="s">
        <v>850</v>
      </c>
      <c r="CD1902">
        <v>1</v>
      </c>
      <c r="CE1902" s="1">
        <v>41821</v>
      </c>
      <c r="CF1902" s="1">
        <v>41821</v>
      </c>
      <c r="CG1902" s="1">
        <v>41821</v>
      </c>
      <c r="CH1902" s="1">
        <v>48983</v>
      </c>
      <c r="CI1902" t="s">
        <v>51</v>
      </c>
      <c r="CK1902" t="s">
        <v>78</v>
      </c>
      <c r="CM1902" t="s">
        <v>54</v>
      </c>
      <c r="CN1902" t="s">
        <v>174</v>
      </c>
      <c r="CO1902" t="s">
        <v>86</v>
      </c>
      <c r="CR1902">
        <v>18</v>
      </c>
      <c r="CS1902">
        <v>0</v>
      </c>
      <c r="CT1902">
        <v>0</v>
      </c>
      <c r="CU1902">
        <v>0</v>
      </c>
    </row>
    <row r="1903" spans="1:99" x14ac:dyDescent="0.2">
      <c r="A1903" t="s">
        <v>367</v>
      </c>
      <c r="B1903" t="s">
        <v>440</v>
      </c>
      <c r="C1903" t="s">
        <v>441</v>
      </c>
      <c r="D1903" t="s">
        <v>806</v>
      </c>
      <c r="F1903" t="str">
        <f>"253412"</f>
        <v>253412</v>
      </c>
      <c r="G1903" t="s">
        <v>49</v>
      </c>
      <c r="H1903" t="s">
        <v>1009</v>
      </c>
      <c r="K1903" t="s">
        <v>51</v>
      </c>
      <c r="L1903" t="s">
        <v>52</v>
      </c>
      <c r="M1903">
        <v>134156.76999999999</v>
      </c>
      <c r="N1903">
        <v>468835.88</v>
      </c>
      <c r="O1903" t="s">
        <v>53</v>
      </c>
      <c r="P1903" t="s">
        <v>54</v>
      </c>
      <c r="Q1903" t="s">
        <v>55</v>
      </c>
      <c r="S1903" t="s">
        <v>989</v>
      </c>
      <c r="T1903" t="s">
        <v>989</v>
      </c>
      <c r="U1903">
        <v>30</v>
      </c>
      <c r="V1903" s="1">
        <v>41821</v>
      </c>
      <c r="W1903" s="1">
        <v>41821</v>
      </c>
      <c r="X1903" s="1">
        <v>41821</v>
      </c>
      <c r="Y1903" s="1">
        <v>52779</v>
      </c>
      <c r="Z1903" t="s">
        <v>51</v>
      </c>
      <c r="AB1903" t="s">
        <v>54</v>
      </c>
      <c r="AC1903">
        <v>1</v>
      </c>
      <c r="AE1903" t="s">
        <v>171</v>
      </c>
      <c r="AF1903">
        <v>20</v>
      </c>
      <c r="AG1903" s="1">
        <v>41821</v>
      </c>
      <c r="AH1903" s="1">
        <v>41821</v>
      </c>
      <c r="AI1903" s="1">
        <v>41821</v>
      </c>
      <c r="AJ1903" s="1">
        <v>49126</v>
      </c>
      <c r="AK1903" t="s">
        <v>51</v>
      </c>
      <c r="AN1903">
        <v>0</v>
      </c>
      <c r="AO1903" t="s">
        <v>54</v>
      </c>
      <c r="AP1903" t="s">
        <v>53</v>
      </c>
      <c r="AQ1903">
        <v>0</v>
      </c>
      <c r="AR1903" t="s">
        <v>53</v>
      </c>
      <c r="AS1903">
        <v>0</v>
      </c>
      <c r="AT1903">
        <v>0</v>
      </c>
      <c r="CC1903" t="s">
        <v>850</v>
      </c>
      <c r="CD1903">
        <v>1</v>
      </c>
      <c r="CE1903" s="1">
        <v>44480</v>
      </c>
      <c r="CF1903" s="1">
        <v>44480</v>
      </c>
      <c r="CG1903" s="1">
        <v>44480</v>
      </c>
      <c r="CH1903" s="1">
        <v>51628</v>
      </c>
      <c r="CI1903" t="s">
        <v>51</v>
      </c>
      <c r="CK1903" t="s">
        <v>78</v>
      </c>
      <c r="CM1903" t="s">
        <v>54</v>
      </c>
      <c r="CN1903" t="s">
        <v>174</v>
      </c>
      <c r="CO1903" t="s">
        <v>86</v>
      </c>
      <c r="CR1903">
        <v>18</v>
      </c>
      <c r="CS1903">
        <v>0</v>
      </c>
      <c r="CT1903">
        <v>0</v>
      </c>
      <c r="CU1903">
        <v>0</v>
      </c>
    </row>
    <row r="1904" spans="1:99" x14ac:dyDescent="0.2">
      <c r="A1904" t="s">
        <v>367</v>
      </c>
      <c r="B1904" t="s">
        <v>440</v>
      </c>
      <c r="C1904" t="s">
        <v>441</v>
      </c>
      <c r="D1904" t="s">
        <v>806</v>
      </c>
      <c r="F1904" t="str">
        <f>"253413"</f>
        <v>253413</v>
      </c>
      <c r="G1904" t="s">
        <v>49</v>
      </c>
      <c r="H1904" t="s">
        <v>1010</v>
      </c>
      <c r="K1904" t="s">
        <v>51</v>
      </c>
      <c r="L1904" t="s">
        <v>52</v>
      </c>
      <c r="M1904">
        <v>134171.17000000001</v>
      </c>
      <c r="N1904">
        <v>468855.88</v>
      </c>
      <c r="O1904" t="s">
        <v>53</v>
      </c>
      <c r="P1904" t="s">
        <v>54</v>
      </c>
      <c r="Q1904" t="s">
        <v>55</v>
      </c>
      <c r="S1904" t="s">
        <v>989</v>
      </c>
      <c r="T1904" t="s">
        <v>989</v>
      </c>
      <c r="U1904">
        <v>30</v>
      </c>
      <c r="V1904" s="1">
        <v>41821</v>
      </c>
      <c r="W1904" s="1">
        <v>41821</v>
      </c>
      <c r="X1904" s="1">
        <v>41821</v>
      </c>
      <c r="Y1904" s="1">
        <v>52779</v>
      </c>
      <c r="Z1904" t="s">
        <v>51</v>
      </c>
      <c r="AB1904" t="s">
        <v>54</v>
      </c>
      <c r="AC1904">
        <v>1</v>
      </c>
      <c r="AE1904" t="s">
        <v>171</v>
      </c>
      <c r="AF1904">
        <v>20</v>
      </c>
      <c r="AG1904" s="1">
        <v>41821</v>
      </c>
      <c r="AH1904" s="1">
        <v>41821</v>
      </c>
      <c r="AI1904" s="1">
        <v>41821</v>
      </c>
      <c r="AJ1904" s="1">
        <v>49126</v>
      </c>
      <c r="AK1904" t="s">
        <v>51</v>
      </c>
      <c r="AN1904">
        <v>0</v>
      </c>
      <c r="AO1904" t="s">
        <v>54</v>
      </c>
      <c r="AP1904" t="s">
        <v>53</v>
      </c>
      <c r="AQ1904">
        <v>0</v>
      </c>
      <c r="AR1904" t="s">
        <v>53</v>
      </c>
      <c r="AS1904">
        <v>0</v>
      </c>
      <c r="AT1904">
        <v>0</v>
      </c>
      <c r="CC1904" t="s">
        <v>850</v>
      </c>
      <c r="CD1904">
        <v>1</v>
      </c>
      <c r="CE1904" s="1">
        <v>41821</v>
      </c>
      <c r="CF1904" s="1">
        <v>41821</v>
      </c>
      <c r="CG1904" s="1">
        <v>41821</v>
      </c>
      <c r="CH1904" s="1">
        <v>48983</v>
      </c>
      <c r="CI1904" t="s">
        <v>51</v>
      </c>
      <c r="CK1904" t="s">
        <v>78</v>
      </c>
      <c r="CM1904" t="s">
        <v>54</v>
      </c>
      <c r="CN1904" t="s">
        <v>174</v>
      </c>
      <c r="CO1904" t="s">
        <v>86</v>
      </c>
      <c r="CR1904">
        <v>18</v>
      </c>
      <c r="CS1904">
        <v>0</v>
      </c>
      <c r="CT1904">
        <v>0</v>
      </c>
      <c r="CU1904">
        <v>0</v>
      </c>
    </row>
    <row r="1905" spans="1:99" x14ac:dyDescent="0.2">
      <c r="A1905" t="s">
        <v>367</v>
      </c>
      <c r="B1905" t="s">
        <v>440</v>
      </c>
      <c r="C1905" t="s">
        <v>441</v>
      </c>
      <c r="D1905" t="s">
        <v>806</v>
      </c>
      <c r="F1905" t="str">
        <f>"253414"</f>
        <v>253414</v>
      </c>
      <c r="G1905" t="s">
        <v>49</v>
      </c>
      <c r="H1905" t="s">
        <v>1011</v>
      </c>
      <c r="K1905" t="s">
        <v>51</v>
      </c>
      <c r="L1905" t="s">
        <v>52</v>
      </c>
      <c r="M1905">
        <v>134170.92000000001</v>
      </c>
      <c r="N1905">
        <v>468813.74</v>
      </c>
      <c r="O1905" t="s">
        <v>53</v>
      </c>
      <c r="P1905" t="s">
        <v>54</v>
      </c>
      <c r="Q1905" t="s">
        <v>55</v>
      </c>
      <c r="S1905" t="s">
        <v>989</v>
      </c>
      <c r="T1905" t="s">
        <v>989</v>
      </c>
      <c r="U1905">
        <v>30</v>
      </c>
      <c r="V1905" s="1">
        <v>41821</v>
      </c>
      <c r="W1905" s="1">
        <v>41821</v>
      </c>
      <c r="X1905" s="1">
        <v>41821</v>
      </c>
      <c r="Y1905" s="1">
        <v>52779</v>
      </c>
      <c r="Z1905" t="s">
        <v>51</v>
      </c>
      <c r="AB1905" t="s">
        <v>54</v>
      </c>
      <c r="AC1905">
        <v>1</v>
      </c>
      <c r="AE1905" t="s">
        <v>171</v>
      </c>
      <c r="AF1905">
        <v>20</v>
      </c>
      <c r="AG1905" s="1">
        <v>41821</v>
      </c>
      <c r="AH1905" s="1">
        <v>41821</v>
      </c>
      <c r="AI1905" s="1">
        <v>41821</v>
      </c>
      <c r="AJ1905" s="1">
        <v>49126</v>
      </c>
      <c r="AK1905" t="s">
        <v>51</v>
      </c>
      <c r="AN1905">
        <v>0</v>
      </c>
      <c r="AO1905" t="s">
        <v>54</v>
      </c>
      <c r="AP1905" t="s">
        <v>53</v>
      </c>
      <c r="AQ1905">
        <v>0</v>
      </c>
      <c r="AR1905" t="s">
        <v>53</v>
      </c>
      <c r="AS1905">
        <v>0</v>
      </c>
      <c r="AT1905">
        <v>0</v>
      </c>
      <c r="CC1905" t="s">
        <v>850</v>
      </c>
      <c r="CD1905">
        <v>1</v>
      </c>
      <c r="CE1905" s="1">
        <v>41821</v>
      </c>
      <c r="CF1905" s="1">
        <v>41821</v>
      </c>
      <c r="CG1905" s="1">
        <v>41821</v>
      </c>
      <c r="CH1905" s="1">
        <v>48983</v>
      </c>
      <c r="CI1905" t="s">
        <v>51</v>
      </c>
      <c r="CK1905" t="s">
        <v>78</v>
      </c>
      <c r="CM1905" t="s">
        <v>54</v>
      </c>
      <c r="CN1905" t="s">
        <v>174</v>
      </c>
      <c r="CO1905" t="s">
        <v>86</v>
      </c>
      <c r="CR1905">
        <v>18</v>
      </c>
      <c r="CS1905">
        <v>0</v>
      </c>
      <c r="CT1905">
        <v>0</v>
      </c>
      <c r="CU1905">
        <v>0</v>
      </c>
    </row>
    <row r="1906" spans="1:99" x14ac:dyDescent="0.2">
      <c r="A1906" t="s">
        <v>367</v>
      </c>
      <c r="B1906" t="s">
        <v>440</v>
      </c>
      <c r="C1906" t="s">
        <v>441</v>
      </c>
      <c r="D1906" t="s">
        <v>806</v>
      </c>
      <c r="F1906" t="str">
        <f>"253730"</f>
        <v>253730</v>
      </c>
      <c r="G1906" t="s">
        <v>49</v>
      </c>
      <c r="K1906" t="s">
        <v>51</v>
      </c>
      <c r="L1906" t="s">
        <v>52</v>
      </c>
      <c r="M1906">
        <v>137222.26999999999</v>
      </c>
      <c r="N1906">
        <v>468606.35</v>
      </c>
      <c r="O1906" t="s">
        <v>53</v>
      </c>
      <c r="P1906" t="s">
        <v>54</v>
      </c>
      <c r="Q1906" t="s">
        <v>55</v>
      </c>
      <c r="T1906" t="s">
        <v>431</v>
      </c>
      <c r="U1906">
        <v>40</v>
      </c>
      <c r="V1906" s="1">
        <v>25569</v>
      </c>
      <c r="W1906" s="1">
        <v>25569</v>
      </c>
      <c r="X1906" s="1">
        <v>25569</v>
      </c>
      <c r="Y1906" s="1">
        <v>40179</v>
      </c>
      <c r="Z1906" t="s">
        <v>51</v>
      </c>
      <c r="AB1906" t="s">
        <v>54</v>
      </c>
      <c r="AD1906" t="s">
        <v>809</v>
      </c>
      <c r="AE1906" t="s">
        <v>810</v>
      </c>
      <c r="AF1906">
        <v>20</v>
      </c>
      <c r="AG1906" s="1">
        <v>43282</v>
      </c>
      <c r="AH1906" s="1">
        <v>43282</v>
      </c>
      <c r="AI1906" s="1">
        <v>43282</v>
      </c>
      <c r="AK1906" t="s">
        <v>51</v>
      </c>
      <c r="AN1906">
        <v>0</v>
      </c>
      <c r="AO1906" t="s">
        <v>54</v>
      </c>
      <c r="AP1906" t="s">
        <v>53</v>
      </c>
      <c r="AQ1906">
        <v>0</v>
      </c>
      <c r="AR1906" t="s">
        <v>53</v>
      </c>
      <c r="AS1906">
        <v>0</v>
      </c>
      <c r="AT1906">
        <v>0</v>
      </c>
      <c r="CC1906" t="s">
        <v>669</v>
      </c>
      <c r="CD1906">
        <v>85000</v>
      </c>
      <c r="CE1906" s="1">
        <v>43282</v>
      </c>
      <c r="CF1906" s="1">
        <v>43282</v>
      </c>
      <c r="CG1906" s="1">
        <v>43282</v>
      </c>
      <c r="CI1906" t="s">
        <v>51</v>
      </c>
      <c r="CK1906" t="s">
        <v>78</v>
      </c>
      <c r="CM1906" t="s">
        <v>54</v>
      </c>
      <c r="CN1906" t="s">
        <v>174</v>
      </c>
      <c r="CO1906" t="s">
        <v>86</v>
      </c>
      <c r="CR1906">
        <v>50</v>
      </c>
      <c r="CS1906">
        <v>0</v>
      </c>
      <c r="CT1906">
        <v>0</v>
      </c>
      <c r="CU1906">
        <v>0</v>
      </c>
    </row>
    <row r="1907" spans="1:99" x14ac:dyDescent="0.2">
      <c r="A1907" t="s">
        <v>367</v>
      </c>
      <c r="B1907" t="s">
        <v>440</v>
      </c>
      <c r="C1907" t="s">
        <v>441</v>
      </c>
      <c r="D1907" t="s">
        <v>806</v>
      </c>
      <c r="F1907" t="str">
        <f>"253731"</f>
        <v>253731</v>
      </c>
      <c r="G1907" t="s">
        <v>49</v>
      </c>
      <c r="K1907" t="s">
        <v>51</v>
      </c>
      <c r="L1907" t="s">
        <v>52</v>
      </c>
      <c r="M1907">
        <v>137169.56</v>
      </c>
      <c r="N1907">
        <v>468633.12</v>
      </c>
      <c r="O1907" t="s">
        <v>53</v>
      </c>
      <c r="P1907" t="s">
        <v>54</v>
      </c>
      <c r="Q1907" t="s">
        <v>55</v>
      </c>
      <c r="T1907" t="s">
        <v>431</v>
      </c>
      <c r="U1907">
        <v>40</v>
      </c>
      <c r="V1907" s="1">
        <v>25569</v>
      </c>
      <c r="W1907" s="1">
        <v>25569</v>
      </c>
      <c r="X1907" s="1">
        <v>25569</v>
      </c>
      <c r="Y1907" s="1">
        <v>40179</v>
      </c>
      <c r="Z1907" t="s">
        <v>51</v>
      </c>
      <c r="AB1907" t="s">
        <v>54</v>
      </c>
      <c r="AD1907" t="s">
        <v>809</v>
      </c>
      <c r="AE1907" t="s">
        <v>810</v>
      </c>
      <c r="AF1907">
        <v>20</v>
      </c>
      <c r="AG1907" s="1">
        <v>43282</v>
      </c>
      <c r="AH1907" s="1">
        <v>43282</v>
      </c>
      <c r="AI1907" s="1">
        <v>43282</v>
      </c>
      <c r="AJ1907" s="1">
        <v>50587</v>
      </c>
      <c r="AK1907" t="s">
        <v>51</v>
      </c>
      <c r="AN1907">
        <v>0</v>
      </c>
      <c r="AO1907" t="s">
        <v>54</v>
      </c>
      <c r="AP1907" t="s">
        <v>53</v>
      </c>
      <c r="AQ1907">
        <v>0</v>
      </c>
      <c r="AR1907" t="s">
        <v>53</v>
      </c>
      <c r="AS1907">
        <v>0</v>
      </c>
      <c r="AT1907">
        <v>0</v>
      </c>
      <c r="CC1907" t="s">
        <v>669</v>
      </c>
      <c r="CD1907">
        <v>85000</v>
      </c>
      <c r="CE1907" s="1">
        <v>43282</v>
      </c>
      <c r="CF1907" s="1">
        <v>43282</v>
      </c>
      <c r="CG1907" s="1">
        <v>43282</v>
      </c>
      <c r="CH1907" s="1">
        <v>50444</v>
      </c>
      <c r="CI1907" t="s">
        <v>51</v>
      </c>
      <c r="CK1907" t="s">
        <v>78</v>
      </c>
      <c r="CM1907" t="s">
        <v>54</v>
      </c>
      <c r="CN1907" t="s">
        <v>174</v>
      </c>
      <c r="CO1907" t="s">
        <v>86</v>
      </c>
      <c r="CR1907">
        <v>50</v>
      </c>
      <c r="CS1907">
        <v>0</v>
      </c>
      <c r="CT1907">
        <v>0</v>
      </c>
      <c r="CU1907">
        <v>0</v>
      </c>
    </row>
    <row r="1908" spans="1:99" x14ac:dyDescent="0.2">
      <c r="A1908" t="s">
        <v>367</v>
      </c>
      <c r="B1908" t="s">
        <v>440</v>
      </c>
      <c r="C1908" t="s">
        <v>441</v>
      </c>
      <c r="D1908" t="s">
        <v>806</v>
      </c>
      <c r="F1908" t="str">
        <f>"253732"</f>
        <v>253732</v>
      </c>
      <c r="G1908" t="s">
        <v>49</v>
      </c>
      <c r="K1908" t="s">
        <v>51</v>
      </c>
      <c r="L1908" t="s">
        <v>52</v>
      </c>
      <c r="M1908">
        <v>137116.6</v>
      </c>
      <c r="N1908">
        <v>468659.91</v>
      </c>
      <c r="O1908" t="s">
        <v>53</v>
      </c>
      <c r="P1908" t="s">
        <v>54</v>
      </c>
      <c r="Q1908" t="s">
        <v>55</v>
      </c>
      <c r="T1908" t="s">
        <v>431</v>
      </c>
      <c r="U1908">
        <v>40</v>
      </c>
      <c r="V1908" s="1">
        <v>25569</v>
      </c>
      <c r="W1908" s="1">
        <v>25569</v>
      </c>
      <c r="X1908" s="1">
        <v>25569</v>
      </c>
      <c r="Y1908" s="1">
        <v>40179</v>
      </c>
      <c r="Z1908" t="s">
        <v>51</v>
      </c>
      <c r="AB1908" t="s">
        <v>54</v>
      </c>
      <c r="AD1908" t="s">
        <v>809</v>
      </c>
      <c r="AE1908" t="s">
        <v>810</v>
      </c>
      <c r="AF1908">
        <v>20</v>
      </c>
      <c r="AG1908" s="1">
        <v>43282</v>
      </c>
      <c r="AH1908" s="1">
        <v>43282</v>
      </c>
      <c r="AI1908" s="1">
        <v>43282</v>
      </c>
      <c r="AK1908" t="s">
        <v>51</v>
      </c>
      <c r="AN1908">
        <v>0</v>
      </c>
      <c r="AO1908" t="s">
        <v>54</v>
      </c>
      <c r="AP1908" t="s">
        <v>53</v>
      </c>
      <c r="AQ1908">
        <v>0</v>
      </c>
      <c r="AR1908" t="s">
        <v>53</v>
      </c>
      <c r="AS1908">
        <v>0</v>
      </c>
      <c r="AT1908">
        <v>0</v>
      </c>
      <c r="CC1908" t="s">
        <v>669</v>
      </c>
      <c r="CD1908">
        <v>85000</v>
      </c>
      <c r="CE1908" s="1">
        <v>43282</v>
      </c>
      <c r="CF1908" s="1">
        <v>43282</v>
      </c>
      <c r="CG1908" s="1">
        <v>43282</v>
      </c>
      <c r="CI1908" t="s">
        <v>51</v>
      </c>
      <c r="CK1908" t="s">
        <v>78</v>
      </c>
      <c r="CM1908" t="s">
        <v>54</v>
      </c>
      <c r="CN1908" t="s">
        <v>174</v>
      </c>
      <c r="CO1908" t="s">
        <v>86</v>
      </c>
      <c r="CR1908">
        <v>50</v>
      </c>
      <c r="CS1908">
        <v>0</v>
      </c>
      <c r="CT1908">
        <v>0</v>
      </c>
      <c r="CU1908">
        <v>0</v>
      </c>
    </row>
    <row r="1909" spans="1:99" x14ac:dyDescent="0.2">
      <c r="A1909" t="s">
        <v>367</v>
      </c>
      <c r="B1909" t="s">
        <v>440</v>
      </c>
      <c r="C1909" t="s">
        <v>441</v>
      </c>
      <c r="D1909" t="s">
        <v>806</v>
      </c>
      <c r="F1909" t="str">
        <f>"253733"</f>
        <v>253733</v>
      </c>
      <c r="G1909" t="s">
        <v>49</v>
      </c>
      <c r="K1909" t="s">
        <v>51</v>
      </c>
      <c r="L1909" t="s">
        <v>52</v>
      </c>
      <c r="M1909">
        <v>137062.48000000001</v>
      </c>
      <c r="N1909">
        <v>468683.23</v>
      </c>
      <c r="O1909" t="s">
        <v>53</v>
      </c>
      <c r="P1909" t="s">
        <v>54</v>
      </c>
      <c r="Q1909" t="s">
        <v>55</v>
      </c>
      <c r="T1909" t="s">
        <v>431</v>
      </c>
      <c r="U1909">
        <v>40</v>
      </c>
      <c r="V1909" s="1">
        <v>25569</v>
      </c>
      <c r="W1909" s="1">
        <v>25569</v>
      </c>
      <c r="X1909" s="1">
        <v>25569</v>
      </c>
      <c r="Y1909" s="1">
        <v>40179</v>
      </c>
      <c r="Z1909" t="s">
        <v>51</v>
      </c>
      <c r="AB1909" t="s">
        <v>54</v>
      </c>
      <c r="AD1909" t="s">
        <v>809</v>
      </c>
      <c r="AE1909" t="s">
        <v>810</v>
      </c>
      <c r="AF1909">
        <v>20</v>
      </c>
      <c r="AG1909" s="1">
        <v>43282</v>
      </c>
      <c r="AH1909" s="1">
        <v>43282</v>
      </c>
      <c r="AI1909" s="1">
        <v>43282</v>
      </c>
      <c r="AK1909" t="s">
        <v>51</v>
      </c>
      <c r="AN1909">
        <v>0</v>
      </c>
      <c r="AO1909" t="s">
        <v>54</v>
      </c>
      <c r="AP1909" t="s">
        <v>53</v>
      </c>
      <c r="AQ1909">
        <v>0</v>
      </c>
      <c r="AR1909" t="s">
        <v>53</v>
      </c>
      <c r="AS1909">
        <v>0</v>
      </c>
      <c r="AT1909">
        <v>0</v>
      </c>
      <c r="CC1909" t="s">
        <v>669</v>
      </c>
      <c r="CD1909">
        <v>85000</v>
      </c>
      <c r="CE1909" s="1">
        <v>43282</v>
      </c>
      <c r="CF1909" s="1">
        <v>43282</v>
      </c>
      <c r="CG1909" s="1">
        <v>43282</v>
      </c>
      <c r="CI1909" t="s">
        <v>51</v>
      </c>
      <c r="CK1909" t="s">
        <v>78</v>
      </c>
      <c r="CM1909" t="s">
        <v>54</v>
      </c>
      <c r="CN1909" t="s">
        <v>174</v>
      </c>
      <c r="CO1909" t="s">
        <v>86</v>
      </c>
      <c r="CR1909">
        <v>50</v>
      </c>
      <c r="CS1909">
        <v>0</v>
      </c>
      <c r="CT1909">
        <v>0</v>
      </c>
      <c r="CU1909">
        <v>0</v>
      </c>
    </row>
    <row r="1910" spans="1:99" x14ac:dyDescent="0.2">
      <c r="A1910" t="s">
        <v>367</v>
      </c>
      <c r="B1910" t="s">
        <v>440</v>
      </c>
      <c r="C1910" t="s">
        <v>441</v>
      </c>
      <c r="D1910" t="s">
        <v>806</v>
      </c>
      <c r="F1910" t="str">
        <f>"253734"</f>
        <v>253734</v>
      </c>
      <c r="G1910" t="s">
        <v>49</v>
      </c>
      <c r="K1910" t="s">
        <v>51</v>
      </c>
      <c r="L1910" t="s">
        <v>52</v>
      </c>
      <c r="M1910">
        <v>137008.43</v>
      </c>
      <c r="N1910">
        <v>468707.71</v>
      </c>
      <c r="O1910" t="s">
        <v>53</v>
      </c>
      <c r="P1910" t="s">
        <v>54</v>
      </c>
      <c r="Q1910" t="s">
        <v>55</v>
      </c>
      <c r="T1910" t="s">
        <v>431</v>
      </c>
      <c r="U1910">
        <v>40</v>
      </c>
      <c r="V1910" s="1">
        <v>25569</v>
      </c>
      <c r="W1910" s="1">
        <v>25569</v>
      </c>
      <c r="X1910" s="1">
        <v>25569</v>
      </c>
      <c r="Y1910" s="1">
        <v>40179</v>
      </c>
      <c r="Z1910" t="s">
        <v>51</v>
      </c>
      <c r="AB1910" t="s">
        <v>54</v>
      </c>
      <c r="AD1910" t="s">
        <v>809</v>
      </c>
      <c r="AE1910" t="s">
        <v>810</v>
      </c>
      <c r="AF1910">
        <v>20</v>
      </c>
      <c r="AG1910" s="1">
        <v>43282</v>
      </c>
      <c r="AH1910" s="1">
        <v>43282</v>
      </c>
      <c r="AI1910" s="1">
        <v>43282</v>
      </c>
      <c r="AK1910" t="s">
        <v>51</v>
      </c>
      <c r="AN1910">
        <v>0</v>
      </c>
      <c r="AO1910" t="s">
        <v>54</v>
      </c>
      <c r="AP1910" t="s">
        <v>53</v>
      </c>
      <c r="AQ1910">
        <v>0</v>
      </c>
      <c r="AR1910" t="s">
        <v>53</v>
      </c>
      <c r="AS1910">
        <v>0</v>
      </c>
      <c r="AT1910">
        <v>0</v>
      </c>
      <c r="CC1910" t="s">
        <v>669</v>
      </c>
      <c r="CD1910">
        <v>85000</v>
      </c>
      <c r="CE1910" s="1">
        <v>43282</v>
      </c>
      <c r="CF1910" s="1">
        <v>43282</v>
      </c>
      <c r="CG1910" s="1">
        <v>43282</v>
      </c>
      <c r="CI1910" t="s">
        <v>51</v>
      </c>
      <c r="CK1910" t="s">
        <v>78</v>
      </c>
      <c r="CM1910" t="s">
        <v>54</v>
      </c>
      <c r="CN1910" t="s">
        <v>174</v>
      </c>
      <c r="CO1910" t="s">
        <v>86</v>
      </c>
      <c r="CR1910">
        <v>50</v>
      </c>
      <c r="CS1910">
        <v>0</v>
      </c>
      <c r="CT1910">
        <v>0</v>
      </c>
      <c r="CU1910">
        <v>0</v>
      </c>
    </row>
    <row r="1911" spans="1:99" x14ac:dyDescent="0.2">
      <c r="A1911" t="s">
        <v>367</v>
      </c>
      <c r="B1911" t="s">
        <v>440</v>
      </c>
      <c r="C1911" t="s">
        <v>441</v>
      </c>
      <c r="D1911" t="s">
        <v>806</v>
      </c>
      <c r="F1911" t="str">
        <f>"253735"</f>
        <v>253735</v>
      </c>
      <c r="G1911" t="s">
        <v>49</v>
      </c>
      <c r="K1911" t="s">
        <v>51</v>
      </c>
      <c r="L1911" t="s">
        <v>52</v>
      </c>
      <c r="M1911">
        <v>136717.46</v>
      </c>
      <c r="N1911">
        <v>468777.14</v>
      </c>
      <c r="O1911" t="s">
        <v>53</v>
      </c>
      <c r="P1911" t="s">
        <v>54</v>
      </c>
      <c r="Q1911" t="s">
        <v>55</v>
      </c>
      <c r="T1911" t="s">
        <v>431</v>
      </c>
      <c r="U1911">
        <v>40</v>
      </c>
      <c r="V1911" s="1">
        <v>25569</v>
      </c>
      <c r="W1911" s="1">
        <v>25569</v>
      </c>
      <c r="X1911" s="1">
        <v>25569</v>
      </c>
      <c r="Y1911" s="1">
        <v>40179</v>
      </c>
      <c r="Z1911" t="s">
        <v>51</v>
      </c>
      <c r="AB1911" t="s">
        <v>54</v>
      </c>
      <c r="AD1911" t="s">
        <v>809</v>
      </c>
      <c r="AE1911" t="s">
        <v>810</v>
      </c>
      <c r="AF1911">
        <v>20</v>
      </c>
      <c r="AG1911" s="1">
        <v>43282</v>
      </c>
      <c r="AH1911" s="1">
        <v>43282</v>
      </c>
      <c r="AI1911" s="1">
        <v>43282</v>
      </c>
      <c r="AK1911" t="s">
        <v>51</v>
      </c>
      <c r="AN1911">
        <v>0</v>
      </c>
      <c r="AO1911" t="s">
        <v>54</v>
      </c>
      <c r="AP1911" t="s">
        <v>53</v>
      </c>
      <c r="AQ1911">
        <v>0</v>
      </c>
      <c r="AR1911" t="s">
        <v>53</v>
      </c>
      <c r="AS1911">
        <v>0</v>
      </c>
      <c r="AT1911">
        <v>0</v>
      </c>
      <c r="CC1911" t="s">
        <v>669</v>
      </c>
      <c r="CD1911">
        <v>85000</v>
      </c>
      <c r="CE1911" s="1">
        <v>43282</v>
      </c>
      <c r="CF1911" s="1">
        <v>43282</v>
      </c>
      <c r="CG1911" s="1">
        <v>43282</v>
      </c>
      <c r="CI1911" t="s">
        <v>51</v>
      </c>
      <c r="CK1911" t="s">
        <v>78</v>
      </c>
      <c r="CM1911" t="s">
        <v>54</v>
      </c>
      <c r="CN1911" t="s">
        <v>174</v>
      </c>
      <c r="CO1911" t="s">
        <v>86</v>
      </c>
      <c r="CR1911">
        <v>50</v>
      </c>
      <c r="CS1911">
        <v>0</v>
      </c>
      <c r="CT1911">
        <v>0</v>
      </c>
      <c r="CU1911">
        <v>0</v>
      </c>
    </row>
    <row r="1912" spans="1:99" x14ac:dyDescent="0.2">
      <c r="A1912" t="s">
        <v>367</v>
      </c>
      <c r="B1912" t="s">
        <v>440</v>
      </c>
      <c r="C1912" t="s">
        <v>441</v>
      </c>
      <c r="D1912" t="s">
        <v>806</v>
      </c>
      <c r="F1912" t="str">
        <f>"253736"</f>
        <v>253736</v>
      </c>
      <c r="G1912" t="s">
        <v>49</v>
      </c>
      <c r="K1912" t="s">
        <v>51</v>
      </c>
      <c r="L1912" t="s">
        <v>52</v>
      </c>
      <c r="M1912">
        <v>136655.74</v>
      </c>
      <c r="N1912">
        <v>468776.17</v>
      </c>
      <c r="O1912" t="s">
        <v>53</v>
      </c>
      <c r="P1912" t="s">
        <v>54</v>
      </c>
      <c r="Q1912" t="s">
        <v>55</v>
      </c>
      <c r="T1912" t="s">
        <v>431</v>
      </c>
      <c r="U1912">
        <v>40</v>
      </c>
      <c r="V1912" s="1">
        <v>25569</v>
      </c>
      <c r="W1912" s="1">
        <v>25569</v>
      </c>
      <c r="X1912" s="1">
        <v>25569</v>
      </c>
      <c r="Y1912" s="1">
        <v>40179</v>
      </c>
      <c r="Z1912" t="s">
        <v>51</v>
      </c>
      <c r="AB1912" t="s">
        <v>54</v>
      </c>
      <c r="AD1912" t="s">
        <v>809</v>
      </c>
      <c r="AE1912" t="s">
        <v>810</v>
      </c>
      <c r="AF1912">
        <v>20</v>
      </c>
      <c r="AG1912" s="1">
        <v>43282</v>
      </c>
      <c r="AH1912" s="1">
        <v>43282</v>
      </c>
      <c r="AI1912" s="1">
        <v>43282</v>
      </c>
      <c r="AK1912" t="s">
        <v>51</v>
      </c>
      <c r="AN1912">
        <v>0</v>
      </c>
      <c r="AO1912" t="s">
        <v>54</v>
      </c>
      <c r="AP1912" t="s">
        <v>53</v>
      </c>
      <c r="AQ1912">
        <v>0</v>
      </c>
      <c r="AR1912" t="s">
        <v>53</v>
      </c>
      <c r="AS1912">
        <v>0</v>
      </c>
      <c r="AT1912">
        <v>0</v>
      </c>
      <c r="CC1912" t="s">
        <v>669</v>
      </c>
      <c r="CD1912">
        <v>85000</v>
      </c>
      <c r="CE1912" s="1">
        <v>43282</v>
      </c>
      <c r="CF1912" s="1">
        <v>43282</v>
      </c>
      <c r="CG1912" s="1">
        <v>43282</v>
      </c>
      <c r="CI1912" t="s">
        <v>51</v>
      </c>
      <c r="CK1912" t="s">
        <v>78</v>
      </c>
      <c r="CM1912" t="s">
        <v>54</v>
      </c>
      <c r="CN1912" t="s">
        <v>174</v>
      </c>
      <c r="CO1912" t="s">
        <v>86</v>
      </c>
      <c r="CR1912">
        <v>50</v>
      </c>
      <c r="CS1912">
        <v>0</v>
      </c>
      <c r="CT1912">
        <v>0</v>
      </c>
      <c r="CU1912">
        <v>0</v>
      </c>
    </row>
    <row r="1913" spans="1:99" x14ac:dyDescent="0.2">
      <c r="A1913" t="s">
        <v>367</v>
      </c>
      <c r="B1913" t="s">
        <v>440</v>
      </c>
      <c r="C1913" t="s">
        <v>441</v>
      </c>
      <c r="D1913" t="s">
        <v>806</v>
      </c>
      <c r="F1913" t="str">
        <f>"253737"</f>
        <v>253737</v>
      </c>
      <c r="G1913" t="s">
        <v>49</v>
      </c>
      <c r="K1913" t="s">
        <v>51</v>
      </c>
      <c r="L1913" t="s">
        <v>52</v>
      </c>
      <c r="M1913">
        <v>136595.26999999999</v>
      </c>
      <c r="N1913">
        <v>468776.77</v>
      </c>
      <c r="O1913" t="s">
        <v>53</v>
      </c>
      <c r="P1913" t="s">
        <v>54</v>
      </c>
      <c r="Q1913" t="s">
        <v>55</v>
      </c>
      <c r="T1913" t="s">
        <v>431</v>
      </c>
      <c r="U1913">
        <v>40</v>
      </c>
      <c r="V1913" s="1">
        <v>25569</v>
      </c>
      <c r="W1913" s="1">
        <v>25569</v>
      </c>
      <c r="X1913" s="1">
        <v>25569</v>
      </c>
      <c r="Y1913" s="1">
        <v>40179</v>
      </c>
      <c r="Z1913" t="s">
        <v>51</v>
      </c>
      <c r="AB1913" t="s">
        <v>54</v>
      </c>
      <c r="AD1913" t="s">
        <v>809</v>
      </c>
      <c r="AE1913" t="s">
        <v>810</v>
      </c>
      <c r="AF1913">
        <v>20</v>
      </c>
      <c r="AG1913" s="1">
        <v>43282</v>
      </c>
      <c r="AH1913" s="1">
        <v>43282</v>
      </c>
      <c r="AI1913" s="1">
        <v>43282</v>
      </c>
      <c r="AK1913" t="s">
        <v>51</v>
      </c>
      <c r="AN1913">
        <v>0</v>
      </c>
      <c r="AO1913" t="s">
        <v>54</v>
      </c>
      <c r="AP1913" t="s">
        <v>53</v>
      </c>
      <c r="AQ1913">
        <v>0</v>
      </c>
      <c r="AR1913" t="s">
        <v>53</v>
      </c>
      <c r="AS1913">
        <v>0</v>
      </c>
      <c r="AT1913">
        <v>0</v>
      </c>
      <c r="CC1913" t="s">
        <v>669</v>
      </c>
      <c r="CD1913">
        <v>85000</v>
      </c>
      <c r="CE1913" s="1">
        <v>43282</v>
      </c>
      <c r="CF1913" s="1">
        <v>43282</v>
      </c>
      <c r="CG1913" s="1">
        <v>43282</v>
      </c>
      <c r="CI1913" t="s">
        <v>51</v>
      </c>
      <c r="CK1913" t="s">
        <v>78</v>
      </c>
      <c r="CM1913" t="s">
        <v>54</v>
      </c>
      <c r="CN1913" t="s">
        <v>174</v>
      </c>
      <c r="CO1913" t="s">
        <v>86</v>
      </c>
      <c r="CR1913">
        <v>50</v>
      </c>
      <c r="CS1913">
        <v>0</v>
      </c>
      <c r="CT1913">
        <v>0</v>
      </c>
      <c r="CU1913">
        <v>0</v>
      </c>
    </row>
    <row r="1914" spans="1:99" x14ac:dyDescent="0.2">
      <c r="A1914" t="s">
        <v>367</v>
      </c>
      <c r="B1914" t="s">
        <v>440</v>
      </c>
      <c r="C1914" t="s">
        <v>441</v>
      </c>
      <c r="D1914" t="s">
        <v>806</v>
      </c>
      <c r="F1914" t="str">
        <f>"253738"</f>
        <v>253738</v>
      </c>
      <c r="G1914" t="s">
        <v>49</v>
      </c>
      <c r="K1914" t="s">
        <v>51</v>
      </c>
      <c r="L1914" t="s">
        <v>52</v>
      </c>
      <c r="M1914">
        <v>136535.76999999999</v>
      </c>
      <c r="N1914">
        <v>468778.09</v>
      </c>
      <c r="O1914" t="s">
        <v>53</v>
      </c>
      <c r="P1914" t="s">
        <v>54</v>
      </c>
      <c r="Q1914" t="s">
        <v>55</v>
      </c>
      <c r="T1914" t="s">
        <v>431</v>
      </c>
      <c r="U1914">
        <v>40</v>
      </c>
      <c r="V1914" s="1">
        <v>25569</v>
      </c>
      <c r="W1914" s="1">
        <v>25569</v>
      </c>
      <c r="X1914" s="1">
        <v>25569</v>
      </c>
      <c r="Y1914" s="1">
        <v>40179</v>
      </c>
      <c r="Z1914" t="s">
        <v>51</v>
      </c>
      <c r="AB1914" t="s">
        <v>54</v>
      </c>
      <c r="AD1914" t="s">
        <v>809</v>
      </c>
      <c r="AE1914" t="s">
        <v>810</v>
      </c>
      <c r="AF1914">
        <v>20</v>
      </c>
      <c r="AG1914" s="1">
        <v>43282</v>
      </c>
      <c r="AH1914" s="1">
        <v>43282</v>
      </c>
      <c r="AI1914" s="1">
        <v>43282</v>
      </c>
      <c r="AK1914" t="s">
        <v>51</v>
      </c>
      <c r="AN1914">
        <v>0</v>
      </c>
      <c r="AO1914" t="s">
        <v>54</v>
      </c>
      <c r="AP1914" t="s">
        <v>53</v>
      </c>
      <c r="AQ1914">
        <v>0</v>
      </c>
      <c r="AR1914" t="s">
        <v>53</v>
      </c>
      <c r="AS1914">
        <v>0</v>
      </c>
      <c r="AT1914">
        <v>0</v>
      </c>
      <c r="CC1914" t="s">
        <v>669</v>
      </c>
      <c r="CD1914">
        <v>85000</v>
      </c>
      <c r="CE1914" s="1">
        <v>43282</v>
      </c>
      <c r="CF1914" s="1">
        <v>43282</v>
      </c>
      <c r="CG1914" s="1">
        <v>43282</v>
      </c>
      <c r="CI1914" t="s">
        <v>51</v>
      </c>
      <c r="CK1914" t="s">
        <v>78</v>
      </c>
      <c r="CM1914" t="s">
        <v>54</v>
      </c>
      <c r="CN1914" t="s">
        <v>174</v>
      </c>
      <c r="CO1914" t="s">
        <v>86</v>
      </c>
      <c r="CR1914">
        <v>50</v>
      </c>
      <c r="CS1914">
        <v>0</v>
      </c>
      <c r="CT1914">
        <v>0</v>
      </c>
      <c r="CU1914">
        <v>0</v>
      </c>
    </row>
    <row r="1915" spans="1:99" x14ac:dyDescent="0.2">
      <c r="A1915" t="s">
        <v>367</v>
      </c>
      <c r="B1915" t="s">
        <v>440</v>
      </c>
      <c r="C1915" t="s">
        <v>441</v>
      </c>
      <c r="D1915" t="s">
        <v>806</v>
      </c>
      <c r="F1915" t="str">
        <f>"253739"</f>
        <v>253739</v>
      </c>
      <c r="G1915" t="s">
        <v>49</v>
      </c>
      <c r="K1915" t="s">
        <v>51</v>
      </c>
      <c r="L1915" t="s">
        <v>52</v>
      </c>
      <c r="M1915">
        <v>136469.03</v>
      </c>
      <c r="N1915">
        <v>468780.26</v>
      </c>
      <c r="O1915" t="s">
        <v>53</v>
      </c>
      <c r="P1915" t="s">
        <v>54</v>
      </c>
      <c r="Q1915" t="s">
        <v>55</v>
      </c>
      <c r="T1915" t="s">
        <v>431</v>
      </c>
      <c r="U1915">
        <v>40</v>
      </c>
      <c r="V1915" s="1">
        <v>25569</v>
      </c>
      <c r="W1915" s="1">
        <v>25569</v>
      </c>
      <c r="X1915" s="1">
        <v>25569</v>
      </c>
      <c r="Y1915" s="1">
        <v>40179</v>
      </c>
      <c r="Z1915" t="s">
        <v>51</v>
      </c>
      <c r="AB1915" t="s">
        <v>54</v>
      </c>
      <c r="AD1915" t="s">
        <v>809</v>
      </c>
      <c r="AE1915" t="s">
        <v>810</v>
      </c>
      <c r="AF1915">
        <v>20</v>
      </c>
      <c r="AG1915" s="1">
        <v>43282</v>
      </c>
      <c r="AH1915" s="1">
        <v>43282</v>
      </c>
      <c r="AI1915" s="1">
        <v>43282</v>
      </c>
      <c r="AK1915" t="s">
        <v>51</v>
      </c>
      <c r="AN1915">
        <v>0</v>
      </c>
      <c r="AO1915" t="s">
        <v>54</v>
      </c>
      <c r="AP1915" t="s">
        <v>53</v>
      </c>
      <c r="AQ1915">
        <v>0</v>
      </c>
      <c r="AR1915" t="s">
        <v>53</v>
      </c>
      <c r="AS1915">
        <v>0</v>
      </c>
      <c r="AT1915">
        <v>0</v>
      </c>
      <c r="CC1915" t="s">
        <v>669</v>
      </c>
      <c r="CD1915">
        <v>85000</v>
      </c>
      <c r="CE1915" s="1">
        <v>43282</v>
      </c>
      <c r="CF1915" s="1">
        <v>43282</v>
      </c>
      <c r="CG1915" s="1">
        <v>43282</v>
      </c>
      <c r="CI1915" t="s">
        <v>51</v>
      </c>
      <c r="CK1915" t="s">
        <v>78</v>
      </c>
      <c r="CM1915" t="s">
        <v>54</v>
      </c>
      <c r="CN1915" t="s">
        <v>174</v>
      </c>
      <c r="CO1915" t="s">
        <v>86</v>
      </c>
      <c r="CR1915">
        <v>50</v>
      </c>
      <c r="CS1915">
        <v>0</v>
      </c>
      <c r="CT1915">
        <v>0</v>
      </c>
      <c r="CU1915">
        <v>0</v>
      </c>
    </row>
    <row r="1916" spans="1:99" x14ac:dyDescent="0.2">
      <c r="A1916" t="s">
        <v>367</v>
      </c>
      <c r="B1916" t="s">
        <v>440</v>
      </c>
      <c r="C1916" t="s">
        <v>441</v>
      </c>
      <c r="D1916" t="s">
        <v>806</v>
      </c>
      <c r="F1916" t="str">
        <f>"253740"</f>
        <v>253740</v>
      </c>
      <c r="G1916" t="s">
        <v>49</v>
      </c>
      <c r="K1916" t="s">
        <v>51</v>
      </c>
      <c r="L1916" t="s">
        <v>52</v>
      </c>
      <c r="M1916">
        <v>136416.68</v>
      </c>
      <c r="N1916">
        <v>468782.42</v>
      </c>
      <c r="O1916" t="s">
        <v>53</v>
      </c>
      <c r="P1916" t="s">
        <v>54</v>
      </c>
      <c r="Q1916" t="s">
        <v>55</v>
      </c>
      <c r="T1916" t="s">
        <v>431</v>
      </c>
      <c r="U1916">
        <v>40</v>
      </c>
      <c r="V1916" s="1">
        <v>25569</v>
      </c>
      <c r="W1916" s="1">
        <v>25569</v>
      </c>
      <c r="X1916" s="1">
        <v>25569</v>
      </c>
      <c r="Y1916" s="1">
        <v>40179</v>
      </c>
      <c r="Z1916" t="s">
        <v>51</v>
      </c>
      <c r="AB1916" t="s">
        <v>54</v>
      </c>
      <c r="AD1916" t="s">
        <v>809</v>
      </c>
      <c r="AE1916" t="s">
        <v>810</v>
      </c>
      <c r="AF1916">
        <v>20</v>
      </c>
      <c r="AG1916" s="1">
        <v>43282</v>
      </c>
      <c r="AH1916" s="1">
        <v>43282</v>
      </c>
      <c r="AI1916" s="1">
        <v>43282</v>
      </c>
      <c r="AK1916" t="s">
        <v>51</v>
      </c>
      <c r="AN1916">
        <v>0</v>
      </c>
      <c r="AO1916" t="s">
        <v>54</v>
      </c>
      <c r="AP1916" t="s">
        <v>53</v>
      </c>
      <c r="AQ1916">
        <v>0</v>
      </c>
      <c r="AR1916" t="s">
        <v>53</v>
      </c>
      <c r="AS1916">
        <v>0</v>
      </c>
      <c r="AT1916">
        <v>0</v>
      </c>
      <c r="CC1916" t="s">
        <v>669</v>
      </c>
      <c r="CD1916">
        <v>85000</v>
      </c>
      <c r="CE1916" s="1">
        <v>43282</v>
      </c>
      <c r="CF1916" s="1">
        <v>43282</v>
      </c>
      <c r="CG1916" s="1">
        <v>43282</v>
      </c>
      <c r="CI1916" t="s">
        <v>51</v>
      </c>
      <c r="CK1916" t="s">
        <v>78</v>
      </c>
      <c r="CM1916" t="s">
        <v>54</v>
      </c>
      <c r="CN1916" t="s">
        <v>174</v>
      </c>
      <c r="CO1916" t="s">
        <v>86</v>
      </c>
      <c r="CR1916">
        <v>50</v>
      </c>
      <c r="CS1916">
        <v>0</v>
      </c>
      <c r="CT1916">
        <v>0</v>
      </c>
      <c r="CU1916">
        <v>0</v>
      </c>
    </row>
    <row r="1917" spans="1:99" x14ac:dyDescent="0.2">
      <c r="A1917" t="s">
        <v>367</v>
      </c>
      <c r="B1917" t="s">
        <v>440</v>
      </c>
      <c r="C1917" t="s">
        <v>441</v>
      </c>
      <c r="D1917" t="s">
        <v>806</v>
      </c>
      <c r="F1917" t="str">
        <f>"253741"</f>
        <v>253741</v>
      </c>
      <c r="G1917" t="s">
        <v>49</v>
      </c>
      <c r="K1917" t="s">
        <v>51</v>
      </c>
      <c r="L1917" t="s">
        <v>52</v>
      </c>
      <c r="M1917">
        <v>136356.20000000001</v>
      </c>
      <c r="N1917">
        <v>468782.96</v>
      </c>
      <c r="O1917" t="s">
        <v>53</v>
      </c>
      <c r="P1917" t="s">
        <v>54</v>
      </c>
      <c r="Q1917" t="s">
        <v>55</v>
      </c>
      <c r="T1917" t="s">
        <v>431</v>
      </c>
      <c r="U1917">
        <v>40</v>
      </c>
      <c r="V1917" s="1">
        <v>25569</v>
      </c>
      <c r="W1917" s="1">
        <v>25569</v>
      </c>
      <c r="X1917" s="1">
        <v>25569</v>
      </c>
      <c r="Y1917" s="1">
        <v>40179</v>
      </c>
      <c r="Z1917" t="s">
        <v>51</v>
      </c>
      <c r="AB1917" t="s">
        <v>54</v>
      </c>
      <c r="AD1917" t="s">
        <v>809</v>
      </c>
      <c r="AE1917" t="s">
        <v>810</v>
      </c>
      <c r="AF1917">
        <v>20</v>
      </c>
      <c r="AG1917" s="1">
        <v>43282</v>
      </c>
      <c r="AH1917" s="1">
        <v>43282</v>
      </c>
      <c r="AI1917" s="1">
        <v>43282</v>
      </c>
      <c r="AK1917" t="s">
        <v>51</v>
      </c>
      <c r="AN1917">
        <v>0</v>
      </c>
      <c r="AO1917" t="s">
        <v>54</v>
      </c>
      <c r="AP1917" t="s">
        <v>53</v>
      </c>
      <c r="AQ1917">
        <v>0</v>
      </c>
      <c r="AR1917" t="s">
        <v>53</v>
      </c>
      <c r="AS1917">
        <v>0</v>
      </c>
      <c r="AT1917">
        <v>0</v>
      </c>
      <c r="CC1917" t="s">
        <v>669</v>
      </c>
      <c r="CD1917">
        <v>85000</v>
      </c>
      <c r="CE1917" s="1">
        <v>43282</v>
      </c>
      <c r="CF1917" s="1">
        <v>43282</v>
      </c>
      <c r="CG1917" s="1">
        <v>43282</v>
      </c>
      <c r="CI1917" t="s">
        <v>51</v>
      </c>
      <c r="CK1917" t="s">
        <v>78</v>
      </c>
      <c r="CM1917" t="s">
        <v>54</v>
      </c>
      <c r="CN1917" t="s">
        <v>174</v>
      </c>
      <c r="CO1917" t="s">
        <v>86</v>
      </c>
      <c r="CR1917">
        <v>50</v>
      </c>
      <c r="CS1917">
        <v>0</v>
      </c>
      <c r="CT1917">
        <v>0</v>
      </c>
      <c r="CU1917">
        <v>0</v>
      </c>
    </row>
    <row r="1918" spans="1:99" x14ac:dyDescent="0.2">
      <c r="A1918" t="s">
        <v>367</v>
      </c>
      <c r="B1918" t="s">
        <v>440</v>
      </c>
      <c r="C1918" t="s">
        <v>441</v>
      </c>
      <c r="D1918" t="s">
        <v>806</v>
      </c>
      <c r="F1918" t="str">
        <f>"253742"</f>
        <v>253742</v>
      </c>
      <c r="G1918" t="s">
        <v>49</v>
      </c>
      <c r="K1918" t="s">
        <v>51</v>
      </c>
      <c r="L1918" t="s">
        <v>52</v>
      </c>
      <c r="M1918">
        <v>136300.87</v>
      </c>
      <c r="N1918">
        <v>468782.69</v>
      </c>
      <c r="O1918" t="s">
        <v>53</v>
      </c>
      <c r="P1918" t="s">
        <v>54</v>
      </c>
      <c r="Q1918" t="s">
        <v>55</v>
      </c>
      <c r="T1918" t="s">
        <v>431</v>
      </c>
      <c r="U1918">
        <v>40</v>
      </c>
      <c r="V1918" s="1">
        <v>25569</v>
      </c>
      <c r="W1918" s="1">
        <v>25569</v>
      </c>
      <c r="X1918" s="1">
        <v>25569</v>
      </c>
      <c r="Y1918" s="1">
        <v>40179</v>
      </c>
      <c r="Z1918" t="s">
        <v>51</v>
      </c>
      <c r="AB1918" t="s">
        <v>54</v>
      </c>
      <c r="AD1918" t="s">
        <v>809</v>
      </c>
      <c r="AE1918" t="s">
        <v>810</v>
      </c>
      <c r="AF1918">
        <v>20</v>
      </c>
      <c r="AG1918" s="1">
        <v>43282</v>
      </c>
      <c r="AH1918" s="1">
        <v>43282</v>
      </c>
      <c r="AI1918" s="1">
        <v>43282</v>
      </c>
      <c r="AK1918" t="s">
        <v>51</v>
      </c>
      <c r="AN1918">
        <v>0</v>
      </c>
      <c r="AO1918" t="s">
        <v>54</v>
      </c>
      <c r="AP1918" t="s">
        <v>53</v>
      </c>
      <c r="AQ1918">
        <v>0</v>
      </c>
      <c r="AR1918" t="s">
        <v>53</v>
      </c>
      <c r="AS1918">
        <v>0</v>
      </c>
      <c r="AT1918">
        <v>0</v>
      </c>
      <c r="CC1918" t="s">
        <v>669</v>
      </c>
      <c r="CD1918">
        <v>85000</v>
      </c>
      <c r="CE1918" s="1">
        <v>43282</v>
      </c>
      <c r="CF1918" s="1">
        <v>43282</v>
      </c>
      <c r="CG1918" s="1">
        <v>43282</v>
      </c>
      <c r="CI1918" t="s">
        <v>51</v>
      </c>
      <c r="CK1918" t="s">
        <v>78</v>
      </c>
      <c r="CM1918" t="s">
        <v>54</v>
      </c>
      <c r="CN1918" t="s">
        <v>174</v>
      </c>
      <c r="CO1918" t="s">
        <v>86</v>
      </c>
      <c r="CR1918">
        <v>50</v>
      </c>
      <c r="CS1918">
        <v>0</v>
      </c>
      <c r="CT1918">
        <v>0</v>
      </c>
      <c r="CU1918">
        <v>0</v>
      </c>
    </row>
    <row r="1919" spans="1:99" x14ac:dyDescent="0.2">
      <c r="A1919" t="s">
        <v>367</v>
      </c>
      <c r="B1919" t="s">
        <v>440</v>
      </c>
      <c r="C1919" t="s">
        <v>441</v>
      </c>
      <c r="D1919" t="s">
        <v>806</v>
      </c>
      <c r="F1919" t="str">
        <f>"253743"</f>
        <v>253743</v>
      </c>
      <c r="G1919" t="s">
        <v>49</v>
      </c>
      <c r="K1919" t="s">
        <v>51</v>
      </c>
      <c r="L1919" t="s">
        <v>52</v>
      </c>
      <c r="M1919">
        <v>136245.51999999999</v>
      </c>
      <c r="N1919">
        <v>468782.96</v>
      </c>
      <c r="O1919" t="s">
        <v>53</v>
      </c>
      <c r="P1919" t="s">
        <v>54</v>
      </c>
      <c r="Q1919" t="s">
        <v>55</v>
      </c>
      <c r="T1919" t="s">
        <v>431</v>
      </c>
      <c r="U1919">
        <v>40</v>
      </c>
      <c r="V1919" s="1">
        <v>25569</v>
      </c>
      <c r="W1919" s="1">
        <v>25569</v>
      </c>
      <c r="X1919" s="1">
        <v>25569</v>
      </c>
      <c r="Y1919" s="1">
        <v>40179</v>
      </c>
      <c r="Z1919" t="s">
        <v>51</v>
      </c>
      <c r="AB1919" t="s">
        <v>54</v>
      </c>
      <c r="AD1919" t="s">
        <v>809</v>
      </c>
      <c r="AE1919" t="s">
        <v>810</v>
      </c>
      <c r="AF1919">
        <v>20</v>
      </c>
      <c r="AG1919" s="1">
        <v>43282</v>
      </c>
      <c r="AH1919" s="1">
        <v>43282</v>
      </c>
      <c r="AI1919" s="1">
        <v>43282</v>
      </c>
      <c r="AK1919" t="s">
        <v>51</v>
      </c>
      <c r="AN1919">
        <v>0</v>
      </c>
      <c r="AO1919" t="s">
        <v>54</v>
      </c>
      <c r="AP1919" t="s">
        <v>53</v>
      </c>
      <c r="AQ1919">
        <v>0</v>
      </c>
      <c r="AR1919" t="s">
        <v>53</v>
      </c>
      <c r="AS1919">
        <v>0</v>
      </c>
      <c r="AT1919">
        <v>0</v>
      </c>
      <c r="CC1919" t="s">
        <v>669</v>
      </c>
      <c r="CD1919">
        <v>85000</v>
      </c>
      <c r="CE1919" s="1">
        <v>43282</v>
      </c>
      <c r="CF1919" s="1">
        <v>43282</v>
      </c>
      <c r="CG1919" s="1">
        <v>43282</v>
      </c>
      <c r="CI1919" t="s">
        <v>51</v>
      </c>
      <c r="CK1919" t="s">
        <v>78</v>
      </c>
      <c r="CM1919" t="s">
        <v>54</v>
      </c>
      <c r="CN1919" t="s">
        <v>174</v>
      </c>
      <c r="CO1919" t="s">
        <v>86</v>
      </c>
      <c r="CR1919">
        <v>50</v>
      </c>
      <c r="CS1919">
        <v>0</v>
      </c>
      <c r="CT1919">
        <v>0</v>
      </c>
      <c r="CU1919">
        <v>0</v>
      </c>
    </row>
    <row r="1920" spans="1:99" x14ac:dyDescent="0.2">
      <c r="A1920" t="s">
        <v>367</v>
      </c>
      <c r="B1920" t="s">
        <v>440</v>
      </c>
      <c r="C1920" t="s">
        <v>441</v>
      </c>
      <c r="D1920" t="s">
        <v>806</v>
      </c>
      <c r="F1920" t="str">
        <f>"253744"</f>
        <v>253744</v>
      </c>
      <c r="G1920" t="s">
        <v>49</v>
      </c>
      <c r="K1920" t="s">
        <v>51</v>
      </c>
      <c r="L1920" t="s">
        <v>52</v>
      </c>
      <c r="M1920">
        <v>136171.25</v>
      </c>
      <c r="N1920">
        <v>468784.02</v>
      </c>
      <c r="O1920" t="s">
        <v>53</v>
      </c>
      <c r="P1920" t="s">
        <v>54</v>
      </c>
      <c r="Q1920" t="s">
        <v>55</v>
      </c>
      <c r="T1920" t="s">
        <v>431</v>
      </c>
      <c r="U1920">
        <v>40</v>
      </c>
      <c r="V1920" s="1">
        <v>25569</v>
      </c>
      <c r="W1920" s="1">
        <v>25569</v>
      </c>
      <c r="X1920" s="1">
        <v>25569</v>
      </c>
      <c r="Y1920" s="1">
        <v>40179</v>
      </c>
      <c r="Z1920" t="s">
        <v>51</v>
      </c>
      <c r="AB1920" t="s">
        <v>54</v>
      </c>
      <c r="AD1920" t="s">
        <v>809</v>
      </c>
      <c r="AE1920" t="s">
        <v>810</v>
      </c>
      <c r="AF1920">
        <v>20</v>
      </c>
      <c r="AG1920" s="1">
        <v>43282</v>
      </c>
      <c r="AH1920" s="1">
        <v>43282</v>
      </c>
      <c r="AI1920" s="1">
        <v>43282</v>
      </c>
      <c r="AJ1920" s="1">
        <v>50587</v>
      </c>
      <c r="AK1920" t="s">
        <v>51</v>
      </c>
      <c r="AN1920">
        <v>0</v>
      </c>
      <c r="AO1920" t="s">
        <v>54</v>
      </c>
      <c r="AP1920" t="s">
        <v>53</v>
      </c>
      <c r="AQ1920">
        <v>0</v>
      </c>
      <c r="AR1920" t="s">
        <v>53</v>
      </c>
      <c r="AS1920">
        <v>0</v>
      </c>
      <c r="AT1920">
        <v>0</v>
      </c>
      <c r="CC1920" t="s">
        <v>669</v>
      </c>
      <c r="CD1920">
        <v>85000</v>
      </c>
      <c r="CE1920" s="1">
        <v>43282</v>
      </c>
      <c r="CF1920" s="1">
        <v>43282</v>
      </c>
      <c r="CG1920" s="1">
        <v>43282</v>
      </c>
      <c r="CH1920" s="1">
        <v>50444</v>
      </c>
      <c r="CI1920" t="s">
        <v>51</v>
      </c>
      <c r="CK1920" t="s">
        <v>78</v>
      </c>
      <c r="CM1920" t="s">
        <v>54</v>
      </c>
      <c r="CN1920" t="s">
        <v>174</v>
      </c>
      <c r="CO1920" t="s">
        <v>86</v>
      </c>
      <c r="CR1920">
        <v>50</v>
      </c>
      <c r="CS1920">
        <v>0</v>
      </c>
      <c r="CT1920">
        <v>0</v>
      </c>
      <c r="CU1920">
        <v>0</v>
      </c>
    </row>
    <row r="1921" spans="1:99" x14ac:dyDescent="0.2">
      <c r="A1921" t="s">
        <v>367</v>
      </c>
      <c r="B1921" t="s">
        <v>440</v>
      </c>
      <c r="C1921" t="s">
        <v>441</v>
      </c>
      <c r="D1921" t="s">
        <v>806</v>
      </c>
      <c r="F1921" t="str">
        <f>"253745"</f>
        <v>253745</v>
      </c>
      <c r="G1921" t="s">
        <v>49</v>
      </c>
      <c r="K1921" t="s">
        <v>51</v>
      </c>
      <c r="L1921" t="s">
        <v>52</v>
      </c>
      <c r="M1921">
        <v>136127.82</v>
      </c>
      <c r="N1921">
        <v>468785.06</v>
      </c>
      <c r="O1921" t="s">
        <v>53</v>
      </c>
      <c r="P1921" t="s">
        <v>54</v>
      </c>
      <c r="Q1921" t="s">
        <v>55</v>
      </c>
      <c r="T1921" t="s">
        <v>431</v>
      </c>
      <c r="U1921">
        <v>40</v>
      </c>
      <c r="V1921" s="1">
        <v>25569</v>
      </c>
      <c r="W1921" s="1">
        <v>25569</v>
      </c>
      <c r="X1921" s="1">
        <v>25569</v>
      </c>
      <c r="Y1921" s="1">
        <v>40179</v>
      </c>
      <c r="Z1921" t="s">
        <v>51</v>
      </c>
      <c r="AB1921" t="s">
        <v>54</v>
      </c>
      <c r="AD1921" t="s">
        <v>809</v>
      </c>
      <c r="AE1921" t="s">
        <v>810</v>
      </c>
      <c r="AF1921">
        <v>20</v>
      </c>
      <c r="AG1921" s="1">
        <v>43282</v>
      </c>
      <c r="AH1921" s="1">
        <v>43282</v>
      </c>
      <c r="AI1921" s="1">
        <v>43282</v>
      </c>
      <c r="AJ1921" s="1">
        <v>50587</v>
      </c>
      <c r="AK1921" t="s">
        <v>51</v>
      </c>
      <c r="AN1921">
        <v>0</v>
      </c>
      <c r="AO1921" t="s">
        <v>54</v>
      </c>
      <c r="AP1921" t="s">
        <v>53</v>
      </c>
      <c r="AQ1921">
        <v>0</v>
      </c>
      <c r="AR1921" t="s">
        <v>53</v>
      </c>
      <c r="AS1921">
        <v>0</v>
      </c>
      <c r="AT1921">
        <v>0</v>
      </c>
      <c r="CC1921" t="s">
        <v>669</v>
      </c>
      <c r="CD1921">
        <v>85000</v>
      </c>
      <c r="CE1921" s="1">
        <v>43282</v>
      </c>
      <c r="CF1921" s="1">
        <v>43282</v>
      </c>
      <c r="CG1921" s="1">
        <v>43282</v>
      </c>
      <c r="CH1921" s="1">
        <v>50444</v>
      </c>
      <c r="CI1921" t="s">
        <v>51</v>
      </c>
      <c r="CK1921" t="s">
        <v>78</v>
      </c>
      <c r="CM1921" t="s">
        <v>54</v>
      </c>
      <c r="CN1921" t="s">
        <v>174</v>
      </c>
      <c r="CO1921" t="s">
        <v>86</v>
      </c>
      <c r="CR1921">
        <v>50</v>
      </c>
      <c r="CS1921">
        <v>0</v>
      </c>
      <c r="CT1921">
        <v>0</v>
      </c>
      <c r="CU1921">
        <v>0</v>
      </c>
    </row>
    <row r="1922" spans="1:99" x14ac:dyDescent="0.2">
      <c r="A1922" t="s">
        <v>367</v>
      </c>
      <c r="B1922" t="s">
        <v>440</v>
      </c>
      <c r="C1922" t="s">
        <v>441</v>
      </c>
      <c r="D1922" t="s">
        <v>806</v>
      </c>
      <c r="F1922" t="str">
        <f>"253746"</f>
        <v>253746</v>
      </c>
      <c r="G1922" t="s">
        <v>49</v>
      </c>
      <c r="K1922" t="s">
        <v>51</v>
      </c>
      <c r="L1922" t="s">
        <v>52</v>
      </c>
      <c r="M1922">
        <v>136105.14000000001</v>
      </c>
      <c r="N1922">
        <v>468785.06</v>
      </c>
      <c r="O1922" t="s">
        <v>53</v>
      </c>
      <c r="P1922" t="s">
        <v>54</v>
      </c>
      <c r="Q1922" t="s">
        <v>55</v>
      </c>
      <c r="T1922" t="s">
        <v>431</v>
      </c>
      <c r="U1922">
        <v>40</v>
      </c>
      <c r="V1922" s="1">
        <v>25569</v>
      </c>
      <c r="W1922" s="1">
        <v>25569</v>
      </c>
      <c r="X1922" s="1">
        <v>25569</v>
      </c>
      <c r="Y1922" s="1">
        <v>40179</v>
      </c>
      <c r="Z1922" t="s">
        <v>51</v>
      </c>
      <c r="AB1922" t="s">
        <v>54</v>
      </c>
      <c r="AD1922" t="s">
        <v>809</v>
      </c>
      <c r="AE1922" t="s">
        <v>810</v>
      </c>
      <c r="AF1922">
        <v>20</v>
      </c>
      <c r="AG1922" s="1">
        <v>43282</v>
      </c>
      <c r="AH1922" s="1">
        <v>43282</v>
      </c>
      <c r="AI1922" s="1">
        <v>43282</v>
      </c>
      <c r="AK1922" t="s">
        <v>51</v>
      </c>
      <c r="AN1922">
        <v>0</v>
      </c>
      <c r="AO1922" t="s">
        <v>54</v>
      </c>
      <c r="AP1922" t="s">
        <v>53</v>
      </c>
      <c r="AQ1922">
        <v>0</v>
      </c>
      <c r="AR1922" t="s">
        <v>53</v>
      </c>
      <c r="AS1922">
        <v>0</v>
      </c>
      <c r="AT1922">
        <v>0</v>
      </c>
      <c r="CC1922" t="s">
        <v>669</v>
      </c>
      <c r="CD1922">
        <v>85000</v>
      </c>
      <c r="CE1922" s="1">
        <v>43282</v>
      </c>
      <c r="CF1922" s="1">
        <v>43282</v>
      </c>
      <c r="CG1922" s="1">
        <v>43282</v>
      </c>
      <c r="CI1922" t="s">
        <v>51</v>
      </c>
      <c r="CK1922" t="s">
        <v>78</v>
      </c>
      <c r="CM1922" t="s">
        <v>54</v>
      </c>
      <c r="CN1922" t="s">
        <v>174</v>
      </c>
      <c r="CO1922" t="s">
        <v>86</v>
      </c>
      <c r="CR1922">
        <v>50</v>
      </c>
      <c r="CS1922">
        <v>0</v>
      </c>
      <c r="CT1922">
        <v>0</v>
      </c>
      <c r="CU1922">
        <v>0</v>
      </c>
    </row>
    <row r="1923" spans="1:99" x14ac:dyDescent="0.2">
      <c r="A1923" t="s">
        <v>367</v>
      </c>
      <c r="B1923" t="s">
        <v>440</v>
      </c>
      <c r="C1923" t="s">
        <v>441</v>
      </c>
      <c r="D1923" t="s">
        <v>806</v>
      </c>
      <c r="F1923" t="str">
        <f>"253747"</f>
        <v>253747</v>
      </c>
      <c r="G1923" t="s">
        <v>49</v>
      </c>
      <c r="K1923" t="s">
        <v>51</v>
      </c>
      <c r="L1923" t="s">
        <v>52</v>
      </c>
      <c r="M1923">
        <v>136087.49</v>
      </c>
      <c r="N1923">
        <v>468786.69</v>
      </c>
      <c r="O1923" t="s">
        <v>53</v>
      </c>
      <c r="P1923" t="s">
        <v>54</v>
      </c>
      <c r="Q1923" t="s">
        <v>55</v>
      </c>
      <c r="T1923" t="s">
        <v>431</v>
      </c>
      <c r="U1923">
        <v>40</v>
      </c>
      <c r="V1923" s="1">
        <v>25569</v>
      </c>
      <c r="W1923" s="1">
        <v>25569</v>
      </c>
      <c r="X1923" s="1">
        <v>25569</v>
      </c>
      <c r="Y1923" s="1">
        <v>40179</v>
      </c>
      <c r="Z1923" t="s">
        <v>51</v>
      </c>
      <c r="AB1923" t="s">
        <v>54</v>
      </c>
      <c r="AD1923" t="s">
        <v>809</v>
      </c>
      <c r="AE1923" t="s">
        <v>810</v>
      </c>
      <c r="AF1923">
        <v>20</v>
      </c>
      <c r="AG1923" s="1">
        <v>43282</v>
      </c>
      <c r="AH1923" s="1">
        <v>43282</v>
      </c>
      <c r="AI1923" s="1">
        <v>43282</v>
      </c>
      <c r="AK1923" t="s">
        <v>51</v>
      </c>
      <c r="AN1923">
        <v>0</v>
      </c>
      <c r="AO1923" t="s">
        <v>54</v>
      </c>
      <c r="AP1923" t="s">
        <v>53</v>
      </c>
      <c r="AQ1923">
        <v>0</v>
      </c>
      <c r="AR1923" t="s">
        <v>53</v>
      </c>
      <c r="AS1923">
        <v>0</v>
      </c>
      <c r="AT1923">
        <v>0</v>
      </c>
      <c r="CC1923" t="s">
        <v>669</v>
      </c>
      <c r="CD1923">
        <v>85000</v>
      </c>
      <c r="CE1923" s="1">
        <v>43282</v>
      </c>
      <c r="CF1923" s="1">
        <v>43282</v>
      </c>
      <c r="CG1923" s="1">
        <v>43282</v>
      </c>
      <c r="CI1923" t="s">
        <v>51</v>
      </c>
      <c r="CK1923" t="s">
        <v>78</v>
      </c>
      <c r="CM1923" t="s">
        <v>54</v>
      </c>
      <c r="CN1923" t="s">
        <v>174</v>
      </c>
      <c r="CO1923" t="s">
        <v>86</v>
      </c>
      <c r="CR1923">
        <v>50</v>
      </c>
      <c r="CS1923">
        <v>0</v>
      </c>
      <c r="CT1923">
        <v>0</v>
      </c>
      <c r="CU1923">
        <v>0</v>
      </c>
    </row>
    <row r="1924" spans="1:99" x14ac:dyDescent="0.2">
      <c r="A1924" t="s">
        <v>367</v>
      </c>
      <c r="B1924" t="s">
        <v>440</v>
      </c>
      <c r="C1924" t="s">
        <v>441</v>
      </c>
      <c r="D1924" t="s">
        <v>806</v>
      </c>
      <c r="F1924" t="str">
        <f>"253748"</f>
        <v>253748</v>
      </c>
      <c r="G1924" t="s">
        <v>49</v>
      </c>
      <c r="K1924" t="s">
        <v>51</v>
      </c>
      <c r="L1924" t="s">
        <v>52</v>
      </c>
      <c r="M1924">
        <v>136037.68400000001</v>
      </c>
      <c r="N1924">
        <v>468784.60700000002</v>
      </c>
      <c r="O1924" t="s">
        <v>53</v>
      </c>
      <c r="P1924" t="s">
        <v>54</v>
      </c>
      <c r="Q1924" t="s">
        <v>55</v>
      </c>
      <c r="T1924" t="s">
        <v>431</v>
      </c>
      <c r="U1924">
        <v>40</v>
      </c>
      <c r="V1924" s="1">
        <v>25569</v>
      </c>
      <c r="W1924" s="1">
        <v>25569</v>
      </c>
      <c r="X1924" s="1">
        <v>25569</v>
      </c>
      <c r="Y1924" s="1">
        <v>40179</v>
      </c>
      <c r="Z1924" t="s">
        <v>51</v>
      </c>
      <c r="AB1924" t="s">
        <v>54</v>
      </c>
      <c r="AD1924" t="s">
        <v>809</v>
      </c>
      <c r="AE1924" t="s">
        <v>810</v>
      </c>
      <c r="AF1924">
        <v>20</v>
      </c>
      <c r="AG1924" s="1">
        <v>43282</v>
      </c>
      <c r="AH1924" s="1">
        <v>43282</v>
      </c>
      <c r="AI1924" s="1">
        <v>43282</v>
      </c>
      <c r="AK1924" t="s">
        <v>51</v>
      </c>
      <c r="AN1924">
        <v>0</v>
      </c>
      <c r="AO1924" t="s">
        <v>54</v>
      </c>
      <c r="AP1924" t="s">
        <v>53</v>
      </c>
      <c r="AQ1924">
        <v>0</v>
      </c>
      <c r="AR1924" t="s">
        <v>53</v>
      </c>
      <c r="AS1924">
        <v>0</v>
      </c>
      <c r="AT1924">
        <v>0</v>
      </c>
      <c r="CC1924" t="s">
        <v>669</v>
      </c>
      <c r="CD1924">
        <v>85000</v>
      </c>
      <c r="CE1924" s="1">
        <v>43282</v>
      </c>
      <c r="CF1924" s="1">
        <v>43282</v>
      </c>
      <c r="CG1924" s="1">
        <v>43282</v>
      </c>
      <c r="CI1924" t="s">
        <v>51</v>
      </c>
      <c r="CK1924" t="s">
        <v>78</v>
      </c>
      <c r="CM1924" t="s">
        <v>54</v>
      </c>
      <c r="CN1924" t="s">
        <v>174</v>
      </c>
      <c r="CO1924" t="s">
        <v>86</v>
      </c>
      <c r="CR1924">
        <v>50</v>
      </c>
      <c r="CS1924">
        <v>0</v>
      </c>
      <c r="CT1924">
        <v>0</v>
      </c>
      <c r="CU1924">
        <v>0</v>
      </c>
    </row>
    <row r="1925" spans="1:99" x14ac:dyDescent="0.2">
      <c r="A1925" t="s">
        <v>367</v>
      </c>
      <c r="B1925" t="s">
        <v>440</v>
      </c>
      <c r="C1925" t="s">
        <v>441</v>
      </c>
      <c r="D1925" t="s">
        <v>806</v>
      </c>
      <c r="F1925" t="str">
        <f>"253749"</f>
        <v>253749</v>
      </c>
      <c r="G1925" t="s">
        <v>49</v>
      </c>
      <c r="K1925" t="s">
        <v>51</v>
      </c>
      <c r="L1925" t="s">
        <v>52</v>
      </c>
      <c r="M1925">
        <v>135977.1</v>
      </c>
      <c r="N1925">
        <v>468785.99</v>
      </c>
      <c r="O1925" t="s">
        <v>53</v>
      </c>
      <c r="P1925" t="s">
        <v>54</v>
      </c>
      <c r="Q1925" t="s">
        <v>55</v>
      </c>
      <c r="T1925" t="s">
        <v>431</v>
      </c>
      <c r="U1925">
        <v>40</v>
      </c>
      <c r="V1925" s="1">
        <v>25569</v>
      </c>
      <c r="W1925" s="1">
        <v>25569</v>
      </c>
      <c r="X1925" s="1">
        <v>25569</v>
      </c>
      <c r="Y1925" s="1">
        <v>40179</v>
      </c>
      <c r="Z1925" t="s">
        <v>51</v>
      </c>
      <c r="AB1925" t="s">
        <v>54</v>
      </c>
      <c r="AD1925" t="s">
        <v>809</v>
      </c>
      <c r="AE1925" t="s">
        <v>810</v>
      </c>
      <c r="AF1925">
        <v>20</v>
      </c>
      <c r="AG1925" s="1">
        <v>43282</v>
      </c>
      <c r="AH1925" s="1">
        <v>43282</v>
      </c>
      <c r="AI1925" s="1">
        <v>43282</v>
      </c>
      <c r="AK1925" t="s">
        <v>51</v>
      </c>
      <c r="AN1925">
        <v>0</v>
      </c>
      <c r="AO1925" t="s">
        <v>54</v>
      </c>
      <c r="AP1925" t="s">
        <v>53</v>
      </c>
      <c r="AQ1925">
        <v>0</v>
      </c>
      <c r="AR1925" t="s">
        <v>53</v>
      </c>
      <c r="AS1925">
        <v>0</v>
      </c>
      <c r="AT1925">
        <v>0</v>
      </c>
      <c r="CC1925" t="s">
        <v>669</v>
      </c>
      <c r="CD1925">
        <v>85000</v>
      </c>
      <c r="CE1925" s="1">
        <v>43282</v>
      </c>
      <c r="CF1925" s="1">
        <v>43282</v>
      </c>
      <c r="CG1925" s="1">
        <v>43282</v>
      </c>
      <c r="CI1925" t="s">
        <v>51</v>
      </c>
      <c r="CK1925" t="s">
        <v>78</v>
      </c>
      <c r="CM1925" t="s">
        <v>54</v>
      </c>
      <c r="CN1925" t="s">
        <v>174</v>
      </c>
      <c r="CO1925" t="s">
        <v>86</v>
      </c>
      <c r="CR1925">
        <v>50</v>
      </c>
      <c r="CS1925">
        <v>0</v>
      </c>
      <c r="CT1925">
        <v>0</v>
      </c>
      <c r="CU1925">
        <v>0</v>
      </c>
    </row>
    <row r="1926" spans="1:99" x14ac:dyDescent="0.2">
      <c r="A1926" t="s">
        <v>367</v>
      </c>
      <c r="B1926" t="s">
        <v>440</v>
      </c>
      <c r="C1926" t="s">
        <v>441</v>
      </c>
      <c r="D1926" t="s">
        <v>806</v>
      </c>
      <c r="F1926" t="str">
        <f>"253750"</f>
        <v>253750</v>
      </c>
      <c r="G1926" t="s">
        <v>49</v>
      </c>
      <c r="K1926" t="s">
        <v>51</v>
      </c>
      <c r="L1926" t="s">
        <v>52</v>
      </c>
      <c r="M1926">
        <v>135921.34</v>
      </c>
      <c r="N1926">
        <v>468786.74</v>
      </c>
      <c r="O1926" t="s">
        <v>53</v>
      </c>
      <c r="P1926" t="s">
        <v>54</v>
      </c>
      <c r="Q1926" t="s">
        <v>55</v>
      </c>
      <c r="T1926" t="s">
        <v>431</v>
      </c>
      <c r="U1926">
        <v>40</v>
      </c>
      <c r="V1926" s="1">
        <v>25569</v>
      </c>
      <c r="W1926" s="1">
        <v>25569</v>
      </c>
      <c r="X1926" s="1">
        <v>25569</v>
      </c>
      <c r="Y1926" s="1">
        <v>40179</v>
      </c>
      <c r="Z1926" t="s">
        <v>51</v>
      </c>
      <c r="AB1926" t="s">
        <v>54</v>
      </c>
      <c r="AD1926" t="s">
        <v>809</v>
      </c>
      <c r="AE1926" t="s">
        <v>810</v>
      </c>
      <c r="AF1926">
        <v>20</v>
      </c>
      <c r="AG1926" s="1">
        <v>43282</v>
      </c>
      <c r="AH1926" s="1">
        <v>43282</v>
      </c>
      <c r="AI1926" s="1">
        <v>43282</v>
      </c>
      <c r="AK1926" t="s">
        <v>51</v>
      </c>
      <c r="AN1926">
        <v>0</v>
      </c>
      <c r="AO1926" t="s">
        <v>54</v>
      </c>
      <c r="AP1926" t="s">
        <v>53</v>
      </c>
      <c r="AQ1926">
        <v>0</v>
      </c>
      <c r="AR1926" t="s">
        <v>53</v>
      </c>
      <c r="AS1926">
        <v>0</v>
      </c>
      <c r="AT1926">
        <v>0</v>
      </c>
      <c r="CC1926" t="s">
        <v>669</v>
      </c>
      <c r="CD1926">
        <v>85000</v>
      </c>
      <c r="CE1926" s="1">
        <v>43282</v>
      </c>
      <c r="CF1926" s="1">
        <v>43282</v>
      </c>
      <c r="CG1926" s="1">
        <v>43282</v>
      </c>
      <c r="CI1926" t="s">
        <v>51</v>
      </c>
      <c r="CK1926" t="s">
        <v>78</v>
      </c>
      <c r="CM1926" t="s">
        <v>54</v>
      </c>
      <c r="CN1926" t="s">
        <v>174</v>
      </c>
      <c r="CO1926" t="s">
        <v>86</v>
      </c>
      <c r="CR1926">
        <v>50</v>
      </c>
      <c r="CS1926">
        <v>0</v>
      </c>
      <c r="CT1926">
        <v>0</v>
      </c>
      <c r="CU1926">
        <v>0</v>
      </c>
    </row>
    <row r="1927" spans="1:99" x14ac:dyDescent="0.2">
      <c r="A1927" t="s">
        <v>367</v>
      </c>
      <c r="B1927" t="s">
        <v>440</v>
      </c>
      <c r="C1927" t="s">
        <v>441</v>
      </c>
      <c r="D1927" t="s">
        <v>806</v>
      </c>
      <c r="F1927" t="str">
        <f>"253751"</f>
        <v>253751</v>
      </c>
      <c r="G1927" t="s">
        <v>49</v>
      </c>
      <c r="K1927" t="s">
        <v>51</v>
      </c>
      <c r="L1927" t="s">
        <v>52</v>
      </c>
      <c r="M1927">
        <v>135862.17000000001</v>
      </c>
      <c r="N1927">
        <v>468789.59</v>
      </c>
      <c r="O1927" t="s">
        <v>53</v>
      </c>
      <c r="P1927" t="s">
        <v>54</v>
      </c>
      <c r="Q1927" t="s">
        <v>55</v>
      </c>
      <c r="T1927" t="s">
        <v>431</v>
      </c>
      <c r="U1927">
        <v>40</v>
      </c>
      <c r="V1927" s="1">
        <v>25569</v>
      </c>
      <c r="W1927" s="1">
        <v>25569</v>
      </c>
      <c r="X1927" s="1">
        <v>25569</v>
      </c>
      <c r="Y1927" s="1">
        <v>40179</v>
      </c>
      <c r="Z1927" t="s">
        <v>51</v>
      </c>
      <c r="AB1927" t="s">
        <v>54</v>
      </c>
      <c r="AD1927" t="s">
        <v>809</v>
      </c>
      <c r="AE1927" t="s">
        <v>810</v>
      </c>
      <c r="AF1927">
        <v>20</v>
      </c>
      <c r="AG1927" s="1">
        <v>43282</v>
      </c>
      <c r="AH1927" s="1">
        <v>43282</v>
      </c>
      <c r="AI1927" s="1">
        <v>43282</v>
      </c>
      <c r="AK1927" t="s">
        <v>51</v>
      </c>
      <c r="AN1927">
        <v>0</v>
      </c>
      <c r="AO1927" t="s">
        <v>54</v>
      </c>
      <c r="AP1927" t="s">
        <v>53</v>
      </c>
      <c r="AQ1927">
        <v>0</v>
      </c>
      <c r="AR1927" t="s">
        <v>53</v>
      </c>
      <c r="AS1927">
        <v>0</v>
      </c>
      <c r="AT1927">
        <v>0</v>
      </c>
      <c r="CC1927" t="s">
        <v>669</v>
      </c>
      <c r="CD1927">
        <v>85000</v>
      </c>
      <c r="CE1927" s="1">
        <v>43282</v>
      </c>
      <c r="CF1927" s="1">
        <v>43282</v>
      </c>
      <c r="CG1927" s="1">
        <v>43282</v>
      </c>
      <c r="CI1927" t="s">
        <v>51</v>
      </c>
      <c r="CK1927" t="s">
        <v>78</v>
      </c>
      <c r="CM1927" t="s">
        <v>54</v>
      </c>
      <c r="CN1927" t="s">
        <v>174</v>
      </c>
      <c r="CO1927" t="s">
        <v>86</v>
      </c>
      <c r="CR1927">
        <v>50</v>
      </c>
      <c r="CS1927">
        <v>0</v>
      </c>
      <c r="CT1927">
        <v>0</v>
      </c>
      <c r="CU1927">
        <v>0</v>
      </c>
    </row>
    <row r="1928" spans="1:99" x14ac:dyDescent="0.2">
      <c r="A1928" t="s">
        <v>367</v>
      </c>
      <c r="B1928" t="s">
        <v>440</v>
      </c>
      <c r="C1928" t="s">
        <v>441</v>
      </c>
      <c r="D1928" t="s">
        <v>806</v>
      </c>
      <c r="F1928" t="str">
        <f>"253752"</f>
        <v>253752</v>
      </c>
      <c r="G1928" t="s">
        <v>49</v>
      </c>
      <c r="K1928" t="s">
        <v>51</v>
      </c>
      <c r="L1928" t="s">
        <v>52</v>
      </c>
      <c r="M1928">
        <v>135807.09</v>
      </c>
      <c r="N1928">
        <v>468790.94</v>
      </c>
      <c r="O1928" t="s">
        <v>53</v>
      </c>
      <c r="P1928" t="s">
        <v>54</v>
      </c>
      <c r="Q1928" t="s">
        <v>55</v>
      </c>
      <c r="T1928" t="s">
        <v>431</v>
      </c>
      <c r="U1928">
        <v>40</v>
      </c>
      <c r="V1928" s="1">
        <v>25569</v>
      </c>
      <c r="W1928" s="1">
        <v>25569</v>
      </c>
      <c r="X1928" s="1">
        <v>25569</v>
      </c>
      <c r="Y1928" s="1">
        <v>40179</v>
      </c>
      <c r="Z1928" t="s">
        <v>51</v>
      </c>
      <c r="AB1928" t="s">
        <v>54</v>
      </c>
      <c r="AD1928" t="s">
        <v>809</v>
      </c>
      <c r="AE1928" t="s">
        <v>810</v>
      </c>
      <c r="AF1928">
        <v>20</v>
      </c>
      <c r="AG1928" s="1">
        <v>43282</v>
      </c>
      <c r="AH1928" s="1">
        <v>43282</v>
      </c>
      <c r="AI1928" s="1">
        <v>43282</v>
      </c>
      <c r="AK1928" t="s">
        <v>51</v>
      </c>
      <c r="AN1928">
        <v>0</v>
      </c>
      <c r="AO1928" t="s">
        <v>54</v>
      </c>
      <c r="AP1928" t="s">
        <v>53</v>
      </c>
      <c r="AQ1928">
        <v>0</v>
      </c>
      <c r="AR1928" t="s">
        <v>53</v>
      </c>
      <c r="AS1928">
        <v>0</v>
      </c>
      <c r="AT1928">
        <v>0</v>
      </c>
      <c r="CC1928" t="s">
        <v>669</v>
      </c>
      <c r="CD1928">
        <v>85000</v>
      </c>
      <c r="CE1928" s="1">
        <v>43282</v>
      </c>
      <c r="CF1928" s="1">
        <v>43282</v>
      </c>
      <c r="CG1928" s="1">
        <v>43282</v>
      </c>
      <c r="CI1928" t="s">
        <v>51</v>
      </c>
      <c r="CK1928" t="s">
        <v>78</v>
      </c>
      <c r="CM1928" t="s">
        <v>54</v>
      </c>
      <c r="CN1928" t="s">
        <v>174</v>
      </c>
      <c r="CO1928" t="s">
        <v>86</v>
      </c>
      <c r="CR1928">
        <v>50</v>
      </c>
      <c r="CS1928">
        <v>0</v>
      </c>
      <c r="CT1928">
        <v>0</v>
      </c>
      <c r="CU1928">
        <v>0</v>
      </c>
    </row>
    <row r="1929" spans="1:99" x14ac:dyDescent="0.2">
      <c r="A1929" t="s">
        <v>367</v>
      </c>
      <c r="B1929" t="s">
        <v>440</v>
      </c>
      <c r="C1929" t="s">
        <v>441</v>
      </c>
      <c r="D1929" t="s">
        <v>806</v>
      </c>
      <c r="F1929" t="str">
        <f>"253753"</f>
        <v>253753</v>
      </c>
      <c r="G1929" t="s">
        <v>49</v>
      </c>
      <c r="K1929" t="s">
        <v>51</v>
      </c>
      <c r="L1929" t="s">
        <v>52</v>
      </c>
      <c r="M1929">
        <v>135745.26</v>
      </c>
      <c r="N1929">
        <v>468793.63</v>
      </c>
      <c r="O1929" t="s">
        <v>53</v>
      </c>
      <c r="P1929" t="s">
        <v>54</v>
      </c>
      <c r="Q1929" t="s">
        <v>55</v>
      </c>
      <c r="T1929" t="s">
        <v>431</v>
      </c>
      <c r="U1929">
        <v>40</v>
      </c>
      <c r="V1929" s="1">
        <v>25569</v>
      </c>
      <c r="W1929" s="1">
        <v>25569</v>
      </c>
      <c r="X1929" s="1">
        <v>25569</v>
      </c>
      <c r="Y1929" s="1">
        <v>40179</v>
      </c>
      <c r="Z1929" t="s">
        <v>51</v>
      </c>
      <c r="AB1929" t="s">
        <v>54</v>
      </c>
      <c r="AD1929" t="s">
        <v>809</v>
      </c>
      <c r="AE1929" t="s">
        <v>810</v>
      </c>
      <c r="AF1929">
        <v>20</v>
      </c>
      <c r="AG1929" s="1">
        <v>43282</v>
      </c>
      <c r="AH1929" s="1">
        <v>43282</v>
      </c>
      <c r="AI1929" s="1">
        <v>43282</v>
      </c>
      <c r="AK1929" t="s">
        <v>51</v>
      </c>
      <c r="AN1929">
        <v>0</v>
      </c>
      <c r="AO1929" t="s">
        <v>54</v>
      </c>
      <c r="AP1929" t="s">
        <v>53</v>
      </c>
      <c r="AQ1929">
        <v>0</v>
      </c>
      <c r="AR1929" t="s">
        <v>53</v>
      </c>
      <c r="AS1929">
        <v>0</v>
      </c>
      <c r="AT1929">
        <v>0</v>
      </c>
      <c r="CC1929" t="s">
        <v>669</v>
      </c>
      <c r="CD1929">
        <v>85000</v>
      </c>
      <c r="CE1929" s="1">
        <v>43282</v>
      </c>
      <c r="CF1929" s="1">
        <v>43282</v>
      </c>
      <c r="CG1929" s="1">
        <v>43282</v>
      </c>
      <c r="CI1929" t="s">
        <v>51</v>
      </c>
      <c r="CK1929" t="s">
        <v>78</v>
      </c>
      <c r="CM1929" t="s">
        <v>54</v>
      </c>
      <c r="CN1929" t="s">
        <v>174</v>
      </c>
      <c r="CO1929" t="s">
        <v>86</v>
      </c>
      <c r="CR1929">
        <v>50</v>
      </c>
      <c r="CS1929">
        <v>0</v>
      </c>
      <c r="CT1929">
        <v>0</v>
      </c>
      <c r="CU1929">
        <v>0</v>
      </c>
    </row>
    <row r="1930" spans="1:99" x14ac:dyDescent="0.2">
      <c r="A1930" t="s">
        <v>367</v>
      </c>
      <c r="B1930" t="s">
        <v>440</v>
      </c>
      <c r="C1930" t="s">
        <v>441</v>
      </c>
      <c r="D1930" t="s">
        <v>806</v>
      </c>
      <c r="F1930" t="str">
        <f>"253754"</f>
        <v>253754</v>
      </c>
      <c r="G1930" t="s">
        <v>49</v>
      </c>
      <c r="K1930" t="s">
        <v>51</v>
      </c>
      <c r="L1930" t="s">
        <v>52</v>
      </c>
      <c r="M1930">
        <v>135681.13</v>
      </c>
      <c r="N1930">
        <v>468794.17</v>
      </c>
      <c r="O1930" t="s">
        <v>53</v>
      </c>
      <c r="P1930" t="s">
        <v>54</v>
      </c>
      <c r="Q1930" t="s">
        <v>55</v>
      </c>
      <c r="T1930" t="s">
        <v>431</v>
      </c>
      <c r="U1930">
        <v>40</v>
      </c>
      <c r="V1930" s="1">
        <v>25569</v>
      </c>
      <c r="W1930" s="1">
        <v>25569</v>
      </c>
      <c r="X1930" s="1">
        <v>25569</v>
      </c>
      <c r="Y1930" s="1">
        <v>40179</v>
      </c>
      <c r="Z1930" t="s">
        <v>51</v>
      </c>
      <c r="AB1930" t="s">
        <v>54</v>
      </c>
      <c r="AD1930" t="s">
        <v>809</v>
      </c>
      <c r="AE1930" t="s">
        <v>810</v>
      </c>
      <c r="AF1930">
        <v>20</v>
      </c>
      <c r="AG1930" s="1">
        <v>43282</v>
      </c>
      <c r="AH1930" s="1">
        <v>43282</v>
      </c>
      <c r="AI1930" s="1">
        <v>43282</v>
      </c>
      <c r="AK1930" t="s">
        <v>51</v>
      </c>
      <c r="AN1930">
        <v>0</v>
      </c>
      <c r="AO1930" t="s">
        <v>54</v>
      </c>
      <c r="AP1930" t="s">
        <v>53</v>
      </c>
      <c r="AQ1930">
        <v>0</v>
      </c>
      <c r="AR1930" t="s">
        <v>53</v>
      </c>
      <c r="AS1930">
        <v>0</v>
      </c>
      <c r="AT1930">
        <v>0</v>
      </c>
      <c r="CC1930" t="s">
        <v>669</v>
      </c>
      <c r="CD1930">
        <v>85000</v>
      </c>
      <c r="CE1930" s="1">
        <v>43282</v>
      </c>
      <c r="CF1930" s="1">
        <v>43282</v>
      </c>
      <c r="CG1930" s="1">
        <v>43282</v>
      </c>
      <c r="CI1930" t="s">
        <v>51</v>
      </c>
      <c r="CK1930" t="s">
        <v>78</v>
      </c>
      <c r="CM1930" t="s">
        <v>54</v>
      </c>
      <c r="CN1930" t="s">
        <v>174</v>
      </c>
      <c r="CO1930" t="s">
        <v>86</v>
      </c>
      <c r="CR1930">
        <v>50</v>
      </c>
      <c r="CS1930">
        <v>0</v>
      </c>
      <c r="CT1930">
        <v>0</v>
      </c>
      <c r="CU1930">
        <v>0</v>
      </c>
    </row>
    <row r="1931" spans="1:99" x14ac:dyDescent="0.2">
      <c r="A1931" t="s">
        <v>367</v>
      </c>
      <c r="B1931" t="s">
        <v>440</v>
      </c>
      <c r="C1931" t="s">
        <v>441</v>
      </c>
      <c r="D1931" t="s">
        <v>806</v>
      </c>
      <c r="F1931" t="str">
        <f>"253755"</f>
        <v>253755</v>
      </c>
      <c r="G1931" t="s">
        <v>49</v>
      </c>
      <c r="K1931" t="s">
        <v>51</v>
      </c>
      <c r="L1931" t="s">
        <v>52</v>
      </c>
      <c r="M1931">
        <v>135563.29</v>
      </c>
      <c r="N1931">
        <v>468798.38</v>
      </c>
      <c r="O1931" t="s">
        <v>53</v>
      </c>
      <c r="P1931" t="s">
        <v>54</v>
      </c>
      <c r="Q1931" t="s">
        <v>55</v>
      </c>
      <c r="T1931" t="s">
        <v>431</v>
      </c>
      <c r="U1931">
        <v>40</v>
      </c>
      <c r="V1931" s="1">
        <v>25569</v>
      </c>
      <c r="W1931" s="1">
        <v>25569</v>
      </c>
      <c r="X1931" s="1">
        <v>25569</v>
      </c>
      <c r="Y1931" s="1">
        <v>40179</v>
      </c>
      <c r="Z1931" t="s">
        <v>51</v>
      </c>
      <c r="AB1931" t="s">
        <v>54</v>
      </c>
      <c r="AD1931" t="s">
        <v>809</v>
      </c>
      <c r="AE1931" t="s">
        <v>810</v>
      </c>
      <c r="AF1931">
        <v>20</v>
      </c>
      <c r="AG1931" s="1">
        <v>43282</v>
      </c>
      <c r="AH1931" s="1">
        <v>43282</v>
      </c>
      <c r="AI1931" s="1">
        <v>43282</v>
      </c>
      <c r="AK1931" t="s">
        <v>51</v>
      </c>
      <c r="AN1931">
        <v>0</v>
      </c>
      <c r="AO1931" t="s">
        <v>54</v>
      </c>
      <c r="AP1931" t="s">
        <v>53</v>
      </c>
      <c r="AQ1931">
        <v>0</v>
      </c>
      <c r="AR1931" t="s">
        <v>53</v>
      </c>
      <c r="AS1931">
        <v>0</v>
      </c>
      <c r="AT1931">
        <v>0</v>
      </c>
      <c r="CC1931" t="s">
        <v>669</v>
      </c>
      <c r="CD1931">
        <v>85000</v>
      </c>
      <c r="CE1931" s="1">
        <v>43282</v>
      </c>
      <c r="CF1931" s="1">
        <v>43282</v>
      </c>
      <c r="CG1931" s="1">
        <v>43282</v>
      </c>
      <c r="CI1931" t="s">
        <v>51</v>
      </c>
      <c r="CK1931" t="s">
        <v>78</v>
      </c>
      <c r="CM1931" t="s">
        <v>54</v>
      </c>
      <c r="CN1931" t="s">
        <v>174</v>
      </c>
      <c r="CO1931" t="s">
        <v>86</v>
      </c>
      <c r="CR1931">
        <v>50</v>
      </c>
      <c r="CS1931">
        <v>0</v>
      </c>
      <c r="CT1931">
        <v>0</v>
      </c>
      <c r="CU1931">
        <v>0</v>
      </c>
    </row>
    <row r="1932" spans="1:99" x14ac:dyDescent="0.2">
      <c r="A1932" t="s">
        <v>367</v>
      </c>
      <c r="B1932" t="s">
        <v>440</v>
      </c>
      <c r="C1932" t="s">
        <v>441</v>
      </c>
      <c r="D1932" t="s">
        <v>806</v>
      </c>
      <c r="F1932" t="str">
        <f>"253756"</f>
        <v>253756</v>
      </c>
      <c r="G1932" t="s">
        <v>49</v>
      </c>
      <c r="K1932" t="s">
        <v>51</v>
      </c>
      <c r="L1932" t="s">
        <v>52</v>
      </c>
      <c r="M1932">
        <v>135501.38</v>
      </c>
      <c r="N1932">
        <v>468800.8</v>
      </c>
      <c r="O1932" t="s">
        <v>53</v>
      </c>
      <c r="P1932" t="s">
        <v>54</v>
      </c>
      <c r="Q1932" t="s">
        <v>55</v>
      </c>
      <c r="T1932" t="s">
        <v>431</v>
      </c>
      <c r="U1932">
        <v>40</v>
      </c>
      <c r="V1932" s="1">
        <v>25569</v>
      </c>
      <c r="W1932" s="1">
        <v>25569</v>
      </c>
      <c r="X1932" s="1">
        <v>25569</v>
      </c>
      <c r="Y1932" s="1">
        <v>40179</v>
      </c>
      <c r="Z1932" t="s">
        <v>51</v>
      </c>
      <c r="AB1932" t="s">
        <v>54</v>
      </c>
      <c r="AD1932" t="s">
        <v>809</v>
      </c>
      <c r="AE1932" t="s">
        <v>810</v>
      </c>
      <c r="AF1932">
        <v>20</v>
      </c>
      <c r="AG1932" s="1">
        <v>43282</v>
      </c>
      <c r="AH1932" s="1">
        <v>43282</v>
      </c>
      <c r="AI1932" s="1">
        <v>43282</v>
      </c>
      <c r="AK1932" t="s">
        <v>51</v>
      </c>
      <c r="AN1932">
        <v>0</v>
      </c>
      <c r="AO1932" t="s">
        <v>54</v>
      </c>
      <c r="AP1932" t="s">
        <v>53</v>
      </c>
      <c r="AQ1932">
        <v>0</v>
      </c>
      <c r="AR1932" t="s">
        <v>53</v>
      </c>
      <c r="AS1932">
        <v>0</v>
      </c>
      <c r="AT1932">
        <v>0</v>
      </c>
      <c r="CC1932" t="s">
        <v>669</v>
      </c>
      <c r="CD1932">
        <v>85000</v>
      </c>
      <c r="CE1932" s="1">
        <v>43282</v>
      </c>
      <c r="CF1932" s="1">
        <v>43282</v>
      </c>
      <c r="CG1932" s="1">
        <v>43282</v>
      </c>
      <c r="CI1932" t="s">
        <v>51</v>
      </c>
      <c r="CK1932" t="s">
        <v>78</v>
      </c>
      <c r="CM1932" t="s">
        <v>54</v>
      </c>
      <c r="CN1932" t="s">
        <v>174</v>
      </c>
      <c r="CO1932" t="s">
        <v>86</v>
      </c>
      <c r="CR1932">
        <v>50</v>
      </c>
      <c r="CS1932">
        <v>0</v>
      </c>
      <c r="CT1932">
        <v>0</v>
      </c>
      <c r="CU1932">
        <v>0</v>
      </c>
    </row>
    <row r="1933" spans="1:99" x14ac:dyDescent="0.2">
      <c r="A1933" t="s">
        <v>367</v>
      </c>
      <c r="B1933" t="s">
        <v>440</v>
      </c>
      <c r="C1933" t="s">
        <v>441</v>
      </c>
      <c r="D1933" t="s">
        <v>806</v>
      </c>
      <c r="F1933" t="str">
        <f>"253757"</f>
        <v>253757</v>
      </c>
      <c r="G1933" t="s">
        <v>49</v>
      </c>
      <c r="K1933" t="s">
        <v>51</v>
      </c>
      <c r="L1933" t="s">
        <v>52</v>
      </c>
      <c r="M1933">
        <v>135438.53</v>
      </c>
      <c r="N1933">
        <v>468804.1</v>
      </c>
      <c r="O1933" t="s">
        <v>53</v>
      </c>
      <c r="P1933" t="s">
        <v>54</v>
      </c>
      <c r="Q1933" t="s">
        <v>55</v>
      </c>
      <c r="T1933" t="s">
        <v>431</v>
      </c>
      <c r="U1933">
        <v>40</v>
      </c>
      <c r="V1933" s="1">
        <v>25569</v>
      </c>
      <c r="W1933" s="1">
        <v>25569</v>
      </c>
      <c r="X1933" s="1">
        <v>25569</v>
      </c>
      <c r="Y1933" s="1">
        <v>40179</v>
      </c>
      <c r="Z1933" t="s">
        <v>51</v>
      </c>
      <c r="AB1933" t="s">
        <v>54</v>
      </c>
      <c r="AD1933" t="s">
        <v>809</v>
      </c>
      <c r="AE1933" t="s">
        <v>810</v>
      </c>
      <c r="AF1933">
        <v>20</v>
      </c>
      <c r="AG1933" s="1">
        <v>43282</v>
      </c>
      <c r="AH1933" s="1">
        <v>43282</v>
      </c>
      <c r="AI1933" s="1">
        <v>43282</v>
      </c>
      <c r="AK1933" t="s">
        <v>51</v>
      </c>
      <c r="AN1933">
        <v>0</v>
      </c>
      <c r="AO1933" t="s">
        <v>54</v>
      </c>
      <c r="AP1933" t="s">
        <v>53</v>
      </c>
      <c r="AQ1933">
        <v>0</v>
      </c>
      <c r="AR1933" t="s">
        <v>53</v>
      </c>
      <c r="AS1933">
        <v>0</v>
      </c>
      <c r="AT1933">
        <v>0</v>
      </c>
      <c r="CC1933" t="s">
        <v>669</v>
      </c>
      <c r="CD1933">
        <v>85000</v>
      </c>
      <c r="CE1933" s="1">
        <v>43282</v>
      </c>
      <c r="CF1933" s="1">
        <v>43282</v>
      </c>
      <c r="CG1933" s="1">
        <v>43282</v>
      </c>
      <c r="CI1933" t="s">
        <v>51</v>
      </c>
      <c r="CK1933" t="s">
        <v>78</v>
      </c>
      <c r="CM1933" t="s">
        <v>54</v>
      </c>
      <c r="CN1933" t="s">
        <v>174</v>
      </c>
      <c r="CO1933" t="s">
        <v>86</v>
      </c>
      <c r="CR1933">
        <v>50</v>
      </c>
      <c r="CS1933">
        <v>0</v>
      </c>
      <c r="CT1933">
        <v>0</v>
      </c>
      <c r="CU1933">
        <v>0</v>
      </c>
    </row>
    <row r="1934" spans="1:99" x14ac:dyDescent="0.2">
      <c r="A1934" t="s">
        <v>367</v>
      </c>
      <c r="B1934" t="s">
        <v>440</v>
      </c>
      <c r="C1934" t="s">
        <v>441</v>
      </c>
      <c r="D1934" t="s">
        <v>806</v>
      </c>
      <c r="F1934" t="str">
        <f>"253758"</f>
        <v>253758</v>
      </c>
      <c r="G1934" t="s">
        <v>49</v>
      </c>
      <c r="K1934" t="s">
        <v>51</v>
      </c>
      <c r="L1934" t="s">
        <v>52</v>
      </c>
      <c r="M1934">
        <v>135383.37</v>
      </c>
      <c r="N1934">
        <v>468805.65</v>
      </c>
      <c r="O1934" t="s">
        <v>53</v>
      </c>
      <c r="P1934" t="s">
        <v>54</v>
      </c>
      <c r="Q1934" t="s">
        <v>55</v>
      </c>
      <c r="T1934" t="s">
        <v>431</v>
      </c>
      <c r="U1934">
        <v>40</v>
      </c>
      <c r="V1934" s="1">
        <v>25569</v>
      </c>
      <c r="W1934" s="1">
        <v>25569</v>
      </c>
      <c r="X1934" s="1">
        <v>25569</v>
      </c>
      <c r="Y1934" s="1">
        <v>40179</v>
      </c>
      <c r="Z1934" t="s">
        <v>51</v>
      </c>
      <c r="AB1934" t="s">
        <v>54</v>
      </c>
      <c r="AD1934" t="s">
        <v>809</v>
      </c>
      <c r="AE1934" t="s">
        <v>810</v>
      </c>
      <c r="AF1934">
        <v>20</v>
      </c>
      <c r="AG1934" s="1">
        <v>43282</v>
      </c>
      <c r="AH1934" s="1">
        <v>43282</v>
      </c>
      <c r="AI1934" s="1">
        <v>43282</v>
      </c>
      <c r="AK1934" t="s">
        <v>51</v>
      </c>
      <c r="AN1934">
        <v>0</v>
      </c>
      <c r="AO1934" t="s">
        <v>54</v>
      </c>
      <c r="AP1934" t="s">
        <v>53</v>
      </c>
      <c r="AQ1934">
        <v>0</v>
      </c>
      <c r="AR1934" t="s">
        <v>53</v>
      </c>
      <c r="AS1934">
        <v>0</v>
      </c>
      <c r="AT1934">
        <v>0</v>
      </c>
      <c r="CC1934" t="s">
        <v>669</v>
      </c>
      <c r="CD1934">
        <v>85000</v>
      </c>
      <c r="CE1934" s="1">
        <v>43282</v>
      </c>
      <c r="CF1934" s="1">
        <v>43282</v>
      </c>
      <c r="CG1934" s="1">
        <v>43282</v>
      </c>
      <c r="CI1934" t="s">
        <v>51</v>
      </c>
      <c r="CK1934" t="s">
        <v>78</v>
      </c>
      <c r="CM1934" t="s">
        <v>54</v>
      </c>
      <c r="CN1934" t="s">
        <v>174</v>
      </c>
      <c r="CO1934" t="s">
        <v>86</v>
      </c>
      <c r="CR1934">
        <v>50</v>
      </c>
      <c r="CS1934">
        <v>0</v>
      </c>
      <c r="CT1934">
        <v>0</v>
      </c>
      <c r="CU1934">
        <v>0</v>
      </c>
    </row>
    <row r="1935" spans="1:99" x14ac:dyDescent="0.2">
      <c r="A1935" t="s">
        <v>367</v>
      </c>
      <c r="B1935" t="s">
        <v>440</v>
      </c>
      <c r="C1935" t="s">
        <v>441</v>
      </c>
      <c r="D1935" t="s">
        <v>806</v>
      </c>
      <c r="F1935" t="str">
        <f>"253759"</f>
        <v>253759</v>
      </c>
      <c r="G1935" t="s">
        <v>49</v>
      </c>
      <c r="K1935" t="s">
        <v>51</v>
      </c>
      <c r="L1935" t="s">
        <v>52</v>
      </c>
      <c r="M1935">
        <v>135325.28</v>
      </c>
      <c r="N1935">
        <v>468806.35</v>
      </c>
      <c r="O1935" t="s">
        <v>53</v>
      </c>
      <c r="P1935" t="s">
        <v>54</v>
      </c>
      <c r="Q1935" t="s">
        <v>55</v>
      </c>
      <c r="T1935" t="s">
        <v>431</v>
      </c>
      <c r="U1935">
        <v>40</v>
      </c>
      <c r="V1935" s="1">
        <v>25569</v>
      </c>
      <c r="W1935" s="1">
        <v>25569</v>
      </c>
      <c r="X1935" s="1">
        <v>25569</v>
      </c>
      <c r="Y1935" s="1">
        <v>40179</v>
      </c>
      <c r="Z1935" t="s">
        <v>51</v>
      </c>
      <c r="AB1935" t="s">
        <v>54</v>
      </c>
      <c r="AD1935" t="s">
        <v>809</v>
      </c>
      <c r="AE1935" t="s">
        <v>810</v>
      </c>
      <c r="AF1935">
        <v>20</v>
      </c>
      <c r="AG1935" s="1">
        <v>43282</v>
      </c>
      <c r="AH1935" s="1">
        <v>43282</v>
      </c>
      <c r="AI1935" s="1">
        <v>43282</v>
      </c>
      <c r="AK1935" t="s">
        <v>51</v>
      </c>
      <c r="AN1935">
        <v>0</v>
      </c>
      <c r="AO1935" t="s">
        <v>54</v>
      </c>
      <c r="AP1935" t="s">
        <v>53</v>
      </c>
      <c r="AQ1935">
        <v>0</v>
      </c>
      <c r="AR1935" t="s">
        <v>53</v>
      </c>
      <c r="AS1935">
        <v>0</v>
      </c>
      <c r="AT1935">
        <v>0</v>
      </c>
      <c r="CC1935" t="s">
        <v>669</v>
      </c>
      <c r="CD1935">
        <v>85000</v>
      </c>
      <c r="CE1935" s="1">
        <v>43282</v>
      </c>
      <c r="CF1935" s="1">
        <v>43282</v>
      </c>
      <c r="CG1935" s="1">
        <v>43282</v>
      </c>
      <c r="CI1935" t="s">
        <v>51</v>
      </c>
      <c r="CK1935" t="s">
        <v>78</v>
      </c>
      <c r="CM1935" t="s">
        <v>54</v>
      </c>
      <c r="CN1935" t="s">
        <v>174</v>
      </c>
      <c r="CO1935" t="s">
        <v>86</v>
      </c>
      <c r="CR1935">
        <v>50</v>
      </c>
      <c r="CS1935">
        <v>0</v>
      </c>
      <c r="CT1935">
        <v>0</v>
      </c>
      <c r="CU1935">
        <v>0</v>
      </c>
    </row>
    <row r="1936" spans="1:99" x14ac:dyDescent="0.2">
      <c r="A1936" t="s">
        <v>367</v>
      </c>
      <c r="B1936" t="s">
        <v>440</v>
      </c>
      <c r="C1936" t="s">
        <v>441</v>
      </c>
      <c r="D1936" t="s">
        <v>806</v>
      </c>
      <c r="F1936" t="str">
        <f>"253760"</f>
        <v>253760</v>
      </c>
      <c r="G1936" t="s">
        <v>49</v>
      </c>
      <c r="K1936" t="s">
        <v>51</v>
      </c>
      <c r="L1936" t="s">
        <v>52</v>
      </c>
      <c r="M1936">
        <v>135254.04999999999</v>
      </c>
      <c r="N1936">
        <v>468810.81</v>
      </c>
      <c r="O1936" t="s">
        <v>53</v>
      </c>
      <c r="P1936" t="s">
        <v>54</v>
      </c>
      <c r="Q1936" t="s">
        <v>55</v>
      </c>
      <c r="T1936" t="s">
        <v>431</v>
      </c>
      <c r="U1936">
        <v>40</v>
      </c>
      <c r="V1936" s="1">
        <v>25569</v>
      </c>
      <c r="W1936" s="1">
        <v>25569</v>
      </c>
      <c r="X1936" s="1">
        <v>25569</v>
      </c>
      <c r="Y1936" s="1">
        <v>40179</v>
      </c>
      <c r="Z1936" t="s">
        <v>51</v>
      </c>
      <c r="AB1936" t="s">
        <v>54</v>
      </c>
      <c r="AD1936" t="s">
        <v>809</v>
      </c>
      <c r="AE1936" t="s">
        <v>810</v>
      </c>
      <c r="AF1936">
        <v>20</v>
      </c>
      <c r="AG1936" s="1">
        <v>43282</v>
      </c>
      <c r="AH1936" s="1">
        <v>43282</v>
      </c>
      <c r="AI1936" s="1">
        <v>43282</v>
      </c>
      <c r="AK1936" t="s">
        <v>51</v>
      </c>
      <c r="AN1936">
        <v>0</v>
      </c>
      <c r="AO1936" t="s">
        <v>54</v>
      </c>
      <c r="AP1936" t="s">
        <v>53</v>
      </c>
      <c r="AQ1936">
        <v>0</v>
      </c>
      <c r="AR1936" t="s">
        <v>53</v>
      </c>
      <c r="AS1936">
        <v>0</v>
      </c>
      <c r="AT1936">
        <v>0</v>
      </c>
      <c r="CC1936" t="s">
        <v>669</v>
      </c>
      <c r="CD1936">
        <v>85000</v>
      </c>
      <c r="CE1936" s="1">
        <v>43282</v>
      </c>
      <c r="CF1936" s="1">
        <v>43282</v>
      </c>
      <c r="CG1936" s="1">
        <v>43282</v>
      </c>
      <c r="CI1936" t="s">
        <v>51</v>
      </c>
      <c r="CK1936" t="s">
        <v>78</v>
      </c>
      <c r="CM1936" t="s">
        <v>54</v>
      </c>
      <c r="CN1936" t="s">
        <v>174</v>
      </c>
      <c r="CO1936" t="s">
        <v>86</v>
      </c>
      <c r="CR1936">
        <v>50</v>
      </c>
      <c r="CS1936">
        <v>0</v>
      </c>
      <c r="CT1936">
        <v>0</v>
      </c>
      <c r="CU1936">
        <v>0</v>
      </c>
    </row>
    <row r="1937" spans="1:99" x14ac:dyDescent="0.2">
      <c r="A1937" t="s">
        <v>367</v>
      </c>
      <c r="B1937" t="s">
        <v>440</v>
      </c>
      <c r="C1937" t="s">
        <v>441</v>
      </c>
      <c r="D1937" t="s">
        <v>806</v>
      </c>
      <c r="F1937" t="str">
        <f>"253761"</f>
        <v>253761</v>
      </c>
      <c r="G1937" t="s">
        <v>49</v>
      </c>
      <c r="K1937" t="s">
        <v>51</v>
      </c>
      <c r="L1937" t="s">
        <v>52</v>
      </c>
      <c r="M1937">
        <v>135198.57</v>
      </c>
      <c r="N1937">
        <v>468811.51</v>
      </c>
      <c r="O1937" t="s">
        <v>53</v>
      </c>
      <c r="P1937" t="s">
        <v>54</v>
      </c>
      <c r="Q1937" t="s">
        <v>55</v>
      </c>
      <c r="T1937" t="s">
        <v>431</v>
      </c>
      <c r="U1937">
        <v>40</v>
      </c>
      <c r="V1937" s="1">
        <v>25569</v>
      </c>
      <c r="W1937" s="1">
        <v>25569</v>
      </c>
      <c r="X1937" s="1">
        <v>25569</v>
      </c>
      <c r="Y1937" s="1">
        <v>40179</v>
      </c>
      <c r="Z1937" t="s">
        <v>51</v>
      </c>
      <c r="AB1937" t="s">
        <v>54</v>
      </c>
      <c r="AD1937" t="s">
        <v>809</v>
      </c>
      <c r="AE1937" t="s">
        <v>810</v>
      </c>
      <c r="AF1937">
        <v>20</v>
      </c>
      <c r="AG1937" s="1">
        <v>43282</v>
      </c>
      <c r="AH1937" s="1">
        <v>43282</v>
      </c>
      <c r="AI1937" s="1">
        <v>43282</v>
      </c>
      <c r="AK1937" t="s">
        <v>51</v>
      </c>
      <c r="AN1937">
        <v>0</v>
      </c>
      <c r="AO1937" t="s">
        <v>54</v>
      </c>
      <c r="AP1937" t="s">
        <v>53</v>
      </c>
      <c r="AQ1937">
        <v>0</v>
      </c>
      <c r="AR1937" t="s">
        <v>53</v>
      </c>
      <c r="AS1937">
        <v>0</v>
      </c>
      <c r="AT1937">
        <v>0</v>
      </c>
      <c r="CC1937" t="s">
        <v>669</v>
      </c>
      <c r="CD1937">
        <v>85000</v>
      </c>
      <c r="CE1937" s="1">
        <v>43282</v>
      </c>
      <c r="CF1937" s="1">
        <v>43282</v>
      </c>
      <c r="CG1937" s="1">
        <v>43282</v>
      </c>
      <c r="CI1937" t="s">
        <v>51</v>
      </c>
      <c r="CK1937" t="s">
        <v>78</v>
      </c>
      <c r="CM1937" t="s">
        <v>54</v>
      </c>
      <c r="CN1937" t="s">
        <v>174</v>
      </c>
      <c r="CO1937" t="s">
        <v>86</v>
      </c>
      <c r="CR1937">
        <v>50</v>
      </c>
      <c r="CS1937">
        <v>0</v>
      </c>
      <c r="CT1937">
        <v>0</v>
      </c>
      <c r="CU1937">
        <v>0</v>
      </c>
    </row>
    <row r="1938" spans="1:99" x14ac:dyDescent="0.2">
      <c r="A1938" t="s">
        <v>367</v>
      </c>
      <c r="B1938" t="s">
        <v>440</v>
      </c>
      <c r="C1938" t="s">
        <v>441</v>
      </c>
      <c r="D1938" t="s">
        <v>806</v>
      </c>
      <c r="F1938" t="str">
        <f>"253762"</f>
        <v>253762</v>
      </c>
      <c r="G1938" t="s">
        <v>49</v>
      </c>
      <c r="K1938" t="s">
        <v>51</v>
      </c>
      <c r="L1938" t="s">
        <v>52</v>
      </c>
      <c r="M1938">
        <v>135141.66</v>
      </c>
      <c r="N1938">
        <v>468810.67</v>
      </c>
      <c r="O1938" t="s">
        <v>53</v>
      </c>
      <c r="P1938" t="s">
        <v>54</v>
      </c>
      <c r="Q1938" t="s">
        <v>55</v>
      </c>
      <c r="T1938" t="s">
        <v>431</v>
      </c>
      <c r="U1938">
        <v>40</v>
      </c>
      <c r="V1938" s="1">
        <v>25569</v>
      </c>
      <c r="W1938" s="1">
        <v>25569</v>
      </c>
      <c r="X1938" s="1">
        <v>25569</v>
      </c>
      <c r="Y1938" s="1">
        <v>40179</v>
      </c>
      <c r="Z1938" t="s">
        <v>51</v>
      </c>
      <c r="AB1938" t="s">
        <v>54</v>
      </c>
      <c r="AD1938" t="s">
        <v>809</v>
      </c>
      <c r="AE1938" t="s">
        <v>810</v>
      </c>
      <c r="AF1938">
        <v>20</v>
      </c>
      <c r="AG1938" s="1">
        <v>43282</v>
      </c>
      <c r="AH1938" s="1">
        <v>43282</v>
      </c>
      <c r="AI1938" s="1">
        <v>43282</v>
      </c>
      <c r="AK1938" t="s">
        <v>51</v>
      </c>
      <c r="AN1938">
        <v>0</v>
      </c>
      <c r="AO1938" t="s">
        <v>54</v>
      </c>
      <c r="AP1938" t="s">
        <v>53</v>
      </c>
      <c r="AQ1938">
        <v>0</v>
      </c>
      <c r="AR1938" t="s">
        <v>53</v>
      </c>
      <c r="AS1938">
        <v>0</v>
      </c>
      <c r="AT1938">
        <v>0</v>
      </c>
      <c r="CC1938" t="s">
        <v>669</v>
      </c>
      <c r="CD1938">
        <v>85000</v>
      </c>
      <c r="CE1938" s="1">
        <v>43282</v>
      </c>
      <c r="CF1938" s="1">
        <v>43282</v>
      </c>
      <c r="CG1938" s="1">
        <v>43282</v>
      </c>
      <c r="CI1938" t="s">
        <v>51</v>
      </c>
      <c r="CK1938" t="s">
        <v>78</v>
      </c>
      <c r="CM1938" t="s">
        <v>54</v>
      </c>
      <c r="CN1938" t="s">
        <v>174</v>
      </c>
      <c r="CO1938" t="s">
        <v>86</v>
      </c>
      <c r="CR1938">
        <v>50</v>
      </c>
      <c r="CS1938">
        <v>0</v>
      </c>
      <c r="CT1938">
        <v>0</v>
      </c>
      <c r="CU1938">
        <v>0</v>
      </c>
    </row>
    <row r="1939" spans="1:99" x14ac:dyDescent="0.2">
      <c r="A1939" t="s">
        <v>367</v>
      </c>
      <c r="B1939" t="s">
        <v>440</v>
      </c>
      <c r="C1939" t="s">
        <v>441</v>
      </c>
      <c r="D1939" t="s">
        <v>806</v>
      </c>
      <c r="F1939" t="str">
        <f>"253763"</f>
        <v>253763</v>
      </c>
      <c r="G1939" t="s">
        <v>49</v>
      </c>
      <c r="K1939" t="s">
        <v>51</v>
      </c>
      <c r="L1939" t="s">
        <v>52</v>
      </c>
      <c r="M1939">
        <v>135020.48000000001</v>
      </c>
      <c r="N1939">
        <v>468810.28</v>
      </c>
      <c r="O1939" t="s">
        <v>53</v>
      </c>
      <c r="P1939" t="s">
        <v>54</v>
      </c>
      <c r="Q1939" t="s">
        <v>55</v>
      </c>
      <c r="T1939" t="s">
        <v>431</v>
      </c>
      <c r="U1939">
        <v>40</v>
      </c>
      <c r="V1939" s="1">
        <v>25569</v>
      </c>
      <c r="W1939" s="1">
        <v>25569</v>
      </c>
      <c r="X1939" s="1">
        <v>25569</v>
      </c>
      <c r="Y1939" s="1">
        <v>40179</v>
      </c>
      <c r="Z1939" t="s">
        <v>51</v>
      </c>
      <c r="AB1939" t="s">
        <v>54</v>
      </c>
      <c r="AD1939" t="s">
        <v>809</v>
      </c>
      <c r="AE1939" t="s">
        <v>810</v>
      </c>
      <c r="AF1939">
        <v>20</v>
      </c>
      <c r="AG1939" s="1">
        <v>43282</v>
      </c>
      <c r="AH1939" s="1">
        <v>43282</v>
      </c>
      <c r="AI1939" s="1">
        <v>43282</v>
      </c>
      <c r="AK1939" t="s">
        <v>51</v>
      </c>
      <c r="AN1939">
        <v>0</v>
      </c>
      <c r="AO1939" t="s">
        <v>54</v>
      </c>
      <c r="AP1939" t="s">
        <v>53</v>
      </c>
      <c r="AQ1939">
        <v>0</v>
      </c>
      <c r="AR1939" t="s">
        <v>53</v>
      </c>
      <c r="AS1939">
        <v>0</v>
      </c>
      <c r="AT1939">
        <v>0</v>
      </c>
      <c r="CC1939" t="s">
        <v>669</v>
      </c>
      <c r="CD1939">
        <v>85000</v>
      </c>
      <c r="CE1939" s="1">
        <v>43282</v>
      </c>
      <c r="CF1939" s="1">
        <v>43282</v>
      </c>
      <c r="CG1939" s="1">
        <v>43282</v>
      </c>
      <c r="CI1939" t="s">
        <v>51</v>
      </c>
      <c r="CK1939" t="s">
        <v>78</v>
      </c>
      <c r="CM1939" t="s">
        <v>54</v>
      </c>
      <c r="CN1939" t="s">
        <v>174</v>
      </c>
      <c r="CO1939" t="s">
        <v>86</v>
      </c>
      <c r="CR1939">
        <v>50</v>
      </c>
      <c r="CS1939">
        <v>0</v>
      </c>
      <c r="CT1939">
        <v>0</v>
      </c>
      <c r="CU1939">
        <v>0</v>
      </c>
    </row>
    <row r="1940" spans="1:99" x14ac:dyDescent="0.2">
      <c r="A1940" t="s">
        <v>367</v>
      </c>
      <c r="B1940" t="s">
        <v>440</v>
      </c>
      <c r="C1940" t="s">
        <v>441</v>
      </c>
      <c r="D1940" t="s">
        <v>806</v>
      </c>
      <c r="F1940" t="str">
        <f>"253764"</f>
        <v>253764</v>
      </c>
      <c r="G1940" t="s">
        <v>49</v>
      </c>
      <c r="K1940" t="s">
        <v>51</v>
      </c>
      <c r="L1940" t="s">
        <v>52</v>
      </c>
      <c r="M1940">
        <v>134986.73000000001</v>
      </c>
      <c r="N1940">
        <v>468810.01</v>
      </c>
      <c r="O1940" t="s">
        <v>53</v>
      </c>
      <c r="P1940" t="s">
        <v>54</v>
      </c>
      <c r="Q1940" t="s">
        <v>55</v>
      </c>
      <c r="T1940" t="s">
        <v>431</v>
      </c>
      <c r="U1940">
        <v>40</v>
      </c>
      <c r="V1940" s="1">
        <v>25569</v>
      </c>
      <c r="W1940" s="1">
        <v>25569</v>
      </c>
      <c r="X1940" s="1">
        <v>25569</v>
      </c>
      <c r="Y1940" s="1">
        <v>40179</v>
      </c>
      <c r="Z1940" t="s">
        <v>51</v>
      </c>
      <c r="AB1940" t="s">
        <v>54</v>
      </c>
      <c r="AD1940" t="s">
        <v>809</v>
      </c>
      <c r="AE1940" t="s">
        <v>810</v>
      </c>
      <c r="AF1940">
        <v>20</v>
      </c>
      <c r="AG1940" s="1">
        <v>43282</v>
      </c>
      <c r="AH1940" s="1">
        <v>43282</v>
      </c>
      <c r="AI1940" s="1">
        <v>43282</v>
      </c>
      <c r="AK1940" t="s">
        <v>51</v>
      </c>
      <c r="AN1940">
        <v>0</v>
      </c>
      <c r="AO1940" t="s">
        <v>54</v>
      </c>
      <c r="AP1940" t="s">
        <v>53</v>
      </c>
      <c r="AQ1940">
        <v>0</v>
      </c>
      <c r="AR1940" t="s">
        <v>53</v>
      </c>
      <c r="AS1940">
        <v>0</v>
      </c>
      <c r="AT1940">
        <v>0</v>
      </c>
      <c r="CC1940" t="s">
        <v>669</v>
      </c>
      <c r="CD1940">
        <v>85000</v>
      </c>
      <c r="CE1940" s="1">
        <v>43282</v>
      </c>
      <c r="CF1940" s="1">
        <v>43282</v>
      </c>
      <c r="CG1940" s="1">
        <v>43282</v>
      </c>
      <c r="CI1940" t="s">
        <v>51</v>
      </c>
      <c r="CK1940" t="s">
        <v>78</v>
      </c>
      <c r="CM1940" t="s">
        <v>54</v>
      </c>
      <c r="CN1940" t="s">
        <v>174</v>
      </c>
      <c r="CO1940" t="s">
        <v>86</v>
      </c>
      <c r="CR1940">
        <v>50</v>
      </c>
      <c r="CS1940">
        <v>0</v>
      </c>
      <c r="CT1940">
        <v>0</v>
      </c>
      <c r="CU1940">
        <v>0</v>
      </c>
    </row>
    <row r="1941" spans="1:99" x14ac:dyDescent="0.2">
      <c r="A1941" t="s">
        <v>367</v>
      </c>
      <c r="B1941" t="s">
        <v>440</v>
      </c>
      <c r="C1941" t="s">
        <v>441</v>
      </c>
      <c r="D1941" t="s">
        <v>806</v>
      </c>
      <c r="F1941" t="str">
        <f>"253765"</f>
        <v>253765</v>
      </c>
      <c r="G1941" t="s">
        <v>49</v>
      </c>
      <c r="K1941" t="s">
        <v>51</v>
      </c>
      <c r="L1941" t="s">
        <v>52</v>
      </c>
      <c r="M1941">
        <v>134927.4</v>
      </c>
      <c r="N1941">
        <v>468809.55</v>
      </c>
      <c r="O1941" t="s">
        <v>53</v>
      </c>
      <c r="P1941" t="s">
        <v>54</v>
      </c>
      <c r="Q1941" t="s">
        <v>55</v>
      </c>
      <c r="T1941" t="s">
        <v>431</v>
      </c>
      <c r="U1941">
        <v>40</v>
      </c>
      <c r="V1941" s="1">
        <v>25569</v>
      </c>
      <c r="W1941" s="1">
        <v>25569</v>
      </c>
      <c r="X1941" s="1">
        <v>25569</v>
      </c>
      <c r="Y1941" s="1">
        <v>40179</v>
      </c>
      <c r="Z1941" t="s">
        <v>51</v>
      </c>
      <c r="AB1941" t="s">
        <v>54</v>
      </c>
      <c r="AD1941" t="s">
        <v>809</v>
      </c>
      <c r="AE1941" t="s">
        <v>810</v>
      </c>
      <c r="AF1941">
        <v>20</v>
      </c>
      <c r="AG1941" s="1">
        <v>43282</v>
      </c>
      <c r="AH1941" s="1">
        <v>43282</v>
      </c>
      <c r="AI1941" s="1">
        <v>43282</v>
      </c>
      <c r="AK1941" t="s">
        <v>51</v>
      </c>
      <c r="AN1941">
        <v>0</v>
      </c>
      <c r="AO1941" t="s">
        <v>54</v>
      </c>
      <c r="AP1941" t="s">
        <v>53</v>
      </c>
      <c r="AQ1941">
        <v>0</v>
      </c>
      <c r="AR1941" t="s">
        <v>53</v>
      </c>
      <c r="AS1941">
        <v>0</v>
      </c>
      <c r="AT1941">
        <v>0</v>
      </c>
      <c r="CC1941" t="s">
        <v>669</v>
      </c>
      <c r="CD1941">
        <v>85000</v>
      </c>
      <c r="CE1941" s="1">
        <v>43282</v>
      </c>
      <c r="CF1941" s="1">
        <v>43282</v>
      </c>
      <c r="CG1941" s="1">
        <v>43282</v>
      </c>
      <c r="CI1941" t="s">
        <v>51</v>
      </c>
      <c r="CK1941" t="s">
        <v>78</v>
      </c>
      <c r="CM1941" t="s">
        <v>54</v>
      </c>
      <c r="CN1941" t="s">
        <v>174</v>
      </c>
      <c r="CO1941" t="s">
        <v>86</v>
      </c>
      <c r="CR1941">
        <v>50</v>
      </c>
      <c r="CS1941">
        <v>0</v>
      </c>
      <c r="CT1941">
        <v>0</v>
      </c>
      <c r="CU1941">
        <v>0</v>
      </c>
    </row>
    <row r="1942" spans="1:99" x14ac:dyDescent="0.2">
      <c r="A1942" t="s">
        <v>367</v>
      </c>
      <c r="B1942" t="s">
        <v>440</v>
      </c>
      <c r="C1942" t="s">
        <v>441</v>
      </c>
      <c r="D1942" t="s">
        <v>806</v>
      </c>
      <c r="F1942" t="str">
        <f>"253766"</f>
        <v>253766</v>
      </c>
      <c r="G1942" t="s">
        <v>49</v>
      </c>
      <c r="K1942" t="s">
        <v>51</v>
      </c>
      <c r="L1942" t="s">
        <v>52</v>
      </c>
      <c r="M1942">
        <v>134864.79</v>
      </c>
      <c r="N1942">
        <v>468808.79</v>
      </c>
      <c r="O1942" t="s">
        <v>53</v>
      </c>
      <c r="P1942" t="s">
        <v>54</v>
      </c>
      <c r="Q1942" t="s">
        <v>55</v>
      </c>
      <c r="T1942" t="s">
        <v>431</v>
      </c>
      <c r="U1942">
        <v>40</v>
      </c>
      <c r="V1942" s="1">
        <v>25569</v>
      </c>
      <c r="W1942" s="1">
        <v>25569</v>
      </c>
      <c r="X1942" s="1">
        <v>25569</v>
      </c>
      <c r="Y1942" s="1">
        <v>40179</v>
      </c>
      <c r="Z1942" t="s">
        <v>51</v>
      </c>
      <c r="AB1942" t="s">
        <v>54</v>
      </c>
      <c r="AD1942" t="s">
        <v>809</v>
      </c>
      <c r="AE1942" t="s">
        <v>810</v>
      </c>
      <c r="AF1942">
        <v>20</v>
      </c>
      <c r="AG1942" s="1">
        <v>43282</v>
      </c>
      <c r="AH1942" s="1">
        <v>43282</v>
      </c>
      <c r="AI1942" s="1">
        <v>43282</v>
      </c>
      <c r="AK1942" t="s">
        <v>51</v>
      </c>
      <c r="AN1942">
        <v>0</v>
      </c>
      <c r="AO1942" t="s">
        <v>54</v>
      </c>
      <c r="AP1942" t="s">
        <v>53</v>
      </c>
      <c r="AQ1942">
        <v>0</v>
      </c>
      <c r="AR1942" t="s">
        <v>53</v>
      </c>
      <c r="AS1942">
        <v>0</v>
      </c>
      <c r="AT1942">
        <v>0</v>
      </c>
      <c r="CC1942" t="s">
        <v>669</v>
      </c>
      <c r="CD1942">
        <v>85000</v>
      </c>
      <c r="CE1942" s="1">
        <v>43282</v>
      </c>
      <c r="CF1942" s="1">
        <v>43282</v>
      </c>
      <c r="CG1942" s="1">
        <v>43282</v>
      </c>
      <c r="CI1942" t="s">
        <v>51</v>
      </c>
      <c r="CK1942" t="s">
        <v>78</v>
      </c>
      <c r="CM1942" t="s">
        <v>54</v>
      </c>
      <c r="CN1942" t="s">
        <v>174</v>
      </c>
      <c r="CO1942" t="s">
        <v>86</v>
      </c>
      <c r="CR1942">
        <v>50</v>
      </c>
      <c r="CS1942">
        <v>0</v>
      </c>
      <c r="CT1942">
        <v>0</v>
      </c>
      <c r="CU1942">
        <v>0</v>
      </c>
    </row>
    <row r="1943" spans="1:99" x14ac:dyDescent="0.2">
      <c r="A1943" t="s">
        <v>367</v>
      </c>
      <c r="B1943" t="s">
        <v>440</v>
      </c>
      <c r="C1943" t="s">
        <v>441</v>
      </c>
      <c r="D1943" t="s">
        <v>806</v>
      </c>
      <c r="F1943" t="str">
        <f>"253767"</f>
        <v>253767</v>
      </c>
      <c r="G1943" t="s">
        <v>49</v>
      </c>
      <c r="K1943" t="s">
        <v>51</v>
      </c>
      <c r="L1943" t="s">
        <v>52</v>
      </c>
      <c r="M1943">
        <v>134807.04999999999</v>
      </c>
      <c r="N1943">
        <v>468804.17</v>
      </c>
      <c r="O1943" t="s">
        <v>53</v>
      </c>
      <c r="P1943" t="s">
        <v>54</v>
      </c>
      <c r="Q1943" t="s">
        <v>55</v>
      </c>
      <c r="T1943" t="s">
        <v>431</v>
      </c>
      <c r="U1943">
        <v>40</v>
      </c>
      <c r="V1943" s="1">
        <v>25569</v>
      </c>
      <c r="W1943" s="1">
        <v>25569</v>
      </c>
      <c r="X1943" s="1">
        <v>25569</v>
      </c>
      <c r="Y1943" s="1">
        <v>40179</v>
      </c>
      <c r="Z1943" t="s">
        <v>51</v>
      </c>
      <c r="AB1943" t="s">
        <v>54</v>
      </c>
      <c r="AD1943" t="s">
        <v>809</v>
      </c>
      <c r="AE1943" t="s">
        <v>810</v>
      </c>
      <c r="AF1943">
        <v>20</v>
      </c>
      <c r="AG1943" s="1">
        <v>43282</v>
      </c>
      <c r="AH1943" s="1">
        <v>43282</v>
      </c>
      <c r="AI1943" s="1">
        <v>43282</v>
      </c>
      <c r="AK1943" t="s">
        <v>51</v>
      </c>
      <c r="AN1943">
        <v>0</v>
      </c>
      <c r="AO1943" t="s">
        <v>54</v>
      </c>
      <c r="AP1943" t="s">
        <v>53</v>
      </c>
      <c r="AQ1943">
        <v>0</v>
      </c>
      <c r="AR1943" t="s">
        <v>53</v>
      </c>
      <c r="AS1943">
        <v>0</v>
      </c>
      <c r="AT1943">
        <v>0</v>
      </c>
      <c r="CC1943" t="s">
        <v>669</v>
      </c>
      <c r="CD1943">
        <v>85000</v>
      </c>
      <c r="CE1943" s="1">
        <v>43282</v>
      </c>
      <c r="CF1943" s="1">
        <v>43282</v>
      </c>
      <c r="CG1943" s="1">
        <v>43282</v>
      </c>
      <c r="CI1943" t="s">
        <v>51</v>
      </c>
      <c r="CK1943" t="s">
        <v>78</v>
      </c>
      <c r="CM1943" t="s">
        <v>54</v>
      </c>
      <c r="CN1943" t="s">
        <v>174</v>
      </c>
      <c r="CO1943" t="s">
        <v>86</v>
      </c>
      <c r="CR1943">
        <v>50</v>
      </c>
      <c r="CS1943">
        <v>0</v>
      </c>
      <c r="CT1943">
        <v>0</v>
      </c>
      <c r="CU1943">
        <v>0</v>
      </c>
    </row>
    <row r="1944" spans="1:99" x14ac:dyDescent="0.2">
      <c r="A1944" t="s">
        <v>367</v>
      </c>
      <c r="B1944" t="s">
        <v>440</v>
      </c>
      <c r="C1944" t="s">
        <v>441</v>
      </c>
      <c r="D1944" t="s">
        <v>806</v>
      </c>
      <c r="F1944" t="str">
        <f>"253768"</f>
        <v>253768</v>
      </c>
      <c r="G1944" t="s">
        <v>49</v>
      </c>
      <c r="K1944" t="s">
        <v>51</v>
      </c>
      <c r="L1944" t="s">
        <v>52</v>
      </c>
      <c r="M1944">
        <v>134744.42000000001</v>
      </c>
      <c r="N1944">
        <v>468799.05</v>
      </c>
      <c r="O1944" t="s">
        <v>53</v>
      </c>
      <c r="P1944" t="s">
        <v>54</v>
      </c>
      <c r="Q1944" t="s">
        <v>55</v>
      </c>
      <c r="T1944" t="s">
        <v>431</v>
      </c>
      <c r="U1944">
        <v>40</v>
      </c>
      <c r="V1944" s="1">
        <v>25569</v>
      </c>
      <c r="W1944" s="1">
        <v>25569</v>
      </c>
      <c r="X1944" s="1">
        <v>25569</v>
      </c>
      <c r="Y1944" s="1">
        <v>40179</v>
      </c>
      <c r="Z1944" t="s">
        <v>51</v>
      </c>
      <c r="AB1944" t="s">
        <v>54</v>
      </c>
      <c r="AD1944" t="s">
        <v>809</v>
      </c>
      <c r="AE1944" t="s">
        <v>810</v>
      </c>
      <c r="AF1944">
        <v>20</v>
      </c>
      <c r="AG1944" s="1">
        <v>43282</v>
      </c>
      <c r="AH1944" s="1">
        <v>43282</v>
      </c>
      <c r="AI1944" s="1">
        <v>43282</v>
      </c>
      <c r="AK1944" t="s">
        <v>51</v>
      </c>
      <c r="AN1944">
        <v>0</v>
      </c>
      <c r="AO1944" t="s">
        <v>54</v>
      </c>
      <c r="AP1944" t="s">
        <v>53</v>
      </c>
      <c r="AQ1944">
        <v>0</v>
      </c>
      <c r="AR1944" t="s">
        <v>53</v>
      </c>
      <c r="AS1944">
        <v>0</v>
      </c>
      <c r="AT1944">
        <v>0</v>
      </c>
      <c r="CC1944" t="s">
        <v>669</v>
      </c>
      <c r="CD1944">
        <v>85000</v>
      </c>
      <c r="CE1944" s="1">
        <v>43282</v>
      </c>
      <c r="CF1944" s="1">
        <v>43282</v>
      </c>
      <c r="CG1944" s="1">
        <v>43282</v>
      </c>
      <c r="CI1944" t="s">
        <v>51</v>
      </c>
      <c r="CK1944" t="s">
        <v>78</v>
      </c>
      <c r="CM1944" t="s">
        <v>54</v>
      </c>
      <c r="CN1944" t="s">
        <v>174</v>
      </c>
      <c r="CO1944" t="s">
        <v>86</v>
      </c>
      <c r="CR1944">
        <v>50</v>
      </c>
      <c r="CS1944">
        <v>0</v>
      </c>
      <c r="CT1944">
        <v>0</v>
      </c>
      <c r="CU1944">
        <v>0</v>
      </c>
    </row>
    <row r="1945" spans="1:99" x14ac:dyDescent="0.2">
      <c r="A1945" t="s">
        <v>367</v>
      </c>
      <c r="B1945" t="s">
        <v>440</v>
      </c>
      <c r="C1945" t="s">
        <v>441</v>
      </c>
      <c r="D1945" t="s">
        <v>806</v>
      </c>
      <c r="F1945" t="str">
        <f>"253769"</f>
        <v>253769</v>
      </c>
      <c r="G1945" t="s">
        <v>49</v>
      </c>
      <c r="K1945" t="s">
        <v>51</v>
      </c>
      <c r="L1945" t="s">
        <v>52</v>
      </c>
      <c r="M1945">
        <v>134688.53</v>
      </c>
      <c r="N1945">
        <v>468792.47</v>
      </c>
      <c r="O1945" t="s">
        <v>53</v>
      </c>
      <c r="P1945" t="s">
        <v>54</v>
      </c>
      <c r="Q1945" t="s">
        <v>55</v>
      </c>
      <c r="T1945" t="s">
        <v>431</v>
      </c>
      <c r="U1945">
        <v>40</v>
      </c>
      <c r="V1945" s="1">
        <v>25569</v>
      </c>
      <c r="W1945" s="1">
        <v>25569</v>
      </c>
      <c r="X1945" s="1">
        <v>25569</v>
      </c>
      <c r="Y1945" s="1">
        <v>40179</v>
      </c>
      <c r="Z1945" t="s">
        <v>51</v>
      </c>
      <c r="AB1945" t="s">
        <v>54</v>
      </c>
      <c r="AD1945" t="s">
        <v>809</v>
      </c>
      <c r="AE1945" t="s">
        <v>810</v>
      </c>
      <c r="AF1945">
        <v>20</v>
      </c>
      <c r="AG1945" s="1">
        <v>43282</v>
      </c>
      <c r="AH1945" s="1">
        <v>43282</v>
      </c>
      <c r="AI1945" s="1">
        <v>43282</v>
      </c>
      <c r="AK1945" t="s">
        <v>51</v>
      </c>
      <c r="AN1945">
        <v>0</v>
      </c>
      <c r="AO1945" t="s">
        <v>54</v>
      </c>
      <c r="AP1945" t="s">
        <v>53</v>
      </c>
      <c r="AQ1945">
        <v>0</v>
      </c>
      <c r="AR1945" t="s">
        <v>53</v>
      </c>
      <c r="AS1945">
        <v>0</v>
      </c>
      <c r="AT1945">
        <v>0</v>
      </c>
      <c r="CC1945" t="s">
        <v>669</v>
      </c>
      <c r="CD1945">
        <v>85000</v>
      </c>
      <c r="CE1945" s="1">
        <v>43282</v>
      </c>
      <c r="CF1945" s="1">
        <v>43282</v>
      </c>
      <c r="CG1945" s="1">
        <v>43282</v>
      </c>
      <c r="CI1945" t="s">
        <v>51</v>
      </c>
      <c r="CK1945" t="s">
        <v>78</v>
      </c>
      <c r="CM1945" t="s">
        <v>54</v>
      </c>
      <c r="CN1945" t="s">
        <v>174</v>
      </c>
      <c r="CO1945" t="s">
        <v>86</v>
      </c>
      <c r="CR1945">
        <v>50</v>
      </c>
      <c r="CS1945">
        <v>0</v>
      </c>
      <c r="CT1945">
        <v>0</v>
      </c>
      <c r="CU1945">
        <v>0</v>
      </c>
    </row>
    <row r="1946" spans="1:99" x14ac:dyDescent="0.2">
      <c r="A1946" t="s">
        <v>367</v>
      </c>
      <c r="B1946" t="s">
        <v>440</v>
      </c>
      <c r="C1946" t="s">
        <v>441</v>
      </c>
      <c r="D1946" t="s">
        <v>806</v>
      </c>
      <c r="F1946" t="str">
        <f>"253770"</f>
        <v>253770</v>
      </c>
      <c r="G1946" t="s">
        <v>49</v>
      </c>
      <c r="K1946" t="s">
        <v>51</v>
      </c>
      <c r="L1946" t="s">
        <v>52</v>
      </c>
      <c r="M1946">
        <v>134634.37</v>
      </c>
      <c r="N1946">
        <v>468788.39</v>
      </c>
      <c r="O1946" t="s">
        <v>53</v>
      </c>
      <c r="P1946" t="s">
        <v>54</v>
      </c>
      <c r="Q1946" t="s">
        <v>55</v>
      </c>
      <c r="T1946" t="s">
        <v>431</v>
      </c>
      <c r="U1946">
        <v>40</v>
      </c>
      <c r="V1946" s="1">
        <v>25569</v>
      </c>
      <c r="W1946" s="1">
        <v>25569</v>
      </c>
      <c r="X1946" s="1">
        <v>25569</v>
      </c>
      <c r="Y1946" s="1">
        <v>40179</v>
      </c>
      <c r="Z1946" t="s">
        <v>51</v>
      </c>
      <c r="AB1946" t="s">
        <v>54</v>
      </c>
      <c r="AD1946" t="s">
        <v>809</v>
      </c>
      <c r="AE1946" t="s">
        <v>810</v>
      </c>
      <c r="AF1946">
        <v>20</v>
      </c>
      <c r="AG1946" s="1">
        <v>43282</v>
      </c>
      <c r="AH1946" s="1">
        <v>43282</v>
      </c>
      <c r="AI1946" s="1">
        <v>43282</v>
      </c>
      <c r="AK1946" t="s">
        <v>51</v>
      </c>
      <c r="AN1946">
        <v>0</v>
      </c>
      <c r="AO1946" t="s">
        <v>54</v>
      </c>
      <c r="AP1946" t="s">
        <v>53</v>
      </c>
      <c r="AQ1946">
        <v>0</v>
      </c>
      <c r="AR1946" t="s">
        <v>53</v>
      </c>
      <c r="AS1946">
        <v>0</v>
      </c>
      <c r="AT1946">
        <v>0</v>
      </c>
      <c r="CC1946" t="s">
        <v>669</v>
      </c>
      <c r="CD1946">
        <v>85000</v>
      </c>
      <c r="CE1946" s="1">
        <v>43282</v>
      </c>
      <c r="CF1946" s="1">
        <v>43282</v>
      </c>
      <c r="CG1946" s="1">
        <v>43282</v>
      </c>
      <c r="CI1946" t="s">
        <v>51</v>
      </c>
      <c r="CK1946" t="s">
        <v>78</v>
      </c>
      <c r="CM1946" t="s">
        <v>54</v>
      </c>
      <c r="CN1946" t="s">
        <v>174</v>
      </c>
      <c r="CO1946" t="s">
        <v>86</v>
      </c>
      <c r="CR1946">
        <v>50</v>
      </c>
      <c r="CS1946">
        <v>0</v>
      </c>
      <c r="CT1946">
        <v>0</v>
      </c>
      <c r="CU1946">
        <v>0</v>
      </c>
    </row>
    <row r="1947" spans="1:99" x14ac:dyDescent="0.2">
      <c r="A1947" t="s">
        <v>367</v>
      </c>
      <c r="B1947" t="s">
        <v>440</v>
      </c>
      <c r="C1947" t="s">
        <v>441</v>
      </c>
      <c r="D1947" t="s">
        <v>806</v>
      </c>
      <c r="F1947" t="str">
        <f>"253771"</f>
        <v>253771</v>
      </c>
      <c r="G1947" t="s">
        <v>49</v>
      </c>
      <c r="K1947" t="s">
        <v>51</v>
      </c>
      <c r="L1947" t="s">
        <v>52</v>
      </c>
      <c r="M1947">
        <v>134570.5</v>
      </c>
      <c r="N1947">
        <v>468786.61</v>
      </c>
      <c r="O1947" t="s">
        <v>53</v>
      </c>
      <c r="P1947" t="s">
        <v>54</v>
      </c>
      <c r="Q1947" t="s">
        <v>55</v>
      </c>
      <c r="T1947" t="s">
        <v>431</v>
      </c>
      <c r="U1947">
        <v>40</v>
      </c>
      <c r="V1947" s="1">
        <v>25569</v>
      </c>
      <c r="W1947" s="1">
        <v>25569</v>
      </c>
      <c r="X1947" s="1">
        <v>25569</v>
      </c>
      <c r="Y1947" s="1">
        <v>40179</v>
      </c>
      <c r="Z1947" t="s">
        <v>51</v>
      </c>
      <c r="AB1947" t="s">
        <v>54</v>
      </c>
      <c r="AD1947" t="s">
        <v>809</v>
      </c>
      <c r="AE1947" t="s">
        <v>810</v>
      </c>
      <c r="AF1947">
        <v>20</v>
      </c>
      <c r="AG1947" s="1">
        <v>43282</v>
      </c>
      <c r="AH1947" s="1">
        <v>43282</v>
      </c>
      <c r="AI1947" s="1">
        <v>43282</v>
      </c>
      <c r="AK1947" t="s">
        <v>51</v>
      </c>
      <c r="AN1947">
        <v>0</v>
      </c>
      <c r="AO1947" t="s">
        <v>54</v>
      </c>
      <c r="AP1947" t="s">
        <v>53</v>
      </c>
      <c r="AQ1947">
        <v>0</v>
      </c>
      <c r="AR1947" t="s">
        <v>53</v>
      </c>
      <c r="AS1947">
        <v>0</v>
      </c>
      <c r="AT1947">
        <v>0</v>
      </c>
      <c r="CC1947" t="s">
        <v>669</v>
      </c>
      <c r="CD1947">
        <v>85000</v>
      </c>
      <c r="CE1947" s="1">
        <v>43282</v>
      </c>
      <c r="CF1947" s="1">
        <v>43282</v>
      </c>
      <c r="CG1947" s="1">
        <v>43282</v>
      </c>
      <c r="CI1947" t="s">
        <v>51</v>
      </c>
      <c r="CK1947" t="s">
        <v>78</v>
      </c>
      <c r="CM1947" t="s">
        <v>54</v>
      </c>
      <c r="CN1947" t="s">
        <v>174</v>
      </c>
      <c r="CO1947" t="s">
        <v>86</v>
      </c>
      <c r="CR1947">
        <v>50</v>
      </c>
      <c r="CS1947">
        <v>0</v>
      </c>
      <c r="CT1947">
        <v>0</v>
      </c>
      <c r="CU1947">
        <v>0</v>
      </c>
    </row>
    <row r="1948" spans="1:99" x14ac:dyDescent="0.2">
      <c r="A1948" t="s">
        <v>367</v>
      </c>
      <c r="B1948" t="s">
        <v>440</v>
      </c>
      <c r="C1948" t="s">
        <v>441</v>
      </c>
      <c r="D1948" t="s">
        <v>806</v>
      </c>
      <c r="F1948" t="str">
        <f>"253772"</f>
        <v>253772</v>
      </c>
      <c r="G1948" t="s">
        <v>49</v>
      </c>
      <c r="K1948" t="s">
        <v>51</v>
      </c>
      <c r="L1948" t="s">
        <v>52</v>
      </c>
      <c r="M1948">
        <v>134658.32999999999</v>
      </c>
      <c r="N1948">
        <v>468800.87</v>
      </c>
      <c r="O1948" t="s">
        <v>53</v>
      </c>
      <c r="P1948" t="s">
        <v>54</v>
      </c>
      <c r="Q1948" t="s">
        <v>55</v>
      </c>
      <c r="T1948" t="s">
        <v>431</v>
      </c>
      <c r="U1948">
        <v>40</v>
      </c>
      <c r="V1948" s="1">
        <v>25569</v>
      </c>
      <c r="W1948" s="1">
        <v>25569</v>
      </c>
      <c r="X1948" s="1">
        <v>25569</v>
      </c>
      <c r="Y1948" s="1">
        <v>40179</v>
      </c>
      <c r="Z1948" t="s">
        <v>51</v>
      </c>
      <c r="AB1948" t="s">
        <v>54</v>
      </c>
      <c r="AD1948" t="s">
        <v>809</v>
      </c>
      <c r="AE1948" t="s">
        <v>810</v>
      </c>
      <c r="AF1948">
        <v>20</v>
      </c>
      <c r="AG1948" s="1">
        <v>43282</v>
      </c>
      <c r="AH1948" s="1">
        <v>43282</v>
      </c>
      <c r="AI1948" s="1">
        <v>43282</v>
      </c>
      <c r="AK1948" t="s">
        <v>51</v>
      </c>
      <c r="AN1948">
        <v>0</v>
      </c>
      <c r="AO1948" t="s">
        <v>54</v>
      </c>
      <c r="AP1948" t="s">
        <v>53</v>
      </c>
      <c r="AQ1948">
        <v>0</v>
      </c>
      <c r="AR1948" t="s">
        <v>53</v>
      </c>
      <c r="AS1948">
        <v>0</v>
      </c>
      <c r="AT1948">
        <v>0</v>
      </c>
      <c r="CC1948" t="s">
        <v>669</v>
      </c>
      <c r="CD1948">
        <v>85000</v>
      </c>
      <c r="CE1948" s="1">
        <v>43282</v>
      </c>
      <c r="CF1948" s="1">
        <v>43282</v>
      </c>
      <c r="CG1948" s="1">
        <v>43282</v>
      </c>
      <c r="CI1948" t="s">
        <v>51</v>
      </c>
      <c r="CK1948" t="s">
        <v>78</v>
      </c>
      <c r="CM1948" t="s">
        <v>54</v>
      </c>
      <c r="CN1948" t="s">
        <v>174</v>
      </c>
      <c r="CO1948" t="s">
        <v>86</v>
      </c>
      <c r="CR1948">
        <v>50</v>
      </c>
      <c r="CS1948">
        <v>0</v>
      </c>
      <c r="CT1948">
        <v>0</v>
      </c>
      <c r="CU1948">
        <v>0</v>
      </c>
    </row>
    <row r="1949" spans="1:99" x14ac:dyDescent="0.2">
      <c r="A1949" t="s">
        <v>367</v>
      </c>
      <c r="B1949" t="s">
        <v>440</v>
      </c>
      <c r="C1949" t="s">
        <v>441</v>
      </c>
      <c r="D1949" t="s">
        <v>806</v>
      </c>
      <c r="F1949" t="str">
        <f>"253773"</f>
        <v>253773</v>
      </c>
      <c r="G1949" t="s">
        <v>49</v>
      </c>
      <c r="K1949" t="s">
        <v>51</v>
      </c>
      <c r="L1949" t="s">
        <v>52</v>
      </c>
      <c r="M1949">
        <v>134711.74</v>
      </c>
      <c r="N1949">
        <v>468806.77</v>
      </c>
      <c r="O1949" t="s">
        <v>53</v>
      </c>
      <c r="P1949" t="s">
        <v>54</v>
      </c>
      <c r="Q1949" t="s">
        <v>55</v>
      </c>
      <c r="T1949" t="s">
        <v>431</v>
      </c>
      <c r="U1949">
        <v>40</v>
      </c>
      <c r="V1949" s="1">
        <v>25569</v>
      </c>
      <c r="W1949" s="1">
        <v>25569</v>
      </c>
      <c r="X1949" s="1">
        <v>25569</v>
      </c>
      <c r="Y1949" s="1">
        <v>40179</v>
      </c>
      <c r="Z1949" t="s">
        <v>51</v>
      </c>
      <c r="AB1949" t="s">
        <v>54</v>
      </c>
      <c r="AD1949" t="s">
        <v>809</v>
      </c>
      <c r="AE1949" t="s">
        <v>810</v>
      </c>
      <c r="AF1949">
        <v>20</v>
      </c>
      <c r="AG1949" s="1">
        <v>43282</v>
      </c>
      <c r="AH1949" s="1">
        <v>43282</v>
      </c>
      <c r="AI1949" s="1">
        <v>43282</v>
      </c>
      <c r="AK1949" t="s">
        <v>51</v>
      </c>
      <c r="AN1949">
        <v>0</v>
      </c>
      <c r="AO1949" t="s">
        <v>54</v>
      </c>
      <c r="AP1949" t="s">
        <v>53</v>
      </c>
      <c r="AQ1949">
        <v>0</v>
      </c>
      <c r="AR1949" t="s">
        <v>53</v>
      </c>
      <c r="AS1949">
        <v>0</v>
      </c>
      <c r="AT1949">
        <v>0</v>
      </c>
      <c r="CC1949" t="s">
        <v>669</v>
      </c>
      <c r="CD1949">
        <v>85000</v>
      </c>
      <c r="CE1949" s="1">
        <v>43282</v>
      </c>
      <c r="CF1949" s="1">
        <v>43282</v>
      </c>
      <c r="CG1949" s="1">
        <v>43282</v>
      </c>
      <c r="CI1949" t="s">
        <v>51</v>
      </c>
      <c r="CK1949" t="s">
        <v>78</v>
      </c>
      <c r="CM1949" t="s">
        <v>54</v>
      </c>
      <c r="CN1949" t="s">
        <v>174</v>
      </c>
      <c r="CO1949" t="s">
        <v>86</v>
      </c>
      <c r="CR1949">
        <v>50</v>
      </c>
      <c r="CS1949">
        <v>0</v>
      </c>
      <c r="CT1949">
        <v>0</v>
      </c>
      <c r="CU1949">
        <v>0</v>
      </c>
    </row>
    <row r="1950" spans="1:99" x14ac:dyDescent="0.2">
      <c r="A1950" t="s">
        <v>367</v>
      </c>
      <c r="B1950" t="s">
        <v>440</v>
      </c>
      <c r="C1950" t="s">
        <v>441</v>
      </c>
      <c r="D1950" t="s">
        <v>806</v>
      </c>
      <c r="F1950" t="str">
        <f>"253774"</f>
        <v>253774</v>
      </c>
      <c r="G1950" t="s">
        <v>49</v>
      </c>
      <c r="K1950" t="s">
        <v>51</v>
      </c>
      <c r="L1950" t="s">
        <v>52</v>
      </c>
      <c r="M1950">
        <v>134773.45000000001</v>
      </c>
      <c r="N1950">
        <v>468812.97</v>
      </c>
      <c r="O1950" t="s">
        <v>53</v>
      </c>
      <c r="P1950" t="s">
        <v>54</v>
      </c>
      <c r="Q1950" t="s">
        <v>55</v>
      </c>
      <c r="T1950" t="s">
        <v>431</v>
      </c>
      <c r="U1950">
        <v>40</v>
      </c>
      <c r="V1950" s="1">
        <v>25569</v>
      </c>
      <c r="W1950" s="1">
        <v>25569</v>
      </c>
      <c r="X1950" s="1">
        <v>25569</v>
      </c>
      <c r="Y1950" s="1">
        <v>40179</v>
      </c>
      <c r="Z1950" t="s">
        <v>51</v>
      </c>
      <c r="AB1950" t="s">
        <v>54</v>
      </c>
      <c r="AD1950" t="s">
        <v>809</v>
      </c>
      <c r="AE1950" t="s">
        <v>810</v>
      </c>
      <c r="AF1950">
        <v>20</v>
      </c>
      <c r="AG1950" s="1">
        <v>43282</v>
      </c>
      <c r="AH1950" s="1">
        <v>43282</v>
      </c>
      <c r="AI1950" s="1">
        <v>43282</v>
      </c>
      <c r="AK1950" t="s">
        <v>51</v>
      </c>
      <c r="AN1950">
        <v>0</v>
      </c>
      <c r="AO1950" t="s">
        <v>54</v>
      </c>
      <c r="AP1950" t="s">
        <v>53</v>
      </c>
      <c r="AQ1950">
        <v>0</v>
      </c>
      <c r="AR1950" t="s">
        <v>53</v>
      </c>
      <c r="AS1950">
        <v>0</v>
      </c>
      <c r="AT1950">
        <v>0</v>
      </c>
      <c r="CC1950" t="s">
        <v>669</v>
      </c>
      <c r="CD1950">
        <v>85000</v>
      </c>
      <c r="CE1950" s="1">
        <v>43282</v>
      </c>
      <c r="CF1950" s="1">
        <v>43282</v>
      </c>
      <c r="CG1950" s="1">
        <v>43282</v>
      </c>
      <c r="CI1950" t="s">
        <v>51</v>
      </c>
      <c r="CK1950" t="s">
        <v>78</v>
      </c>
      <c r="CM1950" t="s">
        <v>54</v>
      </c>
      <c r="CN1950" t="s">
        <v>174</v>
      </c>
      <c r="CO1950" t="s">
        <v>86</v>
      </c>
      <c r="CR1950">
        <v>50</v>
      </c>
      <c r="CS1950">
        <v>0</v>
      </c>
      <c r="CT1950">
        <v>0</v>
      </c>
      <c r="CU1950">
        <v>0</v>
      </c>
    </row>
    <row r="1951" spans="1:99" x14ac:dyDescent="0.2">
      <c r="A1951" t="s">
        <v>367</v>
      </c>
      <c r="B1951" t="s">
        <v>440</v>
      </c>
      <c r="C1951" t="s">
        <v>441</v>
      </c>
      <c r="D1951" t="s">
        <v>806</v>
      </c>
      <c r="F1951" t="str">
        <f>"253775"</f>
        <v>253775</v>
      </c>
      <c r="G1951" t="s">
        <v>49</v>
      </c>
      <c r="K1951" t="s">
        <v>51</v>
      </c>
      <c r="L1951" t="s">
        <v>52</v>
      </c>
      <c r="M1951">
        <v>134835.07</v>
      </c>
      <c r="N1951">
        <v>468818.92</v>
      </c>
      <c r="O1951" t="s">
        <v>53</v>
      </c>
      <c r="P1951" t="s">
        <v>54</v>
      </c>
      <c r="Q1951" t="s">
        <v>55</v>
      </c>
      <c r="T1951" t="s">
        <v>431</v>
      </c>
      <c r="U1951">
        <v>40</v>
      </c>
      <c r="V1951" s="1">
        <v>25569</v>
      </c>
      <c r="W1951" s="1">
        <v>25569</v>
      </c>
      <c r="X1951" s="1">
        <v>25569</v>
      </c>
      <c r="Y1951" s="1">
        <v>40179</v>
      </c>
      <c r="Z1951" t="s">
        <v>51</v>
      </c>
      <c r="AB1951" t="s">
        <v>54</v>
      </c>
      <c r="AD1951" t="s">
        <v>809</v>
      </c>
      <c r="AE1951" t="s">
        <v>810</v>
      </c>
      <c r="AF1951">
        <v>20</v>
      </c>
      <c r="AG1951" s="1">
        <v>43282</v>
      </c>
      <c r="AH1951" s="1">
        <v>43282</v>
      </c>
      <c r="AI1951" s="1">
        <v>43282</v>
      </c>
      <c r="AK1951" t="s">
        <v>51</v>
      </c>
      <c r="AN1951">
        <v>0</v>
      </c>
      <c r="AO1951" t="s">
        <v>54</v>
      </c>
      <c r="AP1951" t="s">
        <v>53</v>
      </c>
      <c r="AQ1951">
        <v>0</v>
      </c>
      <c r="AR1951" t="s">
        <v>53</v>
      </c>
      <c r="AS1951">
        <v>0</v>
      </c>
      <c r="AT1951">
        <v>0</v>
      </c>
      <c r="CC1951" t="s">
        <v>669</v>
      </c>
      <c r="CD1951">
        <v>85000</v>
      </c>
      <c r="CE1951" s="1">
        <v>43282</v>
      </c>
      <c r="CF1951" s="1">
        <v>43282</v>
      </c>
      <c r="CG1951" s="1">
        <v>43282</v>
      </c>
      <c r="CI1951" t="s">
        <v>51</v>
      </c>
      <c r="CK1951" t="s">
        <v>78</v>
      </c>
      <c r="CM1951" t="s">
        <v>54</v>
      </c>
      <c r="CN1951" t="s">
        <v>174</v>
      </c>
      <c r="CO1951" t="s">
        <v>86</v>
      </c>
      <c r="CR1951">
        <v>50</v>
      </c>
      <c r="CS1951">
        <v>0</v>
      </c>
      <c r="CT1951">
        <v>0</v>
      </c>
      <c r="CU1951">
        <v>0</v>
      </c>
    </row>
    <row r="1952" spans="1:99" x14ac:dyDescent="0.2">
      <c r="A1952" t="s">
        <v>367</v>
      </c>
      <c r="B1952" t="s">
        <v>440</v>
      </c>
      <c r="C1952" t="s">
        <v>441</v>
      </c>
      <c r="D1952" t="s">
        <v>806</v>
      </c>
      <c r="F1952" t="str">
        <f>"253776"</f>
        <v>253776</v>
      </c>
      <c r="G1952" t="s">
        <v>49</v>
      </c>
      <c r="K1952" t="s">
        <v>51</v>
      </c>
      <c r="L1952" t="s">
        <v>52</v>
      </c>
      <c r="M1952">
        <v>134897.07999999999</v>
      </c>
      <c r="N1952">
        <v>468820.55</v>
      </c>
      <c r="O1952" t="s">
        <v>53</v>
      </c>
      <c r="P1952" t="s">
        <v>54</v>
      </c>
      <c r="Q1952" t="s">
        <v>55</v>
      </c>
      <c r="T1952" t="s">
        <v>431</v>
      </c>
      <c r="U1952">
        <v>40</v>
      </c>
      <c r="V1952" s="1">
        <v>25569</v>
      </c>
      <c r="W1952" s="1">
        <v>25569</v>
      </c>
      <c r="X1952" s="1">
        <v>25569</v>
      </c>
      <c r="Y1952" s="1">
        <v>40179</v>
      </c>
      <c r="Z1952" t="s">
        <v>51</v>
      </c>
      <c r="AB1952" t="s">
        <v>54</v>
      </c>
      <c r="AD1952" t="s">
        <v>809</v>
      </c>
      <c r="AE1952" t="s">
        <v>810</v>
      </c>
      <c r="AF1952">
        <v>20</v>
      </c>
      <c r="AG1952" s="1">
        <v>43282</v>
      </c>
      <c r="AH1952" s="1">
        <v>43282</v>
      </c>
      <c r="AI1952" s="1">
        <v>43282</v>
      </c>
      <c r="AK1952" t="s">
        <v>51</v>
      </c>
      <c r="AN1952">
        <v>0</v>
      </c>
      <c r="AO1952" t="s">
        <v>54</v>
      </c>
      <c r="AP1952" t="s">
        <v>53</v>
      </c>
      <c r="AQ1952">
        <v>0</v>
      </c>
      <c r="AR1952" t="s">
        <v>53</v>
      </c>
      <c r="AS1952">
        <v>0</v>
      </c>
      <c r="AT1952">
        <v>0</v>
      </c>
      <c r="CC1952" t="s">
        <v>669</v>
      </c>
      <c r="CD1952">
        <v>85000</v>
      </c>
      <c r="CE1952" s="1">
        <v>43282</v>
      </c>
      <c r="CF1952" s="1">
        <v>43282</v>
      </c>
      <c r="CG1952" s="1">
        <v>43282</v>
      </c>
      <c r="CI1952" t="s">
        <v>51</v>
      </c>
      <c r="CK1952" t="s">
        <v>78</v>
      </c>
      <c r="CM1952" t="s">
        <v>54</v>
      </c>
      <c r="CN1952" t="s">
        <v>174</v>
      </c>
      <c r="CO1952" t="s">
        <v>86</v>
      </c>
      <c r="CR1952">
        <v>50</v>
      </c>
      <c r="CS1952">
        <v>0</v>
      </c>
      <c r="CT1952">
        <v>0</v>
      </c>
      <c r="CU1952">
        <v>0</v>
      </c>
    </row>
    <row r="1953" spans="1:99" x14ac:dyDescent="0.2">
      <c r="A1953" t="s">
        <v>367</v>
      </c>
      <c r="B1953" t="s">
        <v>440</v>
      </c>
      <c r="C1953" t="s">
        <v>441</v>
      </c>
      <c r="D1953" t="s">
        <v>806</v>
      </c>
      <c r="F1953" t="str">
        <f>"253777"</f>
        <v>253777</v>
      </c>
      <c r="G1953" t="s">
        <v>49</v>
      </c>
      <c r="K1953" t="s">
        <v>51</v>
      </c>
      <c r="L1953" t="s">
        <v>52</v>
      </c>
      <c r="M1953">
        <v>134958.38</v>
      </c>
      <c r="N1953">
        <v>468821.25</v>
      </c>
      <c r="O1953" t="s">
        <v>53</v>
      </c>
      <c r="P1953" t="s">
        <v>54</v>
      </c>
      <c r="Q1953" t="s">
        <v>55</v>
      </c>
      <c r="T1953" t="s">
        <v>431</v>
      </c>
      <c r="U1953">
        <v>40</v>
      </c>
      <c r="V1953" s="1">
        <v>25569</v>
      </c>
      <c r="W1953" s="1">
        <v>25569</v>
      </c>
      <c r="X1953" s="1">
        <v>25569</v>
      </c>
      <c r="Y1953" s="1">
        <v>40179</v>
      </c>
      <c r="Z1953" t="s">
        <v>51</v>
      </c>
      <c r="AB1953" t="s">
        <v>54</v>
      </c>
      <c r="AD1953" t="s">
        <v>809</v>
      </c>
      <c r="AE1953" t="s">
        <v>810</v>
      </c>
      <c r="AF1953">
        <v>20</v>
      </c>
      <c r="AG1953" s="1">
        <v>43282</v>
      </c>
      <c r="AH1953" s="1">
        <v>43282</v>
      </c>
      <c r="AI1953" s="1">
        <v>43282</v>
      </c>
      <c r="AK1953" t="s">
        <v>51</v>
      </c>
      <c r="AN1953">
        <v>0</v>
      </c>
      <c r="AO1953" t="s">
        <v>54</v>
      </c>
      <c r="AP1953" t="s">
        <v>53</v>
      </c>
      <c r="AQ1953">
        <v>0</v>
      </c>
      <c r="AR1953" t="s">
        <v>53</v>
      </c>
      <c r="AS1953">
        <v>0</v>
      </c>
      <c r="AT1953">
        <v>0</v>
      </c>
      <c r="CC1953" t="s">
        <v>669</v>
      </c>
      <c r="CD1953">
        <v>85000</v>
      </c>
      <c r="CE1953" s="1">
        <v>43282</v>
      </c>
      <c r="CF1953" s="1">
        <v>43282</v>
      </c>
      <c r="CG1953" s="1">
        <v>43282</v>
      </c>
      <c r="CI1953" t="s">
        <v>51</v>
      </c>
      <c r="CK1953" t="s">
        <v>78</v>
      </c>
      <c r="CM1953" t="s">
        <v>54</v>
      </c>
      <c r="CN1953" t="s">
        <v>174</v>
      </c>
      <c r="CO1953" t="s">
        <v>86</v>
      </c>
      <c r="CR1953">
        <v>50</v>
      </c>
      <c r="CS1953">
        <v>0</v>
      </c>
      <c r="CT1953">
        <v>0</v>
      </c>
      <c r="CU1953">
        <v>0</v>
      </c>
    </row>
    <row r="1954" spans="1:99" x14ac:dyDescent="0.2">
      <c r="A1954" t="s">
        <v>367</v>
      </c>
      <c r="B1954" t="s">
        <v>440</v>
      </c>
      <c r="C1954" t="s">
        <v>441</v>
      </c>
      <c r="D1954" t="s">
        <v>806</v>
      </c>
      <c r="F1954" t="str">
        <f>"253778"</f>
        <v>253778</v>
      </c>
      <c r="G1954" t="s">
        <v>49</v>
      </c>
      <c r="K1954" t="s">
        <v>51</v>
      </c>
      <c r="L1954" t="s">
        <v>52</v>
      </c>
      <c r="M1954">
        <v>135052.88</v>
      </c>
      <c r="N1954">
        <v>468822.16</v>
      </c>
      <c r="O1954" t="s">
        <v>53</v>
      </c>
      <c r="P1954" t="s">
        <v>54</v>
      </c>
      <c r="Q1954" t="s">
        <v>55</v>
      </c>
      <c r="T1954" t="s">
        <v>431</v>
      </c>
      <c r="U1954">
        <v>40</v>
      </c>
      <c r="V1954" s="1">
        <v>25569</v>
      </c>
      <c r="W1954" s="1">
        <v>25569</v>
      </c>
      <c r="X1954" s="1">
        <v>25569</v>
      </c>
      <c r="Y1954" s="1">
        <v>40179</v>
      </c>
      <c r="Z1954" t="s">
        <v>51</v>
      </c>
      <c r="AB1954" t="s">
        <v>54</v>
      </c>
      <c r="AD1954" t="s">
        <v>809</v>
      </c>
      <c r="AE1954" t="s">
        <v>810</v>
      </c>
      <c r="AF1954">
        <v>20</v>
      </c>
      <c r="AG1954" s="1">
        <v>43282</v>
      </c>
      <c r="AH1954" s="1">
        <v>43282</v>
      </c>
      <c r="AI1954" s="1">
        <v>43282</v>
      </c>
      <c r="AK1954" t="s">
        <v>51</v>
      </c>
      <c r="AN1954">
        <v>0</v>
      </c>
      <c r="AO1954" t="s">
        <v>54</v>
      </c>
      <c r="AP1954" t="s">
        <v>53</v>
      </c>
      <c r="AQ1954">
        <v>0</v>
      </c>
      <c r="AR1954" t="s">
        <v>53</v>
      </c>
      <c r="AS1954">
        <v>0</v>
      </c>
      <c r="AT1954">
        <v>0</v>
      </c>
      <c r="CC1954" t="s">
        <v>669</v>
      </c>
      <c r="CD1954">
        <v>85000</v>
      </c>
      <c r="CE1954" s="1">
        <v>43282</v>
      </c>
      <c r="CF1954" s="1">
        <v>43282</v>
      </c>
      <c r="CG1954" s="1">
        <v>43282</v>
      </c>
      <c r="CI1954" t="s">
        <v>51</v>
      </c>
      <c r="CK1954" t="s">
        <v>78</v>
      </c>
      <c r="CM1954" t="s">
        <v>54</v>
      </c>
      <c r="CN1954" t="s">
        <v>174</v>
      </c>
      <c r="CO1954" t="s">
        <v>86</v>
      </c>
      <c r="CR1954">
        <v>50</v>
      </c>
      <c r="CS1954">
        <v>0</v>
      </c>
      <c r="CT1954">
        <v>0</v>
      </c>
      <c r="CU1954">
        <v>0</v>
      </c>
    </row>
    <row r="1955" spans="1:99" x14ac:dyDescent="0.2">
      <c r="A1955" t="s">
        <v>367</v>
      </c>
      <c r="B1955" t="s">
        <v>440</v>
      </c>
      <c r="C1955" t="s">
        <v>441</v>
      </c>
      <c r="D1955" t="s">
        <v>806</v>
      </c>
      <c r="F1955" t="str">
        <f>"253779"</f>
        <v>253779</v>
      </c>
      <c r="G1955" t="s">
        <v>49</v>
      </c>
      <c r="K1955" t="s">
        <v>51</v>
      </c>
      <c r="L1955" t="s">
        <v>52</v>
      </c>
      <c r="M1955">
        <v>135082.79</v>
      </c>
      <c r="N1955">
        <v>468822.46</v>
      </c>
      <c r="O1955" t="s">
        <v>53</v>
      </c>
      <c r="P1955" t="s">
        <v>54</v>
      </c>
      <c r="Q1955" t="s">
        <v>55</v>
      </c>
      <c r="T1955" t="s">
        <v>431</v>
      </c>
      <c r="U1955">
        <v>40</v>
      </c>
      <c r="V1955" s="1">
        <v>25569</v>
      </c>
      <c r="W1955" s="1">
        <v>25569</v>
      </c>
      <c r="X1955" s="1">
        <v>25569</v>
      </c>
      <c r="Y1955" s="1">
        <v>40179</v>
      </c>
      <c r="Z1955" t="s">
        <v>51</v>
      </c>
      <c r="AB1955" t="s">
        <v>54</v>
      </c>
      <c r="AD1955" t="s">
        <v>809</v>
      </c>
      <c r="AE1955" t="s">
        <v>810</v>
      </c>
      <c r="AF1955">
        <v>20</v>
      </c>
      <c r="AG1955" s="1">
        <v>43282</v>
      </c>
      <c r="AH1955" s="1">
        <v>43282</v>
      </c>
      <c r="AI1955" s="1">
        <v>43282</v>
      </c>
      <c r="AK1955" t="s">
        <v>51</v>
      </c>
      <c r="AN1955">
        <v>0</v>
      </c>
      <c r="AO1955" t="s">
        <v>54</v>
      </c>
      <c r="AP1955" t="s">
        <v>53</v>
      </c>
      <c r="AQ1955">
        <v>0</v>
      </c>
      <c r="AR1955" t="s">
        <v>53</v>
      </c>
      <c r="AS1955">
        <v>0</v>
      </c>
      <c r="AT1955">
        <v>0</v>
      </c>
      <c r="CC1955" t="s">
        <v>669</v>
      </c>
      <c r="CD1955">
        <v>85000</v>
      </c>
      <c r="CE1955" s="1">
        <v>43282</v>
      </c>
      <c r="CF1955" s="1">
        <v>43282</v>
      </c>
      <c r="CG1955" s="1">
        <v>43282</v>
      </c>
      <c r="CI1955" t="s">
        <v>51</v>
      </c>
      <c r="CK1955" t="s">
        <v>78</v>
      </c>
      <c r="CM1955" t="s">
        <v>54</v>
      </c>
      <c r="CN1955" t="s">
        <v>174</v>
      </c>
      <c r="CO1955" t="s">
        <v>86</v>
      </c>
      <c r="CR1955">
        <v>50</v>
      </c>
      <c r="CS1955">
        <v>0</v>
      </c>
      <c r="CT1955">
        <v>0</v>
      </c>
      <c r="CU1955">
        <v>0</v>
      </c>
    </row>
    <row r="1956" spans="1:99" x14ac:dyDescent="0.2">
      <c r="A1956" t="s">
        <v>367</v>
      </c>
      <c r="B1956" t="s">
        <v>440</v>
      </c>
      <c r="C1956" t="s">
        <v>441</v>
      </c>
      <c r="D1956" t="s">
        <v>806</v>
      </c>
      <c r="F1956" t="str">
        <f>"253780"</f>
        <v>253780</v>
      </c>
      <c r="G1956" t="s">
        <v>49</v>
      </c>
      <c r="K1956" t="s">
        <v>51</v>
      </c>
      <c r="L1956" t="s">
        <v>52</v>
      </c>
      <c r="M1956">
        <v>135112.35</v>
      </c>
      <c r="N1956">
        <v>468822.62</v>
      </c>
      <c r="O1956" t="s">
        <v>53</v>
      </c>
      <c r="P1956" t="s">
        <v>54</v>
      </c>
      <c r="Q1956" t="s">
        <v>55</v>
      </c>
      <c r="T1956" t="s">
        <v>431</v>
      </c>
      <c r="U1956">
        <v>40</v>
      </c>
      <c r="V1956" s="1">
        <v>25569</v>
      </c>
      <c r="W1956" s="1">
        <v>25569</v>
      </c>
      <c r="X1956" s="1">
        <v>25569</v>
      </c>
      <c r="Y1956" s="1">
        <v>40179</v>
      </c>
      <c r="Z1956" t="s">
        <v>51</v>
      </c>
      <c r="AB1956" t="s">
        <v>54</v>
      </c>
      <c r="AD1956" t="s">
        <v>809</v>
      </c>
      <c r="AE1956" t="s">
        <v>810</v>
      </c>
      <c r="AF1956">
        <v>20</v>
      </c>
      <c r="AG1956" s="1">
        <v>43282</v>
      </c>
      <c r="AH1956" s="1">
        <v>43282</v>
      </c>
      <c r="AI1956" s="1">
        <v>43282</v>
      </c>
      <c r="AK1956" t="s">
        <v>51</v>
      </c>
      <c r="AN1956">
        <v>0</v>
      </c>
      <c r="AO1956" t="s">
        <v>54</v>
      </c>
      <c r="AP1956" t="s">
        <v>53</v>
      </c>
      <c r="AQ1956">
        <v>0</v>
      </c>
      <c r="AR1956" t="s">
        <v>53</v>
      </c>
      <c r="AS1956">
        <v>0</v>
      </c>
      <c r="AT1956">
        <v>0</v>
      </c>
      <c r="CC1956" t="s">
        <v>669</v>
      </c>
      <c r="CD1956">
        <v>85000</v>
      </c>
      <c r="CE1956" s="1">
        <v>43282</v>
      </c>
      <c r="CF1956" s="1">
        <v>43282</v>
      </c>
      <c r="CG1956" s="1">
        <v>43282</v>
      </c>
      <c r="CI1956" t="s">
        <v>51</v>
      </c>
      <c r="CK1956" t="s">
        <v>78</v>
      </c>
      <c r="CM1956" t="s">
        <v>54</v>
      </c>
      <c r="CN1956" t="s">
        <v>174</v>
      </c>
      <c r="CO1956" t="s">
        <v>86</v>
      </c>
      <c r="CR1956">
        <v>50</v>
      </c>
      <c r="CS1956">
        <v>0</v>
      </c>
      <c r="CT1956">
        <v>0</v>
      </c>
      <c r="CU1956">
        <v>0</v>
      </c>
    </row>
    <row r="1957" spans="1:99" x14ac:dyDescent="0.2">
      <c r="A1957" t="s">
        <v>367</v>
      </c>
      <c r="B1957" t="s">
        <v>440</v>
      </c>
      <c r="C1957" t="s">
        <v>441</v>
      </c>
      <c r="D1957" t="s">
        <v>806</v>
      </c>
      <c r="F1957" t="str">
        <f>"253781"</f>
        <v>253781</v>
      </c>
      <c r="G1957" t="s">
        <v>49</v>
      </c>
      <c r="K1957" t="s">
        <v>51</v>
      </c>
      <c r="L1957" t="s">
        <v>52</v>
      </c>
      <c r="M1957">
        <v>135173.4</v>
      </c>
      <c r="N1957">
        <v>468822.65</v>
      </c>
      <c r="O1957" t="s">
        <v>53</v>
      </c>
      <c r="P1957" t="s">
        <v>54</v>
      </c>
      <c r="Q1957" t="s">
        <v>55</v>
      </c>
      <c r="T1957" t="s">
        <v>431</v>
      </c>
      <c r="U1957">
        <v>40</v>
      </c>
      <c r="V1957" s="1">
        <v>25569</v>
      </c>
      <c r="W1957" s="1">
        <v>25569</v>
      </c>
      <c r="X1957" s="1">
        <v>25569</v>
      </c>
      <c r="Y1957" s="1">
        <v>40179</v>
      </c>
      <c r="Z1957" t="s">
        <v>51</v>
      </c>
      <c r="AB1957" t="s">
        <v>54</v>
      </c>
      <c r="AD1957" t="s">
        <v>809</v>
      </c>
      <c r="AE1957" t="s">
        <v>810</v>
      </c>
      <c r="AF1957">
        <v>20</v>
      </c>
      <c r="AG1957" s="1">
        <v>43282</v>
      </c>
      <c r="AH1957" s="1">
        <v>43282</v>
      </c>
      <c r="AI1957" s="1">
        <v>43282</v>
      </c>
      <c r="AK1957" t="s">
        <v>51</v>
      </c>
      <c r="AN1957">
        <v>0</v>
      </c>
      <c r="AO1957" t="s">
        <v>54</v>
      </c>
      <c r="AP1957" t="s">
        <v>53</v>
      </c>
      <c r="AQ1957">
        <v>0</v>
      </c>
      <c r="AR1957" t="s">
        <v>53</v>
      </c>
      <c r="AS1957">
        <v>0</v>
      </c>
      <c r="AT1957">
        <v>0</v>
      </c>
      <c r="CC1957" t="s">
        <v>669</v>
      </c>
      <c r="CD1957">
        <v>85000</v>
      </c>
      <c r="CE1957" s="1">
        <v>43282</v>
      </c>
      <c r="CF1957" s="1">
        <v>43282</v>
      </c>
      <c r="CG1957" s="1">
        <v>43282</v>
      </c>
      <c r="CI1957" t="s">
        <v>51</v>
      </c>
      <c r="CK1957" t="s">
        <v>78</v>
      </c>
      <c r="CM1957" t="s">
        <v>54</v>
      </c>
      <c r="CN1957" t="s">
        <v>174</v>
      </c>
      <c r="CO1957" t="s">
        <v>86</v>
      </c>
      <c r="CR1957">
        <v>50</v>
      </c>
      <c r="CS1957">
        <v>0</v>
      </c>
      <c r="CT1957">
        <v>0</v>
      </c>
      <c r="CU1957">
        <v>0</v>
      </c>
    </row>
    <row r="1958" spans="1:99" x14ac:dyDescent="0.2">
      <c r="A1958" t="s">
        <v>367</v>
      </c>
      <c r="B1958" t="s">
        <v>440</v>
      </c>
      <c r="C1958" t="s">
        <v>441</v>
      </c>
      <c r="D1958" t="s">
        <v>806</v>
      </c>
      <c r="F1958" t="str">
        <f>"253782"</f>
        <v>253782</v>
      </c>
      <c r="G1958" t="s">
        <v>49</v>
      </c>
      <c r="K1958" t="s">
        <v>51</v>
      </c>
      <c r="L1958" t="s">
        <v>52</v>
      </c>
      <c r="M1958">
        <v>135225.26999999999</v>
      </c>
      <c r="N1958">
        <v>468820.78</v>
      </c>
      <c r="O1958" t="s">
        <v>53</v>
      </c>
      <c r="P1958" t="s">
        <v>54</v>
      </c>
      <c r="Q1958" t="s">
        <v>55</v>
      </c>
      <c r="T1958" t="s">
        <v>431</v>
      </c>
      <c r="U1958">
        <v>40</v>
      </c>
      <c r="V1958" s="1">
        <v>25569</v>
      </c>
      <c r="W1958" s="1">
        <v>25569</v>
      </c>
      <c r="X1958" s="1">
        <v>25569</v>
      </c>
      <c r="Y1958" s="1">
        <v>40179</v>
      </c>
      <c r="Z1958" t="s">
        <v>51</v>
      </c>
      <c r="AB1958" t="s">
        <v>54</v>
      </c>
      <c r="AD1958" t="s">
        <v>809</v>
      </c>
      <c r="AE1958" t="s">
        <v>810</v>
      </c>
      <c r="AF1958">
        <v>20</v>
      </c>
      <c r="AG1958" s="1">
        <v>43282</v>
      </c>
      <c r="AH1958" s="1">
        <v>43282</v>
      </c>
      <c r="AI1958" s="1">
        <v>43282</v>
      </c>
      <c r="AK1958" t="s">
        <v>51</v>
      </c>
      <c r="AN1958">
        <v>0</v>
      </c>
      <c r="AO1958" t="s">
        <v>54</v>
      </c>
      <c r="AP1958" t="s">
        <v>53</v>
      </c>
      <c r="AQ1958">
        <v>0</v>
      </c>
      <c r="AR1958" t="s">
        <v>53</v>
      </c>
      <c r="AS1958">
        <v>0</v>
      </c>
      <c r="AT1958">
        <v>0</v>
      </c>
      <c r="CC1958" t="s">
        <v>669</v>
      </c>
      <c r="CD1958">
        <v>85000</v>
      </c>
      <c r="CE1958" s="1">
        <v>43282</v>
      </c>
      <c r="CF1958" s="1">
        <v>43282</v>
      </c>
      <c r="CG1958" s="1">
        <v>43282</v>
      </c>
      <c r="CI1958" t="s">
        <v>51</v>
      </c>
      <c r="CK1958" t="s">
        <v>78</v>
      </c>
      <c r="CM1958" t="s">
        <v>54</v>
      </c>
      <c r="CN1958" t="s">
        <v>174</v>
      </c>
      <c r="CO1958" t="s">
        <v>86</v>
      </c>
      <c r="CR1958">
        <v>50</v>
      </c>
      <c r="CS1958">
        <v>0</v>
      </c>
      <c r="CT1958">
        <v>0</v>
      </c>
      <c r="CU1958">
        <v>0</v>
      </c>
    </row>
    <row r="1959" spans="1:99" x14ac:dyDescent="0.2">
      <c r="A1959" t="s">
        <v>367</v>
      </c>
      <c r="B1959" t="s">
        <v>440</v>
      </c>
      <c r="C1959" t="s">
        <v>441</v>
      </c>
      <c r="D1959" t="s">
        <v>806</v>
      </c>
      <c r="F1959" t="str">
        <f>"253783"</f>
        <v>253783</v>
      </c>
      <c r="G1959" t="s">
        <v>49</v>
      </c>
      <c r="K1959" t="s">
        <v>51</v>
      </c>
      <c r="L1959" t="s">
        <v>52</v>
      </c>
      <c r="M1959">
        <v>135287.82999999999</v>
      </c>
      <c r="N1959">
        <v>468819.38</v>
      </c>
      <c r="O1959" t="s">
        <v>53</v>
      </c>
      <c r="P1959" t="s">
        <v>54</v>
      </c>
      <c r="Q1959" t="s">
        <v>55</v>
      </c>
      <c r="T1959" t="s">
        <v>431</v>
      </c>
      <c r="U1959">
        <v>40</v>
      </c>
      <c r="V1959" s="1">
        <v>25569</v>
      </c>
      <c r="W1959" s="1">
        <v>25569</v>
      </c>
      <c r="X1959" s="1">
        <v>25569</v>
      </c>
      <c r="Y1959" s="1">
        <v>40179</v>
      </c>
      <c r="Z1959" t="s">
        <v>51</v>
      </c>
      <c r="AB1959" t="s">
        <v>54</v>
      </c>
      <c r="AD1959" t="s">
        <v>809</v>
      </c>
      <c r="AE1959" t="s">
        <v>810</v>
      </c>
      <c r="AF1959">
        <v>20</v>
      </c>
      <c r="AG1959" s="1">
        <v>43282</v>
      </c>
      <c r="AH1959" s="1">
        <v>43282</v>
      </c>
      <c r="AI1959" s="1">
        <v>43282</v>
      </c>
      <c r="AK1959" t="s">
        <v>51</v>
      </c>
      <c r="AN1959">
        <v>0</v>
      </c>
      <c r="AO1959" t="s">
        <v>54</v>
      </c>
      <c r="AP1959" t="s">
        <v>53</v>
      </c>
      <c r="AQ1959">
        <v>0</v>
      </c>
      <c r="AR1959" t="s">
        <v>53</v>
      </c>
      <c r="AS1959">
        <v>0</v>
      </c>
      <c r="AT1959">
        <v>0</v>
      </c>
      <c r="CC1959" t="s">
        <v>669</v>
      </c>
      <c r="CD1959">
        <v>85000</v>
      </c>
      <c r="CE1959" s="1">
        <v>43282</v>
      </c>
      <c r="CF1959" s="1">
        <v>43282</v>
      </c>
      <c r="CG1959" s="1">
        <v>43282</v>
      </c>
      <c r="CI1959" t="s">
        <v>51</v>
      </c>
      <c r="CK1959" t="s">
        <v>78</v>
      </c>
      <c r="CM1959" t="s">
        <v>54</v>
      </c>
      <c r="CN1959" t="s">
        <v>174</v>
      </c>
      <c r="CO1959" t="s">
        <v>86</v>
      </c>
      <c r="CR1959">
        <v>50</v>
      </c>
      <c r="CS1959">
        <v>0</v>
      </c>
      <c r="CT1959">
        <v>0</v>
      </c>
      <c r="CU1959">
        <v>0</v>
      </c>
    </row>
    <row r="1960" spans="1:99" x14ac:dyDescent="0.2">
      <c r="A1960" t="s">
        <v>367</v>
      </c>
      <c r="B1960" t="s">
        <v>440</v>
      </c>
      <c r="C1960" t="s">
        <v>441</v>
      </c>
      <c r="D1960" t="s">
        <v>806</v>
      </c>
      <c r="F1960" t="str">
        <f>"253784"</f>
        <v>253784</v>
      </c>
      <c r="G1960" t="s">
        <v>49</v>
      </c>
      <c r="K1960" t="s">
        <v>51</v>
      </c>
      <c r="L1960" t="s">
        <v>52</v>
      </c>
      <c r="M1960">
        <v>135354.48000000001</v>
      </c>
      <c r="N1960">
        <v>468816.45</v>
      </c>
      <c r="O1960" t="s">
        <v>53</v>
      </c>
      <c r="P1960" t="s">
        <v>54</v>
      </c>
      <c r="Q1960" t="s">
        <v>55</v>
      </c>
      <c r="T1960" t="s">
        <v>431</v>
      </c>
      <c r="U1960">
        <v>40</v>
      </c>
      <c r="V1960" s="1">
        <v>25569</v>
      </c>
      <c r="W1960" s="1">
        <v>25569</v>
      </c>
      <c r="X1960" s="1">
        <v>25569</v>
      </c>
      <c r="Y1960" s="1">
        <v>40179</v>
      </c>
      <c r="Z1960" t="s">
        <v>51</v>
      </c>
      <c r="AB1960" t="s">
        <v>54</v>
      </c>
      <c r="AD1960" t="s">
        <v>809</v>
      </c>
      <c r="AE1960" t="s">
        <v>810</v>
      </c>
      <c r="AF1960">
        <v>20</v>
      </c>
      <c r="AG1960" s="1">
        <v>43282</v>
      </c>
      <c r="AH1960" s="1">
        <v>43282</v>
      </c>
      <c r="AI1960" s="1">
        <v>43282</v>
      </c>
      <c r="AK1960" t="s">
        <v>51</v>
      </c>
      <c r="AN1960">
        <v>0</v>
      </c>
      <c r="AO1960" t="s">
        <v>54</v>
      </c>
      <c r="AP1960" t="s">
        <v>53</v>
      </c>
      <c r="AQ1960">
        <v>0</v>
      </c>
      <c r="AR1960" t="s">
        <v>53</v>
      </c>
      <c r="AS1960">
        <v>0</v>
      </c>
      <c r="AT1960">
        <v>0</v>
      </c>
      <c r="CC1960" t="s">
        <v>669</v>
      </c>
      <c r="CD1960">
        <v>85000</v>
      </c>
      <c r="CE1960" s="1">
        <v>43282</v>
      </c>
      <c r="CF1960" s="1">
        <v>43282</v>
      </c>
      <c r="CG1960" s="1">
        <v>43282</v>
      </c>
      <c r="CI1960" t="s">
        <v>51</v>
      </c>
      <c r="CK1960" t="s">
        <v>78</v>
      </c>
      <c r="CM1960" t="s">
        <v>54</v>
      </c>
      <c r="CN1960" t="s">
        <v>174</v>
      </c>
      <c r="CO1960" t="s">
        <v>86</v>
      </c>
      <c r="CR1960">
        <v>50</v>
      </c>
      <c r="CS1960">
        <v>0</v>
      </c>
      <c r="CT1960">
        <v>0</v>
      </c>
      <c r="CU1960">
        <v>0</v>
      </c>
    </row>
    <row r="1961" spans="1:99" x14ac:dyDescent="0.2">
      <c r="A1961" t="s">
        <v>367</v>
      </c>
      <c r="B1961" t="s">
        <v>440</v>
      </c>
      <c r="C1961" t="s">
        <v>441</v>
      </c>
      <c r="D1961" t="s">
        <v>806</v>
      </c>
      <c r="F1961" t="str">
        <f>"253785"</f>
        <v>253785</v>
      </c>
      <c r="G1961" t="s">
        <v>49</v>
      </c>
      <c r="K1961" t="s">
        <v>51</v>
      </c>
      <c r="L1961" t="s">
        <v>52</v>
      </c>
      <c r="M1961">
        <v>135412.79999999999</v>
      </c>
      <c r="N1961">
        <v>468814.83</v>
      </c>
      <c r="O1961" t="s">
        <v>53</v>
      </c>
      <c r="P1961" t="s">
        <v>54</v>
      </c>
      <c r="Q1961" t="s">
        <v>55</v>
      </c>
      <c r="T1961" t="s">
        <v>431</v>
      </c>
      <c r="U1961">
        <v>40</v>
      </c>
      <c r="V1961" s="1">
        <v>25569</v>
      </c>
      <c r="W1961" s="1">
        <v>25569</v>
      </c>
      <c r="X1961" s="1">
        <v>25569</v>
      </c>
      <c r="Y1961" s="1">
        <v>40179</v>
      </c>
      <c r="Z1961" t="s">
        <v>51</v>
      </c>
      <c r="AB1961" t="s">
        <v>54</v>
      </c>
      <c r="AD1961" t="s">
        <v>809</v>
      </c>
      <c r="AE1961" t="s">
        <v>810</v>
      </c>
      <c r="AF1961">
        <v>20</v>
      </c>
      <c r="AG1961" s="1">
        <v>43282</v>
      </c>
      <c r="AH1961" s="1">
        <v>43282</v>
      </c>
      <c r="AI1961" s="1">
        <v>43282</v>
      </c>
      <c r="AK1961" t="s">
        <v>51</v>
      </c>
      <c r="AN1961">
        <v>0</v>
      </c>
      <c r="AO1961" t="s">
        <v>54</v>
      </c>
      <c r="AP1961" t="s">
        <v>53</v>
      </c>
      <c r="AQ1961">
        <v>0</v>
      </c>
      <c r="AR1961" t="s">
        <v>53</v>
      </c>
      <c r="AS1961">
        <v>0</v>
      </c>
      <c r="AT1961">
        <v>0</v>
      </c>
      <c r="CC1961" t="s">
        <v>669</v>
      </c>
      <c r="CD1961">
        <v>85000</v>
      </c>
      <c r="CE1961" s="1">
        <v>43282</v>
      </c>
      <c r="CF1961" s="1">
        <v>43282</v>
      </c>
      <c r="CG1961" s="1">
        <v>43282</v>
      </c>
      <c r="CI1961" t="s">
        <v>51</v>
      </c>
      <c r="CK1961" t="s">
        <v>78</v>
      </c>
      <c r="CM1961" t="s">
        <v>54</v>
      </c>
      <c r="CN1961" t="s">
        <v>174</v>
      </c>
      <c r="CO1961" t="s">
        <v>86</v>
      </c>
      <c r="CR1961">
        <v>50</v>
      </c>
      <c r="CS1961">
        <v>0</v>
      </c>
      <c r="CT1961">
        <v>0</v>
      </c>
      <c r="CU1961">
        <v>0</v>
      </c>
    </row>
    <row r="1962" spans="1:99" x14ac:dyDescent="0.2">
      <c r="A1962" t="s">
        <v>367</v>
      </c>
      <c r="B1962" t="s">
        <v>440</v>
      </c>
      <c r="C1962" t="s">
        <v>441</v>
      </c>
      <c r="D1962" t="s">
        <v>806</v>
      </c>
      <c r="F1962" t="str">
        <f>"253786"</f>
        <v>253786</v>
      </c>
      <c r="G1962" t="s">
        <v>49</v>
      </c>
      <c r="K1962" t="s">
        <v>51</v>
      </c>
      <c r="L1962" t="s">
        <v>52</v>
      </c>
      <c r="M1962">
        <v>135472.49</v>
      </c>
      <c r="N1962">
        <v>468812.68</v>
      </c>
      <c r="O1962" t="s">
        <v>53</v>
      </c>
      <c r="P1962" t="s">
        <v>54</v>
      </c>
      <c r="Q1962" t="s">
        <v>55</v>
      </c>
      <c r="T1962" t="s">
        <v>431</v>
      </c>
      <c r="U1962">
        <v>40</v>
      </c>
      <c r="V1962" s="1">
        <v>25569</v>
      </c>
      <c r="W1962" s="1">
        <v>25569</v>
      </c>
      <c r="X1962" s="1">
        <v>25569</v>
      </c>
      <c r="Y1962" s="1">
        <v>40179</v>
      </c>
      <c r="Z1962" t="s">
        <v>51</v>
      </c>
      <c r="AB1962" t="s">
        <v>54</v>
      </c>
      <c r="AD1962" t="s">
        <v>809</v>
      </c>
      <c r="AE1962" t="s">
        <v>810</v>
      </c>
      <c r="AF1962">
        <v>20</v>
      </c>
      <c r="AG1962" s="1">
        <v>43282</v>
      </c>
      <c r="AH1962" s="1">
        <v>43282</v>
      </c>
      <c r="AI1962" s="1">
        <v>43282</v>
      </c>
      <c r="AK1962" t="s">
        <v>51</v>
      </c>
      <c r="AN1962">
        <v>0</v>
      </c>
      <c r="AO1962" t="s">
        <v>54</v>
      </c>
      <c r="AP1962" t="s">
        <v>53</v>
      </c>
      <c r="AQ1962">
        <v>0</v>
      </c>
      <c r="AR1962" t="s">
        <v>53</v>
      </c>
      <c r="AS1962">
        <v>0</v>
      </c>
      <c r="AT1962">
        <v>0</v>
      </c>
      <c r="CC1962" t="s">
        <v>669</v>
      </c>
      <c r="CD1962">
        <v>85000</v>
      </c>
      <c r="CE1962" s="1">
        <v>43282</v>
      </c>
      <c r="CF1962" s="1">
        <v>43282</v>
      </c>
      <c r="CG1962" s="1">
        <v>43282</v>
      </c>
      <c r="CI1962" t="s">
        <v>51</v>
      </c>
      <c r="CK1962" t="s">
        <v>78</v>
      </c>
      <c r="CM1962" t="s">
        <v>54</v>
      </c>
      <c r="CN1962" t="s">
        <v>174</v>
      </c>
      <c r="CO1962" t="s">
        <v>86</v>
      </c>
      <c r="CR1962">
        <v>50</v>
      </c>
      <c r="CS1962">
        <v>0</v>
      </c>
      <c r="CT1962">
        <v>0</v>
      </c>
      <c r="CU1962">
        <v>0</v>
      </c>
    </row>
    <row r="1963" spans="1:99" x14ac:dyDescent="0.2">
      <c r="A1963" t="s">
        <v>367</v>
      </c>
      <c r="B1963" t="s">
        <v>440</v>
      </c>
      <c r="C1963" t="s">
        <v>441</v>
      </c>
      <c r="D1963" t="s">
        <v>806</v>
      </c>
      <c r="F1963" t="str">
        <f>"253787"</f>
        <v>253787</v>
      </c>
      <c r="G1963" t="s">
        <v>49</v>
      </c>
      <c r="K1963" t="s">
        <v>51</v>
      </c>
      <c r="L1963" t="s">
        <v>52</v>
      </c>
      <c r="M1963">
        <v>135534.82</v>
      </c>
      <c r="N1963">
        <v>468810.52</v>
      </c>
      <c r="O1963" t="s">
        <v>53</v>
      </c>
      <c r="P1963" t="s">
        <v>54</v>
      </c>
      <c r="Q1963" t="s">
        <v>55</v>
      </c>
      <c r="T1963" t="s">
        <v>431</v>
      </c>
      <c r="U1963">
        <v>40</v>
      </c>
      <c r="V1963" s="1">
        <v>25569</v>
      </c>
      <c r="W1963" s="1">
        <v>25569</v>
      </c>
      <c r="X1963" s="1">
        <v>25569</v>
      </c>
      <c r="Y1963" s="1">
        <v>40179</v>
      </c>
      <c r="Z1963" t="s">
        <v>51</v>
      </c>
      <c r="AB1963" t="s">
        <v>54</v>
      </c>
      <c r="AD1963" t="s">
        <v>809</v>
      </c>
      <c r="AE1963" t="s">
        <v>810</v>
      </c>
      <c r="AF1963">
        <v>20</v>
      </c>
      <c r="AG1963" s="1">
        <v>43282</v>
      </c>
      <c r="AH1963" s="1">
        <v>43282</v>
      </c>
      <c r="AI1963" s="1">
        <v>43282</v>
      </c>
      <c r="AK1963" t="s">
        <v>51</v>
      </c>
      <c r="AN1963">
        <v>0</v>
      </c>
      <c r="AO1963" t="s">
        <v>54</v>
      </c>
      <c r="AP1963" t="s">
        <v>53</v>
      </c>
      <c r="AQ1963">
        <v>0</v>
      </c>
      <c r="AR1963" t="s">
        <v>53</v>
      </c>
      <c r="AS1963">
        <v>0</v>
      </c>
      <c r="AT1963">
        <v>0</v>
      </c>
      <c r="CC1963" t="s">
        <v>669</v>
      </c>
      <c r="CD1963">
        <v>85000</v>
      </c>
      <c r="CE1963" s="1">
        <v>43282</v>
      </c>
      <c r="CF1963" s="1">
        <v>43282</v>
      </c>
      <c r="CG1963" s="1">
        <v>43282</v>
      </c>
      <c r="CI1963" t="s">
        <v>51</v>
      </c>
      <c r="CK1963" t="s">
        <v>78</v>
      </c>
      <c r="CM1963" t="s">
        <v>54</v>
      </c>
      <c r="CN1963" t="s">
        <v>174</v>
      </c>
      <c r="CO1963" t="s">
        <v>86</v>
      </c>
      <c r="CR1963">
        <v>50</v>
      </c>
      <c r="CS1963">
        <v>0</v>
      </c>
      <c r="CT1963">
        <v>0</v>
      </c>
      <c r="CU1963">
        <v>0</v>
      </c>
    </row>
    <row r="1964" spans="1:99" x14ac:dyDescent="0.2">
      <c r="A1964" t="s">
        <v>367</v>
      </c>
      <c r="B1964" t="s">
        <v>440</v>
      </c>
      <c r="C1964" t="s">
        <v>441</v>
      </c>
      <c r="D1964" t="s">
        <v>806</v>
      </c>
      <c r="F1964" t="str">
        <f>"253788"</f>
        <v>253788</v>
      </c>
      <c r="G1964" t="s">
        <v>49</v>
      </c>
      <c r="K1964" t="s">
        <v>51</v>
      </c>
      <c r="L1964" t="s">
        <v>52</v>
      </c>
      <c r="M1964">
        <v>135592.32000000001</v>
      </c>
      <c r="N1964">
        <v>468808.77</v>
      </c>
      <c r="O1964" t="s">
        <v>53</v>
      </c>
      <c r="P1964" t="s">
        <v>54</v>
      </c>
      <c r="Q1964" t="s">
        <v>55</v>
      </c>
      <c r="T1964" t="s">
        <v>431</v>
      </c>
      <c r="U1964">
        <v>40</v>
      </c>
      <c r="V1964" s="1">
        <v>25569</v>
      </c>
      <c r="W1964" s="1">
        <v>25569</v>
      </c>
      <c r="X1964" s="1">
        <v>25569</v>
      </c>
      <c r="Y1964" s="1">
        <v>40179</v>
      </c>
      <c r="Z1964" t="s">
        <v>51</v>
      </c>
      <c r="AB1964" t="s">
        <v>54</v>
      </c>
      <c r="AD1964" t="s">
        <v>809</v>
      </c>
      <c r="AE1964" t="s">
        <v>810</v>
      </c>
      <c r="AF1964">
        <v>20</v>
      </c>
      <c r="AG1964" s="1">
        <v>43282</v>
      </c>
      <c r="AH1964" s="1">
        <v>43282</v>
      </c>
      <c r="AI1964" s="1">
        <v>43282</v>
      </c>
      <c r="AK1964" t="s">
        <v>51</v>
      </c>
      <c r="AN1964">
        <v>0</v>
      </c>
      <c r="AO1964" t="s">
        <v>54</v>
      </c>
      <c r="AP1964" t="s">
        <v>53</v>
      </c>
      <c r="AQ1964">
        <v>0</v>
      </c>
      <c r="AR1964" t="s">
        <v>53</v>
      </c>
      <c r="AS1964">
        <v>0</v>
      </c>
      <c r="AT1964">
        <v>0</v>
      </c>
      <c r="CC1964" t="s">
        <v>669</v>
      </c>
      <c r="CD1964">
        <v>85000</v>
      </c>
      <c r="CE1964" s="1">
        <v>43282</v>
      </c>
      <c r="CF1964" s="1">
        <v>43282</v>
      </c>
      <c r="CG1964" s="1">
        <v>43282</v>
      </c>
      <c r="CI1964" t="s">
        <v>51</v>
      </c>
      <c r="CK1964" t="s">
        <v>78</v>
      </c>
      <c r="CM1964" t="s">
        <v>54</v>
      </c>
      <c r="CN1964" t="s">
        <v>174</v>
      </c>
      <c r="CO1964" t="s">
        <v>86</v>
      </c>
      <c r="CR1964">
        <v>50</v>
      </c>
      <c r="CS1964">
        <v>0</v>
      </c>
      <c r="CT1964">
        <v>0</v>
      </c>
      <c r="CU1964">
        <v>0</v>
      </c>
    </row>
    <row r="1965" spans="1:99" x14ac:dyDescent="0.2">
      <c r="A1965" t="s">
        <v>367</v>
      </c>
      <c r="B1965" t="s">
        <v>440</v>
      </c>
      <c r="C1965" t="s">
        <v>441</v>
      </c>
      <c r="D1965" t="s">
        <v>806</v>
      </c>
      <c r="F1965" t="str">
        <f>"253789"</f>
        <v>253789</v>
      </c>
      <c r="G1965" t="s">
        <v>49</v>
      </c>
      <c r="K1965" t="s">
        <v>51</v>
      </c>
      <c r="L1965" t="s">
        <v>52</v>
      </c>
      <c r="M1965">
        <v>135622</v>
      </c>
      <c r="N1965">
        <v>468807.4</v>
      </c>
      <c r="O1965" t="s">
        <v>53</v>
      </c>
      <c r="P1965" t="s">
        <v>54</v>
      </c>
      <c r="Q1965" t="s">
        <v>55</v>
      </c>
      <c r="T1965" t="s">
        <v>431</v>
      </c>
      <c r="U1965">
        <v>40</v>
      </c>
      <c r="V1965" s="1">
        <v>25569</v>
      </c>
      <c r="W1965" s="1">
        <v>25569</v>
      </c>
      <c r="X1965" s="1">
        <v>25569</v>
      </c>
      <c r="Y1965" s="1">
        <v>40179</v>
      </c>
      <c r="Z1965" t="s">
        <v>51</v>
      </c>
      <c r="AB1965" t="s">
        <v>54</v>
      </c>
      <c r="AD1965" t="s">
        <v>809</v>
      </c>
      <c r="AE1965" t="s">
        <v>810</v>
      </c>
      <c r="AF1965">
        <v>20</v>
      </c>
      <c r="AG1965" s="1">
        <v>43282</v>
      </c>
      <c r="AH1965" s="1">
        <v>43282</v>
      </c>
      <c r="AI1965" s="1">
        <v>43282</v>
      </c>
      <c r="AK1965" t="s">
        <v>51</v>
      </c>
      <c r="AN1965">
        <v>0</v>
      </c>
      <c r="AO1965" t="s">
        <v>54</v>
      </c>
      <c r="AP1965" t="s">
        <v>53</v>
      </c>
      <c r="AQ1965">
        <v>0</v>
      </c>
      <c r="AR1965" t="s">
        <v>53</v>
      </c>
      <c r="AS1965">
        <v>0</v>
      </c>
      <c r="AT1965">
        <v>0</v>
      </c>
      <c r="CC1965" t="s">
        <v>669</v>
      </c>
      <c r="CD1965">
        <v>85000</v>
      </c>
      <c r="CE1965" s="1">
        <v>43282</v>
      </c>
      <c r="CF1965" s="1">
        <v>43282</v>
      </c>
      <c r="CG1965" s="1">
        <v>43282</v>
      </c>
      <c r="CI1965" t="s">
        <v>51</v>
      </c>
      <c r="CK1965" t="s">
        <v>78</v>
      </c>
      <c r="CM1965" t="s">
        <v>54</v>
      </c>
      <c r="CN1965" t="s">
        <v>174</v>
      </c>
      <c r="CO1965" t="s">
        <v>86</v>
      </c>
      <c r="CR1965">
        <v>50</v>
      </c>
      <c r="CS1965">
        <v>0</v>
      </c>
      <c r="CT1965">
        <v>0</v>
      </c>
      <c r="CU1965">
        <v>0</v>
      </c>
    </row>
    <row r="1966" spans="1:99" x14ac:dyDescent="0.2">
      <c r="A1966" t="s">
        <v>367</v>
      </c>
      <c r="B1966" t="s">
        <v>440</v>
      </c>
      <c r="C1966" t="s">
        <v>441</v>
      </c>
      <c r="D1966" t="s">
        <v>806</v>
      </c>
      <c r="F1966" t="str">
        <f>"253790"</f>
        <v>253790</v>
      </c>
      <c r="G1966" t="s">
        <v>49</v>
      </c>
      <c r="K1966" t="s">
        <v>51</v>
      </c>
      <c r="L1966" t="s">
        <v>52</v>
      </c>
      <c r="M1966">
        <v>135653.41</v>
      </c>
      <c r="N1966">
        <v>468806.7</v>
      </c>
      <c r="O1966" t="s">
        <v>53</v>
      </c>
      <c r="P1966" t="s">
        <v>54</v>
      </c>
      <c r="Q1966" t="s">
        <v>55</v>
      </c>
      <c r="T1966" t="s">
        <v>431</v>
      </c>
      <c r="U1966">
        <v>40</v>
      </c>
      <c r="V1966" s="1">
        <v>25569</v>
      </c>
      <c r="W1966" s="1">
        <v>25569</v>
      </c>
      <c r="X1966" s="1">
        <v>25569</v>
      </c>
      <c r="Y1966" s="1">
        <v>40179</v>
      </c>
      <c r="Z1966" t="s">
        <v>51</v>
      </c>
      <c r="AB1966" t="s">
        <v>54</v>
      </c>
      <c r="AD1966" t="s">
        <v>809</v>
      </c>
      <c r="AE1966" t="s">
        <v>810</v>
      </c>
      <c r="AF1966">
        <v>20</v>
      </c>
      <c r="AG1966" s="1">
        <v>43282</v>
      </c>
      <c r="AH1966" s="1">
        <v>43282</v>
      </c>
      <c r="AI1966" s="1">
        <v>43282</v>
      </c>
      <c r="AK1966" t="s">
        <v>51</v>
      </c>
      <c r="AN1966">
        <v>0</v>
      </c>
      <c r="AO1966" t="s">
        <v>54</v>
      </c>
      <c r="AP1966" t="s">
        <v>53</v>
      </c>
      <c r="AQ1966">
        <v>0</v>
      </c>
      <c r="AR1966" t="s">
        <v>53</v>
      </c>
      <c r="AS1966">
        <v>0</v>
      </c>
      <c r="AT1966">
        <v>0</v>
      </c>
      <c r="CC1966" t="s">
        <v>669</v>
      </c>
      <c r="CD1966">
        <v>85000</v>
      </c>
      <c r="CE1966" s="1">
        <v>43282</v>
      </c>
      <c r="CF1966" s="1">
        <v>43282</v>
      </c>
      <c r="CG1966" s="1">
        <v>43282</v>
      </c>
      <c r="CI1966" t="s">
        <v>51</v>
      </c>
      <c r="CK1966" t="s">
        <v>78</v>
      </c>
      <c r="CM1966" t="s">
        <v>54</v>
      </c>
      <c r="CN1966" t="s">
        <v>174</v>
      </c>
      <c r="CO1966" t="s">
        <v>86</v>
      </c>
      <c r="CR1966">
        <v>50</v>
      </c>
      <c r="CS1966">
        <v>0</v>
      </c>
      <c r="CT1966">
        <v>0</v>
      </c>
      <c r="CU1966">
        <v>0</v>
      </c>
    </row>
    <row r="1967" spans="1:99" x14ac:dyDescent="0.2">
      <c r="A1967" t="s">
        <v>367</v>
      </c>
      <c r="B1967" t="s">
        <v>440</v>
      </c>
      <c r="C1967" t="s">
        <v>441</v>
      </c>
      <c r="D1967" t="s">
        <v>806</v>
      </c>
      <c r="F1967" t="str">
        <f>"253791"</f>
        <v>253791</v>
      </c>
      <c r="G1967" t="s">
        <v>49</v>
      </c>
      <c r="K1967" t="s">
        <v>51</v>
      </c>
      <c r="L1967" t="s">
        <v>52</v>
      </c>
      <c r="M1967">
        <v>135713.69</v>
      </c>
      <c r="N1967">
        <v>468804.28</v>
      </c>
      <c r="O1967" t="s">
        <v>53</v>
      </c>
      <c r="P1967" t="s">
        <v>54</v>
      </c>
      <c r="Q1967" t="s">
        <v>55</v>
      </c>
      <c r="T1967" t="s">
        <v>431</v>
      </c>
      <c r="U1967">
        <v>40</v>
      </c>
      <c r="V1967" s="1">
        <v>25569</v>
      </c>
      <c r="W1967" s="1">
        <v>25569</v>
      </c>
      <c r="X1967" s="1">
        <v>25569</v>
      </c>
      <c r="Y1967" s="1">
        <v>40179</v>
      </c>
      <c r="Z1967" t="s">
        <v>51</v>
      </c>
      <c r="AB1967" t="s">
        <v>54</v>
      </c>
      <c r="AD1967" t="s">
        <v>809</v>
      </c>
      <c r="AE1967" t="s">
        <v>810</v>
      </c>
      <c r="AF1967">
        <v>20</v>
      </c>
      <c r="AG1967" s="1">
        <v>43282</v>
      </c>
      <c r="AH1967" s="1">
        <v>43282</v>
      </c>
      <c r="AI1967" s="1">
        <v>43282</v>
      </c>
      <c r="AK1967" t="s">
        <v>51</v>
      </c>
      <c r="AN1967">
        <v>0</v>
      </c>
      <c r="AO1967" t="s">
        <v>54</v>
      </c>
      <c r="AP1967" t="s">
        <v>53</v>
      </c>
      <c r="AQ1967">
        <v>0</v>
      </c>
      <c r="AR1967" t="s">
        <v>53</v>
      </c>
      <c r="AS1967">
        <v>0</v>
      </c>
      <c r="AT1967">
        <v>0</v>
      </c>
      <c r="CC1967" t="s">
        <v>669</v>
      </c>
      <c r="CD1967">
        <v>85000</v>
      </c>
      <c r="CE1967" s="1">
        <v>43282</v>
      </c>
      <c r="CF1967" s="1">
        <v>43282</v>
      </c>
      <c r="CG1967" s="1">
        <v>43282</v>
      </c>
      <c r="CI1967" t="s">
        <v>51</v>
      </c>
      <c r="CK1967" t="s">
        <v>78</v>
      </c>
      <c r="CM1967" t="s">
        <v>54</v>
      </c>
      <c r="CN1967" t="s">
        <v>174</v>
      </c>
      <c r="CO1967" t="s">
        <v>86</v>
      </c>
      <c r="CR1967">
        <v>50</v>
      </c>
      <c r="CS1967">
        <v>0</v>
      </c>
      <c r="CT1967">
        <v>0</v>
      </c>
      <c r="CU1967">
        <v>0</v>
      </c>
    </row>
    <row r="1968" spans="1:99" x14ac:dyDescent="0.2">
      <c r="A1968" t="s">
        <v>367</v>
      </c>
      <c r="B1968" t="s">
        <v>440</v>
      </c>
      <c r="C1968" t="s">
        <v>441</v>
      </c>
      <c r="D1968" t="s">
        <v>806</v>
      </c>
      <c r="F1968" t="str">
        <f>"253792"</f>
        <v>253792</v>
      </c>
      <c r="G1968" t="s">
        <v>49</v>
      </c>
      <c r="K1968" t="s">
        <v>51</v>
      </c>
      <c r="L1968" t="s">
        <v>52</v>
      </c>
      <c r="M1968">
        <v>135777.39000000001</v>
      </c>
      <c r="N1968">
        <v>468802.28</v>
      </c>
      <c r="O1968" t="s">
        <v>53</v>
      </c>
      <c r="P1968" t="s">
        <v>54</v>
      </c>
      <c r="Q1968" t="s">
        <v>55</v>
      </c>
      <c r="T1968" t="s">
        <v>431</v>
      </c>
      <c r="U1968">
        <v>40</v>
      </c>
      <c r="V1968" s="1">
        <v>25569</v>
      </c>
      <c r="W1968" s="1">
        <v>25569</v>
      </c>
      <c r="X1968" s="1">
        <v>25569</v>
      </c>
      <c r="Y1968" s="1">
        <v>40179</v>
      </c>
      <c r="Z1968" t="s">
        <v>51</v>
      </c>
      <c r="AB1968" t="s">
        <v>54</v>
      </c>
      <c r="AD1968" t="s">
        <v>809</v>
      </c>
      <c r="AE1968" t="s">
        <v>810</v>
      </c>
      <c r="AF1968">
        <v>20</v>
      </c>
      <c r="AG1968" s="1">
        <v>43282</v>
      </c>
      <c r="AH1968" s="1">
        <v>43282</v>
      </c>
      <c r="AI1968" s="1">
        <v>43282</v>
      </c>
      <c r="AK1968" t="s">
        <v>51</v>
      </c>
      <c r="AN1968">
        <v>0</v>
      </c>
      <c r="AO1968" t="s">
        <v>54</v>
      </c>
      <c r="AP1968" t="s">
        <v>53</v>
      </c>
      <c r="AQ1968">
        <v>0</v>
      </c>
      <c r="AR1968" t="s">
        <v>53</v>
      </c>
      <c r="AS1968">
        <v>0</v>
      </c>
      <c r="AT1968">
        <v>0</v>
      </c>
      <c r="CC1968" t="s">
        <v>669</v>
      </c>
      <c r="CD1968">
        <v>85000</v>
      </c>
      <c r="CE1968" s="1">
        <v>43282</v>
      </c>
      <c r="CF1968" s="1">
        <v>43282</v>
      </c>
      <c r="CG1968" s="1">
        <v>43282</v>
      </c>
      <c r="CI1968" t="s">
        <v>51</v>
      </c>
      <c r="CK1968" t="s">
        <v>78</v>
      </c>
      <c r="CM1968" t="s">
        <v>54</v>
      </c>
      <c r="CN1968" t="s">
        <v>174</v>
      </c>
      <c r="CO1968" t="s">
        <v>86</v>
      </c>
      <c r="CR1968">
        <v>50</v>
      </c>
      <c r="CS1968">
        <v>0</v>
      </c>
      <c r="CT1968">
        <v>0</v>
      </c>
      <c r="CU1968">
        <v>0</v>
      </c>
    </row>
    <row r="1969" spans="1:99" x14ac:dyDescent="0.2">
      <c r="A1969" t="s">
        <v>367</v>
      </c>
      <c r="B1969" t="s">
        <v>440</v>
      </c>
      <c r="C1969" t="s">
        <v>441</v>
      </c>
      <c r="D1969" t="s">
        <v>806</v>
      </c>
      <c r="F1969" t="str">
        <f>"253793"</f>
        <v>253793</v>
      </c>
      <c r="G1969" t="s">
        <v>49</v>
      </c>
      <c r="K1969" t="s">
        <v>51</v>
      </c>
      <c r="L1969" t="s">
        <v>52</v>
      </c>
      <c r="M1969">
        <v>135833.35999999999</v>
      </c>
      <c r="N1969">
        <v>468801.12</v>
      </c>
      <c r="O1969" t="s">
        <v>53</v>
      </c>
      <c r="P1969" t="s">
        <v>54</v>
      </c>
      <c r="Q1969" t="s">
        <v>55</v>
      </c>
      <c r="T1969" t="s">
        <v>431</v>
      </c>
      <c r="U1969">
        <v>40</v>
      </c>
      <c r="V1969" s="1">
        <v>25569</v>
      </c>
      <c r="W1969" s="1">
        <v>25569</v>
      </c>
      <c r="X1969" s="1">
        <v>25569</v>
      </c>
      <c r="Y1969" s="1">
        <v>40179</v>
      </c>
      <c r="Z1969" t="s">
        <v>51</v>
      </c>
      <c r="AB1969" t="s">
        <v>54</v>
      </c>
      <c r="AD1969" t="s">
        <v>809</v>
      </c>
      <c r="AE1969" t="s">
        <v>810</v>
      </c>
      <c r="AF1969">
        <v>20</v>
      </c>
      <c r="AG1969" s="1">
        <v>43282</v>
      </c>
      <c r="AH1969" s="1">
        <v>43282</v>
      </c>
      <c r="AI1969" s="1">
        <v>43282</v>
      </c>
      <c r="AK1969" t="s">
        <v>51</v>
      </c>
      <c r="AN1969">
        <v>0</v>
      </c>
      <c r="AO1969" t="s">
        <v>54</v>
      </c>
      <c r="AP1969" t="s">
        <v>53</v>
      </c>
      <c r="AQ1969">
        <v>0</v>
      </c>
      <c r="AR1969" t="s">
        <v>53</v>
      </c>
      <c r="AS1969">
        <v>0</v>
      </c>
      <c r="AT1969">
        <v>0</v>
      </c>
      <c r="CC1969" t="s">
        <v>669</v>
      </c>
      <c r="CD1969">
        <v>85000</v>
      </c>
      <c r="CE1969" s="1">
        <v>43282</v>
      </c>
      <c r="CF1969" s="1">
        <v>43282</v>
      </c>
      <c r="CG1969" s="1">
        <v>43282</v>
      </c>
      <c r="CI1969" t="s">
        <v>51</v>
      </c>
      <c r="CK1969" t="s">
        <v>78</v>
      </c>
      <c r="CM1969" t="s">
        <v>54</v>
      </c>
      <c r="CN1969" t="s">
        <v>174</v>
      </c>
      <c r="CO1969" t="s">
        <v>86</v>
      </c>
      <c r="CR1969">
        <v>50</v>
      </c>
      <c r="CS1969">
        <v>0</v>
      </c>
      <c r="CT1969">
        <v>0</v>
      </c>
      <c r="CU1969">
        <v>0</v>
      </c>
    </row>
    <row r="1970" spans="1:99" x14ac:dyDescent="0.2">
      <c r="A1970" t="s">
        <v>367</v>
      </c>
      <c r="B1970" t="s">
        <v>440</v>
      </c>
      <c r="C1970" t="s">
        <v>441</v>
      </c>
      <c r="D1970" t="s">
        <v>806</v>
      </c>
      <c r="F1970" t="str">
        <f>"253794"</f>
        <v>253794</v>
      </c>
      <c r="G1970" t="s">
        <v>49</v>
      </c>
      <c r="K1970" t="s">
        <v>51</v>
      </c>
      <c r="L1970" t="s">
        <v>52</v>
      </c>
      <c r="M1970">
        <v>135892.14000000001</v>
      </c>
      <c r="N1970">
        <v>468799.44</v>
      </c>
      <c r="O1970" t="s">
        <v>53</v>
      </c>
      <c r="P1970" t="s">
        <v>54</v>
      </c>
      <c r="Q1970" t="s">
        <v>55</v>
      </c>
      <c r="T1970" t="s">
        <v>431</v>
      </c>
      <c r="U1970">
        <v>40</v>
      </c>
      <c r="V1970" s="1">
        <v>25569</v>
      </c>
      <c r="W1970" s="1">
        <v>25569</v>
      </c>
      <c r="X1970" s="1">
        <v>25569</v>
      </c>
      <c r="Y1970" s="1">
        <v>40179</v>
      </c>
      <c r="Z1970" t="s">
        <v>51</v>
      </c>
      <c r="AB1970" t="s">
        <v>54</v>
      </c>
      <c r="AD1970" t="s">
        <v>809</v>
      </c>
      <c r="AE1970" t="s">
        <v>810</v>
      </c>
      <c r="AF1970">
        <v>20</v>
      </c>
      <c r="AG1970" s="1">
        <v>43282</v>
      </c>
      <c r="AH1970" s="1">
        <v>43282</v>
      </c>
      <c r="AI1970" s="1">
        <v>43282</v>
      </c>
      <c r="AK1970" t="s">
        <v>51</v>
      </c>
      <c r="AN1970">
        <v>0</v>
      </c>
      <c r="AO1970" t="s">
        <v>54</v>
      </c>
      <c r="AP1970" t="s">
        <v>53</v>
      </c>
      <c r="AQ1970">
        <v>0</v>
      </c>
      <c r="AR1970" t="s">
        <v>53</v>
      </c>
      <c r="AS1970">
        <v>0</v>
      </c>
      <c r="AT1970">
        <v>0</v>
      </c>
      <c r="CC1970" t="s">
        <v>669</v>
      </c>
      <c r="CD1970">
        <v>85000</v>
      </c>
      <c r="CE1970" s="1">
        <v>43282</v>
      </c>
      <c r="CF1970" s="1">
        <v>43282</v>
      </c>
      <c r="CG1970" s="1">
        <v>43282</v>
      </c>
      <c r="CI1970" t="s">
        <v>51</v>
      </c>
      <c r="CK1970" t="s">
        <v>78</v>
      </c>
      <c r="CM1970" t="s">
        <v>54</v>
      </c>
      <c r="CN1970" t="s">
        <v>174</v>
      </c>
      <c r="CO1970" t="s">
        <v>86</v>
      </c>
      <c r="CR1970">
        <v>50</v>
      </c>
      <c r="CS1970">
        <v>0</v>
      </c>
      <c r="CT1970">
        <v>0</v>
      </c>
      <c r="CU1970">
        <v>0</v>
      </c>
    </row>
    <row r="1971" spans="1:99" x14ac:dyDescent="0.2">
      <c r="A1971" t="s">
        <v>367</v>
      </c>
      <c r="B1971" t="s">
        <v>440</v>
      </c>
      <c r="C1971" t="s">
        <v>441</v>
      </c>
      <c r="D1971" t="s">
        <v>806</v>
      </c>
      <c r="F1971" t="str">
        <f>"253795"</f>
        <v>253795</v>
      </c>
      <c r="G1971" t="s">
        <v>49</v>
      </c>
      <c r="K1971" t="s">
        <v>51</v>
      </c>
      <c r="L1971" t="s">
        <v>52</v>
      </c>
      <c r="M1971">
        <v>135948.88</v>
      </c>
      <c r="N1971">
        <v>468797.27</v>
      </c>
      <c r="O1971" t="s">
        <v>53</v>
      </c>
      <c r="P1971" t="s">
        <v>54</v>
      </c>
      <c r="Q1971" t="s">
        <v>55</v>
      </c>
      <c r="T1971" t="s">
        <v>431</v>
      </c>
      <c r="U1971">
        <v>40</v>
      </c>
      <c r="V1971" s="1">
        <v>25569</v>
      </c>
      <c r="W1971" s="1">
        <v>25569</v>
      </c>
      <c r="X1971" s="1">
        <v>25569</v>
      </c>
      <c r="Y1971" s="1">
        <v>40179</v>
      </c>
      <c r="Z1971" t="s">
        <v>51</v>
      </c>
      <c r="AB1971" t="s">
        <v>54</v>
      </c>
      <c r="AD1971" t="s">
        <v>809</v>
      </c>
      <c r="AE1971" t="s">
        <v>810</v>
      </c>
      <c r="AF1971">
        <v>20</v>
      </c>
      <c r="AG1971" s="1">
        <v>43282</v>
      </c>
      <c r="AH1971" s="1">
        <v>43282</v>
      </c>
      <c r="AI1971" s="1">
        <v>43282</v>
      </c>
      <c r="AK1971" t="s">
        <v>51</v>
      </c>
      <c r="AN1971">
        <v>0</v>
      </c>
      <c r="AO1971" t="s">
        <v>54</v>
      </c>
      <c r="AP1971" t="s">
        <v>53</v>
      </c>
      <c r="AQ1971">
        <v>0</v>
      </c>
      <c r="AR1971" t="s">
        <v>53</v>
      </c>
      <c r="AS1971">
        <v>0</v>
      </c>
      <c r="AT1971">
        <v>0</v>
      </c>
      <c r="CC1971" t="s">
        <v>669</v>
      </c>
      <c r="CD1971">
        <v>85000</v>
      </c>
      <c r="CE1971" s="1">
        <v>43282</v>
      </c>
      <c r="CF1971" s="1">
        <v>43282</v>
      </c>
      <c r="CG1971" s="1">
        <v>43282</v>
      </c>
      <c r="CI1971" t="s">
        <v>51</v>
      </c>
      <c r="CK1971" t="s">
        <v>78</v>
      </c>
      <c r="CM1971" t="s">
        <v>54</v>
      </c>
      <c r="CN1971" t="s">
        <v>174</v>
      </c>
      <c r="CO1971" t="s">
        <v>86</v>
      </c>
      <c r="CR1971">
        <v>50</v>
      </c>
      <c r="CS1971">
        <v>0</v>
      </c>
      <c r="CT1971">
        <v>0</v>
      </c>
      <c r="CU1971">
        <v>0</v>
      </c>
    </row>
    <row r="1972" spans="1:99" x14ac:dyDescent="0.2">
      <c r="A1972" t="s">
        <v>367</v>
      </c>
      <c r="B1972" t="s">
        <v>440</v>
      </c>
      <c r="C1972" t="s">
        <v>441</v>
      </c>
      <c r="D1972" t="s">
        <v>806</v>
      </c>
      <c r="F1972" t="str">
        <f>"253796"</f>
        <v>253796</v>
      </c>
      <c r="G1972" t="s">
        <v>49</v>
      </c>
      <c r="K1972" t="s">
        <v>51</v>
      </c>
      <c r="L1972" t="s">
        <v>52</v>
      </c>
      <c r="M1972">
        <v>136006.54</v>
      </c>
      <c r="N1972">
        <v>468795.53</v>
      </c>
      <c r="O1972" t="s">
        <v>53</v>
      </c>
      <c r="P1972" t="s">
        <v>54</v>
      </c>
      <c r="Q1972" t="s">
        <v>55</v>
      </c>
      <c r="T1972" t="s">
        <v>431</v>
      </c>
      <c r="U1972">
        <v>40</v>
      </c>
      <c r="V1972" s="1">
        <v>25569</v>
      </c>
      <c r="W1972" s="1">
        <v>25569</v>
      </c>
      <c r="X1972" s="1">
        <v>25569</v>
      </c>
      <c r="Y1972" s="1">
        <v>40179</v>
      </c>
      <c r="Z1972" t="s">
        <v>51</v>
      </c>
      <c r="AB1972" t="s">
        <v>54</v>
      </c>
      <c r="AD1972" t="s">
        <v>809</v>
      </c>
      <c r="AE1972" t="s">
        <v>810</v>
      </c>
      <c r="AF1972">
        <v>20</v>
      </c>
      <c r="AG1972" s="1">
        <v>43282</v>
      </c>
      <c r="AH1972" s="1">
        <v>43282</v>
      </c>
      <c r="AI1972" s="1">
        <v>43282</v>
      </c>
      <c r="AK1972" t="s">
        <v>51</v>
      </c>
      <c r="AN1972">
        <v>0</v>
      </c>
      <c r="AO1972" t="s">
        <v>54</v>
      </c>
      <c r="AP1972" t="s">
        <v>53</v>
      </c>
      <c r="AQ1972">
        <v>0</v>
      </c>
      <c r="AR1972" t="s">
        <v>53</v>
      </c>
      <c r="AS1972">
        <v>0</v>
      </c>
      <c r="AT1972">
        <v>0</v>
      </c>
      <c r="CC1972" t="s">
        <v>669</v>
      </c>
      <c r="CD1972">
        <v>85000</v>
      </c>
      <c r="CE1972" s="1">
        <v>43282</v>
      </c>
      <c r="CF1972" s="1">
        <v>43282</v>
      </c>
      <c r="CG1972" s="1">
        <v>43282</v>
      </c>
      <c r="CI1972" t="s">
        <v>51</v>
      </c>
      <c r="CK1972" t="s">
        <v>78</v>
      </c>
      <c r="CM1972" t="s">
        <v>54</v>
      </c>
      <c r="CN1972" t="s">
        <v>174</v>
      </c>
      <c r="CO1972" t="s">
        <v>86</v>
      </c>
      <c r="CR1972">
        <v>50</v>
      </c>
      <c r="CS1972">
        <v>0</v>
      </c>
      <c r="CT1972">
        <v>0</v>
      </c>
      <c r="CU1972">
        <v>0</v>
      </c>
    </row>
    <row r="1973" spans="1:99" x14ac:dyDescent="0.2">
      <c r="A1973" t="s">
        <v>367</v>
      </c>
      <c r="B1973" t="s">
        <v>440</v>
      </c>
      <c r="C1973" t="s">
        <v>441</v>
      </c>
      <c r="D1973" t="s">
        <v>806</v>
      </c>
      <c r="F1973" t="str">
        <f>"253797"</f>
        <v>253797</v>
      </c>
      <c r="G1973" t="s">
        <v>49</v>
      </c>
      <c r="K1973" t="s">
        <v>51</v>
      </c>
      <c r="L1973" t="s">
        <v>52</v>
      </c>
      <c r="M1973">
        <v>136061.84</v>
      </c>
      <c r="N1973">
        <v>468794.61</v>
      </c>
      <c r="O1973" t="s">
        <v>53</v>
      </c>
      <c r="P1973" t="s">
        <v>54</v>
      </c>
      <c r="Q1973" t="s">
        <v>55</v>
      </c>
      <c r="T1973" t="s">
        <v>431</v>
      </c>
      <c r="U1973">
        <v>40</v>
      </c>
      <c r="V1973" s="1">
        <v>25569</v>
      </c>
      <c r="W1973" s="1">
        <v>25569</v>
      </c>
      <c r="X1973" s="1">
        <v>25569</v>
      </c>
      <c r="Y1973" s="1">
        <v>40179</v>
      </c>
      <c r="Z1973" t="s">
        <v>51</v>
      </c>
      <c r="AB1973" t="s">
        <v>54</v>
      </c>
      <c r="AD1973" t="s">
        <v>809</v>
      </c>
      <c r="AE1973" t="s">
        <v>810</v>
      </c>
      <c r="AF1973">
        <v>20</v>
      </c>
      <c r="AG1973" s="1">
        <v>43282</v>
      </c>
      <c r="AH1973" s="1">
        <v>43282</v>
      </c>
      <c r="AI1973" s="1">
        <v>43282</v>
      </c>
      <c r="AK1973" t="s">
        <v>51</v>
      </c>
      <c r="AN1973">
        <v>0</v>
      </c>
      <c r="AO1973" t="s">
        <v>54</v>
      </c>
      <c r="AP1973" t="s">
        <v>53</v>
      </c>
      <c r="AQ1973">
        <v>0</v>
      </c>
      <c r="AR1973" t="s">
        <v>53</v>
      </c>
      <c r="AS1973">
        <v>0</v>
      </c>
      <c r="AT1973">
        <v>0</v>
      </c>
      <c r="CC1973" t="s">
        <v>669</v>
      </c>
      <c r="CD1973">
        <v>85000</v>
      </c>
      <c r="CE1973" s="1">
        <v>43282</v>
      </c>
      <c r="CF1973" s="1">
        <v>43282</v>
      </c>
      <c r="CG1973" s="1">
        <v>43282</v>
      </c>
      <c r="CI1973" t="s">
        <v>51</v>
      </c>
      <c r="CK1973" t="s">
        <v>78</v>
      </c>
      <c r="CM1973" t="s">
        <v>54</v>
      </c>
      <c r="CN1973" t="s">
        <v>174</v>
      </c>
      <c r="CO1973" t="s">
        <v>86</v>
      </c>
      <c r="CR1973">
        <v>50</v>
      </c>
      <c r="CS1973">
        <v>0</v>
      </c>
      <c r="CT1973">
        <v>0</v>
      </c>
      <c r="CU1973">
        <v>0</v>
      </c>
    </row>
    <row r="1974" spans="1:99" x14ac:dyDescent="0.2">
      <c r="A1974" t="s">
        <v>367</v>
      </c>
      <c r="B1974" t="s">
        <v>440</v>
      </c>
      <c r="C1974" t="s">
        <v>441</v>
      </c>
      <c r="D1974" t="s">
        <v>806</v>
      </c>
      <c r="F1974" t="str">
        <f>"253798"</f>
        <v>253798</v>
      </c>
      <c r="G1974" t="s">
        <v>49</v>
      </c>
      <c r="K1974" t="s">
        <v>51</v>
      </c>
      <c r="L1974" t="s">
        <v>52</v>
      </c>
      <c r="M1974">
        <v>136103.76</v>
      </c>
      <c r="N1974">
        <v>468808.34</v>
      </c>
      <c r="O1974" t="s">
        <v>53</v>
      </c>
      <c r="P1974" t="s">
        <v>54</v>
      </c>
      <c r="Q1974" t="s">
        <v>55</v>
      </c>
      <c r="T1974" t="s">
        <v>431</v>
      </c>
      <c r="U1974">
        <v>40</v>
      </c>
      <c r="V1974" s="1">
        <v>25569</v>
      </c>
      <c r="W1974" s="1">
        <v>25569</v>
      </c>
      <c r="X1974" s="1">
        <v>25569</v>
      </c>
      <c r="Y1974" s="1">
        <v>40179</v>
      </c>
      <c r="Z1974" t="s">
        <v>51</v>
      </c>
      <c r="AB1974" t="s">
        <v>54</v>
      </c>
      <c r="AD1974" t="s">
        <v>809</v>
      </c>
      <c r="AE1974" t="s">
        <v>810</v>
      </c>
      <c r="AF1974">
        <v>20</v>
      </c>
      <c r="AG1974" s="1">
        <v>44662</v>
      </c>
      <c r="AH1974" s="1">
        <v>44662</v>
      </c>
      <c r="AI1974" s="1">
        <v>44662</v>
      </c>
      <c r="AJ1974" s="1">
        <v>51967</v>
      </c>
      <c r="AK1974" t="s">
        <v>51</v>
      </c>
      <c r="AN1974">
        <v>0</v>
      </c>
      <c r="AO1974" t="s">
        <v>54</v>
      </c>
      <c r="AP1974" t="s">
        <v>53</v>
      </c>
      <c r="AQ1974">
        <v>0</v>
      </c>
      <c r="AR1974" t="s">
        <v>53</v>
      </c>
      <c r="AS1974">
        <v>0</v>
      </c>
      <c r="AT1974">
        <v>0</v>
      </c>
      <c r="CC1974" t="s">
        <v>669</v>
      </c>
      <c r="CD1974">
        <v>85000</v>
      </c>
      <c r="CE1974" s="1">
        <v>43282</v>
      </c>
      <c r="CF1974" s="1">
        <v>43282</v>
      </c>
      <c r="CG1974" s="1">
        <v>44662</v>
      </c>
      <c r="CH1974" s="1">
        <v>50444</v>
      </c>
      <c r="CI1974" t="s">
        <v>51</v>
      </c>
      <c r="CK1974" t="s">
        <v>78</v>
      </c>
      <c r="CM1974" t="s">
        <v>54</v>
      </c>
      <c r="CN1974" t="s">
        <v>174</v>
      </c>
      <c r="CO1974" t="s">
        <v>86</v>
      </c>
      <c r="CR1974">
        <v>50</v>
      </c>
      <c r="CS1974">
        <v>0</v>
      </c>
      <c r="CT1974">
        <v>0</v>
      </c>
      <c r="CU1974">
        <v>0</v>
      </c>
    </row>
    <row r="1975" spans="1:99" x14ac:dyDescent="0.2">
      <c r="A1975" t="s">
        <v>367</v>
      </c>
      <c r="B1975" t="s">
        <v>440</v>
      </c>
      <c r="C1975" t="s">
        <v>441</v>
      </c>
      <c r="D1975" t="s">
        <v>806</v>
      </c>
      <c r="F1975" t="str">
        <f>"253799"</f>
        <v>253799</v>
      </c>
      <c r="G1975" t="s">
        <v>49</v>
      </c>
      <c r="K1975" t="s">
        <v>51</v>
      </c>
      <c r="L1975" t="s">
        <v>52</v>
      </c>
      <c r="M1975">
        <v>136116.57</v>
      </c>
      <c r="N1975">
        <v>468821.57</v>
      </c>
      <c r="O1975" t="s">
        <v>53</v>
      </c>
      <c r="P1975" t="s">
        <v>54</v>
      </c>
      <c r="Q1975" t="s">
        <v>55</v>
      </c>
      <c r="T1975" t="s">
        <v>431</v>
      </c>
      <c r="U1975">
        <v>40</v>
      </c>
      <c r="V1975" s="1">
        <v>25569</v>
      </c>
      <c r="W1975" s="1">
        <v>25569</v>
      </c>
      <c r="X1975" s="1">
        <v>25569</v>
      </c>
      <c r="Y1975" s="1">
        <v>40179</v>
      </c>
      <c r="Z1975" t="s">
        <v>51</v>
      </c>
      <c r="AB1975" t="s">
        <v>54</v>
      </c>
      <c r="AD1975" t="s">
        <v>809</v>
      </c>
      <c r="AE1975" t="s">
        <v>810</v>
      </c>
      <c r="AF1975">
        <v>20</v>
      </c>
      <c r="AG1975" s="1">
        <v>43282</v>
      </c>
      <c r="AH1975" s="1">
        <v>43282</v>
      </c>
      <c r="AI1975" s="1">
        <v>43282</v>
      </c>
      <c r="AK1975" t="s">
        <v>51</v>
      </c>
      <c r="AN1975">
        <v>0</v>
      </c>
      <c r="AO1975" t="s">
        <v>54</v>
      </c>
      <c r="AP1975" t="s">
        <v>53</v>
      </c>
      <c r="AQ1975">
        <v>0</v>
      </c>
      <c r="AR1975" t="s">
        <v>53</v>
      </c>
      <c r="AS1975">
        <v>0</v>
      </c>
      <c r="AT1975">
        <v>0</v>
      </c>
      <c r="CC1975" t="s">
        <v>669</v>
      </c>
      <c r="CD1975">
        <v>85000</v>
      </c>
      <c r="CE1975" s="1">
        <v>43282</v>
      </c>
      <c r="CF1975" s="1">
        <v>43282</v>
      </c>
      <c r="CG1975" s="1">
        <v>43282</v>
      </c>
      <c r="CI1975" t="s">
        <v>51</v>
      </c>
      <c r="CK1975" t="s">
        <v>78</v>
      </c>
      <c r="CM1975" t="s">
        <v>54</v>
      </c>
      <c r="CN1975" t="s">
        <v>174</v>
      </c>
      <c r="CO1975" t="s">
        <v>86</v>
      </c>
      <c r="CR1975">
        <v>50</v>
      </c>
      <c r="CS1975">
        <v>0</v>
      </c>
      <c r="CT1975">
        <v>0</v>
      </c>
      <c r="CU1975">
        <v>0</v>
      </c>
    </row>
    <row r="1976" spans="1:99" x14ac:dyDescent="0.2">
      <c r="A1976" t="s">
        <v>367</v>
      </c>
      <c r="B1976" t="s">
        <v>440</v>
      </c>
      <c r="C1976" t="s">
        <v>441</v>
      </c>
      <c r="D1976" t="s">
        <v>806</v>
      </c>
      <c r="F1976" t="str">
        <f>"253800"</f>
        <v>253800</v>
      </c>
      <c r="G1976" t="s">
        <v>49</v>
      </c>
      <c r="K1976" t="s">
        <v>51</v>
      </c>
      <c r="L1976" t="s">
        <v>52</v>
      </c>
      <c r="M1976">
        <v>136131.21</v>
      </c>
      <c r="N1976">
        <v>468805.84</v>
      </c>
      <c r="O1976" t="s">
        <v>53</v>
      </c>
      <c r="P1976" t="s">
        <v>54</v>
      </c>
      <c r="Q1976" t="s">
        <v>55</v>
      </c>
      <c r="T1976" t="s">
        <v>431</v>
      </c>
      <c r="U1976">
        <v>40</v>
      </c>
      <c r="V1976" s="1">
        <v>25569</v>
      </c>
      <c r="W1976" s="1">
        <v>25569</v>
      </c>
      <c r="X1976" s="1">
        <v>25569</v>
      </c>
      <c r="Y1976" s="1">
        <v>40179</v>
      </c>
      <c r="Z1976" t="s">
        <v>51</v>
      </c>
      <c r="AB1976" t="s">
        <v>54</v>
      </c>
      <c r="AD1976" t="s">
        <v>809</v>
      </c>
      <c r="AE1976" t="s">
        <v>810</v>
      </c>
      <c r="AF1976">
        <v>20</v>
      </c>
      <c r="AG1976" s="1">
        <v>43282</v>
      </c>
      <c r="AH1976" s="1">
        <v>43282</v>
      </c>
      <c r="AI1976" s="1">
        <v>43282</v>
      </c>
      <c r="AK1976" t="s">
        <v>51</v>
      </c>
      <c r="AN1976">
        <v>0</v>
      </c>
      <c r="AO1976" t="s">
        <v>54</v>
      </c>
      <c r="AP1976" t="s">
        <v>53</v>
      </c>
      <c r="AQ1976">
        <v>0</v>
      </c>
      <c r="AR1976" t="s">
        <v>53</v>
      </c>
      <c r="AS1976">
        <v>0</v>
      </c>
      <c r="AT1976">
        <v>0</v>
      </c>
      <c r="CC1976" t="s">
        <v>669</v>
      </c>
      <c r="CD1976">
        <v>85000</v>
      </c>
      <c r="CE1976" s="1">
        <v>43282</v>
      </c>
      <c r="CF1976" s="1">
        <v>43282</v>
      </c>
      <c r="CG1976" s="1">
        <v>43282</v>
      </c>
      <c r="CI1976" t="s">
        <v>51</v>
      </c>
      <c r="CK1976" t="s">
        <v>78</v>
      </c>
      <c r="CM1976" t="s">
        <v>54</v>
      </c>
      <c r="CN1976" t="s">
        <v>174</v>
      </c>
      <c r="CO1976" t="s">
        <v>86</v>
      </c>
      <c r="CR1976">
        <v>50</v>
      </c>
      <c r="CS1976">
        <v>0</v>
      </c>
      <c r="CT1976">
        <v>0</v>
      </c>
      <c r="CU1976">
        <v>0</v>
      </c>
    </row>
    <row r="1977" spans="1:99" x14ac:dyDescent="0.2">
      <c r="A1977" t="s">
        <v>367</v>
      </c>
      <c r="B1977" t="s">
        <v>440</v>
      </c>
      <c r="C1977" t="s">
        <v>441</v>
      </c>
      <c r="D1977" t="s">
        <v>806</v>
      </c>
      <c r="F1977" t="str">
        <f>"253801"</f>
        <v>253801</v>
      </c>
      <c r="G1977" t="s">
        <v>49</v>
      </c>
      <c r="K1977" t="s">
        <v>51</v>
      </c>
      <c r="L1977" t="s">
        <v>52</v>
      </c>
      <c r="M1977">
        <v>136144.87</v>
      </c>
      <c r="N1977">
        <v>468798.52</v>
      </c>
      <c r="O1977" t="s">
        <v>53</v>
      </c>
      <c r="P1977" t="s">
        <v>54</v>
      </c>
      <c r="Q1977" t="s">
        <v>55</v>
      </c>
      <c r="T1977" t="s">
        <v>431</v>
      </c>
      <c r="U1977">
        <v>40</v>
      </c>
      <c r="V1977" s="1">
        <v>25569</v>
      </c>
      <c r="W1977" s="1">
        <v>25569</v>
      </c>
      <c r="X1977" s="1">
        <v>25569</v>
      </c>
      <c r="Y1977" s="1">
        <v>40179</v>
      </c>
      <c r="Z1977" t="s">
        <v>51</v>
      </c>
      <c r="AB1977" t="s">
        <v>54</v>
      </c>
      <c r="AD1977" t="s">
        <v>809</v>
      </c>
      <c r="AE1977" t="s">
        <v>810</v>
      </c>
      <c r="AF1977">
        <v>20</v>
      </c>
      <c r="AG1977" s="1">
        <v>43282</v>
      </c>
      <c r="AH1977" s="1">
        <v>43282</v>
      </c>
      <c r="AI1977" s="1">
        <v>43282</v>
      </c>
      <c r="AK1977" t="s">
        <v>51</v>
      </c>
      <c r="AN1977">
        <v>0</v>
      </c>
      <c r="AO1977" t="s">
        <v>54</v>
      </c>
      <c r="AP1977" t="s">
        <v>53</v>
      </c>
      <c r="AQ1977">
        <v>0</v>
      </c>
      <c r="AR1977" t="s">
        <v>53</v>
      </c>
      <c r="AS1977">
        <v>0</v>
      </c>
      <c r="AT1977">
        <v>0</v>
      </c>
      <c r="CC1977" t="s">
        <v>669</v>
      </c>
      <c r="CD1977">
        <v>85000</v>
      </c>
      <c r="CE1977" s="1">
        <v>43282</v>
      </c>
      <c r="CF1977" s="1">
        <v>43282</v>
      </c>
      <c r="CG1977" s="1">
        <v>43282</v>
      </c>
      <c r="CI1977" t="s">
        <v>51</v>
      </c>
      <c r="CK1977" t="s">
        <v>78</v>
      </c>
      <c r="CM1977" t="s">
        <v>54</v>
      </c>
      <c r="CN1977" t="s">
        <v>174</v>
      </c>
      <c r="CO1977" t="s">
        <v>86</v>
      </c>
      <c r="CR1977">
        <v>50</v>
      </c>
      <c r="CS1977">
        <v>0</v>
      </c>
      <c r="CT1977">
        <v>0</v>
      </c>
      <c r="CU1977">
        <v>0</v>
      </c>
    </row>
    <row r="1978" spans="1:99" x14ac:dyDescent="0.2">
      <c r="A1978" t="s">
        <v>367</v>
      </c>
      <c r="B1978" t="s">
        <v>440</v>
      </c>
      <c r="C1978" t="s">
        <v>441</v>
      </c>
      <c r="D1978" t="s">
        <v>806</v>
      </c>
      <c r="F1978" t="str">
        <f>"253802"</f>
        <v>253802</v>
      </c>
      <c r="G1978" t="s">
        <v>49</v>
      </c>
      <c r="K1978" t="s">
        <v>51</v>
      </c>
      <c r="L1978" t="s">
        <v>52</v>
      </c>
      <c r="M1978">
        <v>136189.59</v>
      </c>
      <c r="N1978">
        <v>468782.66</v>
      </c>
      <c r="O1978" t="s">
        <v>53</v>
      </c>
      <c r="P1978" t="s">
        <v>54</v>
      </c>
      <c r="Q1978" t="s">
        <v>55</v>
      </c>
      <c r="T1978" t="s">
        <v>431</v>
      </c>
      <c r="U1978">
        <v>40</v>
      </c>
      <c r="V1978" s="1">
        <v>25569</v>
      </c>
      <c r="W1978" s="1">
        <v>25569</v>
      </c>
      <c r="X1978" s="1">
        <v>25569</v>
      </c>
      <c r="Y1978" s="1">
        <v>40179</v>
      </c>
      <c r="Z1978" t="s">
        <v>51</v>
      </c>
      <c r="AB1978" t="s">
        <v>54</v>
      </c>
      <c r="AD1978" t="s">
        <v>809</v>
      </c>
      <c r="AE1978" t="s">
        <v>810</v>
      </c>
      <c r="AF1978">
        <v>20</v>
      </c>
      <c r="AG1978" s="1">
        <v>43282</v>
      </c>
      <c r="AH1978" s="1">
        <v>43282</v>
      </c>
      <c r="AI1978" s="1">
        <v>43282</v>
      </c>
      <c r="AK1978" t="s">
        <v>51</v>
      </c>
      <c r="AN1978">
        <v>0</v>
      </c>
      <c r="AO1978" t="s">
        <v>54</v>
      </c>
      <c r="AP1978" t="s">
        <v>53</v>
      </c>
      <c r="AQ1978">
        <v>0</v>
      </c>
      <c r="AR1978" t="s">
        <v>53</v>
      </c>
      <c r="AS1978">
        <v>0</v>
      </c>
      <c r="AT1978">
        <v>0</v>
      </c>
      <c r="CC1978" t="s">
        <v>669</v>
      </c>
      <c r="CD1978">
        <v>85000</v>
      </c>
      <c r="CE1978" s="1">
        <v>43282</v>
      </c>
      <c r="CF1978" s="1">
        <v>43282</v>
      </c>
      <c r="CG1978" s="1">
        <v>43282</v>
      </c>
      <c r="CI1978" t="s">
        <v>51</v>
      </c>
      <c r="CK1978" t="s">
        <v>78</v>
      </c>
      <c r="CM1978" t="s">
        <v>54</v>
      </c>
      <c r="CN1978" t="s">
        <v>174</v>
      </c>
      <c r="CO1978" t="s">
        <v>86</v>
      </c>
      <c r="CR1978">
        <v>50</v>
      </c>
      <c r="CS1978">
        <v>0</v>
      </c>
      <c r="CT1978">
        <v>0</v>
      </c>
      <c r="CU1978">
        <v>0</v>
      </c>
    </row>
    <row r="1979" spans="1:99" x14ac:dyDescent="0.2">
      <c r="A1979" t="s">
        <v>367</v>
      </c>
      <c r="B1979" t="s">
        <v>440</v>
      </c>
      <c r="C1979" t="s">
        <v>441</v>
      </c>
      <c r="D1979" t="s">
        <v>806</v>
      </c>
      <c r="F1979" t="str">
        <f>"253803"</f>
        <v>253803</v>
      </c>
      <c r="G1979" t="s">
        <v>49</v>
      </c>
      <c r="K1979" t="s">
        <v>51</v>
      </c>
      <c r="L1979" t="s">
        <v>52</v>
      </c>
      <c r="M1979">
        <v>136224.71</v>
      </c>
      <c r="N1979">
        <v>468794.03</v>
      </c>
      <c r="O1979" t="s">
        <v>53</v>
      </c>
      <c r="P1979" t="s">
        <v>54</v>
      </c>
      <c r="Q1979" t="s">
        <v>55</v>
      </c>
      <c r="T1979" t="s">
        <v>431</v>
      </c>
      <c r="U1979">
        <v>40</v>
      </c>
      <c r="V1979" s="1">
        <v>25569</v>
      </c>
      <c r="W1979" s="1">
        <v>25569</v>
      </c>
      <c r="X1979" s="1">
        <v>25569</v>
      </c>
      <c r="Y1979" s="1">
        <v>40179</v>
      </c>
      <c r="Z1979" t="s">
        <v>51</v>
      </c>
      <c r="AB1979" t="s">
        <v>54</v>
      </c>
      <c r="AD1979" t="s">
        <v>809</v>
      </c>
      <c r="AE1979" t="s">
        <v>810</v>
      </c>
      <c r="AF1979">
        <v>20</v>
      </c>
      <c r="AG1979" s="1">
        <v>43282</v>
      </c>
      <c r="AH1979" s="1">
        <v>43282</v>
      </c>
      <c r="AI1979" s="1">
        <v>43282</v>
      </c>
      <c r="AK1979" t="s">
        <v>51</v>
      </c>
      <c r="AN1979">
        <v>0</v>
      </c>
      <c r="AO1979" t="s">
        <v>54</v>
      </c>
      <c r="AP1979" t="s">
        <v>53</v>
      </c>
      <c r="AQ1979">
        <v>0</v>
      </c>
      <c r="AR1979" t="s">
        <v>53</v>
      </c>
      <c r="AS1979">
        <v>0</v>
      </c>
      <c r="AT1979">
        <v>0</v>
      </c>
      <c r="CC1979" t="s">
        <v>669</v>
      </c>
      <c r="CD1979">
        <v>85000</v>
      </c>
      <c r="CE1979" s="1">
        <v>43282</v>
      </c>
      <c r="CF1979" s="1">
        <v>43282</v>
      </c>
      <c r="CG1979" s="1">
        <v>43282</v>
      </c>
      <c r="CI1979" t="s">
        <v>51</v>
      </c>
      <c r="CK1979" t="s">
        <v>78</v>
      </c>
      <c r="CM1979" t="s">
        <v>54</v>
      </c>
      <c r="CN1979" t="s">
        <v>174</v>
      </c>
      <c r="CO1979" t="s">
        <v>86</v>
      </c>
      <c r="CR1979">
        <v>50</v>
      </c>
      <c r="CS1979">
        <v>0</v>
      </c>
      <c r="CT1979">
        <v>0</v>
      </c>
      <c r="CU1979">
        <v>0</v>
      </c>
    </row>
    <row r="1980" spans="1:99" x14ac:dyDescent="0.2">
      <c r="A1980" t="s">
        <v>367</v>
      </c>
      <c r="B1980" t="s">
        <v>440</v>
      </c>
      <c r="C1980" t="s">
        <v>441</v>
      </c>
      <c r="D1980" t="s">
        <v>806</v>
      </c>
      <c r="F1980" t="str">
        <f>"253804"</f>
        <v>253804</v>
      </c>
      <c r="G1980" t="s">
        <v>49</v>
      </c>
      <c r="K1980" t="s">
        <v>51</v>
      </c>
      <c r="L1980" t="s">
        <v>52</v>
      </c>
      <c r="M1980">
        <v>136273.32999999999</v>
      </c>
      <c r="N1980">
        <v>468794.03</v>
      </c>
      <c r="O1980" t="s">
        <v>53</v>
      </c>
      <c r="P1980" t="s">
        <v>54</v>
      </c>
      <c r="Q1980" t="s">
        <v>55</v>
      </c>
      <c r="T1980" t="s">
        <v>431</v>
      </c>
      <c r="U1980">
        <v>40</v>
      </c>
      <c r="V1980" s="1">
        <v>25569</v>
      </c>
      <c r="W1980" s="1">
        <v>25569</v>
      </c>
      <c r="X1980" s="1">
        <v>25569</v>
      </c>
      <c r="Y1980" s="1">
        <v>40179</v>
      </c>
      <c r="Z1980" t="s">
        <v>51</v>
      </c>
      <c r="AB1980" t="s">
        <v>54</v>
      </c>
      <c r="AD1980" t="s">
        <v>809</v>
      </c>
      <c r="AE1980" t="s">
        <v>810</v>
      </c>
      <c r="AF1980">
        <v>20</v>
      </c>
      <c r="AG1980" s="1">
        <v>43282</v>
      </c>
      <c r="AH1980" s="1">
        <v>43282</v>
      </c>
      <c r="AI1980" s="1">
        <v>43282</v>
      </c>
      <c r="AJ1980" s="1">
        <v>50587</v>
      </c>
      <c r="AK1980" t="s">
        <v>51</v>
      </c>
      <c r="AN1980">
        <v>0</v>
      </c>
      <c r="AO1980" t="s">
        <v>54</v>
      </c>
      <c r="AP1980" t="s">
        <v>53</v>
      </c>
      <c r="AQ1980">
        <v>0</v>
      </c>
      <c r="AR1980" t="s">
        <v>53</v>
      </c>
      <c r="AS1980">
        <v>0</v>
      </c>
      <c r="AT1980">
        <v>0</v>
      </c>
      <c r="CC1980" t="s">
        <v>669</v>
      </c>
      <c r="CD1980">
        <v>85000</v>
      </c>
      <c r="CE1980" s="1">
        <v>43282</v>
      </c>
      <c r="CF1980" s="1">
        <v>43282</v>
      </c>
      <c r="CG1980" s="1">
        <v>43282</v>
      </c>
      <c r="CH1980" s="1">
        <v>50444</v>
      </c>
      <c r="CI1980" t="s">
        <v>51</v>
      </c>
      <c r="CK1980" t="s">
        <v>78</v>
      </c>
      <c r="CM1980" t="s">
        <v>54</v>
      </c>
      <c r="CN1980" t="s">
        <v>174</v>
      </c>
      <c r="CO1980" t="s">
        <v>86</v>
      </c>
      <c r="CR1980">
        <v>50</v>
      </c>
      <c r="CS1980">
        <v>0</v>
      </c>
      <c r="CT1980">
        <v>0</v>
      </c>
      <c r="CU1980">
        <v>0</v>
      </c>
    </row>
    <row r="1981" spans="1:99" x14ac:dyDescent="0.2">
      <c r="A1981" t="s">
        <v>367</v>
      </c>
      <c r="B1981" t="s">
        <v>440</v>
      </c>
      <c r="C1981" t="s">
        <v>441</v>
      </c>
      <c r="D1981" t="s">
        <v>806</v>
      </c>
      <c r="F1981" t="str">
        <f>"253805"</f>
        <v>253805</v>
      </c>
      <c r="G1981" t="s">
        <v>49</v>
      </c>
      <c r="K1981" t="s">
        <v>51</v>
      </c>
      <c r="L1981" t="s">
        <v>52</v>
      </c>
      <c r="M1981">
        <v>136327.6</v>
      </c>
      <c r="N1981">
        <v>468793.22</v>
      </c>
      <c r="O1981" t="s">
        <v>53</v>
      </c>
      <c r="P1981" t="s">
        <v>54</v>
      </c>
      <c r="Q1981" t="s">
        <v>55</v>
      </c>
      <c r="T1981" t="s">
        <v>431</v>
      </c>
      <c r="U1981">
        <v>40</v>
      </c>
      <c r="V1981" s="1">
        <v>25569</v>
      </c>
      <c r="W1981" s="1">
        <v>25569</v>
      </c>
      <c r="X1981" s="1">
        <v>25569</v>
      </c>
      <c r="Y1981" s="1">
        <v>40179</v>
      </c>
      <c r="Z1981" t="s">
        <v>51</v>
      </c>
      <c r="AB1981" t="s">
        <v>54</v>
      </c>
      <c r="AD1981" t="s">
        <v>809</v>
      </c>
      <c r="AE1981" t="s">
        <v>810</v>
      </c>
      <c r="AF1981">
        <v>20</v>
      </c>
      <c r="AG1981" s="1">
        <v>43282</v>
      </c>
      <c r="AH1981" s="1">
        <v>43282</v>
      </c>
      <c r="AI1981" s="1">
        <v>43282</v>
      </c>
      <c r="AK1981" t="s">
        <v>51</v>
      </c>
      <c r="AN1981">
        <v>0</v>
      </c>
      <c r="AO1981" t="s">
        <v>54</v>
      </c>
      <c r="AP1981" t="s">
        <v>53</v>
      </c>
      <c r="AQ1981">
        <v>0</v>
      </c>
      <c r="AR1981" t="s">
        <v>53</v>
      </c>
      <c r="AS1981">
        <v>0</v>
      </c>
      <c r="AT1981">
        <v>0</v>
      </c>
      <c r="CC1981" t="s">
        <v>669</v>
      </c>
      <c r="CD1981">
        <v>85000</v>
      </c>
      <c r="CE1981" s="1">
        <v>43282</v>
      </c>
      <c r="CF1981" s="1">
        <v>43282</v>
      </c>
      <c r="CG1981" s="1">
        <v>43282</v>
      </c>
      <c r="CI1981" t="s">
        <v>51</v>
      </c>
      <c r="CK1981" t="s">
        <v>78</v>
      </c>
      <c r="CM1981" t="s">
        <v>54</v>
      </c>
      <c r="CN1981" t="s">
        <v>174</v>
      </c>
      <c r="CO1981" t="s">
        <v>86</v>
      </c>
      <c r="CR1981">
        <v>50</v>
      </c>
      <c r="CS1981">
        <v>0</v>
      </c>
      <c r="CT1981">
        <v>0</v>
      </c>
      <c r="CU1981">
        <v>0</v>
      </c>
    </row>
    <row r="1982" spans="1:99" x14ac:dyDescent="0.2">
      <c r="A1982" t="s">
        <v>367</v>
      </c>
      <c r="B1982" t="s">
        <v>440</v>
      </c>
      <c r="C1982" t="s">
        <v>441</v>
      </c>
      <c r="D1982" t="s">
        <v>806</v>
      </c>
      <c r="F1982" t="str">
        <f>"253806"</f>
        <v>253806</v>
      </c>
      <c r="G1982" t="s">
        <v>49</v>
      </c>
      <c r="K1982" t="s">
        <v>51</v>
      </c>
      <c r="L1982" t="s">
        <v>52</v>
      </c>
      <c r="M1982">
        <v>136387.25</v>
      </c>
      <c r="N1982">
        <v>468794.57</v>
      </c>
      <c r="O1982" t="s">
        <v>53</v>
      </c>
      <c r="P1982" t="s">
        <v>54</v>
      </c>
      <c r="Q1982" t="s">
        <v>55</v>
      </c>
      <c r="T1982" t="s">
        <v>431</v>
      </c>
      <c r="U1982">
        <v>40</v>
      </c>
      <c r="V1982" s="1">
        <v>25569</v>
      </c>
      <c r="W1982" s="1">
        <v>25569</v>
      </c>
      <c r="X1982" s="1">
        <v>25569</v>
      </c>
      <c r="Y1982" s="1">
        <v>40179</v>
      </c>
      <c r="Z1982" t="s">
        <v>51</v>
      </c>
      <c r="AB1982" t="s">
        <v>54</v>
      </c>
      <c r="AD1982" t="s">
        <v>809</v>
      </c>
      <c r="AE1982" t="s">
        <v>810</v>
      </c>
      <c r="AF1982">
        <v>20</v>
      </c>
      <c r="AG1982" s="1">
        <v>43282</v>
      </c>
      <c r="AH1982" s="1">
        <v>43282</v>
      </c>
      <c r="AI1982" s="1">
        <v>43282</v>
      </c>
      <c r="AK1982" t="s">
        <v>51</v>
      </c>
      <c r="AN1982">
        <v>0</v>
      </c>
      <c r="AO1982" t="s">
        <v>54</v>
      </c>
      <c r="AP1982" t="s">
        <v>53</v>
      </c>
      <c r="AQ1982">
        <v>0</v>
      </c>
      <c r="AR1982" t="s">
        <v>53</v>
      </c>
      <c r="AS1982">
        <v>0</v>
      </c>
      <c r="AT1982">
        <v>0</v>
      </c>
      <c r="CC1982" t="s">
        <v>669</v>
      </c>
      <c r="CD1982">
        <v>85000</v>
      </c>
      <c r="CE1982" s="1">
        <v>43282</v>
      </c>
      <c r="CF1982" s="1">
        <v>43282</v>
      </c>
      <c r="CG1982" s="1">
        <v>43282</v>
      </c>
      <c r="CI1982" t="s">
        <v>51</v>
      </c>
      <c r="CK1982" t="s">
        <v>78</v>
      </c>
      <c r="CM1982" t="s">
        <v>54</v>
      </c>
      <c r="CN1982" t="s">
        <v>174</v>
      </c>
      <c r="CO1982" t="s">
        <v>86</v>
      </c>
      <c r="CR1982">
        <v>50</v>
      </c>
      <c r="CS1982">
        <v>0</v>
      </c>
      <c r="CT1982">
        <v>0</v>
      </c>
      <c r="CU1982">
        <v>0</v>
      </c>
    </row>
    <row r="1983" spans="1:99" x14ac:dyDescent="0.2">
      <c r="A1983" t="s">
        <v>367</v>
      </c>
      <c r="B1983" t="s">
        <v>440</v>
      </c>
      <c r="C1983" t="s">
        <v>441</v>
      </c>
      <c r="D1983" t="s">
        <v>806</v>
      </c>
      <c r="F1983" t="str">
        <f>"253807"</f>
        <v>253807</v>
      </c>
      <c r="G1983" t="s">
        <v>49</v>
      </c>
      <c r="K1983" t="s">
        <v>51</v>
      </c>
      <c r="L1983" t="s">
        <v>52</v>
      </c>
      <c r="M1983">
        <v>136443.24</v>
      </c>
      <c r="N1983">
        <v>468792.49</v>
      </c>
      <c r="O1983" t="s">
        <v>53</v>
      </c>
      <c r="P1983" t="s">
        <v>54</v>
      </c>
      <c r="Q1983" t="s">
        <v>55</v>
      </c>
      <c r="T1983" t="s">
        <v>431</v>
      </c>
      <c r="U1983">
        <v>40</v>
      </c>
      <c r="V1983" s="1">
        <v>25569</v>
      </c>
      <c r="W1983" s="1">
        <v>25569</v>
      </c>
      <c r="X1983" s="1">
        <v>25569</v>
      </c>
      <c r="Y1983" s="1">
        <v>40179</v>
      </c>
      <c r="Z1983" t="s">
        <v>51</v>
      </c>
      <c r="AB1983" t="s">
        <v>54</v>
      </c>
      <c r="AD1983" t="s">
        <v>809</v>
      </c>
      <c r="AE1983" t="s">
        <v>810</v>
      </c>
      <c r="AF1983">
        <v>20</v>
      </c>
      <c r="AG1983" s="1">
        <v>43282</v>
      </c>
      <c r="AH1983" s="1">
        <v>43282</v>
      </c>
      <c r="AI1983" s="1">
        <v>43282</v>
      </c>
      <c r="AK1983" t="s">
        <v>51</v>
      </c>
      <c r="AN1983">
        <v>0</v>
      </c>
      <c r="AO1983" t="s">
        <v>54</v>
      </c>
      <c r="AP1983" t="s">
        <v>53</v>
      </c>
      <c r="AQ1983">
        <v>0</v>
      </c>
      <c r="AR1983" t="s">
        <v>53</v>
      </c>
      <c r="AS1983">
        <v>0</v>
      </c>
      <c r="AT1983">
        <v>0</v>
      </c>
      <c r="CC1983" t="s">
        <v>669</v>
      </c>
      <c r="CD1983">
        <v>85000</v>
      </c>
      <c r="CE1983" s="1">
        <v>43282</v>
      </c>
      <c r="CF1983" s="1">
        <v>43282</v>
      </c>
      <c r="CG1983" s="1">
        <v>43282</v>
      </c>
      <c r="CI1983" t="s">
        <v>51</v>
      </c>
      <c r="CK1983" t="s">
        <v>78</v>
      </c>
      <c r="CM1983" t="s">
        <v>54</v>
      </c>
      <c r="CN1983" t="s">
        <v>174</v>
      </c>
      <c r="CO1983" t="s">
        <v>86</v>
      </c>
      <c r="CR1983">
        <v>50</v>
      </c>
      <c r="CS1983">
        <v>0</v>
      </c>
      <c r="CT1983">
        <v>0</v>
      </c>
      <c r="CU1983">
        <v>0</v>
      </c>
    </row>
    <row r="1984" spans="1:99" x14ac:dyDescent="0.2">
      <c r="A1984" t="s">
        <v>367</v>
      </c>
      <c r="B1984" t="s">
        <v>440</v>
      </c>
      <c r="C1984" t="s">
        <v>441</v>
      </c>
      <c r="D1984" t="s">
        <v>806</v>
      </c>
      <c r="F1984" t="str">
        <f>"253808"</f>
        <v>253808</v>
      </c>
      <c r="G1984" t="s">
        <v>49</v>
      </c>
      <c r="K1984" t="s">
        <v>51</v>
      </c>
      <c r="L1984" t="s">
        <v>52</v>
      </c>
      <c r="M1984">
        <v>136504.24</v>
      </c>
      <c r="N1984">
        <v>468790.41</v>
      </c>
      <c r="O1984" t="s">
        <v>53</v>
      </c>
      <c r="P1984" t="s">
        <v>54</v>
      </c>
      <c r="Q1984" t="s">
        <v>55</v>
      </c>
      <c r="T1984" t="s">
        <v>431</v>
      </c>
      <c r="U1984">
        <v>40</v>
      </c>
      <c r="V1984" s="1">
        <v>25569</v>
      </c>
      <c r="W1984" s="1">
        <v>25569</v>
      </c>
      <c r="X1984" s="1">
        <v>25569</v>
      </c>
      <c r="Y1984" s="1">
        <v>40179</v>
      </c>
      <c r="Z1984" t="s">
        <v>51</v>
      </c>
      <c r="AB1984" t="s">
        <v>54</v>
      </c>
      <c r="AD1984" t="s">
        <v>809</v>
      </c>
      <c r="AE1984" t="s">
        <v>810</v>
      </c>
      <c r="AF1984">
        <v>20</v>
      </c>
      <c r="AG1984" s="1">
        <v>43282</v>
      </c>
      <c r="AH1984" s="1">
        <v>43282</v>
      </c>
      <c r="AI1984" s="1">
        <v>43282</v>
      </c>
      <c r="AK1984" t="s">
        <v>51</v>
      </c>
      <c r="AN1984">
        <v>0</v>
      </c>
      <c r="AO1984" t="s">
        <v>54</v>
      </c>
      <c r="AP1984" t="s">
        <v>53</v>
      </c>
      <c r="AQ1984">
        <v>0</v>
      </c>
      <c r="AR1984" t="s">
        <v>53</v>
      </c>
      <c r="AS1984">
        <v>0</v>
      </c>
      <c r="AT1984">
        <v>0</v>
      </c>
      <c r="CC1984" t="s">
        <v>669</v>
      </c>
      <c r="CD1984">
        <v>85000</v>
      </c>
      <c r="CE1984" s="1">
        <v>43282</v>
      </c>
      <c r="CF1984" s="1">
        <v>43282</v>
      </c>
      <c r="CG1984" s="1">
        <v>43282</v>
      </c>
      <c r="CI1984" t="s">
        <v>51</v>
      </c>
      <c r="CK1984" t="s">
        <v>78</v>
      </c>
      <c r="CM1984" t="s">
        <v>54</v>
      </c>
      <c r="CN1984" t="s">
        <v>174</v>
      </c>
      <c r="CO1984" t="s">
        <v>86</v>
      </c>
      <c r="CR1984">
        <v>50</v>
      </c>
      <c r="CS1984">
        <v>0</v>
      </c>
      <c r="CT1984">
        <v>0</v>
      </c>
      <c r="CU1984">
        <v>0</v>
      </c>
    </row>
    <row r="1985" spans="1:99" x14ac:dyDescent="0.2">
      <c r="A1985" t="s">
        <v>367</v>
      </c>
      <c r="B1985" t="s">
        <v>440</v>
      </c>
      <c r="C1985" t="s">
        <v>441</v>
      </c>
      <c r="D1985" t="s">
        <v>806</v>
      </c>
      <c r="F1985" t="str">
        <f>"253809"</f>
        <v>253809</v>
      </c>
      <c r="G1985" t="s">
        <v>49</v>
      </c>
      <c r="K1985" t="s">
        <v>51</v>
      </c>
      <c r="L1985" t="s">
        <v>52</v>
      </c>
      <c r="M1985">
        <v>136564.64000000001</v>
      </c>
      <c r="N1985">
        <v>468788.05</v>
      </c>
      <c r="O1985" t="s">
        <v>53</v>
      </c>
      <c r="P1985" t="s">
        <v>54</v>
      </c>
      <c r="Q1985" t="s">
        <v>55</v>
      </c>
      <c r="T1985" t="s">
        <v>431</v>
      </c>
      <c r="U1985">
        <v>40</v>
      </c>
      <c r="V1985" s="1">
        <v>25569</v>
      </c>
      <c r="W1985" s="1">
        <v>25569</v>
      </c>
      <c r="X1985" s="1">
        <v>25569</v>
      </c>
      <c r="Y1985" s="1">
        <v>40179</v>
      </c>
      <c r="Z1985" t="s">
        <v>51</v>
      </c>
      <c r="AB1985" t="s">
        <v>54</v>
      </c>
      <c r="AD1985" t="s">
        <v>809</v>
      </c>
      <c r="AE1985" t="s">
        <v>810</v>
      </c>
      <c r="AF1985">
        <v>20</v>
      </c>
      <c r="AG1985" s="1">
        <v>43282</v>
      </c>
      <c r="AH1985" s="1">
        <v>43282</v>
      </c>
      <c r="AI1985" s="1">
        <v>43282</v>
      </c>
      <c r="AK1985" t="s">
        <v>51</v>
      </c>
      <c r="AN1985">
        <v>0</v>
      </c>
      <c r="AO1985" t="s">
        <v>54</v>
      </c>
      <c r="AP1985" t="s">
        <v>53</v>
      </c>
      <c r="AQ1985">
        <v>0</v>
      </c>
      <c r="AR1985" t="s">
        <v>53</v>
      </c>
      <c r="AS1985">
        <v>0</v>
      </c>
      <c r="AT1985">
        <v>0</v>
      </c>
      <c r="CC1985" t="s">
        <v>669</v>
      </c>
      <c r="CD1985">
        <v>85000</v>
      </c>
      <c r="CE1985" s="1">
        <v>43282</v>
      </c>
      <c r="CF1985" s="1">
        <v>43282</v>
      </c>
      <c r="CG1985" s="1">
        <v>43282</v>
      </c>
      <c r="CI1985" t="s">
        <v>51</v>
      </c>
      <c r="CK1985" t="s">
        <v>78</v>
      </c>
      <c r="CM1985" t="s">
        <v>54</v>
      </c>
      <c r="CN1985" t="s">
        <v>174</v>
      </c>
      <c r="CO1985" t="s">
        <v>86</v>
      </c>
      <c r="CR1985">
        <v>50</v>
      </c>
      <c r="CS1985">
        <v>0</v>
      </c>
      <c r="CT1985">
        <v>0</v>
      </c>
      <c r="CU1985">
        <v>0</v>
      </c>
    </row>
    <row r="1986" spans="1:99" x14ac:dyDescent="0.2">
      <c r="A1986" t="s">
        <v>367</v>
      </c>
      <c r="B1986" t="s">
        <v>440</v>
      </c>
      <c r="C1986" t="s">
        <v>441</v>
      </c>
      <c r="D1986" t="s">
        <v>806</v>
      </c>
      <c r="F1986" t="str">
        <f>"253810"</f>
        <v>253810</v>
      </c>
      <c r="G1986" t="s">
        <v>49</v>
      </c>
      <c r="K1986" t="s">
        <v>51</v>
      </c>
      <c r="L1986" t="s">
        <v>52</v>
      </c>
      <c r="M1986">
        <v>136622.67000000001</v>
      </c>
      <c r="N1986">
        <v>468786.97</v>
      </c>
      <c r="O1986" t="s">
        <v>53</v>
      </c>
      <c r="P1986" t="s">
        <v>54</v>
      </c>
      <c r="Q1986" t="s">
        <v>55</v>
      </c>
      <c r="T1986" t="s">
        <v>431</v>
      </c>
      <c r="U1986">
        <v>40</v>
      </c>
      <c r="V1986" s="1">
        <v>25569</v>
      </c>
      <c r="W1986" s="1">
        <v>25569</v>
      </c>
      <c r="X1986" s="1">
        <v>25569</v>
      </c>
      <c r="Y1986" s="1">
        <v>40179</v>
      </c>
      <c r="Z1986" t="s">
        <v>51</v>
      </c>
      <c r="AB1986" t="s">
        <v>54</v>
      </c>
      <c r="AD1986" t="s">
        <v>809</v>
      </c>
      <c r="AE1986" t="s">
        <v>810</v>
      </c>
      <c r="AF1986">
        <v>20</v>
      </c>
      <c r="AG1986" s="1">
        <v>43282</v>
      </c>
      <c r="AH1986" s="1">
        <v>43282</v>
      </c>
      <c r="AI1986" s="1">
        <v>43282</v>
      </c>
      <c r="AK1986" t="s">
        <v>51</v>
      </c>
      <c r="AN1986">
        <v>0</v>
      </c>
      <c r="AO1986" t="s">
        <v>54</v>
      </c>
      <c r="AP1986" t="s">
        <v>53</v>
      </c>
      <c r="AQ1986">
        <v>0</v>
      </c>
      <c r="AR1986" t="s">
        <v>53</v>
      </c>
      <c r="AS1986">
        <v>0</v>
      </c>
      <c r="AT1986">
        <v>0</v>
      </c>
      <c r="CC1986" t="s">
        <v>669</v>
      </c>
      <c r="CD1986">
        <v>85000</v>
      </c>
      <c r="CE1986" s="1">
        <v>43282</v>
      </c>
      <c r="CF1986" s="1">
        <v>43282</v>
      </c>
      <c r="CG1986" s="1">
        <v>43282</v>
      </c>
      <c r="CI1986" t="s">
        <v>51</v>
      </c>
      <c r="CK1986" t="s">
        <v>78</v>
      </c>
      <c r="CM1986" t="s">
        <v>54</v>
      </c>
      <c r="CN1986" t="s">
        <v>174</v>
      </c>
      <c r="CO1986" t="s">
        <v>86</v>
      </c>
      <c r="CR1986">
        <v>50</v>
      </c>
      <c r="CS1986">
        <v>0</v>
      </c>
      <c r="CT1986">
        <v>0</v>
      </c>
      <c r="CU1986">
        <v>0</v>
      </c>
    </row>
    <row r="1987" spans="1:99" x14ac:dyDescent="0.2">
      <c r="A1987" t="s">
        <v>367</v>
      </c>
      <c r="B1987" t="s">
        <v>440</v>
      </c>
      <c r="C1987" t="s">
        <v>441</v>
      </c>
      <c r="D1987" t="s">
        <v>806</v>
      </c>
      <c r="F1987" t="str">
        <f>"253811"</f>
        <v>253811</v>
      </c>
      <c r="G1987" t="s">
        <v>49</v>
      </c>
      <c r="K1987" t="s">
        <v>51</v>
      </c>
      <c r="L1987" t="s">
        <v>52</v>
      </c>
      <c r="M1987">
        <v>136685.57</v>
      </c>
      <c r="N1987">
        <v>468788.2</v>
      </c>
      <c r="O1987" t="s">
        <v>53</v>
      </c>
      <c r="P1987" t="s">
        <v>54</v>
      </c>
      <c r="Q1987" t="s">
        <v>55</v>
      </c>
      <c r="T1987" t="s">
        <v>431</v>
      </c>
      <c r="U1987">
        <v>40</v>
      </c>
      <c r="V1987" s="1">
        <v>25569</v>
      </c>
      <c r="W1987" s="1">
        <v>25569</v>
      </c>
      <c r="X1987" s="1">
        <v>25569</v>
      </c>
      <c r="Y1987" s="1">
        <v>40179</v>
      </c>
      <c r="Z1987" t="s">
        <v>51</v>
      </c>
      <c r="AB1987" t="s">
        <v>54</v>
      </c>
      <c r="AD1987" t="s">
        <v>809</v>
      </c>
      <c r="AE1987" t="s">
        <v>810</v>
      </c>
      <c r="AF1987">
        <v>20</v>
      </c>
      <c r="AG1987" s="1">
        <v>43282</v>
      </c>
      <c r="AH1987" s="1">
        <v>43282</v>
      </c>
      <c r="AI1987" s="1">
        <v>43282</v>
      </c>
      <c r="AK1987" t="s">
        <v>51</v>
      </c>
      <c r="AN1987">
        <v>0</v>
      </c>
      <c r="AO1987" t="s">
        <v>54</v>
      </c>
      <c r="AP1987" t="s">
        <v>53</v>
      </c>
      <c r="AQ1987">
        <v>0</v>
      </c>
      <c r="AR1987" t="s">
        <v>53</v>
      </c>
      <c r="AS1987">
        <v>0</v>
      </c>
      <c r="AT1987">
        <v>0</v>
      </c>
      <c r="CC1987" t="s">
        <v>669</v>
      </c>
      <c r="CD1987">
        <v>85000</v>
      </c>
      <c r="CE1987" s="1">
        <v>43282</v>
      </c>
      <c r="CF1987" s="1">
        <v>43282</v>
      </c>
      <c r="CG1987" s="1">
        <v>43282</v>
      </c>
      <c r="CI1987" t="s">
        <v>51</v>
      </c>
      <c r="CK1987" t="s">
        <v>78</v>
      </c>
      <c r="CM1987" t="s">
        <v>54</v>
      </c>
      <c r="CN1987" t="s">
        <v>174</v>
      </c>
      <c r="CO1987" t="s">
        <v>86</v>
      </c>
      <c r="CR1987">
        <v>50</v>
      </c>
      <c r="CS1987">
        <v>0</v>
      </c>
      <c r="CT1987">
        <v>0</v>
      </c>
      <c r="CU1987">
        <v>0</v>
      </c>
    </row>
    <row r="1988" spans="1:99" x14ac:dyDescent="0.2">
      <c r="A1988" t="s">
        <v>367</v>
      </c>
      <c r="B1988" t="s">
        <v>440</v>
      </c>
      <c r="C1988" t="s">
        <v>441</v>
      </c>
      <c r="D1988" t="s">
        <v>806</v>
      </c>
      <c r="F1988" t="str">
        <f>"253812"</f>
        <v>253812</v>
      </c>
      <c r="G1988" t="s">
        <v>49</v>
      </c>
      <c r="K1988" t="s">
        <v>51</v>
      </c>
      <c r="L1988" t="s">
        <v>52</v>
      </c>
      <c r="M1988">
        <v>136749.89000000001</v>
      </c>
      <c r="N1988">
        <v>468788.81</v>
      </c>
      <c r="O1988" t="s">
        <v>53</v>
      </c>
      <c r="P1988" t="s">
        <v>54</v>
      </c>
      <c r="Q1988" t="s">
        <v>55</v>
      </c>
      <c r="T1988" t="s">
        <v>431</v>
      </c>
      <c r="U1988">
        <v>40</v>
      </c>
      <c r="V1988" s="1">
        <v>25569</v>
      </c>
      <c r="W1988" s="1">
        <v>25569</v>
      </c>
      <c r="X1988" s="1">
        <v>25569</v>
      </c>
      <c r="Y1988" s="1">
        <v>40179</v>
      </c>
      <c r="Z1988" t="s">
        <v>51</v>
      </c>
      <c r="AB1988" t="s">
        <v>54</v>
      </c>
      <c r="AD1988" t="s">
        <v>809</v>
      </c>
      <c r="AE1988" t="s">
        <v>810</v>
      </c>
      <c r="AF1988">
        <v>20</v>
      </c>
      <c r="AG1988" s="1">
        <v>43282</v>
      </c>
      <c r="AH1988" s="1">
        <v>43282</v>
      </c>
      <c r="AI1988" s="1">
        <v>43282</v>
      </c>
      <c r="AK1988" t="s">
        <v>51</v>
      </c>
      <c r="AN1988">
        <v>0</v>
      </c>
      <c r="AO1988" t="s">
        <v>54</v>
      </c>
      <c r="AP1988" t="s">
        <v>53</v>
      </c>
      <c r="AQ1988">
        <v>0</v>
      </c>
      <c r="AR1988" t="s">
        <v>53</v>
      </c>
      <c r="AS1988">
        <v>0</v>
      </c>
      <c r="AT1988">
        <v>0</v>
      </c>
      <c r="CC1988" t="s">
        <v>669</v>
      </c>
      <c r="CD1988">
        <v>85000</v>
      </c>
      <c r="CE1988" s="1">
        <v>43282</v>
      </c>
      <c r="CF1988" s="1">
        <v>43282</v>
      </c>
      <c r="CG1988" s="1">
        <v>43282</v>
      </c>
      <c r="CI1988" t="s">
        <v>51</v>
      </c>
      <c r="CK1988" t="s">
        <v>78</v>
      </c>
      <c r="CM1988" t="s">
        <v>54</v>
      </c>
      <c r="CN1988" t="s">
        <v>174</v>
      </c>
      <c r="CO1988" t="s">
        <v>86</v>
      </c>
      <c r="CR1988">
        <v>50</v>
      </c>
      <c r="CS1988">
        <v>0</v>
      </c>
      <c r="CT1988">
        <v>0</v>
      </c>
      <c r="CU1988">
        <v>0</v>
      </c>
    </row>
    <row r="1989" spans="1:99" x14ac:dyDescent="0.2">
      <c r="A1989" t="s">
        <v>367</v>
      </c>
      <c r="B1989" t="s">
        <v>440</v>
      </c>
      <c r="C1989" t="s">
        <v>441</v>
      </c>
      <c r="D1989" t="s">
        <v>806</v>
      </c>
      <c r="F1989" t="str">
        <f>"253813"</f>
        <v>253813</v>
      </c>
      <c r="G1989" t="s">
        <v>49</v>
      </c>
      <c r="K1989" t="s">
        <v>51</v>
      </c>
      <c r="L1989" t="s">
        <v>52</v>
      </c>
      <c r="M1989">
        <v>136779.29</v>
      </c>
      <c r="N1989">
        <v>468787.13</v>
      </c>
      <c r="O1989" t="s">
        <v>53</v>
      </c>
      <c r="P1989" t="s">
        <v>54</v>
      </c>
      <c r="Q1989" t="s">
        <v>55</v>
      </c>
      <c r="T1989" t="s">
        <v>431</v>
      </c>
      <c r="U1989">
        <v>40</v>
      </c>
      <c r="V1989" s="1">
        <v>25569</v>
      </c>
      <c r="W1989" s="1">
        <v>25569</v>
      </c>
      <c r="X1989" s="1">
        <v>25569</v>
      </c>
      <c r="Y1989" s="1">
        <v>40179</v>
      </c>
      <c r="Z1989" t="s">
        <v>51</v>
      </c>
      <c r="AB1989" t="s">
        <v>54</v>
      </c>
      <c r="AD1989" t="s">
        <v>809</v>
      </c>
      <c r="AE1989" t="s">
        <v>810</v>
      </c>
      <c r="AF1989">
        <v>20</v>
      </c>
      <c r="AG1989" s="1">
        <v>43282</v>
      </c>
      <c r="AH1989" s="1">
        <v>43282</v>
      </c>
      <c r="AI1989" s="1">
        <v>43282</v>
      </c>
      <c r="AK1989" t="s">
        <v>51</v>
      </c>
      <c r="AN1989">
        <v>0</v>
      </c>
      <c r="AO1989" t="s">
        <v>54</v>
      </c>
      <c r="AP1989" t="s">
        <v>53</v>
      </c>
      <c r="AQ1989">
        <v>0</v>
      </c>
      <c r="AR1989" t="s">
        <v>53</v>
      </c>
      <c r="AS1989">
        <v>0</v>
      </c>
      <c r="AT1989">
        <v>0</v>
      </c>
      <c r="CC1989" t="s">
        <v>669</v>
      </c>
      <c r="CD1989">
        <v>85000</v>
      </c>
      <c r="CE1989" s="1">
        <v>43282</v>
      </c>
      <c r="CF1989" s="1">
        <v>43282</v>
      </c>
      <c r="CG1989" s="1">
        <v>43282</v>
      </c>
      <c r="CI1989" t="s">
        <v>51</v>
      </c>
      <c r="CK1989" t="s">
        <v>78</v>
      </c>
      <c r="CM1989" t="s">
        <v>54</v>
      </c>
      <c r="CN1989" t="s">
        <v>174</v>
      </c>
      <c r="CO1989" t="s">
        <v>86</v>
      </c>
      <c r="CR1989">
        <v>50</v>
      </c>
      <c r="CS1989">
        <v>0</v>
      </c>
      <c r="CT1989">
        <v>0</v>
      </c>
      <c r="CU1989">
        <v>0</v>
      </c>
    </row>
    <row r="1990" spans="1:99" x14ac:dyDescent="0.2">
      <c r="A1990" t="s">
        <v>367</v>
      </c>
      <c r="B1990" t="s">
        <v>440</v>
      </c>
      <c r="C1990" t="s">
        <v>441</v>
      </c>
      <c r="D1990" t="s">
        <v>806</v>
      </c>
      <c r="F1990" t="str">
        <f>"253814"</f>
        <v>253814</v>
      </c>
      <c r="G1990" t="s">
        <v>49</v>
      </c>
      <c r="K1990" t="s">
        <v>51</v>
      </c>
      <c r="L1990" t="s">
        <v>52</v>
      </c>
      <c r="M1990">
        <v>136808.85999999999</v>
      </c>
      <c r="N1990">
        <v>468782.13</v>
      </c>
      <c r="O1990" t="s">
        <v>53</v>
      </c>
      <c r="P1990" t="s">
        <v>54</v>
      </c>
      <c r="Q1990" t="s">
        <v>55</v>
      </c>
      <c r="T1990" t="s">
        <v>431</v>
      </c>
      <c r="U1990">
        <v>40</v>
      </c>
      <c r="V1990" s="1">
        <v>25569</v>
      </c>
      <c r="W1990" s="1">
        <v>25569</v>
      </c>
      <c r="X1990" s="1">
        <v>25569</v>
      </c>
      <c r="Y1990" s="1">
        <v>40179</v>
      </c>
      <c r="Z1990" t="s">
        <v>51</v>
      </c>
      <c r="AB1990" t="s">
        <v>54</v>
      </c>
      <c r="AD1990" t="s">
        <v>809</v>
      </c>
      <c r="AE1990" t="s">
        <v>810</v>
      </c>
      <c r="AF1990">
        <v>20</v>
      </c>
      <c r="AG1990" s="1">
        <v>43282</v>
      </c>
      <c r="AH1990" s="1">
        <v>43282</v>
      </c>
      <c r="AI1990" s="1">
        <v>43282</v>
      </c>
      <c r="AK1990" t="s">
        <v>51</v>
      </c>
      <c r="AN1990">
        <v>0</v>
      </c>
      <c r="AO1990" t="s">
        <v>54</v>
      </c>
      <c r="AP1990" t="s">
        <v>53</v>
      </c>
      <c r="AQ1990">
        <v>0</v>
      </c>
      <c r="AR1990" t="s">
        <v>53</v>
      </c>
      <c r="AS1990">
        <v>0</v>
      </c>
      <c r="AT1990">
        <v>0</v>
      </c>
      <c r="CC1990" t="s">
        <v>669</v>
      </c>
      <c r="CD1990">
        <v>85000</v>
      </c>
      <c r="CE1990" s="1">
        <v>43282</v>
      </c>
      <c r="CF1990" s="1">
        <v>43282</v>
      </c>
      <c r="CG1990" s="1">
        <v>43282</v>
      </c>
      <c r="CI1990" t="s">
        <v>51</v>
      </c>
      <c r="CK1990" t="s">
        <v>78</v>
      </c>
      <c r="CM1990" t="s">
        <v>54</v>
      </c>
      <c r="CN1990" t="s">
        <v>174</v>
      </c>
      <c r="CO1990" t="s">
        <v>86</v>
      </c>
      <c r="CR1990">
        <v>50</v>
      </c>
      <c r="CS1990">
        <v>0</v>
      </c>
      <c r="CT1990">
        <v>0</v>
      </c>
      <c r="CU1990">
        <v>0</v>
      </c>
    </row>
    <row r="1991" spans="1:99" x14ac:dyDescent="0.2">
      <c r="A1991" t="s">
        <v>367</v>
      </c>
      <c r="B1991" t="s">
        <v>440</v>
      </c>
      <c r="C1991" t="s">
        <v>441</v>
      </c>
      <c r="D1991" t="s">
        <v>806</v>
      </c>
      <c r="F1991" t="str">
        <f>"253815"</f>
        <v>253815</v>
      </c>
      <c r="G1991" t="s">
        <v>49</v>
      </c>
      <c r="K1991" t="s">
        <v>51</v>
      </c>
      <c r="L1991" t="s">
        <v>52</v>
      </c>
      <c r="M1991">
        <v>136838.92000000001</v>
      </c>
      <c r="N1991">
        <v>468774.37</v>
      </c>
      <c r="O1991" t="s">
        <v>53</v>
      </c>
      <c r="P1991" t="s">
        <v>54</v>
      </c>
      <c r="Q1991" t="s">
        <v>55</v>
      </c>
      <c r="T1991" t="s">
        <v>431</v>
      </c>
      <c r="U1991">
        <v>40</v>
      </c>
      <c r="V1991" s="1">
        <v>25569</v>
      </c>
      <c r="W1991" s="1">
        <v>25569</v>
      </c>
      <c r="X1991" s="1">
        <v>25569</v>
      </c>
      <c r="Y1991" s="1">
        <v>40179</v>
      </c>
      <c r="Z1991" t="s">
        <v>51</v>
      </c>
      <c r="AB1991" t="s">
        <v>54</v>
      </c>
      <c r="AD1991" t="s">
        <v>809</v>
      </c>
      <c r="AE1991" t="s">
        <v>810</v>
      </c>
      <c r="AF1991">
        <v>20</v>
      </c>
      <c r="AG1991" s="1">
        <v>43282</v>
      </c>
      <c r="AH1991" s="1">
        <v>43282</v>
      </c>
      <c r="AI1991" s="1">
        <v>43282</v>
      </c>
      <c r="AK1991" t="s">
        <v>51</v>
      </c>
      <c r="AN1991">
        <v>0</v>
      </c>
      <c r="AO1991" t="s">
        <v>54</v>
      </c>
      <c r="AP1991" t="s">
        <v>53</v>
      </c>
      <c r="AQ1991">
        <v>0</v>
      </c>
      <c r="AR1991" t="s">
        <v>53</v>
      </c>
      <c r="AS1991">
        <v>0</v>
      </c>
      <c r="AT1991">
        <v>0</v>
      </c>
      <c r="CC1991" t="s">
        <v>669</v>
      </c>
      <c r="CD1991">
        <v>85000</v>
      </c>
      <c r="CE1991" s="1">
        <v>43282</v>
      </c>
      <c r="CF1991" s="1">
        <v>43282</v>
      </c>
      <c r="CG1991" s="1">
        <v>43282</v>
      </c>
      <c r="CI1991" t="s">
        <v>51</v>
      </c>
      <c r="CK1991" t="s">
        <v>78</v>
      </c>
      <c r="CM1991" t="s">
        <v>54</v>
      </c>
      <c r="CN1991" t="s">
        <v>174</v>
      </c>
      <c r="CO1991" t="s">
        <v>86</v>
      </c>
      <c r="CR1991">
        <v>50</v>
      </c>
      <c r="CS1991">
        <v>0</v>
      </c>
      <c r="CT1991">
        <v>0</v>
      </c>
      <c r="CU1991">
        <v>0</v>
      </c>
    </row>
    <row r="1992" spans="1:99" x14ac:dyDescent="0.2">
      <c r="A1992" t="s">
        <v>367</v>
      </c>
      <c r="B1992" t="s">
        <v>440</v>
      </c>
      <c r="C1992" t="s">
        <v>441</v>
      </c>
      <c r="D1992" t="s">
        <v>806</v>
      </c>
      <c r="F1992" t="str">
        <f>"253816"</f>
        <v>253816</v>
      </c>
      <c r="G1992" t="s">
        <v>49</v>
      </c>
      <c r="K1992" t="s">
        <v>51</v>
      </c>
      <c r="L1992" t="s">
        <v>52</v>
      </c>
      <c r="M1992">
        <v>136866.91</v>
      </c>
      <c r="N1992">
        <v>468767.28</v>
      </c>
      <c r="O1992" t="s">
        <v>53</v>
      </c>
      <c r="P1992" t="s">
        <v>54</v>
      </c>
      <c r="Q1992" t="s">
        <v>55</v>
      </c>
      <c r="T1992" t="s">
        <v>431</v>
      </c>
      <c r="U1992">
        <v>40</v>
      </c>
      <c r="V1992" s="1">
        <v>25569</v>
      </c>
      <c r="W1992" s="1">
        <v>25569</v>
      </c>
      <c r="X1992" s="1">
        <v>25569</v>
      </c>
      <c r="Y1992" s="1">
        <v>40179</v>
      </c>
      <c r="Z1992" t="s">
        <v>51</v>
      </c>
      <c r="AB1992" t="s">
        <v>54</v>
      </c>
      <c r="AD1992" t="s">
        <v>809</v>
      </c>
      <c r="AE1992" t="s">
        <v>810</v>
      </c>
      <c r="AF1992">
        <v>20</v>
      </c>
      <c r="AG1992" s="1">
        <v>43282</v>
      </c>
      <c r="AH1992" s="1">
        <v>43282</v>
      </c>
      <c r="AI1992" s="1">
        <v>43282</v>
      </c>
      <c r="AK1992" t="s">
        <v>51</v>
      </c>
      <c r="AN1992">
        <v>0</v>
      </c>
      <c r="AO1992" t="s">
        <v>54</v>
      </c>
      <c r="AP1992" t="s">
        <v>53</v>
      </c>
      <c r="AQ1992">
        <v>0</v>
      </c>
      <c r="AR1992" t="s">
        <v>53</v>
      </c>
      <c r="AS1992">
        <v>0</v>
      </c>
      <c r="AT1992">
        <v>0</v>
      </c>
      <c r="CC1992" t="s">
        <v>669</v>
      </c>
      <c r="CD1992">
        <v>85000</v>
      </c>
      <c r="CE1992" s="1">
        <v>43282</v>
      </c>
      <c r="CF1992" s="1">
        <v>43282</v>
      </c>
      <c r="CG1992" s="1">
        <v>43282</v>
      </c>
      <c r="CI1992" t="s">
        <v>51</v>
      </c>
      <c r="CK1992" t="s">
        <v>78</v>
      </c>
      <c r="CM1992" t="s">
        <v>54</v>
      </c>
      <c r="CN1992" t="s">
        <v>174</v>
      </c>
      <c r="CO1992" t="s">
        <v>86</v>
      </c>
      <c r="CR1992">
        <v>50</v>
      </c>
      <c r="CS1992">
        <v>0</v>
      </c>
      <c r="CT1992">
        <v>0</v>
      </c>
      <c r="CU1992">
        <v>0</v>
      </c>
    </row>
    <row r="1993" spans="1:99" x14ac:dyDescent="0.2">
      <c r="A1993" t="s">
        <v>367</v>
      </c>
      <c r="B1993" t="s">
        <v>440</v>
      </c>
      <c r="C1993" t="s">
        <v>441</v>
      </c>
      <c r="D1993" t="s">
        <v>806</v>
      </c>
      <c r="F1993" t="str">
        <f>"253817"</f>
        <v>253817</v>
      </c>
      <c r="G1993" t="s">
        <v>49</v>
      </c>
      <c r="K1993" t="s">
        <v>51</v>
      </c>
      <c r="L1993" t="s">
        <v>52</v>
      </c>
      <c r="M1993">
        <v>136895.04999999999</v>
      </c>
      <c r="N1993">
        <v>468760.15</v>
      </c>
      <c r="O1993" t="s">
        <v>53</v>
      </c>
      <c r="P1993" t="s">
        <v>54</v>
      </c>
      <c r="Q1993" t="s">
        <v>55</v>
      </c>
      <c r="T1993" t="s">
        <v>431</v>
      </c>
      <c r="U1993">
        <v>40</v>
      </c>
      <c r="V1993" s="1">
        <v>25569</v>
      </c>
      <c r="W1993" s="1">
        <v>25569</v>
      </c>
      <c r="X1993" s="1">
        <v>25569</v>
      </c>
      <c r="Y1993" s="1">
        <v>40179</v>
      </c>
      <c r="Z1993" t="s">
        <v>51</v>
      </c>
      <c r="AB1993" t="s">
        <v>54</v>
      </c>
      <c r="AD1993" t="s">
        <v>809</v>
      </c>
      <c r="AE1993" t="s">
        <v>810</v>
      </c>
      <c r="AF1993">
        <v>20</v>
      </c>
      <c r="AG1993" s="1">
        <v>43282</v>
      </c>
      <c r="AH1993" s="1">
        <v>43282</v>
      </c>
      <c r="AI1993" s="1">
        <v>43282</v>
      </c>
      <c r="AK1993" t="s">
        <v>51</v>
      </c>
      <c r="AN1993">
        <v>0</v>
      </c>
      <c r="AO1993" t="s">
        <v>54</v>
      </c>
      <c r="AP1993" t="s">
        <v>53</v>
      </c>
      <c r="AQ1993">
        <v>0</v>
      </c>
      <c r="AR1993" t="s">
        <v>53</v>
      </c>
      <c r="AS1993">
        <v>0</v>
      </c>
      <c r="AT1993">
        <v>0</v>
      </c>
      <c r="CC1993" t="s">
        <v>669</v>
      </c>
      <c r="CD1993">
        <v>85000</v>
      </c>
      <c r="CE1993" s="1">
        <v>43282</v>
      </c>
      <c r="CF1993" s="1">
        <v>43282</v>
      </c>
      <c r="CG1993" s="1">
        <v>43282</v>
      </c>
      <c r="CI1993" t="s">
        <v>51</v>
      </c>
      <c r="CK1993" t="s">
        <v>78</v>
      </c>
      <c r="CM1993" t="s">
        <v>54</v>
      </c>
      <c r="CN1993" t="s">
        <v>174</v>
      </c>
      <c r="CO1993" t="s">
        <v>86</v>
      </c>
      <c r="CR1993">
        <v>50</v>
      </c>
      <c r="CS1993">
        <v>0</v>
      </c>
      <c r="CT1993">
        <v>0</v>
      </c>
      <c r="CU1993">
        <v>0</v>
      </c>
    </row>
    <row r="1994" spans="1:99" x14ac:dyDescent="0.2">
      <c r="A1994" t="s">
        <v>367</v>
      </c>
      <c r="B1994" t="s">
        <v>440</v>
      </c>
      <c r="C1994" t="s">
        <v>441</v>
      </c>
      <c r="D1994" t="s">
        <v>806</v>
      </c>
      <c r="F1994" t="str">
        <f>"253818"</f>
        <v>253818</v>
      </c>
      <c r="G1994" t="s">
        <v>49</v>
      </c>
      <c r="K1994" t="s">
        <v>51</v>
      </c>
      <c r="L1994" t="s">
        <v>52</v>
      </c>
      <c r="M1994">
        <v>136924.48000000001</v>
      </c>
      <c r="N1994">
        <v>468751.78</v>
      </c>
      <c r="O1994" t="s">
        <v>53</v>
      </c>
      <c r="P1994" t="s">
        <v>54</v>
      </c>
      <c r="Q1994" t="s">
        <v>55</v>
      </c>
      <c r="T1994" t="s">
        <v>431</v>
      </c>
      <c r="U1994">
        <v>40</v>
      </c>
      <c r="V1994" s="1">
        <v>25569</v>
      </c>
      <c r="W1994" s="1">
        <v>25569</v>
      </c>
      <c r="X1994" s="1">
        <v>25569</v>
      </c>
      <c r="Y1994" s="1">
        <v>40179</v>
      </c>
      <c r="Z1994" t="s">
        <v>51</v>
      </c>
      <c r="AB1994" t="s">
        <v>54</v>
      </c>
      <c r="AD1994" t="s">
        <v>809</v>
      </c>
      <c r="AE1994" t="s">
        <v>810</v>
      </c>
      <c r="AF1994">
        <v>20</v>
      </c>
      <c r="AG1994" s="1">
        <v>43282</v>
      </c>
      <c r="AH1994" s="1">
        <v>43282</v>
      </c>
      <c r="AI1994" s="1">
        <v>43282</v>
      </c>
      <c r="AK1994" t="s">
        <v>51</v>
      </c>
      <c r="AN1994">
        <v>0</v>
      </c>
      <c r="AO1994" t="s">
        <v>54</v>
      </c>
      <c r="AP1994" t="s">
        <v>53</v>
      </c>
      <c r="AQ1994">
        <v>0</v>
      </c>
      <c r="AR1994" t="s">
        <v>53</v>
      </c>
      <c r="AS1994">
        <v>0</v>
      </c>
      <c r="AT1994">
        <v>0</v>
      </c>
      <c r="CC1994" t="s">
        <v>669</v>
      </c>
      <c r="CD1994">
        <v>85000</v>
      </c>
      <c r="CE1994" s="1">
        <v>43282</v>
      </c>
      <c r="CF1994" s="1">
        <v>43282</v>
      </c>
      <c r="CG1994" s="1">
        <v>43282</v>
      </c>
      <c r="CI1994" t="s">
        <v>51</v>
      </c>
      <c r="CK1994" t="s">
        <v>78</v>
      </c>
      <c r="CM1994" t="s">
        <v>54</v>
      </c>
      <c r="CN1994" t="s">
        <v>174</v>
      </c>
      <c r="CO1994" t="s">
        <v>86</v>
      </c>
      <c r="CR1994">
        <v>50</v>
      </c>
      <c r="CS1994">
        <v>0</v>
      </c>
      <c r="CT1994">
        <v>0</v>
      </c>
      <c r="CU1994">
        <v>0</v>
      </c>
    </row>
    <row r="1995" spans="1:99" x14ac:dyDescent="0.2">
      <c r="A1995" t="s">
        <v>367</v>
      </c>
      <c r="B1995" t="s">
        <v>440</v>
      </c>
      <c r="C1995" t="s">
        <v>441</v>
      </c>
      <c r="D1995" t="s">
        <v>806</v>
      </c>
      <c r="F1995" t="str">
        <f>"253819"</f>
        <v>253819</v>
      </c>
      <c r="G1995" t="s">
        <v>49</v>
      </c>
      <c r="K1995" t="s">
        <v>51</v>
      </c>
      <c r="L1995" t="s">
        <v>52</v>
      </c>
      <c r="M1995">
        <v>136951.84</v>
      </c>
      <c r="N1995">
        <v>468742.34</v>
      </c>
      <c r="O1995" t="s">
        <v>53</v>
      </c>
      <c r="P1995" t="s">
        <v>54</v>
      </c>
      <c r="Q1995" t="s">
        <v>55</v>
      </c>
      <c r="T1995" t="s">
        <v>431</v>
      </c>
      <c r="U1995">
        <v>40</v>
      </c>
      <c r="V1995" s="1">
        <v>25569</v>
      </c>
      <c r="W1995" s="1">
        <v>25569</v>
      </c>
      <c r="X1995" s="1">
        <v>25569</v>
      </c>
      <c r="Y1995" s="1">
        <v>40179</v>
      </c>
      <c r="Z1995" t="s">
        <v>51</v>
      </c>
      <c r="AB1995" t="s">
        <v>54</v>
      </c>
      <c r="AD1995" t="s">
        <v>809</v>
      </c>
      <c r="AE1995" t="s">
        <v>810</v>
      </c>
      <c r="AF1995">
        <v>20</v>
      </c>
      <c r="AG1995" s="1">
        <v>43282</v>
      </c>
      <c r="AH1995" s="1">
        <v>43282</v>
      </c>
      <c r="AI1995" s="1">
        <v>43282</v>
      </c>
      <c r="AK1995" t="s">
        <v>51</v>
      </c>
      <c r="AN1995">
        <v>0</v>
      </c>
      <c r="AO1995" t="s">
        <v>54</v>
      </c>
      <c r="AP1995" t="s">
        <v>53</v>
      </c>
      <c r="AQ1995">
        <v>0</v>
      </c>
      <c r="AR1995" t="s">
        <v>53</v>
      </c>
      <c r="AS1995">
        <v>0</v>
      </c>
      <c r="AT1995">
        <v>0</v>
      </c>
      <c r="CC1995" t="s">
        <v>669</v>
      </c>
      <c r="CD1995">
        <v>85000</v>
      </c>
      <c r="CE1995" s="1">
        <v>43282</v>
      </c>
      <c r="CF1995" s="1">
        <v>43282</v>
      </c>
      <c r="CG1995" s="1">
        <v>43282</v>
      </c>
      <c r="CI1995" t="s">
        <v>51</v>
      </c>
      <c r="CK1995" t="s">
        <v>78</v>
      </c>
      <c r="CM1995" t="s">
        <v>54</v>
      </c>
      <c r="CN1995" t="s">
        <v>174</v>
      </c>
      <c r="CO1995" t="s">
        <v>86</v>
      </c>
      <c r="CR1995">
        <v>50</v>
      </c>
      <c r="CS1995">
        <v>0</v>
      </c>
      <c r="CT1995">
        <v>0</v>
      </c>
      <c r="CU1995">
        <v>0</v>
      </c>
    </row>
    <row r="1996" spans="1:99" x14ac:dyDescent="0.2">
      <c r="A1996" t="s">
        <v>367</v>
      </c>
      <c r="B1996" t="s">
        <v>440</v>
      </c>
      <c r="C1996" t="s">
        <v>441</v>
      </c>
      <c r="D1996" t="s">
        <v>806</v>
      </c>
      <c r="F1996" t="str">
        <f>"253820"</f>
        <v>253820</v>
      </c>
      <c r="G1996" t="s">
        <v>49</v>
      </c>
      <c r="K1996" t="s">
        <v>51</v>
      </c>
      <c r="L1996" t="s">
        <v>52</v>
      </c>
      <c r="M1996">
        <v>136981.35</v>
      </c>
      <c r="N1996">
        <v>468731.08</v>
      </c>
      <c r="O1996" t="s">
        <v>53</v>
      </c>
      <c r="P1996" t="s">
        <v>54</v>
      </c>
      <c r="Q1996" t="s">
        <v>55</v>
      </c>
      <c r="T1996" t="s">
        <v>431</v>
      </c>
      <c r="U1996">
        <v>40</v>
      </c>
      <c r="V1996" s="1">
        <v>25569</v>
      </c>
      <c r="W1996" s="1">
        <v>25569</v>
      </c>
      <c r="X1996" s="1">
        <v>25569</v>
      </c>
      <c r="Y1996" s="1">
        <v>40179</v>
      </c>
      <c r="Z1996" t="s">
        <v>51</v>
      </c>
      <c r="AB1996" t="s">
        <v>54</v>
      </c>
      <c r="AD1996" t="s">
        <v>809</v>
      </c>
      <c r="AE1996" t="s">
        <v>810</v>
      </c>
      <c r="AF1996">
        <v>20</v>
      </c>
      <c r="AG1996" s="1">
        <v>43282</v>
      </c>
      <c r="AH1996" s="1">
        <v>43282</v>
      </c>
      <c r="AI1996" s="1">
        <v>43282</v>
      </c>
      <c r="AK1996" t="s">
        <v>51</v>
      </c>
      <c r="AN1996">
        <v>0</v>
      </c>
      <c r="AO1996" t="s">
        <v>54</v>
      </c>
      <c r="AP1996" t="s">
        <v>53</v>
      </c>
      <c r="AQ1996">
        <v>0</v>
      </c>
      <c r="AR1996" t="s">
        <v>53</v>
      </c>
      <c r="AS1996">
        <v>0</v>
      </c>
      <c r="AT1996">
        <v>0</v>
      </c>
      <c r="CC1996" t="s">
        <v>669</v>
      </c>
      <c r="CD1996">
        <v>85000</v>
      </c>
      <c r="CE1996" s="1">
        <v>43282</v>
      </c>
      <c r="CF1996" s="1">
        <v>43282</v>
      </c>
      <c r="CG1996" s="1">
        <v>43282</v>
      </c>
      <c r="CI1996" t="s">
        <v>51</v>
      </c>
      <c r="CK1996" t="s">
        <v>78</v>
      </c>
      <c r="CM1996" t="s">
        <v>54</v>
      </c>
      <c r="CN1996" t="s">
        <v>174</v>
      </c>
      <c r="CO1996" t="s">
        <v>86</v>
      </c>
      <c r="CR1996">
        <v>50</v>
      </c>
      <c r="CS1996">
        <v>0</v>
      </c>
      <c r="CT1996">
        <v>0</v>
      </c>
      <c r="CU1996">
        <v>0</v>
      </c>
    </row>
    <row r="1997" spans="1:99" x14ac:dyDescent="0.2">
      <c r="A1997" t="s">
        <v>367</v>
      </c>
      <c r="B1997" t="s">
        <v>440</v>
      </c>
      <c r="C1997" t="s">
        <v>441</v>
      </c>
      <c r="D1997" t="s">
        <v>806</v>
      </c>
      <c r="F1997" t="str">
        <f>"253821"</f>
        <v>253821</v>
      </c>
      <c r="G1997" t="s">
        <v>49</v>
      </c>
      <c r="K1997" t="s">
        <v>51</v>
      </c>
      <c r="L1997" t="s">
        <v>52</v>
      </c>
      <c r="M1997">
        <v>137040.15</v>
      </c>
      <c r="N1997">
        <v>468705.73</v>
      </c>
      <c r="O1997" t="s">
        <v>53</v>
      </c>
      <c r="P1997" t="s">
        <v>54</v>
      </c>
      <c r="Q1997" t="s">
        <v>55</v>
      </c>
      <c r="T1997" t="s">
        <v>431</v>
      </c>
      <c r="U1997">
        <v>40</v>
      </c>
      <c r="V1997" s="1">
        <v>25569</v>
      </c>
      <c r="W1997" s="1">
        <v>25569</v>
      </c>
      <c r="X1997" s="1">
        <v>25569</v>
      </c>
      <c r="Y1997" s="1">
        <v>40179</v>
      </c>
      <c r="Z1997" t="s">
        <v>51</v>
      </c>
      <c r="AB1997" t="s">
        <v>54</v>
      </c>
      <c r="AD1997" t="s">
        <v>809</v>
      </c>
      <c r="AE1997" t="s">
        <v>810</v>
      </c>
      <c r="AF1997">
        <v>20</v>
      </c>
      <c r="AG1997" s="1">
        <v>43282</v>
      </c>
      <c r="AH1997" s="1">
        <v>43282</v>
      </c>
      <c r="AI1997" s="1">
        <v>43282</v>
      </c>
      <c r="AK1997" t="s">
        <v>51</v>
      </c>
      <c r="AN1997">
        <v>0</v>
      </c>
      <c r="AO1997" t="s">
        <v>54</v>
      </c>
      <c r="AP1997" t="s">
        <v>53</v>
      </c>
      <c r="AQ1997">
        <v>0</v>
      </c>
      <c r="AR1997" t="s">
        <v>53</v>
      </c>
      <c r="AS1997">
        <v>0</v>
      </c>
      <c r="AT1997">
        <v>0</v>
      </c>
      <c r="CC1997" t="s">
        <v>669</v>
      </c>
      <c r="CD1997">
        <v>85000</v>
      </c>
      <c r="CE1997" s="1">
        <v>43282</v>
      </c>
      <c r="CF1997" s="1">
        <v>43282</v>
      </c>
      <c r="CG1997" s="1">
        <v>43282</v>
      </c>
      <c r="CI1997" t="s">
        <v>51</v>
      </c>
      <c r="CK1997" t="s">
        <v>78</v>
      </c>
      <c r="CM1997" t="s">
        <v>54</v>
      </c>
      <c r="CN1997" t="s">
        <v>174</v>
      </c>
      <c r="CO1997" t="s">
        <v>86</v>
      </c>
      <c r="CR1997">
        <v>50</v>
      </c>
      <c r="CS1997">
        <v>0</v>
      </c>
      <c r="CT1997">
        <v>0</v>
      </c>
      <c r="CU1997">
        <v>0</v>
      </c>
    </row>
    <row r="1998" spans="1:99" x14ac:dyDescent="0.2">
      <c r="A1998" t="s">
        <v>367</v>
      </c>
      <c r="B1998" t="s">
        <v>440</v>
      </c>
      <c r="C1998" t="s">
        <v>441</v>
      </c>
      <c r="D1998" t="s">
        <v>806</v>
      </c>
      <c r="F1998" t="str">
        <f>"253822"</f>
        <v>253822</v>
      </c>
      <c r="G1998" t="s">
        <v>49</v>
      </c>
      <c r="K1998" t="s">
        <v>51</v>
      </c>
      <c r="L1998" t="s">
        <v>52</v>
      </c>
      <c r="M1998">
        <v>137094.73000000001</v>
      </c>
      <c r="N1998">
        <v>468681.78</v>
      </c>
      <c r="O1998" t="s">
        <v>53</v>
      </c>
      <c r="P1998" t="s">
        <v>54</v>
      </c>
      <c r="Q1998" t="s">
        <v>55</v>
      </c>
      <c r="T1998" t="s">
        <v>431</v>
      </c>
      <c r="U1998">
        <v>40</v>
      </c>
      <c r="V1998" s="1">
        <v>25569</v>
      </c>
      <c r="W1998" s="1">
        <v>25569</v>
      </c>
      <c r="X1998" s="1">
        <v>25569</v>
      </c>
      <c r="Y1998" s="1">
        <v>40179</v>
      </c>
      <c r="Z1998" t="s">
        <v>51</v>
      </c>
      <c r="AB1998" t="s">
        <v>54</v>
      </c>
      <c r="AD1998" t="s">
        <v>809</v>
      </c>
      <c r="AE1998" t="s">
        <v>810</v>
      </c>
      <c r="AF1998">
        <v>20</v>
      </c>
      <c r="AG1998" s="1">
        <v>43282</v>
      </c>
      <c r="AH1998" s="1">
        <v>43282</v>
      </c>
      <c r="AI1998" s="1">
        <v>43282</v>
      </c>
      <c r="AK1998" t="s">
        <v>51</v>
      </c>
      <c r="AN1998">
        <v>0</v>
      </c>
      <c r="AO1998" t="s">
        <v>54</v>
      </c>
      <c r="AP1998" t="s">
        <v>53</v>
      </c>
      <c r="AQ1998">
        <v>0</v>
      </c>
      <c r="AR1998" t="s">
        <v>53</v>
      </c>
      <c r="AS1998">
        <v>0</v>
      </c>
      <c r="AT1998">
        <v>0</v>
      </c>
      <c r="CC1998" t="s">
        <v>669</v>
      </c>
      <c r="CD1998">
        <v>85000</v>
      </c>
      <c r="CE1998" s="1">
        <v>43282</v>
      </c>
      <c r="CF1998" s="1">
        <v>43282</v>
      </c>
      <c r="CG1998" s="1">
        <v>43282</v>
      </c>
      <c r="CI1998" t="s">
        <v>51</v>
      </c>
      <c r="CK1998" t="s">
        <v>78</v>
      </c>
      <c r="CM1998" t="s">
        <v>54</v>
      </c>
      <c r="CN1998" t="s">
        <v>174</v>
      </c>
      <c r="CO1998" t="s">
        <v>86</v>
      </c>
      <c r="CR1998">
        <v>50</v>
      </c>
      <c r="CS1998">
        <v>0</v>
      </c>
      <c r="CT1998">
        <v>0</v>
      </c>
      <c r="CU1998">
        <v>0</v>
      </c>
    </row>
    <row r="1999" spans="1:99" x14ac:dyDescent="0.2">
      <c r="A1999" t="s">
        <v>367</v>
      </c>
      <c r="B1999" t="s">
        <v>440</v>
      </c>
      <c r="C1999" t="s">
        <v>441</v>
      </c>
      <c r="D1999" t="s">
        <v>806</v>
      </c>
      <c r="F1999" t="str">
        <f>"253823"</f>
        <v>253823</v>
      </c>
      <c r="G1999" t="s">
        <v>49</v>
      </c>
      <c r="K1999" t="s">
        <v>51</v>
      </c>
      <c r="L1999" t="s">
        <v>52</v>
      </c>
      <c r="M1999">
        <v>137146.57</v>
      </c>
      <c r="N1999">
        <v>468657.75</v>
      </c>
      <c r="O1999" t="s">
        <v>53</v>
      </c>
      <c r="P1999" t="s">
        <v>54</v>
      </c>
      <c r="Q1999" t="s">
        <v>55</v>
      </c>
      <c r="T1999" t="s">
        <v>431</v>
      </c>
      <c r="U1999">
        <v>40</v>
      </c>
      <c r="V1999" s="1">
        <v>25569</v>
      </c>
      <c r="W1999" s="1">
        <v>25569</v>
      </c>
      <c r="X1999" s="1">
        <v>25569</v>
      </c>
      <c r="Y1999" s="1">
        <v>40179</v>
      </c>
      <c r="Z1999" t="s">
        <v>51</v>
      </c>
      <c r="AB1999" t="s">
        <v>54</v>
      </c>
      <c r="AD1999" t="s">
        <v>809</v>
      </c>
      <c r="AE1999" t="s">
        <v>810</v>
      </c>
      <c r="AF1999">
        <v>20</v>
      </c>
      <c r="AG1999" s="1">
        <v>43282</v>
      </c>
      <c r="AH1999" s="1">
        <v>43282</v>
      </c>
      <c r="AI1999" s="1">
        <v>43282</v>
      </c>
      <c r="AK1999" t="s">
        <v>51</v>
      </c>
      <c r="AN1999">
        <v>0</v>
      </c>
      <c r="AO1999" t="s">
        <v>54</v>
      </c>
      <c r="AP1999" t="s">
        <v>53</v>
      </c>
      <c r="AQ1999">
        <v>0</v>
      </c>
      <c r="AR1999" t="s">
        <v>53</v>
      </c>
      <c r="AS1999">
        <v>0</v>
      </c>
      <c r="AT1999">
        <v>0</v>
      </c>
      <c r="CC1999" t="s">
        <v>669</v>
      </c>
      <c r="CD1999">
        <v>85000</v>
      </c>
      <c r="CE1999" s="1">
        <v>43282</v>
      </c>
      <c r="CF1999" s="1">
        <v>43282</v>
      </c>
      <c r="CG1999" s="1">
        <v>43282</v>
      </c>
      <c r="CI1999" t="s">
        <v>51</v>
      </c>
      <c r="CK1999" t="s">
        <v>78</v>
      </c>
      <c r="CM1999" t="s">
        <v>54</v>
      </c>
      <c r="CN1999" t="s">
        <v>174</v>
      </c>
      <c r="CO1999" t="s">
        <v>86</v>
      </c>
      <c r="CR1999">
        <v>50</v>
      </c>
      <c r="CS1999">
        <v>0</v>
      </c>
      <c r="CT1999">
        <v>0</v>
      </c>
      <c r="CU1999">
        <v>0</v>
      </c>
    </row>
    <row r="2000" spans="1:99" x14ac:dyDescent="0.2">
      <c r="A2000" t="s">
        <v>367</v>
      </c>
      <c r="B2000" t="s">
        <v>440</v>
      </c>
      <c r="C2000" t="s">
        <v>441</v>
      </c>
      <c r="D2000" t="s">
        <v>806</v>
      </c>
      <c r="F2000" t="str">
        <f>"253824"</f>
        <v>253824</v>
      </c>
      <c r="G2000" t="s">
        <v>49</v>
      </c>
      <c r="K2000" t="s">
        <v>51</v>
      </c>
      <c r="L2000" t="s">
        <v>52</v>
      </c>
      <c r="M2000">
        <v>137200.60999999999</v>
      </c>
      <c r="N2000">
        <v>468631.23</v>
      </c>
      <c r="O2000" t="s">
        <v>53</v>
      </c>
      <c r="P2000" t="s">
        <v>54</v>
      </c>
      <c r="Q2000" t="s">
        <v>55</v>
      </c>
      <c r="T2000" t="s">
        <v>431</v>
      </c>
      <c r="U2000">
        <v>40</v>
      </c>
      <c r="V2000" s="1">
        <v>25569</v>
      </c>
      <c r="W2000" s="1">
        <v>25569</v>
      </c>
      <c r="X2000" s="1">
        <v>25569</v>
      </c>
      <c r="Y2000" s="1">
        <v>40179</v>
      </c>
      <c r="Z2000" t="s">
        <v>51</v>
      </c>
      <c r="AB2000" t="s">
        <v>54</v>
      </c>
      <c r="AD2000" t="s">
        <v>809</v>
      </c>
      <c r="AE2000" t="s">
        <v>810</v>
      </c>
      <c r="AF2000">
        <v>20</v>
      </c>
      <c r="AG2000" s="1">
        <v>43282</v>
      </c>
      <c r="AH2000" s="1">
        <v>43282</v>
      </c>
      <c r="AI2000" s="1">
        <v>43282</v>
      </c>
      <c r="AK2000" t="s">
        <v>51</v>
      </c>
      <c r="AN2000">
        <v>0</v>
      </c>
      <c r="AO2000" t="s">
        <v>54</v>
      </c>
      <c r="AP2000" t="s">
        <v>53</v>
      </c>
      <c r="AQ2000">
        <v>0</v>
      </c>
      <c r="AR2000" t="s">
        <v>53</v>
      </c>
      <c r="AS2000">
        <v>0</v>
      </c>
      <c r="AT2000">
        <v>0</v>
      </c>
      <c r="CC2000" t="s">
        <v>669</v>
      </c>
      <c r="CD2000">
        <v>85000</v>
      </c>
      <c r="CE2000" s="1">
        <v>43282</v>
      </c>
      <c r="CF2000" s="1">
        <v>43282</v>
      </c>
      <c r="CG2000" s="1">
        <v>43282</v>
      </c>
      <c r="CI2000" t="s">
        <v>51</v>
      </c>
      <c r="CK2000" t="s">
        <v>78</v>
      </c>
      <c r="CM2000" t="s">
        <v>54</v>
      </c>
      <c r="CN2000" t="s">
        <v>174</v>
      </c>
      <c r="CO2000" t="s">
        <v>86</v>
      </c>
      <c r="CR2000">
        <v>50</v>
      </c>
      <c r="CS2000">
        <v>0</v>
      </c>
      <c r="CT2000">
        <v>0</v>
      </c>
      <c r="CU2000">
        <v>0</v>
      </c>
    </row>
    <row r="2001" spans="1:99" x14ac:dyDescent="0.2">
      <c r="A2001" t="s">
        <v>367</v>
      </c>
      <c r="B2001" t="s">
        <v>440</v>
      </c>
      <c r="C2001" t="s">
        <v>441</v>
      </c>
      <c r="D2001" t="s">
        <v>806</v>
      </c>
      <c r="F2001" t="str">
        <f>"253825"</f>
        <v>253825</v>
      </c>
      <c r="G2001" t="s">
        <v>49</v>
      </c>
      <c r="K2001" t="s">
        <v>51</v>
      </c>
      <c r="L2001" t="s">
        <v>52</v>
      </c>
      <c r="M2001">
        <v>137257.91</v>
      </c>
      <c r="N2001">
        <v>468602.57</v>
      </c>
      <c r="O2001" t="s">
        <v>53</v>
      </c>
      <c r="P2001" t="s">
        <v>54</v>
      </c>
      <c r="Q2001" t="s">
        <v>55</v>
      </c>
      <c r="T2001" t="s">
        <v>431</v>
      </c>
      <c r="U2001">
        <v>40</v>
      </c>
      <c r="V2001" s="1">
        <v>25569</v>
      </c>
      <c r="W2001" s="1">
        <v>25569</v>
      </c>
      <c r="X2001" s="1">
        <v>25569</v>
      </c>
      <c r="Y2001" s="1">
        <v>40179</v>
      </c>
      <c r="Z2001" t="s">
        <v>51</v>
      </c>
      <c r="AB2001" t="s">
        <v>54</v>
      </c>
      <c r="AD2001" t="s">
        <v>809</v>
      </c>
      <c r="AE2001" t="s">
        <v>810</v>
      </c>
      <c r="AF2001">
        <v>20</v>
      </c>
      <c r="AG2001" s="1">
        <v>43282</v>
      </c>
      <c r="AH2001" s="1">
        <v>43282</v>
      </c>
      <c r="AI2001" s="1">
        <v>43282</v>
      </c>
      <c r="AK2001" t="s">
        <v>51</v>
      </c>
      <c r="AN2001">
        <v>0</v>
      </c>
      <c r="AO2001" t="s">
        <v>54</v>
      </c>
      <c r="AP2001" t="s">
        <v>53</v>
      </c>
      <c r="AQ2001">
        <v>0</v>
      </c>
      <c r="AR2001" t="s">
        <v>53</v>
      </c>
      <c r="AS2001">
        <v>0</v>
      </c>
      <c r="AT2001">
        <v>0</v>
      </c>
      <c r="CC2001" t="s">
        <v>669</v>
      </c>
      <c r="CD2001">
        <v>85000</v>
      </c>
      <c r="CE2001" s="1">
        <v>43282</v>
      </c>
      <c r="CF2001" s="1">
        <v>43282</v>
      </c>
      <c r="CG2001" s="1">
        <v>43282</v>
      </c>
      <c r="CI2001" t="s">
        <v>51</v>
      </c>
      <c r="CK2001" t="s">
        <v>78</v>
      </c>
      <c r="CM2001" t="s">
        <v>54</v>
      </c>
      <c r="CN2001" t="s">
        <v>174</v>
      </c>
      <c r="CO2001" t="s">
        <v>86</v>
      </c>
      <c r="CR2001">
        <v>50</v>
      </c>
      <c r="CS2001">
        <v>0</v>
      </c>
      <c r="CT2001">
        <v>0</v>
      </c>
      <c r="CU2001">
        <v>0</v>
      </c>
    </row>
    <row r="2002" spans="1:99" x14ac:dyDescent="0.2">
      <c r="A2002" t="s">
        <v>367</v>
      </c>
      <c r="B2002" t="s">
        <v>440</v>
      </c>
      <c r="C2002" t="s">
        <v>441</v>
      </c>
      <c r="D2002" t="s">
        <v>806</v>
      </c>
      <c r="F2002" t="str">
        <f>"253826"</f>
        <v>253826</v>
      </c>
      <c r="G2002" t="s">
        <v>49</v>
      </c>
      <c r="K2002" t="s">
        <v>51</v>
      </c>
      <c r="L2002" t="s">
        <v>52</v>
      </c>
      <c r="M2002">
        <v>134954.96</v>
      </c>
      <c r="N2002">
        <v>468799.59</v>
      </c>
      <c r="O2002" t="s">
        <v>53</v>
      </c>
      <c r="P2002" t="s">
        <v>54</v>
      </c>
      <c r="Q2002" t="s">
        <v>55</v>
      </c>
      <c r="S2002" t="s">
        <v>989</v>
      </c>
      <c r="T2002" t="s">
        <v>989</v>
      </c>
      <c r="U2002">
        <v>30</v>
      </c>
      <c r="V2002" s="1">
        <v>25569</v>
      </c>
      <c r="W2002" s="1">
        <v>25569</v>
      </c>
      <c r="X2002" s="1">
        <v>25569</v>
      </c>
      <c r="Y2002" s="1">
        <v>36526</v>
      </c>
      <c r="Z2002" t="s">
        <v>51</v>
      </c>
      <c r="AB2002" t="s">
        <v>54</v>
      </c>
      <c r="AE2002" t="s">
        <v>342</v>
      </c>
      <c r="AF2002">
        <v>20</v>
      </c>
      <c r="AG2002" s="1">
        <v>43070</v>
      </c>
      <c r="AH2002" s="1">
        <v>43070</v>
      </c>
      <c r="AI2002" s="1">
        <v>43070</v>
      </c>
      <c r="AJ2002" s="1">
        <v>50375</v>
      </c>
      <c r="AK2002" t="s">
        <v>51</v>
      </c>
      <c r="AN2002">
        <v>0</v>
      </c>
      <c r="AO2002" t="s">
        <v>54</v>
      </c>
      <c r="AP2002" t="s">
        <v>53</v>
      </c>
      <c r="AQ2002">
        <v>0</v>
      </c>
      <c r="AR2002" t="s">
        <v>145</v>
      </c>
      <c r="AS2002">
        <v>19</v>
      </c>
      <c r="AT2002">
        <v>1800</v>
      </c>
      <c r="CC2002" t="s">
        <v>173</v>
      </c>
      <c r="CD2002">
        <v>100000</v>
      </c>
      <c r="CE2002" s="1">
        <v>43070</v>
      </c>
      <c r="CF2002" s="1">
        <v>43070</v>
      </c>
      <c r="CG2002" s="1">
        <v>43070</v>
      </c>
      <c r="CH2002" s="1">
        <v>52010</v>
      </c>
      <c r="CI2002" t="s">
        <v>51</v>
      </c>
      <c r="CK2002" t="s">
        <v>78</v>
      </c>
      <c r="CM2002" t="s">
        <v>54</v>
      </c>
      <c r="CN2002" t="s">
        <v>174</v>
      </c>
      <c r="CO2002" t="s">
        <v>86</v>
      </c>
      <c r="CP2002">
        <v>830</v>
      </c>
      <c r="CR2002">
        <v>19</v>
      </c>
      <c r="CS2002">
        <v>1800</v>
      </c>
      <c r="CT2002">
        <v>0</v>
      </c>
      <c r="CU2002">
        <v>16</v>
      </c>
    </row>
    <row r="2003" spans="1:99" x14ac:dyDescent="0.2">
      <c r="A2003" t="s">
        <v>367</v>
      </c>
      <c r="B2003" t="s">
        <v>440</v>
      </c>
      <c r="C2003" t="s">
        <v>441</v>
      </c>
      <c r="D2003" t="s">
        <v>434</v>
      </c>
      <c r="F2003" t="str">
        <f>"?164"</f>
        <v>?164</v>
      </c>
      <c r="G2003" t="s">
        <v>49</v>
      </c>
      <c r="K2003" t="s">
        <v>51</v>
      </c>
      <c r="L2003" t="s">
        <v>52</v>
      </c>
      <c r="M2003">
        <v>136223.26</v>
      </c>
      <c r="N2003">
        <v>468845.98</v>
      </c>
      <c r="O2003" t="s">
        <v>53</v>
      </c>
      <c r="P2003" t="s">
        <v>54</v>
      </c>
      <c r="Q2003" t="s">
        <v>55</v>
      </c>
      <c r="T2003" t="s">
        <v>431</v>
      </c>
      <c r="U2003">
        <v>40</v>
      </c>
      <c r="V2003" s="1">
        <v>41821</v>
      </c>
      <c r="W2003" s="1">
        <v>41821</v>
      </c>
      <c r="X2003" s="1">
        <v>41821</v>
      </c>
      <c r="Y2003" s="1">
        <v>56431</v>
      </c>
      <c r="Z2003" t="s">
        <v>51</v>
      </c>
      <c r="AB2003" t="s">
        <v>54</v>
      </c>
      <c r="AC2003">
        <v>1</v>
      </c>
      <c r="AE2003" t="s">
        <v>79</v>
      </c>
      <c r="AF2003">
        <v>20</v>
      </c>
      <c r="AG2003" s="1">
        <v>41821</v>
      </c>
      <c r="AH2003" s="1">
        <v>41821</v>
      </c>
      <c r="AI2003" s="1">
        <v>41821</v>
      </c>
      <c r="AJ2003" s="1">
        <v>49126</v>
      </c>
      <c r="AK2003" t="s">
        <v>51</v>
      </c>
      <c r="AN2003">
        <v>0</v>
      </c>
      <c r="AO2003" t="s">
        <v>54</v>
      </c>
      <c r="AP2003" t="s">
        <v>53</v>
      </c>
      <c r="AQ2003">
        <v>0</v>
      </c>
      <c r="AR2003" t="s">
        <v>145</v>
      </c>
      <c r="AS2003">
        <v>0</v>
      </c>
      <c r="AT2003">
        <v>0</v>
      </c>
      <c r="CC2003" t="s">
        <v>432</v>
      </c>
      <c r="CD2003">
        <v>85000</v>
      </c>
      <c r="CE2003" s="1">
        <v>41821</v>
      </c>
      <c r="CF2003" s="1">
        <v>41821</v>
      </c>
      <c r="CG2003" s="1">
        <v>41821</v>
      </c>
      <c r="CH2003" s="1">
        <v>48983</v>
      </c>
      <c r="CI2003" t="s">
        <v>51</v>
      </c>
      <c r="CK2003" t="s">
        <v>78</v>
      </c>
      <c r="CM2003" t="s">
        <v>54</v>
      </c>
      <c r="CN2003" t="s">
        <v>174</v>
      </c>
      <c r="CO2003" t="s">
        <v>86</v>
      </c>
      <c r="CR2003">
        <v>24</v>
      </c>
      <c r="CS2003">
        <v>0</v>
      </c>
      <c r="CT2003">
        <v>0</v>
      </c>
      <c r="CU2003">
        <v>0</v>
      </c>
    </row>
    <row r="2004" spans="1:99" x14ac:dyDescent="0.2">
      <c r="A2004" t="s">
        <v>1012</v>
      </c>
      <c r="B2004" t="s">
        <v>1013</v>
      </c>
      <c r="C2004" t="s">
        <v>1014</v>
      </c>
      <c r="D2004" t="s">
        <v>1015</v>
      </c>
      <c r="F2004" t="str">
        <f>"242246"</f>
        <v>242246</v>
      </c>
      <c r="G2004" t="s">
        <v>49</v>
      </c>
      <c r="H2004" t="s">
        <v>1016</v>
      </c>
      <c r="K2004" t="s">
        <v>51</v>
      </c>
      <c r="L2004" t="s">
        <v>52</v>
      </c>
      <c r="M2004">
        <v>131543.671</v>
      </c>
      <c r="N2004">
        <v>475077.005</v>
      </c>
      <c r="O2004" t="s">
        <v>53</v>
      </c>
      <c r="P2004" t="s">
        <v>54</v>
      </c>
      <c r="Q2004" t="s">
        <v>55</v>
      </c>
      <c r="S2004" t="s">
        <v>514</v>
      </c>
      <c r="T2004" t="s">
        <v>514</v>
      </c>
      <c r="U2004">
        <v>30</v>
      </c>
      <c r="V2004" s="1">
        <v>29221</v>
      </c>
      <c r="W2004" s="1">
        <v>29221</v>
      </c>
      <c r="X2004" s="1">
        <v>29221</v>
      </c>
      <c r="Y2004" s="1">
        <v>40179</v>
      </c>
      <c r="Z2004" t="s">
        <v>51</v>
      </c>
      <c r="AB2004" t="s">
        <v>54</v>
      </c>
      <c r="AC2004">
        <v>1</v>
      </c>
      <c r="AE2004" t="s">
        <v>515</v>
      </c>
      <c r="AF2004">
        <v>20</v>
      </c>
      <c r="AG2004" s="1">
        <v>29221</v>
      </c>
      <c r="AH2004" s="1">
        <v>29221</v>
      </c>
      <c r="AI2004" s="1">
        <v>29221</v>
      </c>
      <c r="AJ2004" s="1">
        <v>36526</v>
      </c>
      <c r="AK2004" t="s">
        <v>51</v>
      </c>
      <c r="AN2004">
        <v>0</v>
      </c>
      <c r="AO2004" t="s">
        <v>54</v>
      </c>
      <c r="AP2004" t="s">
        <v>53</v>
      </c>
      <c r="AQ2004">
        <v>0</v>
      </c>
      <c r="AR2004" t="s">
        <v>53</v>
      </c>
      <c r="AS2004">
        <v>0</v>
      </c>
      <c r="AT2004">
        <v>0</v>
      </c>
      <c r="AW2004" t="s">
        <v>58</v>
      </c>
      <c r="AX2004">
        <v>20</v>
      </c>
      <c r="AY2004" s="1">
        <v>29221</v>
      </c>
      <c r="AZ2004" s="1">
        <v>29221</v>
      </c>
      <c r="BA2004" s="1">
        <v>29221</v>
      </c>
      <c r="BB2004" s="1">
        <v>36526</v>
      </c>
      <c r="BC2004" t="s">
        <v>51</v>
      </c>
      <c r="BE2004" t="s">
        <v>54</v>
      </c>
      <c r="BF2004">
        <v>2</v>
      </c>
      <c r="BG2004">
        <v>0</v>
      </c>
      <c r="BH2004" t="s">
        <v>53</v>
      </c>
      <c r="BK2004" t="s">
        <v>1017</v>
      </c>
      <c r="BL2004">
        <v>14000</v>
      </c>
      <c r="BM2004" s="1">
        <v>44795</v>
      </c>
      <c r="BN2004" s="1">
        <v>44795</v>
      </c>
      <c r="BO2004" s="1">
        <v>44795</v>
      </c>
      <c r="BP2004" s="1">
        <v>45971</v>
      </c>
      <c r="BQ2004" t="s">
        <v>51</v>
      </c>
      <c r="BS2004" t="s">
        <v>60</v>
      </c>
      <c r="BT2004" t="s">
        <v>54</v>
      </c>
      <c r="BU2004" t="s">
        <v>61</v>
      </c>
      <c r="BV2004" t="s">
        <v>62</v>
      </c>
      <c r="BX2004">
        <v>20</v>
      </c>
      <c r="BY2004">
        <v>0</v>
      </c>
      <c r="BZ2004">
        <v>0</v>
      </c>
    </row>
    <row r="2005" spans="1:99" x14ac:dyDescent="0.2">
      <c r="A2005" t="s">
        <v>1012</v>
      </c>
      <c r="B2005" t="s">
        <v>1013</v>
      </c>
      <c r="C2005" t="s">
        <v>1014</v>
      </c>
      <c r="D2005" t="s">
        <v>1015</v>
      </c>
      <c r="F2005" t="str">
        <f>"242248"</f>
        <v>242248</v>
      </c>
      <c r="G2005" t="s">
        <v>49</v>
      </c>
      <c r="H2005" t="s">
        <v>1018</v>
      </c>
      <c r="K2005" t="s">
        <v>51</v>
      </c>
      <c r="L2005" t="s">
        <v>52</v>
      </c>
      <c r="M2005">
        <v>131564.51</v>
      </c>
      <c r="N2005">
        <v>475108.56</v>
      </c>
      <c r="O2005" t="s">
        <v>53</v>
      </c>
      <c r="P2005" t="s">
        <v>54</v>
      </c>
      <c r="Q2005" t="s">
        <v>55</v>
      </c>
      <c r="S2005" t="s">
        <v>514</v>
      </c>
      <c r="T2005" t="s">
        <v>514</v>
      </c>
      <c r="U2005">
        <v>30</v>
      </c>
      <c r="V2005" s="1">
        <v>29221</v>
      </c>
      <c r="W2005" s="1">
        <v>29221</v>
      </c>
      <c r="X2005" s="1">
        <v>29221</v>
      </c>
      <c r="Y2005" s="1">
        <v>40179</v>
      </c>
      <c r="Z2005" t="s">
        <v>51</v>
      </c>
      <c r="AB2005" t="s">
        <v>54</v>
      </c>
      <c r="AC2005">
        <v>1</v>
      </c>
      <c r="AE2005" t="s">
        <v>515</v>
      </c>
      <c r="AF2005">
        <v>20</v>
      </c>
      <c r="AG2005" s="1">
        <v>29221</v>
      </c>
      <c r="AH2005" s="1">
        <v>29221</v>
      </c>
      <c r="AI2005" s="1">
        <v>29221</v>
      </c>
      <c r="AJ2005" s="1">
        <v>36526</v>
      </c>
      <c r="AK2005" t="s">
        <v>51</v>
      </c>
      <c r="AN2005">
        <v>0</v>
      </c>
      <c r="AO2005" t="s">
        <v>54</v>
      </c>
      <c r="AP2005" t="s">
        <v>53</v>
      </c>
      <c r="AQ2005">
        <v>0</v>
      </c>
      <c r="AR2005" t="s">
        <v>53</v>
      </c>
      <c r="AS2005">
        <v>0</v>
      </c>
      <c r="AT2005">
        <v>0</v>
      </c>
      <c r="AW2005" t="s">
        <v>58</v>
      </c>
      <c r="AX2005">
        <v>20</v>
      </c>
      <c r="AY2005" s="1">
        <v>29221</v>
      </c>
      <c r="AZ2005" s="1">
        <v>29221</v>
      </c>
      <c r="BA2005" s="1">
        <v>29221</v>
      </c>
      <c r="BB2005" s="1">
        <v>36526</v>
      </c>
      <c r="BC2005" t="s">
        <v>51</v>
      </c>
      <c r="BE2005" t="s">
        <v>54</v>
      </c>
      <c r="BF2005">
        <v>2</v>
      </c>
      <c r="BG2005">
        <v>0</v>
      </c>
      <c r="BH2005" t="s">
        <v>53</v>
      </c>
      <c r="BK2005" t="s">
        <v>1017</v>
      </c>
      <c r="BL2005">
        <v>14000</v>
      </c>
      <c r="BM2005" s="1">
        <v>41456</v>
      </c>
      <c r="BN2005" s="1">
        <v>41456</v>
      </c>
      <c r="BO2005" s="1">
        <v>41456</v>
      </c>
      <c r="BP2005" s="1">
        <v>42656</v>
      </c>
      <c r="BQ2005" t="s">
        <v>51</v>
      </c>
      <c r="BS2005" t="s">
        <v>60</v>
      </c>
      <c r="BT2005" t="s">
        <v>54</v>
      </c>
      <c r="BU2005" t="s">
        <v>61</v>
      </c>
      <c r="BV2005" t="s">
        <v>62</v>
      </c>
      <c r="BX2005">
        <v>20</v>
      </c>
      <c r="BY2005">
        <v>0</v>
      </c>
      <c r="BZ2005">
        <v>0</v>
      </c>
    </row>
    <row r="2006" spans="1:99" x14ac:dyDescent="0.2">
      <c r="A2006" t="s">
        <v>1012</v>
      </c>
      <c r="B2006" t="s">
        <v>1013</v>
      </c>
      <c r="C2006" t="s">
        <v>1019</v>
      </c>
      <c r="D2006" t="s">
        <v>1020</v>
      </c>
      <c r="F2006" t="str">
        <f>"251315"</f>
        <v>251315</v>
      </c>
      <c r="G2006" t="s">
        <v>49</v>
      </c>
      <c r="H2006" t="s">
        <v>1021</v>
      </c>
      <c r="K2006" t="s">
        <v>51</v>
      </c>
      <c r="L2006" t="s">
        <v>52</v>
      </c>
      <c r="M2006">
        <v>131818.60999999999</v>
      </c>
      <c r="N2006">
        <v>476123.72</v>
      </c>
      <c r="O2006" t="s">
        <v>53</v>
      </c>
      <c r="P2006" t="s">
        <v>54</v>
      </c>
      <c r="Q2006" t="s">
        <v>55</v>
      </c>
      <c r="T2006" t="s">
        <v>183</v>
      </c>
      <c r="U2006">
        <v>40</v>
      </c>
      <c r="V2006" s="1">
        <v>29221</v>
      </c>
      <c r="W2006" s="1">
        <v>29221</v>
      </c>
      <c r="X2006" s="1">
        <v>29221</v>
      </c>
      <c r="Y2006" s="1">
        <v>43831</v>
      </c>
      <c r="Z2006" t="s">
        <v>51</v>
      </c>
      <c r="AB2006" t="s">
        <v>54</v>
      </c>
      <c r="AC2006">
        <v>1</v>
      </c>
      <c r="AE2006" t="s">
        <v>84</v>
      </c>
      <c r="AF2006">
        <v>20</v>
      </c>
      <c r="AG2006" s="1">
        <v>34151</v>
      </c>
      <c r="AH2006" s="1">
        <v>34151</v>
      </c>
      <c r="AI2006" s="1">
        <v>34151</v>
      </c>
      <c r="AJ2006" s="1">
        <v>41456</v>
      </c>
      <c r="AK2006" t="s">
        <v>51</v>
      </c>
      <c r="AN2006">
        <v>0</v>
      </c>
      <c r="AO2006" t="s">
        <v>54</v>
      </c>
      <c r="AP2006" t="s">
        <v>53</v>
      </c>
      <c r="AQ2006">
        <v>0</v>
      </c>
      <c r="AR2006" t="s">
        <v>53</v>
      </c>
      <c r="AS2006">
        <v>0</v>
      </c>
      <c r="AT2006">
        <v>0</v>
      </c>
      <c r="AW2006" t="s">
        <v>58</v>
      </c>
      <c r="AX2006">
        <v>20</v>
      </c>
      <c r="AY2006" s="1">
        <v>34151</v>
      </c>
      <c r="AZ2006" s="1">
        <v>34151</v>
      </c>
      <c r="BA2006" s="1">
        <v>34151</v>
      </c>
      <c r="BB2006" s="1">
        <v>41456</v>
      </c>
      <c r="BC2006" t="s">
        <v>51</v>
      </c>
      <c r="BE2006" t="s">
        <v>54</v>
      </c>
      <c r="BF2006">
        <v>2</v>
      </c>
      <c r="BG2006">
        <v>0</v>
      </c>
      <c r="BH2006" t="s">
        <v>53</v>
      </c>
      <c r="BK2006" t="s">
        <v>59</v>
      </c>
      <c r="BL2006">
        <v>14000</v>
      </c>
      <c r="BM2006" s="1">
        <v>43955</v>
      </c>
      <c r="BN2006" s="1">
        <v>43955</v>
      </c>
      <c r="BO2006" s="1">
        <v>43955</v>
      </c>
      <c r="BP2006" s="1">
        <v>45176</v>
      </c>
      <c r="BQ2006" t="s">
        <v>51</v>
      </c>
      <c r="BS2006" t="s">
        <v>60</v>
      </c>
      <c r="BT2006" t="s">
        <v>54</v>
      </c>
      <c r="BU2006" t="s">
        <v>61</v>
      </c>
      <c r="BV2006" t="s">
        <v>62</v>
      </c>
      <c r="BX2006">
        <v>24</v>
      </c>
      <c r="BY2006">
        <v>0</v>
      </c>
      <c r="BZ2006">
        <v>0</v>
      </c>
    </row>
    <row r="2007" spans="1:99" x14ac:dyDescent="0.2">
      <c r="A2007" t="s">
        <v>1012</v>
      </c>
      <c r="B2007" t="s">
        <v>1013</v>
      </c>
      <c r="C2007" t="s">
        <v>1019</v>
      </c>
      <c r="D2007" t="s">
        <v>1020</v>
      </c>
      <c r="F2007" t="str">
        <f>"251316"</f>
        <v>251316</v>
      </c>
      <c r="G2007" t="s">
        <v>49</v>
      </c>
      <c r="H2007" t="s">
        <v>530</v>
      </c>
      <c r="K2007" t="s">
        <v>51</v>
      </c>
      <c r="L2007" t="s">
        <v>52</v>
      </c>
      <c r="M2007">
        <v>131813.01999999999</v>
      </c>
      <c r="N2007">
        <v>476086.14</v>
      </c>
      <c r="O2007" t="s">
        <v>53</v>
      </c>
      <c r="P2007" t="s">
        <v>54</v>
      </c>
      <c r="Q2007" t="s">
        <v>55</v>
      </c>
      <c r="T2007" t="s">
        <v>466</v>
      </c>
      <c r="U2007">
        <v>40</v>
      </c>
      <c r="V2007" s="1">
        <v>31048</v>
      </c>
      <c r="W2007" s="1">
        <v>31048</v>
      </c>
      <c r="X2007" s="1">
        <v>31048</v>
      </c>
      <c r="Y2007" s="1">
        <v>45658</v>
      </c>
      <c r="Z2007" t="s">
        <v>51</v>
      </c>
      <c r="AB2007" t="s">
        <v>54</v>
      </c>
      <c r="AC2007">
        <v>1</v>
      </c>
      <c r="AE2007" t="s">
        <v>57</v>
      </c>
      <c r="AF2007">
        <v>20</v>
      </c>
      <c r="AG2007" s="1">
        <v>34151</v>
      </c>
      <c r="AH2007" s="1">
        <v>34151</v>
      </c>
      <c r="AI2007" s="1">
        <v>34151</v>
      </c>
      <c r="AJ2007" s="1">
        <v>41456</v>
      </c>
      <c r="AK2007" t="s">
        <v>51</v>
      </c>
      <c r="AN2007">
        <v>0</v>
      </c>
      <c r="AO2007" t="s">
        <v>54</v>
      </c>
      <c r="AP2007" t="s">
        <v>53</v>
      </c>
      <c r="AQ2007">
        <v>0</v>
      </c>
      <c r="AR2007" t="s">
        <v>53</v>
      </c>
      <c r="AS2007">
        <v>0</v>
      </c>
      <c r="AT2007">
        <v>0</v>
      </c>
      <c r="AW2007" t="s">
        <v>58</v>
      </c>
      <c r="AX2007">
        <v>20</v>
      </c>
      <c r="AY2007" s="1">
        <v>34151</v>
      </c>
      <c r="AZ2007" s="1">
        <v>34151</v>
      </c>
      <c r="BA2007" s="1">
        <v>34151</v>
      </c>
      <c r="BB2007" s="1">
        <v>41456</v>
      </c>
      <c r="BC2007" t="s">
        <v>51</v>
      </c>
      <c r="BE2007" t="s">
        <v>54</v>
      </c>
      <c r="BF2007">
        <v>2</v>
      </c>
      <c r="BG2007">
        <v>0</v>
      </c>
      <c r="BH2007" t="s">
        <v>53</v>
      </c>
      <c r="BK2007" t="s">
        <v>59</v>
      </c>
      <c r="BL2007">
        <v>14000</v>
      </c>
      <c r="BM2007" s="1">
        <v>43955</v>
      </c>
      <c r="BN2007" s="1">
        <v>43955</v>
      </c>
      <c r="BO2007" s="1">
        <v>43955</v>
      </c>
      <c r="BP2007" s="1">
        <v>45176</v>
      </c>
      <c r="BQ2007" t="s">
        <v>51</v>
      </c>
      <c r="BS2007" t="s">
        <v>60</v>
      </c>
      <c r="BT2007" t="s">
        <v>54</v>
      </c>
      <c r="BU2007" t="s">
        <v>61</v>
      </c>
      <c r="BV2007" t="s">
        <v>62</v>
      </c>
      <c r="BX2007">
        <v>24</v>
      </c>
      <c r="BY2007">
        <v>0</v>
      </c>
      <c r="BZ2007">
        <v>0</v>
      </c>
    </row>
    <row r="2008" spans="1:99" x14ac:dyDescent="0.2">
      <c r="A2008" t="s">
        <v>1012</v>
      </c>
      <c r="B2008" t="s">
        <v>1013</v>
      </c>
      <c r="C2008" t="s">
        <v>1019</v>
      </c>
      <c r="D2008" t="s">
        <v>1022</v>
      </c>
      <c r="F2008" t="str">
        <f>"251465"</f>
        <v>251465</v>
      </c>
      <c r="G2008" t="s">
        <v>49</v>
      </c>
      <c r="H2008">
        <v>18</v>
      </c>
      <c r="K2008" t="s">
        <v>51</v>
      </c>
      <c r="L2008" t="s">
        <v>52</v>
      </c>
      <c r="M2008">
        <v>132230.57</v>
      </c>
      <c r="N2008">
        <v>473457.42</v>
      </c>
      <c r="O2008" t="s">
        <v>53</v>
      </c>
      <c r="P2008" t="s">
        <v>54</v>
      </c>
      <c r="Q2008" t="s">
        <v>55</v>
      </c>
      <c r="T2008" t="s">
        <v>1023</v>
      </c>
      <c r="U2008">
        <v>40</v>
      </c>
      <c r="V2008" s="1">
        <v>31048</v>
      </c>
      <c r="W2008" s="1">
        <v>31048</v>
      </c>
      <c r="X2008" s="1">
        <v>31048</v>
      </c>
      <c r="Y2008" s="1">
        <v>45658</v>
      </c>
      <c r="Z2008" t="s">
        <v>51</v>
      </c>
      <c r="AB2008" t="s">
        <v>54</v>
      </c>
      <c r="AC2008">
        <v>1</v>
      </c>
      <c r="AE2008" t="s">
        <v>1024</v>
      </c>
      <c r="AF2008">
        <v>20</v>
      </c>
      <c r="AG2008" s="1">
        <v>44095</v>
      </c>
      <c r="AH2008" s="1">
        <v>44095</v>
      </c>
      <c r="AI2008" s="1">
        <v>44095</v>
      </c>
      <c r="AJ2008" s="1">
        <v>51400</v>
      </c>
      <c r="AK2008" t="s">
        <v>51</v>
      </c>
      <c r="AN2008">
        <v>0</v>
      </c>
      <c r="AO2008" t="s">
        <v>54</v>
      </c>
      <c r="AP2008" t="s">
        <v>53</v>
      </c>
      <c r="AQ2008">
        <v>0</v>
      </c>
      <c r="AR2008" t="s">
        <v>145</v>
      </c>
      <c r="AS2008">
        <v>0</v>
      </c>
      <c r="AT2008">
        <v>0</v>
      </c>
      <c r="CC2008" t="s">
        <v>555</v>
      </c>
      <c r="CD2008">
        <v>85000</v>
      </c>
      <c r="CE2008" s="1">
        <v>44363</v>
      </c>
      <c r="CF2008" s="1">
        <v>44363</v>
      </c>
      <c r="CG2008" s="1">
        <v>44363</v>
      </c>
      <c r="CH2008" s="1">
        <v>51955</v>
      </c>
      <c r="CI2008" t="s">
        <v>51</v>
      </c>
      <c r="CK2008" t="s">
        <v>78</v>
      </c>
      <c r="CM2008" t="s">
        <v>54</v>
      </c>
      <c r="CN2008" t="s">
        <v>174</v>
      </c>
      <c r="CO2008" t="s">
        <v>86</v>
      </c>
      <c r="CR2008">
        <v>20</v>
      </c>
      <c r="CS2008">
        <v>0</v>
      </c>
      <c r="CT2008">
        <v>0</v>
      </c>
      <c r="CU2008">
        <v>0</v>
      </c>
    </row>
    <row r="2009" spans="1:99" x14ac:dyDescent="0.2">
      <c r="A2009" t="s">
        <v>1012</v>
      </c>
      <c r="B2009" t="s">
        <v>1013</v>
      </c>
      <c r="C2009" t="s">
        <v>1019</v>
      </c>
      <c r="D2009" t="s">
        <v>1022</v>
      </c>
      <c r="F2009" t="str">
        <f>"251466"</f>
        <v>251466</v>
      </c>
      <c r="G2009" t="s">
        <v>49</v>
      </c>
      <c r="H2009">
        <v>18</v>
      </c>
      <c r="K2009" t="s">
        <v>51</v>
      </c>
      <c r="L2009" t="s">
        <v>52</v>
      </c>
      <c r="M2009">
        <v>132232.54999999999</v>
      </c>
      <c r="N2009">
        <v>473469.59</v>
      </c>
      <c r="O2009" t="s">
        <v>53</v>
      </c>
      <c r="P2009" t="s">
        <v>54</v>
      </c>
      <c r="Q2009" t="s">
        <v>55</v>
      </c>
      <c r="T2009" t="s">
        <v>1023</v>
      </c>
      <c r="U2009">
        <v>40</v>
      </c>
      <c r="V2009" s="1">
        <v>31048</v>
      </c>
      <c r="W2009" s="1">
        <v>31048</v>
      </c>
      <c r="X2009" s="1">
        <v>31048</v>
      </c>
      <c r="Y2009" s="1">
        <v>45658</v>
      </c>
      <c r="Z2009" t="s">
        <v>51</v>
      </c>
      <c r="AB2009" t="s">
        <v>54</v>
      </c>
      <c r="AC2009">
        <v>1</v>
      </c>
      <c r="AE2009" t="s">
        <v>1024</v>
      </c>
      <c r="AF2009">
        <v>20</v>
      </c>
      <c r="AG2009" s="1">
        <v>44363</v>
      </c>
      <c r="AH2009" s="1">
        <v>44363</v>
      </c>
      <c r="AI2009" s="1">
        <v>44363</v>
      </c>
      <c r="AJ2009" s="1">
        <v>51668</v>
      </c>
      <c r="AK2009" t="s">
        <v>51</v>
      </c>
      <c r="AN2009">
        <v>0</v>
      </c>
      <c r="AO2009" t="s">
        <v>54</v>
      </c>
      <c r="AP2009" t="s">
        <v>53</v>
      </c>
      <c r="AQ2009">
        <v>0</v>
      </c>
      <c r="AR2009" t="s">
        <v>145</v>
      </c>
      <c r="AS2009">
        <v>0</v>
      </c>
      <c r="AT2009">
        <v>0</v>
      </c>
      <c r="CC2009" t="s">
        <v>555</v>
      </c>
      <c r="CD2009">
        <v>85000</v>
      </c>
      <c r="CE2009" s="1">
        <v>44363</v>
      </c>
      <c r="CF2009" s="1">
        <v>44363</v>
      </c>
      <c r="CG2009" s="1">
        <v>44363</v>
      </c>
      <c r="CH2009" s="1">
        <v>51955</v>
      </c>
      <c r="CI2009" t="s">
        <v>51</v>
      </c>
      <c r="CK2009" t="s">
        <v>78</v>
      </c>
      <c r="CM2009" t="s">
        <v>54</v>
      </c>
      <c r="CN2009" t="s">
        <v>174</v>
      </c>
      <c r="CO2009" t="s">
        <v>86</v>
      </c>
      <c r="CR2009">
        <v>20</v>
      </c>
      <c r="CS2009">
        <v>0</v>
      </c>
      <c r="CT2009">
        <v>0</v>
      </c>
      <c r="CU2009">
        <v>0</v>
      </c>
    </row>
    <row r="2010" spans="1:99" x14ac:dyDescent="0.2">
      <c r="A2010" t="s">
        <v>1012</v>
      </c>
      <c r="B2010" t="s">
        <v>1013</v>
      </c>
      <c r="C2010" t="s">
        <v>1019</v>
      </c>
      <c r="D2010" t="s">
        <v>1022</v>
      </c>
      <c r="F2010" t="str">
        <f>"251467"</f>
        <v>251467</v>
      </c>
      <c r="G2010" t="s">
        <v>49</v>
      </c>
      <c r="H2010">
        <v>16</v>
      </c>
      <c r="K2010" t="s">
        <v>51</v>
      </c>
      <c r="L2010" t="s">
        <v>52</v>
      </c>
      <c r="M2010">
        <v>132262.03</v>
      </c>
      <c r="N2010">
        <v>473473.6</v>
      </c>
      <c r="O2010" t="s">
        <v>53</v>
      </c>
      <c r="P2010" t="s">
        <v>54</v>
      </c>
      <c r="Q2010" t="s">
        <v>55</v>
      </c>
      <c r="T2010" t="s">
        <v>466</v>
      </c>
      <c r="U2010">
        <v>40</v>
      </c>
      <c r="V2010" s="1">
        <v>31048</v>
      </c>
      <c r="W2010" s="1">
        <v>31048</v>
      </c>
      <c r="X2010" s="1">
        <v>31048</v>
      </c>
      <c r="Y2010" s="1">
        <v>45658</v>
      </c>
      <c r="Z2010" t="s">
        <v>51</v>
      </c>
      <c r="AB2010" t="s">
        <v>54</v>
      </c>
      <c r="AC2010">
        <v>1</v>
      </c>
      <c r="AE2010" t="s">
        <v>1024</v>
      </c>
      <c r="AF2010">
        <v>20</v>
      </c>
      <c r="AG2010" s="1">
        <v>44363</v>
      </c>
      <c r="AH2010" s="1">
        <v>44363</v>
      </c>
      <c r="AI2010" s="1">
        <v>44363</v>
      </c>
      <c r="AJ2010" s="1">
        <v>51668</v>
      </c>
      <c r="AK2010" t="s">
        <v>51</v>
      </c>
      <c r="AN2010">
        <v>0</v>
      </c>
      <c r="AO2010" t="s">
        <v>54</v>
      </c>
      <c r="AP2010" t="s">
        <v>53</v>
      </c>
      <c r="AQ2010">
        <v>0</v>
      </c>
      <c r="AR2010" t="s">
        <v>145</v>
      </c>
      <c r="AS2010">
        <v>0</v>
      </c>
      <c r="AT2010">
        <v>0</v>
      </c>
      <c r="CC2010" t="s">
        <v>555</v>
      </c>
      <c r="CD2010">
        <v>85000</v>
      </c>
      <c r="CE2010" s="1">
        <v>44363</v>
      </c>
      <c r="CF2010" s="1">
        <v>44363</v>
      </c>
      <c r="CG2010" s="1">
        <v>44363</v>
      </c>
      <c r="CH2010" s="1">
        <v>51955</v>
      </c>
      <c r="CI2010" t="s">
        <v>51</v>
      </c>
      <c r="CK2010" t="s">
        <v>78</v>
      </c>
      <c r="CM2010" t="s">
        <v>54</v>
      </c>
      <c r="CN2010" t="s">
        <v>174</v>
      </c>
      <c r="CO2010" t="s">
        <v>86</v>
      </c>
      <c r="CR2010">
        <v>20</v>
      </c>
      <c r="CS2010">
        <v>0</v>
      </c>
      <c r="CT2010">
        <v>0</v>
      </c>
      <c r="CU2010">
        <v>0</v>
      </c>
    </row>
    <row r="2011" spans="1:99" x14ac:dyDescent="0.2">
      <c r="A2011" t="s">
        <v>1012</v>
      </c>
      <c r="B2011" t="s">
        <v>1013</v>
      </c>
      <c r="C2011" t="s">
        <v>1025</v>
      </c>
      <c r="D2011" t="s">
        <v>1022</v>
      </c>
      <c r="F2011" t="str">
        <f>"251468"</f>
        <v>251468</v>
      </c>
      <c r="G2011" t="s">
        <v>49</v>
      </c>
      <c r="H2011">
        <v>18</v>
      </c>
      <c r="K2011" t="s">
        <v>51</v>
      </c>
      <c r="L2011" t="s">
        <v>52</v>
      </c>
      <c r="M2011">
        <v>132290.67000000001</v>
      </c>
      <c r="N2011">
        <v>473475.3</v>
      </c>
      <c r="O2011" t="s">
        <v>53</v>
      </c>
      <c r="P2011" t="s">
        <v>54</v>
      </c>
      <c r="Q2011" t="s">
        <v>55</v>
      </c>
      <c r="T2011" t="s">
        <v>466</v>
      </c>
      <c r="U2011">
        <v>40</v>
      </c>
      <c r="V2011" s="1">
        <v>31048</v>
      </c>
      <c r="W2011" s="1">
        <v>31048</v>
      </c>
      <c r="X2011" s="1">
        <v>31048</v>
      </c>
      <c r="Y2011" s="1">
        <v>45658</v>
      </c>
      <c r="Z2011" t="s">
        <v>51</v>
      </c>
      <c r="AB2011" t="s">
        <v>54</v>
      </c>
      <c r="AC2011">
        <v>1</v>
      </c>
      <c r="AE2011" t="s">
        <v>1024</v>
      </c>
      <c r="AF2011">
        <v>20</v>
      </c>
      <c r="AG2011" s="1">
        <v>44363</v>
      </c>
      <c r="AH2011" s="1">
        <v>44363</v>
      </c>
      <c r="AI2011" s="1">
        <v>44363</v>
      </c>
      <c r="AJ2011" s="1">
        <v>51668</v>
      </c>
      <c r="AK2011" t="s">
        <v>51</v>
      </c>
      <c r="AN2011">
        <v>0</v>
      </c>
      <c r="AO2011" t="s">
        <v>54</v>
      </c>
      <c r="AP2011" t="s">
        <v>53</v>
      </c>
      <c r="AQ2011">
        <v>0</v>
      </c>
      <c r="AR2011" t="s">
        <v>145</v>
      </c>
      <c r="AS2011">
        <v>0</v>
      </c>
      <c r="AT2011">
        <v>0</v>
      </c>
      <c r="CC2011" t="s">
        <v>555</v>
      </c>
      <c r="CD2011">
        <v>85000</v>
      </c>
      <c r="CE2011" s="1">
        <v>44363</v>
      </c>
      <c r="CF2011" s="1">
        <v>44363</v>
      </c>
      <c r="CG2011" s="1">
        <v>44363</v>
      </c>
      <c r="CH2011" s="1">
        <v>51955</v>
      </c>
      <c r="CI2011" t="s">
        <v>51</v>
      </c>
      <c r="CK2011" t="s">
        <v>78</v>
      </c>
      <c r="CM2011" t="s">
        <v>54</v>
      </c>
      <c r="CN2011" t="s">
        <v>174</v>
      </c>
      <c r="CO2011" t="s">
        <v>86</v>
      </c>
      <c r="CR2011">
        <v>20</v>
      </c>
      <c r="CS2011">
        <v>0</v>
      </c>
      <c r="CT2011">
        <v>0</v>
      </c>
      <c r="CU2011">
        <v>0</v>
      </c>
    </row>
    <row r="2012" spans="1:99" x14ac:dyDescent="0.2">
      <c r="A2012" t="s">
        <v>1012</v>
      </c>
      <c r="B2012" t="s">
        <v>1013</v>
      </c>
      <c r="C2012" t="s">
        <v>1025</v>
      </c>
      <c r="D2012" t="s">
        <v>1022</v>
      </c>
      <c r="F2012" t="str">
        <f>"251469"</f>
        <v>251469</v>
      </c>
      <c r="G2012" t="s">
        <v>49</v>
      </c>
      <c r="H2012">
        <v>18</v>
      </c>
      <c r="K2012" t="s">
        <v>51</v>
      </c>
      <c r="L2012" t="s">
        <v>52</v>
      </c>
      <c r="M2012">
        <v>132325.32999999999</v>
      </c>
      <c r="N2012">
        <v>473466.26</v>
      </c>
      <c r="O2012" t="s">
        <v>53</v>
      </c>
      <c r="P2012" t="s">
        <v>54</v>
      </c>
      <c r="Q2012" t="s">
        <v>55</v>
      </c>
      <c r="T2012" t="s">
        <v>466</v>
      </c>
      <c r="U2012">
        <v>40</v>
      </c>
      <c r="V2012" s="1">
        <v>31048</v>
      </c>
      <c r="W2012" s="1">
        <v>31048</v>
      </c>
      <c r="X2012" s="1">
        <v>31048</v>
      </c>
      <c r="Y2012" s="1">
        <v>45658</v>
      </c>
      <c r="Z2012" t="s">
        <v>51</v>
      </c>
      <c r="AB2012" t="s">
        <v>54</v>
      </c>
      <c r="AC2012">
        <v>1</v>
      </c>
      <c r="AE2012" t="s">
        <v>1024</v>
      </c>
      <c r="AF2012">
        <v>20</v>
      </c>
      <c r="AG2012" s="1">
        <v>44363</v>
      </c>
      <c r="AH2012" s="1">
        <v>44363</v>
      </c>
      <c r="AI2012" s="1">
        <v>44363</v>
      </c>
      <c r="AJ2012" s="1">
        <v>51668</v>
      </c>
      <c r="AK2012" t="s">
        <v>51</v>
      </c>
      <c r="AN2012">
        <v>0</v>
      </c>
      <c r="AO2012" t="s">
        <v>54</v>
      </c>
      <c r="AP2012" t="s">
        <v>53</v>
      </c>
      <c r="AQ2012">
        <v>0</v>
      </c>
      <c r="AR2012" t="s">
        <v>145</v>
      </c>
      <c r="AS2012">
        <v>0</v>
      </c>
      <c r="AT2012">
        <v>0</v>
      </c>
      <c r="CC2012" t="s">
        <v>555</v>
      </c>
      <c r="CD2012">
        <v>85000</v>
      </c>
      <c r="CE2012" s="1">
        <v>44363</v>
      </c>
      <c r="CF2012" s="1">
        <v>44363</v>
      </c>
      <c r="CG2012" s="1">
        <v>44363</v>
      </c>
      <c r="CH2012" s="1">
        <v>51955</v>
      </c>
      <c r="CI2012" t="s">
        <v>51</v>
      </c>
      <c r="CK2012" t="s">
        <v>78</v>
      </c>
      <c r="CM2012" t="s">
        <v>54</v>
      </c>
      <c r="CN2012" t="s">
        <v>174</v>
      </c>
      <c r="CO2012" t="s">
        <v>86</v>
      </c>
      <c r="CR2012">
        <v>20</v>
      </c>
      <c r="CS2012">
        <v>0</v>
      </c>
      <c r="CT2012">
        <v>0</v>
      </c>
      <c r="CU2012">
        <v>0</v>
      </c>
    </row>
    <row r="2013" spans="1:99" x14ac:dyDescent="0.2">
      <c r="A2013" t="s">
        <v>1012</v>
      </c>
      <c r="B2013" t="s">
        <v>1013</v>
      </c>
      <c r="C2013" t="s">
        <v>1025</v>
      </c>
      <c r="D2013" t="s">
        <v>1022</v>
      </c>
      <c r="F2013" t="str">
        <f>"254283"</f>
        <v>254283</v>
      </c>
      <c r="G2013" t="s">
        <v>49</v>
      </c>
      <c r="H2013">
        <v>1</v>
      </c>
      <c r="K2013" t="s">
        <v>51</v>
      </c>
      <c r="L2013" t="s">
        <v>52</v>
      </c>
      <c r="M2013">
        <v>132357.14000000001</v>
      </c>
      <c r="N2013">
        <v>473480.97</v>
      </c>
      <c r="O2013" t="s">
        <v>53</v>
      </c>
      <c r="P2013" t="s">
        <v>54</v>
      </c>
      <c r="Q2013" t="s">
        <v>55</v>
      </c>
      <c r="T2013" t="s">
        <v>466</v>
      </c>
      <c r="U2013">
        <v>40</v>
      </c>
      <c r="V2013" s="1">
        <v>31048</v>
      </c>
      <c r="W2013" s="1">
        <v>31048</v>
      </c>
      <c r="X2013" s="1">
        <v>31048</v>
      </c>
      <c r="Y2013" s="1">
        <v>45658</v>
      </c>
      <c r="Z2013" t="s">
        <v>51</v>
      </c>
      <c r="AB2013" t="s">
        <v>54</v>
      </c>
      <c r="AC2013">
        <v>1</v>
      </c>
      <c r="AE2013" t="s">
        <v>1024</v>
      </c>
      <c r="AF2013">
        <v>20</v>
      </c>
      <c r="AG2013" s="1">
        <v>44369</v>
      </c>
      <c r="AH2013" s="1">
        <v>44369</v>
      </c>
      <c r="AI2013" s="1">
        <v>44369</v>
      </c>
      <c r="AJ2013" s="1">
        <v>51674</v>
      </c>
      <c r="AK2013" t="s">
        <v>51</v>
      </c>
      <c r="AN2013">
        <v>0</v>
      </c>
      <c r="AO2013" t="s">
        <v>54</v>
      </c>
      <c r="AP2013" t="s">
        <v>53</v>
      </c>
      <c r="AQ2013">
        <v>0</v>
      </c>
      <c r="AR2013" t="s">
        <v>145</v>
      </c>
      <c r="AS2013">
        <v>0</v>
      </c>
      <c r="AT2013">
        <v>0</v>
      </c>
      <c r="CC2013" t="s">
        <v>555</v>
      </c>
      <c r="CD2013">
        <v>85000</v>
      </c>
      <c r="CE2013" s="1">
        <v>44369</v>
      </c>
      <c r="CF2013" s="1">
        <v>44369</v>
      </c>
      <c r="CG2013" s="1">
        <v>44369</v>
      </c>
      <c r="CH2013" s="1">
        <v>51959</v>
      </c>
      <c r="CI2013" t="s">
        <v>51</v>
      </c>
      <c r="CK2013" t="s">
        <v>78</v>
      </c>
      <c r="CM2013" t="s">
        <v>54</v>
      </c>
      <c r="CN2013" t="s">
        <v>174</v>
      </c>
      <c r="CO2013" t="s">
        <v>86</v>
      </c>
      <c r="CR2013">
        <v>20</v>
      </c>
      <c r="CS2013">
        <v>0</v>
      </c>
      <c r="CT2013">
        <v>0</v>
      </c>
      <c r="CU2013">
        <v>0</v>
      </c>
    </row>
    <row r="2014" spans="1:99" x14ac:dyDescent="0.2">
      <c r="A2014" t="s">
        <v>1012</v>
      </c>
      <c r="B2014" t="s">
        <v>1013</v>
      </c>
      <c r="C2014" t="s">
        <v>1025</v>
      </c>
      <c r="D2014" t="s">
        <v>1022</v>
      </c>
      <c r="F2014" t="str">
        <f>"251471"</f>
        <v>251471</v>
      </c>
      <c r="G2014" t="s">
        <v>49</v>
      </c>
      <c r="H2014">
        <v>1</v>
      </c>
      <c r="K2014" t="s">
        <v>51</v>
      </c>
      <c r="L2014" t="s">
        <v>52</v>
      </c>
      <c r="M2014">
        <v>132392.66</v>
      </c>
      <c r="N2014">
        <v>473472.62</v>
      </c>
      <c r="O2014" t="s">
        <v>53</v>
      </c>
      <c r="P2014" t="s">
        <v>54</v>
      </c>
      <c r="Q2014" t="s">
        <v>55</v>
      </c>
      <c r="T2014" t="s">
        <v>466</v>
      </c>
      <c r="U2014">
        <v>40</v>
      </c>
      <c r="V2014" s="1">
        <v>31048</v>
      </c>
      <c r="W2014" s="1">
        <v>31048</v>
      </c>
      <c r="X2014" s="1">
        <v>31048</v>
      </c>
      <c r="Y2014" s="1">
        <v>45658</v>
      </c>
      <c r="Z2014" t="s">
        <v>51</v>
      </c>
      <c r="AB2014" t="s">
        <v>54</v>
      </c>
      <c r="AC2014">
        <v>1</v>
      </c>
      <c r="AE2014" t="s">
        <v>1024</v>
      </c>
      <c r="AF2014">
        <v>20</v>
      </c>
      <c r="AG2014" s="1">
        <v>44363</v>
      </c>
      <c r="AH2014" s="1">
        <v>44363</v>
      </c>
      <c r="AI2014" s="1">
        <v>44363</v>
      </c>
      <c r="AJ2014" s="1">
        <v>51668</v>
      </c>
      <c r="AK2014" t="s">
        <v>51</v>
      </c>
      <c r="AN2014">
        <v>0</v>
      </c>
      <c r="AO2014" t="s">
        <v>54</v>
      </c>
      <c r="AP2014" t="s">
        <v>53</v>
      </c>
      <c r="AQ2014">
        <v>0</v>
      </c>
      <c r="AR2014" t="s">
        <v>145</v>
      </c>
      <c r="AS2014">
        <v>0</v>
      </c>
      <c r="AT2014">
        <v>0</v>
      </c>
      <c r="CC2014" t="s">
        <v>555</v>
      </c>
      <c r="CD2014">
        <v>85000</v>
      </c>
      <c r="CE2014" s="1">
        <v>44363</v>
      </c>
      <c r="CF2014" s="1">
        <v>44363</v>
      </c>
      <c r="CG2014" s="1">
        <v>44363</v>
      </c>
      <c r="CH2014" s="1">
        <v>51955</v>
      </c>
      <c r="CI2014" t="s">
        <v>51</v>
      </c>
      <c r="CK2014" t="s">
        <v>78</v>
      </c>
      <c r="CM2014" t="s">
        <v>54</v>
      </c>
      <c r="CN2014" t="s">
        <v>174</v>
      </c>
      <c r="CO2014" t="s">
        <v>86</v>
      </c>
      <c r="CR2014">
        <v>20</v>
      </c>
      <c r="CS2014">
        <v>0</v>
      </c>
      <c r="CT2014">
        <v>0</v>
      </c>
      <c r="CU2014">
        <v>0</v>
      </c>
    </row>
    <row r="2015" spans="1:99" x14ac:dyDescent="0.2">
      <c r="A2015" t="s">
        <v>1012</v>
      </c>
      <c r="B2015" t="s">
        <v>1013</v>
      </c>
      <c r="C2015" t="s">
        <v>1025</v>
      </c>
      <c r="D2015" t="s">
        <v>1022</v>
      </c>
      <c r="F2015" t="str">
        <f>"251472"</f>
        <v>251472</v>
      </c>
      <c r="G2015" t="s">
        <v>49</v>
      </c>
      <c r="H2015">
        <v>1</v>
      </c>
      <c r="K2015" t="s">
        <v>51</v>
      </c>
      <c r="L2015" t="s">
        <v>52</v>
      </c>
      <c r="M2015">
        <v>132427.74</v>
      </c>
      <c r="N2015">
        <v>473487.13</v>
      </c>
      <c r="O2015" t="s">
        <v>53</v>
      </c>
      <c r="P2015" t="s">
        <v>54</v>
      </c>
      <c r="Q2015" t="s">
        <v>55</v>
      </c>
      <c r="T2015" t="s">
        <v>466</v>
      </c>
      <c r="U2015">
        <v>40</v>
      </c>
      <c r="V2015" s="1">
        <v>31048</v>
      </c>
      <c r="W2015" s="1">
        <v>31048</v>
      </c>
      <c r="X2015" s="1">
        <v>31048</v>
      </c>
      <c r="Y2015" s="1">
        <v>45658</v>
      </c>
      <c r="Z2015" t="s">
        <v>51</v>
      </c>
      <c r="AB2015" t="s">
        <v>54</v>
      </c>
      <c r="AC2015">
        <v>1</v>
      </c>
      <c r="AE2015" t="s">
        <v>1024</v>
      </c>
      <c r="AF2015">
        <v>20</v>
      </c>
      <c r="AG2015" s="1">
        <v>44363</v>
      </c>
      <c r="AH2015" s="1">
        <v>44363</v>
      </c>
      <c r="AI2015" s="1">
        <v>44363</v>
      </c>
      <c r="AJ2015" s="1">
        <v>51668</v>
      </c>
      <c r="AK2015" t="s">
        <v>51</v>
      </c>
      <c r="AN2015">
        <v>0</v>
      </c>
      <c r="AO2015" t="s">
        <v>54</v>
      </c>
      <c r="AP2015" t="s">
        <v>53</v>
      </c>
      <c r="AQ2015">
        <v>0</v>
      </c>
      <c r="AR2015" t="s">
        <v>145</v>
      </c>
      <c r="AS2015">
        <v>0</v>
      </c>
      <c r="AT2015">
        <v>0</v>
      </c>
      <c r="CC2015" t="s">
        <v>555</v>
      </c>
      <c r="CD2015">
        <v>85000</v>
      </c>
      <c r="CE2015" s="1">
        <v>44363</v>
      </c>
      <c r="CF2015" s="1">
        <v>44363</v>
      </c>
      <c r="CG2015" s="1">
        <v>44363</v>
      </c>
      <c r="CH2015" s="1">
        <v>51955</v>
      </c>
      <c r="CI2015" t="s">
        <v>51</v>
      </c>
      <c r="CK2015" t="s">
        <v>78</v>
      </c>
      <c r="CM2015" t="s">
        <v>54</v>
      </c>
      <c r="CN2015" t="s">
        <v>174</v>
      </c>
      <c r="CO2015" t="s">
        <v>86</v>
      </c>
      <c r="CR2015">
        <v>20</v>
      </c>
      <c r="CS2015">
        <v>0</v>
      </c>
      <c r="CT2015">
        <v>0</v>
      </c>
      <c r="CU2015">
        <v>0</v>
      </c>
    </row>
    <row r="2016" spans="1:99" x14ac:dyDescent="0.2">
      <c r="A2016" t="s">
        <v>1012</v>
      </c>
      <c r="B2016" t="s">
        <v>1013</v>
      </c>
      <c r="C2016" t="s">
        <v>1025</v>
      </c>
      <c r="D2016" t="s">
        <v>1022</v>
      </c>
      <c r="F2016" t="str">
        <f>"251473"</f>
        <v>251473</v>
      </c>
      <c r="G2016" t="s">
        <v>49</v>
      </c>
      <c r="H2016">
        <v>26</v>
      </c>
      <c r="K2016" t="s">
        <v>51</v>
      </c>
      <c r="L2016" t="s">
        <v>52</v>
      </c>
      <c r="M2016">
        <v>132461.85999999999</v>
      </c>
      <c r="N2016">
        <v>473478.41</v>
      </c>
      <c r="O2016" t="s">
        <v>53</v>
      </c>
      <c r="P2016" t="s">
        <v>54</v>
      </c>
      <c r="Q2016" t="s">
        <v>55</v>
      </c>
      <c r="T2016" t="s">
        <v>466</v>
      </c>
      <c r="U2016">
        <v>40</v>
      </c>
      <c r="V2016" s="1">
        <v>31048</v>
      </c>
      <c r="W2016" s="1">
        <v>31048</v>
      </c>
      <c r="X2016" s="1">
        <v>31048</v>
      </c>
      <c r="Y2016" s="1">
        <v>45658</v>
      </c>
      <c r="Z2016" t="s">
        <v>51</v>
      </c>
      <c r="AB2016" t="s">
        <v>54</v>
      </c>
      <c r="AC2016">
        <v>1</v>
      </c>
      <c r="AE2016" t="s">
        <v>1024</v>
      </c>
      <c r="AF2016">
        <v>20</v>
      </c>
      <c r="AG2016" s="1">
        <v>44363</v>
      </c>
      <c r="AH2016" s="1">
        <v>44363</v>
      </c>
      <c r="AI2016" s="1">
        <v>44363</v>
      </c>
      <c r="AJ2016" s="1">
        <v>51668</v>
      </c>
      <c r="AK2016" t="s">
        <v>51</v>
      </c>
      <c r="AN2016">
        <v>0</v>
      </c>
      <c r="AO2016" t="s">
        <v>54</v>
      </c>
      <c r="AP2016" t="s">
        <v>53</v>
      </c>
      <c r="AQ2016">
        <v>0</v>
      </c>
      <c r="AR2016" t="s">
        <v>145</v>
      </c>
      <c r="AS2016">
        <v>0</v>
      </c>
      <c r="AT2016">
        <v>0</v>
      </c>
      <c r="CC2016" t="s">
        <v>555</v>
      </c>
      <c r="CD2016">
        <v>85000</v>
      </c>
      <c r="CE2016" s="1">
        <v>44363</v>
      </c>
      <c r="CF2016" s="1">
        <v>44363</v>
      </c>
      <c r="CG2016" s="1">
        <v>44363</v>
      </c>
      <c r="CH2016" s="1">
        <v>51955</v>
      </c>
      <c r="CI2016" t="s">
        <v>51</v>
      </c>
      <c r="CK2016" t="s">
        <v>78</v>
      </c>
      <c r="CM2016" t="s">
        <v>54</v>
      </c>
      <c r="CN2016" t="s">
        <v>174</v>
      </c>
      <c r="CO2016" t="s">
        <v>86</v>
      </c>
      <c r="CR2016">
        <v>20</v>
      </c>
      <c r="CS2016">
        <v>0</v>
      </c>
      <c r="CT2016">
        <v>0</v>
      </c>
      <c r="CU2016">
        <v>0</v>
      </c>
    </row>
    <row r="2017" spans="1:99" x14ac:dyDescent="0.2">
      <c r="A2017" t="s">
        <v>1012</v>
      </c>
      <c r="B2017" t="s">
        <v>1013</v>
      </c>
      <c r="C2017" t="s">
        <v>1025</v>
      </c>
      <c r="D2017" t="s">
        <v>1022</v>
      </c>
      <c r="F2017" t="str">
        <f>"254282"</f>
        <v>254282</v>
      </c>
      <c r="G2017" t="s">
        <v>49</v>
      </c>
      <c r="H2017">
        <v>1</v>
      </c>
      <c r="K2017" t="s">
        <v>51</v>
      </c>
      <c r="L2017" t="s">
        <v>52</v>
      </c>
      <c r="M2017">
        <v>132496.24</v>
      </c>
      <c r="N2017">
        <v>473493.28</v>
      </c>
      <c r="O2017" t="s">
        <v>53</v>
      </c>
      <c r="P2017" t="s">
        <v>54</v>
      </c>
      <c r="Q2017" t="s">
        <v>55</v>
      </c>
      <c r="T2017" t="s">
        <v>466</v>
      </c>
      <c r="U2017">
        <v>40</v>
      </c>
      <c r="V2017" s="1">
        <v>31048</v>
      </c>
      <c r="W2017" s="1">
        <v>31048</v>
      </c>
      <c r="X2017" s="1">
        <v>31048</v>
      </c>
      <c r="Y2017" s="1">
        <v>45658</v>
      </c>
      <c r="Z2017" t="s">
        <v>51</v>
      </c>
      <c r="AB2017" t="s">
        <v>54</v>
      </c>
      <c r="AC2017">
        <v>1</v>
      </c>
      <c r="AE2017" t="s">
        <v>1024</v>
      </c>
      <c r="AF2017">
        <v>20</v>
      </c>
      <c r="AG2017" s="1">
        <v>44369</v>
      </c>
      <c r="AH2017" s="1">
        <v>44369</v>
      </c>
      <c r="AI2017" s="1">
        <v>44369</v>
      </c>
      <c r="AJ2017" s="1">
        <v>51674</v>
      </c>
      <c r="AK2017" t="s">
        <v>51</v>
      </c>
      <c r="AN2017">
        <v>0</v>
      </c>
      <c r="AO2017" t="s">
        <v>54</v>
      </c>
      <c r="AP2017" t="s">
        <v>53</v>
      </c>
      <c r="AQ2017">
        <v>0</v>
      </c>
      <c r="AR2017" t="s">
        <v>145</v>
      </c>
      <c r="AS2017">
        <v>0</v>
      </c>
      <c r="AT2017">
        <v>0</v>
      </c>
      <c r="CC2017" t="s">
        <v>555</v>
      </c>
      <c r="CD2017">
        <v>85000</v>
      </c>
      <c r="CE2017" s="1">
        <v>44369</v>
      </c>
      <c r="CF2017" s="1">
        <v>44369</v>
      </c>
      <c r="CG2017" s="1">
        <v>44369</v>
      </c>
      <c r="CH2017" s="1">
        <v>51959</v>
      </c>
      <c r="CI2017" t="s">
        <v>51</v>
      </c>
      <c r="CK2017" t="s">
        <v>78</v>
      </c>
      <c r="CM2017" t="s">
        <v>54</v>
      </c>
      <c r="CN2017" t="s">
        <v>174</v>
      </c>
      <c r="CO2017" t="s">
        <v>86</v>
      </c>
      <c r="CR2017">
        <v>20</v>
      </c>
      <c r="CS2017">
        <v>0</v>
      </c>
      <c r="CT2017">
        <v>0</v>
      </c>
      <c r="CU2017">
        <v>0</v>
      </c>
    </row>
    <row r="2018" spans="1:99" x14ac:dyDescent="0.2">
      <c r="A2018" t="s">
        <v>1012</v>
      </c>
      <c r="B2018" t="s">
        <v>1013</v>
      </c>
      <c r="C2018" t="s">
        <v>1025</v>
      </c>
      <c r="D2018" t="s">
        <v>1022</v>
      </c>
      <c r="F2018" t="str">
        <f>"251475"</f>
        <v>251475</v>
      </c>
      <c r="G2018" t="s">
        <v>49</v>
      </c>
      <c r="H2018">
        <v>26</v>
      </c>
      <c r="K2018" t="s">
        <v>51</v>
      </c>
      <c r="L2018" t="s">
        <v>52</v>
      </c>
      <c r="M2018">
        <v>132532.03</v>
      </c>
      <c r="N2018">
        <v>473484.55</v>
      </c>
      <c r="O2018" t="s">
        <v>53</v>
      </c>
      <c r="P2018" t="s">
        <v>54</v>
      </c>
      <c r="Q2018" t="s">
        <v>55</v>
      </c>
      <c r="T2018" t="s">
        <v>466</v>
      </c>
      <c r="U2018">
        <v>40</v>
      </c>
      <c r="V2018" s="1">
        <v>31048</v>
      </c>
      <c r="W2018" s="1">
        <v>31048</v>
      </c>
      <c r="X2018" s="1">
        <v>31048</v>
      </c>
      <c r="Y2018" s="1">
        <v>45658</v>
      </c>
      <c r="Z2018" t="s">
        <v>51</v>
      </c>
      <c r="AB2018" t="s">
        <v>54</v>
      </c>
      <c r="AC2018">
        <v>1</v>
      </c>
      <c r="AE2018" t="s">
        <v>1024</v>
      </c>
      <c r="AF2018">
        <v>20</v>
      </c>
      <c r="AG2018" s="1">
        <v>44363</v>
      </c>
      <c r="AH2018" s="1">
        <v>44363</v>
      </c>
      <c r="AI2018" s="1">
        <v>44363</v>
      </c>
      <c r="AJ2018" s="1">
        <v>51668</v>
      </c>
      <c r="AK2018" t="s">
        <v>51</v>
      </c>
      <c r="AN2018">
        <v>0</v>
      </c>
      <c r="AO2018" t="s">
        <v>54</v>
      </c>
      <c r="AP2018" t="s">
        <v>53</v>
      </c>
      <c r="AQ2018">
        <v>0</v>
      </c>
      <c r="AR2018" t="s">
        <v>145</v>
      </c>
      <c r="AS2018">
        <v>0</v>
      </c>
      <c r="AT2018">
        <v>0</v>
      </c>
      <c r="CC2018" t="s">
        <v>555</v>
      </c>
      <c r="CD2018">
        <v>85000</v>
      </c>
      <c r="CE2018" s="1">
        <v>44363</v>
      </c>
      <c r="CF2018" s="1">
        <v>44363</v>
      </c>
      <c r="CG2018" s="1">
        <v>44363</v>
      </c>
      <c r="CH2018" s="1">
        <v>51955</v>
      </c>
      <c r="CI2018" t="s">
        <v>51</v>
      </c>
      <c r="CK2018" t="s">
        <v>78</v>
      </c>
      <c r="CM2018" t="s">
        <v>54</v>
      </c>
      <c r="CN2018" t="s">
        <v>174</v>
      </c>
      <c r="CO2018" t="s">
        <v>86</v>
      </c>
      <c r="CR2018">
        <v>20</v>
      </c>
      <c r="CS2018">
        <v>0</v>
      </c>
      <c r="CT2018">
        <v>0</v>
      </c>
      <c r="CU2018">
        <v>0</v>
      </c>
    </row>
    <row r="2019" spans="1:99" x14ac:dyDescent="0.2">
      <c r="A2019" t="s">
        <v>1012</v>
      </c>
      <c r="B2019" t="s">
        <v>1013</v>
      </c>
      <c r="C2019" t="s">
        <v>1025</v>
      </c>
      <c r="D2019" t="s">
        <v>1022</v>
      </c>
      <c r="F2019" t="str">
        <f>"251476"</f>
        <v>251476</v>
      </c>
      <c r="G2019" t="s">
        <v>49</v>
      </c>
      <c r="H2019">
        <v>1</v>
      </c>
      <c r="K2019" t="s">
        <v>51</v>
      </c>
      <c r="L2019" t="s">
        <v>52</v>
      </c>
      <c r="M2019">
        <v>132565.72</v>
      </c>
      <c r="N2019">
        <v>473499.17300000001</v>
      </c>
      <c r="O2019" t="s">
        <v>53</v>
      </c>
      <c r="P2019" t="s">
        <v>54</v>
      </c>
      <c r="Q2019" t="s">
        <v>55</v>
      </c>
      <c r="T2019" t="s">
        <v>81</v>
      </c>
      <c r="U2019">
        <v>40</v>
      </c>
      <c r="V2019" s="1">
        <v>44363</v>
      </c>
      <c r="W2019" s="1">
        <v>44363</v>
      </c>
      <c r="X2019" s="1">
        <v>44363</v>
      </c>
      <c r="Y2019" s="1">
        <v>58973</v>
      </c>
      <c r="Z2019" t="s">
        <v>51</v>
      </c>
      <c r="AB2019" t="s">
        <v>54</v>
      </c>
      <c r="AC2019">
        <v>1</v>
      </c>
      <c r="AE2019" t="s">
        <v>1024</v>
      </c>
      <c r="AF2019">
        <v>20</v>
      </c>
      <c r="AG2019" s="1">
        <v>44363</v>
      </c>
      <c r="AH2019" s="1">
        <v>44363</v>
      </c>
      <c r="AI2019" s="1">
        <v>44363</v>
      </c>
      <c r="AJ2019" s="1">
        <v>51668</v>
      </c>
      <c r="AK2019" t="s">
        <v>51</v>
      </c>
      <c r="AN2019">
        <v>0</v>
      </c>
      <c r="AO2019" t="s">
        <v>54</v>
      </c>
      <c r="AP2019" t="s">
        <v>53</v>
      </c>
      <c r="AQ2019">
        <v>0</v>
      </c>
      <c r="AR2019" t="s">
        <v>145</v>
      </c>
      <c r="AS2019">
        <v>0</v>
      </c>
      <c r="AT2019">
        <v>0</v>
      </c>
      <c r="CC2019" t="s">
        <v>555</v>
      </c>
      <c r="CD2019">
        <v>85000</v>
      </c>
      <c r="CE2019" s="1">
        <v>44363</v>
      </c>
      <c r="CF2019" s="1">
        <v>44363</v>
      </c>
      <c r="CG2019" s="1">
        <v>44363</v>
      </c>
      <c r="CH2019" s="1">
        <v>51955</v>
      </c>
      <c r="CI2019" t="s">
        <v>51</v>
      </c>
      <c r="CK2019" t="s">
        <v>78</v>
      </c>
      <c r="CM2019" t="s">
        <v>54</v>
      </c>
      <c r="CN2019" t="s">
        <v>174</v>
      </c>
      <c r="CO2019" t="s">
        <v>86</v>
      </c>
      <c r="CR2019">
        <v>20</v>
      </c>
      <c r="CS2019">
        <v>0</v>
      </c>
      <c r="CT2019">
        <v>0</v>
      </c>
      <c r="CU2019">
        <v>0</v>
      </c>
    </row>
    <row r="2020" spans="1:99" x14ac:dyDescent="0.2">
      <c r="A2020" t="s">
        <v>1012</v>
      </c>
      <c r="B2020" t="s">
        <v>1013</v>
      </c>
      <c r="C2020" t="s">
        <v>1025</v>
      </c>
      <c r="D2020" t="s">
        <v>1022</v>
      </c>
      <c r="F2020" t="str">
        <f>"254281"</f>
        <v>254281</v>
      </c>
      <c r="G2020" t="s">
        <v>49</v>
      </c>
      <c r="H2020">
        <v>28</v>
      </c>
      <c r="K2020" t="s">
        <v>51</v>
      </c>
      <c r="L2020" t="s">
        <v>52</v>
      </c>
      <c r="M2020">
        <v>132600.82999999999</v>
      </c>
      <c r="N2020">
        <v>473490.9</v>
      </c>
      <c r="O2020" t="s">
        <v>53</v>
      </c>
      <c r="P2020" t="s">
        <v>54</v>
      </c>
      <c r="Q2020" t="s">
        <v>55</v>
      </c>
      <c r="T2020" t="s">
        <v>466</v>
      </c>
      <c r="U2020">
        <v>40</v>
      </c>
      <c r="V2020" s="1">
        <v>31048</v>
      </c>
      <c r="W2020" s="1">
        <v>31048</v>
      </c>
      <c r="X2020" s="1">
        <v>31048</v>
      </c>
      <c r="Y2020" s="1">
        <v>45658</v>
      </c>
      <c r="Z2020" t="s">
        <v>51</v>
      </c>
      <c r="AB2020" t="s">
        <v>54</v>
      </c>
      <c r="AC2020">
        <v>1</v>
      </c>
      <c r="AE2020" t="s">
        <v>1024</v>
      </c>
      <c r="AF2020">
        <v>20</v>
      </c>
      <c r="AG2020" s="1">
        <v>44363</v>
      </c>
      <c r="AH2020" s="1">
        <v>44363</v>
      </c>
      <c r="AI2020" s="1">
        <v>44363</v>
      </c>
      <c r="AJ2020" s="1">
        <v>51668</v>
      </c>
      <c r="AK2020" t="s">
        <v>51</v>
      </c>
      <c r="AN2020">
        <v>0</v>
      </c>
      <c r="AO2020" t="s">
        <v>54</v>
      </c>
      <c r="AP2020" t="s">
        <v>53</v>
      </c>
      <c r="AQ2020">
        <v>0</v>
      </c>
      <c r="AR2020" t="s">
        <v>145</v>
      </c>
      <c r="AS2020">
        <v>0</v>
      </c>
      <c r="AT2020">
        <v>0</v>
      </c>
      <c r="CC2020" t="s">
        <v>555</v>
      </c>
      <c r="CD2020">
        <v>85000</v>
      </c>
      <c r="CE2020" s="1">
        <v>44363</v>
      </c>
      <c r="CF2020" s="1">
        <v>44363</v>
      </c>
      <c r="CG2020" s="1">
        <v>44363</v>
      </c>
      <c r="CH2020" s="1">
        <v>51955</v>
      </c>
      <c r="CI2020" t="s">
        <v>51</v>
      </c>
      <c r="CK2020" t="s">
        <v>78</v>
      </c>
      <c r="CM2020" t="s">
        <v>54</v>
      </c>
      <c r="CN2020" t="s">
        <v>174</v>
      </c>
      <c r="CO2020" t="s">
        <v>86</v>
      </c>
      <c r="CR2020">
        <v>20</v>
      </c>
      <c r="CS2020">
        <v>0</v>
      </c>
      <c r="CT2020">
        <v>0</v>
      </c>
      <c r="CU2020">
        <v>0</v>
      </c>
    </row>
    <row r="2021" spans="1:99" x14ac:dyDescent="0.2">
      <c r="A2021" t="s">
        <v>1012</v>
      </c>
      <c r="B2021" t="s">
        <v>1013</v>
      </c>
      <c r="C2021" t="s">
        <v>1025</v>
      </c>
      <c r="D2021" t="s">
        <v>1022</v>
      </c>
      <c r="F2021" t="str">
        <f>"251478"</f>
        <v>251478</v>
      </c>
      <c r="G2021" t="s">
        <v>49</v>
      </c>
      <c r="H2021">
        <v>28</v>
      </c>
      <c r="K2021" t="s">
        <v>51</v>
      </c>
      <c r="L2021" t="s">
        <v>52</v>
      </c>
      <c r="M2021">
        <v>132636.10999999999</v>
      </c>
      <c r="N2021">
        <v>473494.09</v>
      </c>
      <c r="O2021" t="s">
        <v>53</v>
      </c>
      <c r="P2021" t="s">
        <v>54</v>
      </c>
      <c r="Q2021" t="s">
        <v>55</v>
      </c>
      <c r="T2021" t="s">
        <v>81</v>
      </c>
      <c r="U2021">
        <v>40</v>
      </c>
      <c r="V2021" s="1">
        <v>31048</v>
      </c>
      <c r="W2021" s="1">
        <v>31048</v>
      </c>
      <c r="X2021" s="1">
        <v>31048</v>
      </c>
      <c r="Y2021" s="1">
        <v>45658</v>
      </c>
      <c r="Z2021" t="s">
        <v>51</v>
      </c>
      <c r="AB2021" t="s">
        <v>54</v>
      </c>
      <c r="AC2021">
        <v>1</v>
      </c>
      <c r="AE2021" t="s">
        <v>1024</v>
      </c>
      <c r="AF2021">
        <v>20</v>
      </c>
      <c r="AG2021" s="1">
        <v>44363</v>
      </c>
      <c r="AH2021" s="1">
        <v>44363</v>
      </c>
      <c r="AI2021" s="1">
        <v>44363</v>
      </c>
      <c r="AJ2021" s="1">
        <v>51668</v>
      </c>
      <c r="AK2021" t="s">
        <v>51</v>
      </c>
      <c r="AN2021">
        <v>0</v>
      </c>
      <c r="AO2021" t="s">
        <v>54</v>
      </c>
      <c r="AP2021" t="s">
        <v>53</v>
      </c>
      <c r="AQ2021">
        <v>0</v>
      </c>
      <c r="AR2021" t="s">
        <v>145</v>
      </c>
      <c r="AS2021">
        <v>0</v>
      </c>
      <c r="AT2021">
        <v>0</v>
      </c>
      <c r="CC2021" t="s">
        <v>555</v>
      </c>
      <c r="CD2021">
        <v>85000</v>
      </c>
      <c r="CE2021" s="1">
        <v>44363</v>
      </c>
      <c r="CF2021" s="1">
        <v>44363</v>
      </c>
      <c r="CG2021" s="1">
        <v>44363</v>
      </c>
      <c r="CH2021" s="1">
        <v>51955</v>
      </c>
      <c r="CI2021" t="s">
        <v>51</v>
      </c>
      <c r="CK2021" t="s">
        <v>78</v>
      </c>
      <c r="CM2021" t="s">
        <v>54</v>
      </c>
      <c r="CN2021" t="s">
        <v>174</v>
      </c>
      <c r="CO2021" t="s">
        <v>86</v>
      </c>
      <c r="CR2021">
        <v>20</v>
      </c>
      <c r="CS2021">
        <v>0</v>
      </c>
      <c r="CT2021">
        <v>0</v>
      </c>
      <c r="CU2021">
        <v>0</v>
      </c>
    </row>
    <row r="2022" spans="1:99" x14ac:dyDescent="0.2">
      <c r="A2022" t="s">
        <v>1012</v>
      </c>
      <c r="B2022" t="s">
        <v>1013</v>
      </c>
      <c r="C2022" t="s">
        <v>1025</v>
      </c>
      <c r="D2022" t="s">
        <v>1022</v>
      </c>
      <c r="F2022" t="str">
        <f>"251479"</f>
        <v>251479</v>
      </c>
      <c r="G2022" t="s">
        <v>49</v>
      </c>
      <c r="K2022" t="s">
        <v>51</v>
      </c>
      <c r="L2022" t="s">
        <v>52</v>
      </c>
      <c r="M2022">
        <v>132662.34</v>
      </c>
      <c r="N2022">
        <v>473496.21</v>
      </c>
      <c r="O2022" t="s">
        <v>53</v>
      </c>
      <c r="P2022" t="s">
        <v>54</v>
      </c>
      <c r="Q2022" t="s">
        <v>55</v>
      </c>
      <c r="T2022" t="s">
        <v>81</v>
      </c>
      <c r="U2022">
        <v>40</v>
      </c>
      <c r="V2022" s="1">
        <v>31048</v>
      </c>
      <c r="W2022" s="1">
        <v>31048</v>
      </c>
      <c r="X2022" s="1">
        <v>31048</v>
      </c>
      <c r="Y2022" s="1">
        <v>45658</v>
      </c>
      <c r="Z2022" t="s">
        <v>51</v>
      </c>
      <c r="AB2022" t="s">
        <v>54</v>
      </c>
      <c r="AC2022">
        <v>1</v>
      </c>
      <c r="AE2022" t="s">
        <v>1024</v>
      </c>
      <c r="AF2022">
        <v>20</v>
      </c>
      <c r="AG2022" s="1">
        <v>31048</v>
      </c>
      <c r="AH2022" s="1">
        <v>31048</v>
      </c>
      <c r="AI2022" s="1">
        <v>31048</v>
      </c>
      <c r="AJ2022" s="1">
        <v>38353</v>
      </c>
      <c r="AK2022" t="s">
        <v>51</v>
      </c>
      <c r="AN2022">
        <v>0</v>
      </c>
      <c r="AO2022" t="s">
        <v>54</v>
      </c>
      <c r="AP2022" t="s">
        <v>53</v>
      </c>
      <c r="AQ2022">
        <v>0</v>
      </c>
      <c r="AR2022" t="s">
        <v>145</v>
      </c>
      <c r="AS2022">
        <v>0</v>
      </c>
      <c r="AT2022">
        <v>0</v>
      </c>
      <c r="CC2022" t="s">
        <v>555</v>
      </c>
      <c r="CD2022">
        <v>85000</v>
      </c>
      <c r="CE2022" s="1">
        <v>44363</v>
      </c>
      <c r="CF2022" s="1">
        <v>44363</v>
      </c>
      <c r="CG2022" s="1">
        <v>44363</v>
      </c>
      <c r="CH2022" s="1">
        <v>51955</v>
      </c>
      <c r="CI2022" t="s">
        <v>51</v>
      </c>
      <c r="CK2022" t="s">
        <v>78</v>
      </c>
      <c r="CM2022" t="s">
        <v>54</v>
      </c>
      <c r="CN2022" t="s">
        <v>174</v>
      </c>
      <c r="CO2022" t="s">
        <v>86</v>
      </c>
      <c r="CR2022">
        <v>20</v>
      </c>
      <c r="CS2022">
        <v>0</v>
      </c>
      <c r="CT2022">
        <v>0</v>
      </c>
      <c r="CU2022">
        <v>0</v>
      </c>
    </row>
    <row r="2023" spans="1:99" x14ac:dyDescent="0.2">
      <c r="A2023" t="s">
        <v>1012</v>
      </c>
      <c r="B2023" t="s">
        <v>1013</v>
      </c>
      <c r="C2023" t="s">
        <v>1025</v>
      </c>
      <c r="D2023" t="s">
        <v>1022</v>
      </c>
      <c r="F2023" t="str">
        <f>"251480"</f>
        <v>251480</v>
      </c>
      <c r="G2023" t="s">
        <v>49</v>
      </c>
      <c r="K2023" t="s">
        <v>51</v>
      </c>
      <c r="L2023" t="s">
        <v>52</v>
      </c>
      <c r="M2023">
        <v>132686.51999999999</v>
      </c>
      <c r="N2023">
        <v>473506.27</v>
      </c>
      <c r="O2023" t="s">
        <v>53</v>
      </c>
      <c r="P2023" t="s">
        <v>54</v>
      </c>
      <c r="Q2023" t="s">
        <v>55</v>
      </c>
      <c r="T2023" t="s">
        <v>81</v>
      </c>
      <c r="U2023">
        <v>40</v>
      </c>
      <c r="V2023" s="1">
        <v>31048</v>
      </c>
      <c r="W2023" s="1">
        <v>31048</v>
      </c>
      <c r="X2023" s="1">
        <v>31048</v>
      </c>
      <c r="Y2023" s="1">
        <v>45658</v>
      </c>
      <c r="Z2023" t="s">
        <v>51</v>
      </c>
      <c r="AB2023" t="s">
        <v>54</v>
      </c>
      <c r="AC2023">
        <v>1</v>
      </c>
      <c r="AE2023" t="s">
        <v>1024</v>
      </c>
      <c r="AF2023">
        <v>20</v>
      </c>
      <c r="AG2023" s="1">
        <v>44363</v>
      </c>
      <c r="AH2023" s="1">
        <v>44363</v>
      </c>
      <c r="AI2023" s="1">
        <v>44363</v>
      </c>
      <c r="AJ2023" s="1">
        <v>51668</v>
      </c>
      <c r="AK2023" t="s">
        <v>51</v>
      </c>
      <c r="AN2023">
        <v>0</v>
      </c>
      <c r="AO2023" t="s">
        <v>54</v>
      </c>
      <c r="AP2023" t="s">
        <v>53</v>
      </c>
      <c r="AQ2023">
        <v>0</v>
      </c>
      <c r="AR2023" t="s">
        <v>145</v>
      </c>
      <c r="AS2023">
        <v>0</v>
      </c>
      <c r="AT2023">
        <v>0</v>
      </c>
      <c r="CC2023" t="s">
        <v>555</v>
      </c>
      <c r="CD2023">
        <v>85000</v>
      </c>
      <c r="CE2023" s="1">
        <v>44363</v>
      </c>
      <c r="CF2023" s="1">
        <v>44363</v>
      </c>
      <c r="CG2023" s="1">
        <v>44363</v>
      </c>
      <c r="CH2023" s="1">
        <v>51955</v>
      </c>
      <c r="CI2023" t="s">
        <v>51</v>
      </c>
      <c r="CK2023" t="s">
        <v>78</v>
      </c>
      <c r="CM2023" t="s">
        <v>54</v>
      </c>
      <c r="CN2023" t="s">
        <v>174</v>
      </c>
      <c r="CO2023" t="s">
        <v>86</v>
      </c>
      <c r="CR2023">
        <v>20</v>
      </c>
      <c r="CS2023">
        <v>0</v>
      </c>
      <c r="CT2023">
        <v>0</v>
      </c>
      <c r="CU2023">
        <v>0</v>
      </c>
    </row>
    <row r="2024" spans="1:99" x14ac:dyDescent="0.2">
      <c r="A2024" t="s">
        <v>1012</v>
      </c>
      <c r="B2024" t="s">
        <v>1013</v>
      </c>
      <c r="C2024" t="s">
        <v>1025</v>
      </c>
      <c r="D2024" t="s">
        <v>1022</v>
      </c>
      <c r="F2024" t="str">
        <f>"251481"</f>
        <v>251481</v>
      </c>
      <c r="G2024" t="s">
        <v>49</v>
      </c>
      <c r="H2024">
        <v>30</v>
      </c>
      <c r="K2024" t="s">
        <v>51</v>
      </c>
      <c r="L2024" t="s">
        <v>52</v>
      </c>
      <c r="M2024">
        <v>132704.73000000001</v>
      </c>
      <c r="N2024">
        <v>473500.23</v>
      </c>
      <c r="O2024" t="s">
        <v>53</v>
      </c>
      <c r="P2024" t="s">
        <v>54</v>
      </c>
      <c r="Q2024" t="s">
        <v>55</v>
      </c>
      <c r="T2024" t="s">
        <v>81</v>
      </c>
      <c r="U2024">
        <v>40</v>
      </c>
      <c r="V2024" s="1">
        <v>31048</v>
      </c>
      <c r="W2024" s="1">
        <v>31048</v>
      </c>
      <c r="X2024" s="1">
        <v>31048</v>
      </c>
      <c r="Y2024" s="1">
        <v>45658</v>
      </c>
      <c r="Z2024" t="s">
        <v>51</v>
      </c>
      <c r="AB2024" t="s">
        <v>54</v>
      </c>
      <c r="AC2024">
        <v>1</v>
      </c>
      <c r="AE2024" t="s">
        <v>1024</v>
      </c>
      <c r="AF2024">
        <v>20</v>
      </c>
      <c r="AG2024" s="1">
        <v>44363</v>
      </c>
      <c r="AH2024" s="1">
        <v>44363</v>
      </c>
      <c r="AI2024" s="1">
        <v>44363</v>
      </c>
      <c r="AJ2024" s="1">
        <v>51668</v>
      </c>
      <c r="AK2024" t="s">
        <v>51</v>
      </c>
      <c r="AN2024">
        <v>0</v>
      </c>
      <c r="AO2024" t="s">
        <v>54</v>
      </c>
      <c r="AP2024" t="s">
        <v>53</v>
      </c>
      <c r="AQ2024">
        <v>0</v>
      </c>
      <c r="AR2024" t="s">
        <v>145</v>
      </c>
      <c r="AS2024">
        <v>0</v>
      </c>
      <c r="AT2024">
        <v>0</v>
      </c>
      <c r="CC2024" t="s">
        <v>555</v>
      </c>
      <c r="CD2024">
        <v>85000</v>
      </c>
      <c r="CE2024" s="1">
        <v>44363</v>
      </c>
      <c r="CF2024" s="1">
        <v>44363</v>
      </c>
      <c r="CG2024" s="1">
        <v>44363</v>
      </c>
      <c r="CH2024" s="1">
        <v>51955</v>
      </c>
      <c r="CI2024" t="s">
        <v>51</v>
      </c>
      <c r="CK2024" t="s">
        <v>78</v>
      </c>
      <c r="CM2024" t="s">
        <v>54</v>
      </c>
      <c r="CN2024" t="s">
        <v>174</v>
      </c>
      <c r="CO2024" t="s">
        <v>86</v>
      </c>
      <c r="CR2024">
        <v>20</v>
      </c>
      <c r="CS2024">
        <v>0</v>
      </c>
      <c r="CT2024">
        <v>0</v>
      </c>
      <c r="CU2024">
        <v>0</v>
      </c>
    </row>
    <row r="2025" spans="1:99" x14ac:dyDescent="0.2">
      <c r="A2025" t="s">
        <v>1012</v>
      </c>
      <c r="B2025" t="s">
        <v>1013</v>
      </c>
      <c r="C2025" t="s">
        <v>1025</v>
      </c>
      <c r="D2025" t="s">
        <v>1022</v>
      </c>
      <c r="F2025" t="str">
        <f>"251482"</f>
        <v>251482</v>
      </c>
      <c r="G2025" t="s">
        <v>49</v>
      </c>
      <c r="H2025">
        <v>9</v>
      </c>
      <c r="K2025" t="s">
        <v>51</v>
      </c>
      <c r="L2025" t="s">
        <v>52</v>
      </c>
      <c r="M2025">
        <v>132738.63</v>
      </c>
      <c r="N2025">
        <v>473514.61</v>
      </c>
      <c r="O2025" t="s">
        <v>53</v>
      </c>
      <c r="P2025" t="s">
        <v>54</v>
      </c>
      <c r="Q2025" t="s">
        <v>55</v>
      </c>
      <c r="T2025" t="s">
        <v>81</v>
      </c>
      <c r="U2025">
        <v>40</v>
      </c>
      <c r="V2025" s="1">
        <v>31048</v>
      </c>
      <c r="W2025" s="1">
        <v>31048</v>
      </c>
      <c r="X2025" s="1">
        <v>31048</v>
      </c>
      <c r="Y2025" s="1">
        <v>45658</v>
      </c>
      <c r="Z2025" t="s">
        <v>51</v>
      </c>
      <c r="AB2025" t="s">
        <v>54</v>
      </c>
      <c r="AC2025">
        <v>1</v>
      </c>
      <c r="AE2025" t="s">
        <v>1024</v>
      </c>
      <c r="AF2025">
        <v>20</v>
      </c>
      <c r="AG2025" s="1">
        <v>44363</v>
      </c>
      <c r="AH2025" s="1">
        <v>44363</v>
      </c>
      <c r="AI2025" s="1">
        <v>44363</v>
      </c>
      <c r="AJ2025" s="1">
        <v>51668</v>
      </c>
      <c r="AK2025" t="s">
        <v>51</v>
      </c>
      <c r="AN2025">
        <v>0</v>
      </c>
      <c r="AO2025" t="s">
        <v>54</v>
      </c>
      <c r="AP2025" t="s">
        <v>53</v>
      </c>
      <c r="AQ2025">
        <v>0</v>
      </c>
      <c r="AR2025" t="s">
        <v>145</v>
      </c>
      <c r="AS2025">
        <v>0</v>
      </c>
      <c r="AT2025">
        <v>0</v>
      </c>
      <c r="CC2025" t="s">
        <v>555</v>
      </c>
      <c r="CD2025">
        <v>85000</v>
      </c>
      <c r="CE2025" s="1">
        <v>44363</v>
      </c>
      <c r="CF2025" s="1">
        <v>44363</v>
      </c>
      <c r="CG2025" s="1">
        <v>44363</v>
      </c>
      <c r="CH2025" s="1">
        <v>51955</v>
      </c>
      <c r="CI2025" t="s">
        <v>51</v>
      </c>
      <c r="CK2025" t="s">
        <v>78</v>
      </c>
      <c r="CM2025" t="s">
        <v>54</v>
      </c>
      <c r="CN2025" t="s">
        <v>174</v>
      </c>
      <c r="CO2025" t="s">
        <v>86</v>
      </c>
      <c r="CR2025">
        <v>20</v>
      </c>
      <c r="CS2025">
        <v>0</v>
      </c>
      <c r="CT2025">
        <v>0</v>
      </c>
      <c r="CU2025">
        <v>0</v>
      </c>
    </row>
    <row r="2026" spans="1:99" x14ac:dyDescent="0.2">
      <c r="A2026" t="s">
        <v>1012</v>
      </c>
      <c r="B2026" t="s">
        <v>1013</v>
      </c>
      <c r="C2026" t="s">
        <v>1025</v>
      </c>
      <c r="D2026" t="s">
        <v>1022</v>
      </c>
      <c r="F2026" t="str">
        <f>"251483"</f>
        <v>251483</v>
      </c>
      <c r="G2026" t="s">
        <v>49</v>
      </c>
      <c r="H2026">
        <v>30</v>
      </c>
      <c r="K2026" t="s">
        <v>51</v>
      </c>
      <c r="L2026" t="s">
        <v>52</v>
      </c>
      <c r="M2026">
        <v>132774.53</v>
      </c>
      <c r="N2026">
        <v>473506.58</v>
      </c>
      <c r="O2026" t="s">
        <v>53</v>
      </c>
      <c r="P2026" t="s">
        <v>54</v>
      </c>
      <c r="Q2026" t="s">
        <v>55</v>
      </c>
      <c r="T2026" t="s">
        <v>81</v>
      </c>
      <c r="U2026">
        <v>40</v>
      </c>
      <c r="V2026" s="1">
        <v>31048</v>
      </c>
      <c r="W2026" s="1">
        <v>31048</v>
      </c>
      <c r="X2026" s="1">
        <v>31048</v>
      </c>
      <c r="Y2026" s="1">
        <v>45658</v>
      </c>
      <c r="Z2026" t="s">
        <v>51</v>
      </c>
      <c r="AB2026" t="s">
        <v>54</v>
      </c>
      <c r="AC2026">
        <v>1</v>
      </c>
      <c r="AE2026" t="s">
        <v>1024</v>
      </c>
      <c r="AF2026">
        <v>20</v>
      </c>
      <c r="AG2026" s="1">
        <v>44363</v>
      </c>
      <c r="AH2026" s="1">
        <v>44363</v>
      </c>
      <c r="AI2026" s="1">
        <v>44363</v>
      </c>
      <c r="AJ2026" s="1">
        <v>51668</v>
      </c>
      <c r="AK2026" t="s">
        <v>51</v>
      </c>
      <c r="AN2026">
        <v>0</v>
      </c>
      <c r="AO2026" t="s">
        <v>54</v>
      </c>
      <c r="AP2026" t="s">
        <v>53</v>
      </c>
      <c r="AQ2026">
        <v>0</v>
      </c>
      <c r="AR2026" t="s">
        <v>145</v>
      </c>
      <c r="AS2026">
        <v>0</v>
      </c>
      <c r="AT2026">
        <v>0</v>
      </c>
      <c r="CC2026" t="s">
        <v>555</v>
      </c>
      <c r="CD2026">
        <v>85000</v>
      </c>
      <c r="CE2026" s="1">
        <v>44363</v>
      </c>
      <c r="CF2026" s="1">
        <v>44363</v>
      </c>
      <c r="CG2026" s="1">
        <v>44363</v>
      </c>
      <c r="CH2026" s="1">
        <v>51955</v>
      </c>
      <c r="CI2026" t="s">
        <v>51</v>
      </c>
      <c r="CK2026" t="s">
        <v>78</v>
      </c>
      <c r="CM2026" t="s">
        <v>54</v>
      </c>
      <c r="CN2026" t="s">
        <v>174</v>
      </c>
      <c r="CO2026" t="s">
        <v>86</v>
      </c>
      <c r="CR2026">
        <v>20</v>
      </c>
      <c r="CS2026">
        <v>0</v>
      </c>
      <c r="CT2026">
        <v>0</v>
      </c>
      <c r="CU2026">
        <v>0</v>
      </c>
    </row>
    <row r="2027" spans="1:99" x14ac:dyDescent="0.2">
      <c r="A2027" t="s">
        <v>1012</v>
      </c>
      <c r="B2027" t="s">
        <v>1013</v>
      </c>
      <c r="C2027" t="s">
        <v>1025</v>
      </c>
      <c r="D2027" t="s">
        <v>1022</v>
      </c>
      <c r="F2027" t="str">
        <f>"251484"</f>
        <v>251484</v>
      </c>
      <c r="G2027" t="s">
        <v>49</v>
      </c>
      <c r="H2027">
        <v>13</v>
      </c>
      <c r="K2027" t="s">
        <v>51</v>
      </c>
      <c r="L2027" t="s">
        <v>52</v>
      </c>
      <c r="M2027">
        <v>132808.25</v>
      </c>
      <c r="N2027">
        <v>473520.79</v>
      </c>
      <c r="O2027" t="s">
        <v>53</v>
      </c>
      <c r="P2027" t="s">
        <v>54</v>
      </c>
      <c r="Q2027" t="s">
        <v>55</v>
      </c>
      <c r="T2027" t="s">
        <v>81</v>
      </c>
      <c r="U2027">
        <v>40</v>
      </c>
      <c r="V2027" s="1">
        <v>31048</v>
      </c>
      <c r="W2027" s="1">
        <v>31048</v>
      </c>
      <c r="X2027" s="1">
        <v>31048</v>
      </c>
      <c r="Y2027" s="1">
        <v>45658</v>
      </c>
      <c r="Z2027" t="s">
        <v>51</v>
      </c>
      <c r="AB2027" t="s">
        <v>54</v>
      </c>
      <c r="AC2027">
        <v>1</v>
      </c>
      <c r="AE2027" t="s">
        <v>1024</v>
      </c>
      <c r="AF2027">
        <v>20</v>
      </c>
      <c r="AG2027" s="1">
        <v>44363</v>
      </c>
      <c r="AH2027" s="1">
        <v>44363</v>
      </c>
      <c r="AI2027" s="1">
        <v>44363</v>
      </c>
      <c r="AJ2027" s="1">
        <v>51668</v>
      </c>
      <c r="AK2027" t="s">
        <v>51</v>
      </c>
      <c r="AN2027">
        <v>0</v>
      </c>
      <c r="AO2027" t="s">
        <v>54</v>
      </c>
      <c r="AP2027" t="s">
        <v>53</v>
      </c>
      <c r="AQ2027">
        <v>0</v>
      </c>
      <c r="AR2027" t="s">
        <v>145</v>
      </c>
      <c r="AS2027">
        <v>0</v>
      </c>
      <c r="AT2027">
        <v>0</v>
      </c>
      <c r="CC2027" t="s">
        <v>555</v>
      </c>
      <c r="CD2027">
        <v>85000</v>
      </c>
      <c r="CE2027" s="1">
        <v>44363</v>
      </c>
      <c r="CF2027" s="1">
        <v>44363</v>
      </c>
      <c r="CG2027" s="1">
        <v>44363</v>
      </c>
      <c r="CH2027" s="1">
        <v>51955</v>
      </c>
      <c r="CI2027" t="s">
        <v>51</v>
      </c>
      <c r="CK2027" t="s">
        <v>78</v>
      </c>
      <c r="CM2027" t="s">
        <v>54</v>
      </c>
      <c r="CN2027" t="s">
        <v>174</v>
      </c>
      <c r="CO2027" t="s">
        <v>86</v>
      </c>
      <c r="CR2027">
        <v>20</v>
      </c>
      <c r="CS2027">
        <v>0</v>
      </c>
      <c r="CT2027">
        <v>0</v>
      </c>
      <c r="CU2027">
        <v>0</v>
      </c>
    </row>
    <row r="2028" spans="1:99" x14ac:dyDescent="0.2">
      <c r="A2028" t="s">
        <v>1012</v>
      </c>
      <c r="B2028" t="s">
        <v>1013</v>
      </c>
      <c r="C2028" t="s">
        <v>1025</v>
      </c>
      <c r="D2028" t="s">
        <v>1022</v>
      </c>
      <c r="F2028" t="str">
        <f>"251485"</f>
        <v>251485</v>
      </c>
      <c r="G2028" t="s">
        <v>49</v>
      </c>
      <c r="H2028">
        <v>15</v>
      </c>
      <c r="K2028" t="s">
        <v>51</v>
      </c>
      <c r="L2028" t="s">
        <v>52</v>
      </c>
      <c r="M2028">
        <v>132844.25</v>
      </c>
      <c r="N2028">
        <v>473512.82</v>
      </c>
      <c r="O2028" t="s">
        <v>53</v>
      </c>
      <c r="P2028" t="s">
        <v>54</v>
      </c>
      <c r="Q2028" t="s">
        <v>55</v>
      </c>
      <c r="T2028" t="s">
        <v>81</v>
      </c>
      <c r="U2028">
        <v>40</v>
      </c>
      <c r="V2028" s="1">
        <v>31048</v>
      </c>
      <c r="W2028" s="1">
        <v>31048</v>
      </c>
      <c r="X2028" s="1">
        <v>31048</v>
      </c>
      <c r="Y2028" s="1">
        <v>45658</v>
      </c>
      <c r="Z2028" t="s">
        <v>51</v>
      </c>
      <c r="AB2028" t="s">
        <v>54</v>
      </c>
      <c r="AC2028">
        <v>1</v>
      </c>
      <c r="AE2028" t="s">
        <v>1024</v>
      </c>
      <c r="AF2028">
        <v>20</v>
      </c>
      <c r="AG2028" s="1">
        <v>44363</v>
      </c>
      <c r="AH2028" s="1">
        <v>44363</v>
      </c>
      <c r="AI2028" s="1">
        <v>44363</v>
      </c>
      <c r="AJ2028" s="1">
        <v>51668</v>
      </c>
      <c r="AK2028" t="s">
        <v>51</v>
      </c>
      <c r="AN2028">
        <v>0</v>
      </c>
      <c r="AO2028" t="s">
        <v>54</v>
      </c>
      <c r="AP2028" t="s">
        <v>53</v>
      </c>
      <c r="AQ2028">
        <v>0</v>
      </c>
      <c r="AR2028" t="s">
        <v>145</v>
      </c>
      <c r="AS2028">
        <v>0</v>
      </c>
      <c r="AT2028">
        <v>0</v>
      </c>
      <c r="CC2028" t="s">
        <v>555</v>
      </c>
      <c r="CD2028">
        <v>85000</v>
      </c>
      <c r="CE2028" s="1">
        <v>44363</v>
      </c>
      <c r="CF2028" s="1">
        <v>44363</v>
      </c>
      <c r="CG2028" s="1">
        <v>44363</v>
      </c>
      <c r="CH2028" s="1">
        <v>51955</v>
      </c>
      <c r="CI2028" t="s">
        <v>51</v>
      </c>
      <c r="CK2028" t="s">
        <v>78</v>
      </c>
      <c r="CM2028" t="s">
        <v>54</v>
      </c>
      <c r="CN2028" t="s">
        <v>174</v>
      </c>
      <c r="CO2028" t="s">
        <v>86</v>
      </c>
      <c r="CR2028">
        <v>20</v>
      </c>
      <c r="CS2028">
        <v>0</v>
      </c>
      <c r="CT2028">
        <v>0</v>
      </c>
      <c r="CU2028">
        <v>0</v>
      </c>
    </row>
    <row r="2029" spans="1:99" x14ac:dyDescent="0.2">
      <c r="A2029" t="s">
        <v>1012</v>
      </c>
      <c r="B2029" t="s">
        <v>1013</v>
      </c>
      <c r="C2029" t="s">
        <v>1025</v>
      </c>
      <c r="D2029" t="s">
        <v>1022</v>
      </c>
      <c r="F2029" t="str">
        <f>"251486"</f>
        <v>251486</v>
      </c>
      <c r="G2029" t="s">
        <v>49</v>
      </c>
      <c r="H2029">
        <v>17</v>
      </c>
      <c r="K2029" t="s">
        <v>51</v>
      </c>
      <c r="L2029" t="s">
        <v>52</v>
      </c>
      <c r="M2029">
        <v>132873.92000000001</v>
      </c>
      <c r="N2029">
        <v>473526.94</v>
      </c>
      <c r="O2029" t="s">
        <v>53</v>
      </c>
      <c r="P2029" t="s">
        <v>54</v>
      </c>
      <c r="Q2029" t="s">
        <v>55</v>
      </c>
      <c r="T2029" t="s">
        <v>81</v>
      </c>
      <c r="U2029">
        <v>40</v>
      </c>
      <c r="V2029" s="1">
        <v>31048</v>
      </c>
      <c r="W2029" s="1">
        <v>31048</v>
      </c>
      <c r="X2029" s="1">
        <v>31048</v>
      </c>
      <c r="Y2029" s="1">
        <v>45658</v>
      </c>
      <c r="Z2029" t="s">
        <v>51</v>
      </c>
      <c r="AB2029" t="s">
        <v>54</v>
      </c>
      <c r="AC2029">
        <v>1</v>
      </c>
      <c r="AE2029" t="s">
        <v>1024</v>
      </c>
      <c r="AF2029">
        <v>20</v>
      </c>
      <c r="AG2029" s="1">
        <v>44363</v>
      </c>
      <c r="AH2029" s="1">
        <v>44363</v>
      </c>
      <c r="AI2029" s="1">
        <v>44363</v>
      </c>
      <c r="AJ2029" s="1">
        <v>51668</v>
      </c>
      <c r="AK2029" t="s">
        <v>51</v>
      </c>
      <c r="AN2029">
        <v>0</v>
      </c>
      <c r="AO2029" t="s">
        <v>54</v>
      </c>
      <c r="AP2029" t="s">
        <v>53</v>
      </c>
      <c r="AQ2029">
        <v>0</v>
      </c>
      <c r="AR2029" t="s">
        <v>145</v>
      </c>
      <c r="AS2029">
        <v>0</v>
      </c>
      <c r="AT2029">
        <v>0</v>
      </c>
      <c r="CC2029" t="s">
        <v>555</v>
      </c>
      <c r="CD2029">
        <v>85000</v>
      </c>
      <c r="CE2029" s="1">
        <v>44363</v>
      </c>
      <c r="CF2029" s="1">
        <v>44363</v>
      </c>
      <c r="CG2029" s="1">
        <v>44363</v>
      </c>
      <c r="CH2029" s="1">
        <v>51955</v>
      </c>
      <c r="CI2029" t="s">
        <v>51</v>
      </c>
      <c r="CK2029" t="s">
        <v>78</v>
      </c>
      <c r="CM2029" t="s">
        <v>54</v>
      </c>
      <c r="CN2029" t="s">
        <v>174</v>
      </c>
      <c r="CO2029" t="s">
        <v>86</v>
      </c>
      <c r="CR2029">
        <v>20</v>
      </c>
      <c r="CS2029">
        <v>0</v>
      </c>
      <c r="CT2029">
        <v>0</v>
      </c>
      <c r="CU2029">
        <v>0</v>
      </c>
    </row>
    <row r="2030" spans="1:99" x14ac:dyDescent="0.2">
      <c r="A2030" t="s">
        <v>1012</v>
      </c>
      <c r="B2030" t="s">
        <v>1013</v>
      </c>
      <c r="C2030" t="s">
        <v>1025</v>
      </c>
      <c r="D2030" t="s">
        <v>1022</v>
      </c>
      <c r="F2030" t="str">
        <f>"251487"</f>
        <v>251487</v>
      </c>
      <c r="G2030" t="s">
        <v>49</v>
      </c>
      <c r="H2030">
        <v>32</v>
      </c>
      <c r="K2030" t="s">
        <v>51</v>
      </c>
      <c r="L2030" t="s">
        <v>52</v>
      </c>
      <c r="M2030">
        <v>132912.87</v>
      </c>
      <c r="N2030">
        <v>473518.9</v>
      </c>
      <c r="O2030" t="s">
        <v>53</v>
      </c>
      <c r="P2030" t="s">
        <v>54</v>
      </c>
      <c r="Q2030" t="s">
        <v>55</v>
      </c>
      <c r="T2030" t="s">
        <v>81</v>
      </c>
      <c r="U2030">
        <v>40</v>
      </c>
      <c r="V2030" s="1">
        <v>31048</v>
      </c>
      <c r="W2030" s="1">
        <v>31048</v>
      </c>
      <c r="X2030" s="1">
        <v>31048</v>
      </c>
      <c r="Y2030" s="1">
        <v>45658</v>
      </c>
      <c r="Z2030" t="s">
        <v>51</v>
      </c>
      <c r="AB2030" t="s">
        <v>54</v>
      </c>
      <c r="AC2030">
        <v>1</v>
      </c>
      <c r="AE2030" t="s">
        <v>1024</v>
      </c>
      <c r="AF2030">
        <v>20</v>
      </c>
      <c r="AG2030" s="1">
        <v>44363</v>
      </c>
      <c r="AH2030" s="1">
        <v>44363</v>
      </c>
      <c r="AI2030" s="1">
        <v>44363</v>
      </c>
      <c r="AJ2030" s="1">
        <v>51668</v>
      </c>
      <c r="AK2030" t="s">
        <v>51</v>
      </c>
      <c r="AN2030">
        <v>0</v>
      </c>
      <c r="AO2030" t="s">
        <v>54</v>
      </c>
      <c r="AP2030" t="s">
        <v>53</v>
      </c>
      <c r="AQ2030">
        <v>0</v>
      </c>
      <c r="AR2030" t="s">
        <v>145</v>
      </c>
      <c r="AS2030">
        <v>0</v>
      </c>
      <c r="AT2030">
        <v>0</v>
      </c>
      <c r="CC2030" t="s">
        <v>555</v>
      </c>
      <c r="CD2030">
        <v>85000</v>
      </c>
      <c r="CE2030" s="1">
        <v>44363</v>
      </c>
      <c r="CF2030" s="1">
        <v>44363</v>
      </c>
      <c r="CG2030" s="1">
        <v>44363</v>
      </c>
      <c r="CH2030" s="1">
        <v>51955</v>
      </c>
      <c r="CI2030" t="s">
        <v>51</v>
      </c>
      <c r="CK2030" t="s">
        <v>78</v>
      </c>
      <c r="CM2030" t="s">
        <v>54</v>
      </c>
      <c r="CN2030" t="s">
        <v>174</v>
      </c>
      <c r="CO2030" t="s">
        <v>86</v>
      </c>
      <c r="CR2030">
        <v>20</v>
      </c>
      <c r="CS2030">
        <v>0</v>
      </c>
      <c r="CT2030">
        <v>0</v>
      </c>
      <c r="CU2030">
        <v>0</v>
      </c>
    </row>
    <row r="2031" spans="1:99" x14ac:dyDescent="0.2">
      <c r="A2031" t="s">
        <v>1012</v>
      </c>
      <c r="B2031" t="s">
        <v>1013</v>
      </c>
      <c r="C2031" t="s">
        <v>1025</v>
      </c>
      <c r="D2031" t="s">
        <v>1022</v>
      </c>
      <c r="F2031" t="str">
        <f>"251488"</f>
        <v>251488</v>
      </c>
      <c r="G2031" t="s">
        <v>49</v>
      </c>
      <c r="H2031" t="s">
        <v>1026</v>
      </c>
      <c r="K2031" t="s">
        <v>51</v>
      </c>
      <c r="L2031" t="s">
        <v>52</v>
      </c>
      <c r="M2031">
        <v>132946.76</v>
      </c>
      <c r="N2031">
        <v>473533.09</v>
      </c>
      <c r="O2031" t="s">
        <v>53</v>
      </c>
      <c r="P2031" t="s">
        <v>54</v>
      </c>
      <c r="Q2031" t="s">
        <v>55</v>
      </c>
      <c r="T2031" t="s">
        <v>81</v>
      </c>
      <c r="U2031">
        <v>40</v>
      </c>
      <c r="V2031" s="1">
        <v>31048</v>
      </c>
      <c r="W2031" s="1">
        <v>31048</v>
      </c>
      <c r="X2031" s="1">
        <v>31048</v>
      </c>
      <c r="Y2031" s="1">
        <v>45658</v>
      </c>
      <c r="Z2031" t="s">
        <v>51</v>
      </c>
      <c r="AB2031" t="s">
        <v>54</v>
      </c>
      <c r="AC2031">
        <v>1</v>
      </c>
      <c r="AE2031" t="s">
        <v>1024</v>
      </c>
      <c r="AF2031">
        <v>20</v>
      </c>
      <c r="AG2031" s="1">
        <v>44363</v>
      </c>
      <c r="AH2031" s="1">
        <v>44363</v>
      </c>
      <c r="AI2031" s="1">
        <v>44363</v>
      </c>
      <c r="AJ2031" s="1">
        <v>51668</v>
      </c>
      <c r="AK2031" t="s">
        <v>51</v>
      </c>
      <c r="AN2031">
        <v>0</v>
      </c>
      <c r="AO2031" t="s">
        <v>54</v>
      </c>
      <c r="AP2031" t="s">
        <v>53</v>
      </c>
      <c r="AQ2031">
        <v>0</v>
      </c>
      <c r="AR2031" t="s">
        <v>145</v>
      </c>
      <c r="AS2031">
        <v>0</v>
      </c>
      <c r="AT2031">
        <v>0</v>
      </c>
      <c r="CC2031" t="s">
        <v>555</v>
      </c>
      <c r="CD2031">
        <v>85000</v>
      </c>
      <c r="CE2031" s="1">
        <v>44363</v>
      </c>
      <c r="CF2031" s="1">
        <v>44363</v>
      </c>
      <c r="CG2031" s="1">
        <v>44363</v>
      </c>
      <c r="CH2031" s="1">
        <v>51955</v>
      </c>
      <c r="CI2031" t="s">
        <v>51</v>
      </c>
      <c r="CK2031" t="s">
        <v>78</v>
      </c>
      <c r="CM2031" t="s">
        <v>54</v>
      </c>
      <c r="CN2031" t="s">
        <v>174</v>
      </c>
      <c r="CO2031" t="s">
        <v>86</v>
      </c>
      <c r="CR2031">
        <v>20</v>
      </c>
      <c r="CS2031">
        <v>0</v>
      </c>
      <c r="CT2031">
        <v>0</v>
      </c>
      <c r="CU2031">
        <v>0</v>
      </c>
    </row>
    <row r="2032" spans="1:99" x14ac:dyDescent="0.2">
      <c r="A2032" t="s">
        <v>1012</v>
      </c>
      <c r="B2032" t="s">
        <v>1013</v>
      </c>
      <c r="C2032" t="s">
        <v>1025</v>
      </c>
      <c r="D2032" t="s">
        <v>1022</v>
      </c>
      <c r="F2032" t="str">
        <f>"251489"</f>
        <v>251489</v>
      </c>
      <c r="G2032" t="s">
        <v>49</v>
      </c>
      <c r="H2032" t="s">
        <v>1026</v>
      </c>
      <c r="K2032" t="s">
        <v>51</v>
      </c>
      <c r="L2032" t="s">
        <v>52</v>
      </c>
      <c r="M2032">
        <v>132982.20000000001</v>
      </c>
      <c r="N2032">
        <v>473524.97</v>
      </c>
      <c r="O2032" t="s">
        <v>53</v>
      </c>
      <c r="P2032" t="s">
        <v>54</v>
      </c>
      <c r="Q2032" t="s">
        <v>55</v>
      </c>
      <c r="T2032" t="s">
        <v>81</v>
      </c>
      <c r="U2032">
        <v>40</v>
      </c>
      <c r="V2032" s="1">
        <v>31048</v>
      </c>
      <c r="W2032" s="1">
        <v>31048</v>
      </c>
      <c r="X2032" s="1">
        <v>31048</v>
      </c>
      <c r="Y2032" s="1">
        <v>45658</v>
      </c>
      <c r="Z2032" t="s">
        <v>51</v>
      </c>
      <c r="AB2032" t="s">
        <v>54</v>
      </c>
      <c r="AC2032">
        <v>1</v>
      </c>
      <c r="AE2032" t="s">
        <v>1024</v>
      </c>
      <c r="AF2032">
        <v>20</v>
      </c>
      <c r="AG2032" s="1">
        <v>44363</v>
      </c>
      <c r="AH2032" s="1">
        <v>44363</v>
      </c>
      <c r="AI2032" s="1">
        <v>44363</v>
      </c>
      <c r="AJ2032" s="1">
        <v>51668</v>
      </c>
      <c r="AK2032" t="s">
        <v>51</v>
      </c>
      <c r="AN2032">
        <v>0</v>
      </c>
      <c r="AO2032" t="s">
        <v>54</v>
      </c>
      <c r="AP2032" t="s">
        <v>53</v>
      </c>
      <c r="AQ2032">
        <v>0</v>
      </c>
      <c r="AR2032" t="s">
        <v>145</v>
      </c>
      <c r="AS2032">
        <v>0</v>
      </c>
      <c r="AT2032">
        <v>0</v>
      </c>
      <c r="CC2032" t="s">
        <v>555</v>
      </c>
      <c r="CD2032">
        <v>85000</v>
      </c>
      <c r="CE2032" s="1">
        <v>44363</v>
      </c>
      <c r="CF2032" s="1">
        <v>44363</v>
      </c>
      <c r="CG2032" s="1">
        <v>44363</v>
      </c>
      <c r="CH2032" s="1">
        <v>51955</v>
      </c>
      <c r="CI2032" t="s">
        <v>51</v>
      </c>
      <c r="CK2032" t="s">
        <v>78</v>
      </c>
      <c r="CM2032" t="s">
        <v>54</v>
      </c>
      <c r="CN2032" t="s">
        <v>174</v>
      </c>
      <c r="CO2032" t="s">
        <v>86</v>
      </c>
      <c r="CR2032">
        <v>20</v>
      </c>
      <c r="CS2032">
        <v>0</v>
      </c>
      <c r="CT2032">
        <v>0</v>
      </c>
      <c r="CU2032">
        <v>0</v>
      </c>
    </row>
    <row r="2033" spans="1:99" x14ac:dyDescent="0.2">
      <c r="A2033" t="s">
        <v>1012</v>
      </c>
      <c r="B2033" t="s">
        <v>1013</v>
      </c>
      <c r="C2033" t="s">
        <v>1025</v>
      </c>
      <c r="D2033" t="s">
        <v>1022</v>
      </c>
      <c r="F2033" t="str">
        <f>"251490"</f>
        <v>251490</v>
      </c>
      <c r="G2033" t="s">
        <v>49</v>
      </c>
      <c r="H2033">
        <v>21</v>
      </c>
      <c r="K2033" t="s">
        <v>51</v>
      </c>
      <c r="L2033" t="s">
        <v>52</v>
      </c>
      <c r="M2033">
        <v>133015.94</v>
      </c>
      <c r="N2033">
        <v>473539.15</v>
      </c>
      <c r="O2033" t="s">
        <v>53</v>
      </c>
      <c r="P2033" t="s">
        <v>54</v>
      </c>
      <c r="Q2033" t="s">
        <v>55</v>
      </c>
      <c r="T2033" t="s">
        <v>81</v>
      </c>
      <c r="U2033">
        <v>40</v>
      </c>
      <c r="V2033" s="1">
        <v>31048</v>
      </c>
      <c r="W2033" s="1">
        <v>31048</v>
      </c>
      <c r="X2033" s="1">
        <v>31048</v>
      </c>
      <c r="Y2033" s="1">
        <v>45658</v>
      </c>
      <c r="Z2033" t="s">
        <v>51</v>
      </c>
      <c r="AB2033" t="s">
        <v>54</v>
      </c>
      <c r="AC2033">
        <v>1</v>
      </c>
      <c r="AE2033" t="s">
        <v>1024</v>
      </c>
      <c r="AF2033">
        <v>20</v>
      </c>
      <c r="AG2033" s="1">
        <v>44363</v>
      </c>
      <c r="AH2033" s="1">
        <v>44363</v>
      </c>
      <c r="AI2033" s="1">
        <v>44363</v>
      </c>
      <c r="AJ2033" s="1">
        <v>51668</v>
      </c>
      <c r="AK2033" t="s">
        <v>51</v>
      </c>
      <c r="AN2033">
        <v>0</v>
      </c>
      <c r="AO2033" t="s">
        <v>54</v>
      </c>
      <c r="AP2033" t="s">
        <v>53</v>
      </c>
      <c r="AQ2033">
        <v>0</v>
      </c>
      <c r="AR2033" t="s">
        <v>145</v>
      </c>
      <c r="AS2033">
        <v>0</v>
      </c>
      <c r="AT2033">
        <v>0</v>
      </c>
      <c r="CC2033" t="s">
        <v>555</v>
      </c>
      <c r="CD2033">
        <v>85000</v>
      </c>
      <c r="CE2033" s="1">
        <v>44363</v>
      </c>
      <c r="CF2033" s="1">
        <v>44363</v>
      </c>
      <c r="CG2033" s="1">
        <v>44363</v>
      </c>
      <c r="CH2033" s="1">
        <v>51955</v>
      </c>
      <c r="CI2033" t="s">
        <v>51</v>
      </c>
      <c r="CK2033" t="s">
        <v>78</v>
      </c>
      <c r="CM2033" t="s">
        <v>54</v>
      </c>
      <c r="CN2033" t="s">
        <v>174</v>
      </c>
      <c r="CO2033" t="s">
        <v>86</v>
      </c>
      <c r="CR2033">
        <v>20</v>
      </c>
      <c r="CS2033">
        <v>0</v>
      </c>
      <c r="CT2033">
        <v>0</v>
      </c>
      <c r="CU2033">
        <v>0</v>
      </c>
    </row>
    <row r="2034" spans="1:99" x14ac:dyDescent="0.2">
      <c r="A2034" t="s">
        <v>1012</v>
      </c>
      <c r="B2034" t="s">
        <v>1013</v>
      </c>
      <c r="C2034" t="s">
        <v>1025</v>
      </c>
      <c r="D2034" t="s">
        <v>1022</v>
      </c>
      <c r="F2034" t="str">
        <f>"251491"</f>
        <v>251491</v>
      </c>
      <c r="G2034" t="s">
        <v>49</v>
      </c>
      <c r="H2034">
        <v>21</v>
      </c>
      <c r="K2034" t="s">
        <v>51</v>
      </c>
      <c r="L2034" t="s">
        <v>52</v>
      </c>
      <c r="M2034">
        <v>133051.71</v>
      </c>
      <c r="N2034">
        <v>473531.26</v>
      </c>
      <c r="O2034" t="s">
        <v>53</v>
      </c>
      <c r="P2034" t="s">
        <v>54</v>
      </c>
      <c r="Q2034" t="s">
        <v>55</v>
      </c>
      <c r="T2034" t="s">
        <v>81</v>
      </c>
      <c r="U2034">
        <v>40</v>
      </c>
      <c r="V2034" s="1">
        <v>31048</v>
      </c>
      <c r="W2034" s="1">
        <v>31048</v>
      </c>
      <c r="X2034" s="1">
        <v>31048</v>
      </c>
      <c r="Y2034" s="1">
        <v>45658</v>
      </c>
      <c r="Z2034" t="s">
        <v>51</v>
      </c>
      <c r="AB2034" t="s">
        <v>54</v>
      </c>
      <c r="AC2034">
        <v>1</v>
      </c>
      <c r="AE2034" t="s">
        <v>1024</v>
      </c>
      <c r="AF2034">
        <v>20</v>
      </c>
      <c r="AG2034" s="1">
        <v>44363</v>
      </c>
      <c r="AH2034" s="1">
        <v>44363</v>
      </c>
      <c r="AI2034" s="1">
        <v>44363</v>
      </c>
      <c r="AJ2034" s="1">
        <v>51668</v>
      </c>
      <c r="AK2034" t="s">
        <v>51</v>
      </c>
      <c r="AN2034">
        <v>0</v>
      </c>
      <c r="AO2034" t="s">
        <v>54</v>
      </c>
      <c r="AP2034" t="s">
        <v>53</v>
      </c>
      <c r="AQ2034">
        <v>0</v>
      </c>
      <c r="AR2034" t="s">
        <v>145</v>
      </c>
      <c r="AS2034">
        <v>0</v>
      </c>
      <c r="AT2034">
        <v>0</v>
      </c>
      <c r="CC2034" t="s">
        <v>555</v>
      </c>
      <c r="CD2034">
        <v>85000</v>
      </c>
      <c r="CE2034" s="1">
        <v>44363</v>
      </c>
      <c r="CF2034" s="1">
        <v>44363</v>
      </c>
      <c r="CG2034" s="1">
        <v>44363</v>
      </c>
      <c r="CH2034" s="1">
        <v>51955</v>
      </c>
      <c r="CI2034" t="s">
        <v>51</v>
      </c>
      <c r="CK2034" t="s">
        <v>78</v>
      </c>
      <c r="CM2034" t="s">
        <v>54</v>
      </c>
      <c r="CN2034" t="s">
        <v>174</v>
      </c>
      <c r="CO2034" t="s">
        <v>86</v>
      </c>
      <c r="CR2034">
        <v>20</v>
      </c>
      <c r="CS2034">
        <v>0</v>
      </c>
      <c r="CT2034">
        <v>0</v>
      </c>
      <c r="CU2034">
        <v>0</v>
      </c>
    </row>
    <row r="2035" spans="1:99" x14ac:dyDescent="0.2">
      <c r="A2035" t="s">
        <v>1012</v>
      </c>
      <c r="B2035" t="s">
        <v>1013</v>
      </c>
      <c r="C2035" t="s">
        <v>1025</v>
      </c>
      <c r="D2035" t="s">
        <v>1022</v>
      </c>
      <c r="F2035" t="str">
        <f>"251492"</f>
        <v>251492</v>
      </c>
      <c r="G2035" t="s">
        <v>49</v>
      </c>
      <c r="H2035">
        <v>21</v>
      </c>
      <c r="K2035" t="s">
        <v>51</v>
      </c>
      <c r="L2035" t="s">
        <v>52</v>
      </c>
      <c r="M2035">
        <v>133085.28</v>
      </c>
      <c r="N2035">
        <v>473545.8</v>
      </c>
      <c r="O2035" t="s">
        <v>53</v>
      </c>
      <c r="P2035" t="s">
        <v>54</v>
      </c>
      <c r="Q2035" t="s">
        <v>55</v>
      </c>
      <c r="T2035" t="s">
        <v>81</v>
      </c>
      <c r="U2035">
        <v>40</v>
      </c>
      <c r="V2035" s="1">
        <v>31048</v>
      </c>
      <c r="W2035" s="1">
        <v>31048</v>
      </c>
      <c r="X2035" s="1">
        <v>31048</v>
      </c>
      <c r="Y2035" s="1">
        <v>45658</v>
      </c>
      <c r="Z2035" t="s">
        <v>51</v>
      </c>
      <c r="AB2035" t="s">
        <v>54</v>
      </c>
      <c r="AC2035">
        <v>1</v>
      </c>
      <c r="AE2035" t="s">
        <v>1024</v>
      </c>
      <c r="AF2035">
        <v>20</v>
      </c>
      <c r="AG2035" s="1">
        <v>44363</v>
      </c>
      <c r="AH2035" s="1">
        <v>44363</v>
      </c>
      <c r="AI2035" s="1">
        <v>44363</v>
      </c>
      <c r="AJ2035" s="1">
        <v>51668</v>
      </c>
      <c r="AK2035" t="s">
        <v>51</v>
      </c>
      <c r="AN2035">
        <v>0</v>
      </c>
      <c r="AO2035" t="s">
        <v>54</v>
      </c>
      <c r="AP2035" t="s">
        <v>53</v>
      </c>
      <c r="AQ2035">
        <v>0</v>
      </c>
      <c r="AR2035" t="s">
        <v>145</v>
      </c>
      <c r="AS2035">
        <v>0</v>
      </c>
      <c r="AT2035">
        <v>0</v>
      </c>
      <c r="CC2035" t="s">
        <v>555</v>
      </c>
      <c r="CD2035">
        <v>85000</v>
      </c>
      <c r="CE2035" s="1">
        <v>44363</v>
      </c>
      <c r="CF2035" s="1">
        <v>44363</v>
      </c>
      <c r="CG2035" s="1">
        <v>44363</v>
      </c>
      <c r="CH2035" s="1">
        <v>51955</v>
      </c>
      <c r="CI2035" t="s">
        <v>51</v>
      </c>
      <c r="CK2035" t="s">
        <v>78</v>
      </c>
      <c r="CM2035" t="s">
        <v>54</v>
      </c>
      <c r="CN2035" t="s">
        <v>174</v>
      </c>
      <c r="CO2035" t="s">
        <v>86</v>
      </c>
      <c r="CR2035">
        <v>20</v>
      </c>
      <c r="CS2035">
        <v>0</v>
      </c>
      <c r="CT2035">
        <v>0</v>
      </c>
      <c r="CU2035">
        <v>0</v>
      </c>
    </row>
    <row r="2036" spans="1:99" x14ac:dyDescent="0.2">
      <c r="A2036" t="s">
        <v>1012</v>
      </c>
      <c r="B2036" t="s">
        <v>1013</v>
      </c>
      <c r="C2036" t="s">
        <v>1025</v>
      </c>
      <c r="D2036" t="s">
        <v>1022</v>
      </c>
      <c r="F2036" t="str">
        <f>"251493"</f>
        <v>251493</v>
      </c>
      <c r="G2036" t="s">
        <v>49</v>
      </c>
      <c r="H2036">
        <v>34</v>
      </c>
      <c r="K2036" t="s">
        <v>51</v>
      </c>
      <c r="L2036" t="s">
        <v>52</v>
      </c>
      <c r="M2036">
        <v>133121.32999999999</v>
      </c>
      <c r="N2036">
        <v>473537.41</v>
      </c>
      <c r="O2036" t="s">
        <v>53</v>
      </c>
      <c r="P2036" t="s">
        <v>54</v>
      </c>
      <c r="Q2036" t="s">
        <v>55</v>
      </c>
      <c r="T2036" t="s">
        <v>81</v>
      </c>
      <c r="U2036">
        <v>40</v>
      </c>
      <c r="V2036" s="1">
        <v>31048</v>
      </c>
      <c r="W2036" s="1">
        <v>31048</v>
      </c>
      <c r="X2036" s="1">
        <v>31048</v>
      </c>
      <c r="Y2036" s="1">
        <v>45658</v>
      </c>
      <c r="Z2036" t="s">
        <v>51</v>
      </c>
      <c r="AB2036" t="s">
        <v>54</v>
      </c>
      <c r="AC2036">
        <v>1</v>
      </c>
      <c r="AE2036" t="s">
        <v>1024</v>
      </c>
      <c r="AF2036">
        <v>20</v>
      </c>
      <c r="AG2036" s="1">
        <v>44363</v>
      </c>
      <c r="AH2036" s="1">
        <v>44363</v>
      </c>
      <c r="AI2036" s="1">
        <v>44363</v>
      </c>
      <c r="AJ2036" s="1">
        <v>51668</v>
      </c>
      <c r="AK2036" t="s">
        <v>51</v>
      </c>
      <c r="AN2036">
        <v>0</v>
      </c>
      <c r="AO2036" t="s">
        <v>54</v>
      </c>
      <c r="AP2036" t="s">
        <v>53</v>
      </c>
      <c r="AQ2036">
        <v>0</v>
      </c>
      <c r="AR2036" t="s">
        <v>145</v>
      </c>
      <c r="AS2036">
        <v>0</v>
      </c>
      <c r="AT2036">
        <v>0</v>
      </c>
      <c r="CC2036" t="s">
        <v>555</v>
      </c>
      <c r="CD2036">
        <v>85000</v>
      </c>
      <c r="CE2036" s="1">
        <v>44363</v>
      </c>
      <c r="CF2036" s="1">
        <v>44363</v>
      </c>
      <c r="CG2036" s="1">
        <v>44363</v>
      </c>
      <c r="CH2036" s="1">
        <v>51955</v>
      </c>
      <c r="CI2036" t="s">
        <v>51</v>
      </c>
      <c r="CK2036" t="s">
        <v>78</v>
      </c>
      <c r="CM2036" t="s">
        <v>54</v>
      </c>
      <c r="CN2036" t="s">
        <v>174</v>
      </c>
      <c r="CO2036" t="s">
        <v>86</v>
      </c>
      <c r="CR2036">
        <v>20</v>
      </c>
      <c r="CS2036">
        <v>0</v>
      </c>
      <c r="CT2036">
        <v>0</v>
      </c>
      <c r="CU2036">
        <v>0</v>
      </c>
    </row>
    <row r="2037" spans="1:99" x14ac:dyDescent="0.2">
      <c r="A2037" t="s">
        <v>1012</v>
      </c>
      <c r="B2037" t="s">
        <v>1013</v>
      </c>
      <c r="C2037" t="s">
        <v>1025</v>
      </c>
      <c r="D2037" t="s">
        <v>1022</v>
      </c>
      <c r="F2037" t="str">
        <f>"251494"</f>
        <v>251494</v>
      </c>
      <c r="G2037" t="s">
        <v>49</v>
      </c>
      <c r="H2037">
        <v>27</v>
      </c>
      <c r="K2037" t="s">
        <v>51</v>
      </c>
      <c r="L2037" t="s">
        <v>52</v>
      </c>
      <c r="M2037">
        <v>133154.39000000001</v>
      </c>
      <c r="N2037">
        <v>473547.74</v>
      </c>
      <c r="O2037" t="s">
        <v>53</v>
      </c>
      <c r="P2037" t="s">
        <v>54</v>
      </c>
      <c r="Q2037" t="s">
        <v>55</v>
      </c>
      <c r="T2037" t="s">
        <v>81</v>
      </c>
      <c r="U2037">
        <v>40</v>
      </c>
      <c r="V2037" s="1">
        <v>31048</v>
      </c>
      <c r="W2037" s="1">
        <v>31048</v>
      </c>
      <c r="X2037" s="1">
        <v>31048</v>
      </c>
      <c r="Y2037" s="1">
        <v>45658</v>
      </c>
      <c r="Z2037" t="s">
        <v>51</v>
      </c>
      <c r="AB2037" t="s">
        <v>54</v>
      </c>
      <c r="AC2037">
        <v>1</v>
      </c>
      <c r="AE2037" t="s">
        <v>1024</v>
      </c>
      <c r="AF2037">
        <v>20</v>
      </c>
      <c r="AG2037" s="1">
        <v>44363</v>
      </c>
      <c r="AH2037" s="1">
        <v>44363</v>
      </c>
      <c r="AI2037" s="1">
        <v>44363</v>
      </c>
      <c r="AJ2037" s="1">
        <v>51668</v>
      </c>
      <c r="AK2037" t="s">
        <v>51</v>
      </c>
      <c r="AN2037">
        <v>0</v>
      </c>
      <c r="AO2037" t="s">
        <v>54</v>
      </c>
      <c r="AP2037" t="s">
        <v>53</v>
      </c>
      <c r="AQ2037">
        <v>0</v>
      </c>
      <c r="AR2037" t="s">
        <v>145</v>
      </c>
      <c r="AS2037">
        <v>0</v>
      </c>
      <c r="AT2037">
        <v>0</v>
      </c>
      <c r="CC2037" t="s">
        <v>555</v>
      </c>
      <c r="CD2037">
        <v>85000</v>
      </c>
      <c r="CE2037" s="1">
        <v>44363</v>
      </c>
      <c r="CF2037" s="1">
        <v>44363</v>
      </c>
      <c r="CG2037" s="1">
        <v>44363</v>
      </c>
      <c r="CH2037" s="1">
        <v>51955</v>
      </c>
      <c r="CI2037" t="s">
        <v>51</v>
      </c>
      <c r="CK2037" t="s">
        <v>78</v>
      </c>
      <c r="CM2037" t="s">
        <v>54</v>
      </c>
      <c r="CN2037" t="s">
        <v>174</v>
      </c>
      <c r="CO2037" t="s">
        <v>86</v>
      </c>
      <c r="CR2037">
        <v>20</v>
      </c>
      <c r="CS2037">
        <v>0</v>
      </c>
      <c r="CT2037">
        <v>0</v>
      </c>
      <c r="CU2037">
        <v>0</v>
      </c>
    </row>
    <row r="2038" spans="1:99" x14ac:dyDescent="0.2">
      <c r="A2038" t="s">
        <v>1012</v>
      </c>
      <c r="B2038" t="s">
        <v>1013</v>
      </c>
      <c r="C2038" t="s">
        <v>1025</v>
      </c>
      <c r="D2038" t="s">
        <v>1022</v>
      </c>
      <c r="F2038" t="str">
        <f>"251495"</f>
        <v>251495</v>
      </c>
      <c r="G2038" t="s">
        <v>49</v>
      </c>
      <c r="H2038">
        <v>36</v>
      </c>
      <c r="K2038" t="s">
        <v>51</v>
      </c>
      <c r="L2038" t="s">
        <v>52</v>
      </c>
      <c r="M2038">
        <v>133192.38</v>
      </c>
      <c r="N2038">
        <v>473542.62</v>
      </c>
      <c r="O2038" t="s">
        <v>53</v>
      </c>
      <c r="P2038" t="s">
        <v>54</v>
      </c>
      <c r="Q2038" t="s">
        <v>55</v>
      </c>
      <c r="T2038" t="s">
        <v>81</v>
      </c>
      <c r="U2038">
        <v>40</v>
      </c>
      <c r="V2038" s="1">
        <v>31048</v>
      </c>
      <c r="W2038" s="1">
        <v>31048</v>
      </c>
      <c r="X2038" s="1">
        <v>31048</v>
      </c>
      <c r="Y2038" s="1">
        <v>45658</v>
      </c>
      <c r="Z2038" t="s">
        <v>51</v>
      </c>
      <c r="AB2038" t="s">
        <v>54</v>
      </c>
      <c r="AC2038">
        <v>1</v>
      </c>
      <c r="AE2038" t="s">
        <v>1024</v>
      </c>
      <c r="AF2038">
        <v>20</v>
      </c>
      <c r="AG2038" s="1">
        <v>44363</v>
      </c>
      <c r="AH2038" s="1">
        <v>44363</v>
      </c>
      <c r="AI2038" s="1">
        <v>44363</v>
      </c>
      <c r="AJ2038" s="1">
        <v>51668</v>
      </c>
      <c r="AK2038" t="s">
        <v>51</v>
      </c>
      <c r="AN2038">
        <v>0</v>
      </c>
      <c r="AO2038" t="s">
        <v>54</v>
      </c>
      <c r="AP2038" t="s">
        <v>53</v>
      </c>
      <c r="AQ2038">
        <v>0</v>
      </c>
      <c r="AR2038" t="s">
        <v>145</v>
      </c>
      <c r="AS2038">
        <v>0</v>
      </c>
      <c r="AT2038">
        <v>0</v>
      </c>
      <c r="CC2038" t="s">
        <v>555</v>
      </c>
      <c r="CD2038">
        <v>85000</v>
      </c>
      <c r="CE2038" s="1">
        <v>44363</v>
      </c>
      <c r="CF2038" s="1">
        <v>44363</v>
      </c>
      <c r="CG2038" s="1">
        <v>44363</v>
      </c>
      <c r="CH2038" s="1">
        <v>51955</v>
      </c>
      <c r="CI2038" t="s">
        <v>51</v>
      </c>
      <c r="CK2038" t="s">
        <v>78</v>
      </c>
      <c r="CM2038" t="s">
        <v>54</v>
      </c>
      <c r="CN2038" t="s">
        <v>174</v>
      </c>
      <c r="CO2038" t="s">
        <v>86</v>
      </c>
      <c r="CR2038">
        <v>20</v>
      </c>
      <c r="CS2038">
        <v>0</v>
      </c>
      <c r="CT2038">
        <v>0</v>
      </c>
      <c r="CU2038">
        <v>0</v>
      </c>
    </row>
    <row r="2039" spans="1:99" x14ac:dyDescent="0.2">
      <c r="A2039" t="s">
        <v>1012</v>
      </c>
      <c r="B2039" t="s">
        <v>1013</v>
      </c>
      <c r="C2039" t="s">
        <v>1025</v>
      </c>
      <c r="D2039" t="s">
        <v>1022</v>
      </c>
      <c r="F2039" t="str">
        <f>"251496"</f>
        <v>251496</v>
      </c>
      <c r="G2039" t="s">
        <v>49</v>
      </c>
      <c r="H2039" t="s">
        <v>1027</v>
      </c>
      <c r="K2039" t="s">
        <v>51</v>
      </c>
      <c r="L2039" t="s">
        <v>52</v>
      </c>
      <c r="M2039">
        <v>133223.46</v>
      </c>
      <c r="N2039">
        <v>473553.49</v>
      </c>
      <c r="O2039" t="s">
        <v>53</v>
      </c>
      <c r="P2039" t="s">
        <v>54</v>
      </c>
      <c r="Q2039" t="s">
        <v>55</v>
      </c>
      <c r="T2039" t="s">
        <v>81</v>
      </c>
      <c r="U2039">
        <v>40</v>
      </c>
      <c r="V2039" s="1">
        <v>31048</v>
      </c>
      <c r="W2039" s="1">
        <v>31048</v>
      </c>
      <c r="X2039" s="1">
        <v>31048</v>
      </c>
      <c r="Y2039" s="1">
        <v>45658</v>
      </c>
      <c r="Z2039" t="s">
        <v>51</v>
      </c>
      <c r="AB2039" t="s">
        <v>54</v>
      </c>
      <c r="AC2039">
        <v>1</v>
      </c>
      <c r="AE2039" t="s">
        <v>1024</v>
      </c>
      <c r="AF2039">
        <v>20</v>
      </c>
      <c r="AG2039" s="1">
        <v>44363</v>
      </c>
      <c r="AH2039" s="1">
        <v>44363</v>
      </c>
      <c r="AI2039" s="1">
        <v>44363</v>
      </c>
      <c r="AJ2039" s="1">
        <v>51668</v>
      </c>
      <c r="AK2039" t="s">
        <v>51</v>
      </c>
      <c r="AN2039">
        <v>0</v>
      </c>
      <c r="AO2039" t="s">
        <v>54</v>
      </c>
      <c r="AP2039" t="s">
        <v>53</v>
      </c>
      <c r="AQ2039">
        <v>0</v>
      </c>
      <c r="AR2039" t="s">
        <v>145</v>
      </c>
      <c r="AS2039">
        <v>0</v>
      </c>
      <c r="AT2039">
        <v>0</v>
      </c>
      <c r="CC2039" t="s">
        <v>555</v>
      </c>
      <c r="CD2039">
        <v>85000</v>
      </c>
      <c r="CE2039" s="1">
        <v>44363</v>
      </c>
      <c r="CF2039" s="1">
        <v>44363</v>
      </c>
      <c r="CG2039" s="1">
        <v>44363</v>
      </c>
      <c r="CH2039" s="1">
        <v>51955</v>
      </c>
      <c r="CI2039" t="s">
        <v>51</v>
      </c>
      <c r="CK2039" t="s">
        <v>78</v>
      </c>
      <c r="CM2039" t="s">
        <v>54</v>
      </c>
      <c r="CN2039" t="s">
        <v>174</v>
      </c>
      <c r="CO2039" t="s">
        <v>86</v>
      </c>
      <c r="CR2039">
        <v>20</v>
      </c>
      <c r="CS2039">
        <v>0</v>
      </c>
      <c r="CT2039">
        <v>0</v>
      </c>
      <c r="CU2039">
        <v>0</v>
      </c>
    </row>
    <row r="2040" spans="1:99" x14ac:dyDescent="0.2">
      <c r="A2040" t="s">
        <v>1012</v>
      </c>
      <c r="B2040" t="s">
        <v>1013</v>
      </c>
      <c r="C2040" t="s">
        <v>1025</v>
      </c>
      <c r="D2040" t="s">
        <v>1022</v>
      </c>
      <c r="F2040" t="str">
        <f>"251497"</f>
        <v>251497</v>
      </c>
      <c r="G2040" t="s">
        <v>49</v>
      </c>
      <c r="H2040">
        <v>42</v>
      </c>
      <c r="K2040" t="s">
        <v>51</v>
      </c>
      <c r="L2040" t="s">
        <v>52</v>
      </c>
      <c r="M2040">
        <v>133254.5</v>
      </c>
      <c r="N2040">
        <v>473549.4</v>
      </c>
      <c r="O2040" t="s">
        <v>53</v>
      </c>
      <c r="P2040" t="s">
        <v>54</v>
      </c>
      <c r="Q2040" t="s">
        <v>55</v>
      </c>
      <c r="T2040" t="s">
        <v>81</v>
      </c>
      <c r="U2040">
        <v>40</v>
      </c>
      <c r="V2040" s="1">
        <v>31048</v>
      </c>
      <c r="W2040" s="1">
        <v>31048</v>
      </c>
      <c r="X2040" s="1">
        <v>31048</v>
      </c>
      <c r="Y2040" s="1">
        <v>45658</v>
      </c>
      <c r="Z2040" t="s">
        <v>51</v>
      </c>
      <c r="AB2040" t="s">
        <v>54</v>
      </c>
      <c r="AC2040">
        <v>1</v>
      </c>
      <c r="AE2040" t="s">
        <v>1024</v>
      </c>
      <c r="AF2040">
        <v>20</v>
      </c>
      <c r="AG2040" s="1">
        <v>44363</v>
      </c>
      <c r="AH2040" s="1">
        <v>44363</v>
      </c>
      <c r="AI2040" s="1">
        <v>44363</v>
      </c>
      <c r="AJ2040" s="1">
        <v>51668</v>
      </c>
      <c r="AK2040" t="s">
        <v>51</v>
      </c>
      <c r="AN2040">
        <v>0</v>
      </c>
      <c r="AO2040" t="s">
        <v>54</v>
      </c>
      <c r="AP2040" t="s">
        <v>53</v>
      </c>
      <c r="AQ2040">
        <v>0</v>
      </c>
      <c r="AR2040" t="s">
        <v>145</v>
      </c>
      <c r="AS2040">
        <v>0</v>
      </c>
      <c r="AT2040">
        <v>0</v>
      </c>
      <c r="CC2040" t="s">
        <v>555</v>
      </c>
      <c r="CD2040">
        <v>85000</v>
      </c>
      <c r="CE2040" s="1">
        <v>44363</v>
      </c>
      <c r="CF2040" s="1">
        <v>44363</v>
      </c>
      <c r="CG2040" s="1">
        <v>44363</v>
      </c>
      <c r="CH2040" s="1">
        <v>51955</v>
      </c>
      <c r="CI2040" t="s">
        <v>51</v>
      </c>
      <c r="CK2040" t="s">
        <v>78</v>
      </c>
      <c r="CM2040" t="s">
        <v>54</v>
      </c>
      <c r="CN2040" t="s">
        <v>174</v>
      </c>
      <c r="CO2040" t="s">
        <v>86</v>
      </c>
      <c r="CR2040">
        <v>20</v>
      </c>
      <c r="CS2040">
        <v>0</v>
      </c>
      <c r="CT2040">
        <v>0</v>
      </c>
      <c r="CU2040">
        <v>0</v>
      </c>
    </row>
    <row r="2041" spans="1:99" x14ac:dyDescent="0.2">
      <c r="A2041" t="s">
        <v>1012</v>
      </c>
      <c r="B2041" t="s">
        <v>1013</v>
      </c>
      <c r="C2041" t="s">
        <v>1025</v>
      </c>
      <c r="D2041" t="s">
        <v>1022</v>
      </c>
      <c r="F2041" t="str">
        <f>"251498"</f>
        <v>251498</v>
      </c>
      <c r="G2041" t="s">
        <v>49</v>
      </c>
      <c r="H2041">
        <v>41</v>
      </c>
      <c r="K2041" t="s">
        <v>51</v>
      </c>
      <c r="L2041" t="s">
        <v>52</v>
      </c>
      <c r="M2041">
        <v>133289.89000000001</v>
      </c>
      <c r="N2041">
        <v>473559.91</v>
      </c>
      <c r="O2041" t="s">
        <v>53</v>
      </c>
      <c r="P2041" t="s">
        <v>54</v>
      </c>
      <c r="Q2041" t="s">
        <v>55</v>
      </c>
      <c r="T2041" t="s">
        <v>81</v>
      </c>
      <c r="U2041">
        <v>40</v>
      </c>
      <c r="V2041" s="1">
        <v>31048</v>
      </c>
      <c r="W2041" s="1">
        <v>31048</v>
      </c>
      <c r="X2041" s="1">
        <v>31048</v>
      </c>
      <c r="Y2041" s="1">
        <v>45658</v>
      </c>
      <c r="Z2041" t="s">
        <v>51</v>
      </c>
      <c r="AB2041" t="s">
        <v>54</v>
      </c>
      <c r="AC2041">
        <v>1</v>
      </c>
      <c r="AE2041" t="s">
        <v>1024</v>
      </c>
      <c r="AF2041">
        <v>20</v>
      </c>
      <c r="AG2041" s="1">
        <v>44363</v>
      </c>
      <c r="AH2041" s="1">
        <v>44363</v>
      </c>
      <c r="AI2041" s="1">
        <v>44363</v>
      </c>
      <c r="AJ2041" s="1">
        <v>51668</v>
      </c>
      <c r="AK2041" t="s">
        <v>51</v>
      </c>
      <c r="AN2041">
        <v>0</v>
      </c>
      <c r="AO2041" t="s">
        <v>54</v>
      </c>
      <c r="AP2041" t="s">
        <v>53</v>
      </c>
      <c r="AQ2041">
        <v>0</v>
      </c>
      <c r="AR2041" t="s">
        <v>145</v>
      </c>
      <c r="AS2041">
        <v>0</v>
      </c>
      <c r="AT2041">
        <v>0</v>
      </c>
      <c r="CC2041" t="s">
        <v>555</v>
      </c>
      <c r="CD2041">
        <v>85000</v>
      </c>
      <c r="CE2041" s="1">
        <v>44363</v>
      </c>
      <c r="CF2041" s="1">
        <v>44363</v>
      </c>
      <c r="CG2041" s="1">
        <v>44363</v>
      </c>
      <c r="CH2041" s="1">
        <v>51955</v>
      </c>
      <c r="CI2041" t="s">
        <v>51</v>
      </c>
      <c r="CK2041" t="s">
        <v>78</v>
      </c>
      <c r="CM2041" t="s">
        <v>54</v>
      </c>
      <c r="CN2041" t="s">
        <v>174</v>
      </c>
      <c r="CO2041" t="s">
        <v>86</v>
      </c>
      <c r="CR2041">
        <v>20</v>
      </c>
      <c r="CS2041">
        <v>0</v>
      </c>
      <c r="CT2041">
        <v>0</v>
      </c>
      <c r="CU2041">
        <v>0</v>
      </c>
    </row>
    <row r="2042" spans="1:99" x14ac:dyDescent="0.2">
      <c r="A2042" t="s">
        <v>1012</v>
      </c>
      <c r="B2042" t="s">
        <v>1013</v>
      </c>
      <c r="C2042" t="s">
        <v>1025</v>
      </c>
      <c r="D2042" t="s">
        <v>1022</v>
      </c>
      <c r="F2042" t="str">
        <f>"251499"</f>
        <v>251499</v>
      </c>
      <c r="G2042" t="s">
        <v>49</v>
      </c>
      <c r="H2042">
        <v>48</v>
      </c>
      <c r="K2042" t="s">
        <v>51</v>
      </c>
      <c r="L2042" t="s">
        <v>52</v>
      </c>
      <c r="M2042">
        <v>133327.53</v>
      </c>
      <c r="N2042">
        <v>473555.92</v>
      </c>
      <c r="O2042" t="s">
        <v>53</v>
      </c>
      <c r="P2042" t="s">
        <v>54</v>
      </c>
      <c r="Q2042" t="s">
        <v>55</v>
      </c>
      <c r="T2042" t="s">
        <v>81</v>
      </c>
      <c r="U2042">
        <v>40</v>
      </c>
      <c r="V2042" s="1">
        <v>31048</v>
      </c>
      <c r="W2042" s="1">
        <v>31048</v>
      </c>
      <c r="X2042" s="1">
        <v>31048</v>
      </c>
      <c r="Y2042" s="1">
        <v>45658</v>
      </c>
      <c r="Z2042" t="s">
        <v>51</v>
      </c>
      <c r="AB2042" t="s">
        <v>54</v>
      </c>
      <c r="AC2042">
        <v>1</v>
      </c>
      <c r="AE2042" t="s">
        <v>1024</v>
      </c>
      <c r="AF2042">
        <v>20</v>
      </c>
      <c r="AG2042" s="1">
        <v>44363</v>
      </c>
      <c r="AH2042" s="1">
        <v>44363</v>
      </c>
      <c r="AI2042" s="1">
        <v>44363</v>
      </c>
      <c r="AJ2042" s="1">
        <v>51668</v>
      </c>
      <c r="AK2042" t="s">
        <v>51</v>
      </c>
      <c r="AN2042">
        <v>0</v>
      </c>
      <c r="AO2042" t="s">
        <v>54</v>
      </c>
      <c r="AP2042" t="s">
        <v>53</v>
      </c>
      <c r="AQ2042">
        <v>0</v>
      </c>
      <c r="AR2042" t="s">
        <v>145</v>
      </c>
      <c r="AS2042">
        <v>0</v>
      </c>
      <c r="AT2042">
        <v>0</v>
      </c>
      <c r="CC2042" t="s">
        <v>555</v>
      </c>
      <c r="CD2042">
        <v>85000</v>
      </c>
      <c r="CE2042" s="1">
        <v>44363</v>
      </c>
      <c r="CF2042" s="1">
        <v>44363</v>
      </c>
      <c r="CG2042" s="1">
        <v>44363</v>
      </c>
      <c r="CH2042" s="1">
        <v>51955</v>
      </c>
      <c r="CI2042" t="s">
        <v>51</v>
      </c>
      <c r="CK2042" t="s">
        <v>78</v>
      </c>
      <c r="CM2042" t="s">
        <v>54</v>
      </c>
      <c r="CN2042" t="s">
        <v>174</v>
      </c>
      <c r="CO2042" t="s">
        <v>86</v>
      </c>
      <c r="CR2042">
        <v>20</v>
      </c>
      <c r="CS2042">
        <v>0</v>
      </c>
      <c r="CT2042">
        <v>0</v>
      </c>
      <c r="CU2042">
        <v>0</v>
      </c>
    </row>
    <row r="2043" spans="1:99" x14ac:dyDescent="0.2">
      <c r="A2043" t="s">
        <v>1012</v>
      </c>
      <c r="B2043" t="s">
        <v>1013</v>
      </c>
      <c r="C2043" t="s">
        <v>1025</v>
      </c>
      <c r="D2043" t="s">
        <v>1022</v>
      </c>
      <c r="F2043" t="str">
        <f>"251500"</f>
        <v>251500</v>
      </c>
      <c r="G2043" t="s">
        <v>49</v>
      </c>
      <c r="H2043">
        <v>45</v>
      </c>
      <c r="K2043" t="s">
        <v>51</v>
      </c>
      <c r="L2043" t="s">
        <v>52</v>
      </c>
      <c r="M2043">
        <v>133365.45000000001</v>
      </c>
      <c r="N2043">
        <v>473566.5</v>
      </c>
      <c r="O2043" t="s">
        <v>53</v>
      </c>
      <c r="P2043" t="s">
        <v>54</v>
      </c>
      <c r="Q2043" t="s">
        <v>55</v>
      </c>
      <c r="T2043" t="s">
        <v>81</v>
      </c>
      <c r="U2043">
        <v>40</v>
      </c>
      <c r="V2043" s="1">
        <v>31048</v>
      </c>
      <c r="W2043" s="1">
        <v>31048</v>
      </c>
      <c r="X2043" s="1">
        <v>31048</v>
      </c>
      <c r="Y2043" s="1">
        <v>45658</v>
      </c>
      <c r="Z2043" t="s">
        <v>51</v>
      </c>
      <c r="AB2043" t="s">
        <v>54</v>
      </c>
      <c r="AC2043">
        <v>1</v>
      </c>
      <c r="AE2043" t="s">
        <v>1024</v>
      </c>
      <c r="AF2043">
        <v>20</v>
      </c>
      <c r="AG2043" s="1">
        <v>44363</v>
      </c>
      <c r="AH2043" s="1">
        <v>44363</v>
      </c>
      <c r="AI2043" s="1">
        <v>44363</v>
      </c>
      <c r="AJ2043" s="1">
        <v>51668</v>
      </c>
      <c r="AK2043" t="s">
        <v>51</v>
      </c>
      <c r="AN2043">
        <v>0</v>
      </c>
      <c r="AO2043" t="s">
        <v>54</v>
      </c>
      <c r="AP2043" t="s">
        <v>53</v>
      </c>
      <c r="AQ2043">
        <v>0</v>
      </c>
      <c r="AR2043" t="s">
        <v>145</v>
      </c>
      <c r="AS2043">
        <v>0</v>
      </c>
      <c r="AT2043">
        <v>0</v>
      </c>
      <c r="CC2043" t="s">
        <v>555</v>
      </c>
      <c r="CD2043">
        <v>85000</v>
      </c>
      <c r="CE2043" s="1">
        <v>44363</v>
      </c>
      <c r="CF2043" s="1">
        <v>44363</v>
      </c>
      <c r="CG2043" s="1">
        <v>44363</v>
      </c>
      <c r="CH2043" s="1">
        <v>51955</v>
      </c>
      <c r="CI2043" t="s">
        <v>51</v>
      </c>
      <c r="CK2043" t="s">
        <v>78</v>
      </c>
      <c r="CM2043" t="s">
        <v>54</v>
      </c>
      <c r="CN2043" t="s">
        <v>174</v>
      </c>
      <c r="CO2043" t="s">
        <v>86</v>
      </c>
      <c r="CR2043">
        <v>20</v>
      </c>
      <c r="CS2043">
        <v>0</v>
      </c>
      <c r="CT2043">
        <v>0</v>
      </c>
      <c r="CU2043">
        <v>0</v>
      </c>
    </row>
    <row r="2044" spans="1:99" x14ac:dyDescent="0.2">
      <c r="A2044" t="s">
        <v>1012</v>
      </c>
      <c r="B2044" t="s">
        <v>1013</v>
      </c>
      <c r="C2044" t="s">
        <v>1025</v>
      </c>
      <c r="D2044" t="s">
        <v>1022</v>
      </c>
      <c r="F2044" t="str">
        <f>"251501"</f>
        <v>251501</v>
      </c>
      <c r="G2044" t="s">
        <v>49</v>
      </c>
      <c r="H2044">
        <v>54</v>
      </c>
      <c r="K2044" t="s">
        <v>51</v>
      </c>
      <c r="L2044" t="s">
        <v>52</v>
      </c>
      <c r="M2044">
        <v>133396.03</v>
      </c>
      <c r="N2044">
        <v>473562.22</v>
      </c>
      <c r="O2044" t="s">
        <v>53</v>
      </c>
      <c r="P2044" t="s">
        <v>54</v>
      </c>
      <c r="Q2044" t="s">
        <v>55</v>
      </c>
      <c r="T2044" t="s">
        <v>81</v>
      </c>
      <c r="U2044">
        <v>40</v>
      </c>
      <c r="V2044" s="1">
        <v>31048</v>
      </c>
      <c r="W2044" s="1">
        <v>31048</v>
      </c>
      <c r="X2044" s="1">
        <v>31048</v>
      </c>
      <c r="Y2044" s="1">
        <v>45658</v>
      </c>
      <c r="Z2044" t="s">
        <v>51</v>
      </c>
      <c r="AB2044" t="s">
        <v>54</v>
      </c>
      <c r="AC2044">
        <v>1</v>
      </c>
      <c r="AE2044" t="s">
        <v>1024</v>
      </c>
      <c r="AF2044">
        <v>20</v>
      </c>
      <c r="AG2044" s="1">
        <v>44363</v>
      </c>
      <c r="AH2044" s="1">
        <v>44363</v>
      </c>
      <c r="AI2044" s="1">
        <v>44363</v>
      </c>
      <c r="AJ2044" s="1">
        <v>51668</v>
      </c>
      <c r="AK2044" t="s">
        <v>51</v>
      </c>
      <c r="AN2044">
        <v>0</v>
      </c>
      <c r="AO2044" t="s">
        <v>54</v>
      </c>
      <c r="AP2044" t="s">
        <v>53</v>
      </c>
      <c r="AQ2044">
        <v>0</v>
      </c>
      <c r="AR2044" t="s">
        <v>145</v>
      </c>
      <c r="AS2044">
        <v>0</v>
      </c>
      <c r="AT2044">
        <v>0</v>
      </c>
      <c r="CC2044" t="s">
        <v>555</v>
      </c>
      <c r="CD2044">
        <v>85000</v>
      </c>
      <c r="CE2044" s="1">
        <v>44363</v>
      </c>
      <c r="CF2044" s="1">
        <v>44363</v>
      </c>
      <c r="CG2044" s="1">
        <v>44363</v>
      </c>
      <c r="CH2044" s="1">
        <v>51955</v>
      </c>
      <c r="CI2044" t="s">
        <v>51</v>
      </c>
      <c r="CK2044" t="s">
        <v>78</v>
      </c>
      <c r="CM2044" t="s">
        <v>54</v>
      </c>
      <c r="CN2044" t="s">
        <v>174</v>
      </c>
      <c r="CO2044" t="s">
        <v>86</v>
      </c>
      <c r="CR2044">
        <v>20</v>
      </c>
      <c r="CS2044">
        <v>0</v>
      </c>
      <c r="CT2044">
        <v>0</v>
      </c>
      <c r="CU2044">
        <v>0</v>
      </c>
    </row>
    <row r="2045" spans="1:99" x14ac:dyDescent="0.2">
      <c r="A2045" t="s">
        <v>1012</v>
      </c>
      <c r="B2045" t="s">
        <v>1013</v>
      </c>
      <c r="C2045" t="s">
        <v>1025</v>
      </c>
      <c r="D2045" t="s">
        <v>1022</v>
      </c>
      <c r="F2045" t="str">
        <f>"251502"</f>
        <v>251502</v>
      </c>
      <c r="G2045" t="s">
        <v>49</v>
      </c>
      <c r="H2045">
        <v>51</v>
      </c>
      <c r="K2045" t="s">
        <v>51</v>
      </c>
      <c r="L2045" t="s">
        <v>52</v>
      </c>
      <c r="M2045">
        <v>133430.92000000001</v>
      </c>
      <c r="N2045">
        <v>473572.43</v>
      </c>
      <c r="O2045" t="s">
        <v>53</v>
      </c>
      <c r="P2045" t="s">
        <v>54</v>
      </c>
      <c r="Q2045" t="s">
        <v>55</v>
      </c>
      <c r="T2045" t="s">
        <v>81</v>
      </c>
      <c r="U2045">
        <v>40</v>
      </c>
      <c r="V2045" s="1">
        <v>38534</v>
      </c>
      <c r="W2045" s="1">
        <v>38534</v>
      </c>
      <c r="X2045" s="1">
        <v>38534</v>
      </c>
      <c r="Y2045" s="1">
        <v>53144</v>
      </c>
      <c r="Z2045" t="s">
        <v>51</v>
      </c>
      <c r="AB2045" t="s">
        <v>54</v>
      </c>
      <c r="AC2045">
        <v>1</v>
      </c>
      <c r="AE2045" t="s">
        <v>1024</v>
      </c>
      <c r="AF2045">
        <v>20</v>
      </c>
      <c r="AG2045" s="1">
        <v>44363</v>
      </c>
      <c r="AH2045" s="1">
        <v>44363</v>
      </c>
      <c r="AI2045" s="1">
        <v>44363</v>
      </c>
      <c r="AJ2045" s="1">
        <v>51668</v>
      </c>
      <c r="AK2045" t="s">
        <v>51</v>
      </c>
      <c r="AN2045">
        <v>0</v>
      </c>
      <c r="AO2045" t="s">
        <v>54</v>
      </c>
      <c r="AP2045" t="s">
        <v>53</v>
      </c>
      <c r="AQ2045">
        <v>0</v>
      </c>
      <c r="AR2045" t="s">
        <v>145</v>
      </c>
      <c r="AS2045">
        <v>0</v>
      </c>
      <c r="AT2045">
        <v>0</v>
      </c>
      <c r="CC2045" t="s">
        <v>555</v>
      </c>
      <c r="CD2045">
        <v>85000</v>
      </c>
      <c r="CE2045" s="1">
        <v>44363</v>
      </c>
      <c r="CF2045" s="1">
        <v>44363</v>
      </c>
      <c r="CG2045" s="1">
        <v>44363</v>
      </c>
      <c r="CH2045" s="1">
        <v>51955</v>
      </c>
      <c r="CI2045" t="s">
        <v>51</v>
      </c>
      <c r="CK2045" t="s">
        <v>78</v>
      </c>
      <c r="CM2045" t="s">
        <v>54</v>
      </c>
      <c r="CN2045" t="s">
        <v>174</v>
      </c>
      <c r="CO2045" t="s">
        <v>86</v>
      </c>
      <c r="CR2045">
        <v>20</v>
      </c>
      <c r="CS2045">
        <v>0</v>
      </c>
      <c r="CT2045">
        <v>0</v>
      </c>
      <c r="CU2045">
        <v>0</v>
      </c>
    </row>
    <row r="2046" spans="1:99" x14ac:dyDescent="0.2">
      <c r="A2046" t="s">
        <v>1012</v>
      </c>
      <c r="B2046" t="s">
        <v>1013</v>
      </c>
      <c r="C2046" t="s">
        <v>1025</v>
      </c>
      <c r="D2046" t="s">
        <v>1022</v>
      </c>
      <c r="F2046" t="str">
        <f>"251503"</f>
        <v>251503</v>
      </c>
      <c r="G2046" t="s">
        <v>49</v>
      </c>
      <c r="H2046">
        <v>56</v>
      </c>
      <c r="K2046" t="s">
        <v>51</v>
      </c>
      <c r="L2046" t="s">
        <v>52</v>
      </c>
      <c r="M2046">
        <v>133466.95000000001</v>
      </c>
      <c r="N2046">
        <v>473568.73</v>
      </c>
      <c r="O2046" t="s">
        <v>53</v>
      </c>
      <c r="P2046" t="s">
        <v>54</v>
      </c>
      <c r="Q2046" t="s">
        <v>55</v>
      </c>
      <c r="T2046" t="s">
        <v>81</v>
      </c>
      <c r="U2046">
        <v>40</v>
      </c>
      <c r="V2046" s="1">
        <v>31048</v>
      </c>
      <c r="W2046" s="1">
        <v>31048</v>
      </c>
      <c r="X2046" s="1">
        <v>31048</v>
      </c>
      <c r="Y2046" s="1">
        <v>45658</v>
      </c>
      <c r="Z2046" t="s">
        <v>51</v>
      </c>
      <c r="AB2046" t="s">
        <v>54</v>
      </c>
      <c r="AC2046">
        <v>1</v>
      </c>
      <c r="AE2046" t="s">
        <v>1024</v>
      </c>
      <c r="AF2046">
        <v>20</v>
      </c>
      <c r="AG2046" s="1">
        <v>44363</v>
      </c>
      <c r="AH2046" s="1">
        <v>44363</v>
      </c>
      <c r="AI2046" s="1">
        <v>44363</v>
      </c>
      <c r="AJ2046" s="1">
        <v>51668</v>
      </c>
      <c r="AK2046" t="s">
        <v>51</v>
      </c>
      <c r="AN2046">
        <v>0</v>
      </c>
      <c r="AO2046" t="s">
        <v>54</v>
      </c>
      <c r="AP2046" t="s">
        <v>53</v>
      </c>
      <c r="AQ2046">
        <v>0</v>
      </c>
      <c r="AR2046" t="s">
        <v>145</v>
      </c>
      <c r="AS2046">
        <v>0</v>
      </c>
      <c r="AT2046">
        <v>0</v>
      </c>
      <c r="CC2046" t="s">
        <v>555</v>
      </c>
      <c r="CD2046">
        <v>85000</v>
      </c>
      <c r="CE2046" s="1">
        <v>44363</v>
      </c>
      <c r="CF2046" s="1">
        <v>44363</v>
      </c>
      <c r="CG2046" s="1">
        <v>44363</v>
      </c>
      <c r="CH2046" s="1">
        <v>51955</v>
      </c>
      <c r="CI2046" t="s">
        <v>51</v>
      </c>
      <c r="CK2046" t="s">
        <v>78</v>
      </c>
      <c r="CM2046" t="s">
        <v>54</v>
      </c>
      <c r="CN2046" t="s">
        <v>174</v>
      </c>
      <c r="CO2046" t="s">
        <v>86</v>
      </c>
      <c r="CR2046">
        <v>20</v>
      </c>
      <c r="CS2046">
        <v>0</v>
      </c>
      <c r="CT2046">
        <v>0</v>
      </c>
      <c r="CU2046">
        <v>0</v>
      </c>
    </row>
    <row r="2047" spans="1:99" x14ac:dyDescent="0.2">
      <c r="A2047" t="s">
        <v>1012</v>
      </c>
      <c r="B2047" t="s">
        <v>1013</v>
      </c>
      <c r="C2047" t="s">
        <v>1025</v>
      </c>
      <c r="D2047" t="s">
        <v>1022</v>
      </c>
      <c r="F2047" t="str">
        <f>"251504"</f>
        <v>251504</v>
      </c>
      <c r="G2047" t="s">
        <v>49</v>
      </c>
      <c r="H2047">
        <v>53</v>
      </c>
      <c r="K2047" t="s">
        <v>51</v>
      </c>
      <c r="L2047" t="s">
        <v>52</v>
      </c>
      <c r="M2047">
        <v>133498.70000000001</v>
      </c>
      <c r="N2047">
        <v>473578.48</v>
      </c>
      <c r="O2047" t="s">
        <v>53</v>
      </c>
      <c r="P2047" t="s">
        <v>54</v>
      </c>
      <c r="Q2047" t="s">
        <v>55</v>
      </c>
      <c r="T2047" t="s">
        <v>81</v>
      </c>
      <c r="U2047">
        <v>40</v>
      </c>
      <c r="V2047" s="1">
        <v>31048</v>
      </c>
      <c r="W2047" s="1">
        <v>31048</v>
      </c>
      <c r="X2047" s="1">
        <v>31048</v>
      </c>
      <c r="Y2047" s="1">
        <v>45658</v>
      </c>
      <c r="Z2047" t="s">
        <v>51</v>
      </c>
      <c r="AB2047" t="s">
        <v>54</v>
      </c>
      <c r="AC2047">
        <v>1</v>
      </c>
      <c r="AE2047" t="s">
        <v>1024</v>
      </c>
      <c r="AF2047">
        <v>20</v>
      </c>
      <c r="AG2047" s="1">
        <v>44363</v>
      </c>
      <c r="AH2047" s="1">
        <v>44363</v>
      </c>
      <c r="AI2047" s="1">
        <v>44363</v>
      </c>
      <c r="AJ2047" s="1">
        <v>51668</v>
      </c>
      <c r="AK2047" t="s">
        <v>51</v>
      </c>
      <c r="AN2047">
        <v>0</v>
      </c>
      <c r="AO2047" t="s">
        <v>54</v>
      </c>
      <c r="AP2047" t="s">
        <v>53</v>
      </c>
      <c r="AQ2047">
        <v>0</v>
      </c>
      <c r="AR2047" t="s">
        <v>145</v>
      </c>
      <c r="AS2047">
        <v>0</v>
      </c>
      <c r="AT2047">
        <v>0</v>
      </c>
      <c r="CC2047" t="s">
        <v>555</v>
      </c>
      <c r="CD2047">
        <v>85000</v>
      </c>
      <c r="CE2047" s="1">
        <v>44363</v>
      </c>
      <c r="CF2047" s="1">
        <v>44363</v>
      </c>
      <c r="CG2047" s="1">
        <v>44363</v>
      </c>
      <c r="CH2047" s="1">
        <v>51955</v>
      </c>
      <c r="CI2047" t="s">
        <v>51</v>
      </c>
      <c r="CK2047" t="s">
        <v>78</v>
      </c>
      <c r="CM2047" t="s">
        <v>54</v>
      </c>
      <c r="CN2047" t="s">
        <v>174</v>
      </c>
      <c r="CO2047" t="s">
        <v>86</v>
      </c>
      <c r="CR2047">
        <v>20</v>
      </c>
      <c r="CS2047">
        <v>0</v>
      </c>
      <c r="CT2047">
        <v>0</v>
      </c>
      <c r="CU2047">
        <v>0</v>
      </c>
    </row>
    <row r="2048" spans="1:99" x14ac:dyDescent="0.2">
      <c r="A2048" t="s">
        <v>1012</v>
      </c>
      <c r="B2048" t="s">
        <v>1013</v>
      </c>
      <c r="C2048" t="s">
        <v>1025</v>
      </c>
      <c r="D2048" t="s">
        <v>1022</v>
      </c>
      <c r="F2048" t="str">
        <f>"251505"</f>
        <v>251505</v>
      </c>
      <c r="G2048" t="s">
        <v>49</v>
      </c>
      <c r="H2048">
        <v>60</v>
      </c>
      <c r="K2048" t="s">
        <v>51</v>
      </c>
      <c r="L2048" t="s">
        <v>52</v>
      </c>
      <c r="M2048">
        <v>133535.22</v>
      </c>
      <c r="N2048">
        <v>473575.34</v>
      </c>
      <c r="O2048" t="s">
        <v>53</v>
      </c>
      <c r="P2048" t="s">
        <v>54</v>
      </c>
      <c r="Q2048" t="s">
        <v>55</v>
      </c>
      <c r="T2048" t="s">
        <v>81</v>
      </c>
      <c r="U2048">
        <v>40</v>
      </c>
      <c r="V2048" s="1">
        <v>31048</v>
      </c>
      <c r="W2048" s="1">
        <v>31048</v>
      </c>
      <c r="X2048" s="1">
        <v>31048</v>
      </c>
      <c r="Y2048" s="1">
        <v>45658</v>
      </c>
      <c r="Z2048" t="s">
        <v>51</v>
      </c>
      <c r="AB2048" t="s">
        <v>54</v>
      </c>
      <c r="AC2048">
        <v>1</v>
      </c>
      <c r="AE2048" t="s">
        <v>1024</v>
      </c>
      <c r="AF2048">
        <v>20</v>
      </c>
      <c r="AG2048" s="1">
        <v>44363</v>
      </c>
      <c r="AH2048" s="1">
        <v>44363</v>
      </c>
      <c r="AI2048" s="1">
        <v>44363</v>
      </c>
      <c r="AJ2048" s="1">
        <v>51668</v>
      </c>
      <c r="AK2048" t="s">
        <v>51</v>
      </c>
      <c r="AN2048">
        <v>0</v>
      </c>
      <c r="AO2048" t="s">
        <v>54</v>
      </c>
      <c r="AP2048" t="s">
        <v>53</v>
      </c>
      <c r="AQ2048">
        <v>0</v>
      </c>
      <c r="AR2048" t="s">
        <v>145</v>
      </c>
      <c r="AS2048">
        <v>0</v>
      </c>
      <c r="AT2048">
        <v>0</v>
      </c>
      <c r="CC2048" t="s">
        <v>555</v>
      </c>
      <c r="CD2048">
        <v>85000</v>
      </c>
      <c r="CE2048" s="1">
        <v>44363</v>
      </c>
      <c r="CF2048" s="1">
        <v>44363</v>
      </c>
      <c r="CG2048" s="1">
        <v>44363</v>
      </c>
      <c r="CH2048" s="1">
        <v>51955</v>
      </c>
      <c r="CI2048" t="s">
        <v>51</v>
      </c>
      <c r="CK2048" t="s">
        <v>78</v>
      </c>
      <c r="CM2048" t="s">
        <v>54</v>
      </c>
      <c r="CN2048" t="s">
        <v>174</v>
      </c>
      <c r="CO2048" t="s">
        <v>86</v>
      </c>
      <c r="CR2048">
        <v>20</v>
      </c>
      <c r="CS2048">
        <v>0</v>
      </c>
      <c r="CT2048">
        <v>0</v>
      </c>
      <c r="CU2048">
        <v>0</v>
      </c>
    </row>
    <row r="2049" spans="1:99" x14ac:dyDescent="0.2">
      <c r="A2049" t="s">
        <v>1012</v>
      </c>
      <c r="B2049" t="s">
        <v>1013</v>
      </c>
      <c r="C2049" t="s">
        <v>1025</v>
      </c>
      <c r="D2049" t="s">
        <v>1022</v>
      </c>
      <c r="F2049" t="str">
        <f>"251506"</f>
        <v>251506</v>
      </c>
      <c r="G2049" t="s">
        <v>49</v>
      </c>
      <c r="H2049">
        <v>61</v>
      </c>
      <c r="K2049" t="s">
        <v>51</v>
      </c>
      <c r="L2049" t="s">
        <v>52</v>
      </c>
      <c r="M2049">
        <v>133569.75</v>
      </c>
      <c r="N2049">
        <v>473585.34</v>
      </c>
      <c r="O2049" t="s">
        <v>53</v>
      </c>
      <c r="P2049" t="s">
        <v>54</v>
      </c>
      <c r="Q2049" t="s">
        <v>55</v>
      </c>
      <c r="T2049" t="s">
        <v>81</v>
      </c>
      <c r="U2049">
        <v>40</v>
      </c>
      <c r="V2049" s="1">
        <v>31048</v>
      </c>
      <c r="W2049" s="1">
        <v>31048</v>
      </c>
      <c r="X2049" s="1">
        <v>31048</v>
      </c>
      <c r="Y2049" s="1">
        <v>45658</v>
      </c>
      <c r="Z2049" t="s">
        <v>51</v>
      </c>
      <c r="AB2049" t="s">
        <v>54</v>
      </c>
      <c r="AC2049">
        <v>1</v>
      </c>
      <c r="AE2049" t="s">
        <v>1024</v>
      </c>
      <c r="AF2049">
        <v>20</v>
      </c>
      <c r="AG2049" s="1">
        <v>44363</v>
      </c>
      <c r="AH2049" s="1">
        <v>44363</v>
      </c>
      <c r="AI2049" s="1">
        <v>44363</v>
      </c>
      <c r="AJ2049" s="1">
        <v>51668</v>
      </c>
      <c r="AK2049" t="s">
        <v>51</v>
      </c>
      <c r="AN2049">
        <v>0</v>
      </c>
      <c r="AO2049" t="s">
        <v>54</v>
      </c>
      <c r="AP2049" t="s">
        <v>53</v>
      </c>
      <c r="AQ2049">
        <v>0</v>
      </c>
      <c r="AR2049" t="s">
        <v>145</v>
      </c>
      <c r="AS2049">
        <v>0</v>
      </c>
      <c r="AT2049">
        <v>0</v>
      </c>
      <c r="CC2049" t="s">
        <v>555</v>
      </c>
      <c r="CD2049">
        <v>85000</v>
      </c>
      <c r="CE2049" s="1">
        <v>44363</v>
      </c>
      <c r="CF2049" s="1">
        <v>44363</v>
      </c>
      <c r="CG2049" s="1">
        <v>44363</v>
      </c>
      <c r="CH2049" s="1">
        <v>51955</v>
      </c>
      <c r="CI2049" t="s">
        <v>51</v>
      </c>
      <c r="CK2049" t="s">
        <v>78</v>
      </c>
      <c r="CM2049" t="s">
        <v>54</v>
      </c>
      <c r="CN2049" t="s">
        <v>174</v>
      </c>
      <c r="CO2049" t="s">
        <v>86</v>
      </c>
      <c r="CR2049">
        <v>20</v>
      </c>
      <c r="CS2049">
        <v>0</v>
      </c>
      <c r="CT2049">
        <v>0</v>
      </c>
      <c r="CU2049">
        <v>0</v>
      </c>
    </row>
    <row r="2050" spans="1:99" x14ac:dyDescent="0.2">
      <c r="A2050" t="s">
        <v>1012</v>
      </c>
      <c r="B2050" t="s">
        <v>1013</v>
      </c>
      <c r="C2050" t="s">
        <v>1025</v>
      </c>
      <c r="D2050" t="s">
        <v>1022</v>
      </c>
      <c r="F2050" t="str">
        <f>"251508"</f>
        <v>251508</v>
      </c>
      <c r="G2050" t="s">
        <v>49</v>
      </c>
      <c r="H2050">
        <v>65</v>
      </c>
      <c r="K2050" t="s">
        <v>51</v>
      </c>
      <c r="L2050" t="s">
        <v>52</v>
      </c>
      <c r="M2050">
        <v>133637.96</v>
      </c>
      <c r="N2050">
        <v>473591.15</v>
      </c>
      <c r="O2050" t="s">
        <v>53</v>
      </c>
      <c r="P2050" t="s">
        <v>54</v>
      </c>
      <c r="Q2050" t="s">
        <v>55</v>
      </c>
      <c r="T2050" t="s">
        <v>81</v>
      </c>
      <c r="U2050">
        <v>40</v>
      </c>
      <c r="V2050" s="1">
        <v>38899</v>
      </c>
      <c r="W2050" s="1">
        <v>38899</v>
      </c>
      <c r="X2050" s="1">
        <v>38899</v>
      </c>
      <c r="Y2050" s="1">
        <v>53509</v>
      </c>
      <c r="Z2050" t="s">
        <v>51</v>
      </c>
      <c r="AB2050" t="s">
        <v>54</v>
      </c>
      <c r="AC2050">
        <v>1</v>
      </c>
      <c r="AE2050" t="s">
        <v>1024</v>
      </c>
      <c r="AF2050">
        <v>20</v>
      </c>
      <c r="AG2050" s="1">
        <v>44363</v>
      </c>
      <c r="AH2050" s="1">
        <v>44363</v>
      </c>
      <c r="AI2050" s="1">
        <v>44363</v>
      </c>
      <c r="AJ2050" s="1">
        <v>51668</v>
      </c>
      <c r="AK2050" t="s">
        <v>51</v>
      </c>
      <c r="AN2050">
        <v>0</v>
      </c>
      <c r="AO2050" t="s">
        <v>54</v>
      </c>
      <c r="AP2050" t="s">
        <v>53</v>
      </c>
      <c r="AQ2050">
        <v>0</v>
      </c>
      <c r="AR2050" t="s">
        <v>145</v>
      </c>
      <c r="AS2050">
        <v>0</v>
      </c>
      <c r="AT2050">
        <v>0</v>
      </c>
      <c r="CC2050" t="s">
        <v>555</v>
      </c>
      <c r="CD2050">
        <v>85000</v>
      </c>
      <c r="CE2050" s="1">
        <v>44363</v>
      </c>
      <c r="CF2050" s="1">
        <v>44363</v>
      </c>
      <c r="CG2050" s="1">
        <v>44363</v>
      </c>
      <c r="CH2050" s="1">
        <v>51955</v>
      </c>
      <c r="CI2050" t="s">
        <v>51</v>
      </c>
      <c r="CK2050" t="s">
        <v>78</v>
      </c>
      <c r="CM2050" t="s">
        <v>54</v>
      </c>
      <c r="CN2050" t="s">
        <v>174</v>
      </c>
      <c r="CO2050" t="s">
        <v>86</v>
      </c>
      <c r="CR2050">
        <v>20</v>
      </c>
      <c r="CS2050">
        <v>0</v>
      </c>
      <c r="CT2050">
        <v>0</v>
      </c>
      <c r="CU2050">
        <v>0</v>
      </c>
    </row>
    <row r="2051" spans="1:99" x14ac:dyDescent="0.2">
      <c r="A2051" t="s">
        <v>1012</v>
      </c>
      <c r="B2051" t="s">
        <v>1013</v>
      </c>
      <c r="C2051" t="s">
        <v>1025</v>
      </c>
      <c r="D2051" t="s">
        <v>1022</v>
      </c>
      <c r="F2051" t="str">
        <f>"251509"</f>
        <v>251509</v>
      </c>
      <c r="G2051" t="s">
        <v>49</v>
      </c>
      <c r="H2051">
        <v>72</v>
      </c>
      <c r="K2051" t="s">
        <v>51</v>
      </c>
      <c r="L2051" t="s">
        <v>52</v>
      </c>
      <c r="M2051">
        <v>133674.07999999999</v>
      </c>
      <c r="N2051">
        <v>473587.65</v>
      </c>
      <c r="O2051" t="s">
        <v>53</v>
      </c>
      <c r="P2051" t="s">
        <v>54</v>
      </c>
      <c r="Q2051" t="s">
        <v>55</v>
      </c>
      <c r="T2051" t="s">
        <v>81</v>
      </c>
      <c r="U2051">
        <v>40</v>
      </c>
      <c r="V2051" s="1">
        <v>31048</v>
      </c>
      <c r="W2051" s="1">
        <v>31048</v>
      </c>
      <c r="X2051" s="1">
        <v>31048</v>
      </c>
      <c r="Y2051" s="1">
        <v>45658</v>
      </c>
      <c r="Z2051" t="s">
        <v>51</v>
      </c>
      <c r="AB2051" t="s">
        <v>54</v>
      </c>
      <c r="AC2051">
        <v>1</v>
      </c>
      <c r="AE2051" t="s">
        <v>1024</v>
      </c>
      <c r="AF2051">
        <v>20</v>
      </c>
      <c r="AG2051" s="1">
        <v>44363</v>
      </c>
      <c r="AH2051" s="1">
        <v>44363</v>
      </c>
      <c r="AI2051" s="1">
        <v>44363</v>
      </c>
      <c r="AJ2051" s="1">
        <v>51668</v>
      </c>
      <c r="AK2051" t="s">
        <v>51</v>
      </c>
      <c r="AN2051">
        <v>0</v>
      </c>
      <c r="AO2051" t="s">
        <v>54</v>
      </c>
      <c r="AP2051" t="s">
        <v>53</v>
      </c>
      <c r="AQ2051">
        <v>0</v>
      </c>
      <c r="AR2051" t="s">
        <v>145</v>
      </c>
      <c r="AS2051">
        <v>0</v>
      </c>
      <c r="AT2051">
        <v>0</v>
      </c>
      <c r="CC2051" t="s">
        <v>555</v>
      </c>
      <c r="CD2051">
        <v>85000</v>
      </c>
      <c r="CE2051" s="1">
        <v>44363</v>
      </c>
      <c r="CF2051" s="1">
        <v>44363</v>
      </c>
      <c r="CG2051" s="1">
        <v>44363</v>
      </c>
      <c r="CH2051" s="1">
        <v>51955</v>
      </c>
      <c r="CI2051" t="s">
        <v>51</v>
      </c>
      <c r="CK2051" t="s">
        <v>78</v>
      </c>
      <c r="CM2051" t="s">
        <v>54</v>
      </c>
      <c r="CN2051" t="s">
        <v>174</v>
      </c>
      <c r="CO2051" t="s">
        <v>86</v>
      </c>
      <c r="CR2051">
        <v>20</v>
      </c>
      <c r="CS2051">
        <v>0</v>
      </c>
      <c r="CT2051">
        <v>0</v>
      </c>
      <c r="CU2051">
        <v>0</v>
      </c>
    </row>
    <row r="2052" spans="1:99" x14ac:dyDescent="0.2">
      <c r="A2052" t="s">
        <v>1012</v>
      </c>
      <c r="B2052" t="s">
        <v>1013</v>
      </c>
      <c r="C2052" t="s">
        <v>1025</v>
      </c>
      <c r="D2052" t="s">
        <v>1022</v>
      </c>
      <c r="F2052" t="str">
        <f>"251510"</f>
        <v>251510</v>
      </c>
      <c r="G2052" t="s">
        <v>49</v>
      </c>
      <c r="H2052">
        <v>69</v>
      </c>
      <c r="K2052" t="s">
        <v>51</v>
      </c>
      <c r="L2052" t="s">
        <v>52</v>
      </c>
      <c r="M2052">
        <v>133707.06</v>
      </c>
      <c r="N2052">
        <v>473597.6</v>
      </c>
      <c r="O2052" t="s">
        <v>53</v>
      </c>
      <c r="P2052" t="s">
        <v>54</v>
      </c>
      <c r="Q2052" t="s">
        <v>55</v>
      </c>
      <c r="T2052" t="s">
        <v>81</v>
      </c>
      <c r="U2052">
        <v>40</v>
      </c>
      <c r="V2052" s="1">
        <v>38899</v>
      </c>
      <c r="W2052" s="1">
        <v>38899</v>
      </c>
      <c r="X2052" s="1">
        <v>38899</v>
      </c>
      <c r="Y2052" s="1">
        <v>53509</v>
      </c>
      <c r="Z2052" t="s">
        <v>51</v>
      </c>
      <c r="AB2052" t="s">
        <v>54</v>
      </c>
      <c r="AC2052">
        <v>1</v>
      </c>
      <c r="AE2052" t="s">
        <v>1024</v>
      </c>
      <c r="AF2052">
        <v>20</v>
      </c>
      <c r="AG2052" s="1">
        <v>44363</v>
      </c>
      <c r="AH2052" s="1">
        <v>44363</v>
      </c>
      <c r="AI2052" s="1">
        <v>44363</v>
      </c>
      <c r="AJ2052" s="1">
        <v>51668</v>
      </c>
      <c r="AK2052" t="s">
        <v>51</v>
      </c>
      <c r="AN2052">
        <v>0</v>
      </c>
      <c r="AO2052" t="s">
        <v>54</v>
      </c>
      <c r="AP2052" t="s">
        <v>53</v>
      </c>
      <c r="AQ2052">
        <v>0</v>
      </c>
      <c r="AR2052" t="s">
        <v>145</v>
      </c>
      <c r="AS2052">
        <v>0</v>
      </c>
      <c r="AT2052">
        <v>0</v>
      </c>
      <c r="CC2052" t="s">
        <v>555</v>
      </c>
      <c r="CD2052">
        <v>85000</v>
      </c>
      <c r="CE2052" s="1">
        <v>44363</v>
      </c>
      <c r="CF2052" s="1">
        <v>44363</v>
      </c>
      <c r="CG2052" s="1">
        <v>44363</v>
      </c>
      <c r="CH2052" s="1">
        <v>51955</v>
      </c>
      <c r="CI2052" t="s">
        <v>51</v>
      </c>
      <c r="CK2052" t="s">
        <v>78</v>
      </c>
      <c r="CM2052" t="s">
        <v>54</v>
      </c>
      <c r="CN2052" t="s">
        <v>174</v>
      </c>
      <c r="CO2052" t="s">
        <v>86</v>
      </c>
      <c r="CR2052">
        <v>20</v>
      </c>
      <c r="CS2052">
        <v>0</v>
      </c>
      <c r="CT2052">
        <v>0</v>
      </c>
      <c r="CU2052">
        <v>0</v>
      </c>
    </row>
    <row r="2053" spans="1:99" x14ac:dyDescent="0.2">
      <c r="A2053" t="s">
        <v>1012</v>
      </c>
      <c r="B2053" t="s">
        <v>1013</v>
      </c>
      <c r="C2053" t="s">
        <v>1025</v>
      </c>
      <c r="D2053" t="s">
        <v>1022</v>
      </c>
      <c r="F2053" t="str">
        <f>"251511"</f>
        <v>251511</v>
      </c>
      <c r="G2053" t="s">
        <v>49</v>
      </c>
      <c r="H2053">
        <v>74</v>
      </c>
      <c r="K2053" t="s">
        <v>51</v>
      </c>
      <c r="L2053" t="s">
        <v>52</v>
      </c>
      <c r="M2053">
        <v>133746.47</v>
      </c>
      <c r="N2053">
        <v>473594.15</v>
      </c>
      <c r="O2053" t="s">
        <v>53</v>
      </c>
      <c r="P2053" t="s">
        <v>54</v>
      </c>
      <c r="Q2053" t="s">
        <v>55</v>
      </c>
      <c r="T2053" t="s">
        <v>81</v>
      </c>
      <c r="U2053">
        <v>40</v>
      </c>
      <c r="V2053" s="1">
        <v>31048</v>
      </c>
      <c r="W2053" s="1">
        <v>31048</v>
      </c>
      <c r="X2053" s="1">
        <v>31048</v>
      </c>
      <c r="Y2053" s="1">
        <v>45658</v>
      </c>
      <c r="Z2053" t="s">
        <v>51</v>
      </c>
      <c r="AB2053" t="s">
        <v>54</v>
      </c>
      <c r="AC2053">
        <v>1</v>
      </c>
      <c r="AE2053" t="s">
        <v>1024</v>
      </c>
      <c r="AF2053">
        <v>20</v>
      </c>
      <c r="AG2053" s="1">
        <v>44363</v>
      </c>
      <c r="AH2053" s="1">
        <v>44363</v>
      </c>
      <c r="AI2053" s="1">
        <v>44363</v>
      </c>
      <c r="AJ2053" s="1">
        <v>51668</v>
      </c>
      <c r="AK2053" t="s">
        <v>51</v>
      </c>
      <c r="AN2053">
        <v>0</v>
      </c>
      <c r="AO2053" t="s">
        <v>54</v>
      </c>
      <c r="AP2053" t="s">
        <v>53</v>
      </c>
      <c r="AQ2053">
        <v>0</v>
      </c>
      <c r="AR2053" t="s">
        <v>145</v>
      </c>
      <c r="AS2053">
        <v>0</v>
      </c>
      <c r="AT2053">
        <v>0</v>
      </c>
      <c r="CC2053" t="s">
        <v>555</v>
      </c>
      <c r="CD2053">
        <v>85000</v>
      </c>
      <c r="CE2053" s="1">
        <v>44363</v>
      </c>
      <c r="CF2053" s="1">
        <v>44363</v>
      </c>
      <c r="CG2053" s="1">
        <v>44363</v>
      </c>
      <c r="CH2053" s="1">
        <v>51955</v>
      </c>
      <c r="CI2053" t="s">
        <v>51</v>
      </c>
      <c r="CK2053" t="s">
        <v>78</v>
      </c>
      <c r="CM2053" t="s">
        <v>54</v>
      </c>
      <c r="CN2053" t="s">
        <v>174</v>
      </c>
      <c r="CO2053" t="s">
        <v>86</v>
      </c>
      <c r="CR2053">
        <v>20</v>
      </c>
      <c r="CS2053">
        <v>0</v>
      </c>
      <c r="CT2053">
        <v>0</v>
      </c>
      <c r="CU2053">
        <v>0</v>
      </c>
    </row>
    <row r="2054" spans="1:99" x14ac:dyDescent="0.2">
      <c r="A2054" t="s">
        <v>1012</v>
      </c>
      <c r="B2054" t="s">
        <v>1013</v>
      </c>
      <c r="C2054" t="s">
        <v>1025</v>
      </c>
      <c r="D2054" t="s">
        <v>1022</v>
      </c>
      <c r="F2054" t="str">
        <f>"254280"</f>
        <v>254280</v>
      </c>
      <c r="G2054" t="s">
        <v>49</v>
      </c>
      <c r="H2054">
        <v>75</v>
      </c>
      <c r="K2054" t="s">
        <v>51</v>
      </c>
      <c r="L2054" t="s">
        <v>52</v>
      </c>
      <c r="M2054">
        <v>133778.74</v>
      </c>
      <c r="N2054">
        <v>473603.92</v>
      </c>
      <c r="O2054" t="s">
        <v>53</v>
      </c>
      <c r="P2054" t="s">
        <v>54</v>
      </c>
      <c r="Q2054" t="s">
        <v>55</v>
      </c>
      <c r="T2054" t="s">
        <v>466</v>
      </c>
      <c r="U2054">
        <v>40</v>
      </c>
      <c r="V2054" s="1">
        <v>31048</v>
      </c>
      <c r="W2054" s="1">
        <v>31048</v>
      </c>
      <c r="X2054" s="1">
        <v>31048</v>
      </c>
      <c r="Y2054" s="1">
        <v>45658</v>
      </c>
      <c r="Z2054" t="s">
        <v>51</v>
      </c>
      <c r="AB2054" t="s">
        <v>54</v>
      </c>
      <c r="AC2054">
        <v>1</v>
      </c>
      <c r="AE2054" t="s">
        <v>1024</v>
      </c>
      <c r="AF2054">
        <v>20</v>
      </c>
      <c r="AG2054" s="1">
        <v>44363</v>
      </c>
      <c r="AH2054" s="1">
        <v>44363</v>
      </c>
      <c r="AI2054" s="1">
        <v>44363</v>
      </c>
      <c r="AJ2054" s="1">
        <v>51668</v>
      </c>
      <c r="AK2054" t="s">
        <v>51</v>
      </c>
      <c r="AN2054">
        <v>0</v>
      </c>
      <c r="AO2054" t="s">
        <v>54</v>
      </c>
      <c r="AP2054" t="s">
        <v>53</v>
      </c>
      <c r="AQ2054">
        <v>0</v>
      </c>
      <c r="AR2054" t="s">
        <v>145</v>
      </c>
      <c r="AS2054">
        <v>0</v>
      </c>
      <c r="AT2054">
        <v>0</v>
      </c>
      <c r="CC2054" t="s">
        <v>555</v>
      </c>
      <c r="CD2054">
        <v>85000</v>
      </c>
      <c r="CE2054" s="1">
        <v>44363</v>
      </c>
      <c r="CF2054" s="1">
        <v>44363</v>
      </c>
      <c r="CG2054" s="1">
        <v>44363</v>
      </c>
      <c r="CH2054" s="1">
        <v>51955</v>
      </c>
      <c r="CI2054" t="s">
        <v>51</v>
      </c>
      <c r="CK2054" t="s">
        <v>78</v>
      </c>
      <c r="CM2054" t="s">
        <v>54</v>
      </c>
      <c r="CN2054" t="s">
        <v>174</v>
      </c>
      <c r="CO2054" t="s">
        <v>86</v>
      </c>
      <c r="CR2054">
        <v>20</v>
      </c>
      <c r="CS2054">
        <v>0</v>
      </c>
      <c r="CT2054">
        <v>0</v>
      </c>
      <c r="CU2054">
        <v>0</v>
      </c>
    </row>
    <row r="2055" spans="1:99" x14ac:dyDescent="0.2">
      <c r="A2055" t="s">
        <v>1012</v>
      </c>
      <c r="B2055" t="s">
        <v>1013</v>
      </c>
      <c r="C2055" t="s">
        <v>1025</v>
      </c>
      <c r="D2055" t="s">
        <v>1022</v>
      </c>
      <c r="F2055" t="str">
        <f>"254497"</f>
        <v>254497</v>
      </c>
      <c r="G2055" t="s">
        <v>49</v>
      </c>
      <c r="H2055">
        <v>79</v>
      </c>
      <c r="K2055" t="s">
        <v>51</v>
      </c>
      <c r="L2055" t="s">
        <v>52</v>
      </c>
      <c r="M2055">
        <v>133812.4</v>
      </c>
      <c r="N2055">
        <v>473600.04</v>
      </c>
      <c r="O2055" t="s">
        <v>53</v>
      </c>
      <c r="P2055" t="s">
        <v>54</v>
      </c>
      <c r="Q2055" t="s">
        <v>55</v>
      </c>
      <c r="T2055" t="s">
        <v>81</v>
      </c>
      <c r="U2055">
        <v>40</v>
      </c>
      <c r="V2055" s="1">
        <v>31048</v>
      </c>
      <c r="W2055" s="1">
        <v>31048</v>
      </c>
      <c r="X2055" s="1">
        <v>31048</v>
      </c>
      <c r="Y2055" s="1">
        <v>45658</v>
      </c>
      <c r="Z2055" t="s">
        <v>51</v>
      </c>
      <c r="AB2055" t="s">
        <v>54</v>
      </c>
      <c r="AC2055">
        <v>1</v>
      </c>
      <c r="AE2055" t="s">
        <v>1024</v>
      </c>
      <c r="AF2055">
        <v>20</v>
      </c>
      <c r="AG2055" s="1">
        <v>44363</v>
      </c>
      <c r="AH2055" s="1">
        <v>44363</v>
      </c>
      <c r="AI2055" s="1">
        <v>44363</v>
      </c>
      <c r="AJ2055" s="1">
        <v>51668</v>
      </c>
      <c r="AK2055" t="s">
        <v>51</v>
      </c>
      <c r="AN2055">
        <v>0</v>
      </c>
      <c r="AO2055" t="s">
        <v>54</v>
      </c>
      <c r="AP2055" t="s">
        <v>53</v>
      </c>
      <c r="AQ2055">
        <v>0</v>
      </c>
      <c r="AR2055" t="s">
        <v>145</v>
      </c>
      <c r="AS2055">
        <v>0</v>
      </c>
      <c r="AT2055">
        <v>0</v>
      </c>
      <c r="CC2055" t="s">
        <v>555</v>
      </c>
      <c r="CD2055">
        <v>85000</v>
      </c>
      <c r="CE2055" s="1">
        <v>44363</v>
      </c>
      <c r="CF2055" s="1">
        <v>44363</v>
      </c>
      <c r="CG2055" s="1">
        <v>44363</v>
      </c>
      <c r="CH2055" s="1">
        <v>51955</v>
      </c>
      <c r="CI2055" t="s">
        <v>51</v>
      </c>
      <c r="CK2055" t="s">
        <v>78</v>
      </c>
      <c r="CM2055" t="s">
        <v>54</v>
      </c>
      <c r="CN2055" t="s">
        <v>174</v>
      </c>
      <c r="CO2055" t="s">
        <v>86</v>
      </c>
      <c r="CR2055">
        <v>20</v>
      </c>
      <c r="CS2055">
        <v>0</v>
      </c>
      <c r="CT2055">
        <v>0</v>
      </c>
      <c r="CU2055">
        <v>0</v>
      </c>
    </row>
    <row r="2056" spans="1:99" x14ac:dyDescent="0.2">
      <c r="A2056" t="s">
        <v>1012</v>
      </c>
      <c r="B2056" t="s">
        <v>1013</v>
      </c>
      <c r="C2056" t="s">
        <v>1025</v>
      </c>
      <c r="D2056" t="s">
        <v>1022</v>
      </c>
      <c r="F2056" t="str">
        <f>"251514"</f>
        <v>251514</v>
      </c>
      <c r="G2056" t="s">
        <v>49</v>
      </c>
      <c r="H2056">
        <v>81</v>
      </c>
      <c r="K2056" t="s">
        <v>51</v>
      </c>
      <c r="L2056" t="s">
        <v>52</v>
      </c>
      <c r="M2056">
        <v>133844.92000000001</v>
      </c>
      <c r="N2056">
        <v>473610.06</v>
      </c>
      <c r="O2056" t="s">
        <v>53</v>
      </c>
      <c r="P2056" t="s">
        <v>54</v>
      </c>
      <c r="Q2056" t="s">
        <v>55</v>
      </c>
      <c r="T2056" t="s">
        <v>81</v>
      </c>
      <c r="U2056">
        <v>40</v>
      </c>
      <c r="V2056" s="1">
        <v>31048</v>
      </c>
      <c r="W2056" s="1">
        <v>31048</v>
      </c>
      <c r="X2056" s="1">
        <v>31048</v>
      </c>
      <c r="Y2056" s="1">
        <v>45658</v>
      </c>
      <c r="Z2056" t="s">
        <v>51</v>
      </c>
      <c r="AB2056" t="s">
        <v>54</v>
      </c>
      <c r="AC2056">
        <v>1</v>
      </c>
      <c r="AE2056" t="s">
        <v>1024</v>
      </c>
      <c r="AF2056">
        <v>20</v>
      </c>
      <c r="AG2056" s="1">
        <v>44363</v>
      </c>
      <c r="AH2056" s="1">
        <v>44363</v>
      </c>
      <c r="AI2056" s="1">
        <v>44363</v>
      </c>
      <c r="AJ2056" s="1">
        <v>51668</v>
      </c>
      <c r="AK2056" t="s">
        <v>51</v>
      </c>
      <c r="AN2056">
        <v>0</v>
      </c>
      <c r="AO2056" t="s">
        <v>54</v>
      </c>
      <c r="AP2056" t="s">
        <v>53</v>
      </c>
      <c r="AQ2056">
        <v>0</v>
      </c>
      <c r="AR2056" t="s">
        <v>145</v>
      </c>
      <c r="AS2056">
        <v>0</v>
      </c>
      <c r="AT2056">
        <v>0</v>
      </c>
      <c r="CC2056" t="s">
        <v>555</v>
      </c>
      <c r="CD2056">
        <v>85000</v>
      </c>
      <c r="CE2056" s="1">
        <v>44363</v>
      </c>
      <c r="CF2056" s="1">
        <v>44363</v>
      </c>
      <c r="CG2056" s="1">
        <v>44363</v>
      </c>
      <c r="CH2056" s="1">
        <v>51955</v>
      </c>
      <c r="CI2056" t="s">
        <v>51</v>
      </c>
      <c r="CK2056" t="s">
        <v>78</v>
      </c>
      <c r="CM2056" t="s">
        <v>54</v>
      </c>
      <c r="CN2056" t="s">
        <v>174</v>
      </c>
      <c r="CO2056" t="s">
        <v>86</v>
      </c>
      <c r="CR2056">
        <v>20</v>
      </c>
      <c r="CS2056">
        <v>0</v>
      </c>
      <c r="CT2056">
        <v>0</v>
      </c>
      <c r="CU2056">
        <v>0</v>
      </c>
    </row>
    <row r="2057" spans="1:99" x14ac:dyDescent="0.2">
      <c r="A2057" t="s">
        <v>1012</v>
      </c>
      <c r="B2057" t="s">
        <v>1013</v>
      </c>
      <c r="C2057" t="s">
        <v>1025</v>
      </c>
      <c r="D2057" t="s">
        <v>1022</v>
      </c>
      <c r="F2057" t="str">
        <f>"251516"</f>
        <v>251516</v>
      </c>
      <c r="G2057" t="s">
        <v>49</v>
      </c>
      <c r="H2057">
        <v>83</v>
      </c>
      <c r="K2057" t="s">
        <v>51</v>
      </c>
      <c r="L2057" t="s">
        <v>52</v>
      </c>
      <c r="M2057">
        <v>133915.69</v>
      </c>
      <c r="N2057">
        <v>473616.56</v>
      </c>
      <c r="O2057" t="s">
        <v>53</v>
      </c>
      <c r="P2057" t="s">
        <v>54</v>
      </c>
      <c r="Q2057" t="s">
        <v>55</v>
      </c>
      <c r="T2057" t="s">
        <v>81</v>
      </c>
      <c r="U2057">
        <v>40</v>
      </c>
      <c r="V2057" s="1">
        <v>31048</v>
      </c>
      <c r="W2057" s="1">
        <v>31048</v>
      </c>
      <c r="X2057" s="1">
        <v>31048</v>
      </c>
      <c r="Y2057" s="1">
        <v>45658</v>
      </c>
      <c r="Z2057" t="s">
        <v>51</v>
      </c>
      <c r="AB2057" t="s">
        <v>54</v>
      </c>
      <c r="AC2057">
        <v>1</v>
      </c>
      <c r="AE2057" t="s">
        <v>1024</v>
      </c>
      <c r="AF2057">
        <v>20</v>
      </c>
      <c r="AG2057" s="1">
        <v>44363</v>
      </c>
      <c r="AH2057" s="1">
        <v>44363</v>
      </c>
      <c r="AI2057" s="1">
        <v>44363</v>
      </c>
      <c r="AJ2057" s="1">
        <v>51668</v>
      </c>
      <c r="AK2057" t="s">
        <v>51</v>
      </c>
      <c r="AN2057">
        <v>0</v>
      </c>
      <c r="AO2057" t="s">
        <v>54</v>
      </c>
      <c r="AP2057" t="s">
        <v>53</v>
      </c>
      <c r="AQ2057">
        <v>0</v>
      </c>
      <c r="AR2057" t="s">
        <v>145</v>
      </c>
      <c r="AS2057">
        <v>0</v>
      </c>
      <c r="AT2057">
        <v>0</v>
      </c>
      <c r="CC2057" t="s">
        <v>555</v>
      </c>
      <c r="CD2057">
        <v>85000</v>
      </c>
      <c r="CE2057" s="1">
        <v>44363</v>
      </c>
      <c r="CF2057" s="1">
        <v>44363</v>
      </c>
      <c r="CG2057" s="1">
        <v>44363</v>
      </c>
      <c r="CH2057" s="1">
        <v>51955</v>
      </c>
      <c r="CI2057" t="s">
        <v>51</v>
      </c>
      <c r="CK2057" t="s">
        <v>78</v>
      </c>
      <c r="CM2057" t="s">
        <v>54</v>
      </c>
      <c r="CN2057" t="s">
        <v>174</v>
      </c>
      <c r="CO2057" t="s">
        <v>86</v>
      </c>
      <c r="CR2057">
        <v>20</v>
      </c>
      <c r="CS2057">
        <v>0</v>
      </c>
      <c r="CT2057">
        <v>0</v>
      </c>
      <c r="CU2057">
        <v>0</v>
      </c>
    </row>
    <row r="2058" spans="1:99" x14ac:dyDescent="0.2">
      <c r="A2058" t="s">
        <v>1012</v>
      </c>
      <c r="B2058" t="s">
        <v>1013</v>
      </c>
      <c r="C2058" t="s">
        <v>1025</v>
      </c>
      <c r="D2058" t="s">
        <v>1022</v>
      </c>
      <c r="F2058" t="str">
        <f>"251517"</f>
        <v>251517</v>
      </c>
      <c r="G2058" t="s">
        <v>49</v>
      </c>
      <c r="H2058">
        <v>80</v>
      </c>
      <c r="K2058" t="s">
        <v>51</v>
      </c>
      <c r="L2058" t="s">
        <v>52</v>
      </c>
      <c r="M2058">
        <v>133951.78</v>
      </c>
      <c r="N2058">
        <v>473613</v>
      </c>
      <c r="O2058" t="s">
        <v>53</v>
      </c>
      <c r="P2058" t="s">
        <v>54</v>
      </c>
      <c r="Q2058" t="s">
        <v>55</v>
      </c>
      <c r="T2058" t="s">
        <v>81</v>
      </c>
      <c r="U2058">
        <v>40</v>
      </c>
      <c r="V2058" s="1">
        <v>31048</v>
      </c>
      <c r="W2058" s="1">
        <v>31048</v>
      </c>
      <c r="X2058" s="1">
        <v>31048</v>
      </c>
      <c r="Y2058" s="1">
        <v>45658</v>
      </c>
      <c r="Z2058" t="s">
        <v>51</v>
      </c>
      <c r="AB2058" t="s">
        <v>54</v>
      </c>
      <c r="AC2058">
        <v>1</v>
      </c>
      <c r="AE2058" t="s">
        <v>1024</v>
      </c>
      <c r="AF2058">
        <v>20</v>
      </c>
      <c r="AG2058" s="1">
        <v>44363</v>
      </c>
      <c r="AH2058" s="1">
        <v>44363</v>
      </c>
      <c r="AI2058" s="1">
        <v>44363</v>
      </c>
      <c r="AJ2058" s="1">
        <v>51668</v>
      </c>
      <c r="AK2058" t="s">
        <v>51</v>
      </c>
      <c r="AN2058">
        <v>0</v>
      </c>
      <c r="AO2058" t="s">
        <v>54</v>
      </c>
      <c r="AP2058" t="s">
        <v>53</v>
      </c>
      <c r="AQ2058">
        <v>0</v>
      </c>
      <c r="AR2058" t="s">
        <v>145</v>
      </c>
      <c r="AS2058">
        <v>0</v>
      </c>
      <c r="AT2058">
        <v>0</v>
      </c>
      <c r="CC2058" t="s">
        <v>555</v>
      </c>
      <c r="CD2058">
        <v>85000</v>
      </c>
      <c r="CE2058" s="1">
        <v>44363</v>
      </c>
      <c r="CF2058" s="1">
        <v>44363</v>
      </c>
      <c r="CG2058" s="1">
        <v>44363</v>
      </c>
      <c r="CH2058" s="1">
        <v>51955</v>
      </c>
      <c r="CI2058" t="s">
        <v>51</v>
      </c>
      <c r="CK2058" t="s">
        <v>78</v>
      </c>
      <c r="CM2058" t="s">
        <v>54</v>
      </c>
      <c r="CN2058" t="s">
        <v>174</v>
      </c>
      <c r="CO2058" t="s">
        <v>86</v>
      </c>
      <c r="CR2058">
        <v>20</v>
      </c>
      <c r="CS2058">
        <v>0</v>
      </c>
      <c r="CT2058">
        <v>0</v>
      </c>
      <c r="CU2058">
        <v>0</v>
      </c>
    </row>
    <row r="2059" spans="1:99" x14ac:dyDescent="0.2">
      <c r="A2059" t="s">
        <v>1012</v>
      </c>
      <c r="B2059" t="s">
        <v>1013</v>
      </c>
      <c r="C2059" t="s">
        <v>1025</v>
      </c>
      <c r="D2059" t="s">
        <v>1022</v>
      </c>
      <c r="F2059" t="str">
        <f>"251518"</f>
        <v>251518</v>
      </c>
      <c r="G2059" t="s">
        <v>49</v>
      </c>
      <c r="H2059">
        <v>89</v>
      </c>
      <c r="K2059" t="s">
        <v>51</v>
      </c>
      <c r="L2059" t="s">
        <v>52</v>
      </c>
      <c r="M2059">
        <v>133984.99</v>
      </c>
      <c r="N2059">
        <v>473623.03</v>
      </c>
      <c r="O2059" t="s">
        <v>53</v>
      </c>
      <c r="P2059" t="s">
        <v>54</v>
      </c>
      <c r="Q2059" t="s">
        <v>55</v>
      </c>
      <c r="T2059" t="s">
        <v>81</v>
      </c>
      <c r="U2059">
        <v>40</v>
      </c>
      <c r="V2059" s="1">
        <v>31048</v>
      </c>
      <c r="W2059" s="1">
        <v>31048</v>
      </c>
      <c r="X2059" s="1">
        <v>31048</v>
      </c>
      <c r="Y2059" s="1">
        <v>45658</v>
      </c>
      <c r="Z2059" t="s">
        <v>51</v>
      </c>
      <c r="AB2059" t="s">
        <v>54</v>
      </c>
      <c r="AC2059">
        <v>1</v>
      </c>
      <c r="AE2059" t="s">
        <v>1024</v>
      </c>
      <c r="AF2059">
        <v>20</v>
      </c>
      <c r="AG2059" s="1">
        <v>44369</v>
      </c>
      <c r="AH2059" s="1">
        <v>44369</v>
      </c>
      <c r="AI2059" s="1">
        <v>44369</v>
      </c>
      <c r="AJ2059" s="1">
        <v>51674</v>
      </c>
      <c r="AK2059" t="s">
        <v>51</v>
      </c>
      <c r="AN2059">
        <v>0</v>
      </c>
      <c r="AO2059" t="s">
        <v>54</v>
      </c>
      <c r="AP2059" t="s">
        <v>53</v>
      </c>
      <c r="AQ2059">
        <v>0</v>
      </c>
      <c r="AR2059" t="s">
        <v>145</v>
      </c>
      <c r="AS2059">
        <v>0</v>
      </c>
      <c r="AT2059">
        <v>0</v>
      </c>
      <c r="CC2059" t="s">
        <v>555</v>
      </c>
      <c r="CD2059">
        <v>85000</v>
      </c>
      <c r="CE2059" s="1">
        <v>44369</v>
      </c>
      <c r="CF2059" s="1">
        <v>44369</v>
      </c>
      <c r="CG2059" s="1">
        <v>44369</v>
      </c>
      <c r="CH2059" s="1">
        <v>51959</v>
      </c>
      <c r="CI2059" t="s">
        <v>51</v>
      </c>
      <c r="CK2059" t="s">
        <v>78</v>
      </c>
      <c r="CM2059" t="s">
        <v>54</v>
      </c>
      <c r="CN2059" t="s">
        <v>174</v>
      </c>
      <c r="CO2059" t="s">
        <v>86</v>
      </c>
      <c r="CR2059">
        <v>20</v>
      </c>
      <c r="CS2059">
        <v>0</v>
      </c>
      <c r="CT2059">
        <v>0</v>
      </c>
      <c r="CU2059">
        <v>0</v>
      </c>
    </row>
    <row r="2060" spans="1:99" x14ac:dyDescent="0.2">
      <c r="A2060" t="s">
        <v>1012</v>
      </c>
      <c r="B2060" t="s">
        <v>1013</v>
      </c>
      <c r="C2060" t="s">
        <v>1025</v>
      </c>
      <c r="D2060" t="s">
        <v>1022</v>
      </c>
      <c r="F2060" t="str">
        <f>"251519"</f>
        <v>251519</v>
      </c>
      <c r="G2060" t="s">
        <v>49</v>
      </c>
      <c r="H2060">
        <v>90</v>
      </c>
      <c r="K2060" t="s">
        <v>51</v>
      </c>
      <c r="L2060" t="s">
        <v>52</v>
      </c>
      <c r="M2060">
        <v>134016.93</v>
      </c>
      <c r="N2060">
        <v>473616.01</v>
      </c>
      <c r="O2060" t="s">
        <v>53</v>
      </c>
      <c r="P2060" t="s">
        <v>54</v>
      </c>
      <c r="Q2060" t="s">
        <v>55</v>
      </c>
      <c r="T2060" t="s">
        <v>1023</v>
      </c>
      <c r="U2060">
        <v>40</v>
      </c>
      <c r="V2060" s="1">
        <v>31048</v>
      </c>
      <c r="W2060" s="1">
        <v>31048</v>
      </c>
      <c r="X2060" s="1">
        <v>31048</v>
      </c>
      <c r="Y2060" s="1">
        <v>45658</v>
      </c>
      <c r="Z2060" t="s">
        <v>51</v>
      </c>
      <c r="AB2060" t="s">
        <v>54</v>
      </c>
      <c r="AC2060">
        <v>1</v>
      </c>
      <c r="AE2060" t="s">
        <v>1024</v>
      </c>
      <c r="AF2060">
        <v>20</v>
      </c>
      <c r="AG2060" s="1">
        <v>44369</v>
      </c>
      <c r="AH2060" s="1">
        <v>44369</v>
      </c>
      <c r="AI2060" s="1">
        <v>44369</v>
      </c>
      <c r="AJ2060" s="1">
        <v>51674</v>
      </c>
      <c r="AK2060" t="s">
        <v>51</v>
      </c>
      <c r="AN2060">
        <v>0</v>
      </c>
      <c r="AO2060" t="s">
        <v>54</v>
      </c>
      <c r="AP2060" t="s">
        <v>53</v>
      </c>
      <c r="AQ2060">
        <v>0</v>
      </c>
      <c r="AR2060" t="s">
        <v>145</v>
      </c>
      <c r="AS2060">
        <v>0</v>
      </c>
      <c r="AT2060">
        <v>0</v>
      </c>
      <c r="CC2060" t="s">
        <v>555</v>
      </c>
      <c r="CD2060">
        <v>85000</v>
      </c>
      <c r="CE2060" s="1">
        <v>44369</v>
      </c>
      <c r="CF2060" s="1">
        <v>44369</v>
      </c>
      <c r="CG2060" s="1">
        <v>44369</v>
      </c>
      <c r="CH2060" s="1">
        <v>51959</v>
      </c>
      <c r="CI2060" t="s">
        <v>51</v>
      </c>
      <c r="CK2060" t="s">
        <v>78</v>
      </c>
      <c r="CM2060" t="s">
        <v>54</v>
      </c>
      <c r="CN2060" t="s">
        <v>174</v>
      </c>
      <c r="CO2060" t="s">
        <v>86</v>
      </c>
      <c r="CR2060">
        <v>20</v>
      </c>
      <c r="CS2060">
        <v>0</v>
      </c>
      <c r="CT2060">
        <v>0</v>
      </c>
      <c r="CU2060">
        <v>0</v>
      </c>
    </row>
    <row r="2061" spans="1:99" x14ac:dyDescent="0.2">
      <c r="A2061" t="s">
        <v>1012</v>
      </c>
      <c r="B2061" t="s">
        <v>1013</v>
      </c>
      <c r="C2061" t="s">
        <v>1025</v>
      </c>
      <c r="D2061" t="s">
        <v>1022</v>
      </c>
      <c r="F2061" t="str">
        <f>"251520"</f>
        <v>251520</v>
      </c>
      <c r="G2061" t="s">
        <v>49</v>
      </c>
      <c r="H2061">
        <v>97</v>
      </c>
      <c r="K2061" t="s">
        <v>51</v>
      </c>
      <c r="L2061" t="s">
        <v>52</v>
      </c>
      <c r="M2061">
        <v>134049.17000000001</v>
      </c>
      <c r="N2061">
        <v>473628.73</v>
      </c>
      <c r="O2061" t="s">
        <v>53</v>
      </c>
      <c r="P2061" t="s">
        <v>54</v>
      </c>
      <c r="Q2061" t="s">
        <v>55</v>
      </c>
      <c r="T2061" t="s">
        <v>81</v>
      </c>
      <c r="U2061">
        <v>40</v>
      </c>
      <c r="V2061" s="1">
        <v>31048</v>
      </c>
      <c r="W2061" s="1">
        <v>31048</v>
      </c>
      <c r="X2061" s="1">
        <v>31048</v>
      </c>
      <c r="Y2061" s="1">
        <v>45658</v>
      </c>
      <c r="Z2061" t="s">
        <v>51</v>
      </c>
      <c r="AB2061" t="s">
        <v>54</v>
      </c>
      <c r="AC2061">
        <v>1</v>
      </c>
      <c r="AE2061" t="s">
        <v>1024</v>
      </c>
      <c r="AF2061">
        <v>20</v>
      </c>
      <c r="AG2061" s="1">
        <v>44369</v>
      </c>
      <c r="AH2061" s="1">
        <v>44369</v>
      </c>
      <c r="AI2061" s="1">
        <v>44369</v>
      </c>
      <c r="AJ2061" s="1">
        <v>51674</v>
      </c>
      <c r="AK2061" t="s">
        <v>51</v>
      </c>
      <c r="AN2061">
        <v>0</v>
      </c>
      <c r="AO2061" t="s">
        <v>54</v>
      </c>
      <c r="AP2061" t="s">
        <v>53</v>
      </c>
      <c r="AQ2061">
        <v>0</v>
      </c>
      <c r="AR2061" t="s">
        <v>145</v>
      </c>
      <c r="AS2061">
        <v>0</v>
      </c>
      <c r="AT2061">
        <v>0</v>
      </c>
      <c r="CC2061" t="s">
        <v>555</v>
      </c>
      <c r="CD2061">
        <v>85000</v>
      </c>
      <c r="CE2061" s="1">
        <v>44369</v>
      </c>
      <c r="CF2061" s="1">
        <v>44369</v>
      </c>
      <c r="CG2061" s="1">
        <v>44369</v>
      </c>
      <c r="CH2061" s="1">
        <v>51959</v>
      </c>
      <c r="CI2061" t="s">
        <v>51</v>
      </c>
      <c r="CK2061" t="s">
        <v>78</v>
      </c>
      <c r="CM2061" t="s">
        <v>54</v>
      </c>
      <c r="CN2061" t="s">
        <v>174</v>
      </c>
      <c r="CO2061" t="s">
        <v>86</v>
      </c>
      <c r="CR2061">
        <v>20</v>
      </c>
      <c r="CS2061">
        <v>0</v>
      </c>
      <c r="CT2061">
        <v>0</v>
      </c>
      <c r="CU2061">
        <v>0</v>
      </c>
    </row>
    <row r="2062" spans="1:99" x14ac:dyDescent="0.2">
      <c r="A2062" t="s">
        <v>1012</v>
      </c>
      <c r="B2062" t="s">
        <v>1013</v>
      </c>
      <c r="C2062" t="s">
        <v>1025</v>
      </c>
      <c r="D2062" t="s">
        <v>1022</v>
      </c>
      <c r="F2062" t="str">
        <f>"251521"</f>
        <v>251521</v>
      </c>
      <c r="G2062" t="s">
        <v>49</v>
      </c>
      <c r="H2062">
        <v>94</v>
      </c>
      <c r="K2062" t="s">
        <v>51</v>
      </c>
      <c r="L2062" t="s">
        <v>52</v>
      </c>
      <c r="M2062">
        <v>134092.31</v>
      </c>
      <c r="N2062">
        <v>473625.75</v>
      </c>
      <c r="O2062" t="s">
        <v>53</v>
      </c>
      <c r="P2062" t="s">
        <v>54</v>
      </c>
      <c r="Q2062" t="s">
        <v>55</v>
      </c>
      <c r="T2062" t="s">
        <v>81</v>
      </c>
      <c r="U2062">
        <v>40</v>
      </c>
      <c r="V2062" s="1">
        <v>37803</v>
      </c>
      <c r="W2062" s="1">
        <v>37803</v>
      </c>
      <c r="X2062" s="1">
        <v>37803</v>
      </c>
      <c r="Y2062" s="1">
        <v>52413</v>
      </c>
      <c r="Z2062" t="s">
        <v>51</v>
      </c>
      <c r="AB2062" t="s">
        <v>54</v>
      </c>
      <c r="AC2062">
        <v>1</v>
      </c>
      <c r="AE2062" t="s">
        <v>1024</v>
      </c>
      <c r="AF2062">
        <v>20</v>
      </c>
      <c r="AG2062" s="1">
        <v>44369</v>
      </c>
      <c r="AH2062" s="1">
        <v>44369</v>
      </c>
      <c r="AI2062" s="1">
        <v>44369</v>
      </c>
      <c r="AJ2062" s="1">
        <v>51674</v>
      </c>
      <c r="AK2062" t="s">
        <v>51</v>
      </c>
      <c r="AN2062">
        <v>0</v>
      </c>
      <c r="AO2062" t="s">
        <v>54</v>
      </c>
      <c r="AP2062" t="s">
        <v>53</v>
      </c>
      <c r="AQ2062">
        <v>0</v>
      </c>
      <c r="AR2062" t="s">
        <v>145</v>
      </c>
      <c r="AS2062">
        <v>0</v>
      </c>
      <c r="AT2062">
        <v>0</v>
      </c>
      <c r="CC2062" t="s">
        <v>555</v>
      </c>
      <c r="CD2062">
        <v>85000</v>
      </c>
      <c r="CE2062" s="1">
        <v>44369</v>
      </c>
      <c r="CF2062" s="1">
        <v>44369</v>
      </c>
      <c r="CG2062" s="1">
        <v>44369</v>
      </c>
      <c r="CH2062" s="1">
        <v>51959</v>
      </c>
      <c r="CI2062" t="s">
        <v>51</v>
      </c>
      <c r="CK2062" t="s">
        <v>78</v>
      </c>
      <c r="CM2062" t="s">
        <v>54</v>
      </c>
      <c r="CN2062" t="s">
        <v>174</v>
      </c>
      <c r="CO2062" t="s">
        <v>86</v>
      </c>
      <c r="CR2062">
        <v>20</v>
      </c>
      <c r="CS2062">
        <v>0</v>
      </c>
      <c r="CT2062">
        <v>0</v>
      </c>
      <c r="CU2062">
        <v>0</v>
      </c>
    </row>
    <row r="2063" spans="1:99" x14ac:dyDescent="0.2">
      <c r="A2063" t="s">
        <v>1012</v>
      </c>
      <c r="B2063" t="s">
        <v>1013</v>
      </c>
      <c r="C2063" t="s">
        <v>1025</v>
      </c>
      <c r="D2063" t="s">
        <v>1022</v>
      </c>
      <c r="F2063" t="str">
        <f>"251523"</f>
        <v>251523</v>
      </c>
      <c r="G2063" t="s">
        <v>49</v>
      </c>
      <c r="H2063">
        <v>96</v>
      </c>
      <c r="K2063" t="s">
        <v>51</v>
      </c>
      <c r="L2063" t="s">
        <v>52</v>
      </c>
      <c r="M2063">
        <v>134162.99</v>
      </c>
      <c r="N2063">
        <v>473631.98</v>
      </c>
      <c r="O2063" t="s">
        <v>53</v>
      </c>
      <c r="P2063" t="s">
        <v>54</v>
      </c>
      <c r="Q2063" t="s">
        <v>55</v>
      </c>
      <c r="T2063" t="s">
        <v>81</v>
      </c>
      <c r="U2063">
        <v>40</v>
      </c>
      <c r="V2063" s="1">
        <v>38534</v>
      </c>
      <c r="W2063" s="1">
        <v>38534</v>
      </c>
      <c r="X2063" s="1">
        <v>38534</v>
      </c>
      <c r="Y2063" s="1">
        <v>53144</v>
      </c>
      <c r="Z2063" t="s">
        <v>51</v>
      </c>
      <c r="AB2063" t="s">
        <v>54</v>
      </c>
      <c r="AC2063">
        <v>1</v>
      </c>
      <c r="AE2063" t="s">
        <v>1024</v>
      </c>
      <c r="AF2063">
        <v>20</v>
      </c>
      <c r="AG2063" s="1">
        <v>44369</v>
      </c>
      <c r="AH2063" s="1">
        <v>44369</v>
      </c>
      <c r="AI2063" s="1">
        <v>44369</v>
      </c>
      <c r="AJ2063" s="1">
        <v>51674</v>
      </c>
      <c r="AK2063" t="s">
        <v>51</v>
      </c>
      <c r="AN2063">
        <v>0</v>
      </c>
      <c r="AO2063" t="s">
        <v>54</v>
      </c>
      <c r="AP2063" t="s">
        <v>53</v>
      </c>
      <c r="AQ2063">
        <v>0</v>
      </c>
      <c r="AR2063" t="s">
        <v>145</v>
      </c>
      <c r="AS2063">
        <v>0</v>
      </c>
      <c r="AT2063">
        <v>0</v>
      </c>
      <c r="CC2063" t="s">
        <v>555</v>
      </c>
      <c r="CD2063">
        <v>85000</v>
      </c>
      <c r="CE2063" s="1">
        <v>44369</v>
      </c>
      <c r="CF2063" s="1">
        <v>44369</v>
      </c>
      <c r="CG2063" s="1">
        <v>44369</v>
      </c>
      <c r="CH2063" s="1">
        <v>51959</v>
      </c>
      <c r="CI2063" t="s">
        <v>51</v>
      </c>
      <c r="CK2063" t="s">
        <v>78</v>
      </c>
      <c r="CM2063" t="s">
        <v>54</v>
      </c>
      <c r="CN2063" t="s">
        <v>174</v>
      </c>
      <c r="CO2063" t="s">
        <v>86</v>
      </c>
      <c r="CR2063">
        <v>20</v>
      </c>
      <c r="CS2063">
        <v>0</v>
      </c>
      <c r="CT2063">
        <v>0</v>
      </c>
      <c r="CU2063">
        <v>0</v>
      </c>
    </row>
    <row r="2064" spans="1:99" x14ac:dyDescent="0.2">
      <c r="A2064" t="s">
        <v>1012</v>
      </c>
      <c r="B2064" t="s">
        <v>1013</v>
      </c>
      <c r="C2064" t="s">
        <v>1025</v>
      </c>
      <c r="D2064" t="s">
        <v>1022</v>
      </c>
      <c r="F2064" t="str">
        <f>"251524"</f>
        <v>251524</v>
      </c>
      <c r="G2064" t="s">
        <v>49</v>
      </c>
      <c r="H2064">
        <v>107</v>
      </c>
      <c r="K2064" t="s">
        <v>51</v>
      </c>
      <c r="L2064" t="s">
        <v>52</v>
      </c>
      <c r="M2064">
        <v>134185.88</v>
      </c>
      <c r="N2064">
        <v>473640.48</v>
      </c>
      <c r="O2064" t="s">
        <v>53</v>
      </c>
      <c r="P2064" t="s">
        <v>54</v>
      </c>
      <c r="Q2064" t="s">
        <v>55</v>
      </c>
      <c r="T2064" t="s">
        <v>81</v>
      </c>
      <c r="U2064">
        <v>40</v>
      </c>
      <c r="V2064" s="1">
        <v>31048</v>
      </c>
      <c r="W2064" s="1">
        <v>31048</v>
      </c>
      <c r="X2064" s="1">
        <v>31048</v>
      </c>
      <c r="Y2064" s="1">
        <v>45658</v>
      </c>
      <c r="Z2064" t="s">
        <v>51</v>
      </c>
      <c r="AB2064" t="s">
        <v>54</v>
      </c>
      <c r="AC2064">
        <v>1</v>
      </c>
      <c r="AE2064" t="s">
        <v>1024</v>
      </c>
      <c r="AF2064">
        <v>20</v>
      </c>
      <c r="AG2064" s="1">
        <v>44369</v>
      </c>
      <c r="AH2064" s="1">
        <v>44369</v>
      </c>
      <c r="AI2064" s="1">
        <v>44369</v>
      </c>
      <c r="AJ2064" s="1">
        <v>51674</v>
      </c>
      <c r="AK2064" t="s">
        <v>51</v>
      </c>
      <c r="AN2064">
        <v>0</v>
      </c>
      <c r="AO2064" t="s">
        <v>54</v>
      </c>
      <c r="AP2064" t="s">
        <v>53</v>
      </c>
      <c r="AQ2064">
        <v>0</v>
      </c>
      <c r="AR2064" t="s">
        <v>145</v>
      </c>
      <c r="AS2064">
        <v>0</v>
      </c>
      <c r="AT2064">
        <v>0</v>
      </c>
      <c r="CC2064" t="s">
        <v>555</v>
      </c>
      <c r="CD2064">
        <v>85000</v>
      </c>
      <c r="CE2064" s="1">
        <v>44369</v>
      </c>
      <c r="CF2064" s="1">
        <v>44369</v>
      </c>
      <c r="CG2064" s="1">
        <v>44369</v>
      </c>
      <c r="CH2064" s="1">
        <v>51959</v>
      </c>
      <c r="CI2064" t="s">
        <v>51</v>
      </c>
      <c r="CK2064" t="s">
        <v>78</v>
      </c>
      <c r="CM2064" t="s">
        <v>54</v>
      </c>
      <c r="CN2064" t="s">
        <v>174</v>
      </c>
      <c r="CO2064" t="s">
        <v>86</v>
      </c>
      <c r="CR2064">
        <v>20</v>
      </c>
      <c r="CS2064">
        <v>0</v>
      </c>
      <c r="CT2064">
        <v>0</v>
      </c>
      <c r="CU2064">
        <v>0</v>
      </c>
    </row>
    <row r="2065" spans="1:99" x14ac:dyDescent="0.2">
      <c r="A2065" t="s">
        <v>1012</v>
      </c>
      <c r="B2065" t="s">
        <v>1013</v>
      </c>
      <c r="C2065" t="s">
        <v>1025</v>
      </c>
      <c r="D2065" t="s">
        <v>1022</v>
      </c>
      <c r="F2065" t="str">
        <f>"251525"</f>
        <v>251525</v>
      </c>
      <c r="G2065" t="s">
        <v>49</v>
      </c>
      <c r="H2065">
        <v>109</v>
      </c>
      <c r="K2065" t="s">
        <v>51</v>
      </c>
      <c r="L2065" t="s">
        <v>52</v>
      </c>
      <c r="M2065">
        <v>134217.84</v>
      </c>
      <c r="N2065">
        <v>473636.69</v>
      </c>
      <c r="O2065" t="s">
        <v>53</v>
      </c>
      <c r="P2065" t="s">
        <v>54</v>
      </c>
      <c r="Q2065" t="s">
        <v>55</v>
      </c>
      <c r="T2065" t="s">
        <v>81</v>
      </c>
      <c r="U2065">
        <v>40</v>
      </c>
      <c r="V2065" s="1">
        <v>31048</v>
      </c>
      <c r="W2065" s="1">
        <v>31048</v>
      </c>
      <c r="X2065" s="1">
        <v>31048</v>
      </c>
      <c r="Y2065" s="1">
        <v>45658</v>
      </c>
      <c r="Z2065" t="s">
        <v>51</v>
      </c>
      <c r="AB2065" t="s">
        <v>54</v>
      </c>
      <c r="AC2065">
        <v>1</v>
      </c>
      <c r="AE2065" t="s">
        <v>1024</v>
      </c>
      <c r="AF2065">
        <v>20</v>
      </c>
      <c r="AG2065" s="1">
        <v>44369</v>
      </c>
      <c r="AH2065" s="1">
        <v>44369</v>
      </c>
      <c r="AI2065" s="1">
        <v>44369</v>
      </c>
      <c r="AJ2065" s="1">
        <v>51674</v>
      </c>
      <c r="AK2065" t="s">
        <v>51</v>
      </c>
      <c r="AN2065">
        <v>0</v>
      </c>
      <c r="AO2065" t="s">
        <v>54</v>
      </c>
      <c r="AP2065" t="s">
        <v>53</v>
      </c>
      <c r="AQ2065">
        <v>0</v>
      </c>
      <c r="AR2065" t="s">
        <v>145</v>
      </c>
      <c r="AS2065">
        <v>0</v>
      </c>
      <c r="AT2065">
        <v>0</v>
      </c>
      <c r="CC2065" t="s">
        <v>555</v>
      </c>
      <c r="CD2065">
        <v>85000</v>
      </c>
      <c r="CE2065" s="1">
        <v>44369</v>
      </c>
      <c r="CF2065" s="1">
        <v>44369</v>
      </c>
      <c r="CG2065" s="1">
        <v>44369</v>
      </c>
      <c r="CH2065" s="1">
        <v>51959</v>
      </c>
      <c r="CI2065" t="s">
        <v>51</v>
      </c>
      <c r="CK2065" t="s">
        <v>78</v>
      </c>
      <c r="CM2065" t="s">
        <v>54</v>
      </c>
      <c r="CN2065" t="s">
        <v>174</v>
      </c>
      <c r="CO2065" t="s">
        <v>86</v>
      </c>
      <c r="CR2065">
        <v>20</v>
      </c>
      <c r="CS2065">
        <v>0</v>
      </c>
      <c r="CT2065">
        <v>0</v>
      </c>
      <c r="CU2065">
        <v>0</v>
      </c>
    </row>
    <row r="2066" spans="1:99" x14ac:dyDescent="0.2">
      <c r="A2066" t="s">
        <v>1012</v>
      </c>
      <c r="B2066" t="s">
        <v>1013</v>
      </c>
      <c r="C2066" t="s">
        <v>1025</v>
      </c>
      <c r="D2066" t="s">
        <v>1022</v>
      </c>
      <c r="F2066" t="str">
        <f>"251526"</f>
        <v>251526</v>
      </c>
      <c r="G2066" t="s">
        <v>49</v>
      </c>
      <c r="H2066">
        <v>111</v>
      </c>
      <c r="K2066" t="s">
        <v>51</v>
      </c>
      <c r="L2066" t="s">
        <v>52</v>
      </c>
      <c r="M2066">
        <v>134249.91</v>
      </c>
      <c r="N2066">
        <v>473646.18</v>
      </c>
      <c r="O2066" t="s">
        <v>53</v>
      </c>
      <c r="P2066" t="s">
        <v>54</v>
      </c>
      <c r="Q2066" t="s">
        <v>55</v>
      </c>
      <c r="T2066" t="s">
        <v>81</v>
      </c>
      <c r="U2066">
        <v>40</v>
      </c>
      <c r="V2066" s="1">
        <v>31048</v>
      </c>
      <c r="W2066" s="1">
        <v>31048</v>
      </c>
      <c r="X2066" s="1">
        <v>31048</v>
      </c>
      <c r="Y2066" s="1">
        <v>45658</v>
      </c>
      <c r="Z2066" t="s">
        <v>51</v>
      </c>
      <c r="AB2066" t="s">
        <v>54</v>
      </c>
      <c r="AC2066">
        <v>1</v>
      </c>
      <c r="AE2066" t="s">
        <v>1024</v>
      </c>
      <c r="AF2066">
        <v>20</v>
      </c>
      <c r="AG2066" s="1">
        <v>44369</v>
      </c>
      <c r="AH2066" s="1">
        <v>44369</v>
      </c>
      <c r="AI2066" s="1">
        <v>44369</v>
      </c>
      <c r="AJ2066" s="1">
        <v>51674</v>
      </c>
      <c r="AK2066" t="s">
        <v>51</v>
      </c>
      <c r="AN2066">
        <v>0</v>
      </c>
      <c r="AO2066" t="s">
        <v>54</v>
      </c>
      <c r="AP2066" t="s">
        <v>53</v>
      </c>
      <c r="AQ2066">
        <v>0</v>
      </c>
      <c r="AR2066" t="s">
        <v>145</v>
      </c>
      <c r="AS2066">
        <v>0</v>
      </c>
      <c r="AT2066">
        <v>0</v>
      </c>
      <c r="CC2066" t="s">
        <v>555</v>
      </c>
      <c r="CD2066">
        <v>85000</v>
      </c>
      <c r="CE2066" s="1">
        <v>44369</v>
      </c>
      <c r="CF2066" s="1">
        <v>44369</v>
      </c>
      <c r="CG2066" s="1">
        <v>44369</v>
      </c>
      <c r="CH2066" s="1">
        <v>51959</v>
      </c>
      <c r="CI2066" t="s">
        <v>51</v>
      </c>
      <c r="CK2066" t="s">
        <v>78</v>
      </c>
      <c r="CM2066" t="s">
        <v>54</v>
      </c>
      <c r="CN2066" t="s">
        <v>174</v>
      </c>
      <c r="CO2066" t="s">
        <v>86</v>
      </c>
      <c r="CR2066">
        <v>20</v>
      </c>
      <c r="CS2066">
        <v>0</v>
      </c>
      <c r="CT2066">
        <v>0</v>
      </c>
      <c r="CU2066">
        <v>0</v>
      </c>
    </row>
    <row r="2067" spans="1:99" x14ac:dyDescent="0.2">
      <c r="A2067" t="s">
        <v>1012</v>
      </c>
      <c r="B2067" t="s">
        <v>1013</v>
      </c>
      <c r="C2067" t="s">
        <v>1025</v>
      </c>
      <c r="D2067" t="s">
        <v>1022</v>
      </c>
      <c r="F2067" t="str">
        <f>"251527"</f>
        <v>251527</v>
      </c>
      <c r="G2067" t="s">
        <v>49</v>
      </c>
      <c r="H2067">
        <v>115</v>
      </c>
      <c r="K2067" t="s">
        <v>51</v>
      </c>
      <c r="L2067" t="s">
        <v>52</v>
      </c>
      <c r="M2067">
        <v>134283.9</v>
      </c>
      <c r="N2067">
        <v>473649.24</v>
      </c>
      <c r="O2067" t="s">
        <v>53</v>
      </c>
      <c r="P2067" t="s">
        <v>54</v>
      </c>
      <c r="Q2067" t="s">
        <v>55</v>
      </c>
      <c r="T2067" t="s">
        <v>81</v>
      </c>
      <c r="U2067">
        <v>40</v>
      </c>
      <c r="V2067" s="1">
        <v>37803</v>
      </c>
      <c r="W2067" s="1">
        <v>37803</v>
      </c>
      <c r="X2067" s="1">
        <v>37803</v>
      </c>
      <c r="Y2067" s="1">
        <v>52413</v>
      </c>
      <c r="Z2067" t="s">
        <v>51</v>
      </c>
      <c r="AB2067" t="s">
        <v>54</v>
      </c>
      <c r="AC2067">
        <v>1</v>
      </c>
      <c r="AE2067" t="s">
        <v>1024</v>
      </c>
      <c r="AF2067">
        <v>20</v>
      </c>
      <c r="AG2067" s="1">
        <v>44369</v>
      </c>
      <c r="AH2067" s="1">
        <v>44369</v>
      </c>
      <c r="AI2067" s="1">
        <v>44369</v>
      </c>
      <c r="AJ2067" s="1">
        <v>51674</v>
      </c>
      <c r="AK2067" t="s">
        <v>51</v>
      </c>
      <c r="AN2067">
        <v>0</v>
      </c>
      <c r="AO2067" t="s">
        <v>54</v>
      </c>
      <c r="AP2067" t="s">
        <v>53</v>
      </c>
      <c r="AQ2067">
        <v>0</v>
      </c>
      <c r="AR2067" t="s">
        <v>145</v>
      </c>
      <c r="AS2067">
        <v>0</v>
      </c>
      <c r="AT2067">
        <v>0</v>
      </c>
      <c r="CC2067" t="s">
        <v>555</v>
      </c>
      <c r="CD2067">
        <v>85000</v>
      </c>
      <c r="CE2067" s="1">
        <v>44369</v>
      </c>
      <c r="CF2067" s="1">
        <v>44369</v>
      </c>
      <c r="CG2067" s="1">
        <v>44369</v>
      </c>
      <c r="CH2067" s="1">
        <v>51959</v>
      </c>
      <c r="CI2067" t="s">
        <v>51</v>
      </c>
      <c r="CK2067" t="s">
        <v>78</v>
      </c>
      <c r="CM2067" t="s">
        <v>54</v>
      </c>
      <c r="CN2067" t="s">
        <v>174</v>
      </c>
      <c r="CO2067" t="s">
        <v>86</v>
      </c>
      <c r="CR2067">
        <v>20</v>
      </c>
      <c r="CS2067">
        <v>0</v>
      </c>
      <c r="CT2067">
        <v>0</v>
      </c>
      <c r="CU2067">
        <v>0</v>
      </c>
    </row>
    <row r="2068" spans="1:99" x14ac:dyDescent="0.2">
      <c r="A2068" t="s">
        <v>1012</v>
      </c>
      <c r="B2068" t="s">
        <v>1013</v>
      </c>
      <c r="C2068" t="s">
        <v>1025</v>
      </c>
      <c r="D2068" t="s">
        <v>1022</v>
      </c>
      <c r="F2068" t="str">
        <f>"254277"</f>
        <v>254277</v>
      </c>
      <c r="G2068" t="s">
        <v>49</v>
      </c>
      <c r="H2068">
        <v>104</v>
      </c>
      <c r="K2068" t="s">
        <v>51</v>
      </c>
      <c r="L2068" t="s">
        <v>52</v>
      </c>
      <c r="M2068">
        <v>134308.15</v>
      </c>
      <c r="N2068">
        <v>473644.6</v>
      </c>
      <c r="O2068" t="s">
        <v>53</v>
      </c>
      <c r="P2068" t="s">
        <v>54</v>
      </c>
      <c r="Q2068" t="s">
        <v>55</v>
      </c>
      <c r="T2068" t="s">
        <v>466</v>
      </c>
      <c r="U2068">
        <v>40</v>
      </c>
      <c r="V2068" s="1">
        <v>31048</v>
      </c>
      <c r="W2068" s="1">
        <v>31048</v>
      </c>
      <c r="X2068" s="1">
        <v>31048</v>
      </c>
      <c r="Y2068" s="1">
        <v>45658</v>
      </c>
      <c r="Z2068" t="s">
        <v>51</v>
      </c>
      <c r="AB2068" t="s">
        <v>54</v>
      </c>
      <c r="AC2068">
        <v>1</v>
      </c>
      <c r="AE2068" t="s">
        <v>1024</v>
      </c>
      <c r="AF2068">
        <v>20</v>
      </c>
      <c r="AG2068" s="1">
        <v>44363</v>
      </c>
      <c r="AH2068" s="1">
        <v>44363</v>
      </c>
      <c r="AI2068" s="1">
        <v>44363</v>
      </c>
      <c r="AJ2068" s="1">
        <v>51668</v>
      </c>
      <c r="AK2068" t="s">
        <v>51</v>
      </c>
      <c r="AN2068">
        <v>0</v>
      </c>
      <c r="AO2068" t="s">
        <v>54</v>
      </c>
      <c r="AP2068" t="s">
        <v>53</v>
      </c>
      <c r="AQ2068">
        <v>0</v>
      </c>
      <c r="AR2068" t="s">
        <v>145</v>
      </c>
      <c r="AS2068">
        <v>0</v>
      </c>
      <c r="AT2068">
        <v>0</v>
      </c>
      <c r="CC2068" t="s">
        <v>555</v>
      </c>
      <c r="CD2068">
        <v>85000</v>
      </c>
      <c r="CE2068" s="1">
        <v>44363</v>
      </c>
      <c r="CF2068" s="1">
        <v>44363</v>
      </c>
      <c r="CG2068" s="1">
        <v>44363</v>
      </c>
      <c r="CH2068" s="1">
        <v>51955</v>
      </c>
      <c r="CI2068" t="s">
        <v>51</v>
      </c>
      <c r="CK2068" t="s">
        <v>78</v>
      </c>
      <c r="CM2068" t="s">
        <v>54</v>
      </c>
      <c r="CN2068" t="s">
        <v>174</v>
      </c>
      <c r="CO2068" t="s">
        <v>86</v>
      </c>
      <c r="CR2068">
        <v>20</v>
      </c>
      <c r="CS2068">
        <v>0</v>
      </c>
      <c r="CT2068">
        <v>0</v>
      </c>
      <c r="CU2068">
        <v>0</v>
      </c>
    </row>
    <row r="2069" spans="1:99" x14ac:dyDescent="0.2">
      <c r="A2069" t="s">
        <v>1012</v>
      </c>
      <c r="B2069" t="s">
        <v>1013</v>
      </c>
      <c r="C2069" t="s">
        <v>1025</v>
      </c>
      <c r="D2069" t="s">
        <v>1022</v>
      </c>
      <c r="F2069" t="str">
        <f>"251529"</f>
        <v>251529</v>
      </c>
      <c r="G2069" t="s">
        <v>49</v>
      </c>
      <c r="H2069">
        <v>106</v>
      </c>
      <c r="K2069" t="s">
        <v>51</v>
      </c>
      <c r="L2069" t="s">
        <v>52</v>
      </c>
      <c r="M2069">
        <v>134352.4</v>
      </c>
      <c r="N2069">
        <v>473648.26</v>
      </c>
      <c r="O2069" t="s">
        <v>53</v>
      </c>
      <c r="P2069" t="s">
        <v>54</v>
      </c>
      <c r="Q2069" t="s">
        <v>55</v>
      </c>
      <c r="T2069" t="s">
        <v>81</v>
      </c>
      <c r="U2069">
        <v>40</v>
      </c>
      <c r="V2069" s="1">
        <v>31048</v>
      </c>
      <c r="W2069" s="1">
        <v>31048</v>
      </c>
      <c r="X2069" s="1">
        <v>31048</v>
      </c>
      <c r="Y2069" s="1">
        <v>45658</v>
      </c>
      <c r="Z2069" t="s">
        <v>51</v>
      </c>
      <c r="AB2069" t="s">
        <v>54</v>
      </c>
      <c r="AC2069">
        <v>1</v>
      </c>
      <c r="AE2069" t="s">
        <v>1024</v>
      </c>
      <c r="AF2069">
        <v>20</v>
      </c>
      <c r="AG2069" s="1">
        <v>44369</v>
      </c>
      <c r="AH2069" s="1">
        <v>44369</v>
      </c>
      <c r="AI2069" s="1">
        <v>44369</v>
      </c>
      <c r="AJ2069" s="1">
        <v>51674</v>
      </c>
      <c r="AK2069" t="s">
        <v>51</v>
      </c>
      <c r="AN2069">
        <v>0</v>
      </c>
      <c r="AO2069" t="s">
        <v>54</v>
      </c>
      <c r="AP2069" t="s">
        <v>53</v>
      </c>
      <c r="AQ2069">
        <v>0</v>
      </c>
      <c r="AR2069" t="s">
        <v>145</v>
      </c>
      <c r="AS2069">
        <v>0</v>
      </c>
      <c r="AT2069">
        <v>0</v>
      </c>
      <c r="CC2069" t="s">
        <v>555</v>
      </c>
      <c r="CD2069">
        <v>85000</v>
      </c>
      <c r="CE2069" s="1">
        <v>44369</v>
      </c>
      <c r="CF2069" s="1">
        <v>44369</v>
      </c>
      <c r="CG2069" s="1">
        <v>44369</v>
      </c>
      <c r="CH2069" s="1">
        <v>51959</v>
      </c>
      <c r="CI2069" t="s">
        <v>51</v>
      </c>
      <c r="CK2069" t="s">
        <v>78</v>
      </c>
      <c r="CM2069" t="s">
        <v>54</v>
      </c>
      <c r="CN2069" t="s">
        <v>174</v>
      </c>
      <c r="CO2069" t="s">
        <v>86</v>
      </c>
      <c r="CR2069">
        <v>20</v>
      </c>
      <c r="CS2069">
        <v>0</v>
      </c>
      <c r="CT2069">
        <v>0</v>
      </c>
      <c r="CU2069">
        <v>0</v>
      </c>
    </row>
    <row r="2070" spans="1:99" x14ac:dyDescent="0.2">
      <c r="A2070" t="s">
        <v>1012</v>
      </c>
      <c r="B2070" t="s">
        <v>1013</v>
      </c>
      <c r="C2070" t="s">
        <v>1025</v>
      </c>
      <c r="D2070" t="s">
        <v>1022</v>
      </c>
      <c r="F2070" t="str">
        <f>"251530"</f>
        <v>251530</v>
      </c>
      <c r="G2070" t="s">
        <v>49</v>
      </c>
      <c r="H2070">
        <v>123</v>
      </c>
      <c r="K2070" t="s">
        <v>51</v>
      </c>
      <c r="L2070" t="s">
        <v>52</v>
      </c>
      <c r="M2070">
        <v>134378.44</v>
      </c>
      <c r="N2070">
        <v>473657.65</v>
      </c>
      <c r="O2070" t="s">
        <v>53</v>
      </c>
      <c r="P2070" t="s">
        <v>54</v>
      </c>
      <c r="Q2070" t="s">
        <v>55</v>
      </c>
      <c r="T2070" t="s">
        <v>81</v>
      </c>
      <c r="U2070">
        <v>40</v>
      </c>
      <c r="V2070" s="1">
        <v>31048</v>
      </c>
      <c r="W2070" s="1">
        <v>31048</v>
      </c>
      <c r="X2070" s="1">
        <v>31048</v>
      </c>
      <c r="Y2070" s="1">
        <v>45658</v>
      </c>
      <c r="Z2070" t="s">
        <v>51</v>
      </c>
      <c r="AB2070" t="s">
        <v>54</v>
      </c>
      <c r="AC2070">
        <v>1</v>
      </c>
      <c r="AE2070" t="s">
        <v>1024</v>
      </c>
      <c r="AF2070">
        <v>20</v>
      </c>
      <c r="AG2070" s="1">
        <v>44369</v>
      </c>
      <c r="AH2070" s="1">
        <v>44369</v>
      </c>
      <c r="AI2070" s="1">
        <v>44369</v>
      </c>
      <c r="AJ2070" s="1">
        <v>51674</v>
      </c>
      <c r="AK2070" t="s">
        <v>51</v>
      </c>
      <c r="AN2070">
        <v>0</v>
      </c>
      <c r="AO2070" t="s">
        <v>54</v>
      </c>
      <c r="AP2070" t="s">
        <v>53</v>
      </c>
      <c r="AQ2070">
        <v>0</v>
      </c>
      <c r="AR2070" t="s">
        <v>145</v>
      </c>
      <c r="AS2070">
        <v>0</v>
      </c>
      <c r="AT2070">
        <v>0</v>
      </c>
      <c r="CC2070" t="s">
        <v>555</v>
      </c>
      <c r="CD2070">
        <v>85000</v>
      </c>
      <c r="CE2070" s="1">
        <v>44369</v>
      </c>
      <c r="CF2070" s="1">
        <v>44369</v>
      </c>
      <c r="CG2070" s="1">
        <v>44369</v>
      </c>
      <c r="CH2070" s="1">
        <v>51959</v>
      </c>
      <c r="CI2070" t="s">
        <v>51</v>
      </c>
      <c r="CK2070" t="s">
        <v>78</v>
      </c>
      <c r="CM2070" t="s">
        <v>54</v>
      </c>
      <c r="CN2070" t="s">
        <v>174</v>
      </c>
      <c r="CO2070" t="s">
        <v>86</v>
      </c>
      <c r="CR2070">
        <v>20</v>
      </c>
      <c r="CS2070">
        <v>0</v>
      </c>
      <c r="CT2070">
        <v>0</v>
      </c>
      <c r="CU2070">
        <v>0</v>
      </c>
    </row>
    <row r="2071" spans="1:99" x14ac:dyDescent="0.2">
      <c r="A2071" t="s">
        <v>1012</v>
      </c>
      <c r="B2071" t="s">
        <v>1013</v>
      </c>
      <c r="C2071" t="s">
        <v>1025</v>
      </c>
      <c r="D2071" t="s">
        <v>1022</v>
      </c>
      <c r="F2071" t="str">
        <f>"251531"</f>
        <v>251531</v>
      </c>
      <c r="G2071" t="s">
        <v>49</v>
      </c>
      <c r="H2071">
        <v>123</v>
      </c>
      <c r="K2071" t="s">
        <v>51</v>
      </c>
      <c r="L2071" t="s">
        <v>52</v>
      </c>
      <c r="M2071">
        <v>134408.91</v>
      </c>
      <c r="N2071">
        <v>473653.61</v>
      </c>
      <c r="O2071" t="s">
        <v>53</v>
      </c>
      <c r="P2071" t="s">
        <v>54</v>
      </c>
      <c r="Q2071" t="s">
        <v>55</v>
      </c>
      <c r="T2071" t="s">
        <v>81</v>
      </c>
      <c r="U2071">
        <v>40</v>
      </c>
      <c r="V2071" s="1">
        <v>31048</v>
      </c>
      <c r="W2071" s="1">
        <v>31048</v>
      </c>
      <c r="X2071" s="1">
        <v>31048</v>
      </c>
      <c r="Y2071" s="1">
        <v>45658</v>
      </c>
      <c r="Z2071" t="s">
        <v>51</v>
      </c>
      <c r="AB2071" t="s">
        <v>54</v>
      </c>
      <c r="AC2071">
        <v>1</v>
      </c>
      <c r="AE2071" t="s">
        <v>1024</v>
      </c>
      <c r="AF2071">
        <v>20</v>
      </c>
      <c r="AG2071" s="1">
        <v>44369</v>
      </c>
      <c r="AH2071" s="1">
        <v>44369</v>
      </c>
      <c r="AI2071" s="1">
        <v>44369</v>
      </c>
      <c r="AJ2071" s="1">
        <v>51674</v>
      </c>
      <c r="AK2071" t="s">
        <v>51</v>
      </c>
      <c r="AN2071">
        <v>0</v>
      </c>
      <c r="AO2071" t="s">
        <v>54</v>
      </c>
      <c r="AP2071" t="s">
        <v>53</v>
      </c>
      <c r="AQ2071">
        <v>0</v>
      </c>
      <c r="AR2071" t="s">
        <v>145</v>
      </c>
      <c r="AS2071">
        <v>0</v>
      </c>
      <c r="AT2071">
        <v>0</v>
      </c>
      <c r="CC2071" t="s">
        <v>555</v>
      </c>
      <c r="CD2071">
        <v>85000</v>
      </c>
      <c r="CE2071" s="1">
        <v>44369</v>
      </c>
      <c r="CF2071" s="1">
        <v>44369</v>
      </c>
      <c r="CG2071" s="1">
        <v>44369</v>
      </c>
      <c r="CH2071" s="1">
        <v>51959</v>
      </c>
      <c r="CI2071" t="s">
        <v>51</v>
      </c>
      <c r="CK2071" t="s">
        <v>78</v>
      </c>
      <c r="CM2071" t="s">
        <v>54</v>
      </c>
      <c r="CN2071" t="s">
        <v>174</v>
      </c>
      <c r="CO2071" t="s">
        <v>86</v>
      </c>
      <c r="CR2071">
        <v>20</v>
      </c>
      <c r="CS2071">
        <v>0</v>
      </c>
      <c r="CT2071">
        <v>0</v>
      </c>
      <c r="CU2071">
        <v>0</v>
      </c>
    </row>
    <row r="2072" spans="1:99" x14ac:dyDescent="0.2">
      <c r="A2072" t="s">
        <v>1012</v>
      </c>
      <c r="B2072" t="s">
        <v>1013</v>
      </c>
      <c r="C2072" t="s">
        <v>1025</v>
      </c>
      <c r="D2072" t="s">
        <v>1022</v>
      </c>
      <c r="F2072" t="str">
        <f>"251532"</f>
        <v>251532</v>
      </c>
      <c r="G2072" t="s">
        <v>49</v>
      </c>
      <c r="H2072">
        <v>123</v>
      </c>
      <c r="K2072" t="s">
        <v>51</v>
      </c>
      <c r="L2072" t="s">
        <v>52</v>
      </c>
      <c r="M2072">
        <v>134442.57999999999</v>
      </c>
      <c r="N2072">
        <v>473666.32</v>
      </c>
      <c r="O2072" t="s">
        <v>53</v>
      </c>
      <c r="P2072" t="s">
        <v>54</v>
      </c>
      <c r="Q2072" t="s">
        <v>55</v>
      </c>
      <c r="T2072" t="s">
        <v>81</v>
      </c>
      <c r="U2072">
        <v>40</v>
      </c>
      <c r="V2072" s="1">
        <v>31048</v>
      </c>
      <c r="W2072" s="1">
        <v>31048</v>
      </c>
      <c r="X2072" s="1">
        <v>31048</v>
      </c>
      <c r="Y2072" s="1">
        <v>45658</v>
      </c>
      <c r="Z2072" t="s">
        <v>51</v>
      </c>
      <c r="AB2072" t="s">
        <v>54</v>
      </c>
      <c r="AC2072">
        <v>1</v>
      </c>
      <c r="AE2072" t="s">
        <v>1024</v>
      </c>
      <c r="AF2072">
        <v>20</v>
      </c>
      <c r="AG2072" s="1">
        <v>44369</v>
      </c>
      <c r="AH2072" s="1">
        <v>44369</v>
      </c>
      <c r="AI2072" s="1">
        <v>44369</v>
      </c>
      <c r="AJ2072" s="1">
        <v>51674</v>
      </c>
      <c r="AK2072" t="s">
        <v>51</v>
      </c>
      <c r="AN2072">
        <v>0</v>
      </c>
      <c r="AO2072" t="s">
        <v>54</v>
      </c>
      <c r="AP2072" t="s">
        <v>53</v>
      </c>
      <c r="AQ2072">
        <v>0</v>
      </c>
      <c r="AR2072" t="s">
        <v>145</v>
      </c>
      <c r="AS2072">
        <v>0</v>
      </c>
      <c r="AT2072">
        <v>0</v>
      </c>
      <c r="CC2072" t="s">
        <v>555</v>
      </c>
      <c r="CD2072">
        <v>85000</v>
      </c>
      <c r="CE2072" s="1">
        <v>44369</v>
      </c>
      <c r="CF2072" s="1">
        <v>44369</v>
      </c>
      <c r="CG2072" s="1">
        <v>44369</v>
      </c>
      <c r="CH2072" s="1">
        <v>51959</v>
      </c>
      <c r="CI2072" t="s">
        <v>51</v>
      </c>
      <c r="CK2072" t="s">
        <v>78</v>
      </c>
      <c r="CM2072" t="s">
        <v>54</v>
      </c>
      <c r="CN2072" t="s">
        <v>174</v>
      </c>
      <c r="CO2072" t="s">
        <v>86</v>
      </c>
      <c r="CR2072">
        <v>20</v>
      </c>
      <c r="CS2072">
        <v>0</v>
      </c>
      <c r="CT2072">
        <v>0</v>
      </c>
      <c r="CU2072">
        <v>0</v>
      </c>
    </row>
    <row r="2073" spans="1:99" x14ac:dyDescent="0.2">
      <c r="A2073" t="s">
        <v>1012</v>
      </c>
      <c r="B2073" t="s">
        <v>1013</v>
      </c>
      <c r="C2073" t="s">
        <v>1025</v>
      </c>
      <c r="D2073" t="s">
        <v>1022</v>
      </c>
      <c r="F2073" t="str">
        <f>"251533"</f>
        <v>251533</v>
      </c>
      <c r="G2073" t="s">
        <v>49</v>
      </c>
      <c r="H2073">
        <v>112</v>
      </c>
      <c r="K2073" t="s">
        <v>51</v>
      </c>
      <c r="L2073" t="s">
        <v>52</v>
      </c>
      <c r="M2073">
        <v>134476.60999999999</v>
      </c>
      <c r="N2073">
        <v>473659.84</v>
      </c>
      <c r="O2073" t="s">
        <v>53</v>
      </c>
      <c r="P2073" t="s">
        <v>54</v>
      </c>
      <c r="Q2073" t="s">
        <v>55</v>
      </c>
      <c r="T2073" t="s">
        <v>81</v>
      </c>
      <c r="U2073">
        <v>40</v>
      </c>
      <c r="V2073" s="1">
        <v>31048</v>
      </c>
      <c r="W2073" s="1">
        <v>31048</v>
      </c>
      <c r="X2073" s="1">
        <v>31048</v>
      </c>
      <c r="Y2073" s="1">
        <v>45658</v>
      </c>
      <c r="Z2073" t="s">
        <v>51</v>
      </c>
      <c r="AB2073" t="s">
        <v>54</v>
      </c>
      <c r="AC2073">
        <v>1</v>
      </c>
      <c r="AE2073" t="s">
        <v>1024</v>
      </c>
      <c r="AF2073">
        <v>20</v>
      </c>
      <c r="AG2073" s="1">
        <v>44369</v>
      </c>
      <c r="AH2073" s="1">
        <v>44369</v>
      </c>
      <c r="AI2073" s="1">
        <v>44369</v>
      </c>
      <c r="AJ2073" s="1">
        <v>51674</v>
      </c>
      <c r="AK2073" t="s">
        <v>51</v>
      </c>
      <c r="AN2073">
        <v>0</v>
      </c>
      <c r="AO2073" t="s">
        <v>54</v>
      </c>
      <c r="AP2073" t="s">
        <v>53</v>
      </c>
      <c r="AQ2073">
        <v>0</v>
      </c>
      <c r="AR2073" t="s">
        <v>145</v>
      </c>
      <c r="AS2073">
        <v>0</v>
      </c>
      <c r="AT2073">
        <v>0</v>
      </c>
      <c r="CC2073" t="s">
        <v>555</v>
      </c>
      <c r="CD2073">
        <v>85000</v>
      </c>
      <c r="CE2073" s="1">
        <v>44369</v>
      </c>
      <c r="CF2073" s="1">
        <v>44369</v>
      </c>
      <c r="CG2073" s="1">
        <v>44369</v>
      </c>
      <c r="CH2073" s="1">
        <v>51959</v>
      </c>
      <c r="CI2073" t="s">
        <v>51</v>
      </c>
      <c r="CK2073" t="s">
        <v>78</v>
      </c>
      <c r="CM2073" t="s">
        <v>54</v>
      </c>
      <c r="CN2073" t="s">
        <v>174</v>
      </c>
      <c r="CO2073" t="s">
        <v>86</v>
      </c>
      <c r="CR2073">
        <v>20</v>
      </c>
      <c r="CS2073">
        <v>0</v>
      </c>
      <c r="CT2073">
        <v>0</v>
      </c>
      <c r="CU2073">
        <v>0</v>
      </c>
    </row>
    <row r="2074" spans="1:99" x14ac:dyDescent="0.2">
      <c r="A2074" t="s">
        <v>1012</v>
      </c>
      <c r="B2074" t="s">
        <v>1013</v>
      </c>
      <c r="C2074" t="s">
        <v>1025</v>
      </c>
      <c r="D2074" t="s">
        <v>1022</v>
      </c>
      <c r="F2074" t="str">
        <f>"251534"</f>
        <v>251534</v>
      </c>
      <c r="G2074" t="s">
        <v>49</v>
      </c>
      <c r="H2074">
        <v>129</v>
      </c>
      <c r="K2074" t="s">
        <v>51</v>
      </c>
      <c r="L2074" t="s">
        <v>52</v>
      </c>
      <c r="M2074">
        <v>134513.04</v>
      </c>
      <c r="N2074">
        <v>473669.6</v>
      </c>
      <c r="O2074" t="s">
        <v>53</v>
      </c>
      <c r="P2074" t="s">
        <v>54</v>
      </c>
      <c r="Q2074" t="s">
        <v>55</v>
      </c>
      <c r="T2074" t="s">
        <v>81</v>
      </c>
      <c r="U2074">
        <v>40</v>
      </c>
      <c r="V2074" s="1">
        <v>31048</v>
      </c>
      <c r="W2074" s="1">
        <v>31048</v>
      </c>
      <c r="X2074" s="1">
        <v>31048</v>
      </c>
      <c r="Y2074" s="1">
        <v>45658</v>
      </c>
      <c r="Z2074" t="s">
        <v>51</v>
      </c>
      <c r="AB2074" t="s">
        <v>54</v>
      </c>
      <c r="AC2074">
        <v>1</v>
      </c>
      <c r="AE2074" t="s">
        <v>1024</v>
      </c>
      <c r="AF2074">
        <v>20</v>
      </c>
      <c r="AG2074" s="1">
        <v>44369</v>
      </c>
      <c r="AH2074" s="1">
        <v>44369</v>
      </c>
      <c r="AI2074" s="1">
        <v>44369</v>
      </c>
      <c r="AJ2074" s="1">
        <v>51674</v>
      </c>
      <c r="AK2074" t="s">
        <v>51</v>
      </c>
      <c r="AN2074">
        <v>0</v>
      </c>
      <c r="AO2074" t="s">
        <v>54</v>
      </c>
      <c r="AP2074" t="s">
        <v>53</v>
      </c>
      <c r="AQ2074">
        <v>0</v>
      </c>
      <c r="AR2074" t="s">
        <v>145</v>
      </c>
      <c r="AS2074">
        <v>0</v>
      </c>
      <c r="AT2074">
        <v>0</v>
      </c>
      <c r="CC2074" t="s">
        <v>555</v>
      </c>
      <c r="CD2074">
        <v>85000</v>
      </c>
      <c r="CE2074" s="1">
        <v>44369</v>
      </c>
      <c r="CF2074" s="1">
        <v>44369</v>
      </c>
      <c r="CG2074" s="1">
        <v>44369</v>
      </c>
      <c r="CH2074" s="1">
        <v>51959</v>
      </c>
      <c r="CI2074" t="s">
        <v>51</v>
      </c>
      <c r="CK2074" t="s">
        <v>78</v>
      </c>
      <c r="CM2074" t="s">
        <v>54</v>
      </c>
      <c r="CN2074" t="s">
        <v>174</v>
      </c>
      <c r="CO2074" t="s">
        <v>86</v>
      </c>
      <c r="CR2074">
        <v>20</v>
      </c>
      <c r="CS2074">
        <v>0</v>
      </c>
      <c r="CT2074">
        <v>0</v>
      </c>
      <c r="CU2074">
        <v>0</v>
      </c>
    </row>
    <row r="2075" spans="1:99" x14ac:dyDescent="0.2">
      <c r="A2075" t="s">
        <v>1012</v>
      </c>
      <c r="B2075" t="s">
        <v>1013</v>
      </c>
      <c r="C2075" t="s">
        <v>1025</v>
      </c>
      <c r="D2075" t="s">
        <v>1022</v>
      </c>
      <c r="F2075" t="str">
        <f>"251535"</f>
        <v>251535</v>
      </c>
      <c r="G2075" t="s">
        <v>49</v>
      </c>
      <c r="H2075">
        <v>118</v>
      </c>
      <c r="K2075" t="s">
        <v>51</v>
      </c>
      <c r="L2075" t="s">
        <v>52</v>
      </c>
      <c r="M2075">
        <v>134549.68</v>
      </c>
      <c r="N2075">
        <v>473666.3</v>
      </c>
      <c r="O2075" t="s">
        <v>53</v>
      </c>
      <c r="P2075" t="s">
        <v>54</v>
      </c>
      <c r="Q2075" t="s">
        <v>55</v>
      </c>
      <c r="T2075" t="s">
        <v>81</v>
      </c>
      <c r="U2075">
        <v>40</v>
      </c>
      <c r="V2075" s="1">
        <v>31048</v>
      </c>
      <c r="W2075" s="1">
        <v>31048</v>
      </c>
      <c r="X2075" s="1">
        <v>31048</v>
      </c>
      <c r="Y2075" s="1">
        <v>45658</v>
      </c>
      <c r="Z2075" t="s">
        <v>51</v>
      </c>
      <c r="AB2075" t="s">
        <v>54</v>
      </c>
      <c r="AC2075">
        <v>1</v>
      </c>
      <c r="AE2075" t="s">
        <v>1024</v>
      </c>
      <c r="AF2075">
        <v>20</v>
      </c>
      <c r="AG2075" s="1">
        <v>44369</v>
      </c>
      <c r="AH2075" s="1">
        <v>44369</v>
      </c>
      <c r="AI2075" s="1">
        <v>44369</v>
      </c>
      <c r="AJ2075" s="1">
        <v>51674</v>
      </c>
      <c r="AK2075" t="s">
        <v>51</v>
      </c>
      <c r="AN2075">
        <v>0</v>
      </c>
      <c r="AO2075" t="s">
        <v>54</v>
      </c>
      <c r="AP2075" t="s">
        <v>53</v>
      </c>
      <c r="AQ2075">
        <v>0</v>
      </c>
      <c r="AR2075" t="s">
        <v>145</v>
      </c>
      <c r="AS2075">
        <v>0</v>
      </c>
      <c r="AT2075">
        <v>0</v>
      </c>
      <c r="CC2075" t="s">
        <v>555</v>
      </c>
      <c r="CD2075">
        <v>85000</v>
      </c>
      <c r="CE2075" s="1">
        <v>44369</v>
      </c>
      <c r="CF2075" s="1">
        <v>44369</v>
      </c>
      <c r="CG2075" s="1">
        <v>44369</v>
      </c>
      <c r="CH2075" s="1">
        <v>51959</v>
      </c>
      <c r="CI2075" t="s">
        <v>51</v>
      </c>
      <c r="CK2075" t="s">
        <v>78</v>
      </c>
      <c r="CM2075" t="s">
        <v>54</v>
      </c>
      <c r="CN2075" t="s">
        <v>174</v>
      </c>
      <c r="CO2075" t="s">
        <v>86</v>
      </c>
      <c r="CR2075">
        <v>20</v>
      </c>
      <c r="CS2075">
        <v>0</v>
      </c>
      <c r="CT2075">
        <v>0</v>
      </c>
      <c r="CU2075">
        <v>0</v>
      </c>
    </row>
    <row r="2076" spans="1:99" x14ac:dyDescent="0.2">
      <c r="A2076" t="s">
        <v>1012</v>
      </c>
      <c r="B2076" t="s">
        <v>1013</v>
      </c>
      <c r="C2076" t="s">
        <v>1025</v>
      </c>
      <c r="D2076" t="s">
        <v>1022</v>
      </c>
      <c r="F2076" t="str">
        <f>"251536"</f>
        <v>251536</v>
      </c>
      <c r="G2076" t="s">
        <v>49</v>
      </c>
      <c r="H2076">
        <v>133</v>
      </c>
      <c r="K2076" t="s">
        <v>51</v>
      </c>
      <c r="L2076" t="s">
        <v>52</v>
      </c>
      <c r="M2076">
        <v>134583.64000000001</v>
      </c>
      <c r="N2076">
        <v>473675.84</v>
      </c>
      <c r="O2076" t="s">
        <v>53</v>
      </c>
      <c r="P2076" t="s">
        <v>54</v>
      </c>
      <c r="Q2076" t="s">
        <v>55</v>
      </c>
      <c r="T2076" t="s">
        <v>81</v>
      </c>
      <c r="U2076">
        <v>40</v>
      </c>
      <c r="V2076" s="1">
        <v>31048</v>
      </c>
      <c r="W2076" s="1">
        <v>31048</v>
      </c>
      <c r="X2076" s="1">
        <v>31048</v>
      </c>
      <c r="Y2076" s="1">
        <v>45658</v>
      </c>
      <c r="Z2076" t="s">
        <v>51</v>
      </c>
      <c r="AB2076" t="s">
        <v>54</v>
      </c>
      <c r="AC2076">
        <v>1</v>
      </c>
      <c r="AE2076" t="s">
        <v>1024</v>
      </c>
      <c r="AF2076">
        <v>20</v>
      </c>
      <c r="AG2076" s="1">
        <v>44369</v>
      </c>
      <c r="AH2076" s="1">
        <v>44369</v>
      </c>
      <c r="AI2076" s="1">
        <v>44369</v>
      </c>
      <c r="AJ2076" s="1">
        <v>51674</v>
      </c>
      <c r="AK2076" t="s">
        <v>51</v>
      </c>
      <c r="AN2076">
        <v>0</v>
      </c>
      <c r="AO2076" t="s">
        <v>54</v>
      </c>
      <c r="AP2076" t="s">
        <v>53</v>
      </c>
      <c r="AQ2076">
        <v>0</v>
      </c>
      <c r="AR2076" t="s">
        <v>145</v>
      </c>
      <c r="AS2076">
        <v>0</v>
      </c>
      <c r="AT2076">
        <v>0</v>
      </c>
      <c r="CC2076" t="s">
        <v>555</v>
      </c>
      <c r="CD2076">
        <v>85000</v>
      </c>
      <c r="CE2076" s="1">
        <v>44369</v>
      </c>
      <c r="CF2076" s="1">
        <v>44369</v>
      </c>
      <c r="CG2076" s="1">
        <v>44369</v>
      </c>
      <c r="CH2076" s="1">
        <v>51959</v>
      </c>
      <c r="CI2076" t="s">
        <v>51</v>
      </c>
      <c r="CK2076" t="s">
        <v>78</v>
      </c>
      <c r="CM2076" t="s">
        <v>54</v>
      </c>
      <c r="CN2076" t="s">
        <v>174</v>
      </c>
      <c r="CO2076" t="s">
        <v>86</v>
      </c>
      <c r="CR2076">
        <v>20</v>
      </c>
      <c r="CS2076">
        <v>0</v>
      </c>
      <c r="CT2076">
        <v>0</v>
      </c>
      <c r="CU2076">
        <v>0</v>
      </c>
    </row>
    <row r="2077" spans="1:99" x14ac:dyDescent="0.2">
      <c r="A2077" t="s">
        <v>1012</v>
      </c>
      <c r="B2077" t="s">
        <v>1013</v>
      </c>
      <c r="C2077" t="s">
        <v>1025</v>
      </c>
      <c r="D2077" t="s">
        <v>1022</v>
      </c>
      <c r="F2077" t="str">
        <f>"251537"</f>
        <v>251537</v>
      </c>
      <c r="G2077" t="s">
        <v>49</v>
      </c>
      <c r="H2077">
        <v>126</v>
      </c>
      <c r="K2077" t="s">
        <v>51</v>
      </c>
      <c r="L2077" t="s">
        <v>52</v>
      </c>
      <c r="M2077">
        <v>134619.32</v>
      </c>
      <c r="N2077">
        <v>473672.42</v>
      </c>
      <c r="O2077" t="s">
        <v>53</v>
      </c>
      <c r="P2077" t="s">
        <v>54</v>
      </c>
      <c r="Q2077" t="s">
        <v>55</v>
      </c>
      <c r="T2077" t="s">
        <v>81</v>
      </c>
      <c r="U2077">
        <v>40</v>
      </c>
      <c r="V2077" s="1">
        <v>31048</v>
      </c>
      <c r="W2077" s="1">
        <v>31048</v>
      </c>
      <c r="X2077" s="1">
        <v>31048</v>
      </c>
      <c r="Y2077" s="1">
        <v>45658</v>
      </c>
      <c r="Z2077" t="s">
        <v>51</v>
      </c>
      <c r="AB2077" t="s">
        <v>54</v>
      </c>
      <c r="AC2077">
        <v>1</v>
      </c>
      <c r="AE2077" t="s">
        <v>1024</v>
      </c>
      <c r="AF2077">
        <v>20</v>
      </c>
      <c r="AG2077" s="1">
        <v>44369</v>
      </c>
      <c r="AH2077" s="1">
        <v>44369</v>
      </c>
      <c r="AI2077" s="1">
        <v>44369</v>
      </c>
      <c r="AJ2077" s="1">
        <v>51674</v>
      </c>
      <c r="AK2077" t="s">
        <v>51</v>
      </c>
      <c r="AN2077">
        <v>0</v>
      </c>
      <c r="AO2077" t="s">
        <v>54</v>
      </c>
      <c r="AP2077" t="s">
        <v>53</v>
      </c>
      <c r="AQ2077">
        <v>0</v>
      </c>
      <c r="AR2077" t="s">
        <v>145</v>
      </c>
      <c r="AS2077">
        <v>0</v>
      </c>
      <c r="AT2077">
        <v>0</v>
      </c>
      <c r="CC2077" t="s">
        <v>555</v>
      </c>
      <c r="CD2077">
        <v>85000</v>
      </c>
      <c r="CE2077" s="1">
        <v>44369</v>
      </c>
      <c r="CF2077" s="1">
        <v>44369</v>
      </c>
      <c r="CG2077" s="1">
        <v>44369</v>
      </c>
      <c r="CH2077" s="1">
        <v>51959</v>
      </c>
      <c r="CI2077" t="s">
        <v>51</v>
      </c>
      <c r="CK2077" t="s">
        <v>78</v>
      </c>
      <c r="CM2077" t="s">
        <v>54</v>
      </c>
      <c r="CN2077" t="s">
        <v>174</v>
      </c>
      <c r="CO2077" t="s">
        <v>86</v>
      </c>
      <c r="CR2077">
        <v>20</v>
      </c>
      <c r="CS2077">
        <v>0</v>
      </c>
      <c r="CT2077">
        <v>0</v>
      </c>
      <c r="CU2077">
        <v>0</v>
      </c>
    </row>
    <row r="2078" spans="1:99" x14ac:dyDescent="0.2">
      <c r="A2078" t="s">
        <v>1012</v>
      </c>
      <c r="B2078" t="s">
        <v>1013</v>
      </c>
      <c r="C2078" t="s">
        <v>1025</v>
      </c>
      <c r="D2078" t="s">
        <v>1022</v>
      </c>
      <c r="F2078" t="str">
        <f>"251538"</f>
        <v>251538</v>
      </c>
      <c r="G2078" t="s">
        <v>49</v>
      </c>
      <c r="H2078">
        <v>139</v>
      </c>
      <c r="K2078" t="s">
        <v>51</v>
      </c>
      <c r="L2078" t="s">
        <v>52</v>
      </c>
      <c r="M2078">
        <v>134652.46</v>
      </c>
      <c r="N2078">
        <v>473682.07</v>
      </c>
      <c r="O2078" t="s">
        <v>53</v>
      </c>
      <c r="P2078" t="s">
        <v>54</v>
      </c>
      <c r="Q2078" t="s">
        <v>55</v>
      </c>
      <c r="T2078" t="s">
        <v>81</v>
      </c>
      <c r="U2078">
        <v>40</v>
      </c>
      <c r="V2078" s="1">
        <v>31048</v>
      </c>
      <c r="W2078" s="1">
        <v>31048</v>
      </c>
      <c r="X2078" s="1">
        <v>31048</v>
      </c>
      <c r="Y2078" s="1">
        <v>45658</v>
      </c>
      <c r="Z2078" t="s">
        <v>51</v>
      </c>
      <c r="AB2078" t="s">
        <v>54</v>
      </c>
      <c r="AC2078">
        <v>1</v>
      </c>
      <c r="AE2078" t="s">
        <v>1024</v>
      </c>
      <c r="AF2078">
        <v>20</v>
      </c>
      <c r="AG2078" s="1">
        <v>44369</v>
      </c>
      <c r="AH2078" s="1">
        <v>44369</v>
      </c>
      <c r="AI2078" s="1">
        <v>44369</v>
      </c>
      <c r="AJ2078" s="1">
        <v>51674</v>
      </c>
      <c r="AK2078" t="s">
        <v>51</v>
      </c>
      <c r="AN2078">
        <v>0</v>
      </c>
      <c r="AO2078" t="s">
        <v>54</v>
      </c>
      <c r="AP2078" t="s">
        <v>53</v>
      </c>
      <c r="AQ2078">
        <v>0</v>
      </c>
      <c r="AR2078" t="s">
        <v>145</v>
      </c>
      <c r="AS2078">
        <v>0</v>
      </c>
      <c r="AT2078">
        <v>0</v>
      </c>
      <c r="CC2078" t="s">
        <v>555</v>
      </c>
      <c r="CD2078">
        <v>85000</v>
      </c>
      <c r="CE2078" s="1">
        <v>44369</v>
      </c>
      <c r="CF2078" s="1">
        <v>44369</v>
      </c>
      <c r="CG2078" s="1">
        <v>44369</v>
      </c>
      <c r="CH2078" s="1">
        <v>51959</v>
      </c>
      <c r="CI2078" t="s">
        <v>51</v>
      </c>
      <c r="CK2078" t="s">
        <v>78</v>
      </c>
      <c r="CM2078" t="s">
        <v>54</v>
      </c>
      <c r="CN2078" t="s">
        <v>174</v>
      </c>
      <c r="CO2078" t="s">
        <v>86</v>
      </c>
      <c r="CR2078">
        <v>20</v>
      </c>
      <c r="CS2078">
        <v>0</v>
      </c>
      <c r="CT2078">
        <v>0</v>
      </c>
      <c r="CU2078">
        <v>0</v>
      </c>
    </row>
    <row r="2079" spans="1:99" x14ac:dyDescent="0.2">
      <c r="A2079" t="s">
        <v>1012</v>
      </c>
      <c r="B2079" t="s">
        <v>1013</v>
      </c>
      <c r="C2079" t="s">
        <v>1025</v>
      </c>
      <c r="D2079" t="s">
        <v>1022</v>
      </c>
      <c r="F2079" t="str">
        <f>"251539"</f>
        <v>251539</v>
      </c>
      <c r="G2079" t="s">
        <v>49</v>
      </c>
      <c r="H2079">
        <v>126</v>
      </c>
      <c r="K2079" t="s">
        <v>51</v>
      </c>
      <c r="L2079" t="s">
        <v>52</v>
      </c>
      <c r="M2079">
        <v>134687.10999999999</v>
      </c>
      <c r="N2079">
        <v>473678.44</v>
      </c>
      <c r="O2079" t="s">
        <v>53</v>
      </c>
      <c r="P2079" t="s">
        <v>54</v>
      </c>
      <c r="Q2079" t="s">
        <v>55</v>
      </c>
      <c r="T2079" t="s">
        <v>81</v>
      </c>
      <c r="U2079">
        <v>40</v>
      </c>
      <c r="V2079" s="1">
        <v>31048</v>
      </c>
      <c r="W2079" s="1">
        <v>31048</v>
      </c>
      <c r="X2079" s="1">
        <v>31048</v>
      </c>
      <c r="Y2079" s="1">
        <v>45658</v>
      </c>
      <c r="Z2079" t="s">
        <v>51</v>
      </c>
      <c r="AB2079" t="s">
        <v>54</v>
      </c>
      <c r="AC2079">
        <v>1</v>
      </c>
      <c r="AE2079" t="s">
        <v>1024</v>
      </c>
      <c r="AF2079">
        <v>20</v>
      </c>
      <c r="AG2079" s="1">
        <v>44369</v>
      </c>
      <c r="AH2079" s="1">
        <v>44369</v>
      </c>
      <c r="AI2079" s="1">
        <v>44369</v>
      </c>
      <c r="AJ2079" s="1">
        <v>51674</v>
      </c>
      <c r="AK2079" t="s">
        <v>51</v>
      </c>
      <c r="AN2079">
        <v>0</v>
      </c>
      <c r="AO2079" t="s">
        <v>54</v>
      </c>
      <c r="AP2079" t="s">
        <v>53</v>
      </c>
      <c r="AQ2079">
        <v>0</v>
      </c>
      <c r="AR2079" t="s">
        <v>145</v>
      </c>
      <c r="AS2079">
        <v>0</v>
      </c>
      <c r="AT2079">
        <v>0</v>
      </c>
      <c r="CC2079" t="s">
        <v>555</v>
      </c>
      <c r="CD2079">
        <v>85000</v>
      </c>
      <c r="CE2079" s="1">
        <v>44369</v>
      </c>
      <c r="CF2079" s="1">
        <v>44369</v>
      </c>
      <c r="CG2079" s="1">
        <v>44369</v>
      </c>
      <c r="CH2079" s="1">
        <v>51959</v>
      </c>
      <c r="CI2079" t="s">
        <v>51</v>
      </c>
      <c r="CK2079" t="s">
        <v>78</v>
      </c>
      <c r="CM2079" t="s">
        <v>54</v>
      </c>
      <c r="CN2079" t="s">
        <v>174</v>
      </c>
      <c r="CO2079" t="s">
        <v>86</v>
      </c>
      <c r="CR2079">
        <v>20</v>
      </c>
      <c r="CS2079">
        <v>0</v>
      </c>
      <c r="CT2079">
        <v>0</v>
      </c>
      <c r="CU2079">
        <v>0</v>
      </c>
    </row>
    <row r="2080" spans="1:99" x14ac:dyDescent="0.2">
      <c r="A2080" t="s">
        <v>1012</v>
      </c>
      <c r="B2080" t="s">
        <v>1013</v>
      </c>
      <c r="C2080" t="s">
        <v>1025</v>
      </c>
      <c r="D2080" t="s">
        <v>1022</v>
      </c>
      <c r="F2080" t="str">
        <f>"251540"</f>
        <v>251540</v>
      </c>
      <c r="G2080" t="s">
        <v>49</v>
      </c>
      <c r="H2080">
        <v>128</v>
      </c>
      <c r="K2080" t="s">
        <v>51</v>
      </c>
      <c r="L2080" t="s">
        <v>52</v>
      </c>
      <c r="M2080">
        <v>134717.04</v>
      </c>
      <c r="N2080">
        <v>473690.99</v>
      </c>
      <c r="O2080" t="s">
        <v>53</v>
      </c>
      <c r="P2080" t="s">
        <v>54</v>
      </c>
      <c r="Q2080" t="s">
        <v>55</v>
      </c>
      <c r="T2080" t="s">
        <v>81</v>
      </c>
      <c r="U2080">
        <v>40</v>
      </c>
      <c r="V2080" s="1">
        <v>31048</v>
      </c>
      <c r="W2080" s="1">
        <v>31048</v>
      </c>
      <c r="X2080" s="1">
        <v>31048</v>
      </c>
      <c r="Y2080" s="1">
        <v>45658</v>
      </c>
      <c r="Z2080" t="s">
        <v>51</v>
      </c>
      <c r="AB2080" t="s">
        <v>54</v>
      </c>
      <c r="AC2080">
        <v>1</v>
      </c>
      <c r="AE2080" t="s">
        <v>1024</v>
      </c>
      <c r="AF2080">
        <v>20</v>
      </c>
      <c r="AG2080" s="1">
        <v>44369</v>
      </c>
      <c r="AH2080" s="1">
        <v>44369</v>
      </c>
      <c r="AI2080" s="1">
        <v>44369</v>
      </c>
      <c r="AJ2080" s="1">
        <v>51674</v>
      </c>
      <c r="AK2080" t="s">
        <v>51</v>
      </c>
      <c r="AN2080">
        <v>0</v>
      </c>
      <c r="AO2080" t="s">
        <v>54</v>
      </c>
      <c r="AP2080" t="s">
        <v>53</v>
      </c>
      <c r="AQ2080">
        <v>0</v>
      </c>
      <c r="AR2080" t="s">
        <v>145</v>
      </c>
      <c r="AS2080">
        <v>0</v>
      </c>
      <c r="AT2080">
        <v>0</v>
      </c>
      <c r="CC2080" t="s">
        <v>555</v>
      </c>
      <c r="CD2080">
        <v>85000</v>
      </c>
      <c r="CE2080" s="1">
        <v>44369</v>
      </c>
      <c r="CF2080" s="1">
        <v>44369</v>
      </c>
      <c r="CG2080" s="1">
        <v>44369</v>
      </c>
      <c r="CH2080" s="1">
        <v>51959</v>
      </c>
      <c r="CI2080" t="s">
        <v>51</v>
      </c>
      <c r="CK2080" t="s">
        <v>78</v>
      </c>
      <c r="CM2080" t="s">
        <v>54</v>
      </c>
      <c r="CN2080" t="s">
        <v>174</v>
      </c>
      <c r="CO2080" t="s">
        <v>86</v>
      </c>
      <c r="CR2080">
        <v>20</v>
      </c>
      <c r="CS2080">
        <v>0</v>
      </c>
      <c r="CT2080">
        <v>0</v>
      </c>
      <c r="CU2080">
        <v>0</v>
      </c>
    </row>
    <row r="2081" spans="1:99" x14ac:dyDescent="0.2">
      <c r="A2081" t="s">
        <v>1012</v>
      </c>
      <c r="B2081" t="s">
        <v>1013</v>
      </c>
      <c r="C2081" t="s">
        <v>1025</v>
      </c>
      <c r="D2081" t="s">
        <v>1022</v>
      </c>
      <c r="F2081" t="str">
        <f>"254276"</f>
        <v>254276</v>
      </c>
      <c r="G2081" t="s">
        <v>49</v>
      </c>
      <c r="H2081">
        <v>128</v>
      </c>
      <c r="K2081" t="s">
        <v>51</v>
      </c>
      <c r="L2081" t="s">
        <v>52</v>
      </c>
      <c r="M2081">
        <v>134762.1</v>
      </c>
      <c r="N2081">
        <v>473685.35</v>
      </c>
      <c r="O2081" t="s">
        <v>53</v>
      </c>
      <c r="P2081" t="s">
        <v>54</v>
      </c>
      <c r="Q2081" t="s">
        <v>55</v>
      </c>
      <c r="T2081" t="s">
        <v>466</v>
      </c>
      <c r="U2081">
        <v>40</v>
      </c>
      <c r="V2081" s="1">
        <v>31048</v>
      </c>
      <c r="W2081" s="1">
        <v>31048</v>
      </c>
      <c r="X2081" s="1">
        <v>31048</v>
      </c>
      <c r="Y2081" s="1">
        <v>45658</v>
      </c>
      <c r="Z2081" t="s">
        <v>51</v>
      </c>
      <c r="AB2081" t="s">
        <v>54</v>
      </c>
      <c r="AC2081">
        <v>1</v>
      </c>
      <c r="AE2081" t="s">
        <v>1024</v>
      </c>
      <c r="AF2081">
        <v>20</v>
      </c>
      <c r="AG2081" s="1">
        <v>44363</v>
      </c>
      <c r="AH2081" s="1">
        <v>44363</v>
      </c>
      <c r="AI2081" s="1">
        <v>44363</v>
      </c>
      <c r="AJ2081" s="1">
        <v>51668</v>
      </c>
      <c r="AK2081" t="s">
        <v>51</v>
      </c>
      <c r="AN2081">
        <v>6</v>
      </c>
      <c r="AO2081" t="s">
        <v>54</v>
      </c>
      <c r="AP2081" t="s">
        <v>53</v>
      </c>
      <c r="AQ2081">
        <v>0</v>
      </c>
      <c r="AR2081" t="s">
        <v>145</v>
      </c>
      <c r="AS2081">
        <v>0</v>
      </c>
      <c r="AT2081">
        <v>0</v>
      </c>
      <c r="CC2081" t="s">
        <v>555</v>
      </c>
      <c r="CD2081">
        <v>85000</v>
      </c>
      <c r="CE2081" s="1">
        <v>44363</v>
      </c>
      <c r="CF2081" s="1">
        <v>44363</v>
      </c>
      <c r="CG2081" s="1">
        <v>44363</v>
      </c>
      <c r="CH2081" s="1">
        <v>51955</v>
      </c>
      <c r="CI2081" t="s">
        <v>51</v>
      </c>
      <c r="CK2081" t="s">
        <v>78</v>
      </c>
      <c r="CM2081" t="s">
        <v>54</v>
      </c>
      <c r="CN2081" t="s">
        <v>174</v>
      </c>
      <c r="CO2081" t="s">
        <v>86</v>
      </c>
      <c r="CR2081">
        <v>20</v>
      </c>
      <c r="CS2081">
        <v>0</v>
      </c>
      <c r="CT2081">
        <v>0</v>
      </c>
      <c r="CU2081">
        <v>0</v>
      </c>
    </row>
    <row r="2082" spans="1:99" x14ac:dyDescent="0.2">
      <c r="A2082" t="s">
        <v>1012</v>
      </c>
      <c r="B2082" t="s">
        <v>1013</v>
      </c>
      <c r="C2082" t="s">
        <v>1025</v>
      </c>
      <c r="D2082" t="s">
        <v>1022</v>
      </c>
      <c r="F2082" t="str">
        <f>"254275"</f>
        <v>254275</v>
      </c>
      <c r="G2082" t="s">
        <v>49</v>
      </c>
      <c r="H2082">
        <v>141</v>
      </c>
      <c r="K2082" t="s">
        <v>51</v>
      </c>
      <c r="L2082" t="s">
        <v>52</v>
      </c>
      <c r="M2082">
        <v>134786.48000000001</v>
      </c>
      <c r="N2082">
        <v>473694.33</v>
      </c>
      <c r="O2082" t="s">
        <v>53</v>
      </c>
      <c r="P2082" t="s">
        <v>54</v>
      </c>
      <c r="Q2082" t="s">
        <v>55</v>
      </c>
      <c r="T2082" t="s">
        <v>466</v>
      </c>
      <c r="U2082">
        <v>40</v>
      </c>
      <c r="V2082" s="1">
        <v>31048</v>
      </c>
      <c r="W2082" s="1">
        <v>31048</v>
      </c>
      <c r="X2082" s="1">
        <v>31048</v>
      </c>
      <c r="Y2082" s="1">
        <v>45658</v>
      </c>
      <c r="Z2082" t="s">
        <v>51</v>
      </c>
      <c r="AB2082" t="s">
        <v>54</v>
      </c>
      <c r="AC2082">
        <v>1</v>
      </c>
      <c r="AE2082" t="s">
        <v>1024</v>
      </c>
      <c r="AF2082">
        <v>20</v>
      </c>
      <c r="AG2082" s="1">
        <v>44363</v>
      </c>
      <c r="AH2082" s="1">
        <v>44363</v>
      </c>
      <c r="AI2082" s="1">
        <v>44363</v>
      </c>
      <c r="AJ2082" s="1">
        <v>51668</v>
      </c>
      <c r="AK2082" t="s">
        <v>51</v>
      </c>
      <c r="AN2082">
        <v>0</v>
      </c>
      <c r="AO2082" t="s">
        <v>54</v>
      </c>
      <c r="AP2082" t="s">
        <v>53</v>
      </c>
      <c r="AQ2082">
        <v>0</v>
      </c>
      <c r="AR2082" t="s">
        <v>145</v>
      </c>
      <c r="AS2082">
        <v>0</v>
      </c>
      <c r="AT2082">
        <v>0</v>
      </c>
      <c r="CC2082" t="s">
        <v>555</v>
      </c>
      <c r="CD2082">
        <v>85000</v>
      </c>
      <c r="CE2082" s="1">
        <v>44363</v>
      </c>
      <c r="CF2082" s="1">
        <v>44363</v>
      </c>
      <c r="CG2082" s="1">
        <v>44363</v>
      </c>
      <c r="CH2082" s="1">
        <v>51955</v>
      </c>
      <c r="CI2082" t="s">
        <v>51</v>
      </c>
      <c r="CK2082" t="s">
        <v>78</v>
      </c>
      <c r="CM2082" t="s">
        <v>54</v>
      </c>
      <c r="CN2082" t="s">
        <v>174</v>
      </c>
      <c r="CO2082" t="s">
        <v>86</v>
      </c>
      <c r="CR2082">
        <v>20</v>
      </c>
      <c r="CS2082">
        <v>0</v>
      </c>
      <c r="CT2082">
        <v>0</v>
      </c>
      <c r="CU2082">
        <v>0</v>
      </c>
    </row>
    <row r="2083" spans="1:99" x14ac:dyDescent="0.2">
      <c r="A2083" t="s">
        <v>1012</v>
      </c>
      <c r="B2083" t="s">
        <v>1013</v>
      </c>
      <c r="C2083" t="s">
        <v>1025</v>
      </c>
      <c r="D2083" t="s">
        <v>1022</v>
      </c>
      <c r="F2083" t="str">
        <f>"251543"</f>
        <v>251543</v>
      </c>
      <c r="G2083" t="s">
        <v>49</v>
      </c>
      <c r="H2083">
        <v>130</v>
      </c>
      <c r="K2083" t="s">
        <v>51</v>
      </c>
      <c r="L2083" t="s">
        <v>52</v>
      </c>
      <c r="M2083">
        <v>134820.19</v>
      </c>
      <c r="N2083">
        <v>473690.58</v>
      </c>
      <c r="O2083" t="s">
        <v>53</v>
      </c>
      <c r="P2083" t="s">
        <v>54</v>
      </c>
      <c r="Q2083" t="s">
        <v>55</v>
      </c>
      <c r="T2083" t="s">
        <v>81</v>
      </c>
      <c r="U2083">
        <v>40</v>
      </c>
      <c r="V2083" s="1">
        <v>31048</v>
      </c>
      <c r="W2083" s="1">
        <v>31048</v>
      </c>
      <c r="X2083" s="1">
        <v>31048</v>
      </c>
      <c r="Y2083" s="1">
        <v>45658</v>
      </c>
      <c r="Z2083" t="s">
        <v>51</v>
      </c>
      <c r="AB2083" t="s">
        <v>54</v>
      </c>
      <c r="AC2083">
        <v>1</v>
      </c>
      <c r="AE2083" t="s">
        <v>1024</v>
      </c>
      <c r="AF2083">
        <v>20</v>
      </c>
      <c r="AG2083" s="1">
        <v>44369</v>
      </c>
      <c r="AH2083" s="1">
        <v>44369</v>
      </c>
      <c r="AI2083" s="1">
        <v>44369</v>
      </c>
      <c r="AJ2083" s="1">
        <v>51674</v>
      </c>
      <c r="AK2083" t="s">
        <v>51</v>
      </c>
      <c r="AN2083">
        <v>0</v>
      </c>
      <c r="AO2083" t="s">
        <v>54</v>
      </c>
      <c r="AP2083" t="s">
        <v>53</v>
      </c>
      <c r="AQ2083">
        <v>0</v>
      </c>
      <c r="AR2083" t="s">
        <v>145</v>
      </c>
      <c r="AS2083">
        <v>0</v>
      </c>
      <c r="AT2083">
        <v>0</v>
      </c>
      <c r="CC2083" t="s">
        <v>555</v>
      </c>
      <c r="CD2083">
        <v>85000</v>
      </c>
      <c r="CE2083" s="1">
        <v>44369</v>
      </c>
      <c r="CF2083" s="1">
        <v>44369</v>
      </c>
      <c r="CG2083" s="1">
        <v>44369</v>
      </c>
      <c r="CH2083" s="1">
        <v>51959</v>
      </c>
      <c r="CI2083" t="s">
        <v>51</v>
      </c>
      <c r="CK2083" t="s">
        <v>78</v>
      </c>
      <c r="CM2083" t="s">
        <v>54</v>
      </c>
      <c r="CN2083" t="s">
        <v>174</v>
      </c>
      <c r="CO2083" t="s">
        <v>86</v>
      </c>
      <c r="CR2083">
        <v>20</v>
      </c>
      <c r="CS2083">
        <v>0</v>
      </c>
      <c r="CT2083">
        <v>0</v>
      </c>
      <c r="CU2083">
        <v>0</v>
      </c>
    </row>
    <row r="2084" spans="1:99" x14ac:dyDescent="0.2">
      <c r="A2084" t="s">
        <v>1012</v>
      </c>
      <c r="B2084" t="s">
        <v>1013</v>
      </c>
      <c r="C2084" t="s">
        <v>1025</v>
      </c>
      <c r="D2084" t="s">
        <v>1022</v>
      </c>
      <c r="F2084" t="str">
        <f>"251544"</f>
        <v>251544</v>
      </c>
      <c r="G2084" t="s">
        <v>49</v>
      </c>
      <c r="H2084">
        <v>141</v>
      </c>
      <c r="K2084" t="s">
        <v>51</v>
      </c>
      <c r="L2084" t="s">
        <v>52</v>
      </c>
      <c r="M2084">
        <v>134855.43</v>
      </c>
      <c r="N2084">
        <v>473700.57</v>
      </c>
      <c r="O2084" t="s">
        <v>53</v>
      </c>
      <c r="P2084" t="s">
        <v>54</v>
      </c>
      <c r="Q2084" t="s">
        <v>55</v>
      </c>
      <c r="T2084" t="s">
        <v>81</v>
      </c>
      <c r="U2084">
        <v>40</v>
      </c>
      <c r="V2084" s="1">
        <v>31048</v>
      </c>
      <c r="W2084" s="1">
        <v>31048</v>
      </c>
      <c r="X2084" s="1">
        <v>31048</v>
      </c>
      <c r="Y2084" s="1">
        <v>45658</v>
      </c>
      <c r="Z2084" t="s">
        <v>51</v>
      </c>
      <c r="AB2084" t="s">
        <v>54</v>
      </c>
      <c r="AC2084">
        <v>1</v>
      </c>
      <c r="AE2084" t="s">
        <v>1024</v>
      </c>
      <c r="AF2084">
        <v>20</v>
      </c>
      <c r="AG2084" s="1">
        <v>44369</v>
      </c>
      <c r="AH2084" s="1">
        <v>44369</v>
      </c>
      <c r="AI2084" s="1">
        <v>44369</v>
      </c>
      <c r="AJ2084" s="1">
        <v>51674</v>
      </c>
      <c r="AK2084" t="s">
        <v>51</v>
      </c>
      <c r="AN2084">
        <v>0</v>
      </c>
      <c r="AO2084" t="s">
        <v>54</v>
      </c>
      <c r="AP2084" t="s">
        <v>53</v>
      </c>
      <c r="AQ2084">
        <v>0</v>
      </c>
      <c r="AR2084" t="s">
        <v>145</v>
      </c>
      <c r="AS2084">
        <v>0</v>
      </c>
      <c r="AT2084">
        <v>0</v>
      </c>
      <c r="CC2084" t="s">
        <v>555</v>
      </c>
      <c r="CD2084">
        <v>85000</v>
      </c>
      <c r="CE2084" s="1">
        <v>44369</v>
      </c>
      <c r="CF2084" s="1">
        <v>44369</v>
      </c>
      <c r="CG2084" s="1">
        <v>44369</v>
      </c>
      <c r="CH2084" s="1">
        <v>51959</v>
      </c>
      <c r="CI2084" t="s">
        <v>51</v>
      </c>
      <c r="CK2084" t="s">
        <v>78</v>
      </c>
      <c r="CM2084" t="s">
        <v>54</v>
      </c>
      <c r="CN2084" t="s">
        <v>174</v>
      </c>
      <c r="CO2084" t="s">
        <v>86</v>
      </c>
      <c r="CR2084">
        <v>20</v>
      </c>
      <c r="CS2084">
        <v>0</v>
      </c>
      <c r="CT2084">
        <v>0</v>
      </c>
      <c r="CU2084">
        <v>0</v>
      </c>
    </row>
    <row r="2085" spans="1:99" x14ac:dyDescent="0.2">
      <c r="A2085" t="s">
        <v>1012</v>
      </c>
      <c r="B2085" t="s">
        <v>1013</v>
      </c>
      <c r="C2085" t="s">
        <v>1025</v>
      </c>
      <c r="D2085" t="s">
        <v>1022</v>
      </c>
      <c r="F2085" t="str">
        <f>"251545"</f>
        <v>251545</v>
      </c>
      <c r="G2085" t="s">
        <v>49</v>
      </c>
      <c r="H2085">
        <v>132</v>
      </c>
      <c r="K2085" t="s">
        <v>51</v>
      </c>
      <c r="L2085" t="s">
        <v>52</v>
      </c>
      <c r="M2085">
        <v>134889.68</v>
      </c>
      <c r="N2085">
        <v>473696.66</v>
      </c>
      <c r="O2085" t="s">
        <v>53</v>
      </c>
      <c r="P2085" t="s">
        <v>54</v>
      </c>
      <c r="Q2085" t="s">
        <v>55</v>
      </c>
      <c r="T2085" t="s">
        <v>81</v>
      </c>
      <c r="U2085">
        <v>40</v>
      </c>
      <c r="V2085" s="1">
        <v>37803</v>
      </c>
      <c r="W2085" s="1">
        <v>37803</v>
      </c>
      <c r="X2085" s="1">
        <v>37803</v>
      </c>
      <c r="Y2085" s="1">
        <v>52413</v>
      </c>
      <c r="Z2085" t="s">
        <v>51</v>
      </c>
      <c r="AB2085" t="s">
        <v>54</v>
      </c>
      <c r="AC2085">
        <v>1</v>
      </c>
      <c r="AE2085" t="s">
        <v>1024</v>
      </c>
      <c r="AF2085">
        <v>20</v>
      </c>
      <c r="AG2085" s="1">
        <v>44369</v>
      </c>
      <c r="AH2085" s="1">
        <v>44369</v>
      </c>
      <c r="AI2085" s="1">
        <v>44369</v>
      </c>
      <c r="AJ2085" s="1">
        <v>51674</v>
      </c>
      <c r="AK2085" t="s">
        <v>51</v>
      </c>
      <c r="AN2085">
        <v>0</v>
      </c>
      <c r="AO2085" t="s">
        <v>54</v>
      </c>
      <c r="AP2085" t="s">
        <v>53</v>
      </c>
      <c r="AQ2085">
        <v>0</v>
      </c>
      <c r="AR2085" t="s">
        <v>145</v>
      </c>
      <c r="AS2085">
        <v>0</v>
      </c>
      <c r="AT2085">
        <v>0</v>
      </c>
      <c r="CC2085" t="s">
        <v>555</v>
      </c>
      <c r="CD2085">
        <v>85000</v>
      </c>
      <c r="CE2085" s="1">
        <v>44369</v>
      </c>
      <c r="CF2085" s="1">
        <v>44369</v>
      </c>
      <c r="CG2085" s="1">
        <v>44369</v>
      </c>
      <c r="CH2085" s="1">
        <v>51959</v>
      </c>
      <c r="CI2085" t="s">
        <v>51</v>
      </c>
      <c r="CK2085" t="s">
        <v>78</v>
      </c>
      <c r="CM2085" t="s">
        <v>54</v>
      </c>
      <c r="CN2085" t="s">
        <v>174</v>
      </c>
      <c r="CO2085" t="s">
        <v>86</v>
      </c>
      <c r="CR2085">
        <v>20</v>
      </c>
      <c r="CS2085">
        <v>0</v>
      </c>
      <c r="CT2085">
        <v>0</v>
      </c>
      <c r="CU2085">
        <v>0</v>
      </c>
    </row>
    <row r="2086" spans="1:99" x14ac:dyDescent="0.2">
      <c r="A2086" t="s">
        <v>1012</v>
      </c>
      <c r="B2086" t="s">
        <v>1013</v>
      </c>
      <c r="C2086" t="s">
        <v>1025</v>
      </c>
      <c r="D2086" t="s">
        <v>1022</v>
      </c>
      <c r="F2086" t="str">
        <f>"251546"</f>
        <v>251546</v>
      </c>
      <c r="G2086" t="s">
        <v>49</v>
      </c>
      <c r="H2086">
        <v>143</v>
      </c>
      <c r="K2086" t="s">
        <v>51</v>
      </c>
      <c r="L2086" t="s">
        <v>52</v>
      </c>
      <c r="M2086">
        <v>134927.71</v>
      </c>
      <c r="N2086">
        <v>473706.76</v>
      </c>
      <c r="O2086" t="s">
        <v>53</v>
      </c>
      <c r="P2086" t="s">
        <v>54</v>
      </c>
      <c r="Q2086" t="s">
        <v>55</v>
      </c>
      <c r="T2086" t="s">
        <v>81</v>
      </c>
      <c r="U2086">
        <v>40</v>
      </c>
      <c r="V2086" s="1">
        <v>31048</v>
      </c>
      <c r="W2086" s="1">
        <v>31048</v>
      </c>
      <c r="X2086" s="1">
        <v>31048</v>
      </c>
      <c r="Y2086" s="1">
        <v>45658</v>
      </c>
      <c r="Z2086" t="s">
        <v>51</v>
      </c>
      <c r="AB2086" t="s">
        <v>54</v>
      </c>
      <c r="AC2086">
        <v>1</v>
      </c>
      <c r="AE2086" t="s">
        <v>1024</v>
      </c>
      <c r="AF2086">
        <v>20</v>
      </c>
      <c r="AG2086" s="1">
        <v>44369</v>
      </c>
      <c r="AH2086" s="1">
        <v>44369</v>
      </c>
      <c r="AI2086" s="1">
        <v>44369</v>
      </c>
      <c r="AJ2086" s="1">
        <v>51674</v>
      </c>
      <c r="AK2086" t="s">
        <v>51</v>
      </c>
      <c r="AN2086">
        <v>0</v>
      </c>
      <c r="AO2086" t="s">
        <v>54</v>
      </c>
      <c r="AP2086" t="s">
        <v>53</v>
      </c>
      <c r="AQ2086">
        <v>0</v>
      </c>
      <c r="AR2086" t="s">
        <v>145</v>
      </c>
      <c r="AS2086">
        <v>0</v>
      </c>
      <c r="AT2086">
        <v>0</v>
      </c>
      <c r="CC2086" t="s">
        <v>555</v>
      </c>
      <c r="CD2086">
        <v>85000</v>
      </c>
      <c r="CE2086" s="1">
        <v>44369</v>
      </c>
      <c r="CF2086" s="1">
        <v>44369</v>
      </c>
      <c r="CG2086" s="1">
        <v>44369</v>
      </c>
      <c r="CH2086" s="1">
        <v>51959</v>
      </c>
      <c r="CI2086" t="s">
        <v>51</v>
      </c>
      <c r="CK2086" t="s">
        <v>78</v>
      </c>
      <c r="CM2086" t="s">
        <v>54</v>
      </c>
      <c r="CN2086" t="s">
        <v>174</v>
      </c>
      <c r="CO2086" t="s">
        <v>86</v>
      </c>
      <c r="CR2086">
        <v>20</v>
      </c>
      <c r="CS2086">
        <v>0</v>
      </c>
      <c r="CT2086">
        <v>0</v>
      </c>
      <c r="CU2086">
        <v>0</v>
      </c>
    </row>
    <row r="2087" spans="1:99" x14ac:dyDescent="0.2">
      <c r="A2087" t="s">
        <v>1012</v>
      </c>
      <c r="B2087" t="s">
        <v>1013</v>
      </c>
      <c r="C2087" t="s">
        <v>1025</v>
      </c>
      <c r="D2087" t="s">
        <v>1022</v>
      </c>
      <c r="F2087" t="str">
        <f>"254498"</f>
        <v>254498</v>
      </c>
      <c r="G2087" t="s">
        <v>49</v>
      </c>
      <c r="H2087">
        <v>134</v>
      </c>
      <c r="K2087" t="s">
        <v>51</v>
      </c>
      <c r="L2087" t="s">
        <v>52</v>
      </c>
      <c r="M2087">
        <v>134956.51</v>
      </c>
      <c r="N2087">
        <v>473702.63</v>
      </c>
      <c r="O2087" t="s">
        <v>53</v>
      </c>
      <c r="P2087" t="s">
        <v>54</v>
      </c>
      <c r="Q2087" t="s">
        <v>55</v>
      </c>
      <c r="T2087" t="s">
        <v>81</v>
      </c>
      <c r="U2087">
        <v>40</v>
      </c>
      <c r="V2087" s="1">
        <v>44225</v>
      </c>
      <c r="W2087" s="1">
        <v>44225</v>
      </c>
      <c r="X2087" s="1">
        <v>44225</v>
      </c>
      <c r="Y2087" s="1">
        <v>58835</v>
      </c>
      <c r="Z2087" t="s">
        <v>51</v>
      </c>
      <c r="AB2087" t="s">
        <v>54</v>
      </c>
      <c r="AC2087">
        <v>1</v>
      </c>
      <c r="AE2087" t="s">
        <v>1024</v>
      </c>
      <c r="AF2087">
        <v>20</v>
      </c>
      <c r="AG2087" s="1">
        <v>44369</v>
      </c>
      <c r="AH2087" s="1">
        <v>44369</v>
      </c>
      <c r="AI2087" s="1">
        <v>44369</v>
      </c>
      <c r="AJ2087" s="1">
        <v>51674</v>
      </c>
      <c r="AK2087" t="s">
        <v>51</v>
      </c>
      <c r="AN2087">
        <v>0</v>
      </c>
      <c r="AO2087" t="s">
        <v>54</v>
      </c>
      <c r="AP2087" t="s">
        <v>53</v>
      </c>
      <c r="AQ2087">
        <v>0</v>
      </c>
      <c r="AR2087" t="s">
        <v>145</v>
      </c>
      <c r="AS2087">
        <v>0</v>
      </c>
      <c r="AT2087">
        <v>0</v>
      </c>
      <c r="CC2087" t="s">
        <v>555</v>
      </c>
      <c r="CD2087">
        <v>85000</v>
      </c>
      <c r="CE2087" s="1">
        <v>44369</v>
      </c>
      <c r="CF2087" s="1">
        <v>44369</v>
      </c>
      <c r="CG2087" s="1">
        <v>44369</v>
      </c>
      <c r="CH2087" s="1">
        <v>51959</v>
      </c>
      <c r="CI2087" t="s">
        <v>51</v>
      </c>
      <c r="CK2087" t="s">
        <v>78</v>
      </c>
      <c r="CM2087" t="s">
        <v>54</v>
      </c>
      <c r="CN2087" t="s">
        <v>174</v>
      </c>
      <c r="CO2087" t="s">
        <v>86</v>
      </c>
      <c r="CR2087">
        <v>20</v>
      </c>
      <c r="CS2087">
        <v>0</v>
      </c>
      <c r="CT2087">
        <v>0</v>
      </c>
      <c r="CU2087">
        <v>0</v>
      </c>
    </row>
    <row r="2088" spans="1:99" x14ac:dyDescent="0.2">
      <c r="A2088" t="s">
        <v>1012</v>
      </c>
      <c r="B2088" t="s">
        <v>1013</v>
      </c>
      <c r="C2088" t="s">
        <v>1025</v>
      </c>
      <c r="D2088" t="s">
        <v>1022</v>
      </c>
      <c r="F2088" t="str">
        <f>"254274"</f>
        <v>254274</v>
      </c>
      <c r="G2088" t="s">
        <v>49</v>
      </c>
      <c r="H2088">
        <v>138</v>
      </c>
      <c r="K2088" t="s">
        <v>51</v>
      </c>
      <c r="L2088" t="s">
        <v>52</v>
      </c>
      <c r="M2088">
        <v>134989.57999999999</v>
      </c>
      <c r="N2088">
        <v>473719.09</v>
      </c>
      <c r="O2088" t="s">
        <v>53</v>
      </c>
      <c r="P2088" t="s">
        <v>54</v>
      </c>
      <c r="Q2088" t="s">
        <v>55</v>
      </c>
      <c r="T2088" t="s">
        <v>466</v>
      </c>
      <c r="U2088">
        <v>40</v>
      </c>
      <c r="V2088" s="1">
        <v>37803</v>
      </c>
      <c r="W2088" s="1">
        <v>37803</v>
      </c>
      <c r="X2088" s="1">
        <v>37803</v>
      </c>
      <c r="Y2088" s="1">
        <v>52413</v>
      </c>
      <c r="Z2088" t="s">
        <v>51</v>
      </c>
      <c r="AB2088" t="s">
        <v>54</v>
      </c>
      <c r="AC2088">
        <v>1</v>
      </c>
      <c r="AE2088" t="s">
        <v>1024</v>
      </c>
      <c r="AF2088">
        <v>20</v>
      </c>
      <c r="AG2088" s="1">
        <v>44369</v>
      </c>
      <c r="AH2088" s="1">
        <v>44369</v>
      </c>
      <c r="AI2088" s="1">
        <v>44369</v>
      </c>
      <c r="AJ2088" s="1">
        <v>51674</v>
      </c>
      <c r="AK2088" t="s">
        <v>51</v>
      </c>
      <c r="AN2088">
        <v>0</v>
      </c>
      <c r="AO2088" t="s">
        <v>54</v>
      </c>
      <c r="AP2088" t="s">
        <v>53</v>
      </c>
      <c r="AQ2088">
        <v>0</v>
      </c>
      <c r="AR2088" t="s">
        <v>145</v>
      </c>
      <c r="AS2088">
        <v>0</v>
      </c>
      <c r="AT2088">
        <v>0</v>
      </c>
      <c r="CC2088" t="s">
        <v>555</v>
      </c>
      <c r="CD2088">
        <v>85000</v>
      </c>
      <c r="CE2088" s="1">
        <v>44369</v>
      </c>
      <c r="CF2088" s="1">
        <v>44369</v>
      </c>
      <c r="CG2088" s="1">
        <v>44369</v>
      </c>
      <c r="CH2088" s="1">
        <v>51959</v>
      </c>
      <c r="CI2088" t="s">
        <v>51</v>
      </c>
      <c r="CK2088" t="s">
        <v>78</v>
      </c>
      <c r="CM2088" t="s">
        <v>54</v>
      </c>
      <c r="CN2088" t="s">
        <v>174</v>
      </c>
      <c r="CO2088" t="s">
        <v>86</v>
      </c>
      <c r="CR2088">
        <v>20</v>
      </c>
      <c r="CS2088">
        <v>0</v>
      </c>
      <c r="CT2088">
        <v>0</v>
      </c>
      <c r="CU2088">
        <v>0</v>
      </c>
    </row>
    <row r="2089" spans="1:99" x14ac:dyDescent="0.2">
      <c r="A2089" t="s">
        <v>1012</v>
      </c>
      <c r="B2089" t="s">
        <v>1013</v>
      </c>
      <c r="C2089" t="s">
        <v>1025</v>
      </c>
      <c r="D2089" t="s">
        <v>1022</v>
      </c>
      <c r="F2089" t="str">
        <f>"251549"</f>
        <v>251549</v>
      </c>
      <c r="G2089" t="s">
        <v>49</v>
      </c>
      <c r="H2089">
        <v>140</v>
      </c>
      <c r="K2089" t="s">
        <v>51</v>
      </c>
      <c r="L2089" t="s">
        <v>52</v>
      </c>
      <c r="M2089">
        <v>134989.73000000001</v>
      </c>
      <c r="N2089">
        <v>473744.31300000002</v>
      </c>
      <c r="O2089" t="s">
        <v>53</v>
      </c>
      <c r="P2089" t="s">
        <v>54</v>
      </c>
      <c r="Q2089" t="s">
        <v>55</v>
      </c>
      <c r="T2089" t="s">
        <v>81</v>
      </c>
      <c r="U2089">
        <v>40</v>
      </c>
      <c r="V2089" s="1">
        <v>31048</v>
      </c>
      <c r="W2089" s="1">
        <v>31048</v>
      </c>
      <c r="X2089" s="1">
        <v>31048</v>
      </c>
      <c r="Y2089" s="1">
        <v>45658</v>
      </c>
      <c r="Z2089" t="s">
        <v>51</v>
      </c>
      <c r="AB2089" t="s">
        <v>54</v>
      </c>
      <c r="AC2089">
        <v>1</v>
      </c>
      <c r="AE2089" t="s">
        <v>1024</v>
      </c>
      <c r="AF2089">
        <v>20</v>
      </c>
      <c r="AG2089" s="1">
        <v>44369</v>
      </c>
      <c r="AH2089" s="1">
        <v>44369</v>
      </c>
      <c r="AI2089" s="1">
        <v>44369</v>
      </c>
      <c r="AJ2089" s="1">
        <v>51674</v>
      </c>
      <c r="AK2089" t="s">
        <v>51</v>
      </c>
      <c r="AN2089">
        <v>0</v>
      </c>
      <c r="AO2089" t="s">
        <v>54</v>
      </c>
      <c r="AP2089" t="s">
        <v>53</v>
      </c>
      <c r="AQ2089">
        <v>0</v>
      </c>
      <c r="AR2089" t="s">
        <v>145</v>
      </c>
      <c r="AS2089">
        <v>0</v>
      </c>
      <c r="AT2089">
        <v>0</v>
      </c>
      <c r="CC2089" t="s">
        <v>555</v>
      </c>
      <c r="CD2089">
        <v>85000</v>
      </c>
      <c r="CE2089" s="1">
        <v>44369</v>
      </c>
      <c r="CF2089" s="1">
        <v>44369</v>
      </c>
      <c r="CG2089" s="1">
        <v>44369</v>
      </c>
      <c r="CH2089" s="1">
        <v>51959</v>
      </c>
      <c r="CI2089" t="s">
        <v>51</v>
      </c>
      <c r="CK2089" t="s">
        <v>78</v>
      </c>
      <c r="CM2089" t="s">
        <v>54</v>
      </c>
      <c r="CN2089" t="s">
        <v>174</v>
      </c>
      <c r="CO2089" t="s">
        <v>86</v>
      </c>
      <c r="CR2089">
        <v>20</v>
      </c>
      <c r="CS2089">
        <v>0</v>
      </c>
      <c r="CT2089">
        <v>0</v>
      </c>
      <c r="CU2089">
        <v>0</v>
      </c>
    </row>
    <row r="2090" spans="1:99" x14ac:dyDescent="0.2">
      <c r="A2090" t="s">
        <v>1012</v>
      </c>
      <c r="B2090" t="s">
        <v>1013</v>
      </c>
      <c r="C2090" t="s">
        <v>1025</v>
      </c>
      <c r="D2090" t="s">
        <v>1022</v>
      </c>
      <c r="F2090" t="str">
        <f>"251552"</f>
        <v>251552</v>
      </c>
      <c r="G2090" t="s">
        <v>49</v>
      </c>
      <c r="H2090">
        <v>142</v>
      </c>
      <c r="K2090" t="s">
        <v>51</v>
      </c>
      <c r="L2090" t="s">
        <v>52</v>
      </c>
      <c r="M2090">
        <v>134982.6</v>
      </c>
      <c r="N2090">
        <v>473819.96</v>
      </c>
      <c r="O2090" t="s">
        <v>53</v>
      </c>
      <c r="P2090" t="s">
        <v>54</v>
      </c>
      <c r="Q2090" t="s">
        <v>55</v>
      </c>
      <c r="T2090" t="s">
        <v>81</v>
      </c>
      <c r="U2090">
        <v>40</v>
      </c>
      <c r="V2090" s="1">
        <v>31048</v>
      </c>
      <c r="W2090" s="1">
        <v>31048</v>
      </c>
      <c r="X2090" s="1">
        <v>31048</v>
      </c>
      <c r="Y2090" s="1">
        <v>45658</v>
      </c>
      <c r="Z2090" t="s">
        <v>51</v>
      </c>
      <c r="AB2090" t="s">
        <v>54</v>
      </c>
      <c r="AC2090">
        <v>1</v>
      </c>
      <c r="AE2090" t="s">
        <v>1024</v>
      </c>
      <c r="AF2090">
        <v>20</v>
      </c>
      <c r="AG2090" s="1">
        <v>44369</v>
      </c>
      <c r="AH2090" s="1">
        <v>44369</v>
      </c>
      <c r="AI2090" s="1">
        <v>44369</v>
      </c>
      <c r="AJ2090" s="1">
        <v>51674</v>
      </c>
      <c r="AK2090" t="s">
        <v>51</v>
      </c>
      <c r="AN2090">
        <v>0</v>
      </c>
      <c r="AO2090" t="s">
        <v>54</v>
      </c>
      <c r="AP2090" t="s">
        <v>53</v>
      </c>
      <c r="AQ2090">
        <v>0</v>
      </c>
      <c r="AR2090" t="s">
        <v>145</v>
      </c>
      <c r="AS2090">
        <v>0</v>
      </c>
      <c r="AT2090">
        <v>0</v>
      </c>
      <c r="CC2090" t="s">
        <v>555</v>
      </c>
      <c r="CD2090">
        <v>85000</v>
      </c>
      <c r="CE2090" s="1">
        <v>44369</v>
      </c>
      <c r="CF2090" s="1">
        <v>44369</v>
      </c>
      <c r="CG2090" s="1">
        <v>44369</v>
      </c>
      <c r="CH2090" s="1">
        <v>51959</v>
      </c>
      <c r="CI2090" t="s">
        <v>51</v>
      </c>
      <c r="CK2090" t="s">
        <v>78</v>
      </c>
      <c r="CM2090" t="s">
        <v>54</v>
      </c>
      <c r="CN2090" t="s">
        <v>174</v>
      </c>
      <c r="CO2090" t="s">
        <v>86</v>
      </c>
      <c r="CR2090">
        <v>20</v>
      </c>
      <c r="CS2090">
        <v>0</v>
      </c>
      <c r="CT2090">
        <v>0</v>
      </c>
      <c r="CU2090">
        <v>0</v>
      </c>
    </row>
    <row r="2091" spans="1:99" x14ac:dyDescent="0.2">
      <c r="A2091" t="s">
        <v>1012</v>
      </c>
      <c r="B2091" t="s">
        <v>1013</v>
      </c>
      <c r="C2091" t="s">
        <v>1025</v>
      </c>
      <c r="D2091" t="s">
        <v>1022</v>
      </c>
      <c r="F2091" t="str">
        <f>"251553"</f>
        <v>251553</v>
      </c>
      <c r="G2091" t="s">
        <v>49</v>
      </c>
      <c r="H2091">
        <v>145</v>
      </c>
      <c r="K2091" t="s">
        <v>51</v>
      </c>
      <c r="L2091" t="s">
        <v>52</v>
      </c>
      <c r="M2091">
        <v>134973.5</v>
      </c>
      <c r="N2091">
        <v>473847.64</v>
      </c>
      <c r="O2091" t="s">
        <v>53</v>
      </c>
      <c r="P2091" t="s">
        <v>54</v>
      </c>
      <c r="Q2091" t="s">
        <v>55</v>
      </c>
      <c r="T2091" t="s">
        <v>81</v>
      </c>
      <c r="U2091">
        <v>40</v>
      </c>
      <c r="V2091" s="1">
        <v>31048</v>
      </c>
      <c r="W2091" s="1">
        <v>31048</v>
      </c>
      <c r="X2091" s="1">
        <v>31048</v>
      </c>
      <c r="Y2091" s="1">
        <v>45658</v>
      </c>
      <c r="Z2091" t="s">
        <v>51</v>
      </c>
      <c r="AB2091" t="s">
        <v>54</v>
      </c>
      <c r="AC2091">
        <v>1</v>
      </c>
      <c r="AE2091" t="s">
        <v>1024</v>
      </c>
      <c r="AF2091">
        <v>20</v>
      </c>
      <c r="AG2091" s="1">
        <v>44369</v>
      </c>
      <c r="AH2091" s="1">
        <v>44369</v>
      </c>
      <c r="AI2091" s="1">
        <v>44369</v>
      </c>
      <c r="AJ2091" s="1">
        <v>51674</v>
      </c>
      <c r="AK2091" t="s">
        <v>51</v>
      </c>
      <c r="AN2091">
        <v>0</v>
      </c>
      <c r="AO2091" t="s">
        <v>54</v>
      </c>
      <c r="AP2091" t="s">
        <v>53</v>
      </c>
      <c r="AQ2091">
        <v>0</v>
      </c>
      <c r="AR2091" t="s">
        <v>145</v>
      </c>
      <c r="AS2091">
        <v>0</v>
      </c>
      <c r="AT2091">
        <v>0</v>
      </c>
      <c r="CC2091" t="s">
        <v>555</v>
      </c>
      <c r="CD2091">
        <v>85000</v>
      </c>
      <c r="CE2091" s="1">
        <v>44369</v>
      </c>
      <c r="CF2091" s="1">
        <v>44369</v>
      </c>
      <c r="CG2091" s="1">
        <v>44369</v>
      </c>
      <c r="CH2091" s="1">
        <v>51959</v>
      </c>
      <c r="CI2091" t="s">
        <v>51</v>
      </c>
      <c r="CK2091" t="s">
        <v>78</v>
      </c>
      <c r="CM2091" t="s">
        <v>54</v>
      </c>
      <c r="CN2091" t="s">
        <v>174</v>
      </c>
      <c r="CO2091" t="s">
        <v>86</v>
      </c>
      <c r="CR2091">
        <v>20</v>
      </c>
      <c r="CS2091">
        <v>0</v>
      </c>
      <c r="CT2091">
        <v>0</v>
      </c>
      <c r="CU2091">
        <v>0</v>
      </c>
    </row>
    <row r="2092" spans="1:99" x14ac:dyDescent="0.2">
      <c r="A2092" t="s">
        <v>1012</v>
      </c>
      <c r="B2092" t="s">
        <v>1013</v>
      </c>
      <c r="C2092" t="s">
        <v>1025</v>
      </c>
      <c r="D2092" t="s">
        <v>1022</v>
      </c>
      <c r="F2092" t="str">
        <f>"251554"</f>
        <v>251554</v>
      </c>
      <c r="G2092" t="s">
        <v>49</v>
      </c>
      <c r="H2092">
        <v>146</v>
      </c>
      <c r="K2092" t="s">
        <v>51</v>
      </c>
      <c r="L2092" t="s">
        <v>52</v>
      </c>
      <c r="M2092">
        <v>134977.19</v>
      </c>
      <c r="N2092">
        <v>473876.25</v>
      </c>
      <c r="O2092" t="s">
        <v>53</v>
      </c>
      <c r="P2092" t="s">
        <v>54</v>
      </c>
      <c r="Q2092" t="s">
        <v>55</v>
      </c>
      <c r="T2092" t="s">
        <v>81</v>
      </c>
      <c r="U2092">
        <v>40</v>
      </c>
      <c r="V2092" s="1">
        <v>44369</v>
      </c>
      <c r="W2092" s="1">
        <v>44369</v>
      </c>
      <c r="X2092" s="1">
        <v>44369</v>
      </c>
      <c r="Y2092" s="1">
        <v>58979</v>
      </c>
      <c r="Z2092" t="s">
        <v>51</v>
      </c>
      <c r="AB2092" t="s">
        <v>54</v>
      </c>
      <c r="AC2092">
        <v>1</v>
      </c>
      <c r="AE2092" t="s">
        <v>1024</v>
      </c>
      <c r="AF2092">
        <v>20</v>
      </c>
      <c r="AG2092" s="1">
        <v>35977</v>
      </c>
      <c r="AH2092" s="1">
        <v>35977</v>
      </c>
      <c r="AI2092" s="1">
        <v>44369</v>
      </c>
      <c r="AJ2092" s="1">
        <v>43282</v>
      </c>
      <c r="AK2092" t="s">
        <v>51</v>
      </c>
      <c r="AN2092">
        <v>0</v>
      </c>
      <c r="AO2092" t="s">
        <v>54</v>
      </c>
      <c r="AP2092" t="s">
        <v>53</v>
      </c>
      <c r="AQ2092">
        <v>0</v>
      </c>
      <c r="AR2092" t="s">
        <v>145</v>
      </c>
      <c r="AS2092">
        <v>0</v>
      </c>
      <c r="AT2092">
        <v>0</v>
      </c>
      <c r="CC2092" t="s">
        <v>555</v>
      </c>
      <c r="CD2092">
        <v>85000</v>
      </c>
      <c r="CE2092" s="1">
        <v>44369</v>
      </c>
      <c r="CF2092" s="1">
        <v>44369</v>
      </c>
      <c r="CG2092" s="1">
        <v>44369</v>
      </c>
      <c r="CH2092" s="1">
        <v>51959</v>
      </c>
      <c r="CI2092" t="s">
        <v>51</v>
      </c>
      <c r="CK2092" t="s">
        <v>78</v>
      </c>
      <c r="CM2092" t="s">
        <v>54</v>
      </c>
      <c r="CN2092" t="s">
        <v>174</v>
      </c>
      <c r="CO2092" t="s">
        <v>86</v>
      </c>
      <c r="CR2092">
        <v>20</v>
      </c>
      <c r="CS2092">
        <v>0</v>
      </c>
      <c r="CT2092">
        <v>0</v>
      </c>
      <c r="CU2092">
        <v>0</v>
      </c>
    </row>
    <row r="2093" spans="1:99" x14ac:dyDescent="0.2">
      <c r="A2093" t="s">
        <v>1012</v>
      </c>
      <c r="B2093" t="s">
        <v>1013</v>
      </c>
      <c r="C2093" t="s">
        <v>1025</v>
      </c>
      <c r="D2093" t="s">
        <v>1022</v>
      </c>
      <c r="F2093" t="str">
        <f>"251555"</f>
        <v>251555</v>
      </c>
      <c r="G2093" t="s">
        <v>49</v>
      </c>
      <c r="H2093">
        <v>145</v>
      </c>
      <c r="K2093" t="s">
        <v>51</v>
      </c>
      <c r="L2093" t="s">
        <v>52</v>
      </c>
      <c r="M2093">
        <v>134966.98000000001</v>
      </c>
      <c r="N2093">
        <v>473910.96</v>
      </c>
      <c r="O2093" t="s">
        <v>53</v>
      </c>
      <c r="P2093" t="s">
        <v>54</v>
      </c>
      <c r="Q2093" t="s">
        <v>55</v>
      </c>
      <c r="T2093" t="s">
        <v>81</v>
      </c>
      <c r="U2093">
        <v>40</v>
      </c>
      <c r="V2093" s="1">
        <v>31048</v>
      </c>
      <c r="W2093" s="1">
        <v>31048</v>
      </c>
      <c r="X2093" s="1">
        <v>31048</v>
      </c>
      <c r="Y2093" s="1">
        <v>45658</v>
      </c>
      <c r="Z2093" t="s">
        <v>51</v>
      </c>
      <c r="AB2093" t="s">
        <v>54</v>
      </c>
      <c r="AC2093">
        <v>1</v>
      </c>
      <c r="AE2093" t="s">
        <v>1024</v>
      </c>
      <c r="AF2093">
        <v>20</v>
      </c>
      <c r="AG2093" s="1">
        <v>44369</v>
      </c>
      <c r="AH2093" s="1">
        <v>44369</v>
      </c>
      <c r="AI2093" s="1">
        <v>44369</v>
      </c>
      <c r="AJ2093" s="1">
        <v>51674</v>
      </c>
      <c r="AK2093" t="s">
        <v>51</v>
      </c>
      <c r="AN2093">
        <v>0</v>
      </c>
      <c r="AO2093" t="s">
        <v>54</v>
      </c>
      <c r="AP2093" t="s">
        <v>53</v>
      </c>
      <c r="AQ2093">
        <v>0</v>
      </c>
      <c r="AR2093" t="s">
        <v>145</v>
      </c>
      <c r="AS2093">
        <v>0</v>
      </c>
      <c r="AT2093">
        <v>0</v>
      </c>
      <c r="CC2093" t="s">
        <v>555</v>
      </c>
      <c r="CD2093">
        <v>85000</v>
      </c>
      <c r="CE2093" s="1">
        <v>44369</v>
      </c>
      <c r="CF2093" s="1">
        <v>44369</v>
      </c>
      <c r="CG2093" s="1">
        <v>44369</v>
      </c>
      <c r="CH2093" s="1">
        <v>51959</v>
      </c>
      <c r="CI2093" t="s">
        <v>51</v>
      </c>
      <c r="CK2093" t="s">
        <v>78</v>
      </c>
      <c r="CM2093" t="s">
        <v>54</v>
      </c>
      <c r="CN2093" t="s">
        <v>174</v>
      </c>
      <c r="CO2093" t="s">
        <v>86</v>
      </c>
      <c r="CR2093">
        <v>20</v>
      </c>
      <c r="CS2093">
        <v>0</v>
      </c>
      <c r="CT2093">
        <v>0</v>
      </c>
      <c r="CU2093">
        <v>0</v>
      </c>
    </row>
    <row r="2094" spans="1:99" x14ac:dyDescent="0.2">
      <c r="A2094" t="s">
        <v>1012</v>
      </c>
      <c r="B2094" t="s">
        <v>1013</v>
      </c>
      <c r="C2094" t="s">
        <v>1025</v>
      </c>
      <c r="D2094" t="s">
        <v>1022</v>
      </c>
      <c r="F2094" t="str">
        <f>"251556"</f>
        <v>251556</v>
      </c>
      <c r="G2094" t="s">
        <v>49</v>
      </c>
      <c r="H2094">
        <v>158</v>
      </c>
      <c r="K2094" t="s">
        <v>51</v>
      </c>
      <c r="L2094" t="s">
        <v>52</v>
      </c>
      <c r="M2094">
        <v>134970.14000000001</v>
      </c>
      <c r="N2094">
        <v>473950.46</v>
      </c>
      <c r="O2094" t="s">
        <v>53</v>
      </c>
      <c r="P2094" t="s">
        <v>54</v>
      </c>
      <c r="Q2094" t="s">
        <v>55</v>
      </c>
      <c r="T2094" t="s">
        <v>466</v>
      </c>
      <c r="U2094">
        <v>40</v>
      </c>
      <c r="V2094" s="1">
        <v>31048</v>
      </c>
      <c r="W2094" s="1">
        <v>31048</v>
      </c>
      <c r="X2094" s="1">
        <v>31048</v>
      </c>
      <c r="Y2094" s="1">
        <v>45658</v>
      </c>
      <c r="Z2094" t="s">
        <v>51</v>
      </c>
      <c r="AB2094" t="s">
        <v>54</v>
      </c>
      <c r="AC2094">
        <v>1</v>
      </c>
      <c r="AE2094" t="s">
        <v>1024</v>
      </c>
      <c r="AF2094">
        <v>20</v>
      </c>
      <c r="AG2094" s="1">
        <v>44369</v>
      </c>
      <c r="AH2094" s="1">
        <v>44369</v>
      </c>
      <c r="AI2094" s="1">
        <v>44369</v>
      </c>
      <c r="AJ2094" s="1">
        <v>51674</v>
      </c>
      <c r="AK2094" t="s">
        <v>51</v>
      </c>
      <c r="AN2094">
        <v>0</v>
      </c>
      <c r="AO2094" t="s">
        <v>54</v>
      </c>
      <c r="AP2094" t="s">
        <v>53</v>
      </c>
      <c r="AQ2094">
        <v>0</v>
      </c>
      <c r="AR2094" t="s">
        <v>145</v>
      </c>
      <c r="AS2094">
        <v>0</v>
      </c>
      <c r="AT2094">
        <v>0</v>
      </c>
      <c r="CC2094" t="s">
        <v>555</v>
      </c>
      <c r="CD2094">
        <v>85000</v>
      </c>
      <c r="CE2094" s="1">
        <v>44369</v>
      </c>
      <c r="CF2094" s="1">
        <v>44369</v>
      </c>
      <c r="CG2094" s="1">
        <v>44369</v>
      </c>
      <c r="CH2094" s="1">
        <v>51959</v>
      </c>
      <c r="CI2094" t="s">
        <v>51</v>
      </c>
      <c r="CK2094" t="s">
        <v>78</v>
      </c>
      <c r="CM2094" t="s">
        <v>54</v>
      </c>
      <c r="CN2094" t="s">
        <v>174</v>
      </c>
      <c r="CO2094" t="s">
        <v>86</v>
      </c>
      <c r="CR2094">
        <v>20</v>
      </c>
      <c r="CS2094">
        <v>0</v>
      </c>
      <c r="CT2094">
        <v>0</v>
      </c>
      <c r="CU2094">
        <v>0</v>
      </c>
    </row>
    <row r="2095" spans="1:99" x14ac:dyDescent="0.2">
      <c r="A2095" t="s">
        <v>1012</v>
      </c>
      <c r="B2095" t="s">
        <v>1013</v>
      </c>
      <c r="C2095" t="s">
        <v>1025</v>
      </c>
      <c r="D2095" t="s">
        <v>1022</v>
      </c>
      <c r="F2095" t="str">
        <f>"251557"</f>
        <v>251557</v>
      </c>
      <c r="G2095" t="s">
        <v>49</v>
      </c>
      <c r="H2095">
        <v>162</v>
      </c>
      <c r="K2095" t="s">
        <v>51</v>
      </c>
      <c r="L2095" t="s">
        <v>52</v>
      </c>
      <c r="M2095">
        <v>134960.59</v>
      </c>
      <c r="N2095">
        <v>473983.32</v>
      </c>
      <c r="O2095" t="s">
        <v>53</v>
      </c>
      <c r="P2095" t="s">
        <v>54</v>
      </c>
      <c r="Q2095" t="s">
        <v>55</v>
      </c>
      <c r="T2095" t="s">
        <v>466</v>
      </c>
      <c r="U2095">
        <v>40</v>
      </c>
      <c r="V2095" s="1">
        <v>31048</v>
      </c>
      <c r="W2095" s="1">
        <v>31048</v>
      </c>
      <c r="X2095" s="1">
        <v>31048</v>
      </c>
      <c r="Y2095" s="1">
        <v>45658</v>
      </c>
      <c r="Z2095" t="s">
        <v>51</v>
      </c>
      <c r="AB2095" t="s">
        <v>54</v>
      </c>
      <c r="AC2095">
        <v>1</v>
      </c>
      <c r="AE2095" t="s">
        <v>1024</v>
      </c>
      <c r="AF2095">
        <v>20</v>
      </c>
      <c r="AG2095" s="1">
        <v>44369</v>
      </c>
      <c r="AH2095" s="1">
        <v>44369</v>
      </c>
      <c r="AI2095" s="1">
        <v>44369</v>
      </c>
      <c r="AJ2095" s="1">
        <v>51674</v>
      </c>
      <c r="AK2095" t="s">
        <v>51</v>
      </c>
      <c r="AN2095">
        <v>0</v>
      </c>
      <c r="AO2095" t="s">
        <v>54</v>
      </c>
      <c r="AP2095" t="s">
        <v>53</v>
      </c>
      <c r="AQ2095">
        <v>0</v>
      </c>
      <c r="AR2095" t="s">
        <v>145</v>
      </c>
      <c r="AS2095">
        <v>0</v>
      </c>
      <c r="AT2095">
        <v>0</v>
      </c>
      <c r="CC2095" t="s">
        <v>555</v>
      </c>
      <c r="CD2095">
        <v>85000</v>
      </c>
      <c r="CE2095" s="1">
        <v>44369</v>
      </c>
      <c r="CF2095" s="1">
        <v>44369</v>
      </c>
      <c r="CG2095" s="1">
        <v>44369</v>
      </c>
      <c r="CH2095" s="1">
        <v>51959</v>
      </c>
      <c r="CI2095" t="s">
        <v>51</v>
      </c>
      <c r="CK2095" t="s">
        <v>78</v>
      </c>
      <c r="CM2095" t="s">
        <v>54</v>
      </c>
      <c r="CN2095" t="s">
        <v>174</v>
      </c>
      <c r="CO2095" t="s">
        <v>86</v>
      </c>
      <c r="CR2095">
        <v>20</v>
      </c>
      <c r="CS2095">
        <v>0</v>
      </c>
      <c r="CT2095">
        <v>0</v>
      </c>
      <c r="CU2095">
        <v>0</v>
      </c>
    </row>
    <row r="2096" spans="1:99" x14ac:dyDescent="0.2">
      <c r="A2096" t="s">
        <v>1012</v>
      </c>
      <c r="B2096" t="s">
        <v>1013</v>
      </c>
      <c r="C2096" t="s">
        <v>1025</v>
      </c>
      <c r="D2096" t="s">
        <v>1022</v>
      </c>
      <c r="F2096" t="str">
        <f>"251558"</f>
        <v>251558</v>
      </c>
      <c r="G2096" t="s">
        <v>49</v>
      </c>
      <c r="H2096">
        <v>162</v>
      </c>
      <c r="K2096" t="s">
        <v>51</v>
      </c>
      <c r="L2096" t="s">
        <v>52</v>
      </c>
      <c r="M2096">
        <v>134964.62</v>
      </c>
      <c r="N2096">
        <v>474008.04</v>
      </c>
      <c r="O2096" t="s">
        <v>53</v>
      </c>
      <c r="P2096" t="s">
        <v>54</v>
      </c>
      <c r="Q2096" t="s">
        <v>55</v>
      </c>
      <c r="T2096" t="s">
        <v>466</v>
      </c>
      <c r="U2096">
        <v>40</v>
      </c>
      <c r="V2096" s="1">
        <v>31048</v>
      </c>
      <c r="W2096" s="1">
        <v>31048</v>
      </c>
      <c r="X2096" s="1">
        <v>31048</v>
      </c>
      <c r="Y2096" s="1">
        <v>45658</v>
      </c>
      <c r="Z2096" t="s">
        <v>51</v>
      </c>
      <c r="AB2096" t="s">
        <v>54</v>
      </c>
      <c r="AC2096">
        <v>1</v>
      </c>
      <c r="AE2096" t="s">
        <v>1024</v>
      </c>
      <c r="AF2096">
        <v>20</v>
      </c>
      <c r="AG2096" s="1">
        <v>44369</v>
      </c>
      <c r="AH2096" s="1">
        <v>44369</v>
      </c>
      <c r="AI2096" s="1">
        <v>44369</v>
      </c>
      <c r="AJ2096" s="1">
        <v>51674</v>
      </c>
      <c r="AK2096" t="s">
        <v>51</v>
      </c>
      <c r="AN2096">
        <v>0</v>
      </c>
      <c r="AO2096" t="s">
        <v>54</v>
      </c>
      <c r="AP2096" t="s">
        <v>53</v>
      </c>
      <c r="AQ2096">
        <v>0</v>
      </c>
      <c r="AR2096" t="s">
        <v>145</v>
      </c>
      <c r="AS2096">
        <v>0</v>
      </c>
      <c r="AT2096">
        <v>0</v>
      </c>
      <c r="CC2096" t="s">
        <v>555</v>
      </c>
      <c r="CD2096">
        <v>85000</v>
      </c>
      <c r="CE2096" s="1">
        <v>44369</v>
      </c>
      <c r="CF2096" s="1">
        <v>44369</v>
      </c>
      <c r="CG2096" s="1">
        <v>44369</v>
      </c>
      <c r="CH2096" s="1">
        <v>51959</v>
      </c>
      <c r="CI2096" t="s">
        <v>51</v>
      </c>
      <c r="CK2096" t="s">
        <v>78</v>
      </c>
      <c r="CM2096" t="s">
        <v>54</v>
      </c>
      <c r="CN2096" t="s">
        <v>174</v>
      </c>
      <c r="CO2096" t="s">
        <v>86</v>
      </c>
      <c r="CR2096">
        <v>20</v>
      </c>
      <c r="CS2096">
        <v>0</v>
      </c>
      <c r="CT2096">
        <v>0</v>
      </c>
      <c r="CU2096">
        <v>0</v>
      </c>
    </row>
    <row r="2097" spans="1:99" x14ac:dyDescent="0.2">
      <c r="A2097" t="s">
        <v>1012</v>
      </c>
      <c r="B2097" t="s">
        <v>1013</v>
      </c>
      <c r="C2097" t="s">
        <v>1025</v>
      </c>
      <c r="D2097" t="s">
        <v>1022</v>
      </c>
      <c r="F2097" t="str">
        <f>"251559"</f>
        <v>251559</v>
      </c>
      <c r="G2097" t="s">
        <v>49</v>
      </c>
      <c r="H2097">
        <v>162</v>
      </c>
      <c r="K2097" t="s">
        <v>51</v>
      </c>
      <c r="L2097" t="s">
        <v>52</v>
      </c>
      <c r="M2097">
        <v>134955.53</v>
      </c>
      <c r="N2097">
        <v>474038.36</v>
      </c>
      <c r="O2097" t="s">
        <v>53</v>
      </c>
      <c r="P2097" t="s">
        <v>54</v>
      </c>
      <c r="Q2097" t="s">
        <v>55</v>
      </c>
      <c r="T2097" t="s">
        <v>466</v>
      </c>
      <c r="U2097">
        <v>40</v>
      </c>
      <c r="V2097" s="1">
        <v>31048</v>
      </c>
      <c r="W2097" s="1">
        <v>31048</v>
      </c>
      <c r="X2097" s="1">
        <v>31048</v>
      </c>
      <c r="Y2097" s="1">
        <v>45658</v>
      </c>
      <c r="Z2097" t="s">
        <v>51</v>
      </c>
      <c r="AB2097" t="s">
        <v>54</v>
      </c>
      <c r="AC2097">
        <v>1</v>
      </c>
      <c r="AE2097" t="s">
        <v>1024</v>
      </c>
      <c r="AF2097">
        <v>20</v>
      </c>
      <c r="AG2097" s="1">
        <v>44369</v>
      </c>
      <c r="AH2097" s="1">
        <v>44369</v>
      </c>
      <c r="AI2097" s="1">
        <v>44369</v>
      </c>
      <c r="AJ2097" s="1">
        <v>51674</v>
      </c>
      <c r="AK2097" t="s">
        <v>51</v>
      </c>
      <c r="AN2097">
        <v>0</v>
      </c>
      <c r="AO2097" t="s">
        <v>54</v>
      </c>
      <c r="AP2097" t="s">
        <v>53</v>
      </c>
      <c r="AQ2097">
        <v>0</v>
      </c>
      <c r="AR2097" t="s">
        <v>145</v>
      </c>
      <c r="AS2097">
        <v>0</v>
      </c>
      <c r="AT2097">
        <v>0</v>
      </c>
      <c r="CC2097" t="s">
        <v>555</v>
      </c>
      <c r="CD2097">
        <v>85000</v>
      </c>
      <c r="CE2097" s="1">
        <v>44369</v>
      </c>
      <c r="CF2097" s="1">
        <v>44369</v>
      </c>
      <c r="CG2097" s="1">
        <v>44369</v>
      </c>
      <c r="CH2097" s="1">
        <v>51959</v>
      </c>
      <c r="CI2097" t="s">
        <v>51</v>
      </c>
      <c r="CK2097" t="s">
        <v>78</v>
      </c>
      <c r="CM2097" t="s">
        <v>54</v>
      </c>
      <c r="CN2097" t="s">
        <v>174</v>
      </c>
      <c r="CO2097" t="s">
        <v>86</v>
      </c>
      <c r="CR2097">
        <v>20</v>
      </c>
      <c r="CS2097">
        <v>0</v>
      </c>
      <c r="CT2097">
        <v>0</v>
      </c>
      <c r="CU2097">
        <v>0</v>
      </c>
    </row>
    <row r="2098" spans="1:99" x14ac:dyDescent="0.2">
      <c r="A2098" t="s">
        <v>1012</v>
      </c>
      <c r="B2098" t="s">
        <v>1013</v>
      </c>
      <c r="C2098" t="s">
        <v>1025</v>
      </c>
      <c r="D2098" t="s">
        <v>1022</v>
      </c>
      <c r="F2098" t="str">
        <f>"251560"</f>
        <v>251560</v>
      </c>
      <c r="G2098" t="s">
        <v>49</v>
      </c>
      <c r="H2098">
        <v>164</v>
      </c>
      <c r="K2098" t="s">
        <v>51</v>
      </c>
      <c r="L2098" t="s">
        <v>52</v>
      </c>
      <c r="M2098">
        <v>134960.09</v>
      </c>
      <c r="N2098">
        <v>474064.48</v>
      </c>
      <c r="O2098" t="s">
        <v>53</v>
      </c>
      <c r="P2098" t="s">
        <v>54</v>
      </c>
      <c r="Q2098" t="s">
        <v>55</v>
      </c>
      <c r="T2098" t="s">
        <v>466</v>
      </c>
      <c r="U2098">
        <v>40</v>
      </c>
      <c r="V2098" s="1">
        <v>31048</v>
      </c>
      <c r="W2098" s="1">
        <v>31048</v>
      </c>
      <c r="X2098" s="1">
        <v>31048</v>
      </c>
      <c r="Y2098" s="1">
        <v>45658</v>
      </c>
      <c r="Z2098" t="s">
        <v>51</v>
      </c>
      <c r="AB2098" t="s">
        <v>54</v>
      </c>
      <c r="AC2098">
        <v>1</v>
      </c>
      <c r="AE2098" t="s">
        <v>1024</v>
      </c>
      <c r="AF2098">
        <v>20</v>
      </c>
      <c r="AG2098" s="1">
        <v>44369</v>
      </c>
      <c r="AH2098" s="1">
        <v>44369</v>
      </c>
      <c r="AI2098" s="1">
        <v>44369</v>
      </c>
      <c r="AJ2098" s="1">
        <v>51674</v>
      </c>
      <c r="AK2098" t="s">
        <v>51</v>
      </c>
      <c r="AN2098">
        <v>0</v>
      </c>
      <c r="AO2098" t="s">
        <v>54</v>
      </c>
      <c r="AP2098" t="s">
        <v>53</v>
      </c>
      <c r="AQ2098">
        <v>0</v>
      </c>
      <c r="AR2098" t="s">
        <v>145</v>
      </c>
      <c r="AS2098">
        <v>0</v>
      </c>
      <c r="AT2098">
        <v>0</v>
      </c>
      <c r="CC2098" t="s">
        <v>555</v>
      </c>
      <c r="CD2098">
        <v>85000</v>
      </c>
      <c r="CE2098" s="1">
        <v>44369</v>
      </c>
      <c r="CF2098" s="1">
        <v>44369</v>
      </c>
      <c r="CG2098" s="1">
        <v>44369</v>
      </c>
      <c r="CH2098" s="1">
        <v>51959</v>
      </c>
      <c r="CI2098" t="s">
        <v>51</v>
      </c>
      <c r="CK2098" t="s">
        <v>78</v>
      </c>
      <c r="CM2098" t="s">
        <v>54</v>
      </c>
      <c r="CN2098" t="s">
        <v>174</v>
      </c>
      <c r="CO2098" t="s">
        <v>86</v>
      </c>
      <c r="CR2098">
        <v>20</v>
      </c>
      <c r="CS2098">
        <v>0</v>
      </c>
      <c r="CT2098">
        <v>0</v>
      </c>
      <c r="CU2098">
        <v>0</v>
      </c>
    </row>
    <row r="2099" spans="1:99" x14ac:dyDescent="0.2">
      <c r="A2099" t="s">
        <v>1012</v>
      </c>
      <c r="B2099" t="s">
        <v>1013</v>
      </c>
      <c r="C2099" t="s">
        <v>1025</v>
      </c>
      <c r="D2099" t="s">
        <v>1022</v>
      </c>
      <c r="F2099" t="str">
        <f>"251561"</f>
        <v>251561</v>
      </c>
      <c r="G2099" t="s">
        <v>49</v>
      </c>
      <c r="H2099">
        <v>149</v>
      </c>
      <c r="K2099" t="s">
        <v>51</v>
      </c>
      <c r="L2099" t="s">
        <v>52</v>
      </c>
      <c r="M2099">
        <v>134951.22</v>
      </c>
      <c r="N2099">
        <v>474104.21</v>
      </c>
      <c r="O2099" t="s">
        <v>53</v>
      </c>
      <c r="P2099" t="s">
        <v>54</v>
      </c>
      <c r="Q2099" t="s">
        <v>55</v>
      </c>
      <c r="T2099" t="s">
        <v>466</v>
      </c>
      <c r="U2099">
        <v>40</v>
      </c>
      <c r="V2099" s="1">
        <v>31048</v>
      </c>
      <c r="W2099" s="1">
        <v>31048</v>
      </c>
      <c r="X2099" s="1">
        <v>31048</v>
      </c>
      <c r="Y2099" s="1">
        <v>45658</v>
      </c>
      <c r="Z2099" t="s">
        <v>51</v>
      </c>
      <c r="AB2099" t="s">
        <v>54</v>
      </c>
      <c r="AC2099">
        <v>1</v>
      </c>
      <c r="AE2099" t="s">
        <v>1024</v>
      </c>
      <c r="AF2099">
        <v>20</v>
      </c>
      <c r="AG2099" s="1">
        <v>44369</v>
      </c>
      <c r="AH2099" s="1">
        <v>44369</v>
      </c>
      <c r="AI2099" s="1">
        <v>44369</v>
      </c>
      <c r="AJ2099" s="1">
        <v>51674</v>
      </c>
      <c r="AK2099" t="s">
        <v>51</v>
      </c>
      <c r="AN2099">
        <v>0</v>
      </c>
      <c r="AO2099" t="s">
        <v>54</v>
      </c>
      <c r="AP2099" t="s">
        <v>53</v>
      </c>
      <c r="AQ2099">
        <v>0</v>
      </c>
      <c r="AR2099" t="s">
        <v>145</v>
      </c>
      <c r="AS2099">
        <v>0</v>
      </c>
      <c r="AT2099">
        <v>0</v>
      </c>
      <c r="CC2099" t="s">
        <v>555</v>
      </c>
      <c r="CD2099">
        <v>85000</v>
      </c>
      <c r="CE2099" s="1">
        <v>44369</v>
      </c>
      <c r="CF2099" s="1">
        <v>44369</v>
      </c>
      <c r="CG2099" s="1">
        <v>44369</v>
      </c>
      <c r="CH2099" s="1">
        <v>51959</v>
      </c>
      <c r="CI2099" t="s">
        <v>51</v>
      </c>
      <c r="CK2099" t="s">
        <v>78</v>
      </c>
      <c r="CM2099" t="s">
        <v>54</v>
      </c>
      <c r="CN2099" t="s">
        <v>174</v>
      </c>
      <c r="CO2099" t="s">
        <v>86</v>
      </c>
      <c r="CR2099">
        <v>20</v>
      </c>
      <c r="CS2099">
        <v>0</v>
      </c>
      <c r="CT2099">
        <v>0</v>
      </c>
      <c r="CU2099">
        <v>0</v>
      </c>
    </row>
    <row r="2100" spans="1:99" x14ac:dyDescent="0.2">
      <c r="A2100" t="s">
        <v>1012</v>
      </c>
      <c r="B2100" t="s">
        <v>1013</v>
      </c>
      <c r="C2100" t="s">
        <v>1025</v>
      </c>
      <c r="D2100" t="s">
        <v>1022</v>
      </c>
      <c r="F2100" t="str">
        <f>"251562"</f>
        <v>251562</v>
      </c>
      <c r="G2100" t="s">
        <v>49</v>
      </c>
      <c r="H2100">
        <v>168</v>
      </c>
      <c r="K2100" t="s">
        <v>51</v>
      </c>
      <c r="L2100" t="s">
        <v>52</v>
      </c>
      <c r="M2100">
        <v>134950.32999999999</v>
      </c>
      <c r="N2100">
        <v>474130.87</v>
      </c>
      <c r="O2100" t="s">
        <v>53</v>
      </c>
      <c r="P2100" t="s">
        <v>54</v>
      </c>
      <c r="Q2100" t="s">
        <v>55</v>
      </c>
      <c r="T2100" t="s">
        <v>1028</v>
      </c>
      <c r="U2100">
        <v>40</v>
      </c>
      <c r="V2100" s="1">
        <v>31048</v>
      </c>
      <c r="W2100" s="1">
        <v>31048</v>
      </c>
      <c r="X2100" s="1">
        <v>31048</v>
      </c>
      <c r="Y2100" s="1">
        <v>45658</v>
      </c>
      <c r="Z2100" t="s">
        <v>51</v>
      </c>
      <c r="AB2100" t="s">
        <v>54</v>
      </c>
      <c r="AC2100">
        <v>1</v>
      </c>
      <c r="AE2100" t="s">
        <v>1024</v>
      </c>
      <c r="AF2100">
        <v>20</v>
      </c>
      <c r="AG2100" s="1">
        <v>44369</v>
      </c>
      <c r="AH2100" s="1">
        <v>44369</v>
      </c>
      <c r="AI2100" s="1">
        <v>44369</v>
      </c>
      <c r="AJ2100" s="1">
        <v>51674</v>
      </c>
      <c r="AK2100" t="s">
        <v>51</v>
      </c>
      <c r="AN2100">
        <v>0</v>
      </c>
      <c r="AO2100" t="s">
        <v>54</v>
      </c>
      <c r="AP2100" t="s">
        <v>53</v>
      </c>
      <c r="AQ2100">
        <v>0</v>
      </c>
      <c r="AR2100" t="s">
        <v>145</v>
      </c>
      <c r="AS2100">
        <v>0</v>
      </c>
      <c r="AT2100">
        <v>0</v>
      </c>
      <c r="CC2100" t="s">
        <v>555</v>
      </c>
      <c r="CD2100">
        <v>85000</v>
      </c>
      <c r="CE2100" s="1">
        <v>44369</v>
      </c>
      <c r="CF2100" s="1">
        <v>44369</v>
      </c>
      <c r="CG2100" s="1">
        <v>44369</v>
      </c>
      <c r="CH2100" s="1">
        <v>51959</v>
      </c>
      <c r="CI2100" t="s">
        <v>51</v>
      </c>
      <c r="CK2100" t="s">
        <v>78</v>
      </c>
      <c r="CM2100" t="s">
        <v>54</v>
      </c>
      <c r="CN2100" t="s">
        <v>174</v>
      </c>
      <c r="CO2100" t="s">
        <v>86</v>
      </c>
      <c r="CR2100">
        <v>20</v>
      </c>
      <c r="CS2100">
        <v>0</v>
      </c>
      <c r="CT2100">
        <v>0</v>
      </c>
      <c r="CU2100">
        <v>0</v>
      </c>
    </row>
    <row r="2101" spans="1:99" x14ac:dyDescent="0.2">
      <c r="A2101" t="s">
        <v>1012</v>
      </c>
      <c r="B2101" t="s">
        <v>1013</v>
      </c>
      <c r="C2101" t="s">
        <v>1025</v>
      </c>
      <c r="D2101" t="s">
        <v>1022</v>
      </c>
      <c r="F2101" t="str">
        <f>"251563"</f>
        <v>251563</v>
      </c>
      <c r="G2101" t="s">
        <v>49</v>
      </c>
      <c r="H2101">
        <v>168</v>
      </c>
      <c r="K2101" t="s">
        <v>51</v>
      </c>
      <c r="L2101" t="s">
        <v>52</v>
      </c>
      <c r="M2101">
        <v>134950.89000000001</v>
      </c>
      <c r="N2101">
        <v>474149.92</v>
      </c>
      <c r="O2101" t="s">
        <v>53</v>
      </c>
      <c r="P2101" t="s">
        <v>54</v>
      </c>
      <c r="Q2101" t="s">
        <v>55</v>
      </c>
      <c r="T2101" t="s">
        <v>1028</v>
      </c>
      <c r="U2101">
        <v>40</v>
      </c>
      <c r="V2101" s="1">
        <v>31048</v>
      </c>
      <c r="W2101" s="1">
        <v>31048</v>
      </c>
      <c r="X2101" s="1">
        <v>31048</v>
      </c>
      <c r="Y2101" s="1">
        <v>45658</v>
      </c>
      <c r="Z2101" t="s">
        <v>51</v>
      </c>
      <c r="AB2101" t="s">
        <v>54</v>
      </c>
      <c r="AC2101">
        <v>1</v>
      </c>
      <c r="AE2101" t="s">
        <v>1024</v>
      </c>
      <c r="AF2101">
        <v>20</v>
      </c>
      <c r="AG2101" s="1">
        <v>44369</v>
      </c>
      <c r="AH2101" s="1">
        <v>44369</v>
      </c>
      <c r="AI2101" s="1">
        <v>44369</v>
      </c>
      <c r="AJ2101" s="1">
        <v>51674</v>
      </c>
      <c r="AK2101" t="s">
        <v>51</v>
      </c>
      <c r="AN2101">
        <v>0</v>
      </c>
      <c r="AO2101" t="s">
        <v>54</v>
      </c>
      <c r="AP2101" t="s">
        <v>53</v>
      </c>
      <c r="AQ2101">
        <v>0</v>
      </c>
      <c r="AR2101" t="s">
        <v>145</v>
      </c>
      <c r="AS2101">
        <v>0</v>
      </c>
      <c r="AT2101">
        <v>0</v>
      </c>
      <c r="CC2101" t="s">
        <v>555</v>
      </c>
      <c r="CD2101">
        <v>85000</v>
      </c>
      <c r="CE2101" s="1">
        <v>44369</v>
      </c>
      <c r="CF2101" s="1">
        <v>44369</v>
      </c>
      <c r="CG2101" s="1">
        <v>44369</v>
      </c>
      <c r="CH2101" s="1">
        <v>51959</v>
      </c>
      <c r="CI2101" t="s">
        <v>51</v>
      </c>
      <c r="CK2101" t="s">
        <v>78</v>
      </c>
      <c r="CM2101" t="s">
        <v>54</v>
      </c>
      <c r="CN2101" t="s">
        <v>174</v>
      </c>
      <c r="CO2101" t="s">
        <v>86</v>
      </c>
      <c r="CR2101">
        <v>20</v>
      </c>
      <c r="CS2101">
        <v>0</v>
      </c>
      <c r="CT2101">
        <v>0</v>
      </c>
      <c r="CU2101">
        <v>0</v>
      </c>
    </row>
    <row r="2102" spans="1:99" x14ac:dyDescent="0.2">
      <c r="A2102" t="s">
        <v>1012</v>
      </c>
      <c r="B2102" t="s">
        <v>1013</v>
      </c>
      <c r="C2102" t="s">
        <v>1025</v>
      </c>
      <c r="D2102" t="s">
        <v>1029</v>
      </c>
      <c r="F2102" t="str">
        <f>"251567"</f>
        <v>251567</v>
      </c>
      <c r="G2102" t="s">
        <v>49</v>
      </c>
      <c r="H2102" t="s">
        <v>1030</v>
      </c>
      <c r="K2102" t="s">
        <v>51</v>
      </c>
      <c r="L2102" t="s">
        <v>52</v>
      </c>
      <c r="M2102">
        <v>134023.38</v>
      </c>
      <c r="N2102">
        <v>473632.81</v>
      </c>
      <c r="O2102" t="s">
        <v>53</v>
      </c>
      <c r="P2102" t="s">
        <v>54</v>
      </c>
      <c r="Q2102" t="s">
        <v>55</v>
      </c>
      <c r="T2102" t="s">
        <v>660</v>
      </c>
      <c r="U2102">
        <v>40</v>
      </c>
      <c r="V2102" s="1">
        <v>31048</v>
      </c>
      <c r="W2102" s="1">
        <v>31048</v>
      </c>
      <c r="X2102" s="1">
        <v>31048</v>
      </c>
      <c r="Y2102" s="1">
        <v>45658</v>
      </c>
      <c r="Z2102" t="s">
        <v>51</v>
      </c>
      <c r="AB2102" t="s">
        <v>54</v>
      </c>
      <c r="AC2102">
        <v>1</v>
      </c>
      <c r="AE2102" t="s">
        <v>613</v>
      </c>
      <c r="AF2102">
        <v>20</v>
      </c>
      <c r="AG2102" s="1">
        <v>35796</v>
      </c>
      <c r="AH2102" s="1">
        <v>35796</v>
      </c>
      <c r="AI2102" s="1">
        <v>35796</v>
      </c>
      <c r="AJ2102" s="1">
        <v>43101</v>
      </c>
      <c r="AK2102" t="s">
        <v>51</v>
      </c>
      <c r="AN2102">
        <v>0</v>
      </c>
      <c r="AO2102" t="s">
        <v>54</v>
      </c>
      <c r="AP2102" t="s">
        <v>53</v>
      </c>
      <c r="AQ2102">
        <v>0</v>
      </c>
      <c r="AR2102" t="s">
        <v>53</v>
      </c>
      <c r="AS2102">
        <v>0</v>
      </c>
      <c r="AT2102">
        <v>0</v>
      </c>
      <c r="BK2102" t="s">
        <v>1031</v>
      </c>
      <c r="BL2102">
        <v>0</v>
      </c>
      <c r="BM2102" s="1">
        <v>44316</v>
      </c>
      <c r="BN2102" s="1">
        <v>44316</v>
      </c>
      <c r="BO2102" s="1">
        <v>44316</v>
      </c>
      <c r="BQ2102" t="s">
        <v>51</v>
      </c>
      <c r="BS2102" t="s">
        <v>60</v>
      </c>
      <c r="BT2102" t="s">
        <v>54</v>
      </c>
      <c r="BU2102" t="s">
        <v>362</v>
      </c>
      <c r="BX2102">
        <v>22</v>
      </c>
      <c r="BY2102">
        <v>0</v>
      </c>
      <c r="BZ2102">
        <v>0</v>
      </c>
    </row>
    <row r="2103" spans="1:99" x14ac:dyDescent="0.2">
      <c r="A2103" t="s">
        <v>1012</v>
      </c>
      <c r="B2103" t="s">
        <v>1013</v>
      </c>
      <c r="C2103" t="s">
        <v>1025</v>
      </c>
      <c r="D2103" t="s">
        <v>1029</v>
      </c>
      <c r="F2103" t="str">
        <f>"251568"</f>
        <v>251568</v>
      </c>
      <c r="G2103" t="s">
        <v>49</v>
      </c>
      <c r="K2103" t="s">
        <v>51</v>
      </c>
      <c r="L2103" t="s">
        <v>52</v>
      </c>
      <c r="M2103">
        <v>134016.14000000001</v>
      </c>
      <c r="N2103">
        <v>473680.67</v>
      </c>
      <c r="O2103" t="s">
        <v>53</v>
      </c>
      <c r="P2103" t="s">
        <v>54</v>
      </c>
      <c r="Q2103" t="s">
        <v>55</v>
      </c>
      <c r="T2103" t="s">
        <v>660</v>
      </c>
      <c r="U2103">
        <v>40</v>
      </c>
      <c r="V2103" s="1">
        <v>31048</v>
      </c>
      <c r="W2103" s="1">
        <v>31048</v>
      </c>
      <c r="X2103" s="1">
        <v>31048</v>
      </c>
      <c r="Y2103" s="1">
        <v>45658</v>
      </c>
      <c r="Z2103" t="s">
        <v>51</v>
      </c>
      <c r="AB2103" t="s">
        <v>54</v>
      </c>
      <c r="AC2103">
        <v>1</v>
      </c>
      <c r="AE2103" t="s">
        <v>613</v>
      </c>
      <c r="AF2103">
        <v>20</v>
      </c>
      <c r="AG2103" s="1">
        <v>35796</v>
      </c>
      <c r="AH2103" s="1">
        <v>35796</v>
      </c>
      <c r="AI2103" s="1">
        <v>35796</v>
      </c>
      <c r="AJ2103" s="1">
        <v>43101</v>
      </c>
      <c r="AK2103" t="s">
        <v>51</v>
      </c>
      <c r="AN2103">
        <v>0</v>
      </c>
      <c r="AO2103" t="s">
        <v>54</v>
      </c>
      <c r="AP2103" t="s">
        <v>53</v>
      </c>
      <c r="AQ2103">
        <v>0</v>
      </c>
      <c r="AR2103" t="s">
        <v>53</v>
      </c>
      <c r="AS2103">
        <v>0</v>
      </c>
      <c r="AT2103">
        <v>0</v>
      </c>
      <c r="BK2103" t="s">
        <v>1031</v>
      </c>
      <c r="BL2103">
        <v>0</v>
      </c>
      <c r="BM2103" s="1">
        <v>44316</v>
      </c>
      <c r="BN2103" s="1">
        <v>44316</v>
      </c>
      <c r="BO2103" s="1">
        <v>44316</v>
      </c>
      <c r="BQ2103" t="s">
        <v>51</v>
      </c>
      <c r="BS2103" t="s">
        <v>60</v>
      </c>
      <c r="BT2103" t="s">
        <v>54</v>
      </c>
      <c r="BU2103" t="s">
        <v>362</v>
      </c>
      <c r="BX2103">
        <v>22</v>
      </c>
      <c r="BY2103">
        <v>0</v>
      </c>
      <c r="BZ2103">
        <v>0</v>
      </c>
    </row>
    <row r="2104" spans="1:99" x14ac:dyDescent="0.2">
      <c r="A2104" t="s">
        <v>1012</v>
      </c>
      <c r="B2104" t="s">
        <v>1013</v>
      </c>
      <c r="C2104" t="s">
        <v>1025</v>
      </c>
      <c r="D2104" t="s">
        <v>1029</v>
      </c>
      <c r="F2104" t="str">
        <f>"251569"</f>
        <v>251569</v>
      </c>
      <c r="G2104" t="s">
        <v>49</v>
      </c>
      <c r="H2104" t="s">
        <v>1032</v>
      </c>
      <c r="K2104" t="s">
        <v>51</v>
      </c>
      <c r="L2104" t="s">
        <v>52</v>
      </c>
      <c r="M2104">
        <v>134013.75</v>
      </c>
      <c r="N2104">
        <v>473713.75</v>
      </c>
      <c r="O2104" t="s">
        <v>53</v>
      </c>
      <c r="P2104" t="s">
        <v>54</v>
      </c>
      <c r="Q2104" t="s">
        <v>55</v>
      </c>
      <c r="T2104" t="s">
        <v>660</v>
      </c>
      <c r="U2104">
        <v>40</v>
      </c>
      <c r="V2104" s="1">
        <v>31048</v>
      </c>
      <c r="W2104" s="1">
        <v>31048</v>
      </c>
      <c r="X2104" s="1">
        <v>31048</v>
      </c>
      <c r="Y2104" s="1">
        <v>45658</v>
      </c>
      <c r="Z2104" t="s">
        <v>51</v>
      </c>
      <c r="AB2104" t="s">
        <v>54</v>
      </c>
      <c r="AC2104">
        <v>1</v>
      </c>
      <c r="AE2104" t="s">
        <v>613</v>
      </c>
      <c r="AF2104">
        <v>20</v>
      </c>
      <c r="AG2104" s="1">
        <v>35796</v>
      </c>
      <c r="AH2104" s="1">
        <v>35796</v>
      </c>
      <c r="AI2104" s="1">
        <v>35796</v>
      </c>
      <c r="AJ2104" s="1">
        <v>43101</v>
      </c>
      <c r="AK2104" t="s">
        <v>51</v>
      </c>
      <c r="AN2104">
        <v>0</v>
      </c>
      <c r="AO2104" t="s">
        <v>54</v>
      </c>
      <c r="AP2104" t="s">
        <v>53</v>
      </c>
      <c r="AQ2104">
        <v>0</v>
      </c>
      <c r="AR2104" t="s">
        <v>53</v>
      </c>
      <c r="AS2104">
        <v>0</v>
      </c>
      <c r="AT2104">
        <v>0</v>
      </c>
      <c r="BK2104" t="s">
        <v>1031</v>
      </c>
      <c r="BL2104">
        <v>0</v>
      </c>
      <c r="BM2104" s="1">
        <v>44316</v>
      </c>
      <c r="BN2104" s="1">
        <v>44316</v>
      </c>
      <c r="BO2104" s="1">
        <v>44316</v>
      </c>
      <c r="BQ2104" t="s">
        <v>51</v>
      </c>
      <c r="BS2104" t="s">
        <v>60</v>
      </c>
      <c r="BT2104" t="s">
        <v>54</v>
      </c>
      <c r="BU2104" t="s">
        <v>362</v>
      </c>
      <c r="BX2104">
        <v>22</v>
      </c>
      <c r="BY2104">
        <v>0</v>
      </c>
      <c r="BZ2104">
        <v>0</v>
      </c>
    </row>
    <row r="2105" spans="1:99" x14ac:dyDescent="0.2">
      <c r="A2105" t="s">
        <v>1012</v>
      </c>
      <c r="B2105" t="s">
        <v>1013</v>
      </c>
      <c r="C2105" t="s">
        <v>1025</v>
      </c>
      <c r="D2105" t="s">
        <v>1029</v>
      </c>
      <c r="F2105" t="str">
        <f>"251570"</f>
        <v>251570</v>
      </c>
      <c r="G2105" t="s">
        <v>49</v>
      </c>
      <c r="H2105" t="s">
        <v>1032</v>
      </c>
      <c r="K2105" t="s">
        <v>51</v>
      </c>
      <c r="L2105" t="s">
        <v>52</v>
      </c>
      <c r="M2105">
        <v>134011.63</v>
      </c>
      <c r="N2105">
        <v>473738.94</v>
      </c>
      <c r="O2105" t="s">
        <v>53</v>
      </c>
      <c r="P2105" t="s">
        <v>54</v>
      </c>
      <c r="Q2105" t="s">
        <v>55</v>
      </c>
      <c r="T2105" t="s">
        <v>81</v>
      </c>
      <c r="U2105">
        <v>40</v>
      </c>
      <c r="V2105" s="1">
        <v>44704</v>
      </c>
      <c r="W2105" s="1">
        <v>44704</v>
      </c>
      <c r="X2105" s="1">
        <v>44704</v>
      </c>
      <c r="Y2105" s="1">
        <v>59314</v>
      </c>
      <c r="Z2105" t="s">
        <v>51</v>
      </c>
      <c r="AB2105" t="s">
        <v>54</v>
      </c>
      <c r="AC2105">
        <v>1</v>
      </c>
      <c r="AE2105" t="s">
        <v>613</v>
      </c>
      <c r="AF2105">
        <v>20</v>
      </c>
      <c r="AG2105" s="1">
        <v>35796</v>
      </c>
      <c r="AH2105" s="1">
        <v>35796</v>
      </c>
      <c r="AI2105" s="1">
        <v>44704</v>
      </c>
      <c r="AJ2105" s="1">
        <v>43101</v>
      </c>
      <c r="AK2105" t="s">
        <v>51</v>
      </c>
      <c r="AN2105">
        <v>0</v>
      </c>
      <c r="AO2105" t="s">
        <v>54</v>
      </c>
      <c r="AP2105" t="s">
        <v>53</v>
      </c>
      <c r="AQ2105">
        <v>0</v>
      </c>
      <c r="AR2105" t="s">
        <v>53</v>
      </c>
      <c r="AS2105">
        <v>0</v>
      </c>
      <c r="AT2105">
        <v>0</v>
      </c>
      <c r="BK2105" t="s">
        <v>1031</v>
      </c>
      <c r="BL2105">
        <v>0</v>
      </c>
      <c r="BM2105" s="1">
        <v>44316</v>
      </c>
      <c r="BN2105" s="1">
        <v>44316</v>
      </c>
      <c r="BO2105" s="1">
        <v>44704</v>
      </c>
      <c r="BQ2105" t="s">
        <v>51</v>
      </c>
      <c r="BS2105" t="s">
        <v>60</v>
      </c>
      <c r="BT2105" t="s">
        <v>54</v>
      </c>
      <c r="BU2105" t="s">
        <v>362</v>
      </c>
      <c r="BX2105">
        <v>22</v>
      </c>
      <c r="BY2105">
        <v>0</v>
      </c>
      <c r="BZ2105">
        <v>0</v>
      </c>
    </row>
    <row r="2106" spans="1:99" x14ac:dyDescent="0.2">
      <c r="A2106" t="s">
        <v>1012</v>
      </c>
      <c r="B2106" t="s">
        <v>1013</v>
      </c>
      <c r="C2106" t="s">
        <v>1025</v>
      </c>
      <c r="D2106" t="s">
        <v>1029</v>
      </c>
      <c r="F2106" t="str">
        <f>"251571"</f>
        <v>251571</v>
      </c>
      <c r="G2106" t="s">
        <v>49</v>
      </c>
      <c r="H2106" t="s">
        <v>1033</v>
      </c>
      <c r="K2106" t="s">
        <v>51</v>
      </c>
      <c r="L2106" t="s">
        <v>52</v>
      </c>
      <c r="M2106">
        <v>134001.56</v>
      </c>
      <c r="N2106">
        <v>473774.2</v>
      </c>
      <c r="O2106" t="s">
        <v>53</v>
      </c>
      <c r="P2106" t="s">
        <v>54</v>
      </c>
      <c r="Q2106" t="s">
        <v>55</v>
      </c>
      <c r="T2106" t="s">
        <v>466</v>
      </c>
      <c r="U2106">
        <v>40</v>
      </c>
      <c r="V2106" s="1">
        <v>31048</v>
      </c>
      <c r="W2106" s="1">
        <v>31048</v>
      </c>
      <c r="X2106" s="1">
        <v>31048</v>
      </c>
      <c r="Y2106" s="1">
        <v>45658</v>
      </c>
      <c r="Z2106" t="s">
        <v>51</v>
      </c>
      <c r="AB2106" t="s">
        <v>54</v>
      </c>
      <c r="AC2106">
        <v>1</v>
      </c>
      <c r="AE2106" t="s">
        <v>613</v>
      </c>
      <c r="AF2106">
        <v>20</v>
      </c>
      <c r="AG2106" s="1">
        <v>35796</v>
      </c>
      <c r="AH2106" s="1">
        <v>35796</v>
      </c>
      <c r="AI2106" s="1">
        <v>35796</v>
      </c>
      <c r="AJ2106" s="1">
        <v>43101</v>
      </c>
      <c r="AK2106" t="s">
        <v>51</v>
      </c>
      <c r="AN2106">
        <v>0</v>
      </c>
      <c r="AO2106" t="s">
        <v>54</v>
      </c>
      <c r="AP2106" t="s">
        <v>53</v>
      </c>
      <c r="AQ2106">
        <v>0</v>
      </c>
      <c r="AR2106" t="s">
        <v>53</v>
      </c>
      <c r="AS2106">
        <v>0</v>
      </c>
      <c r="AT2106">
        <v>0</v>
      </c>
      <c r="BK2106" t="s">
        <v>1031</v>
      </c>
      <c r="BL2106">
        <v>0</v>
      </c>
      <c r="BM2106" s="1">
        <v>44316</v>
      </c>
      <c r="BN2106" s="1">
        <v>44316</v>
      </c>
      <c r="BO2106" s="1">
        <v>44316</v>
      </c>
      <c r="BQ2106" t="s">
        <v>51</v>
      </c>
      <c r="BS2106" t="s">
        <v>60</v>
      </c>
      <c r="BT2106" t="s">
        <v>54</v>
      </c>
      <c r="BU2106" t="s">
        <v>362</v>
      </c>
      <c r="BX2106">
        <v>22</v>
      </c>
      <c r="BY2106">
        <v>0</v>
      </c>
      <c r="BZ2106">
        <v>0</v>
      </c>
    </row>
    <row r="2107" spans="1:99" x14ac:dyDescent="0.2">
      <c r="A2107" t="s">
        <v>1012</v>
      </c>
      <c r="B2107" t="s">
        <v>1013</v>
      </c>
      <c r="C2107" t="s">
        <v>1025</v>
      </c>
      <c r="D2107" t="s">
        <v>1029</v>
      </c>
      <c r="F2107" t="str">
        <f>"251572"</f>
        <v>251572</v>
      </c>
      <c r="G2107" t="s">
        <v>49</v>
      </c>
      <c r="H2107" t="s">
        <v>649</v>
      </c>
      <c r="K2107" t="s">
        <v>51</v>
      </c>
      <c r="L2107" t="s">
        <v>52</v>
      </c>
      <c r="M2107">
        <v>133998.10999999999</v>
      </c>
      <c r="N2107">
        <v>473815.12</v>
      </c>
      <c r="O2107" t="s">
        <v>53</v>
      </c>
      <c r="P2107" t="s">
        <v>54</v>
      </c>
      <c r="Q2107" t="s">
        <v>55</v>
      </c>
      <c r="T2107" t="s">
        <v>699</v>
      </c>
      <c r="U2107">
        <v>40</v>
      </c>
      <c r="V2107" s="1">
        <v>31048</v>
      </c>
      <c r="W2107" s="1">
        <v>31048</v>
      </c>
      <c r="X2107" s="1">
        <v>31048</v>
      </c>
      <c r="Y2107" s="1">
        <v>45658</v>
      </c>
      <c r="Z2107" t="s">
        <v>51</v>
      </c>
      <c r="AB2107" t="s">
        <v>54</v>
      </c>
      <c r="AC2107">
        <v>1</v>
      </c>
      <c r="AE2107" t="s">
        <v>613</v>
      </c>
      <c r="AF2107">
        <v>20</v>
      </c>
      <c r="AG2107" s="1">
        <v>35796</v>
      </c>
      <c r="AH2107" s="1">
        <v>35796</v>
      </c>
      <c r="AI2107" s="1">
        <v>35796</v>
      </c>
      <c r="AJ2107" s="1">
        <v>43101</v>
      </c>
      <c r="AK2107" t="s">
        <v>51</v>
      </c>
      <c r="AN2107">
        <v>0</v>
      </c>
      <c r="AO2107" t="s">
        <v>54</v>
      </c>
      <c r="AP2107" t="s">
        <v>53</v>
      </c>
      <c r="AQ2107">
        <v>0</v>
      </c>
      <c r="AR2107" t="s">
        <v>53</v>
      </c>
      <c r="AS2107">
        <v>0</v>
      </c>
      <c r="AT2107">
        <v>0</v>
      </c>
      <c r="BK2107" t="s">
        <v>1031</v>
      </c>
      <c r="BL2107">
        <v>0</v>
      </c>
      <c r="BM2107" s="1">
        <v>44316</v>
      </c>
      <c r="BN2107" s="1">
        <v>44316</v>
      </c>
      <c r="BO2107" s="1">
        <v>44316</v>
      </c>
      <c r="BQ2107" t="s">
        <v>51</v>
      </c>
      <c r="BS2107" t="s">
        <v>60</v>
      </c>
      <c r="BT2107" t="s">
        <v>54</v>
      </c>
      <c r="BU2107" t="s">
        <v>362</v>
      </c>
      <c r="BX2107">
        <v>22</v>
      </c>
      <c r="BY2107">
        <v>0</v>
      </c>
      <c r="BZ2107">
        <v>0</v>
      </c>
    </row>
    <row r="2108" spans="1:99" x14ac:dyDescent="0.2">
      <c r="A2108" t="s">
        <v>1012</v>
      </c>
      <c r="B2108" t="s">
        <v>1013</v>
      </c>
      <c r="C2108" t="s">
        <v>1025</v>
      </c>
      <c r="D2108" t="s">
        <v>1029</v>
      </c>
      <c r="F2108" t="str">
        <f>"251573"</f>
        <v>251573</v>
      </c>
      <c r="G2108" t="s">
        <v>49</v>
      </c>
      <c r="H2108" t="s">
        <v>1034</v>
      </c>
      <c r="K2108" t="s">
        <v>51</v>
      </c>
      <c r="L2108" t="s">
        <v>52</v>
      </c>
      <c r="M2108">
        <v>134002.59</v>
      </c>
      <c r="N2108">
        <v>473852.67</v>
      </c>
      <c r="O2108" t="s">
        <v>53</v>
      </c>
      <c r="P2108" t="s">
        <v>54</v>
      </c>
      <c r="Q2108" t="s">
        <v>55</v>
      </c>
      <c r="T2108" t="s">
        <v>660</v>
      </c>
      <c r="U2108">
        <v>40</v>
      </c>
      <c r="V2108" s="1">
        <v>31048</v>
      </c>
      <c r="W2108" s="1">
        <v>31048</v>
      </c>
      <c r="X2108" s="1">
        <v>31048</v>
      </c>
      <c r="Y2108" s="1">
        <v>45658</v>
      </c>
      <c r="Z2108" t="s">
        <v>51</v>
      </c>
      <c r="AB2108" t="s">
        <v>54</v>
      </c>
      <c r="AC2108">
        <v>1</v>
      </c>
      <c r="AE2108" t="s">
        <v>613</v>
      </c>
      <c r="AF2108">
        <v>20</v>
      </c>
      <c r="AG2108" s="1">
        <v>35796</v>
      </c>
      <c r="AH2108" s="1">
        <v>35796</v>
      </c>
      <c r="AI2108" s="1">
        <v>35796</v>
      </c>
      <c r="AJ2108" s="1">
        <v>43101</v>
      </c>
      <c r="AK2108" t="s">
        <v>51</v>
      </c>
      <c r="AN2108">
        <v>0</v>
      </c>
      <c r="AO2108" t="s">
        <v>54</v>
      </c>
      <c r="AP2108" t="s">
        <v>53</v>
      </c>
      <c r="AQ2108">
        <v>0</v>
      </c>
      <c r="AR2108" t="s">
        <v>53</v>
      </c>
      <c r="AS2108">
        <v>0</v>
      </c>
      <c r="AT2108">
        <v>0</v>
      </c>
      <c r="BK2108" t="s">
        <v>1031</v>
      </c>
      <c r="BL2108">
        <v>0</v>
      </c>
      <c r="BM2108" s="1">
        <v>44316</v>
      </c>
      <c r="BN2108" s="1">
        <v>44316</v>
      </c>
      <c r="BO2108" s="1">
        <v>44316</v>
      </c>
      <c r="BQ2108" t="s">
        <v>51</v>
      </c>
      <c r="BS2108" t="s">
        <v>60</v>
      </c>
      <c r="BT2108" t="s">
        <v>54</v>
      </c>
      <c r="BU2108" t="s">
        <v>362</v>
      </c>
      <c r="BX2108">
        <v>22</v>
      </c>
      <c r="BY2108">
        <v>0</v>
      </c>
      <c r="BZ2108">
        <v>0</v>
      </c>
    </row>
    <row r="2109" spans="1:99" x14ac:dyDescent="0.2">
      <c r="A2109" t="s">
        <v>1012</v>
      </c>
      <c r="B2109" t="s">
        <v>1013</v>
      </c>
      <c r="C2109" t="s">
        <v>1025</v>
      </c>
      <c r="D2109" t="s">
        <v>1029</v>
      </c>
      <c r="F2109" t="str">
        <f>"251574"</f>
        <v>251574</v>
      </c>
      <c r="G2109" t="s">
        <v>49</v>
      </c>
      <c r="H2109" t="s">
        <v>1018</v>
      </c>
      <c r="K2109" t="s">
        <v>51</v>
      </c>
      <c r="L2109" t="s">
        <v>52</v>
      </c>
      <c r="M2109">
        <v>133996.9</v>
      </c>
      <c r="N2109">
        <v>473899.24</v>
      </c>
      <c r="O2109" t="s">
        <v>53</v>
      </c>
      <c r="P2109" t="s">
        <v>54</v>
      </c>
      <c r="Q2109" t="s">
        <v>55</v>
      </c>
      <c r="T2109" t="s">
        <v>1035</v>
      </c>
      <c r="U2109">
        <v>40</v>
      </c>
      <c r="V2109" s="1">
        <v>31048</v>
      </c>
      <c r="W2109" s="1">
        <v>31048</v>
      </c>
      <c r="X2109" s="1">
        <v>31048</v>
      </c>
      <c r="Y2109" s="1">
        <v>45658</v>
      </c>
      <c r="Z2109" t="s">
        <v>51</v>
      </c>
      <c r="AB2109" t="s">
        <v>54</v>
      </c>
      <c r="AC2109">
        <v>1</v>
      </c>
      <c r="AE2109" t="s">
        <v>57</v>
      </c>
      <c r="AF2109">
        <v>20</v>
      </c>
      <c r="AG2109" s="1">
        <v>35796</v>
      </c>
      <c r="AH2109" s="1">
        <v>35796</v>
      </c>
      <c r="AI2109" s="1">
        <v>35796</v>
      </c>
      <c r="AJ2109" s="1">
        <v>43101</v>
      </c>
      <c r="AK2109" t="s">
        <v>51</v>
      </c>
      <c r="AN2109">
        <v>0</v>
      </c>
      <c r="AO2109" t="s">
        <v>54</v>
      </c>
      <c r="AP2109" t="s">
        <v>53</v>
      </c>
      <c r="AQ2109">
        <v>0</v>
      </c>
      <c r="AR2109" t="s">
        <v>53</v>
      </c>
      <c r="AS2109">
        <v>0</v>
      </c>
      <c r="AT2109">
        <v>0</v>
      </c>
      <c r="BK2109" t="s">
        <v>1031</v>
      </c>
      <c r="BL2109">
        <v>0</v>
      </c>
      <c r="BM2109" s="1">
        <v>44316</v>
      </c>
      <c r="BN2109" s="1">
        <v>44316</v>
      </c>
      <c r="BO2109" s="1">
        <v>44316</v>
      </c>
      <c r="BQ2109" t="s">
        <v>51</v>
      </c>
      <c r="BS2109" t="s">
        <v>60</v>
      </c>
      <c r="BT2109" t="s">
        <v>54</v>
      </c>
      <c r="BU2109" t="s">
        <v>362</v>
      </c>
      <c r="BX2109">
        <v>22</v>
      </c>
      <c r="BY2109">
        <v>0</v>
      </c>
      <c r="BZ2109">
        <v>0</v>
      </c>
    </row>
    <row r="2110" spans="1:99" x14ac:dyDescent="0.2">
      <c r="A2110" t="s">
        <v>1012</v>
      </c>
      <c r="B2110" t="s">
        <v>1013</v>
      </c>
      <c r="C2110" t="s">
        <v>1025</v>
      </c>
      <c r="D2110" t="s">
        <v>1029</v>
      </c>
      <c r="F2110" t="str">
        <f>"251575"</f>
        <v>251575</v>
      </c>
      <c r="G2110" t="s">
        <v>49</v>
      </c>
      <c r="K2110" t="s">
        <v>51</v>
      </c>
      <c r="L2110" t="s">
        <v>52</v>
      </c>
      <c r="M2110">
        <v>133994.35999999999</v>
      </c>
      <c r="N2110">
        <v>473928.37</v>
      </c>
      <c r="O2110" t="s">
        <v>53</v>
      </c>
      <c r="P2110" t="s">
        <v>54</v>
      </c>
      <c r="Q2110" t="s">
        <v>55</v>
      </c>
      <c r="T2110" t="s">
        <v>660</v>
      </c>
      <c r="U2110">
        <v>40</v>
      </c>
      <c r="V2110" s="1">
        <v>31048</v>
      </c>
      <c r="W2110" s="1">
        <v>31048</v>
      </c>
      <c r="X2110" s="1">
        <v>31048</v>
      </c>
      <c r="Y2110" s="1">
        <v>45658</v>
      </c>
      <c r="Z2110" t="s">
        <v>51</v>
      </c>
      <c r="AB2110" t="s">
        <v>54</v>
      </c>
      <c r="AC2110">
        <v>1</v>
      </c>
      <c r="AE2110" t="s">
        <v>57</v>
      </c>
      <c r="AF2110">
        <v>20</v>
      </c>
      <c r="AG2110" s="1">
        <v>35796</v>
      </c>
      <c r="AH2110" s="1">
        <v>35796</v>
      </c>
      <c r="AI2110" s="1">
        <v>35796</v>
      </c>
      <c r="AJ2110" s="1">
        <v>43101</v>
      </c>
      <c r="AK2110" t="s">
        <v>51</v>
      </c>
      <c r="AN2110">
        <v>0</v>
      </c>
      <c r="AO2110" t="s">
        <v>54</v>
      </c>
      <c r="AP2110" t="s">
        <v>53</v>
      </c>
      <c r="AQ2110">
        <v>0</v>
      </c>
      <c r="AR2110" t="s">
        <v>53</v>
      </c>
      <c r="AS2110">
        <v>0</v>
      </c>
      <c r="AT2110">
        <v>0</v>
      </c>
      <c r="BK2110" t="s">
        <v>1031</v>
      </c>
      <c r="BL2110">
        <v>0</v>
      </c>
      <c r="BM2110" s="1">
        <v>44316</v>
      </c>
      <c r="BN2110" s="1">
        <v>44316</v>
      </c>
      <c r="BO2110" s="1">
        <v>44316</v>
      </c>
      <c r="BQ2110" t="s">
        <v>51</v>
      </c>
      <c r="BS2110" t="s">
        <v>60</v>
      </c>
      <c r="BT2110" t="s">
        <v>54</v>
      </c>
      <c r="BU2110" t="s">
        <v>362</v>
      </c>
      <c r="BX2110">
        <v>22</v>
      </c>
      <c r="BY2110">
        <v>0</v>
      </c>
      <c r="BZ2110">
        <v>0</v>
      </c>
    </row>
    <row r="2111" spans="1:99" x14ac:dyDescent="0.2">
      <c r="A2111" t="s">
        <v>1012</v>
      </c>
      <c r="B2111" t="s">
        <v>1013</v>
      </c>
      <c r="C2111" t="s">
        <v>1025</v>
      </c>
      <c r="D2111" t="s">
        <v>1029</v>
      </c>
      <c r="F2111" t="str">
        <f>"251576"</f>
        <v>251576</v>
      </c>
      <c r="G2111" t="s">
        <v>49</v>
      </c>
      <c r="K2111" t="s">
        <v>51</v>
      </c>
      <c r="L2111" t="s">
        <v>52</v>
      </c>
      <c r="M2111">
        <v>133989.12</v>
      </c>
      <c r="N2111">
        <v>473987.86</v>
      </c>
      <c r="O2111" t="s">
        <v>53</v>
      </c>
      <c r="P2111" t="s">
        <v>54</v>
      </c>
      <c r="Q2111" t="s">
        <v>55</v>
      </c>
      <c r="T2111" t="s">
        <v>660</v>
      </c>
      <c r="U2111">
        <v>40</v>
      </c>
      <c r="V2111" s="1">
        <v>31048</v>
      </c>
      <c r="W2111" s="1">
        <v>31048</v>
      </c>
      <c r="X2111" s="1">
        <v>31048</v>
      </c>
      <c r="Y2111" s="1">
        <v>45658</v>
      </c>
      <c r="Z2111" t="s">
        <v>51</v>
      </c>
      <c r="AB2111" t="s">
        <v>54</v>
      </c>
      <c r="AC2111">
        <v>1</v>
      </c>
      <c r="AE2111" t="s">
        <v>613</v>
      </c>
      <c r="AF2111">
        <v>20</v>
      </c>
      <c r="AG2111" s="1">
        <v>35796</v>
      </c>
      <c r="AH2111" s="1">
        <v>35796</v>
      </c>
      <c r="AI2111" s="1">
        <v>35796</v>
      </c>
      <c r="AJ2111" s="1">
        <v>43101</v>
      </c>
      <c r="AK2111" t="s">
        <v>51</v>
      </c>
      <c r="AN2111">
        <v>0</v>
      </c>
      <c r="AO2111" t="s">
        <v>54</v>
      </c>
      <c r="AP2111" t="s">
        <v>53</v>
      </c>
      <c r="AQ2111">
        <v>0</v>
      </c>
      <c r="AR2111" t="s">
        <v>53</v>
      </c>
      <c r="AS2111">
        <v>0</v>
      </c>
      <c r="AT2111">
        <v>0</v>
      </c>
      <c r="BK2111" t="s">
        <v>1031</v>
      </c>
      <c r="BL2111">
        <v>0</v>
      </c>
      <c r="BM2111" s="1">
        <v>44316</v>
      </c>
      <c r="BN2111" s="1">
        <v>44316</v>
      </c>
      <c r="BO2111" s="1">
        <v>44316</v>
      </c>
      <c r="BQ2111" t="s">
        <v>51</v>
      </c>
      <c r="BS2111" t="s">
        <v>60</v>
      </c>
      <c r="BT2111" t="s">
        <v>54</v>
      </c>
      <c r="BU2111" t="s">
        <v>362</v>
      </c>
      <c r="BX2111">
        <v>22</v>
      </c>
      <c r="BY2111">
        <v>0</v>
      </c>
      <c r="BZ2111">
        <v>0</v>
      </c>
    </row>
    <row r="2112" spans="1:99" x14ac:dyDescent="0.2">
      <c r="A2112" t="s">
        <v>1012</v>
      </c>
      <c r="B2112" t="s">
        <v>1013</v>
      </c>
      <c r="C2112" t="s">
        <v>1025</v>
      </c>
      <c r="D2112" t="s">
        <v>1029</v>
      </c>
      <c r="F2112" t="str">
        <f>"251577"</f>
        <v>251577</v>
      </c>
      <c r="G2112" t="s">
        <v>49</v>
      </c>
      <c r="K2112" t="s">
        <v>51</v>
      </c>
      <c r="L2112" t="s">
        <v>52</v>
      </c>
      <c r="M2112">
        <v>133984.51</v>
      </c>
      <c r="N2112">
        <v>474040.27</v>
      </c>
      <c r="O2112" t="s">
        <v>53</v>
      </c>
      <c r="P2112" t="s">
        <v>54</v>
      </c>
      <c r="Q2112" t="s">
        <v>55</v>
      </c>
      <c r="T2112" t="s">
        <v>660</v>
      </c>
      <c r="U2112">
        <v>40</v>
      </c>
      <c r="V2112" s="1">
        <v>44516</v>
      </c>
      <c r="W2112" s="1">
        <v>44516</v>
      </c>
      <c r="X2112" s="1">
        <v>44516</v>
      </c>
      <c r="Y2112" s="1">
        <v>59126</v>
      </c>
      <c r="Z2112" t="s">
        <v>51</v>
      </c>
      <c r="AB2112" t="s">
        <v>54</v>
      </c>
      <c r="AC2112">
        <v>1</v>
      </c>
      <c r="AE2112" t="s">
        <v>613</v>
      </c>
      <c r="AF2112">
        <v>20</v>
      </c>
      <c r="AG2112" s="1">
        <v>35796</v>
      </c>
      <c r="AH2112" s="1">
        <v>35796</v>
      </c>
      <c r="AI2112" s="1">
        <v>44516</v>
      </c>
      <c r="AJ2112" s="1">
        <v>43101</v>
      </c>
      <c r="AK2112" t="s">
        <v>51</v>
      </c>
      <c r="AN2112">
        <v>0</v>
      </c>
      <c r="AO2112" t="s">
        <v>54</v>
      </c>
      <c r="AP2112" t="s">
        <v>53</v>
      </c>
      <c r="AQ2112">
        <v>0</v>
      </c>
      <c r="AR2112" t="s">
        <v>53</v>
      </c>
      <c r="AS2112">
        <v>0</v>
      </c>
      <c r="AT2112">
        <v>0</v>
      </c>
      <c r="BK2112" t="s">
        <v>1031</v>
      </c>
      <c r="BL2112">
        <v>0</v>
      </c>
      <c r="BM2112" s="1">
        <v>44316</v>
      </c>
      <c r="BN2112" s="1">
        <v>44316</v>
      </c>
      <c r="BO2112" s="1">
        <v>44516</v>
      </c>
      <c r="BQ2112" t="s">
        <v>51</v>
      </c>
      <c r="BS2112" t="s">
        <v>60</v>
      </c>
      <c r="BT2112" t="s">
        <v>54</v>
      </c>
      <c r="BU2112" t="s">
        <v>362</v>
      </c>
      <c r="BX2112">
        <v>22</v>
      </c>
      <c r="BY2112">
        <v>0</v>
      </c>
      <c r="BZ2112">
        <v>0</v>
      </c>
    </row>
    <row r="2113" spans="1:78" x14ac:dyDescent="0.2">
      <c r="A2113" t="s">
        <v>1012</v>
      </c>
      <c r="B2113" t="s">
        <v>1013</v>
      </c>
      <c r="C2113" t="s">
        <v>1025</v>
      </c>
      <c r="D2113" t="s">
        <v>1029</v>
      </c>
      <c r="F2113" t="str">
        <f>"251578"</f>
        <v>251578</v>
      </c>
      <c r="G2113" t="s">
        <v>49</v>
      </c>
      <c r="K2113" t="s">
        <v>51</v>
      </c>
      <c r="L2113" t="s">
        <v>52</v>
      </c>
      <c r="M2113">
        <v>133979.78</v>
      </c>
      <c r="N2113">
        <v>474091.74</v>
      </c>
      <c r="O2113" t="s">
        <v>53</v>
      </c>
      <c r="P2113" t="s">
        <v>54</v>
      </c>
      <c r="Q2113" t="s">
        <v>55</v>
      </c>
      <c r="T2113" t="s">
        <v>660</v>
      </c>
      <c r="U2113">
        <v>40</v>
      </c>
      <c r="V2113" s="1">
        <v>31048</v>
      </c>
      <c r="W2113" s="1">
        <v>31048</v>
      </c>
      <c r="X2113" s="1">
        <v>31048</v>
      </c>
      <c r="Y2113" s="1">
        <v>45658</v>
      </c>
      <c r="Z2113" t="s">
        <v>51</v>
      </c>
      <c r="AB2113" t="s">
        <v>54</v>
      </c>
      <c r="AC2113">
        <v>1</v>
      </c>
      <c r="AE2113" t="s">
        <v>613</v>
      </c>
      <c r="AF2113">
        <v>20</v>
      </c>
      <c r="AG2113" s="1">
        <v>35796</v>
      </c>
      <c r="AH2113" s="1">
        <v>35796</v>
      </c>
      <c r="AI2113" s="1">
        <v>35796</v>
      </c>
      <c r="AJ2113" s="1">
        <v>43101</v>
      </c>
      <c r="AK2113" t="s">
        <v>51</v>
      </c>
      <c r="AN2113">
        <v>0</v>
      </c>
      <c r="AO2113" t="s">
        <v>54</v>
      </c>
      <c r="AP2113" t="s">
        <v>53</v>
      </c>
      <c r="AQ2113">
        <v>0</v>
      </c>
      <c r="AR2113" t="s">
        <v>53</v>
      </c>
      <c r="AS2113">
        <v>0</v>
      </c>
      <c r="AT2113">
        <v>0</v>
      </c>
      <c r="BK2113" t="s">
        <v>1031</v>
      </c>
      <c r="BL2113">
        <v>0</v>
      </c>
      <c r="BM2113" s="1">
        <v>44316</v>
      </c>
      <c r="BN2113" s="1">
        <v>44316</v>
      </c>
      <c r="BO2113" s="1">
        <v>44316</v>
      </c>
      <c r="BQ2113" t="s">
        <v>51</v>
      </c>
      <c r="BS2113" t="s">
        <v>60</v>
      </c>
      <c r="BT2113" t="s">
        <v>54</v>
      </c>
      <c r="BU2113" t="s">
        <v>362</v>
      </c>
      <c r="BX2113">
        <v>22</v>
      </c>
      <c r="BY2113">
        <v>0</v>
      </c>
      <c r="BZ2113">
        <v>0</v>
      </c>
    </row>
    <row r="2114" spans="1:78" x14ac:dyDescent="0.2">
      <c r="A2114" t="s">
        <v>1012</v>
      </c>
      <c r="B2114" t="s">
        <v>1013</v>
      </c>
      <c r="C2114" t="s">
        <v>1025</v>
      </c>
      <c r="D2114" t="s">
        <v>1029</v>
      </c>
      <c r="F2114" t="str">
        <f>"251579"</f>
        <v>251579</v>
      </c>
      <c r="G2114" t="s">
        <v>49</v>
      </c>
      <c r="K2114" t="s">
        <v>51</v>
      </c>
      <c r="L2114" t="s">
        <v>52</v>
      </c>
      <c r="M2114">
        <v>133975.12</v>
      </c>
      <c r="N2114">
        <v>474147.56</v>
      </c>
      <c r="O2114" t="s">
        <v>53</v>
      </c>
      <c r="P2114" t="s">
        <v>54</v>
      </c>
      <c r="Q2114" t="s">
        <v>55</v>
      </c>
      <c r="T2114" t="s">
        <v>660</v>
      </c>
      <c r="U2114">
        <v>40</v>
      </c>
      <c r="V2114" s="1">
        <v>31048</v>
      </c>
      <c r="W2114" s="1">
        <v>31048</v>
      </c>
      <c r="X2114" s="1">
        <v>31048</v>
      </c>
      <c r="Y2114" s="1">
        <v>45658</v>
      </c>
      <c r="Z2114" t="s">
        <v>51</v>
      </c>
      <c r="AB2114" t="s">
        <v>54</v>
      </c>
      <c r="AC2114">
        <v>1</v>
      </c>
      <c r="AE2114" t="s">
        <v>57</v>
      </c>
      <c r="AF2114">
        <v>20</v>
      </c>
      <c r="AG2114" s="1">
        <v>35796</v>
      </c>
      <c r="AH2114" s="1">
        <v>35796</v>
      </c>
      <c r="AI2114" s="1">
        <v>35796</v>
      </c>
      <c r="AJ2114" s="1">
        <v>43101</v>
      </c>
      <c r="AK2114" t="s">
        <v>51</v>
      </c>
      <c r="AN2114">
        <v>0</v>
      </c>
      <c r="AO2114" t="s">
        <v>54</v>
      </c>
      <c r="AP2114" t="s">
        <v>53</v>
      </c>
      <c r="AQ2114">
        <v>0</v>
      </c>
      <c r="AR2114" t="s">
        <v>53</v>
      </c>
      <c r="AS2114">
        <v>0</v>
      </c>
      <c r="AT2114">
        <v>0</v>
      </c>
      <c r="BK2114" t="s">
        <v>1031</v>
      </c>
      <c r="BL2114">
        <v>0</v>
      </c>
      <c r="BM2114" s="1">
        <v>44316</v>
      </c>
      <c r="BN2114" s="1">
        <v>44316</v>
      </c>
      <c r="BO2114" s="1">
        <v>44316</v>
      </c>
      <c r="BQ2114" t="s">
        <v>51</v>
      </c>
      <c r="BS2114" t="s">
        <v>60</v>
      </c>
      <c r="BT2114" t="s">
        <v>54</v>
      </c>
      <c r="BU2114" t="s">
        <v>362</v>
      </c>
      <c r="BX2114">
        <v>22</v>
      </c>
      <c r="BY2114">
        <v>0</v>
      </c>
      <c r="BZ2114">
        <v>0</v>
      </c>
    </row>
    <row r="2115" spans="1:78" x14ac:dyDescent="0.2">
      <c r="A2115" t="s">
        <v>1012</v>
      </c>
      <c r="B2115" t="s">
        <v>1013</v>
      </c>
      <c r="C2115" t="s">
        <v>1025</v>
      </c>
      <c r="D2115" t="s">
        <v>1029</v>
      </c>
      <c r="F2115" t="str">
        <f>"251580"</f>
        <v>251580</v>
      </c>
      <c r="G2115" t="s">
        <v>49</v>
      </c>
      <c r="H2115" t="s">
        <v>1036</v>
      </c>
      <c r="K2115" t="s">
        <v>51</v>
      </c>
      <c r="L2115" t="s">
        <v>52</v>
      </c>
      <c r="M2115">
        <v>133970.26999999999</v>
      </c>
      <c r="N2115">
        <v>474202</v>
      </c>
      <c r="O2115" t="s">
        <v>53</v>
      </c>
      <c r="P2115" t="s">
        <v>54</v>
      </c>
      <c r="Q2115" t="s">
        <v>55</v>
      </c>
      <c r="T2115" t="s">
        <v>660</v>
      </c>
      <c r="U2115">
        <v>40</v>
      </c>
      <c r="V2115" s="1">
        <v>31048</v>
      </c>
      <c r="W2115" s="1">
        <v>31048</v>
      </c>
      <c r="X2115" s="1">
        <v>31048</v>
      </c>
      <c r="Y2115" s="1">
        <v>45658</v>
      </c>
      <c r="Z2115" t="s">
        <v>51</v>
      </c>
      <c r="AB2115" t="s">
        <v>54</v>
      </c>
      <c r="AC2115">
        <v>1</v>
      </c>
      <c r="AE2115" t="s">
        <v>613</v>
      </c>
      <c r="AF2115">
        <v>20</v>
      </c>
      <c r="AG2115" s="1">
        <v>35796</v>
      </c>
      <c r="AH2115" s="1">
        <v>35796</v>
      </c>
      <c r="AI2115" s="1">
        <v>35796</v>
      </c>
      <c r="AJ2115" s="1">
        <v>43101</v>
      </c>
      <c r="AK2115" t="s">
        <v>51</v>
      </c>
      <c r="AN2115">
        <v>0</v>
      </c>
      <c r="AO2115" t="s">
        <v>54</v>
      </c>
      <c r="AP2115" t="s">
        <v>53</v>
      </c>
      <c r="AQ2115">
        <v>0</v>
      </c>
      <c r="AR2115" t="s">
        <v>53</v>
      </c>
      <c r="AS2115">
        <v>0</v>
      </c>
      <c r="AT2115">
        <v>0</v>
      </c>
      <c r="BK2115" t="s">
        <v>1031</v>
      </c>
      <c r="BL2115">
        <v>0</v>
      </c>
      <c r="BM2115" s="1">
        <v>44316</v>
      </c>
      <c r="BN2115" s="1">
        <v>44316</v>
      </c>
      <c r="BO2115" s="1">
        <v>44316</v>
      </c>
      <c r="BQ2115" t="s">
        <v>51</v>
      </c>
      <c r="BS2115" t="s">
        <v>60</v>
      </c>
      <c r="BT2115" t="s">
        <v>54</v>
      </c>
      <c r="BU2115" t="s">
        <v>362</v>
      </c>
      <c r="BX2115">
        <v>22</v>
      </c>
      <c r="BY2115">
        <v>0</v>
      </c>
      <c r="BZ2115">
        <v>0</v>
      </c>
    </row>
    <row r="2116" spans="1:78" x14ac:dyDescent="0.2">
      <c r="A2116" t="s">
        <v>1012</v>
      </c>
      <c r="B2116" t="s">
        <v>1013</v>
      </c>
      <c r="C2116" t="s">
        <v>1025</v>
      </c>
      <c r="D2116" t="s">
        <v>1029</v>
      </c>
      <c r="F2116" t="str">
        <f>"251581"</f>
        <v>251581</v>
      </c>
      <c r="G2116" t="s">
        <v>49</v>
      </c>
      <c r="H2116" t="s">
        <v>1037</v>
      </c>
      <c r="K2116" t="s">
        <v>51</v>
      </c>
      <c r="L2116" t="s">
        <v>52</v>
      </c>
      <c r="M2116">
        <v>133966.99</v>
      </c>
      <c r="N2116">
        <v>474239.51</v>
      </c>
      <c r="O2116" t="s">
        <v>53</v>
      </c>
      <c r="P2116" t="s">
        <v>54</v>
      </c>
      <c r="Q2116" t="s">
        <v>55</v>
      </c>
      <c r="T2116" t="s">
        <v>660</v>
      </c>
      <c r="U2116">
        <v>40</v>
      </c>
      <c r="V2116" s="1">
        <v>31048</v>
      </c>
      <c r="W2116" s="1">
        <v>31048</v>
      </c>
      <c r="X2116" s="1">
        <v>31048</v>
      </c>
      <c r="Y2116" s="1">
        <v>45658</v>
      </c>
      <c r="Z2116" t="s">
        <v>51</v>
      </c>
      <c r="AB2116" t="s">
        <v>54</v>
      </c>
      <c r="AC2116">
        <v>1</v>
      </c>
      <c r="AE2116" t="s">
        <v>613</v>
      </c>
      <c r="AF2116">
        <v>20</v>
      </c>
      <c r="AG2116" s="1">
        <v>35796</v>
      </c>
      <c r="AH2116" s="1">
        <v>35796</v>
      </c>
      <c r="AI2116" s="1">
        <v>35796</v>
      </c>
      <c r="AJ2116" s="1">
        <v>43101</v>
      </c>
      <c r="AK2116" t="s">
        <v>51</v>
      </c>
      <c r="AN2116">
        <v>0</v>
      </c>
      <c r="AO2116" t="s">
        <v>54</v>
      </c>
      <c r="AP2116" t="s">
        <v>53</v>
      </c>
      <c r="AQ2116">
        <v>0</v>
      </c>
      <c r="AR2116" t="s">
        <v>53</v>
      </c>
      <c r="AS2116">
        <v>0</v>
      </c>
      <c r="AT2116">
        <v>0</v>
      </c>
      <c r="BK2116" t="s">
        <v>1031</v>
      </c>
      <c r="BL2116">
        <v>0</v>
      </c>
      <c r="BM2116" s="1">
        <v>44316</v>
      </c>
      <c r="BN2116" s="1">
        <v>44316</v>
      </c>
      <c r="BO2116" s="1">
        <v>44316</v>
      </c>
      <c r="BQ2116" t="s">
        <v>51</v>
      </c>
      <c r="BS2116" t="s">
        <v>60</v>
      </c>
      <c r="BT2116" t="s">
        <v>54</v>
      </c>
      <c r="BU2116" t="s">
        <v>362</v>
      </c>
      <c r="BX2116">
        <v>22</v>
      </c>
      <c r="BY2116">
        <v>0</v>
      </c>
      <c r="BZ2116">
        <v>0</v>
      </c>
    </row>
    <row r="2117" spans="1:78" x14ac:dyDescent="0.2">
      <c r="A2117" t="s">
        <v>1012</v>
      </c>
      <c r="B2117" t="s">
        <v>1013</v>
      </c>
      <c r="C2117" t="s">
        <v>1025</v>
      </c>
      <c r="D2117" t="s">
        <v>1029</v>
      </c>
      <c r="F2117" t="str">
        <f>"251582"</f>
        <v>251582</v>
      </c>
      <c r="G2117" t="s">
        <v>49</v>
      </c>
      <c r="H2117" t="s">
        <v>1037</v>
      </c>
      <c r="K2117" t="s">
        <v>51</v>
      </c>
      <c r="L2117" t="s">
        <v>52</v>
      </c>
      <c r="M2117">
        <v>133963.4</v>
      </c>
      <c r="N2117">
        <v>474277.04</v>
      </c>
      <c r="O2117" t="s">
        <v>53</v>
      </c>
      <c r="P2117" t="s">
        <v>54</v>
      </c>
      <c r="Q2117" t="s">
        <v>55</v>
      </c>
      <c r="T2117" t="s">
        <v>466</v>
      </c>
      <c r="U2117">
        <v>40</v>
      </c>
      <c r="V2117" s="1">
        <v>31048</v>
      </c>
      <c r="W2117" s="1">
        <v>31048</v>
      </c>
      <c r="X2117" s="1">
        <v>31048</v>
      </c>
      <c r="Y2117" s="1">
        <v>45658</v>
      </c>
      <c r="Z2117" t="s">
        <v>51</v>
      </c>
      <c r="AB2117" t="s">
        <v>54</v>
      </c>
      <c r="AC2117">
        <v>1</v>
      </c>
      <c r="AE2117" t="s">
        <v>57</v>
      </c>
      <c r="AF2117">
        <v>20</v>
      </c>
      <c r="AG2117" s="1">
        <v>35796</v>
      </c>
      <c r="AH2117" s="1">
        <v>35796</v>
      </c>
      <c r="AI2117" s="1">
        <v>35796</v>
      </c>
      <c r="AJ2117" s="1">
        <v>43101</v>
      </c>
      <c r="AK2117" t="s">
        <v>51</v>
      </c>
      <c r="AN2117">
        <v>0</v>
      </c>
      <c r="AO2117" t="s">
        <v>54</v>
      </c>
      <c r="AP2117" t="s">
        <v>53</v>
      </c>
      <c r="AQ2117">
        <v>0</v>
      </c>
      <c r="AR2117" t="s">
        <v>53</v>
      </c>
      <c r="AS2117">
        <v>0</v>
      </c>
      <c r="AT2117">
        <v>0</v>
      </c>
      <c r="BK2117" t="s">
        <v>1031</v>
      </c>
      <c r="BL2117">
        <v>0</v>
      </c>
      <c r="BM2117" s="1">
        <v>44316</v>
      </c>
      <c r="BN2117" s="1">
        <v>44316</v>
      </c>
      <c r="BO2117" s="1">
        <v>44316</v>
      </c>
      <c r="BQ2117" t="s">
        <v>51</v>
      </c>
      <c r="BS2117" t="s">
        <v>60</v>
      </c>
      <c r="BT2117" t="s">
        <v>54</v>
      </c>
      <c r="BU2117" t="s">
        <v>362</v>
      </c>
      <c r="BX2117">
        <v>22</v>
      </c>
      <c r="BY2117">
        <v>0</v>
      </c>
      <c r="BZ2117">
        <v>0</v>
      </c>
    </row>
    <row r="2118" spans="1:78" x14ac:dyDescent="0.2">
      <c r="A2118" t="s">
        <v>1012</v>
      </c>
      <c r="B2118" t="s">
        <v>1013</v>
      </c>
      <c r="C2118" t="s">
        <v>1025</v>
      </c>
      <c r="D2118" t="s">
        <v>1029</v>
      </c>
      <c r="F2118" t="str">
        <f>"251583"</f>
        <v>251583</v>
      </c>
      <c r="G2118" t="s">
        <v>49</v>
      </c>
      <c r="H2118" t="s">
        <v>1038</v>
      </c>
      <c r="K2118" t="s">
        <v>51</v>
      </c>
      <c r="L2118" t="s">
        <v>52</v>
      </c>
      <c r="M2118">
        <v>133958.39000000001</v>
      </c>
      <c r="N2118">
        <v>474336.8</v>
      </c>
      <c r="O2118" t="s">
        <v>53</v>
      </c>
      <c r="P2118" t="s">
        <v>54</v>
      </c>
      <c r="Q2118" t="s">
        <v>55</v>
      </c>
      <c r="T2118" t="s">
        <v>660</v>
      </c>
      <c r="U2118">
        <v>40</v>
      </c>
      <c r="V2118" s="1">
        <v>31048</v>
      </c>
      <c r="W2118" s="1">
        <v>31048</v>
      </c>
      <c r="X2118" s="1">
        <v>31048</v>
      </c>
      <c r="Y2118" s="1">
        <v>45658</v>
      </c>
      <c r="Z2118" t="s">
        <v>51</v>
      </c>
      <c r="AB2118" t="s">
        <v>54</v>
      </c>
      <c r="AC2118">
        <v>1</v>
      </c>
      <c r="AE2118" t="s">
        <v>613</v>
      </c>
      <c r="AF2118">
        <v>20</v>
      </c>
      <c r="AG2118" s="1">
        <v>35796</v>
      </c>
      <c r="AH2118" s="1">
        <v>35796</v>
      </c>
      <c r="AI2118" s="1">
        <v>35796</v>
      </c>
      <c r="AJ2118" s="1">
        <v>43101</v>
      </c>
      <c r="AK2118" t="s">
        <v>51</v>
      </c>
      <c r="AN2118">
        <v>0</v>
      </c>
      <c r="AO2118" t="s">
        <v>54</v>
      </c>
      <c r="AP2118" t="s">
        <v>53</v>
      </c>
      <c r="AQ2118">
        <v>0</v>
      </c>
      <c r="AR2118" t="s">
        <v>53</v>
      </c>
      <c r="AS2118">
        <v>0</v>
      </c>
      <c r="AT2118">
        <v>0</v>
      </c>
      <c r="BK2118" t="s">
        <v>1031</v>
      </c>
      <c r="BL2118">
        <v>0</v>
      </c>
      <c r="BM2118" s="1">
        <v>44316</v>
      </c>
      <c r="BN2118" s="1">
        <v>44316</v>
      </c>
      <c r="BO2118" s="1">
        <v>44316</v>
      </c>
      <c r="BQ2118" t="s">
        <v>51</v>
      </c>
      <c r="BS2118" t="s">
        <v>60</v>
      </c>
      <c r="BT2118" t="s">
        <v>54</v>
      </c>
      <c r="BU2118" t="s">
        <v>362</v>
      </c>
      <c r="BX2118">
        <v>22</v>
      </c>
      <c r="BY2118">
        <v>0</v>
      </c>
      <c r="BZ2118">
        <v>0</v>
      </c>
    </row>
    <row r="2119" spans="1:78" x14ac:dyDescent="0.2">
      <c r="A2119" t="s">
        <v>1012</v>
      </c>
      <c r="B2119" t="s">
        <v>1013</v>
      </c>
      <c r="C2119" t="s">
        <v>1025</v>
      </c>
      <c r="D2119" t="s">
        <v>1029</v>
      </c>
      <c r="F2119" t="str">
        <f>"251584"</f>
        <v>251584</v>
      </c>
      <c r="G2119" t="s">
        <v>49</v>
      </c>
      <c r="H2119" t="s">
        <v>1039</v>
      </c>
      <c r="K2119" t="s">
        <v>51</v>
      </c>
      <c r="L2119" t="s">
        <v>52</v>
      </c>
      <c r="M2119">
        <v>133954.23000000001</v>
      </c>
      <c r="N2119">
        <v>474383.39</v>
      </c>
      <c r="O2119" t="s">
        <v>53</v>
      </c>
      <c r="P2119" t="s">
        <v>54</v>
      </c>
      <c r="Q2119" t="s">
        <v>55</v>
      </c>
      <c r="T2119" t="s">
        <v>660</v>
      </c>
      <c r="U2119">
        <v>40</v>
      </c>
      <c r="V2119" s="1">
        <v>31048</v>
      </c>
      <c r="W2119" s="1">
        <v>31048</v>
      </c>
      <c r="X2119" s="1">
        <v>31048</v>
      </c>
      <c r="Y2119" s="1">
        <v>45658</v>
      </c>
      <c r="Z2119" t="s">
        <v>51</v>
      </c>
      <c r="AB2119" t="s">
        <v>54</v>
      </c>
      <c r="AC2119">
        <v>1</v>
      </c>
      <c r="AE2119" t="s">
        <v>613</v>
      </c>
      <c r="AF2119">
        <v>20</v>
      </c>
      <c r="AG2119" s="1">
        <v>35796</v>
      </c>
      <c r="AH2119" s="1">
        <v>35796</v>
      </c>
      <c r="AI2119" s="1">
        <v>35796</v>
      </c>
      <c r="AJ2119" s="1">
        <v>43101</v>
      </c>
      <c r="AK2119" t="s">
        <v>51</v>
      </c>
      <c r="AN2119">
        <v>0</v>
      </c>
      <c r="AO2119" t="s">
        <v>54</v>
      </c>
      <c r="AP2119" t="s">
        <v>53</v>
      </c>
      <c r="AQ2119">
        <v>0</v>
      </c>
      <c r="AR2119" t="s">
        <v>53</v>
      </c>
      <c r="AS2119">
        <v>0</v>
      </c>
      <c r="AT2119">
        <v>0</v>
      </c>
      <c r="BK2119" t="s">
        <v>1031</v>
      </c>
      <c r="BL2119">
        <v>0</v>
      </c>
      <c r="BM2119" s="1">
        <v>44316</v>
      </c>
      <c r="BN2119" s="1">
        <v>44316</v>
      </c>
      <c r="BO2119" s="1">
        <v>44316</v>
      </c>
      <c r="BQ2119" t="s">
        <v>51</v>
      </c>
      <c r="BS2119" t="s">
        <v>60</v>
      </c>
      <c r="BT2119" t="s">
        <v>54</v>
      </c>
      <c r="BU2119" t="s">
        <v>362</v>
      </c>
      <c r="BX2119">
        <v>22</v>
      </c>
      <c r="BY2119">
        <v>0</v>
      </c>
      <c r="BZ2119">
        <v>0</v>
      </c>
    </row>
    <row r="2120" spans="1:78" x14ac:dyDescent="0.2">
      <c r="A2120" t="s">
        <v>1012</v>
      </c>
      <c r="B2120" t="s">
        <v>1013</v>
      </c>
      <c r="C2120" t="s">
        <v>1025</v>
      </c>
      <c r="D2120" t="s">
        <v>1029</v>
      </c>
      <c r="F2120" t="str">
        <f>"251585"</f>
        <v>251585</v>
      </c>
      <c r="G2120" t="s">
        <v>49</v>
      </c>
      <c r="H2120" t="s">
        <v>108</v>
      </c>
      <c r="K2120" t="s">
        <v>51</v>
      </c>
      <c r="L2120" t="s">
        <v>52</v>
      </c>
      <c r="M2120">
        <v>133946.01</v>
      </c>
      <c r="N2120">
        <v>474477.22</v>
      </c>
      <c r="O2120" t="s">
        <v>53</v>
      </c>
      <c r="P2120" t="s">
        <v>54</v>
      </c>
      <c r="Q2120" t="s">
        <v>55</v>
      </c>
      <c r="T2120" t="s">
        <v>660</v>
      </c>
      <c r="U2120">
        <v>40</v>
      </c>
      <c r="V2120" s="1">
        <v>31048</v>
      </c>
      <c r="W2120" s="1">
        <v>31048</v>
      </c>
      <c r="X2120" s="1">
        <v>31048</v>
      </c>
      <c r="Y2120" s="1">
        <v>45658</v>
      </c>
      <c r="Z2120" t="s">
        <v>51</v>
      </c>
      <c r="AB2120" t="s">
        <v>54</v>
      </c>
      <c r="AC2120">
        <v>1</v>
      </c>
      <c r="AE2120" t="s">
        <v>613</v>
      </c>
      <c r="AF2120">
        <v>20</v>
      </c>
      <c r="AG2120" s="1">
        <v>35796</v>
      </c>
      <c r="AH2120" s="1">
        <v>35796</v>
      </c>
      <c r="AI2120" s="1">
        <v>35796</v>
      </c>
      <c r="AJ2120" s="1">
        <v>43101</v>
      </c>
      <c r="AK2120" t="s">
        <v>51</v>
      </c>
      <c r="AN2120">
        <v>0</v>
      </c>
      <c r="AO2120" t="s">
        <v>54</v>
      </c>
      <c r="AP2120" t="s">
        <v>53</v>
      </c>
      <c r="AQ2120">
        <v>0</v>
      </c>
      <c r="AR2120" t="s">
        <v>53</v>
      </c>
      <c r="AS2120">
        <v>0</v>
      </c>
      <c r="AT2120">
        <v>0</v>
      </c>
      <c r="BK2120" t="s">
        <v>1031</v>
      </c>
      <c r="BL2120">
        <v>0</v>
      </c>
      <c r="BM2120" s="1">
        <v>44316</v>
      </c>
      <c r="BN2120" s="1">
        <v>44316</v>
      </c>
      <c r="BO2120" s="1">
        <v>44316</v>
      </c>
      <c r="BQ2120" t="s">
        <v>51</v>
      </c>
      <c r="BS2120" t="s">
        <v>60</v>
      </c>
      <c r="BT2120" t="s">
        <v>54</v>
      </c>
      <c r="BU2120" t="s">
        <v>362</v>
      </c>
      <c r="BX2120">
        <v>22</v>
      </c>
      <c r="BY2120">
        <v>0</v>
      </c>
      <c r="BZ2120">
        <v>0</v>
      </c>
    </row>
    <row r="2121" spans="1:78" x14ac:dyDescent="0.2">
      <c r="A2121" t="s">
        <v>1012</v>
      </c>
      <c r="B2121" t="s">
        <v>1013</v>
      </c>
      <c r="C2121" t="s">
        <v>1025</v>
      </c>
      <c r="D2121" t="s">
        <v>1029</v>
      </c>
      <c r="F2121" t="str">
        <f>"251586"</f>
        <v>251586</v>
      </c>
      <c r="G2121" t="s">
        <v>49</v>
      </c>
      <c r="H2121" t="s">
        <v>1040</v>
      </c>
      <c r="K2121" t="s">
        <v>51</v>
      </c>
      <c r="L2121" t="s">
        <v>52</v>
      </c>
      <c r="M2121">
        <v>133936.54999999999</v>
      </c>
      <c r="N2121">
        <v>474582.89</v>
      </c>
      <c r="O2121" t="s">
        <v>53</v>
      </c>
      <c r="P2121" t="s">
        <v>54</v>
      </c>
      <c r="Q2121" t="s">
        <v>55</v>
      </c>
      <c r="T2121" t="s">
        <v>660</v>
      </c>
      <c r="U2121">
        <v>40</v>
      </c>
      <c r="V2121" s="1">
        <v>31048</v>
      </c>
      <c r="W2121" s="1">
        <v>31048</v>
      </c>
      <c r="X2121" s="1">
        <v>31048</v>
      </c>
      <c r="Y2121" s="1">
        <v>45658</v>
      </c>
      <c r="Z2121" t="s">
        <v>51</v>
      </c>
      <c r="AB2121" t="s">
        <v>54</v>
      </c>
      <c r="AC2121">
        <v>1</v>
      </c>
      <c r="AE2121" t="s">
        <v>613</v>
      </c>
      <c r="AF2121">
        <v>20</v>
      </c>
      <c r="AG2121" s="1">
        <v>35796</v>
      </c>
      <c r="AH2121" s="1">
        <v>35796</v>
      </c>
      <c r="AI2121" s="1">
        <v>35796</v>
      </c>
      <c r="AJ2121" s="1">
        <v>43101</v>
      </c>
      <c r="AK2121" t="s">
        <v>51</v>
      </c>
      <c r="AN2121">
        <v>0</v>
      </c>
      <c r="AO2121" t="s">
        <v>54</v>
      </c>
      <c r="AP2121" t="s">
        <v>53</v>
      </c>
      <c r="AQ2121">
        <v>0</v>
      </c>
      <c r="AR2121" t="s">
        <v>53</v>
      </c>
      <c r="AS2121">
        <v>0</v>
      </c>
      <c r="AT2121">
        <v>0</v>
      </c>
      <c r="BK2121" t="s">
        <v>1041</v>
      </c>
      <c r="BL2121">
        <v>85000</v>
      </c>
      <c r="BM2121" s="1">
        <v>44865</v>
      </c>
      <c r="BN2121" s="1">
        <v>44865</v>
      </c>
      <c r="BO2121" s="1">
        <v>44865</v>
      </c>
      <c r="BP2121" s="1">
        <v>52030</v>
      </c>
      <c r="BQ2121" t="s">
        <v>51</v>
      </c>
      <c r="BS2121" t="s">
        <v>60</v>
      </c>
      <c r="BT2121" t="s">
        <v>54</v>
      </c>
      <c r="BU2121" t="s">
        <v>72</v>
      </c>
      <c r="BX2121">
        <v>0</v>
      </c>
      <c r="BY2121">
        <v>0</v>
      </c>
      <c r="BZ2121">
        <v>0</v>
      </c>
    </row>
    <row r="2122" spans="1:78" x14ac:dyDescent="0.2">
      <c r="A2122" t="s">
        <v>1012</v>
      </c>
      <c r="B2122" t="s">
        <v>1013</v>
      </c>
      <c r="C2122" t="s">
        <v>1025</v>
      </c>
      <c r="D2122" t="s">
        <v>1029</v>
      </c>
      <c r="F2122" t="str">
        <f>"251587"</f>
        <v>251587</v>
      </c>
      <c r="G2122" t="s">
        <v>49</v>
      </c>
      <c r="H2122" t="s">
        <v>1042</v>
      </c>
      <c r="K2122" t="s">
        <v>51</v>
      </c>
      <c r="L2122" t="s">
        <v>52</v>
      </c>
      <c r="M2122">
        <v>133928.68</v>
      </c>
      <c r="N2122">
        <v>474671.9</v>
      </c>
      <c r="O2122" t="s">
        <v>53</v>
      </c>
      <c r="P2122" t="s">
        <v>54</v>
      </c>
      <c r="Q2122" t="s">
        <v>55</v>
      </c>
      <c r="T2122" t="s">
        <v>660</v>
      </c>
      <c r="U2122">
        <v>40</v>
      </c>
      <c r="V2122" s="1">
        <v>31048</v>
      </c>
      <c r="W2122" s="1">
        <v>31048</v>
      </c>
      <c r="X2122" s="1">
        <v>31048</v>
      </c>
      <c r="Y2122" s="1">
        <v>45658</v>
      </c>
      <c r="Z2122" t="s">
        <v>51</v>
      </c>
      <c r="AB2122" t="s">
        <v>54</v>
      </c>
      <c r="AC2122">
        <v>1</v>
      </c>
      <c r="AE2122" t="s">
        <v>57</v>
      </c>
      <c r="AF2122">
        <v>20</v>
      </c>
      <c r="AG2122" s="1">
        <v>35796</v>
      </c>
      <c r="AH2122" s="1">
        <v>35796</v>
      </c>
      <c r="AI2122" s="1">
        <v>35796</v>
      </c>
      <c r="AJ2122" s="1">
        <v>43101</v>
      </c>
      <c r="AK2122" t="s">
        <v>51</v>
      </c>
      <c r="AN2122">
        <v>0</v>
      </c>
      <c r="AO2122" t="s">
        <v>54</v>
      </c>
      <c r="AP2122" t="s">
        <v>53</v>
      </c>
      <c r="AQ2122">
        <v>0</v>
      </c>
      <c r="AR2122" t="s">
        <v>53</v>
      </c>
      <c r="AS2122">
        <v>0</v>
      </c>
      <c r="AT2122">
        <v>0</v>
      </c>
      <c r="BK2122" t="s">
        <v>1031</v>
      </c>
      <c r="BL2122">
        <v>0</v>
      </c>
      <c r="BM2122" s="1">
        <v>44316</v>
      </c>
      <c r="BN2122" s="1">
        <v>44316</v>
      </c>
      <c r="BO2122" s="1">
        <v>44316</v>
      </c>
      <c r="BQ2122" t="s">
        <v>51</v>
      </c>
      <c r="BS2122" t="s">
        <v>60</v>
      </c>
      <c r="BT2122" t="s">
        <v>54</v>
      </c>
      <c r="BU2122" t="s">
        <v>362</v>
      </c>
      <c r="BX2122">
        <v>22</v>
      </c>
      <c r="BY2122">
        <v>0</v>
      </c>
      <c r="BZ2122">
        <v>0</v>
      </c>
    </row>
    <row r="2123" spans="1:78" x14ac:dyDescent="0.2">
      <c r="A2123" t="s">
        <v>1012</v>
      </c>
      <c r="B2123" t="s">
        <v>1013</v>
      </c>
      <c r="C2123" t="s">
        <v>1025</v>
      </c>
      <c r="D2123" t="s">
        <v>1029</v>
      </c>
      <c r="F2123" t="str">
        <f>"251588"</f>
        <v>251588</v>
      </c>
      <c r="G2123" t="s">
        <v>49</v>
      </c>
      <c r="H2123" t="s">
        <v>1043</v>
      </c>
      <c r="K2123" t="s">
        <v>51</v>
      </c>
      <c r="L2123" t="s">
        <v>52</v>
      </c>
      <c r="M2123">
        <v>133919.07999999999</v>
      </c>
      <c r="N2123">
        <v>474762.89</v>
      </c>
      <c r="O2123" t="s">
        <v>53</v>
      </c>
      <c r="P2123" t="s">
        <v>54</v>
      </c>
      <c r="Q2123" t="s">
        <v>55</v>
      </c>
      <c r="T2123" t="s">
        <v>1044</v>
      </c>
      <c r="U2123">
        <v>40</v>
      </c>
      <c r="V2123" s="1">
        <v>31048</v>
      </c>
      <c r="W2123" s="1">
        <v>31048</v>
      </c>
      <c r="X2123" s="1">
        <v>31048</v>
      </c>
      <c r="Y2123" s="1">
        <v>45658</v>
      </c>
      <c r="Z2123" t="s">
        <v>51</v>
      </c>
      <c r="AB2123" t="s">
        <v>54</v>
      </c>
      <c r="AC2123">
        <v>1</v>
      </c>
      <c r="AE2123" t="s">
        <v>613</v>
      </c>
      <c r="AF2123">
        <v>20</v>
      </c>
      <c r="AG2123" s="1">
        <v>35796</v>
      </c>
      <c r="AH2123" s="1">
        <v>35796</v>
      </c>
      <c r="AI2123" s="1">
        <v>35796</v>
      </c>
      <c r="AJ2123" s="1">
        <v>43101</v>
      </c>
      <c r="AK2123" t="s">
        <v>51</v>
      </c>
      <c r="AN2123">
        <v>0</v>
      </c>
      <c r="AO2123" t="s">
        <v>54</v>
      </c>
      <c r="AP2123" t="s">
        <v>53</v>
      </c>
      <c r="AQ2123">
        <v>0</v>
      </c>
      <c r="AR2123" t="s">
        <v>53</v>
      </c>
      <c r="AS2123">
        <v>0</v>
      </c>
      <c r="AT2123">
        <v>0</v>
      </c>
      <c r="BK2123" t="s">
        <v>1031</v>
      </c>
      <c r="BL2123">
        <v>0</v>
      </c>
      <c r="BM2123" s="1">
        <v>44316</v>
      </c>
      <c r="BN2123" s="1">
        <v>44316</v>
      </c>
      <c r="BO2123" s="1">
        <v>44316</v>
      </c>
      <c r="BQ2123" t="s">
        <v>51</v>
      </c>
      <c r="BS2123" t="s">
        <v>60</v>
      </c>
      <c r="BT2123" t="s">
        <v>54</v>
      </c>
      <c r="BU2123" t="s">
        <v>362</v>
      </c>
      <c r="BX2123">
        <v>22</v>
      </c>
      <c r="BY2123">
        <v>0</v>
      </c>
      <c r="BZ2123">
        <v>0</v>
      </c>
    </row>
    <row r="2124" spans="1:78" x14ac:dyDescent="0.2">
      <c r="A2124" t="s">
        <v>1012</v>
      </c>
      <c r="B2124" t="s">
        <v>1013</v>
      </c>
      <c r="C2124" t="s">
        <v>1025</v>
      </c>
      <c r="D2124" t="s">
        <v>1045</v>
      </c>
      <c r="F2124" t="str">
        <f>"251589"</f>
        <v>251589</v>
      </c>
      <c r="G2124" t="s">
        <v>49</v>
      </c>
      <c r="H2124" t="s">
        <v>1046</v>
      </c>
      <c r="K2124" t="s">
        <v>51</v>
      </c>
      <c r="L2124" t="s">
        <v>52</v>
      </c>
      <c r="M2124">
        <v>133854.14000000001</v>
      </c>
      <c r="N2124">
        <v>474268.03</v>
      </c>
      <c r="O2124" t="s">
        <v>53</v>
      </c>
      <c r="P2124" t="s">
        <v>54</v>
      </c>
      <c r="Q2124" t="s">
        <v>55</v>
      </c>
      <c r="T2124" t="s">
        <v>660</v>
      </c>
      <c r="U2124">
        <v>40</v>
      </c>
      <c r="V2124" s="1">
        <v>25569</v>
      </c>
      <c r="W2124" s="1">
        <v>25569</v>
      </c>
      <c r="X2124" s="1">
        <v>25569</v>
      </c>
      <c r="Y2124" s="1">
        <v>40179</v>
      </c>
      <c r="Z2124" t="s">
        <v>51</v>
      </c>
      <c r="AB2124" t="s">
        <v>54</v>
      </c>
      <c r="AC2124">
        <v>1</v>
      </c>
      <c r="AE2124" t="s">
        <v>613</v>
      </c>
      <c r="AF2124">
        <v>20</v>
      </c>
      <c r="AG2124" s="1">
        <v>34700</v>
      </c>
      <c r="AH2124" s="1">
        <v>34700</v>
      </c>
      <c r="AI2124" s="1">
        <v>34700</v>
      </c>
      <c r="AJ2124" s="1">
        <v>42005</v>
      </c>
      <c r="AK2124" t="s">
        <v>51</v>
      </c>
      <c r="AN2124">
        <v>0</v>
      </c>
      <c r="AO2124" t="s">
        <v>54</v>
      </c>
      <c r="AP2124" t="s">
        <v>53</v>
      </c>
      <c r="AQ2124">
        <v>0</v>
      </c>
      <c r="AR2124" t="s">
        <v>53</v>
      </c>
      <c r="AS2124">
        <v>0</v>
      </c>
      <c r="AT2124">
        <v>0</v>
      </c>
      <c r="BK2124" t="s">
        <v>1031</v>
      </c>
      <c r="BL2124">
        <v>0</v>
      </c>
      <c r="BM2124" s="1">
        <v>43831</v>
      </c>
      <c r="BN2124" s="1">
        <v>43831</v>
      </c>
      <c r="BO2124" s="1">
        <v>43831</v>
      </c>
      <c r="BQ2124" t="s">
        <v>51</v>
      </c>
      <c r="BS2124" t="s">
        <v>60</v>
      </c>
      <c r="BT2124" t="s">
        <v>54</v>
      </c>
      <c r="BU2124" t="s">
        <v>362</v>
      </c>
      <c r="BX2124">
        <v>22</v>
      </c>
      <c r="BY2124">
        <v>0</v>
      </c>
      <c r="BZ2124">
        <v>0</v>
      </c>
    </row>
    <row r="2125" spans="1:78" x14ac:dyDescent="0.2">
      <c r="A2125" t="s">
        <v>1012</v>
      </c>
      <c r="B2125" t="s">
        <v>1013</v>
      </c>
      <c r="C2125" t="s">
        <v>1025</v>
      </c>
      <c r="D2125" t="s">
        <v>1045</v>
      </c>
      <c r="F2125" t="str">
        <f>"251590"</f>
        <v>251590</v>
      </c>
      <c r="G2125" t="s">
        <v>49</v>
      </c>
      <c r="H2125" t="s">
        <v>1047</v>
      </c>
      <c r="K2125" t="s">
        <v>51</v>
      </c>
      <c r="L2125" t="s">
        <v>52</v>
      </c>
      <c r="M2125">
        <v>133756.42000000001</v>
      </c>
      <c r="N2125">
        <v>474257.97</v>
      </c>
      <c r="O2125" t="s">
        <v>53</v>
      </c>
      <c r="P2125" t="s">
        <v>54</v>
      </c>
      <c r="Q2125" t="s">
        <v>55</v>
      </c>
      <c r="T2125" t="s">
        <v>660</v>
      </c>
      <c r="U2125">
        <v>40</v>
      </c>
      <c r="V2125" s="1">
        <v>25569</v>
      </c>
      <c r="W2125" s="1">
        <v>25569</v>
      </c>
      <c r="X2125" s="1">
        <v>25569</v>
      </c>
      <c r="Y2125" s="1">
        <v>40179</v>
      </c>
      <c r="Z2125" t="s">
        <v>51</v>
      </c>
      <c r="AB2125" t="s">
        <v>54</v>
      </c>
      <c r="AC2125">
        <v>1</v>
      </c>
      <c r="AE2125" t="s">
        <v>613</v>
      </c>
      <c r="AF2125">
        <v>20</v>
      </c>
      <c r="AG2125" s="1">
        <v>34700</v>
      </c>
      <c r="AH2125" s="1">
        <v>34700</v>
      </c>
      <c r="AI2125" s="1">
        <v>34700</v>
      </c>
      <c r="AJ2125" s="1">
        <v>42005</v>
      </c>
      <c r="AK2125" t="s">
        <v>51</v>
      </c>
      <c r="AN2125">
        <v>0</v>
      </c>
      <c r="AO2125" t="s">
        <v>54</v>
      </c>
      <c r="AP2125" t="s">
        <v>53</v>
      </c>
      <c r="AQ2125">
        <v>0</v>
      </c>
      <c r="AR2125" t="s">
        <v>53</v>
      </c>
      <c r="AS2125">
        <v>0</v>
      </c>
      <c r="AT2125">
        <v>0</v>
      </c>
      <c r="BK2125" t="s">
        <v>1031</v>
      </c>
      <c r="BL2125">
        <v>0</v>
      </c>
      <c r="BM2125" s="1">
        <v>43831</v>
      </c>
      <c r="BN2125" s="1">
        <v>43831</v>
      </c>
      <c r="BO2125" s="1">
        <v>43831</v>
      </c>
      <c r="BQ2125" t="s">
        <v>51</v>
      </c>
      <c r="BS2125" t="s">
        <v>60</v>
      </c>
      <c r="BT2125" t="s">
        <v>54</v>
      </c>
      <c r="BU2125" t="s">
        <v>362</v>
      </c>
      <c r="BX2125">
        <v>22</v>
      </c>
      <c r="BY2125">
        <v>0</v>
      </c>
      <c r="BZ2125">
        <v>0</v>
      </c>
    </row>
    <row r="2126" spans="1:78" x14ac:dyDescent="0.2">
      <c r="A2126" t="s">
        <v>1012</v>
      </c>
      <c r="B2126" t="s">
        <v>1013</v>
      </c>
      <c r="C2126" t="s">
        <v>1025</v>
      </c>
      <c r="D2126" t="s">
        <v>1045</v>
      </c>
      <c r="F2126" t="str">
        <f>"251591"</f>
        <v>251591</v>
      </c>
      <c r="G2126" t="s">
        <v>49</v>
      </c>
      <c r="K2126" t="s">
        <v>51</v>
      </c>
      <c r="L2126" t="s">
        <v>52</v>
      </c>
      <c r="M2126">
        <v>133659.42499999999</v>
      </c>
      <c r="N2126">
        <v>474247.04800000001</v>
      </c>
      <c r="O2126" t="s">
        <v>53</v>
      </c>
      <c r="P2126" t="s">
        <v>54</v>
      </c>
      <c r="Q2126" t="s">
        <v>55</v>
      </c>
      <c r="T2126" t="s">
        <v>660</v>
      </c>
      <c r="U2126">
        <v>40</v>
      </c>
      <c r="V2126" s="1">
        <v>25569</v>
      </c>
      <c r="W2126" s="1">
        <v>25569</v>
      </c>
      <c r="X2126" s="1">
        <v>25569</v>
      </c>
      <c r="Y2126" s="1">
        <v>40179</v>
      </c>
      <c r="Z2126" t="s">
        <v>51</v>
      </c>
      <c r="AB2126" t="s">
        <v>54</v>
      </c>
      <c r="AC2126">
        <v>1</v>
      </c>
      <c r="AE2126" t="s">
        <v>613</v>
      </c>
      <c r="AF2126">
        <v>20</v>
      </c>
      <c r="AG2126" s="1">
        <v>34700</v>
      </c>
      <c r="AH2126" s="1">
        <v>34700</v>
      </c>
      <c r="AI2126" s="1">
        <v>34700</v>
      </c>
      <c r="AJ2126" s="1">
        <v>42005</v>
      </c>
      <c r="AK2126" t="s">
        <v>51</v>
      </c>
      <c r="AN2126">
        <v>0</v>
      </c>
      <c r="AO2126" t="s">
        <v>54</v>
      </c>
      <c r="AP2126" t="s">
        <v>53</v>
      </c>
      <c r="AQ2126">
        <v>0</v>
      </c>
      <c r="AR2126" t="s">
        <v>53</v>
      </c>
      <c r="AS2126">
        <v>0</v>
      </c>
      <c r="AT2126">
        <v>0</v>
      </c>
      <c r="BK2126" t="s">
        <v>1031</v>
      </c>
      <c r="BL2126">
        <v>0</v>
      </c>
      <c r="BM2126" s="1">
        <v>43831</v>
      </c>
      <c r="BN2126" s="1">
        <v>43831</v>
      </c>
      <c r="BO2126" s="1">
        <v>43831</v>
      </c>
      <c r="BQ2126" t="s">
        <v>51</v>
      </c>
      <c r="BS2126" t="s">
        <v>60</v>
      </c>
      <c r="BT2126" t="s">
        <v>54</v>
      </c>
      <c r="BU2126" t="s">
        <v>362</v>
      </c>
      <c r="BX2126">
        <v>22</v>
      </c>
      <c r="BY2126">
        <v>0</v>
      </c>
      <c r="BZ2126">
        <v>0</v>
      </c>
    </row>
    <row r="2127" spans="1:78" x14ac:dyDescent="0.2">
      <c r="A2127" t="s">
        <v>1012</v>
      </c>
      <c r="B2127" t="s">
        <v>1013</v>
      </c>
      <c r="C2127" t="s">
        <v>1025</v>
      </c>
      <c r="D2127" t="s">
        <v>1045</v>
      </c>
      <c r="F2127" t="str">
        <f>"251592"</f>
        <v>251592</v>
      </c>
      <c r="G2127" t="s">
        <v>49</v>
      </c>
      <c r="H2127" t="s">
        <v>1048</v>
      </c>
      <c r="K2127" t="s">
        <v>51</v>
      </c>
      <c r="L2127" t="s">
        <v>52</v>
      </c>
      <c r="M2127">
        <v>133561.44</v>
      </c>
      <c r="N2127">
        <v>474237.31</v>
      </c>
      <c r="O2127" t="s">
        <v>53</v>
      </c>
      <c r="P2127" t="s">
        <v>54</v>
      </c>
      <c r="Q2127" t="s">
        <v>55</v>
      </c>
      <c r="T2127" t="s">
        <v>660</v>
      </c>
      <c r="U2127">
        <v>40</v>
      </c>
      <c r="V2127" s="1">
        <v>25569</v>
      </c>
      <c r="W2127" s="1">
        <v>25569</v>
      </c>
      <c r="X2127" s="1">
        <v>25569</v>
      </c>
      <c r="Y2127" s="1">
        <v>40179</v>
      </c>
      <c r="Z2127" t="s">
        <v>51</v>
      </c>
      <c r="AB2127" t="s">
        <v>54</v>
      </c>
      <c r="AC2127">
        <v>1</v>
      </c>
      <c r="AE2127" t="s">
        <v>613</v>
      </c>
      <c r="AF2127">
        <v>20</v>
      </c>
      <c r="AG2127" s="1">
        <v>34700</v>
      </c>
      <c r="AH2127" s="1">
        <v>34700</v>
      </c>
      <c r="AI2127" s="1">
        <v>34700</v>
      </c>
      <c r="AJ2127" s="1">
        <v>42005</v>
      </c>
      <c r="AK2127" t="s">
        <v>51</v>
      </c>
      <c r="AN2127">
        <v>0</v>
      </c>
      <c r="AO2127" t="s">
        <v>54</v>
      </c>
      <c r="AP2127" t="s">
        <v>53</v>
      </c>
      <c r="AQ2127">
        <v>0</v>
      </c>
      <c r="AR2127" t="s">
        <v>53</v>
      </c>
      <c r="AS2127">
        <v>0</v>
      </c>
      <c r="AT2127">
        <v>0</v>
      </c>
      <c r="BK2127" t="s">
        <v>1031</v>
      </c>
      <c r="BL2127">
        <v>0</v>
      </c>
      <c r="BM2127" s="1">
        <v>43831</v>
      </c>
      <c r="BN2127" s="1">
        <v>43831</v>
      </c>
      <c r="BO2127" s="1">
        <v>43831</v>
      </c>
      <c r="BQ2127" t="s">
        <v>51</v>
      </c>
      <c r="BS2127" t="s">
        <v>60</v>
      </c>
      <c r="BT2127" t="s">
        <v>54</v>
      </c>
      <c r="BU2127" t="s">
        <v>362</v>
      </c>
      <c r="BX2127">
        <v>22</v>
      </c>
      <c r="BY2127">
        <v>0</v>
      </c>
      <c r="BZ2127">
        <v>0</v>
      </c>
    </row>
    <row r="2128" spans="1:78" x14ac:dyDescent="0.2">
      <c r="A2128" t="s">
        <v>1012</v>
      </c>
      <c r="B2128" t="s">
        <v>1013</v>
      </c>
      <c r="C2128" t="s">
        <v>1025</v>
      </c>
      <c r="D2128" t="s">
        <v>1049</v>
      </c>
      <c r="F2128" t="str">
        <f>"251593"</f>
        <v>251593</v>
      </c>
      <c r="G2128" t="s">
        <v>49</v>
      </c>
      <c r="K2128" t="s">
        <v>51</v>
      </c>
      <c r="L2128" t="s">
        <v>52</v>
      </c>
      <c r="M2128">
        <v>134277.09</v>
      </c>
      <c r="N2128">
        <v>473659.47</v>
      </c>
      <c r="O2128" t="s">
        <v>53</v>
      </c>
      <c r="P2128" t="s">
        <v>54</v>
      </c>
      <c r="Q2128" t="s">
        <v>55</v>
      </c>
      <c r="T2128" t="s">
        <v>466</v>
      </c>
      <c r="U2128">
        <v>40</v>
      </c>
      <c r="V2128" s="1">
        <v>31048</v>
      </c>
      <c r="W2128" s="1">
        <v>31048</v>
      </c>
      <c r="X2128" s="1">
        <v>31048</v>
      </c>
      <c r="Y2128" s="1">
        <v>45658</v>
      </c>
      <c r="Z2128" t="s">
        <v>51</v>
      </c>
      <c r="AB2128" t="s">
        <v>54</v>
      </c>
      <c r="AC2128">
        <v>1</v>
      </c>
      <c r="AE2128" t="s">
        <v>64</v>
      </c>
      <c r="AF2128">
        <v>20</v>
      </c>
      <c r="AG2128" s="1">
        <v>35977</v>
      </c>
      <c r="AH2128" s="1">
        <v>35977</v>
      </c>
      <c r="AI2128" s="1">
        <v>35977</v>
      </c>
      <c r="AJ2128" s="1">
        <v>43282</v>
      </c>
      <c r="AK2128" t="s">
        <v>51</v>
      </c>
      <c r="AN2128">
        <v>0</v>
      </c>
      <c r="AO2128" t="s">
        <v>54</v>
      </c>
      <c r="AP2128" t="s">
        <v>53</v>
      </c>
      <c r="AQ2128">
        <v>0</v>
      </c>
      <c r="AR2128" t="s">
        <v>53</v>
      </c>
      <c r="AS2128">
        <v>0</v>
      </c>
      <c r="AT2128">
        <v>0</v>
      </c>
      <c r="BK2128" t="s">
        <v>975</v>
      </c>
      <c r="BL2128">
        <v>50000</v>
      </c>
      <c r="BM2128" s="1">
        <v>44316</v>
      </c>
      <c r="BN2128" s="1">
        <v>44316</v>
      </c>
      <c r="BO2128" s="1">
        <v>44316</v>
      </c>
      <c r="BP2128" s="1">
        <v>48561</v>
      </c>
      <c r="BQ2128" t="s">
        <v>51</v>
      </c>
      <c r="BS2128" t="s">
        <v>60</v>
      </c>
      <c r="BT2128" t="s">
        <v>54</v>
      </c>
      <c r="BU2128" t="s">
        <v>61</v>
      </c>
      <c r="BV2128" t="s">
        <v>86</v>
      </c>
      <c r="BX2128">
        <v>18</v>
      </c>
      <c r="BY2128">
        <v>1980</v>
      </c>
      <c r="BZ2128">
        <v>0</v>
      </c>
    </row>
    <row r="2129" spans="1:78" x14ac:dyDescent="0.2">
      <c r="A2129" t="s">
        <v>1012</v>
      </c>
      <c r="B2129" t="s">
        <v>1013</v>
      </c>
      <c r="C2129" t="s">
        <v>1025</v>
      </c>
      <c r="D2129" t="s">
        <v>1049</v>
      </c>
      <c r="F2129" t="str">
        <f>"251594"</f>
        <v>251594</v>
      </c>
      <c r="G2129" t="s">
        <v>49</v>
      </c>
      <c r="K2129" t="s">
        <v>51</v>
      </c>
      <c r="L2129" t="s">
        <v>52</v>
      </c>
      <c r="M2129">
        <v>134274.59</v>
      </c>
      <c r="N2129">
        <v>473686.15</v>
      </c>
      <c r="O2129" t="s">
        <v>53</v>
      </c>
      <c r="P2129" t="s">
        <v>54</v>
      </c>
      <c r="Q2129" t="s">
        <v>55</v>
      </c>
      <c r="T2129" t="s">
        <v>466</v>
      </c>
      <c r="U2129">
        <v>40</v>
      </c>
      <c r="V2129" s="1">
        <v>35796</v>
      </c>
      <c r="W2129" s="1">
        <v>35796</v>
      </c>
      <c r="X2129" s="1">
        <v>35796</v>
      </c>
      <c r="Y2129" s="1">
        <v>50406</v>
      </c>
      <c r="Z2129" t="s">
        <v>51</v>
      </c>
      <c r="AB2129" t="s">
        <v>54</v>
      </c>
      <c r="AC2129">
        <v>1</v>
      </c>
      <c r="AE2129" t="s">
        <v>64</v>
      </c>
      <c r="AF2129">
        <v>20</v>
      </c>
      <c r="AG2129" s="1">
        <v>35977</v>
      </c>
      <c r="AH2129" s="1">
        <v>35977</v>
      </c>
      <c r="AI2129" s="1">
        <v>35977</v>
      </c>
      <c r="AJ2129" s="1">
        <v>43282</v>
      </c>
      <c r="AK2129" t="s">
        <v>51</v>
      </c>
      <c r="AN2129">
        <v>0</v>
      </c>
      <c r="AO2129" t="s">
        <v>54</v>
      </c>
      <c r="AP2129" t="s">
        <v>53</v>
      </c>
      <c r="AQ2129">
        <v>0</v>
      </c>
      <c r="AR2129" t="s">
        <v>53</v>
      </c>
      <c r="AS2129">
        <v>0</v>
      </c>
      <c r="AT2129">
        <v>0</v>
      </c>
      <c r="BK2129" t="s">
        <v>975</v>
      </c>
      <c r="BL2129">
        <v>50000</v>
      </c>
      <c r="BM2129" s="1">
        <v>44316</v>
      </c>
      <c r="BN2129" s="1">
        <v>44316</v>
      </c>
      <c r="BO2129" s="1">
        <v>44316</v>
      </c>
      <c r="BP2129" s="1">
        <v>48561</v>
      </c>
      <c r="BQ2129" t="s">
        <v>51</v>
      </c>
      <c r="BS2129" t="s">
        <v>60</v>
      </c>
      <c r="BT2129" t="s">
        <v>54</v>
      </c>
      <c r="BU2129" t="s">
        <v>61</v>
      </c>
      <c r="BV2129" t="s">
        <v>86</v>
      </c>
      <c r="BX2129">
        <v>18</v>
      </c>
      <c r="BY2129">
        <v>1980</v>
      </c>
      <c r="BZ2129">
        <v>0</v>
      </c>
    </row>
    <row r="2130" spans="1:78" x14ac:dyDescent="0.2">
      <c r="A2130" t="s">
        <v>1012</v>
      </c>
      <c r="B2130" t="s">
        <v>1013</v>
      </c>
      <c r="C2130" t="s">
        <v>1025</v>
      </c>
      <c r="D2130" t="s">
        <v>1049</v>
      </c>
      <c r="F2130" t="str">
        <f>"251595"</f>
        <v>251595</v>
      </c>
      <c r="G2130" t="s">
        <v>49</v>
      </c>
      <c r="K2130" t="s">
        <v>51</v>
      </c>
      <c r="L2130" t="s">
        <v>52</v>
      </c>
      <c r="M2130">
        <v>134272.21</v>
      </c>
      <c r="N2130">
        <v>473713.32</v>
      </c>
      <c r="O2130" t="s">
        <v>53</v>
      </c>
      <c r="P2130" t="s">
        <v>54</v>
      </c>
      <c r="Q2130" t="s">
        <v>55</v>
      </c>
      <c r="T2130" t="s">
        <v>466</v>
      </c>
      <c r="U2130">
        <v>40</v>
      </c>
      <c r="V2130" s="1">
        <v>35796</v>
      </c>
      <c r="W2130" s="1">
        <v>35796</v>
      </c>
      <c r="X2130" s="1">
        <v>35796</v>
      </c>
      <c r="Y2130" s="1">
        <v>50406</v>
      </c>
      <c r="Z2130" t="s">
        <v>51</v>
      </c>
      <c r="AB2130" t="s">
        <v>54</v>
      </c>
      <c r="AC2130">
        <v>1</v>
      </c>
      <c r="AE2130" t="s">
        <v>64</v>
      </c>
      <c r="AF2130">
        <v>20</v>
      </c>
      <c r="AG2130" s="1">
        <v>35977</v>
      </c>
      <c r="AH2130" s="1">
        <v>35977</v>
      </c>
      <c r="AI2130" s="1">
        <v>35977</v>
      </c>
      <c r="AJ2130" s="1">
        <v>43282</v>
      </c>
      <c r="AK2130" t="s">
        <v>51</v>
      </c>
      <c r="AN2130">
        <v>0</v>
      </c>
      <c r="AO2130" t="s">
        <v>54</v>
      </c>
      <c r="AP2130" t="s">
        <v>53</v>
      </c>
      <c r="AQ2130">
        <v>0</v>
      </c>
      <c r="AR2130" t="s">
        <v>53</v>
      </c>
      <c r="AS2130">
        <v>0</v>
      </c>
      <c r="AT2130">
        <v>0</v>
      </c>
      <c r="BK2130" t="s">
        <v>975</v>
      </c>
      <c r="BL2130">
        <v>50000</v>
      </c>
      <c r="BM2130" s="1">
        <v>44316</v>
      </c>
      <c r="BN2130" s="1">
        <v>44316</v>
      </c>
      <c r="BO2130" s="1">
        <v>44316</v>
      </c>
      <c r="BP2130" s="1">
        <v>48561</v>
      </c>
      <c r="BQ2130" t="s">
        <v>51</v>
      </c>
      <c r="BS2130" t="s">
        <v>60</v>
      </c>
      <c r="BT2130" t="s">
        <v>54</v>
      </c>
      <c r="BU2130" t="s">
        <v>61</v>
      </c>
      <c r="BV2130" t="s">
        <v>86</v>
      </c>
      <c r="BX2130">
        <v>18</v>
      </c>
      <c r="BY2130">
        <v>1980</v>
      </c>
      <c r="BZ2130">
        <v>0</v>
      </c>
    </row>
    <row r="2131" spans="1:78" x14ac:dyDescent="0.2">
      <c r="A2131" t="s">
        <v>1012</v>
      </c>
      <c r="B2131" t="s">
        <v>1013</v>
      </c>
      <c r="C2131" t="s">
        <v>1025</v>
      </c>
      <c r="D2131" t="s">
        <v>1049</v>
      </c>
      <c r="F2131" t="str">
        <f>"251596"</f>
        <v>251596</v>
      </c>
      <c r="G2131" t="s">
        <v>49</v>
      </c>
      <c r="K2131" t="s">
        <v>51</v>
      </c>
      <c r="L2131" t="s">
        <v>52</v>
      </c>
      <c r="M2131">
        <v>134270.03</v>
      </c>
      <c r="N2131">
        <v>473740.26</v>
      </c>
      <c r="O2131" t="s">
        <v>53</v>
      </c>
      <c r="P2131" t="s">
        <v>54</v>
      </c>
      <c r="Q2131" t="s">
        <v>55</v>
      </c>
      <c r="T2131" t="s">
        <v>466</v>
      </c>
      <c r="U2131">
        <v>40</v>
      </c>
      <c r="V2131" s="1">
        <v>35796</v>
      </c>
      <c r="W2131" s="1">
        <v>35796</v>
      </c>
      <c r="X2131" s="1">
        <v>35796</v>
      </c>
      <c r="Y2131" s="1">
        <v>50406</v>
      </c>
      <c r="Z2131" t="s">
        <v>51</v>
      </c>
      <c r="AB2131" t="s">
        <v>54</v>
      </c>
      <c r="AC2131">
        <v>1</v>
      </c>
      <c r="AE2131" t="s">
        <v>64</v>
      </c>
      <c r="AF2131">
        <v>20</v>
      </c>
      <c r="AG2131" s="1">
        <v>35977</v>
      </c>
      <c r="AH2131" s="1">
        <v>35977</v>
      </c>
      <c r="AI2131" s="1">
        <v>35977</v>
      </c>
      <c r="AJ2131" s="1">
        <v>43282</v>
      </c>
      <c r="AK2131" t="s">
        <v>51</v>
      </c>
      <c r="AN2131">
        <v>0</v>
      </c>
      <c r="AO2131" t="s">
        <v>54</v>
      </c>
      <c r="AP2131" t="s">
        <v>53</v>
      </c>
      <c r="AQ2131">
        <v>0</v>
      </c>
      <c r="AR2131" t="s">
        <v>53</v>
      </c>
      <c r="AS2131">
        <v>0</v>
      </c>
      <c r="AT2131">
        <v>0</v>
      </c>
      <c r="BK2131" t="s">
        <v>975</v>
      </c>
      <c r="BL2131">
        <v>50000</v>
      </c>
      <c r="BM2131" s="1">
        <v>44551</v>
      </c>
      <c r="BN2131" s="1">
        <v>44551</v>
      </c>
      <c r="BO2131" s="1">
        <v>44551</v>
      </c>
      <c r="BP2131" s="1">
        <v>48793</v>
      </c>
      <c r="BQ2131" t="s">
        <v>51</v>
      </c>
      <c r="BS2131" t="s">
        <v>60</v>
      </c>
      <c r="BT2131" t="s">
        <v>54</v>
      </c>
      <c r="BU2131" t="s">
        <v>61</v>
      </c>
      <c r="BV2131" t="s">
        <v>86</v>
      </c>
      <c r="BX2131">
        <v>18</v>
      </c>
      <c r="BY2131">
        <v>1980</v>
      </c>
      <c r="BZ2131">
        <v>0</v>
      </c>
    </row>
    <row r="2132" spans="1:78" x14ac:dyDescent="0.2">
      <c r="A2132" t="s">
        <v>1012</v>
      </c>
      <c r="B2132" t="s">
        <v>1013</v>
      </c>
      <c r="C2132" t="s">
        <v>1025</v>
      </c>
      <c r="D2132" t="s">
        <v>1049</v>
      </c>
      <c r="F2132" t="str">
        <f>"251597"</f>
        <v>251597</v>
      </c>
      <c r="G2132" t="s">
        <v>49</v>
      </c>
      <c r="K2132" t="s">
        <v>51</v>
      </c>
      <c r="L2132" t="s">
        <v>52</v>
      </c>
      <c r="M2132">
        <v>134265.91</v>
      </c>
      <c r="N2132">
        <v>473763.33</v>
      </c>
      <c r="O2132" t="s">
        <v>53</v>
      </c>
      <c r="P2132" t="s">
        <v>54</v>
      </c>
      <c r="Q2132" t="s">
        <v>55</v>
      </c>
      <c r="T2132" t="s">
        <v>100</v>
      </c>
      <c r="U2132">
        <v>40</v>
      </c>
      <c r="V2132" s="1">
        <v>35796</v>
      </c>
      <c r="W2132" s="1">
        <v>35796</v>
      </c>
      <c r="X2132" s="1">
        <v>35796</v>
      </c>
      <c r="Y2132" s="1">
        <v>50406</v>
      </c>
      <c r="Z2132" t="s">
        <v>51</v>
      </c>
      <c r="AB2132" t="s">
        <v>54</v>
      </c>
      <c r="AC2132">
        <v>1</v>
      </c>
      <c r="AE2132" t="s">
        <v>222</v>
      </c>
      <c r="AF2132">
        <v>20</v>
      </c>
      <c r="AG2132" s="1">
        <v>35796</v>
      </c>
      <c r="AH2132" s="1">
        <v>35796</v>
      </c>
      <c r="AI2132" s="1">
        <v>35796</v>
      </c>
      <c r="AJ2132" s="1">
        <v>43101</v>
      </c>
      <c r="AK2132" t="s">
        <v>51</v>
      </c>
      <c r="AN2132">
        <v>0</v>
      </c>
      <c r="AO2132" t="s">
        <v>54</v>
      </c>
      <c r="AP2132" t="s">
        <v>53</v>
      </c>
      <c r="AQ2132">
        <v>0</v>
      </c>
      <c r="AR2132" t="s">
        <v>53</v>
      </c>
      <c r="AS2132">
        <v>0</v>
      </c>
      <c r="AT2132">
        <v>0</v>
      </c>
      <c r="BK2132" t="s">
        <v>1050</v>
      </c>
      <c r="BL2132">
        <v>0</v>
      </c>
      <c r="BM2132" s="1">
        <v>44316</v>
      </c>
      <c r="BN2132" s="1">
        <v>44316</v>
      </c>
      <c r="BO2132" s="1">
        <v>44316</v>
      </c>
      <c r="BQ2132" t="s">
        <v>51</v>
      </c>
      <c r="BS2132" t="s">
        <v>60</v>
      </c>
      <c r="BT2132" t="s">
        <v>54</v>
      </c>
      <c r="BU2132" t="s">
        <v>721</v>
      </c>
      <c r="BX2132">
        <v>0</v>
      </c>
      <c r="BY2132">
        <v>0</v>
      </c>
      <c r="BZ2132">
        <v>0</v>
      </c>
    </row>
    <row r="2133" spans="1:78" x14ac:dyDescent="0.2">
      <c r="A2133" t="s">
        <v>1012</v>
      </c>
      <c r="B2133" t="s">
        <v>1013</v>
      </c>
      <c r="C2133" t="s">
        <v>1025</v>
      </c>
      <c r="D2133" t="s">
        <v>1049</v>
      </c>
      <c r="F2133" t="str">
        <f>"251598"</f>
        <v>251598</v>
      </c>
      <c r="G2133" t="s">
        <v>49</v>
      </c>
      <c r="H2133">
        <v>1</v>
      </c>
      <c r="K2133" t="s">
        <v>51</v>
      </c>
      <c r="L2133" t="s">
        <v>52</v>
      </c>
      <c r="M2133">
        <v>134248.76999999999</v>
      </c>
      <c r="N2133">
        <v>473764.94</v>
      </c>
      <c r="O2133" t="s">
        <v>53</v>
      </c>
      <c r="P2133" t="s">
        <v>54</v>
      </c>
      <c r="Q2133" t="s">
        <v>55</v>
      </c>
      <c r="T2133" t="s">
        <v>466</v>
      </c>
      <c r="U2133">
        <v>40</v>
      </c>
      <c r="V2133" s="1">
        <v>35796</v>
      </c>
      <c r="W2133" s="1">
        <v>35796</v>
      </c>
      <c r="X2133" s="1">
        <v>35796</v>
      </c>
      <c r="Y2133" s="1">
        <v>50406</v>
      </c>
      <c r="Z2133" t="s">
        <v>51</v>
      </c>
      <c r="AB2133" t="s">
        <v>54</v>
      </c>
      <c r="AC2133">
        <v>1</v>
      </c>
      <c r="AE2133" t="s">
        <v>64</v>
      </c>
      <c r="AF2133">
        <v>20</v>
      </c>
      <c r="AG2133" s="1">
        <v>35977</v>
      </c>
      <c r="AH2133" s="1">
        <v>35977</v>
      </c>
      <c r="AI2133" s="1">
        <v>35977</v>
      </c>
      <c r="AJ2133" s="1">
        <v>43282</v>
      </c>
      <c r="AK2133" t="s">
        <v>51</v>
      </c>
      <c r="AN2133">
        <v>0</v>
      </c>
      <c r="AO2133" t="s">
        <v>54</v>
      </c>
      <c r="AP2133" t="s">
        <v>53</v>
      </c>
      <c r="AQ2133">
        <v>0</v>
      </c>
      <c r="AR2133" t="s">
        <v>53</v>
      </c>
      <c r="AS2133">
        <v>0</v>
      </c>
      <c r="AT2133">
        <v>0</v>
      </c>
      <c r="BK2133" t="s">
        <v>975</v>
      </c>
      <c r="BL2133">
        <v>50000</v>
      </c>
      <c r="BM2133" s="1">
        <v>44316</v>
      </c>
      <c r="BN2133" s="1">
        <v>44316</v>
      </c>
      <c r="BO2133" s="1">
        <v>44316</v>
      </c>
      <c r="BP2133" s="1">
        <v>48561</v>
      </c>
      <c r="BQ2133" t="s">
        <v>51</v>
      </c>
      <c r="BS2133" t="s">
        <v>60</v>
      </c>
      <c r="BT2133" t="s">
        <v>54</v>
      </c>
      <c r="BU2133" t="s">
        <v>61</v>
      </c>
      <c r="BV2133" t="s">
        <v>86</v>
      </c>
      <c r="BX2133">
        <v>18</v>
      </c>
      <c r="BY2133">
        <v>1980</v>
      </c>
      <c r="BZ2133">
        <v>0</v>
      </c>
    </row>
    <row r="2134" spans="1:78" x14ac:dyDescent="0.2">
      <c r="A2134" t="s">
        <v>1012</v>
      </c>
      <c r="B2134" t="s">
        <v>1013</v>
      </c>
      <c r="C2134" t="s">
        <v>1025</v>
      </c>
      <c r="D2134" t="s">
        <v>1049</v>
      </c>
      <c r="F2134" t="str">
        <f>"251599"</f>
        <v>251599</v>
      </c>
      <c r="G2134" t="s">
        <v>49</v>
      </c>
      <c r="H2134">
        <v>1</v>
      </c>
      <c r="K2134" t="s">
        <v>51</v>
      </c>
      <c r="L2134" t="s">
        <v>52</v>
      </c>
      <c r="M2134">
        <v>134227.78</v>
      </c>
      <c r="N2134">
        <v>473754.31</v>
      </c>
      <c r="O2134" t="s">
        <v>53</v>
      </c>
      <c r="P2134" t="s">
        <v>54</v>
      </c>
      <c r="Q2134" t="s">
        <v>55</v>
      </c>
      <c r="T2134" t="s">
        <v>466</v>
      </c>
      <c r="U2134">
        <v>40</v>
      </c>
      <c r="V2134" s="1">
        <v>35796</v>
      </c>
      <c r="W2134" s="1">
        <v>35796</v>
      </c>
      <c r="X2134" s="1">
        <v>35796</v>
      </c>
      <c r="Y2134" s="1">
        <v>50406</v>
      </c>
      <c r="Z2134" t="s">
        <v>51</v>
      </c>
      <c r="AB2134" t="s">
        <v>54</v>
      </c>
      <c r="AC2134">
        <v>1</v>
      </c>
      <c r="AE2134" t="s">
        <v>64</v>
      </c>
      <c r="AF2134">
        <v>20</v>
      </c>
      <c r="AG2134" s="1">
        <v>35977</v>
      </c>
      <c r="AH2134" s="1">
        <v>35977</v>
      </c>
      <c r="AI2134" s="1">
        <v>35977</v>
      </c>
      <c r="AJ2134" s="1">
        <v>43282</v>
      </c>
      <c r="AK2134" t="s">
        <v>51</v>
      </c>
      <c r="AN2134">
        <v>0</v>
      </c>
      <c r="AO2134" t="s">
        <v>54</v>
      </c>
      <c r="AP2134" t="s">
        <v>53</v>
      </c>
      <c r="AQ2134">
        <v>0</v>
      </c>
      <c r="AR2134" t="s">
        <v>53</v>
      </c>
      <c r="AS2134">
        <v>0</v>
      </c>
      <c r="AT2134">
        <v>0</v>
      </c>
      <c r="BK2134" t="s">
        <v>975</v>
      </c>
      <c r="BL2134">
        <v>50000</v>
      </c>
      <c r="BM2134" s="1">
        <v>44316</v>
      </c>
      <c r="BN2134" s="1">
        <v>44316</v>
      </c>
      <c r="BO2134" s="1">
        <v>44316</v>
      </c>
      <c r="BP2134" s="1">
        <v>48561</v>
      </c>
      <c r="BQ2134" t="s">
        <v>51</v>
      </c>
      <c r="BS2134" t="s">
        <v>60</v>
      </c>
      <c r="BT2134" t="s">
        <v>54</v>
      </c>
      <c r="BU2134" t="s">
        <v>61</v>
      </c>
      <c r="BV2134" t="s">
        <v>86</v>
      </c>
      <c r="BX2134">
        <v>18</v>
      </c>
      <c r="BY2134">
        <v>1980</v>
      </c>
      <c r="BZ2134">
        <v>0</v>
      </c>
    </row>
    <row r="2135" spans="1:78" x14ac:dyDescent="0.2">
      <c r="A2135" t="s">
        <v>1012</v>
      </c>
      <c r="B2135" t="s">
        <v>1013</v>
      </c>
      <c r="C2135" t="s">
        <v>1025</v>
      </c>
      <c r="D2135" t="s">
        <v>1049</v>
      </c>
      <c r="F2135" t="str">
        <f>"251600"</f>
        <v>251600</v>
      </c>
      <c r="G2135" t="s">
        <v>49</v>
      </c>
      <c r="H2135">
        <v>1</v>
      </c>
      <c r="K2135" t="s">
        <v>51</v>
      </c>
      <c r="L2135" t="s">
        <v>52</v>
      </c>
      <c r="M2135">
        <v>134231.17000000001</v>
      </c>
      <c r="N2135">
        <v>473768.13</v>
      </c>
      <c r="O2135" t="s">
        <v>53</v>
      </c>
      <c r="P2135" t="s">
        <v>54</v>
      </c>
      <c r="Q2135" t="s">
        <v>55</v>
      </c>
      <c r="T2135" t="s">
        <v>466</v>
      </c>
      <c r="U2135">
        <v>40</v>
      </c>
      <c r="V2135" s="1">
        <v>35796</v>
      </c>
      <c r="W2135" s="1">
        <v>35796</v>
      </c>
      <c r="X2135" s="1">
        <v>35796</v>
      </c>
      <c r="Y2135" s="1">
        <v>50406</v>
      </c>
      <c r="Z2135" t="s">
        <v>51</v>
      </c>
      <c r="AB2135" t="s">
        <v>54</v>
      </c>
      <c r="AC2135">
        <v>1</v>
      </c>
      <c r="AE2135" t="s">
        <v>64</v>
      </c>
      <c r="AF2135">
        <v>20</v>
      </c>
      <c r="AG2135" s="1">
        <v>35977</v>
      </c>
      <c r="AH2135" s="1">
        <v>35977</v>
      </c>
      <c r="AI2135" s="1">
        <v>35977</v>
      </c>
      <c r="AJ2135" s="1">
        <v>43282</v>
      </c>
      <c r="AK2135" t="s">
        <v>51</v>
      </c>
      <c r="AN2135">
        <v>0</v>
      </c>
      <c r="AO2135" t="s">
        <v>54</v>
      </c>
      <c r="AP2135" t="s">
        <v>53</v>
      </c>
      <c r="AQ2135">
        <v>0</v>
      </c>
      <c r="AR2135" t="s">
        <v>53</v>
      </c>
      <c r="AS2135">
        <v>0</v>
      </c>
      <c r="AT2135">
        <v>0</v>
      </c>
      <c r="BK2135" t="s">
        <v>975</v>
      </c>
      <c r="BL2135">
        <v>50000</v>
      </c>
      <c r="BM2135" s="1">
        <v>44316</v>
      </c>
      <c r="BN2135" s="1">
        <v>44316</v>
      </c>
      <c r="BO2135" s="1">
        <v>44316</v>
      </c>
      <c r="BP2135" s="1">
        <v>48561</v>
      </c>
      <c r="BQ2135" t="s">
        <v>51</v>
      </c>
      <c r="BS2135" t="s">
        <v>60</v>
      </c>
      <c r="BT2135" t="s">
        <v>54</v>
      </c>
      <c r="BU2135" t="s">
        <v>61</v>
      </c>
      <c r="BV2135" t="s">
        <v>86</v>
      </c>
      <c r="BX2135">
        <v>18</v>
      </c>
      <c r="BY2135">
        <v>1980</v>
      </c>
      <c r="BZ2135">
        <v>0</v>
      </c>
    </row>
    <row r="2136" spans="1:78" x14ac:dyDescent="0.2">
      <c r="A2136" t="s">
        <v>1012</v>
      </c>
      <c r="B2136" t="s">
        <v>1013</v>
      </c>
      <c r="C2136" t="s">
        <v>1025</v>
      </c>
      <c r="D2136" t="s">
        <v>1049</v>
      </c>
      <c r="F2136" t="str">
        <f>"251601"</f>
        <v>251601</v>
      </c>
      <c r="G2136" t="s">
        <v>49</v>
      </c>
      <c r="H2136">
        <v>3</v>
      </c>
      <c r="K2136" t="s">
        <v>51</v>
      </c>
      <c r="L2136" t="s">
        <v>52</v>
      </c>
      <c r="M2136">
        <v>134228.01</v>
      </c>
      <c r="N2136">
        <v>473799.45</v>
      </c>
      <c r="O2136" t="s">
        <v>53</v>
      </c>
      <c r="P2136" t="s">
        <v>54</v>
      </c>
      <c r="Q2136" t="s">
        <v>55</v>
      </c>
      <c r="T2136" t="s">
        <v>466</v>
      </c>
      <c r="U2136">
        <v>40</v>
      </c>
      <c r="V2136" s="1">
        <v>35796</v>
      </c>
      <c r="W2136" s="1">
        <v>35796</v>
      </c>
      <c r="X2136" s="1">
        <v>35796</v>
      </c>
      <c r="Y2136" s="1">
        <v>50406</v>
      </c>
      <c r="Z2136" t="s">
        <v>51</v>
      </c>
      <c r="AB2136" t="s">
        <v>54</v>
      </c>
      <c r="AC2136">
        <v>1</v>
      </c>
      <c r="AE2136" t="s">
        <v>64</v>
      </c>
      <c r="AF2136">
        <v>20</v>
      </c>
      <c r="AG2136" s="1">
        <v>35977</v>
      </c>
      <c r="AH2136" s="1">
        <v>35977</v>
      </c>
      <c r="AI2136" s="1">
        <v>35977</v>
      </c>
      <c r="AJ2136" s="1">
        <v>43282</v>
      </c>
      <c r="AK2136" t="s">
        <v>51</v>
      </c>
      <c r="AN2136">
        <v>0</v>
      </c>
      <c r="AO2136" t="s">
        <v>54</v>
      </c>
      <c r="AP2136" t="s">
        <v>53</v>
      </c>
      <c r="AQ2136">
        <v>0</v>
      </c>
      <c r="AR2136" t="s">
        <v>53</v>
      </c>
      <c r="AS2136">
        <v>0</v>
      </c>
      <c r="AT2136">
        <v>0</v>
      </c>
      <c r="BK2136" t="s">
        <v>975</v>
      </c>
      <c r="BL2136">
        <v>50000</v>
      </c>
      <c r="BM2136" s="1">
        <v>44316</v>
      </c>
      <c r="BN2136" s="1">
        <v>44316</v>
      </c>
      <c r="BO2136" s="1">
        <v>44316</v>
      </c>
      <c r="BP2136" s="1">
        <v>48561</v>
      </c>
      <c r="BQ2136" t="s">
        <v>51</v>
      </c>
      <c r="BS2136" t="s">
        <v>60</v>
      </c>
      <c r="BT2136" t="s">
        <v>54</v>
      </c>
      <c r="BU2136" t="s">
        <v>61</v>
      </c>
      <c r="BV2136" t="s">
        <v>86</v>
      </c>
      <c r="BX2136">
        <v>18</v>
      </c>
      <c r="BY2136">
        <v>1980</v>
      </c>
      <c r="BZ2136">
        <v>0</v>
      </c>
    </row>
    <row r="2137" spans="1:78" x14ac:dyDescent="0.2">
      <c r="A2137" t="s">
        <v>1012</v>
      </c>
      <c r="B2137" t="s">
        <v>1013</v>
      </c>
      <c r="C2137" t="s">
        <v>1025</v>
      </c>
      <c r="D2137" t="s">
        <v>1049</v>
      </c>
      <c r="F2137" t="str">
        <f>"251602"</f>
        <v>251602</v>
      </c>
      <c r="G2137" t="s">
        <v>49</v>
      </c>
      <c r="H2137">
        <v>7</v>
      </c>
      <c r="K2137" t="s">
        <v>51</v>
      </c>
      <c r="L2137" t="s">
        <v>52</v>
      </c>
      <c r="M2137">
        <v>134224.88</v>
      </c>
      <c r="N2137">
        <v>473831.49</v>
      </c>
      <c r="O2137" t="s">
        <v>53</v>
      </c>
      <c r="P2137" t="s">
        <v>54</v>
      </c>
      <c r="Q2137" t="s">
        <v>55</v>
      </c>
      <c r="T2137" t="s">
        <v>466</v>
      </c>
      <c r="U2137">
        <v>40</v>
      </c>
      <c r="V2137" s="1">
        <v>35796</v>
      </c>
      <c r="W2137" s="1">
        <v>35796</v>
      </c>
      <c r="X2137" s="1">
        <v>35796</v>
      </c>
      <c r="Y2137" s="1">
        <v>50406</v>
      </c>
      <c r="Z2137" t="s">
        <v>51</v>
      </c>
      <c r="AB2137" t="s">
        <v>54</v>
      </c>
      <c r="AC2137">
        <v>1</v>
      </c>
      <c r="AE2137" t="s">
        <v>64</v>
      </c>
      <c r="AF2137">
        <v>20</v>
      </c>
      <c r="AG2137" s="1">
        <v>35977</v>
      </c>
      <c r="AH2137" s="1">
        <v>35977</v>
      </c>
      <c r="AI2137" s="1">
        <v>35977</v>
      </c>
      <c r="AJ2137" s="1">
        <v>43282</v>
      </c>
      <c r="AK2137" t="s">
        <v>51</v>
      </c>
      <c r="AN2137">
        <v>0</v>
      </c>
      <c r="AO2137" t="s">
        <v>54</v>
      </c>
      <c r="AP2137" t="s">
        <v>53</v>
      </c>
      <c r="AQ2137">
        <v>0</v>
      </c>
      <c r="AR2137" t="s">
        <v>53</v>
      </c>
      <c r="AS2137">
        <v>0</v>
      </c>
      <c r="AT2137">
        <v>0</v>
      </c>
      <c r="BK2137" t="s">
        <v>975</v>
      </c>
      <c r="BL2137">
        <v>50000</v>
      </c>
      <c r="BM2137" s="1">
        <v>44316</v>
      </c>
      <c r="BN2137" s="1">
        <v>44316</v>
      </c>
      <c r="BO2137" s="1">
        <v>44316</v>
      </c>
      <c r="BP2137" s="1">
        <v>48561</v>
      </c>
      <c r="BQ2137" t="s">
        <v>51</v>
      </c>
      <c r="BS2137" t="s">
        <v>60</v>
      </c>
      <c r="BT2137" t="s">
        <v>54</v>
      </c>
      <c r="BU2137" t="s">
        <v>61</v>
      </c>
      <c r="BV2137" t="s">
        <v>86</v>
      </c>
      <c r="BX2137">
        <v>18</v>
      </c>
      <c r="BY2137">
        <v>1980</v>
      </c>
      <c r="BZ2137">
        <v>0</v>
      </c>
    </row>
    <row r="2138" spans="1:78" x14ac:dyDescent="0.2">
      <c r="A2138" t="s">
        <v>1012</v>
      </c>
      <c r="B2138" t="s">
        <v>1013</v>
      </c>
      <c r="C2138" t="s">
        <v>1025</v>
      </c>
      <c r="D2138" t="s">
        <v>1049</v>
      </c>
      <c r="F2138" t="str">
        <f>"251603"</f>
        <v>251603</v>
      </c>
      <c r="G2138" t="s">
        <v>49</v>
      </c>
      <c r="H2138">
        <v>13</v>
      </c>
      <c r="K2138" t="s">
        <v>51</v>
      </c>
      <c r="L2138" t="s">
        <v>52</v>
      </c>
      <c r="M2138">
        <v>134221.85999999999</v>
      </c>
      <c r="N2138">
        <v>473863.77</v>
      </c>
      <c r="O2138" t="s">
        <v>53</v>
      </c>
      <c r="P2138" t="s">
        <v>54</v>
      </c>
      <c r="Q2138" t="s">
        <v>55</v>
      </c>
      <c r="T2138" t="s">
        <v>466</v>
      </c>
      <c r="U2138">
        <v>40</v>
      </c>
      <c r="V2138" s="1">
        <v>35796</v>
      </c>
      <c r="W2138" s="1">
        <v>35796</v>
      </c>
      <c r="X2138" s="1">
        <v>35796</v>
      </c>
      <c r="Y2138" s="1">
        <v>50406</v>
      </c>
      <c r="Z2138" t="s">
        <v>51</v>
      </c>
      <c r="AB2138" t="s">
        <v>54</v>
      </c>
      <c r="AC2138">
        <v>1</v>
      </c>
      <c r="AE2138" t="s">
        <v>64</v>
      </c>
      <c r="AF2138">
        <v>20</v>
      </c>
      <c r="AG2138" s="1">
        <v>35977</v>
      </c>
      <c r="AH2138" s="1">
        <v>35977</v>
      </c>
      <c r="AI2138" s="1">
        <v>35977</v>
      </c>
      <c r="AJ2138" s="1">
        <v>43282</v>
      </c>
      <c r="AK2138" t="s">
        <v>51</v>
      </c>
      <c r="AN2138">
        <v>0</v>
      </c>
      <c r="AO2138" t="s">
        <v>54</v>
      </c>
      <c r="AP2138" t="s">
        <v>53</v>
      </c>
      <c r="AQ2138">
        <v>0</v>
      </c>
      <c r="AR2138" t="s">
        <v>53</v>
      </c>
      <c r="AS2138">
        <v>0</v>
      </c>
      <c r="AT2138">
        <v>0</v>
      </c>
      <c r="BK2138" t="s">
        <v>975</v>
      </c>
      <c r="BL2138">
        <v>50000</v>
      </c>
      <c r="BM2138" s="1">
        <v>44316</v>
      </c>
      <c r="BN2138" s="1">
        <v>44316</v>
      </c>
      <c r="BO2138" s="1">
        <v>44316</v>
      </c>
      <c r="BP2138" s="1">
        <v>48561</v>
      </c>
      <c r="BQ2138" t="s">
        <v>51</v>
      </c>
      <c r="BS2138" t="s">
        <v>60</v>
      </c>
      <c r="BT2138" t="s">
        <v>54</v>
      </c>
      <c r="BU2138" t="s">
        <v>61</v>
      </c>
      <c r="BV2138" t="s">
        <v>86</v>
      </c>
      <c r="BX2138">
        <v>18</v>
      </c>
      <c r="BY2138">
        <v>1980</v>
      </c>
      <c r="BZ2138">
        <v>0</v>
      </c>
    </row>
    <row r="2139" spans="1:78" x14ac:dyDescent="0.2">
      <c r="A2139" t="s">
        <v>1012</v>
      </c>
      <c r="B2139" t="s">
        <v>1013</v>
      </c>
      <c r="C2139" t="s">
        <v>1025</v>
      </c>
      <c r="D2139" t="s">
        <v>1049</v>
      </c>
      <c r="F2139" t="str">
        <f>"251604"</f>
        <v>251604</v>
      </c>
      <c r="G2139" t="s">
        <v>49</v>
      </c>
      <c r="H2139">
        <v>13</v>
      </c>
      <c r="K2139" t="s">
        <v>51</v>
      </c>
      <c r="L2139" t="s">
        <v>52</v>
      </c>
      <c r="M2139">
        <v>134208.26</v>
      </c>
      <c r="N2139">
        <v>473875.23</v>
      </c>
      <c r="O2139" t="s">
        <v>53</v>
      </c>
      <c r="P2139" t="s">
        <v>54</v>
      </c>
      <c r="Q2139" t="s">
        <v>55</v>
      </c>
      <c r="T2139" t="s">
        <v>466</v>
      </c>
      <c r="U2139">
        <v>40</v>
      </c>
      <c r="V2139" s="1">
        <v>35796</v>
      </c>
      <c r="W2139" s="1">
        <v>35796</v>
      </c>
      <c r="X2139" s="1">
        <v>35796</v>
      </c>
      <c r="Y2139" s="1">
        <v>50406</v>
      </c>
      <c r="Z2139" t="s">
        <v>51</v>
      </c>
      <c r="AB2139" t="s">
        <v>54</v>
      </c>
      <c r="AC2139">
        <v>1</v>
      </c>
      <c r="AE2139" t="s">
        <v>64</v>
      </c>
      <c r="AF2139">
        <v>20</v>
      </c>
      <c r="AG2139" s="1">
        <v>35977</v>
      </c>
      <c r="AH2139" s="1">
        <v>35977</v>
      </c>
      <c r="AI2139" s="1">
        <v>35977</v>
      </c>
      <c r="AJ2139" s="1">
        <v>43282</v>
      </c>
      <c r="AK2139" t="s">
        <v>51</v>
      </c>
      <c r="AN2139">
        <v>0</v>
      </c>
      <c r="AO2139" t="s">
        <v>54</v>
      </c>
      <c r="AP2139" t="s">
        <v>53</v>
      </c>
      <c r="AQ2139">
        <v>0</v>
      </c>
      <c r="AR2139" t="s">
        <v>53</v>
      </c>
      <c r="AS2139">
        <v>0</v>
      </c>
      <c r="AT2139">
        <v>0</v>
      </c>
      <c r="BK2139" t="s">
        <v>975</v>
      </c>
      <c r="BL2139">
        <v>50000</v>
      </c>
      <c r="BM2139" s="1">
        <v>44316</v>
      </c>
      <c r="BN2139" s="1">
        <v>44316</v>
      </c>
      <c r="BO2139" s="1">
        <v>44316</v>
      </c>
      <c r="BP2139" s="1">
        <v>48561</v>
      </c>
      <c r="BQ2139" t="s">
        <v>51</v>
      </c>
      <c r="BS2139" t="s">
        <v>60</v>
      </c>
      <c r="BT2139" t="s">
        <v>54</v>
      </c>
      <c r="BU2139" t="s">
        <v>61</v>
      </c>
      <c r="BV2139" t="s">
        <v>86</v>
      </c>
      <c r="BX2139">
        <v>18</v>
      </c>
      <c r="BY2139">
        <v>1980</v>
      </c>
      <c r="BZ2139">
        <v>0</v>
      </c>
    </row>
    <row r="2140" spans="1:78" x14ac:dyDescent="0.2">
      <c r="A2140" t="s">
        <v>1012</v>
      </c>
      <c r="B2140" t="s">
        <v>1013</v>
      </c>
      <c r="C2140" t="s">
        <v>1025</v>
      </c>
      <c r="D2140" t="s">
        <v>1049</v>
      </c>
      <c r="F2140" t="str">
        <f>"251605"</f>
        <v>251605</v>
      </c>
      <c r="G2140" t="s">
        <v>49</v>
      </c>
      <c r="H2140">
        <v>17</v>
      </c>
      <c r="K2140" t="s">
        <v>51</v>
      </c>
      <c r="L2140" t="s">
        <v>52</v>
      </c>
      <c r="M2140">
        <v>134220.24</v>
      </c>
      <c r="N2140">
        <v>473896.27</v>
      </c>
      <c r="O2140" t="s">
        <v>53</v>
      </c>
      <c r="P2140" t="s">
        <v>54</v>
      </c>
      <c r="Q2140" t="s">
        <v>55</v>
      </c>
      <c r="T2140" t="s">
        <v>466</v>
      </c>
      <c r="U2140">
        <v>40</v>
      </c>
      <c r="V2140" s="1">
        <v>35796</v>
      </c>
      <c r="W2140" s="1">
        <v>35796</v>
      </c>
      <c r="X2140" s="1">
        <v>35796</v>
      </c>
      <c r="Y2140" s="1">
        <v>50406</v>
      </c>
      <c r="Z2140" t="s">
        <v>51</v>
      </c>
      <c r="AB2140" t="s">
        <v>54</v>
      </c>
      <c r="AC2140">
        <v>1</v>
      </c>
      <c r="AE2140" t="s">
        <v>64</v>
      </c>
      <c r="AF2140">
        <v>20</v>
      </c>
      <c r="AG2140" s="1">
        <v>35977</v>
      </c>
      <c r="AH2140" s="1">
        <v>35977</v>
      </c>
      <c r="AI2140" s="1">
        <v>35977</v>
      </c>
      <c r="AJ2140" s="1">
        <v>43282</v>
      </c>
      <c r="AK2140" t="s">
        <v>51</v>
      </c>
      <c r="AN2140">
        <v>0</v>
      </c>
      <c r="AO2140" t="s">
        <v>54</v>
      </c>
      <c r="AP2140" t="s">
        <v>53</v>
      </c>
      <c r="AQ2140">
        <v>0</v>
      </c>
      <c r="AR2140" t="s">
        <v>53</v>
      </c>
      <c r="AS2140">
        <v>0</v>
      </c>
      <c r="AT2140">
        <v>0</v>
      </c>
      <c r="BK2140" t="s">
        <v>975</v>
      </c>
      <c r="BL2140">
        <v>50000</v>
      </c>
      <c r="BM2140" s="1">
        <v>44316</v>
      </c>
      <c r="BN2140" s="1">
        <v>44316</v>
      </c>
      <c r="BO2140" s="1">
        <v>44316</v>
      </c>
      <c r="BP2140" s="1">
        <v>48561</v>
      </c>
      <c r="BQ2140" t="s">
        <v>51</v>
      </c>
      <c r="BS2140" t="s">
        <v>60</v>
      </c>
      <c r="BT2140" t="s">
        <v>54</v>
      </c>
      <c r="BU2140" t="s">
        <v>61</v>
      </c>
      <c r="BV2140" t="s">
        <v>86</v>
      </c>
      <c r="BX2140">
        <v>18</v>
      </c>
      <c r="BY2140">
        <v>1980</v>
      </c>
      <c r="BZ2140">
        <v>0</v>
      </c>
    </row>
    <row r="2141" spans="1:78" x14ac:dyDescent="0.2">
      <c r="A2141" t="s">
        <v>1012</v>
      </c>
      <c r="B2141" t="s">
        <v>1013</v>
      </c>
      <c r="C2141" t="s">
        <v>1025</v>
      </c>
      <c r="D2141" t="s">
        <v>1049</v>
      </c>
      <c r="F2141" t="str">
        <f>"251606"</f>
        <v>251606</v>
      </c>
      <c r="G2141" t="s">
        <v>49</v>
      </c>
      <c r="H2141">
        <v>21</v>
      </c>
      <c r="K2141" t="s">
        <v>51</v>
      </c>
      <c r="L2141" t="s">
        <v>52</v>
      </c>
      <c r="M2141">
        <v>134217.04999999999</v>
      </c>
      <c r="N2141">
        <v>473927.47</v>
      </c>
      <c r="O2141" t="s">
        <v>53</v>
      </c>
      <c r="P2141" t="s">
        <v>54</v>
      </c>
      <c r="Q2141" t="s">
        <v>55</v>
      </c>
      <c r="T2141" t="s">
        <v>466</v>
      </c>
      <c r="U2141">
        <v>40</v>
      </c>
      <c r="V2141" s="1">
        <v>35796</v>
      </c>
      <c r="W2141" s="1">
        <v>35796</v>
      </c>
      <c r="X2141" s="1">
        <v>35796</v>
      </c>
      <c r="Y2141" s="1">
        <v>50406</v>
      </c>
      <c r="Z2141" t="s">
        <v>51</v>
      </c>
      <c r="AB2141" t="s">
        <v>54</v>
      </c>
      <c r="AC2141">
        <v>1</v>
      </c>
      <c r="AE2141" t="s">
        <v>64</v>
      </c>
      <c r="AF2141">
        <v>20</v>
      </c>
      <c r="AG2141" s="1">
        <v>35977</v>
      </c>
      <c r="AH2141" s="1">
        <v>35977</v>
      </c>
      <c r="AI2141" s="1">
        <v>35977</v>
      </c>
      <c r="AJ2141" s="1">
        <v>43282</v>
      </c>
      <c r="AK2141" t="s">
        <v>51</v>
      </c>
      <c r="AN2141">
        <v>0</v>
      </c>
      <c r="AO2141" t="s">
        <v>54</v>
      </c>
      <c r="AP2141" t="s">
        <v>53</v>
      </c>
      <c r="AQ2141">
        <v>0</v>
      </c>
      <c r="AR2141" t="s">
        <v>53</v>
      </c>
      <c r="AS2141">
        <v>0</v>
      </c>
      <c r="AT2141">
        <v>0</v>
      </c>
      <c r="BK2141" t="s">
        <v>975</v>
      </c>
      <c r="BL2141">
        <v>50000</v>
      </c>
      <c r="BM2141" s="1">
        <v>44316</v>
      </c>
      <c r="BN2141" s="1">
        <v>44316</v>
      </c>
      <c r="BO2141" s="1">
        <v>44316</v>
      </c>
      <c r="BP2141" s="1">
        <v>48561</v>
      </c>
      <c r="BQ2141" t="s">
        <v>51</v>
      </c>
      <c r="BS2141" t="s">
        <v>60</v>
      </c>
      <c r="BT2141" t="s">
        <v>54</v>
      </c>
      <c r="BU2141" t="s">
        <v>61</v>
      </c>
      <c r="BV2141" t="s">
        <v>86</v>
      </c>
      <c r="BX2141">
        <v>18</v>
      </c>
      <c r="BY2141">
        <v>1980</v>
      </c>
      <c r="BZ2141">
        <v>0</v>
      </c>
    </row>
    <row r="2142" spans="1:78" x14ac:dyDescent="0.2">
      <c r="A2142" t="s">
        <v>1012</v>
      </c>
      <c r="B2142" t="s">
        <v>1013</v>
      </c>
      <c r="C2142" t="s">
        <v>1025</v>
      </c>
      <c r="D2142" t="s">
        <v>1049</v>
      </c>
      <c r="F2142" t="str">
        <f>"251608"</f>
        <v>251608</v>
      </c>
      <c r="G2142" t="s">
        <v>49</v>
      </c>
      <c r="H2142">
        <v>31</v>
      </c>
      <c r="K2142" t="s">
        <v>51</v>
      </c>
      <c r="L2142" t="s">
        <v>52</v>
      </c>
      <c r="M2142">
        <v>134178.57999999999</v>
      </c>
      <c r="N2142">
        <v>473942.91</v>
      </c>
      <c r="O2142" t="s">
        <v>53</v>
      </c>
      <c r="P2142" t="s">
        <v>54</v>
      </c>
      <c r="Q2142" t="s">
        <v>55</v>
      </c>
      <c r="T2142" t="s">
        <v>466</v>
      </c>
      <c r="U2142">
        <v>40</v>
      </c>
      <c r="V2142" s="1">
        <v>35796</v>
      </c>
      <c r="W2142" s="1">
        <v>35796</v>
      </c>
      <c r="X2142" s="1">
        <v>35796</v>
      </c>
      <c r="Y2142" s="1">
        <v>50406</v>
      </c>
      <c r="Z2142" t="s">
        <v>51</v>
      </c>
      <c r="AB2142" t="s">
        <v>54</v>
      </c>
      <c r="AC2142">
        <v>1</v>
      </c>
      <c r="AE2142" t="s">
        <v>64</v>
      </c>
      <c r="AF2142">
        <v>20</v>
      </c>
      <c r="AG2142" s="1">
        <v>35977</v>
      </c>
      <c r="AH2142" s="1">
        <v>35977</v>
      </c>
      <c r="AI2142" s="1">
        <v>35977</v>
      </c>
      <c r="AJ2142" s="1">
        <v>43282</v>
      </c>
      <c r="AK2142" t="s">
        <v>51</v>
      </c>
      <c r="AN2142">
        <v>0</v>
      </c>
      <c r="AO2142" t="s">
        <v>54</v>
      </c>
      <c r="AP2142" t="s">
        <v>53</v>
      </c>
      <c r="AQ2142">
        <v>0</v>
      </c>
      <c r="AR2142" t="s">
        <v>53</v>
      </c>
      <c r="AS2142">
        <v>0</v>
      </c>
      <c r="AT2142">
        <v>0</v>
      </c>
      <c r="BK2142" t="s">
        <v>975</v>
      </c>
      <c r="BL2142">
        <v>50000</v>
      </c>
      <c r="BM2142" s="1">
        <v>44316</v>
      </c>
      <c r="BN2142" s="1">
        <v>44316</v>
      </c>
      <c r="BO2142" s="1">
        <v>44316</v>
      </c>
      <c r="BP2142" s="1">
        <v>48561</v>
      </c>
      <c r="BQ2142" t="s">
        <v>51</v>
      </c>
      <c r="BS2142" t="s">
        <v>60</v>
      </c>
      <c r="BT2142" t="s">
        <v>54</v>
      </c>
      <c r="BU2142" t="s">
        <v>61</v>
      </c>
      <c r="BV2142" t="s">
        <v>86</v>
      </c>
      <c r="BX2142">
        <v>18</v>
      </c>
      <c r="BY2142">
        <v>1980</v>
      </c>
      <c r="BZ2142">
        <v>0</v>
      </c>
    </row>
    <row r="2143" spans="1:78" x14ac:dyDescent="0.2">
      <c r="A2143" t="s">
        <v>1012</v>
      </c>
      <c r="B2143" t="s">
        <v>1013</v>
      </c>
      <c r="C2143" t="s">
        <v>1025</v>
      </c>
      <c r="D2143" t="s">
        <v>1049</v>
      </c>
      <c r="F2143" t="str">
        <f>"251609"</f>
        <v>251609</v>
      </c>
      <c r="G2143" t="s">
        <v>49</v>
      </c>
      <c r="H2143">
        <v>35</v>
      </c>
      <c r="K2143" t="s">
        <v>51</v>
      </c>
      <c r="L2143" t="s">
        <v>52</v>
      </c>
      <c r="M2143">
        <v>134146.5</v>
      </c>
      <c r="N2143">
        <v>473939.67</v>
      </c>
      <c r="O2143" t="s">
        <v>53</v>
      </c>
      <c r="P2143" t="s">
        <v>54</v>
      </c>
      <c r="Q2143" t="s">
        <v>55</v>
      </c>
      <c r="T2143" t="s">
        <v>466</v>
      </c>
      <c r="U2143">
        <v>40</v>
      </c>
      <c r="V2143" s="1">
        <v>35796</v>
      </c>
      <c r="W2143" s="1">
        <v>35796</v>
      </c>
      <c r="X2143" s="1">
        <v>35796</v>
      </c>
      <c r="Y2143" s="1">
        <v>50406</v>
      </c>
      <c r="Z2143" t="s">
        <v>51</v>
      </c>
      <c r="AB2143" t="s">
        <v>54</v>
      </c>
      <c r="AC2143">
        <v>1</v>
      </c>
      <c r="AE2143" t="s">
        <v>64</v>
      </c>
      <c r="AF2143">
        <v>20</v>
      </c>
      <c r="AG2143" s="1">
        <v>35977</v>
      </c>
      <c r="AH2143" s="1">
        <v>35977</v>
      </c>
      <c r="AI2143" s="1">
        <v>35977</v>
      </c>
      <c r="AJ2143" s="1">
        <v>43282</v>
      </c>
      <c r="AK2143" t="s">
        <v>51</v>
      </c>
      <c r="AN2143">
        <v>0</v>
      </c>
      <c r="AO2143" t="s">
        <v>54</v>
      </c>
      <c r="AP2143" t="s">
        <v>53</v>
      </c>
      <c r="AQ2143">
        <v>0</v>
      </c>
      <c r="AR2143" t="s">
        <v>53</v>
      </c>
      <c r="AS2143">
        <v>0</v>
      </c>
      <c r="AT2143">
        <v>0</v>
      </c>
      <c r="BK2143" t="s">
        <v>975</v>
      </c>
      <c r="BL2143">
        <v>50000</v>
      </c>
      <c r="BM2143" s="1">
        <v>44316</v>
      </c>
      <c r="BN2143" s="1">
        <v>44316</v>
      </c>
      <c r="BO2143" s="1">
        <v>44316</v>
      </c>
      <c r="BP2143" s="1">
        <v>48561</v>
      </c>
      <c r="BQ2143" t="s">
        <v>51</v>
      </c>
      <c r="BS2143" t="s">
        <v>60</v>
      </c>
      <c r="BT2143" t="s">
        <v>54</v>
      </c>
      <c r="BU2143" t="s">
        <v>61</v>
      </c>
      <c r="BV2143" t="s">
        <v>86</v>
      </c>
      <c r="BX2143">
        <v>18</v>
      </c>
      <c r="BY2143">
        <v>1980</v>
      </c>
      <c r="BZ2143">
        <v>0</v>
      </c>
    </row>
    <row r="2144" spans="1:78" x14ac:dyDescent="0.2">
      <c r="A2144" t="s">
        <v>1012</v>
      </c>
      <c r="B2144" t="s">
        <v>1013</v>
      </c>
      <c r="C2144" t="s">
        <v>1025</v>
      </c>
      <c r="D2144" t="s">
        <v>1049</v>
      </c>
      <c r="F2144" t="str">
        <f>"251610"</f>
        <v>251610</v>
      </c>
      <c r="G2144" t="s">
        <v>49</v>
      </c>
      <c r="H2144">
        <v>37</v>
      </c>
      <c r="K2144" t="s">
        <v>51</v>
      </c>
      <c r="L2144" t="s">
        <v>52</v>
      </c>
      <c r="M2144">
        <v>134115.26</v>
      </c>
      <c r="N2144">
        <v>473937.07</v>
      </c>
      <c r="O2144" t="s">
        <v>53</v>
      </c>
      <c r="P2144" t="s">
        <v>54</v>
      </c>
      <c r="Q2144" t="s">
        <v>55</v>
      </c>
      <c r="T2144" t="s">
        <v>466</v>
      </c>
      <c r="U2144">
        <v>40</v>
      </c>
      <c r="V2144" s="1">
        <v>35796</v>
      </c>
      <c r="W2144" s="1">
        <v>35796</v>
      </c>
      <c r="X2144" s="1">
        <v>35796</v>
      </c>
      <c r="Y2144" s="1">
        <v>50406</v>
      </c>
      <c r="Z2144" t="s">
        <v>51</v>
      </c>
      <c r="AB2144" t="s">
        <v>54</v>
      </c>
      <c r="AC2144">
        <v>1</v>
      </c>
      <c r="AE2144" t="s">
        <v>64</v>
      </c>
      <c r="AF2144">
        <v>20</v>
      </c>
      <c r="AG2144" s="1">
        <v>35977</v>
      </c>
      <c r="AH2144" s="1">
        <v>35977</v>
      </c>
      <c r="AI2144" s="1">
        <v>35977</v>
      </c>
      <c r="AJ2144" s="1">
        <v>43282</v>
      </c>
      <c r="AK2144" t="s">
        <v>51</v>
      </c>
      <c r="AN2144">
        <v>0</v>
      </c>
      <c r="AO2144" t="s">
        <v>54</v>
      </c>
      <c r="AP2144" t="s">
        <v>53</v>
      </c>
      <c r="AQ2144">
        <v>0</v>
      </c>
      <c r="AR2144" t="s">
        <v>53</v>
      </c>
      <c r="AS2144">
        <v>0</v>
      </c>
      <c r="AT2144">
        <v>0</v>
      </c>
      <c r="BK2144" t="s">
        <v>975</v>
      </c>
      <c r="BL2144">
        <v>50000</v>
      </c>
      <c r="BM2144" s="1">
        <v>44316</v>
      </c>
      <c r="BN2144" s="1">
        <v>44316</v>
      </c>
      <c r="BO2144" s="1">
        <v>44316</v>
      </c>
      <c r="BP2144" s="1">
        <v>48561</v>
      </c>
      <c r="BQ2144" t="s">
        <v>51</v>
      </c>
      <c r="BS2144" t="s">
        <v>60</v>
      </c>
      <c r="BT2144" t="s">
        <v>54</v>
      </c>
      <c r="BU2144" t="s">
        <v>61</v>
      </c>
      <c r="BV2144" t="s">
        <v>86</v>
      </c>
      <c r="BX2144">
        <v>18</v>
      </c>
      <c r="BY2144">
        <v>1980</v>
      </c>
      <c r="BZ2144">
        <v>0</v>
      </c>
    </row>
    <row r="2145" spans="1:78" x14ac:dyDescent="0.2">
      <c r="A2145" t="s">
        <v>1012</v>
      </c>
      <c r="B2145" t="s">
        <v>1013</v>
      </c>
      <c r="C2145" t="s">
        <v>1025</v>
      </c>
      <c r="D2145" t="s">
        <v>1049</v>
      </c>
      <c r="F2145" t="str">
        <f>"251611"</f>
        <v>251611</v>
      </c>
      <c r="G2145" t="s">
        <v>49</v>
      </c>
      <c r="H2145">
        <v>41</v>
      </c>
      <c r="K2145" t="s">
        <v>51</v>
      </c>
      <c r="L2145" t="s">
        <v>52</v>
      </c>
      <c r="M2145">
        <v>134087.39000000001</v>
      </c>
      <c r="N2145">
        <v>473934.81</v>
      </c>
      <c r="O2145" t="s">
        <v>53</v>
      </c>
      <c r="P2145" t="s">
        <v>54</v>
      </c>
      <c r="Q2145" t="s">
        <v>55</v>
      </c>
      <c r="T2145" t="s">
        <v>466</v>
      </c>
      <c r="U2145">
        <v>40</v>
      </c>
      <c r="V2145" s="1">
        <v>35796</v>
      </c>
      <c r="W2145" s="1">
        <v>35796</v>
      </c>
      <c r="X2145" s="1">
        <v>35796</v>
      </c>
      <c r="Y2145" s="1">
        <v>50406</v>
      </c>
      <c r="Z2145" t="s">
        <v>51</v>
      </c>
      <c r="AB2145" t="s">
        <v>54</v>
      </c>
      <c r="AC2145">
        <v>1</v>
      </c>
      <c r="AE2145" t="s">
        <v>64</v>
      </c>
      <c r="AF2145">
        <v>20</v>
      </c>
      <c r="AG2145" s="1">
        <v>35977</v>
      </c>
      <c r="AH2145" s="1">
        <v>35977</v>
      </c>
      <c r="AI2145" s="1">
        <v>35977</v>
      </c>
      <c r="AJ2145" s="1">
        <v>43282</v>
      </c>
      <c r="AK2145" t="s">
        <v>51</v>
      </c>
      <c r="AN2145">
        <v>0</v>
      </c>
      <c r="AO2145" t="s">
        <v>54</v>
      </c>
      <c r="AP2145" t="s">
        <v>53</v>
      </c>
      <c r="AQ2145">
        <v>0</v>
      </c>
      <c r="AR2145" t="s">
        <v>53</v>
      </c>
      <c r="AS2145">
        <v>0</v>
      </c>
      <c r="AT2145">
        <v>0</v>
      </c>
      <c r="BK2145" t="s">
        <v>975</v>
      </c>
      <c r="BL2145">
        <v>50000</v>
      </c>
      <c r="BM2145" s="1">
        <v>44316</v>
      </c>
      <c r="BN2145" s="1">
        <v>44316</v>
      </c>
      <c r="BO2145" s="1">
        <v>44316</v>
      </c>
      <c r="BP2145" s="1">
        <v>48561</v>
      </c>
      <c r="BQ2145" t="s">
        <v>51</v>
      </c>
      <c r="BS2145" t="s">
        <v>60</v>
      </c>
      <c r="BT2145" t="s">
        <v>54</v>
      </c>
      <c r="BU2145" t="s">
        <v>61</v>
      </c>
      <c r="BV2145" t="s">
        <v>86</v>
      </c>
      <c r="BX2145">
        <v>18</v>
      </c>
      <c r="BY2145">
        <v>1980</v>
      </c>
      <c r="BZ2145">
        <v>0</v>
      </c>
    </row>
    <row r="2146" spans="1:78" x14ac:dyDescent="0.2">
      <c r="A2146" t="s">
        <v>1012</v>
      </c>
      <c r="B2146" t="s">
        <v>1013</v>
      </c>
      <c r="C2146" t="s">
        <v>1025</v>
      </c>
      <c r="D2146" t="s">
        <v>1049</v>
      </c>
      <c r="F2146" t="str">
        <f>"251612"</f>
        <v>251612</v>
      </c>
      <c r="G2146" t="s">
        <v>49</v>
      </c>
      <c r="H2146">
        <v>12</v>
      </c>
      <c r="K2146" t="s">
        <v>51</v>
      </c>
      <c r="L2146" t="s">
        <v>52</v>
      </c>
      <c r="M2146">
        <v>134084.98000000001</v>
      </c>
      <c r="N2146">
        <v>473914.7</v>
      </c>
      <c r="O2146" t="s">
        <v>53</v>
      </c>
      <c r="P2146" t="s">
        <v>54</v>
      </c>
      <c r="Q2146" t="s">
        <v>55</v>
      </c>
      <c r="T2146" t="s">
        <v>466</v>
      </c>
      <c r="U2146">
        <v>40</v>
      </c>
      <c r="V2146" s="1">
        <v>35796</v>
      </c>
      <c r="W2146" s="1">
        <v>35796</v>
      </c>
      <c r="X2146" s="1">
        <v>35796</v>
      </c>
      <c r="Y2146" s="1">
        <v>50406</v>
      </c>
      <c r="Z2146" t="s">
        <v>51</v>
      </c>
      <c r="AB2146" t="s">
        <v>54</v>
      </c>
      <c r="AC2146">
        <v>1</v>
      </c>
      <c r="AE2146" t="s">
        <v>64</v>
      </c>
      <c r="AF2146">
        <v>20</v>
      </c>
      <c r="AG2146" s="1">
        <v>35977</v>
      </c>
      <c r="AH2146" s="1">
        <v>35977</v>
      </c>
      <c r="AI2146" s="1">
        <v>35977</v>
      </c>
      <c r="AJ2146" s="1">
        <v>43282</v>
      </c>
      <c r="AK2146" t="s">
        <v>51</v>
      </c>
      <c r="AN2146">
        <v>0</v>
      </c>
      <c r="AO2146" t="s">
        <v>54</v>
      </c>
      <c r="AP2146" t="s">
        <v>53</v>
      </c>
      <c r="AQ2146">
        <v>0</v>
      </c>
      <c r="AR2146" t="s">
        <v>53</v>
      </c>
      <c r="AS2146">
        <v>0</v>
      </c>
      <c r="AT2146">
        <v>0</v>
      </c>
      <c r="BK2146" t="s">
        <v>975</v>
      </c>
      <c r="BL2146">
        <v>50000</v>
      </c>
      <c r="BM2146" s="1">
        <v>44316</v>
      </c>
      <c r="BN2146" s="1">
        <v>44316</v>
      </c>
      <c r="BO2146" s="1">
        <v>44316</v>
      </c>
      <c r="BP2146" s="1">
        <v>48561</v>
      </c>
      <c r="BQ2146" t="s">
        <v>51</v>
      </c>
      <c r="BS2146" t="s">
        <v>60</v>
      </c>
      <c r="BT2146" t="s">
        <v>54</v>
      </c>
      <c r="BU2146" t="s">
        <v>61</v>
      </c>
      <c r="BV2146" t="s">
        <v>86</v>
      </c>
      <c r="BX2146">
        <v>18</v>
      </c>
      <c r="BY2146">
        <v>1980</v>
      </c>
      <c r="BZ2146">
        <v>0</v>
      </c>
    </row>
    <row r="2147" spans="1:78" x14ac:dyDescent="0.2">
      <c r="A2147" t="s">
        <v>1012</v>
      </c>
      <c r="B2147" t="s">
        <v>1013</v>
      </c>
      <c r="C2147" t="s">
        <v>1025</v>
      </c>
      <c r="D2147" t="s">
        <v>1049</v>
      </c>
      <c r="F2147" t="str">
        <f>"251613"</f>
        <v>251613</v>
      </c>
      <c r="G2147" t="s">
        <v>49</v>
      </c>
      <c r="H2147">
        <v>16</v>
      </c>
      <c r="K2147" t="s">
        <v>51</v>
      </c>
      <c r="L2147" t="s">
        <v>52</v>
      </c>
      <c r="M2147">
        <v>134087.76999999999</v>
      </c>
      <c r="N2147">
        <v>473885.01</v>
      </c>
      <c r="O2147" t="s">
        <v>53</v>
      </c>
      <c r="P2147" t="s">
        <v>54</v>
      </c>
      <c r="Q2147" t="s">
        <v>55</v>
      </c>
      <c r="T2147" t="s">
        <v>466</v>
      </c>
      <c r="U2147">
        <v>40</v>
      </c>
      <c r="V2147" s="1">
        <v>35796</v>
      </c>
      <c r="W2147" s="1">
        <v>35796</v>
      </c>
      <c r="X2147" s="1">
        <v>35796</v>
      </c>
      <c r="Y2147" s="1">
        <v>50406</v>
      </c>
      <c r="Z2147" t="s">
        <v>51</v>
      </c>
      <c r="AB2147" t="s">
        <v>54</v>
      </c>
      <c r="AC2147">
        <v>1</v>
      </c>
      <c r="AE2147" t="s">
        <v>64</v>
      </c>
      <c r="AF2147">
        <v>20</v>
      </c>
      <c r="AG2147" s="1">
        <v>35977</v>
      </c>
      <c r="AH2147" s="1">
        <v>35977</v>
      </c>
      <c r="AI2147" s="1">
        <v>35977</v>
      </c>
      <c r="AJ2147" s="1">
        <v>43282</v>
      </c>
      <c r="AK2147" t="s">
        <v>51</v>
      </c>
      <c r="AN2147">
        <v>0</v>
      </c>
      <c r="AO2147" t="s">
        <v>54</v>
      </c>
      <c r="AP2147" t="s">
        <v>53</v>
      </c>
      <c r="AQ2147">
        <v>0</v>
      </c>
      <c r="AR2147" t="s">
        <v>53</v>
      </c>
      <c r="AS2147">
        <v>0</v>
      </c>
      <c r="AT2147">
        <v>0</v>
      </c>
      <c r="BK2147" t="s">
        <v>975</v>
      </c>
      <c r="BL2147">
        <v>50000</v>
      </c>
      <c r="BM2147" s="1">
        <v>44316</v>
      </c>
      <c r="BN2147" s="1">
        <v>44316</v>
      </c>
      <c r="BO2147" s="1">
        <v>44316</v>
      </c>
      <c r="BP2147" s="1">
        <v>48561</v>
      </c>
      <c r="BQ2147" t="s">
        <v>51</v>
      </c>
      <c r="BS2147" t="s">
        <v>60</v>
      </c>
      <c r="BT2147" t="s">
        <v>54</v>
      </c>
      <c r="BU2147" t="s">
        <v>61</v>
      </c>
      <c r="BV2147" t="s">
        <v>86</v>
      </c>
      <c r="BX2147">
        <v>18</v>
      </c>
      <c r="BY2147">
        <v>1980</v>
      </c>
      <c r="BZ2147">
        <v>0</v>
      </c>
    </row>
    <row r="2148" spans="1:78" x14ac:dyDescent="0.2">
      <c r="A2148" t="s">
        <v>1012</v>
      </c>
      <c r="B2148" t="s">
        <v>1013</v>
      </c>
      <c r="C2148" t="s">
        <v>1025</v>
      </c>
      <c r="D2148" t="s">
        <v>1049</v>
      </c>
      <c r="F2148" t="str">
        <f>"251614"</f>
        <v>251614</v>
      </c>
      <c r="G2148" t="s">
        <v>49</v>
      </c>
      <c r="H2148">
        <v>20</v>
      </c>
      <c r="K2148" t="s">
        <v>51</v>
      </c>
      <c r="L2148" t="s">
        <v>52</v>
      </c>
      <c r="M2148">
        <v>134090.19</v>
      </c>
      <c r="N2148">
        <v>473856.26</v>
      </c>
      <c r="O2148" t="s">
        <v>53</v>
      </c>
      <c r="P2148" t="s">
        <v>54</v>
      </c>
      <c r="Q2148" t="s">
        <v>55</v>
      </c>
      <c r="T2148" t="s">
        <v>466</v>
      </c>
      <c r="U2148">
        <v>40</v>
      </c>
      <c r="V2148" s="1">
        <v>35796</v>
      </c>
      <c r="W2148" s="1">
        <v>35796</v>
      </c>
      <c r="X2148" s="1">
        <v>35796</v>
      </c>
      <c r="Y2148" s="1">
        <v>50406</v>
      </c>
      <c r="Z2148" t="s">
        <v>51</v>
      </c>
      <c r="AB2148" t="s">
        <v>54</v>
      </c>
      <c r="AC2148">
        <v>1</v>
      </c>
      <c r="AE2148" t="s">
        <v>64</v>
      </c>
      <c r="AF2148">
        <v>20</v>
      </c>
      <c r="AG2148" s="1">
        <v>35977</v>
      </c>
      <c r="AH2148" s="1">
        <v>35977</v>
      </c>
      <c r="AI2148" s="1">
        <v>35977</v>
      </c>
      <c r="AJ2148" s="1">
        <v>43282</v>
      </c>
      <c r="AK2148" t="s">
        <v>51</v>
      </c>
      <c r="AN2148">
        <v>0</v>
      </c>
      <c r="AO2148" t="s">
        <v>54</v>
      </c>
      <c r="AP2148" t="s">
        <v>53</v>
      </c>
      <c r="AQ2148">
        <v>0</v>
      </c>
      <c r="AR2148" t="s">
        <v>53</v>
      </c>
      <c r="AS2148">
        <v>0</v>
      </c>
      <c r="AT2148">
        <v>0</v>
      </c>
      <c r="BK2148" t="s">
        <v>975</v>
      </c>
      <c r="BL2148">
        <v>50000</v>
      </c>
      <c r="BM2148" s="1">
        <v>44316</v>
      </c>
      <c r="BN2148" s="1">
        <v>44316</v>
      </c>
      <c r="BO2148" s="1">
        <v>44316</v>
      </c>
      <c r="BP2148" s="1">
        <v>48561</v>
      </c>
      <c r="BQ2148" t="s">
        <v>51</v>
      </c>
      <c r="BS2148" t="s">
        <v>60</v>
      </c>
      <c r="BT2148" t="s">
        <v>54</v>
      </c>
      <c r="BU2148" t="s">
        <v>61</v>
      </c>
      <c r="BV2148" t="s">
        <v>86</v>
      </c>
      <c r="BX2148">
        <v>18</v>
      </c>
      <c r="BY2148">
        <v>1980</v>
      </c>
      <c r="BZ2148">
        <v>0</v>
      </c>
    </row>
    <row r="2149" spans="1:78" x14ac:dyDescent="0.2">
      <c r="A2149" t="s">
        <v>1012</v>
      </c>
      <c r="B2149" t="s">
        <v>1013</v>
      </c>
      <c r="C2149" t="s">
        <v>1025</v>
      </c>
      <c r="D2149" t="s">
        <v>1049</v>
      </c>
      <c r="F2149" t="str">
        <f>"251615"</f>
        <v>251615</v>
      </c>
      <c r="G2149" t="s">
        <v>49</v>
      </c>
      <c r="H2149">
        <v>24</v>
      </c>
      <c r="K2149" t="s">
        <v>51</v>
      </c>
      <c r="L2149" t="s">
        <v>52</v>
      </c>
      <c r="M2149">
        <v>134092.89000000001</v>
      </c>
      <c r="N2149">
        <v>473825.84</v>
      </c>
      <c r="O2149" t="s">
        <v>53</v>
      </c>
      <c r="P2149" t="s">
        <v>54</v>
      </c>
      <c r="Q2149" t="s">
        <v>55</v>
      </c>
      <c r="T2149" t="s">
        <v>466</v>
      </c>
      <c r="U2149">
        <v>40</v>
      </c>
      <c r="V2149" s="1">
        <v>35796</v>
      </c>
      <c r="W2149" s="1">
        <v>35796</v>
      </c>
      <c r="X2149" s="1">
        <v>35796</v>
      </c>
      <c r="Y2149" s="1">
        <v>50406</v>
      </c>
      <c r="Z2149" t="s">
        <v>51</v>
      </c>
      <c r="AB2149" t="s">
        <v>54</v>
      </c>
      <c r="AC2149">
        <v>1</v>
      </c>
      <c r="AE2149" t="s">
        <v>64</v>
      </c>
      <c r="AF2149">
        <v>20</v>
      </c>
      <c r="AG2149" s="1">
        <v>35977</v>
      </c>
      <c r="AH2149" s="1">
        <v>35977</v>
      </c>
      <c r="AI2149" s="1">
        <v>35977</v>
      </c>
      <c r="AJ2149" s="1">
        <v>43282</v>
      </c>
      <c r="AK2149" t="s">
        <v>51</v>
      </c>
      <c r="AN2149">
        <v>0</v>
      </c>
      <c r="AO2149" t="s">
        <v>54</v>
      </c>
      <c r="AP2149" t="s">
        <v>53</v>
      </c>
      <c r="AQ2149">
        <v>0</v>
      </c>
      <c r="AR2149" t="s">
        <v>53</v>
      </c>
      <c r="AS2149">
        <v>0</v>
      </c>
      <c r="AT2149">
        <v>0</v>
      </c>
      <c r="BK2149" t="s">
        <v>975</v>
      </c>
      <c r="BL2149">
        <v>50000</v>
      </c>
      <c r="BM2149" s="1">
        <v>44316</v>
      </c>
      <c r="BN2149" s="1">
        <v>44316</v>
      </c>
      <c r="BO2149" s="1">
        <v>44316</v>
      </c>
      <c r="BP2149" s="1">
        <v>48561</v>
      </c>
      <c r="BQ2149" t="s">
        <v>51</v>
      </c>
      <c r="BS2149" t="s">
        <v>60</v>
      </c>
      <c r="BT2149" t="s">
        <v>54</v>
      </c>
      <c r="BU2149" t="s">
        <v>61</v>
      </c>
      <c r="BV2149" t="s">
        <v>86</v>
      </c>
      <c r="BX2149">
        <v>18</v>
      </c>
      <c r="BY2149">
        <v>1980</v>
      </c>
      <c r="BZ2149">
        <v>0</v>
      </c>
    </row>
    <row r="2150" spans="1:78" x14ac:dyDescent="0.2">
      <c r="A2150" t="s">
        <v>1012</v>
      </c>
      <c r="B2150" t="s">
        <v>1013</v>
      </c>
      <c r="C2150" t="s">
        <v>1025</v>
      </c>
      <c r="D2150" t="s">
        <v>1049</v>
      </c>
      <c r="F2150" t="str">
        <f>"251617"</f>
        <v>251617</v>
      </c>
      <c r="G2150" t="s">
        <v>49</v>
      </c>
      <c r="H2150">
        <v>34</v>
      </c>
      <c r="K2150" t="s">
        <v>51</v>
      </c>
      <c r="L2150" t="s">
        <v>52</v>
      </c>
      <c r="M2150">
        <v>134097.38</v>
      </c>
      <c r="N2150">
        <v>473769.66</v>
      </c>
      <c r="O2150" t="s">
        <v>53</v>
      </c>
      <c r="P2150" t="s">
        <v>54</v>
      </c>
      <c r="Q2150" t="s">
        <v>55</v>
      </c>
      <c r="T2150" t="s">
        <v>466</v>
      </c>
      <c r="U2150">
        <v>40</v>
      </c>
      <c r="V2150" s="1">
        <v>35796</v>
      </c>
      <c r="W2150" s="1">
        <v>35796</v>
      </c>
      <c r="X2150" s="1">
        <v>35796</v>
      </c>
      <c r="Y2150" s="1">
        <v>50406</v>
      </c>
      <c r="Z2150" t="s">
        <v>51</v>
      </c>
      <c r="AB2150" t="s">
        <v>54</v>
      </c>
      <c r="AC2150">
        <v>1</v>
      </c>
      <c r="AE2150" t="s">
        <v>64</v>
      </c>
      <c r="AF2150">
        <v>20</v>
      </c>
      <c r="AG2150" s="1">
        <v>35977</v>
      </c>
      <c r="AH2150" s="1">
        <v>35977</v>
      </c>
      <c r="AI2150" s="1">
        <v>35977</v>
      </c>
      <c r="AJ2150" s="1">
        <v>43282</v>
      </c>
      <c r="AK2150" t="s">
        <v>51</v>
      </c>
      <c r="AN2150">
        <v>0</v>
      </c>
      <c r="AO2150" t="s">
        <v>54</v>
      </c>
      <c r="AP2150" t="s">
        <v>53</v>
      </c>
      <c r="AQ2150">
        <v>0</v>
      </c>
      <c r="AR2150" t="s">
        <v>53</v>
      </c>
      <c r="AS2150">
        <v>0</v>
      </c>
      <c r="AT2150">
        <v>0</v>
      </c>
      <c r="BK2150" t="s">
        <v>975</v>
      </c>
      <c r="BL2150">
        <v>50000</v>
      </c>
      <c r="BM2150" s="1">
        <v>44316</v>
      </c>
      <c r="BN2150" s="1">
        <v>44316</v>
      </c>
      <c r="BO2150" s="1">
        <v>44316</v>
      </c>
      <c r="BP2150" s="1">
        <v>48561</v>
      </c>
      <c r="BQ2150" t="s">
        <v>51</v>
      </c>
      <c r="BS2150" t="s">
        <v>60</v>
      </c>
      <c r="BT2150" t="s">
        <v>54</v>
      </c>
      <c r="BU2150" t="s">
        <v>61</v>
      </c>
      <c r="BV2150" t="s">
        <v>86</v>
      </c>
      <c r="BX2150">
        <v>18</v>
      </c>
      <c r="BY2150">
        <v>1980</v>
      </c>
      <c r="BZ2150">
        <v>0</v>
      </c>
    </row>
    <row r="2151" spans="1:78" x14ac:dyDescent="0.2">
      <c r="A2151" t="s">
        <v>1012</v>
      </c>
      <c r="B2151" t="s">
        <v>1013</v>
      </c>
      <c r="C2151" t="s">
        <v>1025</v>
      </c>
      <c r="D2151" t="s">
        <v>1049</v>
      </c>
      <c r="F2151" t="str">
        <f>"251618"</f>
        <v>251618</v>
      </c>
      <c r="G2151" t="s">
        <v>49</v>
      </c>
      <c r="H2151">
        <v>36</v>
      </c>
      <c r="K2151" t="s">
        <v>51</v>
      </c>
      <c r="L2151" t="s">
        <v>52</v>
      </c>
      <c r="M2151">
        <v>134103.26999999999</v>
      </c>
      <c r="N2151">
        <v>473743.84</v>
      </c>
      <c r="O2151" t="s">
        <v>53</v>
      </c>
      <c r="P2151" t="s">
        <v>54</v>
      </c>
      <c r="Q2151" t="s">
        <v>55</v>
      </c>
      <c r="T2151" t="s">
        <v>466</v>
      </c>
      <c r="U2151">
        <v>40</v>
      </c>
      <c r="V2151" s="1">
        <v>35796</v>
      </c>
      <c r="W2151" s="1">
        <v>35796</v>
      </c>
      <c r="X2151" s="1">
        <v>35796</v>
      </c>
      <c r="Y2151" s="1">
        <v>50406</v>
      </c>
      <c r="Z2151" t="s">
        <v>51</v>
      </c>
      <c r="AB2151" t="s">
        <v>54</v>
      </c>
      <c r="AC2151">
        <v>1</v>
      </c>
      <c r="AE2151" t="s">
        <v>64</v>
      </c>
      <c r="AF2151">
        <v>20</v>
      </c>
      <c r="AG2151" s="1">
        <v>35977</v>
      </c>
      <c r="AH2151" s="1">
        <v>35977</v>
      </c>
      <c r="AI2151" s="1">
        <v>35977</v>
      </c>
      <c r="AJ2151" s="1">
        <v>43282</v>
      </c>
      <c r="AK2151" t="s">
        <v>51</v>
      </c>
      <c r="AN2151">
        <v>0</v>
      </c>
      <c r="AO2151" t="s">
        <v>54</v>
      </c>
      <c r="AP2151" t="s">
        <v>53</v>
      </c>
      <c r="AQ2151">
        <v>0</v>
      </c>
      <c r="AR2151" t="s">
        <v>53</v>
      </c>
      <c r="AS2151">
        <v>0</v>
      </c>
      <c r="AT2151">
        <v>0</v>
      </c>
      <c r="BK2151" t="s">
        <v>975</v>
      </c>
      <c r="BL2151">
        <v>50000</v>
      </c>
      <c r="BM2151" s="1">
        <v>44316</v>
      </c>
      <c r="BN2151" s="1">
        <v>44316</v>
      </c>
      <c r="BO2151" s="1">
        <v>44316</v>
      </c>
      <c r="BP2151" s="1">
        <v>48561</v>
      </c>
      <c r="BQ2151" t="s">
        <v>51</v>
      </c>
      <c r="BS2151" t="s">
        <v>60</v>
      </c>
      <c r="BT2151" t="s">
        <v>54</v>
      </c>
      <c r="BU2151" t="s">
        <v>61</v>
      </c>
      <c r="BV2151" t="s">
        <v>86</v>
      </c>
      <c r="BX2151">
        <v>18</v>
      </c>
      <c r="BY2151">
        <v>1980</v>
      </c>
      <c r="BZ2151">
        <v>0</v>
      </c>
    </row>
    <row r="2152" spans="1:78" x14ac:dyDescent="0.2">
      <c r="A2152" t="s">
        <v>1012</v>
      </c>
      <c r="B2152" t="s">
        <v>1013</v>
      </c>
      <c r="C2152" t="s">
        <v>1025</v>
      </c>
      <c r="D2152" t="s">
        <v>1049</v>
      </c>
      <c r="F2152" t="str">
        <f>"251619"</f>
        <v>251619</v>
      </c>
      <c r="G2152" t="s">
        <v>49</v>
      </c>
      <c r="H2152">
        <v>36</v>
      </c>
      <c r="K2152" t="s">
        <v>51</v>
      </c>
      <c r="L2152" t="s">
        <v>52</v>
      </c>
      <c r="M2152">
        <v>134125.29999999999</v>
      </c>
      <c r="N2152">
        <v>473745.35</v>
      </c>
      <c r="O2152" t="s">
        <v>53</v>
      </c>
      <c r="P2152" t="s">
        <v>54</v>
      </c>
      <c r="Q2152" t="s">
        <v>55</v>
      </c>
      <c r="T2152" t="s">
        <v>466</v>
      </c>
      <c r="U2152">
        <v>40</v>
      </c>
      <c r="V2152" s="1">
        <v>35796</v>
      </c>
      <c r="W2152" s="1">
        <v>35796</v>
      </c>
      <c r="X2152" s="1">
        <v>35796</v>
      </c>
      <c r="Y2152" s="1">
        <v>50406</v>
      </c>
      <c r="Z2152" t="s">
        <v>51</v>
      </c>
      <c r="AB2152" t="s">
        <v>54</v>
      </c>
      <c r="AC2152">
        <v>1</v>
      </c>
      <c r="AE2152" t="s">
        <v>64</v>
      </c>
      <c r="AF2152">
        <v>20</v>
      </c>
      <c r="AG2152" s="1">
        <v>35977</v>
      </c>
      <c r="AH2152" s="1">
        <v>35977</v>
      </c>
      <c r="AI2152" s="1">
        <v>35977</v>
      </c>
      <c r="AJ2152" s="1">
        <v>43282</v>
      </c>
      <c r="AK2152" t="s">
        <v>51</v>
      </c>
      <c r="AN2152">
        <v>0</v>
      </c>
      <c r="AO2152" t="s">
        <v>54</v>
      </c>
      <c r="AP2152" t="s">
        <v>53</v>
      </c>
      <c r="AQ2152">
        <v>0</v>
      </c>
      <c r="AR2152" t="s">
        <v>53</v>
      </c>
      <c r="AS2152">
        <v>0</v>
      </c>
      <c r="AT2152">
        <v>0</v>
      </c>
      <c r="BK2152" t="s">
        <v>975</v>
      </c>
      <c r="BL2152">
        <v>50000</v>
      </c>
      <c r="BM2152" s="1">
        <v>44316</v>
      </c>
      <c r="BN2152" s="1">
        <v>44316</v>
      </c>
      <c r="BO2152" s="1">
        <v>44316</v>
      </c>
      <c r="BP2152" s="1">
        <v>48561</v>
      </c>
      <c r="BQ2152" t="s">
        <v>51</v>
      </c>
      <c r="BS2152" t="s">
        <v>60</v>
      </c>
      <c r="BT2152" t="s">
        <v>54</v>
      </c>
      <c r="BU2152" t="s">
        <v>61</v>
      </c>
      <c r="BV2152" t="s">
        <v>86</v>
      </c>
      <c r="BX2152">
        <v>18</v>
      </c>
      <c r="BY2152">
        <v>1980</v>
      </c>
      <c r="BZ2152">
        <v>0</v>
      </c>
    </row>
    <row r="2153" spans="1:78" x14ac:dyDescent="0.2">
      <c r="A2153" t="s">
        <v>1012</v>
      </c>
      <c r="B2153" t="s">
        <v>1013</v>
      </c>
      <c r="C2153" t="s">
        <v>1025</v>
      </c>
      <c r="D2153" t="s">
        <v>1049</v>
      </c>
      <c r="F2153" t="str">
        <f>"251620"</f>
        <v>251620</v>
      </c>
      <c r="G2153" t="s">
        <v>49</v>
      </c>
      <c r="H2153">
        <v>38</v>
      </c>
      <c r="K2153" t="s">
        <v>51</v>
      </c>
      <c r="L2153" t="s">
        <v>52</v>
      </c>
      <c r="M2153">
        <v>134147.25</v>
      </c>
      <c r="N2153">
        <v>473747.31</v>
      </c>
      <c r="O2153" t="s">
        <v>53</v>
      </c>
      <c r="P2153" t="s">
        <v>54</v>
      </c>
      <c r="Q2153" t="s">
        <v>55</v>
      </c>
      <c r="T2153" t="s">
        <v>466</v>
      </c>
      <c r="U2153">
        <v>40</v>
      </c>
      <c r="V2153" s="1">
        <v>35796</v>
      </c>
      <c r="W2153" s="1">
        <v>35796</v>
      </c>
      <c r="X2153" s="1">
        <v>35796</v>
      </c>
      <c r="Y2153" s="1">
        <v>50406</v>
      </c>
      <c r="Z2153" t="s">
        <v>51</v>
      </c>
      <c r="AB2153" t="s">
        <v>54</v>
      </c>
      <c r="AC2153">
        <v>1</v>
      </c>
      <c r="AE2153" t="s">
        <v>64</v>
      </c>
      <c r="AF2153">
        <v>20</v>
      </c>
      <c r="AG2153" s="1">
        <v>35977</v>
      </c>
      <c r="AH2153" s="1">
        <v>35977</v>
      </c>
      <c r="AI2153" s="1">
        <v>35977</v>
      </c>
      <c r="AJ2153" s="1">
        <v>43282</v>
      </c>
      <c r="AK2153" t="s">
        <v>51</v>
      </c>
      <c r="AN2153">
        <v>0</v>
      </c>
      <c r="AO2153" t="s">
        <v>54</v>
      </c>
      <c r="AP2153" t="s">
        <v>53</v>
      </c>
      <c r="AQ2153">
        <v>0</v>
      </c>
      <c r="AR2153" t="s">
        <v>53</v>
      </c>
      <c r="AS2153">
        <v>0</v>
      </c>
      <c r="AT2153">
        <v>0</v>
      </c>
      <c r="BK2153" t="s">
        <v>975</v>
      </c>
      <c r="BL2153">
        <v>50000</v>
      </c>
      <c r="BM2153" s="1">
        <v>44316</v>
      </c>
      <c r="BN2153" s="1">
        <v>44316</v>
      </c>
      <c r="BO2153" s="1">
        <v>44316</v>
      </c>
      <c r="BP2153" s="1">
        <v>48561</v>
      </c>
      <c r="BQ2153" t="s">
        <v>51</v>
      </c>
      <c r="BS2153" t="s">
        <v>60</v>
      </c>
      <c r="BT2153" t="s">
        <v>54</v>
      </c>
      <c r="BU2153" t="s">
        <v>61</v>
      </c>
      <c r="BV2153" t="s">
        <v>86</v>
      </c>
      <c r="BX2153">
        <v>18</v>
      </c>
      <c r="BY2153">
        <v>1980</v>
      </c>
      <c r="BZ2153">
        <v>0</v>
      </c>
    </row>
    <row r="2154" spans="1:78" x14ac:dyDescent="0.2">
      <c r="A2154" t="s">
        <v>1012</v>
      </c>
      <c r="B2154" t="s">
        <v>1013</v>
      </c>
      <c r="C2154" t="s">
        <v>1025</v>
      </c>
      <c r="D2154" t="s">
        <v>1049</v>
      </c>
      <c r="F2154" t="str">
        <f>"251621"</f>
        <v>251621</v>
      </c>
      <c r="G2154" t="s">
        <v>49</v>
      </c>
      <c r="K2154" t="s">
        <v>51</v>
      </c>
      <c r="L2154" t="s">
        <v>52</v>
      </c>
      <c r="M2154">
        <v>134171.986</v>
      </c>
      <c r="N2154">
        <v>473749.50199999998</v>
      </c>
      <c r="O2154" t="s">
        <v>53</v>
      </c>
      <c r="P2154" t="s">
        <v>54</v>
      </c>
      <c r="Q2154" t="s">
        <v>55</v>
      </c>
      <c r="T2154" t="s">
        <v>466</v>
      </c>
      <c r="U2154">
        <v>40</v>
      </c>
      <c r="V2154" s="1">
        <v>35796</v>
      </c>
      <c r="W2154" s="1">
        <v>35796</v>
      </c>
      <c r="X2154" s="1">
        <v>35796</v>
      </c>
      <c r="Y2154" s="1">
        <v>50406</v>
      </c>
      <c r="Z2154" t="s">
        <v>51</v>
      </c>
      <c r="AB2154" t="s">
        <v>54</v>
      </c>
      <c r="AC2154">
        <v>1</v>
      </c>
      <c r="AE2154" t="s">
        <v>64</v>
      </c>
      <c r="AF2154">
        <v>20</v>
      </c>
      <c r="AG2154" s="1">
        <v>35977</v>
      </c>
      <c r="AH2154" s="1">
        <v>35977</v>
      </c>
      <c r="AI2154" s="1">
        <v>35977</v>
      </c>
      <c r="AJ2154" s="1">
        <v>43282</v>
      </c>
      <c r="AK2154" t="s">
        <v>51</v>
      </c>
      <c r="AN2154">
        <v>0</v>
      </c>
      <c r="AO2154" t="s">
        <v>54</v>
      </c>
      <c r="AP2154" t="s">
        <v>53</v>
      </c>
      <c r="AQ2154">
        <v>0</v>
      </c>
      <c r="AR2154" t="s">
        <v>53</v>
      </c>
      <c r="AS2154">
        <v>0</v>
      </c>
      <c r="AT2154">
        <v>0</v>
      </c>
      <c r="BK2154" t="s">
        <v>975</v>
      </c>
      <c r="BL2154">
        <v>50000</v>
      </c>
      <c r="BM2154" s="1">
        <v>44316</v>
      </c>
      <c r="BN2154" s="1">
        <v>44316</v>
      </c>
      <c r="BO2154" s="1">
        <v>44316</v>
      </c>
      <c r="BP2154" s="1">
        <v>48561</v>
      </c>
      <c r="BQ2154" t="s">
        <v>51</v>
      </c>
      <c r="BS2154" t="s">
        <v>60</v>
      </c>
      <c r="BT2154" t="s">
        <v>54</v>
      </c>
      <c r="BU2154" t="s">
        <v>61</v>
      </c>
      <c r="BV2154" t="s">
        <v>86</v>
      </c>
      <c r="BX2154">
        <v>18</v>
      </c>
      <c r="BY2154">
        <v>1980</v>
      </c>
      <c r="BZ2154">
        <v>0</v>
      </c>
    </row>
    <row r="2155" spans="1:78" x14ac:dyDescent="0.2">
      <c r="A2155" t="s">
        <v>1012</v>
      </c>
      <c r="B2155" t="s">
        <v>1013</v>
      </c>
      <c r="C2155" t="s">
        <v>1025</v>
      </c>
      <c r="D2155" t="s">
        <v>1049</v>
      </c>
      <c r="F2155" t="str">
        <f>"251622"</f>
        <v>251622</v>
      </c>
      <c r="G2155" t="s">
        <v>49</v>
      </c>
      <c r="H2155">
        <v>40</v>
      </c>
      <c r="K2155" t="s">
        <v>51</v>
      </c>
      <c r="L2155" t="s">
        <v>52</v>
      </c>
      <c r="M2155">
        <v>134164.99</v>
      </c>
      <c r="N2155">
        <v>473773.62</v>
      </c>
      <c r="O2155" t="s">
        <v>53</v>
      </c>
      <c r="P2155" t="s">
        <v>54</v>
      </c>
      <c r="Q2155" t="s">
        <v>55</v>
      </c>
      <c r="T2155" t="s">
        <v>466</v>
      </c>
      <c r="U2155">
        <v>40</v>
      </c>
      <c r="V2155" s="1">
        <v>35796</v>
      </c>
      <c r="W2155" s="1">
        <v>35796</v>
      </c>
      <c r="X2155" s="1">
        <v>35796</v>
      </c>
      <c r="Y2155" s="1">
        <v>50406</v>
      </c>
      <c r="Z2155" t="s">
        <v>51</v>
      </c>
      <c r="AB2155" t="s">
        <v>54</v>
      </c>
      <c r="AC2155">
        <v>1</v>
      </c>
      <c r="AE2155" t="s">
        <v>64</v>
      </c>
      <c r="AF2155">
        <v>20</v>
      </c>
      <c r="AG2155" s="1">
        <v>35977</v>
      </c>
      <c r="AH2155" s="1">
        <v>35977</v>
      </c>
      <c r="AI2155" s="1">
        <v>35977</v>
      </c>
      <c r="AJ2155" s="1">
        <v>43282</v>
      </c>
      <c r="AK2155" t="s">
        <v>51</v>
      </c>
      <c r="AN2155">
        <v>0</v>
      </c>
      <c r="AO2155" t="s">
        <v>54</v>
      </c>
      <c r="AP2155" t="s">
        <v>53</v>
      </c>
      <c r="AQ2155">
        <v>0</v>
      </c>
      <c r="AR2155" t="s">
        <v>53</v>
      </c>
      <c r="AS2155">
        <v>0</v>
      </c>
      <c r="AT2155">
        <v>0</v>
      </c>
      <c r="BK2155" t="s">
        <v>975</v>
      </c>
      <c r="BL2155">
        <v>50000</v>
      </c>
      <c r="BM2155" s="1">
        <v>44316</v>
      </c>
      <c r="BN2155" s="1">
        <v>44316</v>
      </c>
      <c r="BO2155" s="1">
        <v>44316</v>
      </c>
      <c r="BP2155" s="1">
        <v>48561</v>
      </c>
      <c r="BQ2155" t="s">
        <v>51</v>
      </c>
      <c r="BS2155" t="s">
        <v>60</v>
      </c>
      <c r="BT2155" t="s">
        <v>54</v>
      </c>
      <c r="BU2155" t="s">
        <v>61</v>
      </c>
      <c r="BV2155" t="s">
        <v>86</v>
      </c>
      <c r="BX2155">
        <v>18</v>
      </c>
      <c r="BY2155">
        <v>1980</v>
      </c>
      <c r="BZ2155">
        <v>0</v>
      </c>
    </row>
    <row r="2156" spans="1:78" x14ac:dyDescent="0.2">
      <c r="A2156" t="s">
        <v>1012</v>
      </c>
      <c r="B2156" t="s">
        <v>1013</v>
      </c>
      <c r="C2156" t="s">
        <v>1025</v>
      </c>
      <c r="D2156" t="s">
        <v>1049</v>
      </c>
      <c r="F2156" t="str">
        <f>"251623"</f>
        <v>251623</v>
      </c>
      <c r="G2156" t="s">
        <v>49</v>
      </c>
      <c r="K2156" t="s">
        <v>51</v>
      </c>
      <c r="L2156" t="s">
        <v>52</v>
      </c>
      <c r="M2156">
        <v>134162.6</v>
      </c>
      <c r="N2156">
        <v>473803.62</v>
      </c>
      <c r="O2156" t="s">
        <v>53</v>
      </c>
      <c r="P2156" t="s">
        <v>54</v>
      </c>
      <c r="Q2156" t="s">
        <v>55</v>
      </c>
      <c r="T2156" t="s">
        <v>466</v>
      </c>
      <c r="U2156">
        <v>40</v>
      </c>
      <c r="V2156" s="1">
        <v>35796</v>
      </c>
      <c r="W2156" s="1">
        <v>35796</v>
      </c>
      <c r="X2156" s="1">
        <v>35796</v>
      </c>
      <c r="Y2156" s="1">
        <v>50406</v>
      </c>
      <c r="Z2156" t="s">
        <v>51</v>
      </c>
      <c r="AB2156" t="s">
        <v>54</v>
      </c>
      <c r="AC2156">
        <v>1</v>
      </c>
      <c r="AE2156" t="s">
        <v>64</v>
      </c>
      <c r="AF2156">
        <v>20</v>
      </c>
      <c r="AG2156" s="1">
        <v>35977</v>
      </c>
      <c r="AH2156" s="1">
        <v>35977</v>
      </c>
      <c r="AI2156" s="1">
        <v>35977</v>
      </c>
      <c r="AJ2156" s="1">
        <v>43282</v>
      </c>
      <c r="AK2156" t="s">
        <v>51</v>
      </c>
      <c r="AN2156">
        <v>0</v>
      </c>
      <c r="AO2156" t="s">
        <v>54</v>
      </c>
      <c r="AP2156" t="s">
        <v>53</v>
      </c>
      <c r="AQ2156">
        <v>0</v>
      </c>
      <c r="AR2156" t="s">
        <v>53</v>
      </c>
      <c r="AS2156">
        <v>0</v>
      </c>
      <c r="AT2156">
        <v>0</v>
      </c>
      <c r="BK2156" t="s">
        <v>975</v>
      </c>
      <c r="BL2156">
        <v>50000</v>
      </c>
      <c r="BM2156" s="1">
        <v>44316</v>
      </c>
      <c r="BN2156" s="1">
        <v>44316</v>
      </c>
      <c r="BO2156" s="1">
        <v>44316</v>
      </c>
      <c r="BP2156" s="1">
        <v>48561</v>
      </c>
      <c r="BQ2156" t="s">
        <v>51</v>
      </c>
      <c r="BS2156" t="s">
        <v>60</v>
      </c>
      <c r="BT2156" t="s">
        <v>54</v>
      </c>
      <c r="BU2156" t="s">
        <v>61</v>
      </c>
      <c r="BV2156" t="s">
        <v>86</v>
      </c>
      <c r="BX2156">
        <v>18</v>
      </c>
      <c r="BY2156">
        <v>1980</v>
      </c>
      <c r="BZ2156">
        <v>0</v>
      </c>
    </row>
    <row r="2157" spans="1:78" x14ac:dyDescent="0.2">
      <c r="A2157" t="s">
        <v>1012</v>
      </c>
      <c r="B2157" t="s">
        <v>1013</v>
      </c>
      <c r="C2157" t="s">
        <v>1025</v>
      </c>
      <c r="D2157" t="s">
        <v>1049</v>
      </c>
      <c r="F2157" t="str">
        <f>"251624"</f>
        <v>251624</v>
      </c>
      <c r="G2157" t="s">
        <v>49</v>
      </c>
      <c r="K2157" t="s">
        <v>51</v>
      </c>
      <c r="L2157" t="s">
        <v>52</v>
      </c>
      <c r="M2157">
        <v>134160.38</v>
      </c>
      <c r="N2157">
        <v>473831.47</v>
      </c>
      <c r="O2157" t="s">
        <v>53</v>
      </c>
      <c r="P2157" t="s">
        <v>54</v>
      </c>
      <c r="Q2157" t="s">
        <v>55</v>
      </c>
      <c r="T2157" t="s">
        <v>466</v>
      </c>
      <c r="U2157">
        <v>40</v>
      </c>
      <c r="V2157" s="1">
        <v>44225</v>
      </c>
      <c r="W2157" s="1">
        <v>44225</v>
      </c>
      <c r="X2157" s="1">
        <v>44225</v>
      </c>
      <c r="Y2157" s="1">
        <v>58835</v>
      </c>
      <c r="Z2157" t="s">
        <v>51</v>
      </c>
      <c r="AB2157" t="s">
        <v>54</v>
      </c>
      <c r="AC2157">
        <v>1</v>
      </c>
      <c r="AE2157" t="s">
        <v>64</v>
      </c>
      <c r="AF2157">
        <v>20</v>
      </c>
      <c r="AG2157" s="1">
        <v>35977</v>
      </c>
      <c r="AH2157" s="1">
        <v>35977</v>
      </c>
      <c r="AI2157" s="1">
        <v>44225</v>
      </c>
      <c r="AJ2157" s="1">
        <v>43282</v>
      </c>
      <c r="AK2157" t="s">
        <v>51</v>
      </c>
      <c r="AN2157">
        <v>0</v>
      </c>
      <c r="AO2157" t="s">
        <v>54</v>
      </c>
      <c r="AP2157" t="s">
        <v>53</v>
      </c>
      <c r="AQ2157">
        <v>0</v>
      </c>
      <c r="AR2157" t="s">
        <v>53</v>
      </c>
      <c r="AS2157">
        <v>0</v>
      </c>
      <c r="AT2157">
        <v>0</v>
      </c>
      <c r="BK2157" t="s">
        <v>975</v>
      </c>
      <c r="BL2157">
        <v>50000</v>
      </c>
      <c r="BM2157" s="1">
        <v>44316</v>
      </c>
      <c r="BN2157" s="1">
        <v>44316</v>
      </c>
      <c r="BO2157" s="1">
        <v>44316</v>
      </c>
      <c r="BP2157" s="1">
        <v>48561</v>
      </c>
      <c r="BQ2157" t="s">
        <v>51</v>
      </c>
      <c r="BS2157" t="s">
        <v>60</v>
      </c>
      <c r="BT2157" t="s">
        <v>54</v>
      </c>
      <c r="BU2157" t="s">
        <v>61</v>
      </c>
      <c r="BV2157" t="s">
        <v>86</v>
      </c>
      <c r="BX2157">
        <v>18</v>
      </c>
      <c r="BY2157">
        <v>1980</v>
      </c>
      <c r="BZ2157">
        <v>0</v>
      </c>
    </row>
    <row r="2158" spans="1:78" x14ac:dyDescent="0.2">
      <c r="A2158" t="s">
        <v>1012</v>
      </c>
      <c r="B2158" t="s">
        <v>1013</v>
      </c>
      <c r="C2158" t="s">
        <v>1025</v>
      </c>
      <c r="D2158" t="s">
        <v>1049</v>
      </c>
      <c r="F2158" t="str">
        <f>"251625"</f>
        <v>251625</v>
      </c>
      <c r="G2158" t="s">
        <v>49</v>
      </c>
      <c r="K2158" t="s">
        <v>51</v>
      </c>
      <c r="L2158" t="s">
        <v>52</v>
      </c>
      <c r="M2158">
        <v>134158.51</v>
      </c>
      <c r="N2158">
        <v>473856.34</v>
      </c>
      <c r="O2158" t="s">
        <v>53</v>
      </c>
      <c r="P2158" t="s">
        <v>54</v>
      </c>
      <c r="Q2158" t="s">
        <v>55</v>
      </c>
      <c r="T2158" t="s">
        <v>466</v>
      </c>
      <c r="U2158">
        <v>40</v>
      </c>
      <c r="V2158" s="1">
        <v>44216</v>
      </c>
      <c r="W2158" s="1">
        <v>44216</v>
      </c>
      <c r="X2158" s="1">
        <v>44216</v>
      </c>
      <c r="Y2158" s="1">
        <v>58826</v>
      </c>
      <c r="Z2158" t="s">
        <v>51</v>
      </c>
      <c r="AB2158" t="s">
        <v>54</v>
      </c>
      <c r="AC2158">
        <v>1</v>
      </c>
      <c r="AE2158" t="s">
        <v>64</v>
      </c>
      <c r="AF2158">
        <v>20</v>
      </c>
      <c r="AG2158" s="1">
        <v>35977</v>
      </c>
      <c r="AH2158" s="1">
        <v>35977</v>
      </c>
      <c r="AI2158" s="1">
        <v>44216</v>
      </c>
      <c r="AJ2158" s="1">
        <v>43282</v>
      </c>
      <c r="AK2158" t="s">
        <v>51</v>
      </c>
      <c r="AN2158">
        <v>0</v>
      </c>
      <c r="AO2158" t="s">
        <v>54</v>
      </c>
      <c r="AP2158" t="s">
        <v>53</v>
      </c>
      <c r="AQ2158">
        <v>0</v>
      </c>
      <c r="AR2158" t="s">
        <v>53</v>
      </c>
      <c r="AS2158">
        <v>0</v>
      </c>
      <c r="AT2158">
        <v>0</v>
      </c>
      <c r="BK2158" t="s">
        <v>975</v>
      </c>
      <c r="BL2158">
        <v>50000</v>
      </c>
      <c r="BM2158" s="1">
        <v>44316</v>
      </c>
      <c r="BN2158" s="1">
        <v>44316</v>
      </c>
      <c r="BO2158" s="1">
        <v>44316</v>
      </c>
      <c r="BP2158" s="1">
        <v>48561</v>
      </c>
      <c r="BQ2158" t="s">
        <v>51</v>
      </c>
      <c r="BS2158" t="s">
        <v>60</v>
      </c>
      <c r="BT2158" t="s">
        <v>54</v>
      </c>
      <c r="BU2158" t="s">
        <v>61</v>
      </c>
      <c r="BV2158" t="s">
        <v>86</v>
      </c>
      <c r="BX2158">
        <v>18</v>
      </c>
      <c r="BY2158">
        <v>1980</v>
      </c>
      <c r="BZ2158">
        <v>0</v>
      </c>
    </row>
    <row r="2159" spans="1:78" x14ac:dyDescent="0.2">
      <c r="A2159" t="s">
        <v>1012</v>
      </c>
      <c r="B2159" t="s">
        <v>1013</v>
      </c>
      <c r="C2159" t="s">
        <v>1025</v>
      </c>
      <c r="D2159" t="s">
        <v>1049</v>
      </c>
      <c r="F2159" t="str">
        <f>"251626"</f>
        <v>251626</v>
      </c>
      <c r="G2159" t="s">
        <v>49</v>
      </c>
      <c r="K2159" t="s">
        <v>51</v>
      </c>
      <c r="L2159" t="s">
        <v>52</v>
      </c>
      <c r="M2159">
        <v>134167.66</v>
      </c>
      <c r="N2159">
        <v>473869.99</v>
      </c>
      <c r="O2159" t="s">
        <v>53</v>
      </c>
      <c r="P2159" t="s">
        <v>54</v>
      </c>
      <c r="Q2159" t="s">
        <v>55</v>
      </c>
      <c r="T2159" t="s">
        <v>466</v>
      </c>
      <c r="U2159">
        <v>40</v>
      </c>
      <c r="V2159" s="1">
        <v>35796</v>
      </c>
      <c r="W2159" s="1">
        <v>35796</v>
      </c>
      <c r="X2159" s="1">
        <v>35796</v>
      </c>
      <c r="Y2159" s="1">
        <v>50406</v>
      </c>
      <c r="Z2159" t="s">
        <v>51</v>
      </c>
      <c r="AB2159" t="s">
        <v>54</v>
      </c>
      <c r="AC2159">
        <v>1</v>
      </c>
      <c r="AE2159" t="s">
        <v>64</v>
      </c>
      <c r="AF2159">
        <v>20</v>
      </c>
      <c r="AG2159" s="1">
        <v>35977</v>
      </c>
      <c r="AH2159" s="1">
        <v>35977</v>
      </c>
      <c r="AI2159" s="1">
        <v>35977</v>
      </c>
      <c r="AJ2159" s="1">
        <v>43282</v>
      </c>
      <c r="AK2159" t="s">
        <v>51</v>
      </c>
      <c r="AN2159">
        <v>0</v>
      </c>
      <c r="AO2159" t="s">
        <v>54</v>
      </c>
      <c r="AP2159" t="s">
        <v>53</v>
      </c>
      <c r="AQ2159">
        <v>0</v>
      </c>
      <c r="AR2159" t="s">
        <v>53</v>
      </c>
      <c r="AS2159">
        <v>0</v>
      </c>
      <c r="AT2159">
        <v>0</v>
      </c>
      <c r="BK2159" t="s">
        <v>975</v>
      </c>
      <c r="BL2159">
        <v>50000</v>
      </c>
      <c r="BM2159" s="1">
        <v>44316</v>
      </c>
      <c r="BN2159" s="1">
        <v>44316</v>
      </c>
      <c r="BO2159" s="1">
        <v>44316</v>
      </c>
      <c r="BP2159" s="1">
        <v>48561</v>
      </c>
      <c r="BQ2159" t="s">
        <v>51</v>
      </c>
      <c r="BS2159" t="s">
        <v>60</v>
      </c>
      <c r="BT2159" t="s">
        <v>54</v>
      </c>
      <c r="BU2159" t="s">
        <v>61</v>
      </c>
      <c r="BV2159" t="s">
        <v>86</v>
      </c>
      <c r="BX2159">
        <v>18</v>
      </c>
      <c r="BY2159">
        <v>1980</v>
      </c>
      <c r="BZ2159">
        <v>0</v>
      </c>
    </row>
    <row r="2160" spans="1:78" x14ac:dyDescent="0.2">
      <c r="A2160" t="s">
        <v>1012</v>
      </c>
      <c r="B2160" t="s">
        <v>1013</v>
      </c>
      <c r="C2160" t="s">
        <v>1025</v>
      </c>
      <c r="D2160" t="s">
        <v>1049</v>
      </c>
      <c r="F2160" t="str">
        <f>"251627"</f>
        <v>251627</v>
      </c>
      <c r="G2160" t="s">
        <v>49</v>
      </c>
      <c r="K2160" t="s">
        <v>51</v>
      </c>
      <c r="L2160" t="s">
        <v>52</v>
      </c>
      <c r="M2160">
        <v>134191.45000000001</v>
      </c>
      <c r="N2160">
        <v>473875.3</v>
      </c>
      <c r="O2160" t="s">
        <v>53</v>
      </c>
      <c r="P2160" t="s">
        <v>54</v>
      </c>
      <c r="Q2160" t="s">
        <v>55</v>
      </c>
      <c r="T2160" t="s">
        <v>466</v>
      </c>
      <c r="U2160">
        <v>40</v>
      </c>
      <c r="V2160" s="1">
        <v>35796</v>
      </c>
      <c r="W2160" s="1">
        <v>35796</v>
      </c>
      <c r="X2160" s="1">
        <v>35796</v>
      </c>
      <c r="Y2160" s="1">
        <v>50406</v>
      </c>
      <c r="Z2160" t="s">
        <v>51</v>
      </c>
      <c r="AB2160" t="s">
        <v>54</v>
      </c>
      <c r="AC2160">
        <v>1</v>
      </c>
      <c r="AE2160" t="s">
        <v>64</v>
      </c>
      <c r="AF2160">
        <v>20</v>
      </c>
      <c r="AG2160" s="1">
        <v>35977</v>
      </c>
      <c r="AH2160" s="1">
        <v>35977</v>
      </c>
      <c r="AI2160" s="1">
        <v>35977</v>
      </c>
      <c r="AJ2160" s="1">
        <v>43282</v>
      </c>
      <c r="AK2160" t="s">
        <v>51</v>
      </c>
      <c r="AN2160">
        <v>0</v>
      </c>
      <c r="AO2160" t="s">
        <v>54</v>
      </c>
      <c r="AP2160" t="s">
        <v>53</v>
      </c>
      <c r="AQ2160">
        <v>0</v>
      </c>
      <c r="AR2160" t="s">
        <v>53</v>
      </c>
      <c r="AS2160">
        <v>0</v>
      </c>
      <c r="AT2160">
        <v>0</v>
      </c>
      <c r="BK2160" t="s">
        <v>975</v>
      </c>
      <c r="BL2160">
        <v>50000</v>
      </c>
      <c r="BM2160" s="1">
        <v>44316</v>
      </c>
      <c r="BN2160" s="1">
        <v>44316</v>
      </c>
      <c r="BO2160" s="1">
        <v>44316</v>
      </c>
      <c r="BP2160" s="1">
        <v>48561</v>
      </c>
      <c r="BQ2160" t="s">
        <v>51</v>
      </c>
      <c r="BS2160" t="s">
        <v>60</v>
      </c>
      <c r="BT2160" t="s">
        <v>54</v>
      </c>
      <c r="BU2160" t="s">
        <v>61</v>
      </c>
      <c r="BV2160" t="s">
        <v>86</v>
      </c>
      <c r="BX2160">
        <v>18</v>
      </c>
      <c r="BY2160">
        <v>1980</v>
      </c>
      <c r="BZ2160">
        <v>0</v>
      </c>
    </row>
    <row r="2161" spans="1:112" x14ac:dyDescent="0.2">
      <c r="A2161" t="s">
        <v>1012</v>
      </c>
      <c r="B2161" t="s">
        <v>1013</v>
      </c>
      <c r="C2161" t="s">
        <v>1025</v>
      </c>
      <c r="D2161" t="s">
        <v>1051</v>
      </c>
      <c r="F2161" t="str">
        <f>"251628"</f>
        <v>251628</v>
      </c>
      <c r="G2161" t="s">
        <v>49</v>
      </c>
      <c r="K2161" t="s">
        <v>51</v>
      </c>
      <c r="L2161" t="s">
        <v>52</v>
      </c>
      <c r="M2161">
        <v>134439.54999999999</v>
      </c>
      <c r="N2161">
        <v>473648.84</v>
      </c>
      <c r="O2161" t="s">
        <v>53</v>
      </c>
      <c r="P2161" t="s">
        <v>54</v>
      </c>
      <c r="Q2161" t="s">
        <v>55</v>
      </c>
      <c r="T2161" t="s">
        <v>466</v>
      </c>
      <c r="U2161">
        <v>40</v>
      </c>
      <c r="V2161" s="1">
        <v>31048</v>
      </c>
      <c r="W2161" s="1">
        <v>31048</v>
      </c>
      <c r="X2161" s="1">
        <v>31048</v>
      </c>
      <c r="Y2161" s="1">
        <v>45658</v>
      </c>
      <c r="Z2161" t="s">
        <v>51</v>
      </c>
      <c r="AB2161" t="s">
        <v>54</v>
      </c>
      <c r="AC2161">
        <v>1</v>
      </c>
      <c r="AE2161" t="s">
        <v>556</v>
      </c>
      <c r="AF2161">
        <v>20</v>
      </c>
      <c r="AG2161" s="1">
        <v>31048</v>
      </c>
      <c r="AH2161" s="1">
        <v>31048</v>
      </c>
      <c r="AI2161" s="1">
        <v>31048</v>
      </c>
      <c r="AJ2161" s="1">
        <v>38353</v>
      </c>
      <c r="AK2161" t="s">
        <v>51</v>
      </c>
      <c r="AN2161">
        <v>0</v>
      </c>
      <c r="AO2161" t="s">
        <v>54</v>
      </c>
      <c r="AP2161" t="s">
        <v>53</v>
      </c>
      <c r="AQ2161">
        <v>0</v>
      </c>
      <c r="AR2161" t="s">
        <v>53</v>
      </c>
      <c r="AS2161">
        <v>0</v>
      </c>
      <c r="AT2161">
        <v>0</v>
      </c>
      <c r="BK2161" t="s">
        <v>803</v>
      </c>
      <c r="BL2161">
        <v>50000</v>
      </c>
      <c r="BM2161" s="1">
        <v>43648</v>
      </c>
      <c r="BN2161" s="1">
        <v>43648</v>
      </c>
      <c r="BO2161" s="1">
        <v>43648</v>
      </c>
      <c r="BP2161" s="1">
        <v>47859</v>
      </c>
      <c r="BQ2161" t="s">
        <v>51</v>
      </c>
      <c r="BS2161" t="s">
        <v>60</v>
      </c>
      <c r="BT2161" t="s">
        <v>54</v>
      </c>
      <c r="BU2161" t="s">
        <v>362</v>
      </c>
      <c r="BX2161">
        <v>36</v>
      </c>
      <c r="BY2161">
        <v>4320</v>
      </c>
      <c r="BZ2161">
        <v>0</v>
      </c>
    </row>
    <row r="2162" spans="1:112" x14ac:dyDescent="0.2">
      <c r="A2162" t="s">
        <v>1012</v>
      </c>
      <c r="B2162" t="s">
        <v>1013</v>
      </c>
      <c r="C2162" t="s">
        <v>1052</v>
      </c>
      <c r="D2162" t="s">
        <v>1053</v>
      </c>
      <c r="F2162" t="str">
        <f>"251633"</f>
        <v>251633</v>
      </c>
      <c r="G2162" t="s">
        <v>49</v>
      </c>
      <c r="K2162" t="s">
        <v>51</v>
      </c>
      <c r="L2162" t="s">
        <v>52</v>
      </c>
      <c r="M2162">
        <v>131876.09299999999</v>
      </c>
      <c r="N2162">
        <v>474016.022</v>
      </c>
      <c r="O2162" t="s">
        <v>53</v>
      </c>
      <c r="P2162" t="s">
        <v>54</v>
      </c>
      <c r="Q2162" t="s">
        <v>55</v>
      </c>
      <c r="T2162" t="s">
        <v>1054</v>
      </c>
      <c r="U2162">
        <v>40</v>
      </c>
      <c r="V2162" s="1">
        <v>38353</v>
      </c>
      <c r="W2162" s="1">
        <v>38353</v>
      </c>
      <c r="X2162" s="1">
        <v>38353</v>
      </c>
      <c r="Y2162" s="1">
        <v>52963</v>
      </c>
      <c r="Z2162" t="s">
        <v>51</v>
      </c>
      <c r="AB2162" t="s">
        <v>54</v>
      </c>
      <c r="AC2162">
        <v>1</v>
      </c>
      <c r="AE2162" t="s">
        <v>1055</v>
      </c>
      <c r="AF2162">
        <v>20</v>
      </c>
      <c r="AG2162" s="1">
        <v>39785</v>
      </c>
      <c r="AH2162" s="1">
        <v>39785</v>
      </c>
      <c r="AI2162" s="1">
        <v>38353</v>
      </c>
      <c r="AJ2162" s="1">
        <v>47090</v>
      </c>
      <c r="AK2162" t="s">
        <v>51</v>
      </c>
      <c r="AN2162">
        <v>0</v>
      </c>
      <c r="AO2162" t="s">
        <v>54</v>
      </c>
      <c r="AP2162" t="s">
        <v>53</v>
      </c>
      <c r="AQ2162">
        <v>0</v>
      </c>
      <c r="AR2162" t="s">
        <v>53</v>
      </c>
      <c r="AS2162">
        <v>0</v>
      </c>
      <c r="AT2162">
        <v>0</v>
      </c>
      <c r="AW2162" t="s">
        <v>79</v>
      </c>
      <c r="AX2162">
        <v>20</v>
      </c>
      <c r="AY2162" s="1">
        <v>28126</v>
      </c>
      <c r="AZ2162" s="1">
        <v>28126</v>
      </c>
      <c r="BA2162" s="1">
        <v>38353</v>
      </c>
      <c r="BB2162" s="1">
        <v>35431</v>
      </c>
      <c r="BC2162" t="s">
        <v>51</v>
      </c>
      <c r="BE2162" t="s">
        <v>54</v>
      </c>
      <c r="BF2162">
        <v>5</v>
      </c>
      <c r="BG2162">
        <v>0</v>
      </c>
      <c r="BH2162" t="s">
        <v>53</v>
      </c>
      <c r="BK2162" t="s">
        <v>803</v>
      </c>
      <c r="BL2162">
        <v>50000</v>
      </c>
      <c r="BM2162" s="1">
        <v>43591</v>
      </c>
      <c r="BN2162" s="1">
        <v>43591</v>
      </c>
      <c r="BO2162" s="1">
        <v>38353</v>
      </c>
      <c r="BP2162" s="1">
        <v>47833</v>
      </c>
      <c r="BQ2162" t="s">
        <v>51</v>
      </c>
      <c r="BS2162" t="s">
        <v>60</v>
      </c>
      <c r="BT2162" t="s">
        <v>54</v>
      </c>
      <c r="BU2162" t="s">
        <v>362</v>
      </c>
      <c r="BX2162">
        <v>36</v>
      </c>
      <c r="BY2162">
        <v>4320</v>
      </c>
      <c r="BZ2162">
        <v>0</v>
      </c>
    </row>
    <row r="2163" spans="1:112" x14ac:dyDescent="0.2">
      <c r="A2163" t="s">
        <v>1012</v>
      </c>
      <c r="B2163" t="s">
        <v>1013</v>
      </c>
      <c r="C2163" t="s">
        <v>1052</v>
      </c>
      <c r="D2163" t="s">
        <v>1053</v>
      </c>
      <c r="F2163" t="str">
        <f>"251634"</f>
        <v>251634</v>
      </c>
      <c r="G2163" t="s">
        <v>49</v>
      </c>
      <c r="K2163" t="s">
        <v>51</v>
      </c>
      <c r="L2163" t="s">
        <v>52</v>
      </c>
      <c r="M2163">
        <v>131874.32999999999</v>
      </c>
      <c r="N2163">
        <v>474043.72700000001</v>
      </c>
      <c r="O2163" t="s">
        <v>53</v>
      </c>
      <c r="P2163" t="s">
        <v>54</v>
      </c>
      <c r="Q2163" t="s">
        <v>55</v>
      </c>
      <c r="T2163" t="s">
        <v>1054</v>
      </c>
      <c r="U2163">
        <v>40</v>
      </c>
      <c r="V2163" s="1">
        <v>38353</v>
      </c>
      <c r="W2163" s="1">
        <v>38353</v>
      </c>
      <c r="X2163" s="1">
        <v>38353</v>
      </c>
      <c r="Y2163" s="1">
        <v>52963</v>
      </c>
      <c r="Z2163" t="s">
        <v>51</v>
      </c>
      <c r="AB2163" t="s">
        <v>54</v>
      </c>
      <c r="AC2163">
        <v>1</v>
      </c>
      <c r="AE2163" t="s">
        <v>1055</v>
      </c>
      <c r="AF2163">
        <v>20</v>
      </c>
      <c r="AG2163" s="1">
        <v>39785</v>
      </c>
      <c r="AH2163" s="1">
        <v>39785</v>
      </c>
      <c r="AI2163" s="1">
        <v>38353</v>
      </c>
      <c r="AJ2163" s="1">
        <v>47090</v>
      </c>
      <c r="AK2163" t="s">
        <v>51</v>
      </c>
      <c r="AN2163">
        <v>0</v>
      </c>
      <c r="AO2163" t="s">
        <v>54</v>
      </c>
      <c r="AP2163" t="s">
        <v>53</v>
      </c>
      <c r="AQ2163">
        <v>0</v>
      </c>
      <c r="AR2163" t="s">
        <v>53</v>
      </c>
      <c r="AS2163">
        <v>0</v>
      </c>
      <c r="AT2163">
        <v>0</v>
      </c>
      <c r="BK2163" t="s">
        <v>1056</v>
      </c>
      <c r="BL2163">
        <v>85000</v>
      </c>
      <c r="BM2163" s="1">
        <v>43585</v>
      </c>
      <c r="BN2163" s="1">
        <v>43585</v>
      </c>
      <c r="BO2163" s="1">
        <v>43585</v>
      </c>
      <c r="BP2163" s="1">
        <v>50780</v>
      </c>
      <c r="BQ2163" t="s">
        <v>51</v>
      </c>
      <c r="BS2163" t="s">
        <v>60</v>
      </c>
      <c r="BT2163" t="s">
        <v>54</v>
      </c>
      <c r="BU2163" t="s">
        <v>362</v>
      </c>
      <c r="BV2163" t="s">
        <v>86</v>
      </c>
      <c r="BX2163">
        <v>0</v>
      </c>
      <c r="BY2163">
        <v>0</v>
      </c>
      <c r="BZ2163">
        <v>0</v>
      </c>
      <c r="CX2163" t="s">
        <v>360</v>
      </c>
      <c r="CY2163">
        <v>40</v>
      </c>
      <c r="CZ2163" s="1">
        <v>44320</v>
      </c>
      <c r="DA2163" s="1">
        <v>44320</v>
      </c>
      <c r="DB2163" s="1">
        <v>44320</v>
      </c>
      <c r="DC2163" s="1">
        <v>58930</v>
      </c>
      <c r="DD2163" t="s">
        <v>51</v>
      </c>
      <c r="DF2163" t="s">
        <v>54</v>
      </c>
      <c r="DG2163">
        <v>0</v>
      </c>
      <c r="DH2163">
        <v>0</v>
      </c>
    </row>
    <row r="2164" spans="1:112" x14ac:dyDescent="0.2">
      <c r="A2164" t="s">
        <v>1012</v>
      </c>
      <c r="B2164" t="s">
        <v>1013</v>
      </c>
      <c r="C2164" t="s">
        <v>1052</v>
      </c>
      <c r="D2164" t="s">
        <v>1053</v>
      </c>
      <c r="F2164" t="str">
        <f>"251635"</f>
        <v>251635</v>
      </c>
      <c r="G2164" t="s">
        <v>49</v>
      </c>
      <c r="K2164" t="s">
        <v>51</v>
      </c>
      <c r="L2164" t="s">
        <v>52</v>
      </c>
      <c r="M2164">
        <v>131868.35699999999</v>
      </c>
      <c r="N2164">
        <v>474071.44</v>
      </c>
      <c r="O2164" t="s">
        <v>53</v>
      </c>
      <c r="P2164" t="s">
        <v>54</v>
      </c>
      <c r="Q2164" t="s">
        <v>55</v>
      </c>
      <c r="T2164" t="s">
        <v>1054</v>
      </c>
      <c r="U2164">
        <v>40</v>
      </c>
      <c r="V2164" s="1">
        <v>38353</v>
      </c>
      <c r="W2164" s="1">
        <v>38353</v>
      </c>
      <c r="X2164" s="1">
        <v>38353</v>
      </c>
      <c r="Y2164" s="1">
        <v>52963</v>
      </c>
      <c r="Z2164" t="s">
        <v>51</v>
      </c>
      <c r="AB2164" t="s">
        <v>54</v>
      </c>
      <c r="AC2164">
        <v>1</v>
      </c>
      <c r="AE2164" t="s">
        <v>1055</v>
      </c>
      <c r="AF2164">
        <v>20</v>
      </c>
      <c r="AG2164" s="1">
        <v>39785</v>
      </c>
      <c r="AH2164" s="1">
        <v>39785</v>
      </c>
      <c r="AI2164" s="1">
        <v>38353</v>
      </c>
      <c r="AJ2164" s="1">
        <v>47090</v>
      </c>
      <c r="AK2164" t="s">
        <v>51</v>
      </c>
      <c r="AN2164">
        <v>0</v>
      </c>
      <c r="AO2164" t="s">
        <v>54</v>
      </c>
      <c r="AP2164" t="s">
        <v>53</v>
      </c>
      <c r="AQ2164">
        <v>0</v>
      </c>
      <c r="AR2164" t="s">
        <v>53</v>
      </c>
      <c r="AS2164">
        <v>0</v>
      </c>
      <c r="AT2164">
        <v>0</v>
      </c>
      <c r="BK2164" t="s">
        <v>1056</v>
      </c>
      <c r="BL2164">
        <v>85000</v>
      </c>
      <c r="BM2164" s="1">
        <v>43591</v>
      </c>
      <c r="BN2164" s="1">
        <v>43591</v>
      </c>
      <c r="BO2164" s="1">
        <v>43591</v>
      </c>
      <c r="BP2164" s="1">
        <v>50783</v>
      </c>
      <c r="BQ2164" t="s">
        <v>51</v>
      </c>
      <c r="BS2164" t="s">
        <v>60</v>
      </c>
      <c r="BT2164" t="s">
        <v>54</v>
      </c>
      <c r="BU2164" t="s">
        <v>362</v>
      </c>
      <c r="BV2164" t="s">
        <v>86</v>
      </c>
      <c r="BX2164">
        <v>0</v>
      </c>
      <c r="BY2164">
        <v>0</v>
      </c>
      <c r="BZ2164">
        <v>0</v>
      </c>
      <c r="CX2164" t="s">
        <v>360</v>
      </c>
      <c r="CY2164">
        <v>40</v>
      </c>
      <c r="CZ2164" s="1">
        <v>44320</v>
      </c>
      <c r="DA2164" s="1">
        <v>44320</v>
      </c>
      <c r="DB2164" s="1">
        <v>44320</v>
      </c>
      <c r="DC2164" s="1">
        <v>58930</v>
      </c>
      <c r="DD2164" t="s">
        <v>51</v>
      </c>
      <c r="DF2164" t="s">
        <v>54</v>
      </c>
      <c r="DG2164">
        <v>0</v>
      </c>
      <c r="DH2164">
        <v>0</v>
      </c>
    </row>
    <row r="2165" spans="1:112" x14ac:dyDescent="0.2">
      <c r="A2165" t="s">
        <v>1012</v>
      </c>
      <c r="B2165" t="s">
        <v>1013</v>
      </c>
      <c r="C2165" t="s">
        <v>1052</v>
      </c>
      <c r="D2165" t="s">
        <v>1053</v>
      </c>
      <c r="F2165" t="str">
        <f>"251636"</f>
        <v>251636</v>
      </c>
      <c r="G2165" t="s">
        <v>49</v>
      </c>
      <c r="K2165" t="s">
        <v>51</v>
      </c>
      <c r="L2165" t="s">
        <v>52</v>
      </c>
      <c r="M2165">
        <v>131857.60999999999</v>
      </c>
      <c r="N2165">
        <v>474098.1</v>
      </c>
      <c r="O2165" t="s">
        <v>53</v>
      </c>
      <c r="P2165" t="s">
        <v>54</v>
      </c>
      <c r="Q2165" t="s">
        <v>55</v>
      </c>
      <c r="T2165" t="s">
        <v>1054</v>
      </c>
      <c r="U2165">
        <v>40</v>
      </c>
      <c r="V2165" s="1">
        <v>38353</v>
      </c>
      <c r="W2165" s="1">
        <v>38353</v>
      </c>
      <c r="X2165" s="1">
        <v>38353</v>
      </c>
      <c r="Y2165" s="1">
        <v>52963</v>
      </c>
      <c r="Z2165" t="s">
        <v>51</v>
      </c>
      <c r="AB2165" t="s">
        <v>54</v>
      </c>
      <c r="AC2165">
        <v>1</v>
      </c>
      <c r="AE2165" t="s">
        <v>1055</v>
      </c>
      <c r="AF2165">
        <v>20</v>
      </c>
      <c r="AG2165" s="1">
        <v>39785</v>
      </c>
      <c r="AH2165" s="1">
        <v>39785</v>
      </c>
      <c r="AI2165" s="1">
        <v>38353</v>
      </c>
      <c r="AJ2165" s="1">
        <v>47090</v>
      </c>
      <c r="AK2165" t="s">
        <v>51</v>
      </c>
      <c r="AN2165">
        <v>0</v>
      </c>
      <c r="AO2165" t="s">
        <v>54</v>
      </c>
      <c r="AP2165" t="s">
        <v>53</v>
      </c>
      <c r="AQ2165">
        <v>0</v>
      </c>
      <c r="AR2165" t="s">
        <v>53</v>
      </c>
      <c r="AS2165">
        <v>0</v>
      </c>
      <c r="AT2165">
        <v>0</v>
      </c>
      <c r="BK2165" t="s">
        <v>803</v>
      </c>
      <c r="BL2165">
        <v>50000</v>
      </c>
      <c r="BM2165" s="1">
        <v>43591</v>
      </c>
      <c r="BN2165" s="1">
        <v>43591</v>
      </c>
      <c r="BO2165" s="1">
        <v>43591</v>
      </c>
      <c r="BP2165" s="1">
        <v>47833</v>
      </c>
      <c r="BQ2165" t="s">
        <v>51</v>
      </c>
      <c r="BS2165" t="s">
        <v>60</v>
      </c>
      <c r="BT2165" t="s">
        <v>54</v>
      </c>
      <c r="BU2165" t="s">
        <v>362</v>
      </c>
      <c r="BX2165">
        <v>36</v>
      </c>
      <c r="BY2165">
        <v>4320</v>
      </c>
      <c r="BZ2165">
        <v>0</v>
      </c>
      <c r="CX2165" t="s">
        <v>360</v>
      </c>
      <c r="CY2165">
        <v>40</v>
      </c>
      <c r="CZ2165" s="1">
        <v>44320</v>
      </c>
      <c r="DA2165" s="1">
        <v>44320</v>
      </c>
      <c r="DB2165" s="1">
        <v>44320</v>
      </c>
      <c r="DC2165" s="1">
        <v>58930</v>
      </c>
      <c r="DD2165" t="s">
        <v>51</v>
      </c>
      <c r="DF2165" t="s">
        <v>54</v>
      </c>
      <c r="DG2165">
        <v>0</v>
      </c>
      <c r="DH2165">
        <v>0</v>
      </c>
    </row>
    <row r="2166" spans="1:112" x14ac:dyDescent="0.2">
      <c r="A2166" t="s">
        <v>1012</v>
      </c>
      <c r="B2166" t="s">
        <v>1013</v>
      </c>
      <c r="C2166" t="s">
        <v>1052</v>
      </c>
      <c r="D2166" t="s">
        <v>1053</v>
      </c>
      <c r="F2166" t="str">
        <f>"251637"</f>
        <v>251637</v>
      </c>
      <c r="G2166" t="s">
        <v>49</v>
      </c>
      <c r="K2166" t="s">
        <v>51</v>
      </c>
      <c r="L2166" t="s">
        <v>52</v>
      </c>
      <c r="M2166">
        <v>131844.54</v>
      </c>
      <c r="N2166">
        <v>474122.46</v>
      </c>
      <c r="O2166" t="s">
        <v>53</v>
      </c>
      <c r="P2166" t="s">
        <v>54</v>
      </c>
      <c r="Q2166" t="s">
        <v>55</v>
      </c>
      <c r="T2166" t="s">
        <v>1054</v>
      </c>
      <c r="U2166">
        <v>40</v>
      </c>
      <c r="V2166" s="1">
        <v>38353</v>
      </c>
      <c r="W2166" s="1">
        <v>38353</v>
      </c>
      <c r="X2166" s="1">
        <v>38353</v>
      </c>
      <c r="Y2166" s="1">
        <v>52963</v>
      </c>
      <c r="Z2166" t="s">
        <v>51</v>
      </c>
      <c r="AB2166" t="s">
        <v>54</v>
      </c>
      <c r="AC2166">
        <v>1</v>
      </c>
      <c r="AE2166" t="s">
        <v>1055</v>
      </c>
      <c r="AF2166">
        <v>20</v>
      </c>
      <c r="AG2166" s="1">
        <v>39785</v>
      </c>
      <c r="AH2166" s="1">
        <v>39785</v>
      </c>
      <c r="AI2166" s="1">
        <v>38353</v>
      </c>
      <c r="AJ2166" s="1">
        <v>47090</v>
      </c>
      <c r="AK2166" t="s">
        <v>51</v>
      </c>
      <c r="AN2166">
        <v>0</v>
      </c>
      <c r="AO2166" t="s">
        <v>54</v>
      </c>
      <c r="AP2166" t="s">
        <v>53</v>
      </c>
      <c r="AQ2166">
        <v>0</v>
      </c>
      <c r="AR2166" t="s">
        <v>53</v>
      </c>
      <c r="AS2166">
        <v>0</v>
      </c>
      <c r="AT2166">
        <v>0</v>
      </c>
      <c r="BK2166" t="s">
        <v>803</v>
      </c>
      <c r="BL2166">
        <v>50000</v>
      </c>
      <c r="BM2166" s="1">
        <v>43591</v>
      </c>
      <c r="BN2166" s="1">
        <v>43591</v>
      </c>
      <c r="BO2166" s="1">
        <v>43591</v>
      </c>
      <c r="BP2166" s="1">
        <v>47833</v>
      </c>
      <c r="BQ2166" t="s">
        <v>51</v>
      </c>
      <c r="BS2166" t="s">
        <v>60</v>
      </c>
      <c r="BT2166" t="s">
        <v>54</v>
      </c>
      <c r="BU2166" t="s">
        <v>362</v>
      </c>
      <c r="BX2166">
        <v>36</v>
      </c>
      <c r="BY2166">
        <v>4320</v>
      </c>
      <c r="BZ2166">
        <v>0</v>
      </c>
      <c r="CX2166" t="s">
        <v>360</v>
      </c>
      <c r="CY2166">
        <v>40</v>
      </c>
      <c r="CZ2166" s="1">
        <v>44320</v>
      </c>
      <c r="DA2166" s="1">
        <v>44320</v>
      </c>
      <c r="DB2166" s="1">
        <v>44320</v>
      </c>
      <c r="DC2166" s="1">
        <v>58930</v>
      </c>
      <c r="DD2166" t="s">
        <v>51</v>
      </c>
      <c r="DF2166" t="s">
        <v>54</v>
      </c>
      <c r="DG2166">
        <v>0</v>
      </c>
      <c r="DH2166">
        <v>0</v>
      </c>
    </row>
    <row r="2167" spans="1:112" x14ac:dyDescent="0.2">
      <c r="A2167" t="s">
        <v>1012</v>
      </c>
      <c r="B2167" t="s">
        <v>1013</v>
      </c>
      <c r="C2167" t="s">
        <v>1052</v>
      </c>
      <c r="D2167" t="s">
        <v>1053</v>
      </c>
      <c r="F2167" t="str">
        <f>"251638"</f>
        <v>251638</v>
      </c>
      <c r="G2167" t="s">
        <v>49</v>
      </c>
      <c r="K2167" t="s">
        <v>51</v>
      </c>
      <c r="L2167" t="s">
        <v>52</v>
      </c>
      <c r="M2167">
        <v>131829.74</v>
      </c>
      <c r="N2167">
        <v>474147.22</v>
      </c>
      <c r="O2167" t="s">
        <v>53</v>
      </c>
      <c r="P2167" t="s">
        <v>54</v>
      </c>
      <c r="Q2167" t="s">
        <v>55</v>
      </c>
      <c r="T2167" t="s">
        <v>1054</v>
      </c>
      <c r="U2167">
        <v>40</v>
      </c>
      <c r="V2167" s="1">
        <v>38353</v>
      </c>
      <c r="W2167" s="1">
        <v>38353</v>
      </c>
      <c r="X2167" s="1">
        <v>38353</v>
      </c>
      <c r="Y2167" s="1">
        <v>52963</v>
      </c>
      <c r="Z2167" t="s">
        <v>51</v>
      </c>
      <c r="AB2167" t="s">
        <v>54</v>
      </c>
      <c r="AC2167">
        <v>1</v>
      </c>
      <c r="AE2167" t="s">
        <v>1055</v>
      </c>
      <c r="AF2167">
        <v>20</v>
      </c>
      <c r="AG2167" s="1">
        <v>39785</v>
      </c>
      <c r="AH2167" s="1">
        <v>39785</v>
      </c>
      <c r="AI2167" s="1">
        <v>38353</v>
      </c>
      <c r="AJ2167" s="1">
        <v>47090</v>
      </c>
      <c r="AK2167" t="s">
        <v>51</v>
      </c>
      <c r="AN2167">
        <v>0</v>
      </c>
      <c r="AO2167" t="s">
        <v>54</v>
      </c>
      <c r="AP2167" t="s">
        <v>53</v>
      </c>
      <c r="AQ2167">
        <v>0</v>
      </c>
      <c r="AR2167" t="s">
        <v>53</v>
      </c>
      <c r="AS2167">
        <v>0</v>
      </c>
      <c r="AT2167">
        <v>0</v>
      </c>
      <c r="BK2167" t="s">
        <v>803</v>
      </c>
      <c r="BL2167">
        <v>50000</v>
      </c>
      <c r="BM2167" s="1">
        <v>43591</v>
      </c>
      <c r="BN2167" s="1">
        <v>43591</v>
      </c>
      <c r="BO2167" s="1">
        <v>43591</v>
      </c>
      <c r="BP2167" s="1">
        <v>47833</v>
      </c>
      <c r="BQ2167" t="s">
        <v>51</v>
      </c>
      <c r="BS2167" t="s">
        <v>60</v>
      </c>
      <c r="BT2167" t="s">
        <v>54</v>
      </c>
      <c r="BU2167" t="s">
        <v>362</v>
      </c>
      <c r="BX2167">
        <v>36</v>
      </c>
      <c r="BY2167">
        <v>4320</v>
      </c>
      <c r="BZ2167">
        <v>0</v>
      </c>
      <c r="CX2167" t="s">
        <v>360</v>
      </c>
      <c r="CY2167">
        <v>40</v>
      </c>
      <c r="CZ2167" s="1">
        <v>44320</v>
      </c>
      <c r="DA2167" s="1">
        <v>44320</v>
      </c>
      <c r="DB2167" s="1">
        <v>44320</v>
      </c>
      <c r="DC2167" s="1">
        <v>58930</v>
      </c>
      <c r="DD2167" t="s">
        <v>51</v>
      </c>
      <c r="DF2167" t="s">
        <v>54</v>
      </c>
      <c r="DG2167">
        <v>0</v>
      </c>
      <c r="DH2167">
        <v>0</v>
      </c>
    </row>
    <row r="2168" spans="1:112" x14ac:dyDescent="0.2">
      <c r="A2168" t="s">
        <v>1012</v>
      </c>
      <c r="B2168" t="s">
        <v>1013</v>
      </c>
      <c r="C2168" t="s">
        <v>1052</v>
      </c>
      <c r="D2168" t="s">
        <v>1053</v>
      </c>
      <c r="F2168" t="str">
        <f>"251639"</f>
        <v>251639</v>
      </c>
      <c r="G2168" t="s">
        <v>49</v>
      </c>
      <c r="K2168" t="s">
        <v>51</v>
      </c>
      <c r="L2168" t="s">
        <v>52</v>
      </c>
      <c r="M2168">
        <v>131814.17800000001</v>
      </c>
      <c r="N2168">
        <v>474171.69900000002</v>
      </c>
      <c r="O2168" t="s">
        <v>53</v>
      </c>
      <c r="P2168" t="s">
        <v>54</v>
      </c>
      <c r="Q2168" t="s">
        <v>55</v>
      </c>
      <c r="T2168" t="s">
        <v>1054</v>
      </c>
      <c r="U2168">
        <v>40</v>
      </c>
      <c r="V2168" s="1">
        <v>38353</v>
      </c>
      <c r="W2168" s="1">
        <v>38353</v>
      </c>
      <c r="X2168" s="1">
        <v>38353</v>
      </c>
      <c r="Y2168" s="1">
        <v>52963</v>
      </c>
      <c r="Z2168" t="s">
        <v>51</v>
      </c>
      <c r="AB2168" t="s">
        <v>54</v>
      </c>
      <c r="AC2168">
        <v>1</v>
      </c>
      <c r="AE2168" t="s">
        <v>1055</v>
      </c>
      <c r="AF2168">
        <v>20</v>
      </c>
      <c r="AG2168" s="1">
        <v>39785</v>
      </c>
      <c r="AH2168" s="1">
        <v>39785</v>
      </c>
      <c r="AI2168" s="1">
        <v>38353</v>
      </c>
      <c r="AJ2168" s="1">
        <v>47090</v>
      </c>
      <c r="AK2168" t="s">
        <v>51</v>
      </c>
      <c r="AN2168">
        <v>0</v>
      </c>
      <c r="AO2168" t="s">
        <v>54</v>
      </c>
      <c r="AP2168" t="s">
        <v>53</v>
      </c>
      <c r="AQ2168">
        <v>0</v>
      </c>
      <c r="AR2168" t="s">
        <v>53</v>
      </c>
      <c r="AS2168">
        <v>0</v>
      </c>
      <c r="AT2168">
        <v>0</v>
      </c>
      <c r="BK2168" t="s">
        <v>803</v>
      </c>
      <c r="BL2168">
        <v>50000</v>
      </c>
      <c r="BM2168" s="1">
        <v>43591</v>
      </c>
      <c r="BN2168" s="1">
        <v>43591</v>
      </c>
      <c r="BO2168" s="1">
        <v>43591</v>
      </c>
      <c r="BP2168" s="1">
        <v>47833</v>
      </c>
      <c r="BQ2168" t="s">
        <v>51</v>
      </c>
      <c r="BS2168" t="s">
        <v>60</v>
      </c>
      <c r="BT2168" t="s">
        <v>54</v>
      </c>
      <c r="BU2168" t="s">
        <v>362</v>
      </c>
      <c r="BX2168">
        <v>36</v>
      </c>
      <c r="BY2168">
        <v>4320</v>
      </c>
      <c r="BZ2168">
        <v>0</v>
      </c>
      <c r="CX2168" t="s">
        <v>360</v>
      </c>
      <c r="CY2168">
        <v>40</v>
      </c>
      <c r="CZ2168" s="1">
        <v>44320</v>
      </c>
      <c r="DA2168" s="1">
        <v>44320</v>
      </c>
      <c r="DB2168" s="1">
        <v>44320</v>
      </c>
      <c r="DC2168" s="1">
        <v>58930</v>
      </c>
      <c r="DD2168" t="s">
        <v>51</v>
      </c>
      <c r="DF2168" t="s">
        <v>54</v>
      </c>
      <c r="DG2168">
        <v>0</v>
      </c>
      <c r="DH2168">
        <v>0</v>
      </c>
    </row>
    <row r="2169" spans="1:112" x14ac:dyDescent="0.2">
      <c r="A2169" t="s">
        <v>1012</v>
      </c>
      <c r="B2169" t="s">
        <v>1013</v>
      </c>
      <c r="C2169" t="s">
        <v>1052</v>
      </c>
      <c r="D2169" t="s">
        <v>1053</v>
      </c>
      <c r="F2169" t="str">
        <f>"251640"</f>
        <v>251640</v>
      </c>
      <c r="G2169" t="s">
        <v>49</v>
      </c>
      <c r="K2169" t="s">
        <v>51</v>
      </c>
      <c r="L2169" t="s">
        <v>52</v>
      </c>
      <c r="M2169">
        <v>131797.726</v>
      </c>
      <c r="N2169">
        <v>474194.14299999998</v>
      </c>
      <c r="O2169" t="s">
        <v>53</v>
      </c>
      <c r="P2169" t="s">
        <v>54</v>
      </c>
      <c r="Q2169" t="s">
        <v>55</v>
      </c>
      <c r="T2169" t="s">
        <v>1054</v>
      </c>
      <c r="U2169">
        <v>40</v>
      </c>
      <c r="V2169" s="1">
        <v>38353</v>
      </c>
      <c r="W2169" s="1">
        <v>38353</v>
      </c>
      <c r="X2169" s="1">
        <v>38353</v>
      </c>
      <c r="Y2169" s="1">
        <v>52963</v>
      </c>
      <c r="Z2169" t="s">
        <v>51</v>
      </c>
      <c r="AB2169" t="s">
        <v>54</v>
      </c>
      <c r="AC2169">
        <v>1</v>
      </c>
      <c r="AE2169" t="s">
        <v>1055</v>
      </c>
      <c r="AF2169">
        <v>20</v>
      </c>
      <c r="AG2169" s="1">
        <v>39785</v>
      </c>
      <c r="AH2169" s="1">
        <v>39785</v>
      </c>
      <c r="AI2169" s="1">
        <v>38353</v>
      </c>
      <c r="AJ2169" s="1">
        <v>47090</v>
      </c>
      <c r="AK2169" t="s">
        <v>51</v>
      </c>
      <c r="AN2169">
        <v>0</v>
      </c>
      <c r="AO2169" t="s">
        <v>54</v>
      </c>
      <c r="AP2169" t="s">
        <v>53</v>
      </c>
      <c r="AQ2169">
        <v>0</v>
      </c>
      <c r="AR2169" t="s">
        <v>53</v>
      </c>
      <c r="AS2169">
        <v>0</v>
      </c>
      <c r="AT2169">
        <v>0</v>
      </c>
      <c r="BK2169" t="s">
        <v>803</v>
      </c>
      <c r="BL2169">
        <v>50000</v>
      </c>
      <c r="BM2169" s="1">
        <v>44322</v>
      </c>
      <c r="BN2169" s="1">
        <v>44322</v>
      </c>
      <c r="BO2169" s="1">
        <v>44322</v>
      </c>
      <c r="BP2169" s="1">
        <v>48564</v>
      </c>
      <c r="BQ2169" t="s">
        <v>51</v>
      </c>
      <c r="BS2169" t="s">
        <v>60</v>
      </c>
      <c r="BT2169" t="s">
        <v>54</v>
      </c>
      <c r="BU2169" t="s">
        <v>362</v>
      </c>
      <c r="BX2169">
        <v>36</v>
      </c>
      <c r="BY2169">
        <v>4320</v>
      </c>
      <c r="BZ2169">
        <v>0</v>
      </c>
      <c r="CX2169" t="s">
        <v>360</v>
      </c>
      <c r="CY2169">
        <v>40</v>
      </c>
      <c r="CZ2169" s="1">
        <v>44320</v>
      </c>
      <c r="DA2169" s="1">
        <v>44320</v>
      </c>
      <c r="DB2169" s="1">
        <v>44320</v>
      </c>
      <c r="DC2169" s="1">
        <v>58930</v>
      </c>
      <c r="DD2169" t="s">
        <v>51</v>
      </c>
      <c r="DF2169" t="s">
        <v>54</v>
      </c>
      <c r="DG2169">
        <v>0</v>
      </c>
      <c r="DH2169">
        <v>0</v>
      </c>
    </row>
    <row r="2170" spans="1:112" x14ac:dyDescent="0.2">
      <c r="A2170" t="s">
        <v>1012</v>
      </c>
      <c r="B2170" t="s">
        <v>1013</v>
      </c>
      <c r="C2170" t="s">
        <v>1052</v>
      </c>
      <c r="D2170" t="s">
        <v>1053</v>
      </c>
      <c r="F2170" t="str">
        <f>"251641"</f>
        <v>251641</v>
      </c>
      <c r="G2170" t="s">
        <v>49</v>
      </c>
      <c r="K2170" t="s">
        <v>51</v>
      </c>
      <c r="L2170" t="s">
        <v>52</v>
      </c>
      <c r="M2170">
        <v>131780.99</v>
      </c>
      <c r="N2170">
        <v>474215.35</v>
      </c>
      <c r="O2170" t="s">
        <v>53</v>
      </c>
      <c r="P2170" t="s">
        <v>54</v>
      </c>
      <c r="Q2170" t="s">
        <v>55</v>
      </c>
      <c r="T2170" t="s">
        <v>1054</v>
      </c>
      <c r="U2170">
        <v>40</v>
      </c>
      <c r="V2170" s="1">
        <v>38353</v>
      </c>
      <c r="W2170" s="1">
        <v>38353</v>
      </c>
      <c r="X2170" s="1">
        <v>38353</v>
      </c>
      <c r="Y2170" s="1">
        <v>52963</v>
      </c>
      <c r="Z2170" t="s">
        <v>51</v>
      </c>
      <c r="AB2170" t="s">
        <v>54</v>
      </c>
      <c r="AC2170">
        <v>1</v>
      </c>
      <c r="AE2170" t="s">
        <v>1055</v>
      </c>
      <c r="AF2170">
        <v>20</v>
      </c>
      <c r="AG2170" s="1">
        <v>39785</v>
      </c>
      <c r="AH2170" s="1">
        <v>39785</v>
      </c>
      <c r="AI2170" s="1">
        <v>38353</v>
      </c>
      <c r="AJ2170" s="1">
        <v>47090</v>
      </c>
      <c r="AK2170" t="s">
        <v>51</v>
      </c>
      <c r="AN2170">
        <v>0</v>
      </c>
      <c r="AO2170" t="s">
        <v>54</v>
      </c>
      <c r="AP2170" t="s">
        <v>53</v>
      </c>
      <c r="AQ2170">
        <v>0</v>
      </c>
      <c r="AR2170" t="s">
        <v>53</v>
      </c>
      <c r="AS2170">
        <v>0</v>
      </c>
      <c r="AT2170">
        <v>0</v>
      </c>
      <c r="BK2170" t="s">
        <v>803</v>
      </c>
      <c r="BL2170">
        <v>50000</v>
      </c>
      <c r="BM2170" s="1">
        <v>44322</v>
      </c>
      <c r="BN2170" s="1">
        <v>44322</v>
      </c>
      <c r="BO2170" s="1">
        <v>44322</v>
      </c>
      <c r="BP2170" s="1">
        <v>48564</v>
      </c>
      <c r="BQ2170" t="s">
        <v>51</v>
      </c>
      <c r="BS2170" t="s">
        <v>60</v>
      </c>
      <c r="BT2170" t="s">
        <v>54</v>
      </c>
      <c r="BU2170" t="s">
        <v>362</v>
      </c>
      <c r="BX2170">
        <v>36</v>
      </c>
      <c r="BY2170">
        <v>4320</v>
      </c>
      <c r="BZ2170">
        <v>0</v>
      </c>
      <c r="CX2170" t="s">
        <v>360</v>
      </c>
      <c r="CY2170">
        <v>40</v>
      </c>
      <c r="CZ2170" s="1">
        <v>44320</v>
      </c>
      <c r="DA2170" s="1">
        <v>44320</v>
      </c>
      <c r="DB2170" s="1">
        <v>44320</v>
      </c>
      <c r="DC2170" s="1">
        <v>58930</v>
      </c>
      <c r="DD2170" t="s">
        <v>51</v>
      </c>
      <c r="DF2170" t="s">
        <v>54</v>
      </c>
      <c r="DG2170">
        <v>0</v>
      </c>
      <c r="DH2170">
        <v>0</v>
      </c>
    </row>
    <row r="2171" spans="1:112" x14ac:dyDescent="0.2">
      <c r="A2171" t="s">
        <v>1012</v>
      </c>
      <c r="B2171" t="s">
        <v>1013</v>
      </c>
      <c r="C2171" t="s">
        <v>1052</v>
      </c>
      <c r="D2171" t="s">
        <v>1053</v>
      </c>
      <c r="F2171" t="str">
        <f>"251642"</f>
        <v>251642</v>
      </c>
      <c r="G2171" t="s">
        <v>49</v>
      </c>
      <c r="K2171" t="s">
        <v>51</v>
      </c>
      <c r="L2171" t="s">
        <v>52</v>
      </c>
      <c r="M2171">
        <v>131762.54999999999</v>
      </c>
      <c r="N2171">
        <v>474235.68</v>
      </c>
      <c r="O2171" t="s">
        <v>53</v>
      </c>
      <c r="P2171" t="s">
        <v>54</v>
      </c>
      <c r="Q2171" t="s">
        <v>55</v>
      </c>
      <c r="T2171" t="s">
        <v>1054</v>
      </c>
      <c r="U2171">
        <v>40</v>
      </c>
      <c r="V2171" s="1">
        <v>38353</v>
      </c>
      <c r="W2171" s="1">
        <v>38353</v>
      </c>
      <c r="X2171" s="1">
        <v>38353</v>
      </c>
      <c r="Y2171" s="1">
        <v>52963</v>
      </c>
      <c r="Z2171" t="s">
        <v>51</v>
      </c>
      <c r="AB2171" t="s">
        <v>54</v>
      </c>
      <c r="AC2171">
        <v>1</v>
      </c>
      <c r="AE2171" t="s">
        <v>1055</v>
      </c>
      <c r="AF2171">
        <v>20</v>
      </c>
      <c r="AG2171" s="1">
        <v>39785</v>
      </c>
      <c r="AH2171" s="1">
        <v>39785</v>
      </c>
      <c r="AI2171" s="1">
        <v>38353</v>
      </c>
      <c r="AJ2171" s="1">
        <v>47090</v>
      </c>
      <c r="AK2171" t="s">
        <v>51</v>
      </c>
      <c r="AN2171">
        <v>0</v>
      </c>
      <c r="AO2171" t="s">
        <v>54</v>
      </c>
      <c r="AP2171" t="s">
        <v>53</v>
      </c>
      <c r="AQ2171">
        <v>0</v>
      </c>
      <c r="AR2171" t="s">
        <v>53</v>
      </c>
      <c r="AS2171">
        <v>0</v>
      </c>
      <c r="AT2171">
        <v>0</v>
      </c>
      <c r="BK2171" t="s">
        <v>803</v>
      </c>
      <c r="BL2171">
        <v>50000</v>
      </c>
      <c r="BM2171" s="1">
        <v>44322</v>
      </c>
      <c r="BN2171" s="1">
        <v>44322</v>
      </c>
      <c r="BO2171" s="1">
        <v>44322</v>
      </c>
      <c r="BP2171" s="1">
        <v>48564</v>
      </c>
      <c r="BQ2171" t="s">
        <v>51</v>
      </c>
      <c r="BS2171" t="s">
        <v>60</v>
      </c>
      <c r="BT2171" t="s">
        <v>54</v>
      </c>
      <c r="BU2171" t="s">
        <v>362</v>
      </c>
      <c r="BX2171">
        <v>36</v>
      </c>
      <c r="BY2171">
        <v>4320</v>
      </c>
      <c r="BZ2171">
        <v>0</v>
      </c>
      <c r="CX2171" t="s">
        <v>360</v>
      </c>
      <c r="CY2171">
        <v>40</v>
      </c>
      <c r="CZ2171" s="1">
        <v>44320</v>
      </c>
      <c r="DA2171" s="1">
        <v>44320</v>
      </c>
      <c r="DB2171" s="1">
        <v>44320</v>
      </c>
      <c r="DC2171" s="1">
        <v>58930</v>
      </c>
      <c r="DD2171" t="s">
        <v>51</v>
      </c>
      <c r="DF2171" t="s">
        <v>54</v>
      </c>
      <c r="DG2171">
        <v>0</v>
      </c>
      <c r="DH2171">
        <v>0</v>
      </c>
    </row>
    <row r="2172" spans="1:112" x14ac:dyDescent="0.2">
      <c r="A2172" t="s">
        <v>1012</v>
      </c>
      <c r="B2172" t="s">
        <v>1013</v>
      </c>
      <c r="C2172" t="s">
        <v>1019</v>
      </c>
      <c r="D2172" t="s">
        <v>1053</v>
      </c>
      <c r="F2172" t="str">
        <f>"251643"</f>
        <v>251643</v>
      </c>
      <c r="G2172" t="s">
        <v>49</v>
      </c>
      <c r="K2172" t="s">
        <v>51</v>
      </c>
      <c r="L2172" t="s">
        <v>52</v>
      </c>
      <c r="M2172">
        <v>131742.5</v>
      </c>
      <c r="N2172">
        <v>474254.7</v>
      </c>
      <c r="O2172" t="s">
        <v>53</v>
      </c>
      <c r="P2172" t="s">
        <v>54</v>
      </c>
      <c r="Q2172" t="s">
        <v>55</v>
      </c>
      <c r="T2172" t="s">
        <v>1054</v>
      </c>
      <c r="U2172">
        <v>40</v>
      </c>
      <c r="V2172" s="1">
        <v>38353</v>
      </c>
      <c r="W2172" s="1">
        <v>38353</v>
      </c>
      <c r="X2172" s="1">
        <v>38353</v>
      </c>
      <c r="Y2172" s="1">
        <v>52963</v>
      </c>
      <c r="Z2172" t="s">
        <v>51</v>
      </c>
      <c r="AB2172" t="s">
        <v>54</v>
      </c>
      <c r="AC2172">
        <v>1</v>
      </c>
      <c r="AE2172" t="s">
        <v>1055</v>
      </c>
      <c r="AF2172">
        <v>20</v>
      </c>
      <c r="AG2172" s="1">
        <v>39785</v>
      </c>
      <c r="AH2172" s="1">
        <v>39785</v>
      </c>
      <c r="AI2172" s="1">
        <v>38353</v>
      </c>
      <c r="AJ2172" s="1">
        <v>47090</v>
      </c>
      <c r="AK2172" t="s">
        <v>51</v>
      </c>
      <c r="AN2172">
        <v>0</v>
      </c>
      <c r="AO2172" t="s">
        <v>54</v>
      </c>
      <c r="AP2172" t="s">
        <v>53</v>
      </c>
      <c r="AQ2172">
        <v>0</v>
      </c>
      <c r="AR2172" t="s">
        <v>53</v>
      </c>
      <c r="AS2172">
        <v>0</v>
      </c>
      <c r="AT2172">
        <v>0</v>
      </c>
      <c r="BK2172" t="s">
        <v>803</v>
      </c>
      <c r="BL2172">
        <v>50000</v>
      </c>
      <c r="BM2172" s="1">
        <v>44322</v>
      </c>
      <c r="BN2172" s="1">
        <v>44322</v>
      </c>
      <c r="BO2172" s="1">
        <v>44322</v>
      </c>
      <c r="BP2172" s="1">
        <v>48564</v>
      </c>
      <c r="BQ2172" t="s">
        <v>51</v>
      </c>
      <c r="BS2172" t="s">
        <v>60</v>
      </c>
      <c r="BT2172" t="s">
        <v>54</v>
      </c>
      <c r="BU2172" t="s">
        <v>362</v>
      </c>
      <c r="BX2172">
        <v>36</v>
      </c>
      <c r="BY2172">
        <v>4320</v>
      </c>
      <c r="BZ2172">
        <v>0</v>
      </c>
      <c r="CX2172" t="s">
        <v>360</v>
      </c>
      <c r="CY2172">
        <v>40</v>
      </c>
      <c r="CZ2172" s="1">
        <v>44320</v>
      </c>
      <c r="DA2172" s="1">
        <v>44320</v>
      </c>
      <c r="DB2172" s="1">
        <v>44320</v>
      </c>
      <c r="DC2172" s="1">
        <v>58930</v>
      </c>
      <c r="DD2172" t="s">
        <v>51</v>
      </c>
      <c r="DF2172" t="s">
        <v>54</v>
      </c>
      <c r="DG2172">
        <v>0</v>
      </c>
      <c r="DH2172">
        <v>0</v>
      </c>
    </row>
    <row r="2173" spans="1:112" x14ac:dyDescent="0.2">
      <c r="A2173" t="s">
        <v>1012</v>
      </c>
      <c r="B2173" t="s">
        <v>1013</v>
      </c>
      <c r="C2173" t="s">
        <v>1019</v>
      </c>
      <c r="D2173" t="s">
        <v>1053</v>
      </c>
      <c r="F2173" t="str">
        <f>"251644"</f>
        <v>251644</v>
      </c>
      <c r="G2173" t="s">
        <v>49</v>
      </c>
      <c r="K2173" t="s">
        <v>51</v>
      </c>
      <c r="L2173" t="s">
        <v>52</v>
      </c>
      <c r="M2173">
        <v>131721.42000000001</v>
      </c>
      <c r="N2173">
        <v>474272.45</v>
      </c>
      <c r="O2173" t="s">
        <v>53</v>
      </c>
      <c r="P2173" t="s">
        <v>54</v>
      </c>
      <c r="Q2173" t="s">
        <v>55</v>
      </c>
      <c r="T2173" t="s">
        <v>1054</v>
      </c>
      <c r="U2173">
        <v>40</v>
      </c>
      <c r="V2173" s="1">
        <v>38353</v>
      </c>
      <c r="W2173" s="1">
        <v>38353</v>
      </c>
      <c r="X2173" s="1">
        <v>38353</v>
      </c>
      <c r="Y2173" s="1">
        <v>52963</v>
      </c>
      <c r="Z2173" t="s">
        <v>51</v>
      </c>
      <c r="AB2173" t="s">
        <v>54</v>
      </c>
      <c r="AC2173">
        <v>1</v>
      </c>
      <c r="AE2173" t="s">
        <v>1055</v>
      </c>
      <c r="AF2173">
        <v>20</v>
      </c>
      <c r="AG2173" s="1">
        <v>39785</v>
      </c>
      <c r="AH2173" s="1">
        <v>39785</v>
      </c>
      <c r="AI2173" s="1">
        <v>38353</v>
      </c>
      <c r="AJ2173" s="1">
        <v>47090</v>
      </c>
      <c r="AK2173" t="s">
        <v>51</v>
      </c>
      <c r="AN2173">
        <v>0</v>
      </c>
      <c r="AO2173" t="s">
        <v>54</v>
      </c>
      <c r="AP2173" t="s">
        <v>53</v>
      </c>
      <c r="AQ2173">
        <v>0</v>
      </c>
      <c r="AR2173" t="s">
        <v>53</v>
      </c>
      <c r="AS2173">
        <v>0</v>
      </c>
      <c r="AT2173">
        <v>0</v>
      </c>
      <c r="BK2173" t="s">
        <v>803</v>
      </c>
      <c r="BL2173">
        <v>50000</v>
      </c>
      <c r="BM2173" s="1">
        <v>44322</v>
      </c>
      <c r="BN2173" s="1">
        <v>44322</v>
      </c>
      <c r="BO2173" s="1">
        <v>44322</v>
      </c>
      <c r="BP2173" s="1">
        <v>48564</v>
      </c>
      <c r="BQ2173" t="s">
        <v>51</v>
      </c>
      <c r="BS2173" t="s">
        <v>60</v>
      </c>
      <c r="BT2173" t="s">
        <v>54</v>
      </c>
      <c r="BU2173" t="s">
        <v>362</v>
      </c>
      <c r="BX2173">
        <v>36</v>
      </c>
      <c r="BY2173">
        <v>4320</v>
      </c>
      <c r="BZ2173">
        <v>0</v>
      </c>
      <c r="CX2173" t="s">
        <v>360</v>
      </c>
      <c r="CY2173">
        <v>40</v>
      </c>
      <c r="CZ2173" s="1">
        <v>44320</v>
      </c>
      <c r="DA2173" s="1">
        <v>44320</v>
      </c>
      <c r="DB2173" s="1">
        <v>44320</v>
      </c>
      <c r="DC2173" s="1">
        <v>58930</v>
      </c>
      <c r="DD2173" t="s">
        <v>51</v>
      </c>
      <c r="DF2173" t="s">
        <v>54</v>
      </c>
      <c r="DG2173">
        <v>0</v>
      </c>
      <c r="DH2173">
        <v>0</v>
      </c>
    </row>
    <row r="2174" spans="1:112" x14ac:dyDescent="0.2">
      <c r="A2174" t="s">
        <v>1012</v>
      </c>
      <c r="B2174" t="s">
        <v>1013</v>
      </c>
      <c r="C2174" t="s">
        <v>1019</v>
      </c>
      <c r="D2174" t="s">
        <v>1053</v>
      </c>
      <c r="F2174" t="str">
        <f>"251645"</f>
        <v>251645</v>
      </c>
      <c r="G2174" t="s">
        <v>49</v>
      </c>
      <c r="K2174" t="s">
        <v>51</v>
      </c>
      <c r="L2174" t="s">
        <v>52</v>
      </c>
      <c r="M2174">
        <v>131699.56</v>
      </c>
      <c r="N2174">
        <v>474289.81</v>
      </c>
      <c r="O2174" t="s">
        <v>53</v>
      </c>
      <c r="P2174" t="s">
        <v>54</v>
      </c>
      <c r="Q2174" t="s">
        <v>55</v>
      </c>
      <c r="T2174" t="s">
        <v>1054</v>
      </c>
      <c r="U2174">
        <v>40</v>
      </c>
      <c r="V2174" s="1">
        <v>38353</v>
      </c>
      <c r="W2174" s="1">
        <v>38353</v>
      </c>
      <c r="X2174" s="1">
        <v>38353</v>
      </c>
      <c r="Y2174" s="1">
        <v>52963</v>
      </c>
      <c r="Z2174" t="s">
        <v>51</v>
      </c>
      <c r="AB2174" t="s">
        <v>54</v>
      </c>
      <c r="AC2174">
        <v>1</v>
      </c>
      <c r="AE2174" t="s">
        <v>1055</v>
      </c>
      <c r="AF2174">
        <v>20</v>
      </c>
      <c r="AG2174" s="1">
        <v>39785</v>
      </c>
      <c r="AH2174" s="1">
        <v>39785</v>
      </c>
      <c r="AI2174" s="1">
        <v>38353</v>
      </c>
      <c r="AJ2174" s="1">
        <v>47090</v>
      </c>
      <c r="AK2174" t="s">
        <v>51</v>
      </c>
      <c r="AN2174">
        <v>0</v>
      </c>
      <c r="AO2174" t="s">
        <v>54</v>
      </c>
      <c r="AP2174" t="s">
        <v>53</v>
      </c>
      <c r="AQ2174">
        <v>0</v>
      </c>
      <c r="AR2174" t="s">
        <v>53</v>
      </c>
      <c r="AS2174">
        <v>0</v>
      </c>
      <c r="AT2174">
        <v>0</v>
      </c>
      <c r="BK2174" t="s">
        <v>803</v>
      </c>
      <c r="BL2174">
        <v>50000</v>
      </c>
      <c r="BM2174" s="1">
        <v>44322</v>
      </c>
      <c r="BN2174" s="1">
        <v>44322</v>
      </c>
      <c r="BO2174" s="1">
        <v>44322</v>
      </c>
      <c r="BP2174" s="1">
        <v>48564</v>
      </c>
      <c r="BQ2174" t="s">
        <v>51</v>
      </c>
      <c r="BS2174" t="s">
        <v>60</v>
      </c>
      <c r="BT2174" t="s">
        <v>54</v>
      </c>
      <c r="BU2174" t="s">
        <v>362</v>
      </c>
      <c r="BX2174">
        <v>36</v>
      </c>
      <c r="BY2174">
        <v>4320</v>
      </c>
      <c r="BZ2174">
        <v>0</v>
      </c>
      <c r="CX2174" t="s">
        <v>360</v>
      </c>
      <c r="CY2174">
        <v>40</v>
      </c>
      <c r="CZ2174" s="1">
        <v>44320</v>
      </c>
      <c r="DA2174" s="1">
        <v>44320</v>
      </c>
      <c r="DB2174" s="1">
        <v>44320</v>
      </c>
      <c r="DC2174" s="1">
        <v>58930</v>
      </c>
      <c r="DD2174" t="s">
        <v>51</v>
      </c>
      <c r="DF2174" t="s">
        <v>54</v>
      </c>
      <c r="DG2174">
        <v>0</v>
      </c>
      <c r="DH2174">
        <v>0</v>
      </c>
    </row>
    <row r="2175" spans="1:112" x14ac:dyDescent="0.2">
      <c r="A2175" t="s">
        <v>1012</v>
      </c>
      <c r="B2175" t="s">
        <v>1013</v>
      </c>
      <c r="C2175" t="s">
        <v>1019</v>
      </c>
      <c r="D2175" t="s">
        <v>1053</v>
      </c>
      <c r="F2175" t="str">
        <f>"251646"</f>
        <v>251646</v>
      </c>
      <c r="G2175" t="s">
        <v>49</v>
      </c>
      <c r="K2175" t="s">
        <v>51</v>
      </c>
      <c r="L2175" t="s">
        <v>52</v>
      </c>
      <c r="M2175">
        <v>131677.09</v>
      </c>
      <c r="N2175">
        <v>474305.8</v>
      </c>
      <c r="O2175" t="s">
        <v>53</v>
      </c>
      <c r="P2175" t="s">
        <v>54</v>
      </c>
      <c r="Q2175" t="s">
        <v>55</v>
      </c>
      <c r="T2175" t="s">
        <v>1054</v>
      </c>
      <c r="U2175">
        <v>40</v>
      </c>
      <c r="V2175" s="1">
        <v>38353</v>
      </c>
      <c r="W2175" s="1">
        <v>38353</v>
      </c>
      <c r="X2175" s="1">
        <v>38353</v>
      </c>
      <c r="Y2175" s="1">
        <v>52963</v>
      </c>
      <c r="Z2175" t="s">
        <v>51</v>
      </c>
      <c r="AB2175" t="s">
        <v>54</v>
      </c>
      <c r="AC2175">
        <v>1</v>
      </c>
      <c r="AE2175" t="s">
        <v>1055</v>
      </c>
      <c r="AF2175">
        <v>20</v>
      </c>
      <c r="AG2175" s="1">
        <v>39785</v>
      </c>
      <c r="AH2175" s="1">
        <v>39785</v>
      </c>
      <c r="AI2175" s="1">
        <v>38353</v>
      </c>
      <c r="AJ2175" s="1">
        <v>47090</v>
      </c>
      <c r="AK2175" t="s">
        <v>51</v>
      </c>
      <c r="AN2175">
        <v>0</v>
      </c>
      <c r="AO2175" t="s">
        <v>54</v>
      </c>
      <c r="AP2175" t="s">
        <v>53</v>
      </c>
      <c r="AQ2175">
        <v>0</v>
      </c>
      <c r="AR2175" t="s">
        <v>53</v>
      </c>
      <c r="AS2175">
        <v>0</v>
      </c>
      <c r="AT2175">
        <v>0</v>
      </c>
      <c r="BK2175" t="s">
        <v>803</v>
      </c>
      <c r="BL2175">
        <v>50000</v>
      </c>
      <c r="BM2175" s="1">
        <v>44322</v>
      </c>
      <c r="BN2175" s="1">
        <v>44322</v>
      </c>
      <c r="BO2175" s="1">
        <v>44322</v>
      </c>
      <c r="BP2175" s="1">
        <v>48564</v>
      </c>
      <c r="BQ2175" t="s">
        <v>51</v>
      </c>
      <c r="BS2175" t="s">
        <v>60</v>
      </c>
      <c r="BT2175" t="s">
        <v>54</v>
      </c>
      <c r="BU2175" t="s">
        <v>362</v>
      </c>
      <c r="BX2175">
        <v>36</v>
      </c>
      <c r="BY2175">
        <v>4320</v>
      </c>
      <c r="BZ2175">
        <v>0</v>
      </c>
    </row>
    <row r="2176" spans="1:112" x14ac:dyDescent="0.2">
      <c r="A2176" t="s">
        <v>1012</v>
      </c>
      <c r="B2176" t="s">
        <v>1013</v>
      </c>
      <c r="C2176" t="s">
        <v>1052</v>
      </c>
      <c r="D2176" t="s">
        <v>1053</v>
      </c>
      <c r="F2176" t="str">
        <f>"251647"</f>
        <v>251647</v>
      </c>
      <c r="G2176" t="s">
        <v>49</v>
      </c>
      <c r="K2176" t="s">
        <v>51</v>
      </c>
      <c r="L2176" t="s">
        <v>52</v>
      </c>
      <c r="M2176">
        <v>131653.38</v>
      </c>
      <c r="N2176">
        <v>474320.31</v>
      </c>
      <c r="O2176" t="s">
        <v>53</v>
      </c>
      <c r="P2176" t="s">
        <v>54</v>
      </c>
      <c r="Q2176" t="s">
        <v>55</v>
      </c>
      <c r="T2176" t="s">
        <v>1054</v>
      </c>
      <c r="U2176">
        <v>40</v>
      </c>
      <c r="V2176" s="1">
        <v>38353</v>
      </c>
      <c r="W2176" s="1">
        <v>38353</v>
      </c>
      <c r="X2176" s="1">
        <v>38353</v>
      </c>
      <c r="Y2176" s="1">
        <v>52963</v>
      </c>
      <c r="Z2176" t="s">
        <v>51</v>
      </c>
      <c r="AB2176" t="s">
        <v>54</v>
      </c>
      <c r="AC2176">
        <v>1</v>
      </c>
      <c r="AE2176" t="s">
        <v>1055</v>
      </c>
      <c r="AF2176">
        <v>20</v>
      </c>
      <c r="AG2176" s="1">
        <v>39785</v>
      </c>
      <c r="AH2176" s="1">
        <v>39785</v>
      </c>
      <c r="AI2176" s="1">
        <v>38353</v>
      </c>
      <c r="AJ2176" s="1">
        <v>47090</v>
      </c>
      <c r="AK2176" t="s">
        <v>51</v>
      </c>
      <c r="AN2176">
        <v>0</v>
      </c>
      <c r="AO2176" t="s">
        <v>54</v>
      </c>
      <c r="AP2176" t="s">
        <v>53</v>
      </c>
      <c r="AQ2176">
        <v>0</v>
      </c>
      <c r="AR2176" t="s">
        <v>53</v>
      </c>
      <c r="AS2176">
        <v>0</v>
      </c>
      <c r="AT2176">
        <v>0</v>
      </c>
      <c r="BK2176" t="s">
        <v>803</v>
      </c>
      <c r="BL2176">
        <v>50000</v>
      </c>
      <c r="BM2176" s="1">
        <v>44322</v>
      </c>
      <c r="BN2176" s="1">
        <v>44322</v>
      </c>
      <c r="BO2176" s="1">
        <v>44322</v>
      </c>
      <c r="BP2176" s="1">
        <v>48564</v>
      </c>
      <c r="BQ2176" t="s">
        <v>51</v>
      </c>
      <c r="BS2176" t="s">
        <v>60</v>
      </c>
      <c r="BT2176" t="s">
        <v>54</v>
      </c>
      <c r="BU2176" t="s">
        <v>362</v>
      </c>
      <c r="BX2176">
        <v>36</v>
      </c>
      <c r="BY2176">
        <v>4320</v>
      </c>
      <c r="BZ2176">
        <v>0</v>
      </c>
      <c r="CX2176" t="s">
        <v>360</v>
      </c>
      <c r="CY2176">
        <v>40</v>
      </c>
      <c r="CZ2176" s="1">
        <v>44320</v>
      </c>
      <c r="DA2176" s="1">
        <v>44320</v>
      </c>
      <c r="DB2176" s="1">
        <v>44320</v>
      </c>
      <c r="DC2176" s="1">
        <v>58930</v>
      </c>
      <c r="DD2176" t="s">
        <v>51</v>
      </c>
      <c r="DF2176" t="s">
        <v>54</v>
      </c>
      <c r="DG2176">
        <v>0</v>
      </c>
      <c r="DH2176">
        <v>0</v>
      </c>
    </row>
    <row r="2177" spans="1:112" x14ac:dyDescent="0.2">
      <c r="A2177" t="s">
        <v>1012</v>
      </c>
      <c r="B2177" t="s">
        <v>1013</v>
      </c>
      <c r="C2177" t="s">
        <v>1052</v>
      </c>
      <c r="D2177" t="s">
        <v>1053</v>
      </c>
      <c r="F2177" t="str">
        <f>"251648"</f>
        <v>251648</v>
      </c>
      <c r="G2177" t="s">
        <v>49</v>
      </c>
      <c r="K2177" t="s">
        <v>51</v>
      </c>
      <c r="L2177" t="s">
        <v>52</v>
      </c>
      <c r="M2177">
        <v>131631.73000000001</v>
      </c>
      <c r="N2177">
        <v>474333.74</v>
      </c>
      <c r="O2177" t="s">
        <v>53</v>
      </c>
      <c r="P2177" t="s">
        <v>54</v>
      </c>
      <c r="Q2177" t="s">
        <v>55</v>
      </c>
      <c r="T2177" t="s">
        <v>1054</v>
      </c>
      <c r="U2177">
        <v>40</v>
      </c>
      <c r="V2177" s="1">
        <v>38353</v>
      </c>
      <c r="W2177" s="1">
        <v>38353</v>
      </c>
      <c r="X2177" s="1">
        <v>38353</v>
      </c>
      <c r="Y2177" s="1">
        <v>52963</v>
      </c>
      <c r="Z2177" t="s">
        <v>51</v>
      </c>
      <c r="AB2177" t="s">
        <v>54</v>
      </c>
      <c r="AC2177">
        <v>1</v>
      </c>
      <c r="AE2177" t="s">
        <v>1055</v>
      </c>
      <c r="AF2177">
        <v>20</v>
      </c>
      <c r="AG2177" s="1">
        <v>39785</v>
      </c>
      <c r="AH2177" s="1">
        <v>39785</v>
      </c>
      <c r="AI2177" s="1">
        <v>38353</v>
      </c>
      <c r="AJ2177" s="1">
        <v>47090</v>
      </c>
      <c r="AK2177" t="s">
        <v>51</v>
      </c>
      <c r="AN2177">
        <v>0</v>
      </c>
      <c r="AO2177" t="s">
        <v>54</v>
      </c>
      <c r="AP2177" t="s">
        <v>53</v>
      </c>
      <c r="AQ2177">
        <v>0</v>
      </c>
      <c r="AR2177" t="s">
        <v>53</v>
      </c>
      <c r="AS2177">
        <v>0</v>
      </c>
      <c r="AT2177">
        <v>0</v>
      </c>
      <c r="BK2177" t="s">
        <v>803</v>
      </c>
      <c r="BL2177">
        <v>50000</v>
      </c>
      <c r="BM2177" s="1">
        <v>43591</v>
      </c>
      <c r="BN2177" s="1">
        <v>43591</v>
      </c>
      <c r="BO2177" s="1">
        <v>43591</v>
      </c>
      <c r="BP2177" s="1">
        <v>47833</v>
      </c>
      <c r="BQ2177" t="s">
        <v>51</v>
      </c>
      <c r="BS2177" t="s">
        <v>60</v>
      </c>
      <c r="BT2177" t="s">
        <v>54</v>
      </c>
      <c r="BU2177" t="s">
        <v>362</v>
      </c>
      <c r="BX2177">
        <v>36</v>
      </c>
      <c r="BY2177">
        <v>4320</v>
      </c>
      <c r="BZ2177">
        <v>0</v>
      </c>
      <c r="CX2177" t="s">
        <v>360</v>
      </c>
      <c r="CY2177">
        <v>40</v>
      </c>
      <c r="CZ2177" s="1">
        <v>44320</v>
      </c>
      <c r="DA2177" s="1">
        <v>44320</v>
      </c>
      <c r="DB2177" s="1">
        <v>44320</v>
      </c>
      <c r="DC2177" s="1">
        <v>58930</v>
      </c>
      <c r="DD2177" t="s">
        <v>51</v>
      </c>
      <c r="DF2177" t="s">
        <v>54</v>
      </c>
      <c r="DG2177">
        <v>0</v>
      </c>
      <c r="DH2177">
        <v>0</v>
      </c>
    </row>
    <row r="2178" spans="1:112" x14ac:dyDescent="0.2">
      <c r="A2178" t="s">
        <v>1012</v>
      </c>
      <c r="B2178" t="s">
        <v>1013</v>
      </c>
      <c r="C2178" t="s">
        <v>1052</v>
      </c>
      <c r="D2178" t="s">
        <v>1053</v>
      </c>
      <c r="F2178" t="str">
        <f>"251649"</f>
        <v>251649</v>
      </c>
      <c r="G2178" t="s">
        <v>49</v>
      </c>
      <c r="K2178" t="s">
        <v>51</v>
      </c>
      <c r="L2178" t="s">
        <v>52</v>
      </c>
      <c r="M2178">
        <v>131610.20800000001</v>
      </c>
      <c r="N2178">
        <v>474349.69699999999</v>
      </c>
      <c r="O2178" t="s">
        <v>53</v>
      </c>
      <c r="P2178" t="s">
        <v>54</v>
      </c>
      <c r="Q2178" t="s">
        <v>55</v>
      </c>
      <c r="T2178" t="s">
        <v>1054</v>
      </c>
      <c r="U2178">
        <v>40</v>
      </c>
      <c r="V2178" s="1">
        <v>38353</v>
      </c>
      <c r="W2178" s="1">
        <v>38353</v>
      </c>
      <c r="X2178" s="1">
        <v>38353</v>
      </c>
      <c r="Y2178" s="1">
        <v>52963</v>
      </c>
      <c r="Z2178" t="s">
        <v>51</v>
      </c>
      <c r="AB2178" t="s">
        <v>54</v>
      </c>
      <c r="AC2178">
        <v>1</v>
      </c>
      <c r="AE2178" t="s">
        <v>1055</v>
      </c>
      <c r="AF2178">
        <v>20</v>
      </c>
      <c r="AG2178" s="1">
        <v>39785</v>
      </c>
      <c r="AH2178" s="1">
        <v>39785</v>
      </c>
      <c r="AI2178" s="1">
        <v>38353</v>
      </c>
      <c r="AJ2178" s="1">
        <v>47090</v>
      </c>
      <c r="AK2178" t="s">
        <v>51</v>
      </c>
      <c r="AN2178">
        <v>0</v>
      </c>
      <c r="AO2178" t="s">
        <v>54</v>
      </c>
      <c r="AP2178" t="s">
        <v>53</v>
      </c>
      <c r="AQ2178">
        <v>0</v>
      </c>
      <c r="AR2178" t="s">
        <v>53</v>
      </c>
      <c r="AS2178">
        <v>0</v>
      </c>
      <c r="AT2178">
        <v>0</v>
      </c>
      <c r="BK2178" t="s">
        <v>803</v>
      </c>
      <c r="BL2178">
        <v>50000</v>
      </c>
      <c r="BM2178" s="1">
        <v>43591</v>
      </c>
      <c r="BN2178" s="1">
        <v>43591</v>
      </c>
      <c r="BO2178" s="1">
        <v>43591</v>
      </c>
      <c r="BP2178" s="1">
        <v>47833</v>
      </c>
      <c r="BQ2178" t="s">
        <v>51</v>
      </c>
      <c r="BS2178" t="s">
        <v>60</v>
      </c>
      <c r="BT2178" t="s">
        <v>54</v>
      </c>
      <c r="BU2178" t="s">
        <v>362</v>
      </c>
      <c r="BX2178">
        <v>36</v>
      </c>
      <c r="BY2178">
        <v>4320</v>
      </c>
      <c r="BZ2178">
        <v>0</v>
      </c>
      <c r="CX2178" t="s">
        <v>360</v>
      </c>
      <c r="CY2178">
        <v>40</v>
      </c>
      <c r="CZ2178" s="1">
        <v>44320</v>
      </c>
      <c r="DA2178" s="1">
        <v>44320</v>
      </c>
      <c r="DB2178" s="1">
        <v>44320</v>
      </c>
      <c r="DC2178" s="1">
        <v>58930</v>
      </c>
      <c r="DD2178" t="s">
        <v>51</v>
      </c>
      <c r="DF2178" t="s">
        <v>54</v>
      </c>
      <c r="DG2178">
        <v>0</v>
      </c>
      <c r="DH2178">
        <v>0</v>
      </c>
    </row>
    <row r="2179" spans="1:112" x14ac:dyDescent="0.2">
      <c r="A2179" t="s">
        <v>1012</v>
      </c>
      <c r="B2179" t="s">
        <v>1013</v>
      </c>
      <c r="C2179" t="s">
        <v>1052</v>
      </c>
      <c r="D2179" t="s">
        <v>1053</v>
      </c>
      <c r="F2179" t="str">
        <f>"251650"</f>
        <v>251650</v>
      </c>
      <c r="G2179" t="s">
        <v>49</v>
      </c>
      <c r="K2179" t="s">
        <v>51</v>
      </c>
      <c r="L2179" t="s">
        <v>52</v>
      </c>
      <c r="M2179">
        <v>131592.04699999999</v>
      </c>
      <c r="N2179">
        <v>474345.31400000001</v>
      </c>
      <c r="O2179" t="s">
        <v>53</v>
      </c>
      <c r="P2179" t="s">
        <v>54</v>
      </c>
      <c r="Q2179" t="s">
        <v>55</v>
      </c>
      <c r="T2179" t="s">
        <v>1054</v>
      </c>
      <c r="U2179">
        <v>40</v>
      </c>
      <c r="V2179" s="1">
        <v>38353</v>
      </c>
      <c r="W2179" s="1">
        <v>38353</v>
      </c>
      <c r="X2179" s="1">
        <v>38353</v>
      </c>
      <c r="Y2179" s="1">
        <v>52963</v>
      </c>
      <c r="Z2179" t="s">
        <v>51</v>
      </c>
      <c r="AB2179" t="s">
        <v>54</v>
      </c>
      <c r="AC2179">
        <v>1</v>
      </c>
      <c r="AE2179" t="s">
        <v>91</v>
      </c>
      <c r="AF2179">
        <v>20</v>
      </c>
      <c r="AG2179" s="1">
        <v>28126</v>
      </c>
      <c r="AH2179" s="1">
        <v>28126</v>
      </c>
      <c r="AI2179" s="1">
        <v>38353</v>
      </c>
      <c r="AJ2179" s="1">
        <v>35431</v>
      </c>
      <c r="AK2179" t="s">
        <v>51</v>
      </c>
      <c r="AN2179">
        <v>0</v>
      </c>
      <c r="AO2179" t="s">
        <v>54</v>
      </c>
      <c r="AP2179" t="s">
        <v>53</v>
      </c>
      <c r="AQ2179">
        <v>0</v>
      </c>
      <c r="AR2179" t="s">
        <v>53</v>
      </c>
      <c r="AS2179">
        <v>0</v>
      </c>
      <c r="AT2179">
        <v>0</v>
      </c>
      <c r="AW2179" t="s">
        <v>79</v>
      </c>
      <c r="AX2179">
        <v>20</v>
      </c>
      <c r="AY2179" s="1">
        <v>28126</v>
      </c>
      <c r="AZ2179" s="1">
        <v>28126</v>
      </c>
      <c r="BA2179" s="1">
        <v>38353</v>
      </c>
      <c r="BB2179" s="1">
        <v>35431</v>
      </c>
      <c r="BC2179" t="s">
        <v>51</v>
      </c>
      <c r="BE2179" t="s">
        <v>54</v>
      </c>
      <c r="BF2179">
        <v>5</v>
      </c>
      <c r="BG2179">
        <v>0</v>
      </c>
      <c r="BH2179" t="s">
        <v>53</v>
      </c>
      <c r="BK2179" t="s">
        <v>374</v>
      </c>
      <c r="BL2179">
        <v>50000</v>
      </c>
      <c r="BM2179" s="1">
        <v>44118</v>
      </c>
      <c r="BN2179" s="1">
        <v>44118</v>
      </c>
      <c r="BO2179" s="1">
        <v>44118</v>
      </c>
      <c r="BP2179" s="1">
        <v>48300</v>
      </c>
      <c r="BQ2179" t="s">
        <v>51</v>
      </c>
      <c r="BS2179" t="s">
        <v>60</v>
      </c>
      <c r="BT2179" t="s">
        <v>54</v>
      </c>
      <c r="BU2179" t="s">
        <v>61</v>
      </c>
      <c r="BV2179" t="s">
        <v>62</v>
      </c>
      <c r="BX2179">
        <v>26</v>
      </c>
      <c r="BY2179">
        <v>2860</v>
      </c>
      <c r="BZ2179">
        <v>0</v>
      </c>
      <c r="CX2179" t="s">
        <v>360</v>
      </c>
      <c r="CY2179">
        <v>40</v>
      </c>
      <c r="CZ2179" s="1">
        <v>44320</v>
      </c>
      <c r="DA2179" s="1">
        <v>44320</v>
      </c>
      <c r="DB2179" s="1">
        <v>44320</v>
      </c>
      <c r="DC2179" s="1">
        <v>58930</v>
      </c>
      <c r="DD2179" t="s">
        <v>51</v>
      </c>
      <c r="DF2179" t="s">
        <v>54</v>
      </c>
      <c r="DG2179">
        <v>0</v>
      </c>
      <c r="DH2179">
        <v>0</v>
      </c>
    </row>
    <row r="2180" spans="1:112" x14ac:dyDescent="0.2">
      <c r="A2180" t="s">
        <v>1012</v>
      </c>
      <c r="B2180" t="s">
        <v>1013</v>
      </c>
      <c r="C2180" t="s">
        <v>1019</v>
      </c>
      <c r="D2180" t="s">
        <v>1053</v>
      </c>
      <c r="F2180" t="str">
        <f>"251651"</f>
        <v>251651</v>
      </c>
      <c r="G2180" t="s">
        <v>49</v>
      </c>
      <c r="K2180" t="s">
        <v>51</v>
      </c>
      <c r="L2180" t="s">
        <v>52</v>
      </c>
      <c r="M2180">
        <v>131601.97700000001</v>
      </c>
      <c r="N2180">
        <v>474331.4</v>
      </c>
      <c r="O2180" t="s">
        <v>53</v>
      </c>
      <c r="P2180" t="s">
        <v>54</v>
      </c>
      <c r="Q2180" t="s">
        <v>55</v>
      </c>
      <c r="T2180" t="s">
        <v>1054</v>
      </c>
      <c r="U2180">
        <v>40</v>
      </c>
      <c r="V2180" s="1">
        <v>44914</v>
      </c>
      <c r="W2180" s="1">
        <v>44914</v>
      </c>
      <c r="X2180" s="1">
        <v>44914</v>
      </c>
      <c r="Y2180" s="1">
        <v>59524</v>
      </c>
      <c r="Z2180" t="s">
        <v>51</v>
      </c>
      <c r="AB2180" t="s">
        <v>54</v>
      </c>
      <c r="AC2180">
        <v>1</v>
      </c>
      <c r="AE2180" t="s">
        <v>1055</v>
      </c>
      <c r="AF2180">
        <v>20</v>
      </c>
      <c r="AG2180" s="1">
        <v>39785</v>
      </c>
      <c r="AH2180" s="1">
        <v>39785</v>
      </c>
      <c r="AI2180" s="1">
        <v>44914</v>
      </c>
      <c r="AJ2180" s="1">
        <v>47090</v>
      </c>
      <c r="AK2180" t="s">
        <v>51</v>
      </c>
      <c r="AN2180">
        <v>0</v>
      </c>
      <c r="AO2180" t="s">
        <v>54</v>
      </c>
      <c r="AP2180" t="s">
        <v>53</v>
      </c>
      <c r="AQ2180">
        <v>0</v>
      </c>
      <c r="AR2180" t="s">
        <v>53</v>
      </c>
      <c r="AS2180">
        <v>0</v>
      </c>
      <c r="AT2180">
        <v>0</v>
      </c>
      <c r="BK2180" t="s">
        <v>803</v>
      </c>
      <c r="BL2180">
        <v>50000</v>
      </c>
      <c r="BM2180" s="1">
        <v>44914</v>
      </c>
      <c r="BN2180" s="1">
        <v>44914</v>
      </c>
      <c r="BO2180" s="1">
        <v>44914</v>
      </c>
      <c r="BP2180" s="1">
        <v>49154</v>
      </c>
      <c r="BQ2180" t="s">
        <v>51</v>
      </c>
      <c r="BS2180" t="s">
        <v>60</v>
      </c>
      <c r="BT2180" t="s">
        <v>54</v>
      </c>
      <c r="BU2180" t="s">
        <v>362</v>
      </c>
      <c r="BX2180">
        <v>36</v>
      </c>
      <c r="BY2180">
        <v>4320</v>
      </c>
      <c r="BZ2180">
        <v>0</v>
      </c>
      <c r="CX2180" t="s">
        <v>360</v>
      </c>
      <c r="CY2180">
        <v>40</v>
      </c>
      <c r="CZ2180" s="1">
        <v>44320</v>
      </c>
      <c r="DA2180" s="1">
        <v>44320</v>
      </c>
      <c r="DB2180" s="1">
        <v>44320</v>
      </c>
      <c r="DC2180" s="1">
        <v>58930</v>
      </c>
      <c r="DD2180" t="s">
        <v>51</v>
      </c>
      <c r="DF2180" t="s">
        <v>54</v>
      </c>
      <c r="DG2180">
        <v>0</v>
      </c>
      <c r="DH2180">
        <v>0</v>
      </c>
    </row>
    <row r="2181" spans="1:112" x14ac:dyDescent="0.2">
      <c r="A2181" t="s">
        <v>1012</v>
      </c>
      <c r="B2181" t="s">
        <v>1013</v>
      </c>
      <c r="C2181" t="s">
        <v>1019</v>
      </c>
      <c r="D2181" t="s">
        <v>1053</v>
      </c>
      <c r="F2181" t="str">
        <f>"251653"</f>
        <v>251653</v>
      </c>
      <c r="G2181" t="s">
        <v>49</v>
      </c>
      <c r="K2181" t="s">
        <v>51</v>
      </c>
      <c r="L2181" t="s">
        <v>52</v>
      </c>
      <c r="M2181">
        <v>131645.44</v>
      </c>
      <c r="N2181">
        <v>474308.701</v>
      </c>
      <c r="O2181" t="s">
        <v>53</v>
      </c>
      <c r="P2181" t="s">
        <v>54</v>
      </c>
      <c r="Q2181" t="s">
        <v>55</v>
      </c>
      <c r="T2181" t="s">
        <v>1054</v>
      </c>
      <c r="U2181">
        <v>40</v>
      </c>
      <c r="V2181" s="1">
        <v>38353</v>
      </c>
      <c r="W2181" s="1">
        <v>38353</v>
      </c>
      <c r="X2181" s="1">
        <v>38353</v>
      </c>
      <c r="Y2181" s="1">
        <v>52963</v>
      </c>
      <c r="Z2181" t="s">
        <v>51</v>
      </c>
      <c r="AB2181" t="s">
        <v>54</v>
      </c>
      <c r="AC2181">
        <v>1</v>
      </c>
      <c r="AE2181" t="s">
        <v>1055</v>
      </c>
      <c r="AF2181">
        <v>20</v>
      </c>
      <c r="AG2181" s="1">
        <v>39785</v>
      </c>
      <c r="AH2181" s="1">
        <v>39785</v>
      </c>
      <c r="AI2181" s="1">
        <v>38353</v>
      </c>
      <c r="AJ2181" s="1">
        <v>47090</v>
      </c>
      <c r="AK2181" t="s">
        <v>51</v>
      </c>
      <c r="AN2181">
        <v>0</v>
      </c>
      <c r="AO2181" t="s">
        <v>54</v>
      </c>
      <c r="AP2181" t="s">
        <v>53</v>
      </c>
      <c r="AQ2181">
        <v>0</v>
      </c>
      <c r="AR2181" t="s">
        <v>53</v>
      </c>
      <c r="AS2181">
        <v>0</v>
      </c>
      <c r="AT2181">
        <v>0</v>
      </c>
      <c r="BK2181" t="s">
        <v>803</v>
      </c>
      <c r="BL2181">
        <v>50000</v>
      </c>
      <c r="BM2181" s="1">
        <v>43591</v>
      </c>
      <c r="BN2181" s="1">
        <v>43591</v>
      </c>
      <c r="BO2181" s="1">
        <v>43591</v>
      </c>
      <c r="BP2181" s="1">
        <v>47833</v>
      </c>
      <c r="BQ2181" t="s">
        <v>51</v>
      </c>
      <c r="BS2181" t="s">
        <v>60</v>
      </c>
      <c r="BT2181" t="s">
        <v>54</v>
      </c>
      <c r="BU2181" t="s">
        <v>362</v>
      </c>
      <c r="BX2181">
        <v>36</v>
      </c>
      <c r="BY2181">
        <v>4320</v>
      </c>
      <c r="BZ2181">
        <v>0</v>
      </c>
      <c r="CX2181" t="s">
        <v>360</v>
      </c>
      <c r="CY2181">
        <v>40</v>
      </c>
      <c r="CZ2181" s="1">
        <v>44320</v>
      </c>
      <c r="DA2181" s="1">
        <v>44320</v>
      </c>
      <c r="DB2181" s="1">
        <v>44320</v>
      </c>
      <c r="DC2181" s="1">
        <v>58930</v>
      </c>
      <c r="DD2181" t="s">
        <v>51</v>
      </c>
      <c r="DF2181" t="s">
        <v>54</v>
      </c>
      <c r="DG2181">
        <v>0</v>
      </c>
      <c r="DH2181">
        <v>0</v>
      </c>
    </row>
    <row r="2182" spans="1:112" x14ac:dyDescent="0.2">
      <c r="A2182" t="s">
        <v>1012</v>
      </c>
      <c r="B2182" t="s">
        <v>1013</v>
      </c>
      <c r="C2182" t="s">
        <v>1052</v>
      </c>
      <c r="D2182" t="s">
        <v>1057</v>
      </c>
      <c r="F2182" t="str">
        <f>"251654"</f>
        <v>251654</v>
      </c>
      <c r="G2182" t="s">
        <v>49</v>
      </c>
      <c r="H2182">
        <v>1</v>
      </c>
      <c r="K2182" t="s">
        <v>51</v>
      </c>
      <c r="L2182" t="s">
        <v>52</v>
      </c>
      <c r="M2182">
        <v>131880.75</v>
      </c>
      <c r="N2182">
        <v>474051.72</v>
      </c>
      <c r="O2182" t="s">
        <v>53</v>
      </c>
      <c r="P2182" t="s">
        <v>54</v>
      </c>
      <c r="Q2182" t="s">
        <v>55</v>
      </c>
      <c r="T2182" t="s">
        <v>81</v>
      </c>
      <c r="U2182">
        <v>40</v>
      </c>
      <c r="V2182" s="1">
        <v>32874</v>
      </c>
      <c r="W2182" s="1">
        <v>32874</v>
      </c>
      <c r="X2182" s="1">
        <v>32874</v>
      </c>
      <c r="Y2182" s="1">
        <v>47484</v>
      </c>
      <c r="Z2182" t="s">
        <v>51</v>
      </c>
      <c r="AB2182" t="s">
        <v>54</v>
      </c>
      <c r="AC2182">
        <v>1</v>
      </c>
      <c r="AE2182" t="s">
        <v>222</v>
      </c>
      <c r="AF2182">
        <v>20</v>
      </c>
      <c r="AG2182" s="1">
        <v>34881</v>
      </c>
      <c r="AH2182" s="1">
        <v>34881</v>
      </c>
      <c r="AI2182" s="1">
        <v>34881</v>
      </c>
      <c r="AJ2182" s="1">
        <v>42186</v>
      </c>
      <c r="AK2182" t="s">
        <v>51</v>
      </c>
      <c r="AN2182">
        <v>0</v>
      </c>
      <c r="AO2182" t="s">
        <v>54</v>
      </c>
      <c r="AP2182" t="s">
        <v>53</v>
      </c>
      <c r="AQ2182">
        <v>0</v>
      </c>
      <c r="AR2182" t="s">
        <v>53</v>
      </c>
      <c r="AS2182">
        <v>0</v>
      </c>
      <c r="AT2182">
        <v>0</v>
      </c>
      <c r="AW2182" t="s">
        <v>58</v>
      </c>
      <c r="AX2182">
        <v>20</v>
      </c>
      <c r="AY2182" s="1">
        <v>34881</v>
      </c>
      <c r="AZ2182" s="1">
        <v>34881</v>
      </c>
      <c r="BA2182" s="1">
        <v>34881</v>
      </c>
      <c r="BB2182" s="1">
        <v>42186</v>
      </c>
      <c r="BC2182" t="s">
        <v>51</v>
      </c>
      <c r="BE2182" t="s">
        <v>54</v>
      </c>
      <c r="BF2182">
        <v>2</v>
      </c>
      <c r="BG2182">
        <v>0</v>
      </c>
      <c r="BH2182" t="s">
        <v>53</v>
      </c>
      <c r="BK2182" t="s">
        <v>59</v>
      </c>
      <c r="BL2182">
        <v>14000</v>
      </c>
      <c r="BM2182" s="1">
        <v>44118</v>
      </c>
      <c r="BN2182" s="1">
        <v>44118</v>
      </c>
      <c r="BO2182" s="1">
        <v>44118</v>
      </c>
      <c r="BP2182" s="1">
        <v>45279</v>
      </c>
      <c r="BQ2182" t="s">
        <v>51</v>
      </c>
      <c r="BS2182" t="s">
        <v>60</v>
      </c>
      <c r="BT2182" t="s">
        <v>54</v>
      </c>
      <c r="BU2182" t="s">
        <v>61</v>
      </c>
      <c r="BV2182" t="s">
        <v>62</v>
      </c>
      <c r="BX2182">
        <v>24</v>
      </c>
      <c r="BY2182">
        <v>0</v>
      </c>
      <c r="BZ2182">
        <v>0</v>
      </c>
      <c r="CX2182" t="s">
        <v>674</v>
      </c>
      <c r="CY2182">
        <v>0</v>
      </c>
      <c r="CZ2182" s="1">
        <v>32874</v>
      </c>
      <c r="DA2182" s="1">
        <v>32874</v>
      </c>
      <c r="DB2182" s="1">
        <v>32874</v>
      </c>
      <c r="DC2182" s="1">
        <v>32874</v>
      </c>
      <c r="DD2182" t="s">
        <v>51</v>
      </c>
      <c r="DF2182" t="s">
        <v>54</v>
      </c>
      <c r="DG2182">
        <v>0</v>
      </c>
      <c r="DH2182">
        <v>0</v>
      </c>
    </row>
    <row r="2183" spans="1:112" x14ac:dyDescent="0.2">
      <c r="A2183" t="s">
        <v>1012</v>
      </c>
      <c r="B2183" t="s">
        <v>1013</v>
      </c>
      <c r="C2183" t="s">
        <v>1052</v>
      </c>
      <c r="D2183" t="s">
        <v>1057</v>
      </c>
      <c r="F2183" t="str">
        <f>"251655"</f>
        <v>251655</v>
      </c>
      <c r="G2183" t="s">
        <v>49</v>
      </c>
      <c r="H2183">
        <v>2</v>
      </c>
      <c r="K2183" t="s">
        <v>51</v>
      </c>
      <c r="L2183" t="s">
        <v>52</v>
      </c>
      <c r="M2183">
        <v>131877.26</v>
      </c>
      <c r="N2183">
        <v>474066.55</v>
      </c>
      <c r="O2183" t="s">
        <v>53</v>
      </c>
      <c r="P2183" t="s">
        <v>54</v>
      </c>
      <c r="Q2183" t="s">
        <v>55</v>
      </c>
      <c r="T2183" t="s">
        <v>81</v>
      </c>
      <c r="U2183">
        <v>40</v>
      </c>
      <c r="V2183" s="1">
        <v>32874</v>
      </c>
      <c r="W2183" s="1">
        <v>32874</v>
      </c>
      <c r="X2183" s="1">
        <v>32874</v>
      </c>
      <c r="Y2183" s="1">
        <v>47484</v>
      </c>
      <c r="Z2183" t="s">
        <v>51</v>
      </c>
      <c r="AB2183" t="s">
        <v>54</v>
      </c>
      <c r="AC2183">
        <v>1</v>
      </c>
      <c r="AE2183" t="s">
        <v>222</v>
      </c>
      <c r="AF2183">
        <v>20</v>
      </c>
      <c r="AG2183" s="1">
        <v>34881</v>
      </c>
      <c r="AH2183" s="1">
        <v>34881</v>
      </c>
      <c r="AI2183" s="1">
        <v>34881</v>
      </c>
      <c r="AJ2183" s="1">
        <v>42186</v>
      </c>
      <c r="AK2183" t="s">
        <v>51</v>
      </c>
      <c r="AN2183">
        <v>0</v>
      </c>
      <c r="AO2183" t="s">
        <v>54</v>
      </c>
      <c r="AP2183" t="s">
        <v>53</v>
      </c>
      <c r="AQ2183">
        <v>0</v>
      </c>
      <c r="AR2183" t="s">
        <v>53</v>
      </c>
      <c r="AS2183">
        <v>0</v>
      </c>
      <c r="AT2183">
        <v>0</v>
      </c>
      <c r="AW2183" t="s">
        <v>58</v>
      </c>
      <c r="AX2183">
        <v>20</v>
      </c>
      <c r="AY2183" s="1">
        <v>43913</v>
      </c>
      <c r="AZ2183" s="1">
        <v>43913</v>
      </c>
      <c r="BA2183" s="1">
        <v>43913</v>
      </c>
      <c r="BB2183" s="1">
        <v>51218</v>
      </c>
      <c r="BC2183" t="s">
        <v>51</v>
      </c>
      <c r="BE2183" t="s">
        <v>54</v>
      </c>
      <c r="BF2183">
        <v>2</v>
      </c>
      <c r="BG2183">
        <v>0</v>
      </c>
      <c r="BH2183" t="s">
        <v>53</v>
      </c>
      <c r="BK2183" t="s">
        <v>59</v>
      </c>
      <c r="BL2183">
        <v>14000</v>
      </c>
      <c r="BM2183" s="1">
        <v>44118</v>
      </c>
      <c r="BN2183" s="1">
        <v>44118</v>
      </c>
      <c r="BO2183" s="1">
        <v>44118</v>
      </c>
      <c r="BP2183" s="1">
        <v>45279</v>
      </c>
      <c r="BQ2183" t="s">
        <v>51</v>
      </c>
      <c r="BS2183" t="s">
        <v>60</v>
      </c>
      <c r="BT2183" t="s">
        <v>54</v>
      </c>
      <c r="BU2183" t="s">
        <v>61</v>
      </c>
      <c r="BV2183" t="s">
        <v>62</v>
      </c>
      <c r="BX2183">
        <v>24</v>
      </c>
      <c r="BY2183">
        <v>0</v>
      </c>
      <c r="BZ2183">
        <v>0</v>
      </c>
      <c r="CX2183" t="s">
        <v>674</v>
      </c>
      <c r="CY2183">
        <v>0</v>
      </c>
      <c r="CZ2183" s="1">
        <v>32874</v>
      </c>
      <c r="DA2183" s="1">
        <v>32874</v>
      </c>
      <c r="DB2183" s="1">
        <v>32874</v>
      </c>
      <c r="DC2183" s="1">
        <v>32874</v>
      </c>
      <c r="DD2183" t="s">
        <v>51</v>
      </c>
      <c r="DF2183" t="s">
        <v>54</v>
      </c>
      <c r="DG2183">
        <v>0</v>
      </c>
      <c r="DH2183">
        <v>0</v>
      </c>
    </row>
    <row r="2184" spans="1:112" x14ac:dyDescent="0.2">
      <c r="A2184" t="s">
        <v>1012</v>
      </c>
      <c r="B2184" t="s">
        <v>1013</v>
      </c>
      <c r="C2184" t="s">
        <v>1052</v>
      </c>
      <c r="D2184" t="s">
        <v>1057</v>
      </c>
      <c r="F2184" t="str">
        <f>"251657"</f>
        <v>251657</v>
      </c>
      <c r="G2184" t="s">
        <v>49</v>
      </c>
      <c r="H2184">
        <v>5</v>
      </c>
      <c r="K2184" t="s">
        <v>51</v>
      </c>
      <c r="L2184" t="s">
        <v>52</v>
      </c>
      <c r="M2184">
        <v>131867.67000000001</v>
      </c>
      <c r="N2184">
        <v>474106.73</v>
      </c>
      <c r="O2184" t="s">
        <v>53</v>
      </c>
      <c r="P2184" t="s">
        <v>54</v>
      </c>
      <c r="Q2184" t="s">
        <v>55</v>
      </c>
      <c r="T2184" t="s">
        <v>81</v>
      </c>
      <c r="U2184">
        <v>40</v>
      </c>
      <c r="V2184" s="1">
        <v>32874</v>
      </c>
      <c r="W2184" s="1">
        <v>32874</v>
      </c>
      <c r="X2184" s="1">
        <v>32874</v>
      </c>
      <c r="Y2184" s="1">
        <v>47484</v>
      </c>
      <c r="Z2184" t="s">
        <v>51</v>
      </c>
      <c r="AB2184" t="s">
        <v>54</v>
      </c>
      <c r="AC2184">
        <v>1</v>
      </c>
      <c r="AE2184" t="s">
        <v>222</v>
      </c>
      <c r="AF2184">
        <v>20</v>
      </c>
      <c r="AG2184" s="1">
        <v>34881</v>
      </c>
      <c r="AH2184" s="1">
        <v>34881</v>
      </c>
      <c r="AI2184" s="1">
        <v>34881</v>
      </c>
      <c r="AJ2184" s="1">
        <v>42186</v>
      </c>
      <c r="AK2184" t="s">
        <v>51</v>
      </c>
      <c r="AN2184">
        <v>0</v>
      </c>
      <c r="AO2184" t="s">
        <v>54</v>
      </c>
      <c r="AP2184" t="s">
        <v>53</v>
      </c>
      <c r="AQ2184">
        <v>0</v>
      </c>
      <c r="AR2184" t="s">
        <v>53</v>
      </c>
      <c r="AS2184">
        <v>0</v>
      </c>
      <c r="AT2184">
        <v>0</v>
      </c>
      <c r="AW2184" t="s">
        <v>58</v>
      </c>
      <c r="AX2184">
        <v>20</v>
      </c>
      <c r="AY2184" s="1">
        <v>34881</v>
      </c>
      <c r="AZ2184" s="1">
        <v>34881</v>
      </c>
      <c r="BA2184" s="1">
        <v>34881</v>
      </c>
      <c r="BB2184" s="1">
        <v>42186</v>
      </c>
      <c r="BC2184" t="s">
        <v>51</v>
      </c>
      <c r="BE2184" t="s">
        <v>54</v>
      </c>
      <c r="BF2184">
        <v>2</v>
      </c>
      <c r="BG2184">
        <v>0</v>
      </c>
      <c r="BH2184" t="s">
        <v>53</v>
      </c>
      <c r="BK2184" t="s">
        <v>59</v>
      </c>
      <c r="BL2184">
        <v>14000</v>
      </c>
      <c r="BM2184" s="1">
        <v>44118</v>
      </c>
      <c r="BN2184" s="1">
        <v>44118</v>
      </c>
      <c r="BO2184" s="1">
        <v>44118</v>
      </c>
      <c r="BP2184" s="1">
        <v>45279</v>
      </c>
      <c r="BQ2184" t="s">
        <v>51</v>
      </c>
      <c r="BS2184" t="s">
        <v>60</v>
      </c>
      <c r="BT2184" t="s">
        <v>54</v>
      </c>
      <c r="BU2184" t="s">
        <v>61</v>
      </c>
      <c r="BV2184" t="s">
        <v>62</v>
      </c>
      <c r="BX2184">
        <v>24</v>
      </c>
      <c r="BY2184">
        <v>0</v>
      </c>
      <c r="BZ2184">
        <v>0</v>
      </c>
      <c r="CX2184" t="s">
        <v>674</v>
      </c>
      <c r="CY2184">
        <v>0</v>
      </c>
      <c r="CZ2184" s="1">
        <v>44075</v>
      </c>
      <c r="DA2184" s="1">
        <v>44075</v>
      </c>
      <c r="DB2184" s="1">
        <v>44075</v>
      </c>
      <c r="DC2184" s="1">
        <v>44075</v>
      </c>
      <c r="DD2184" t="s">
        <v>51</v>
      </c>
      <c r="DF2184" t="s">
        <v>54</v>
      </c>
      <c r="DG2184">
        <v>0</v>
      </c>
      <c r="DH2184">
        <v>0</v>
      </c>
    </row>
    <row r="2185" spans="1:112" x14ac:dyDescent="0.2">
      <c r="A2185" t="s">
        <v>1012</v>
      </c>
      <c r="B2185" t="s">
        <v>1013</v>
      </c>
      <c r="C2185" t="s">
        <v>1052</v>
      </c>
      <c r="D2185" t="s">
        <v>1057</v>
      </c>
      <c r="F2185" t="str">
        <f>"251658"</f>
        <v>251658</v>
      </c>
      <c r="G2185" t="s">
        <v>49</v>
      </c>
      <c r="H2185">
        <v>6</v>
      </c>
      <c r="K2185" t="s">
        <v>51</v>
      </c>
      <c r="L2185" t="s">
        <v>52</v>
      </c>
      <c r="M2185">
        <v>131871.44</v>
      </c>
      <c r="N2185">
        <v>474129.54</v>
      </c>
      <c r="O2185" t="s">
        <v>53</v>
      </c>
      <c r="P2185" t="s">
        <v>54</v>
      </c>
      <c r="Q2185" t="s">
        <v>55</v>
      </c>
      <c r="T2185" t="s">
        <v>81</v>
      </c>
      <c r="U2185">
        <v>40</v>
      </c>
      <c r="V2185" s="1">
        <v>32874</v>
      </c>
      <c r="W2185" s="1">
        <v>32874</v>
      </c>
      <c r="X2185" s="1">
        <v>32874</v>
      </c>
      <c r="Y2185" s="1">
        <v>47484</v>
      </c>
      <c r="Z2185" t="s">
        <v>51</v>
      </c>
      <c r="AB2185" t="s">
        <v>54</v>
      </c>
      <c r="AC2185">
        <v>1</v>
      </c>
      <c r="AE2185" t="s">
        <v>222</v>
      </c>
      <c r="AF2185">
        <v>20</v>
      </c>
      <c r="AG2185" s="1">
        <v>34881</v>
      </c>
      <c r="AH2185" s="1">
        <v>34881</v>
      </c>
      <c r="AI2185" s="1">
        <v>34881</v>
      </c>
      <c r="AJ2185" s="1">
        <v>42186</v>
      </c>
      <c r="AK2185" t="s">
        <v>51</v>
      </c>
      <c r="AN2185">
        <v>0</v>
      </c>
      <c r="AO2185" t="s">
        <v>54</v>
      </c>
      <c r="AP2185" t="s">
        <v>53</v>
      </c>
      <c r="AQ2185">
        <v>0</v>
      </c>
      <c r="AR2185" t="s">
        <v>53</v>
      </c>
      <c r="AS2185">
        <v>0</v>
      </c>
      <c r="AT2185">
        <v>0</v>
      </c>
      <c r="AW2185" t="s">
        <v>58</v>
      </c>
      <c r="AX2185">
        <v>20</v>
      </c>
      <c r="AY2185" s="1">
        <v>43787</v>
      </c>
      <c r="AZ2185" s="1">
        <v>43787</v>
      </c>
      <c r="BA2185" s="1">
        <v>43787</v>
      </c>
      <c r="BB2185" s="1">
        <v>51092</v>
      </c>
      <c r="BC2185" t="s">
        <v>51</v>
      </c>
      <c r="BE2185" t="s">
        <v>54</v>
      </c>
      <c r="BF2185">
        <v>2</v>
      </c>
      <c r="BG2185">
        <v>0</v>
      </c>
      <c r="BH2185" t="s">
        <v>53</v>
      </c>
      <c r="BK2185" t="s">
        <v>59</v>
      </c>
      <c r="BL2185">
        <v>14000</v>
      </c>
      <c r="BM2185" s="1">
        <v>44118</v>
      </c>
      <c r="BN2185" s="1">
        <v>44118</v>
      </c>
      <c r="BO2185" s="1">
        <v>44118</v>
      </c>
      <c r="BP2185" s="1">
        <v>45279</v>
      </c>
      <c r="BQ2185" t="s">
        <v>51</v>
      </c>
      <c r="BS2185" t="s">
        <v>60</v>
      </c>
      <c r="BT2185" t="s">
        <v>54</v>
      </c>
      <c r="BU2185" t="s">
        <v>61</v>
      </c>
      <c r="BV2185" t="s">
        <v>62</v>
      </c>
      <c r="BX2185">
        <v>24</v>
      </c>
      <c r="BY2185">
        <v>0</v>
      </c>
      <c r="BZ2185">
        <v>0</v>
      </c>
      <c r="CX2185" t="s">
        <v>674</v>
      </c>
      <c r="CY2185">
        <v>0</v>
      </c>
      <c r="CZ2185" s="1">
        <v>44075</v>
      </c>
      <c r="DA2185" s="1">
        <v>44075</v>
      </c>
      <c r="DB2185" s="1">
        <v>44075</v>
      </c>
      <c r="DC2185" s="1">
        <v>44075</v>
      </c>
      <c r="DD2185" t="s">
        <v>51</v>
      </c>
      <c r="DF2185" t="s">
        <v>54</v>
      </c>
      <c r="DG2185">
        <v>0</v>
      </c>
      <c r="DH2185">
        <v>0</v>
      </c>
    </row>
    <row r="2186" spans="1:112" x14ac:dyDescent="0.2">
      <c r="A2186" t="s">
        <v>1012</v>
      </c>
      <c r="B2186" t="s">
        <v>1013</v>
      </c>
      <c r="C2186" t="s">
        <v>1052</v>
      </c>
      <c r="D2186" t="s">
        <v>1057</v>
      </c>
      <c r="F2186" t="str">
        <f>"251659"</f>
        <v>251659</v>
      </c>
      <c r="G2186" t="s">
        <v>49</v>
      </c>
      <c r="H2186">
        <v>8</v>
      </c>
      <c r="K2186" t="s">
        <v>51</v>
      </c>
      <c r="L2186" t="s">
        <v>52</v>
      </c>
      <c r="M2186">
        <v>131879.236</v>
      </c>
      <c r="N2186">
        <v>474153.52299999999</v>
      </c>
      <c r="O2186" t="s">
        <v>53</v>
      </c>
      <c r="P2186" t="s">
        <v>54</v>
      </c>
      <c r="Q2186" t="s">
        <v>55</v>
      </c>
      <c r="T2186" t="s">
        <v>81</v>
      </c>
      <c r="U2186">
        <v>40</v>
      </c>
      <c r="V2186" s="1">
        <v>32874</v>
      </c>
      <c r="W2186" s="1">
        <v>32874</v>
      </c>
      <c r="X2186" s="1">
        <v>32874</v>
      </c>
      <c r="Y2186" s="1">
        <v>47484</v>
      </c>
      <c r="Z2186" t="s">
        <v>51</v>
      </c>
      <c r="AB2186" t="s">
        <v>54</v>
      </c>
      <c r="AC2186">
        <v>1</v>
      </c>
      <c r="AE2186" t="s">
        <v>222</v>
      </c>
      <c r="AF2186">
        <v>20</v>
      </c>
      <c r="AG2186" s="1">
        <v>34881</v>
      </c>
      <c r="AH2186" s="1">
        <v>34881</v>
      </c>
      <c r="AI2186" s="1">
        <v>34881</v>
      </c>
      <c r="AJ2186" s="1">
        <v>42186</v>
      </c>
      <c r="AK2186" t="s">
        <v>51</v>
      </c>
      <c r="AN2186">
        <v>0</v>
      </c>
      <c r="AO2186" t="s">
        <v>54</v>
      </c>
      <c r="AP2186" t="s">
        <v>53</v>
      </c>
      <c r="AQ2186">
        <v>0</v>
      </c>
      <c r="AR2186" t="s">
        <v>53</v>
      </c>
      <c r="AS2186">
        <v>0</v>
      </c>
      <c r="AT2186">
        <v>0</v>
      </c>
      <c r="AW2186" t="s">
        <v>58</v>
      </c>
      <c r="AX2186">
        <v>20</v>
      </c>
      <c r="AY2186" s="1">
        <v>34881</v>
      </c>
      <c r="AZ2186" s="1">
        <v>34881</v>
      </c>
      <c r="BA2186" s="1">
        <v>34881</v>
      </c>
      <c r="BB2186" s="1">
        <v>42186</v>
      </c>
      <c r="BC2186" t="s">
        <v>51</v>
      </c>
      <c r="BE2186" t="s">
        <v>54</v>
      </c>
      <c r="BF2186">
        <v>2</v>
      </c>
      <c r="BG2186">
        <v>0</v>
      </c>
      <c r="BH2186" t="s">
        <v>53</v>
      </c>
      <c r="BK2186" t="s">
        <v>59</v>
      </c>
      <c r="BL2186">
        <v>14000</v>
      </c>
      <c r="BM2186" s="1">
        <v>44118</v>
      </c>
      <c r="BN2186" s="1">
        <v>44118</v>
      </c>
      <c r="BO2186" s="1">
        <v>44118</v>
      </c>
      <c r="BP2186" s="1">
        <v>45279</v>
      </c>
      <c r="BQ2186" t="s">
        <v>51</v>
      </c>
      <c r="BS2186" t="s">
        <v>60</v>
      </c>
      <c r="BT2186" t="s">
        <v>54</v>
      </c>
      <c r="BU2186" t="s">
        <v>61</v>
      </c>
      <c r="BV2186" t="s">
        <v>62</v>
      </c>
      <c r="BX2186">
        <v>24</v>
      </c>
      <c r="BY2186">
        <v>0</v>
      </c>
      <c r="BZ2186">
        <v>0</v>
      </c>
      <c r="CX2186" t="s">
        <v>674</v>
      </c>
      <c r="CY2186">
        <v>0</v>
      </c>
      <c r="CZ2186" s="1">
        <v>44075</v>
      </c>
      <c r="DA2186" s="1">
        <v>44075</v>
      </c>
      <c r="DB2186" s="1">
        <v>44075</v>
      </c>
      <c r="DC2186" s="1">
        <v>44075</v>
      </c>
      <c r="DD2186" t="s">
        <v>51</v>
      </c>
      <c r="DF2186" t="s">
        <v>54</v>
      </c>
      <c r="DG2186">
        <v>0</v>
      </c>
      <c r="DH2186">
        <v>0</v>
      </c>
    </row>
    <row r="2187" spans="1:112" x14ac:dyDescent="0.2">
      <c r="A2187" t="s">
        <v>1012</v>
      </c>
      <c r="B2187" t="s">
        <v>1013</v>
      </c>
      <c r="C2187" t="s">
        <v>1052</v>
      </c>
      <c r="D2187" t="s">
        <v>1057</v>
      </c>
      <c r="F2187" t="str">
        <f>"251660"</f>
        <v>251660</v>
      </c>
      <c r="G2187" t="s">
        <v>49</v>
      </c>
      <c r="H2187">
        <v>10</v>
      </c>
      <c r="K2187" t="s">
        <v>51</v>
      </c>
      <c r="L2187" t="s">
        <v>52</v>
      </c>
      <c r="M2187">
        <v>131872.56</v>
      </c>
      <c r="N2187">
        <v>474174.4</v>
      </c>
      <c r="O2187" t="s">
        <v>53</v>
      </c>
      <c r="P2187" t="s">
        <v>54</v>
      </c>
      <c r="Q2187" t="s">
        <v>55</v>
      </c>
      <c r="T2187" t="s">
        <v>81</v>
      </c>
      <c r="U2187">
        <v>40</v>
      </c>
      <c r="V2187" s="1">
        <v>32874</v>
      </c>
      <c r="W2187" s="1">
        <v>32874</v>
      </c>
      <c r="X2187" s="1">
        <v>32874</v>
      </c>
      <c r="Y2187" s="1">
        <v>47484</v>
      </c>
      <c r="Z2187" t="s">
        <v>51</v>
      </c>
      <c r="AB2187" t="s">
        <v>54</v>
      </c>
      <c r="AC2187">
        <v>1</v>
      </c>
      <c r="AE2187" t="s">
        <v>222</v>
      </c>
      <c r="AF2187">
        <v>20</v>
      </c>
      <c r="AG2187" s="1">
        <v>34881</v>
      </c>
      <c r="AH2187" s="1">
        <v>34881</v>
      </c>
      <c r="AI2187" s="1">
        <v>34881</v>
      </c>
      <c r="AJ2187" s="1">
        <v>42186</v>
      </c>
      <c r="AK2187" t="s">
        <v>51</v>
      </c>
      <c r="AN2187">
        <v>0</v>
      </c>
      <c r="AO2187" t="s">
        <v>54</v>
      </c>
      <c r="AP2187" t="s">
        <v>53</v>
      </c>
      <c r="AQ2187">
        <v>0</v>
      </c>
      <c r="AR2187" t="s">
        <v>53</v>
      </c>
      <c r="AS2187">
        <v>0</v>
      </c>
      <c r="AT2187">
        <v>0</v>
      </c>
      <c r="AW2187" t="s">
        <v>58</v>
      </c>
      <c r="AX2187">
        <v>20</v>
      </c>
      <c r="AY2187" s="1">
        <v>43627</v>
      </c>
      <c r="AZ2187" s="1">
        <v>43627</v>
      </c>
      <c r="BA2187" s="1">
        <v>43627</v>
      </c>
      <c r="BB2187" s="1">
        <v>50932</v>
      </c>
      <c r="BC2187" t="s">
        <v>51</v>
      </c>
      <c r="BE2187" t="s">
        <v>54</v>
      </c>
      <c r="BF2187">
        <v>2</v>
      </c>
      <c r="BG2187">
        <v>0</v>
      </c>
      <c r="BH2187" t="s">
        <v>53</v>
      </c>
      <c r="BK2187" t="s">
        <v>59</v>
      </c>
      <c r="BL2187">
        <v>14000</v>
      </c>
      <c r="BM2187" s="1">
        <v>44118</v>
      </c>
      <c r="BN2187" s="1">
        <v>44118</v>
      </c>
      <c r="BO2187" s="1">
        <v>44118</v>
      </c>
      <c r="BP2187" s="1">
        <v>45279</v>
      </c>
      <c r="BQ2187" t="s">
        <v>51</v>
      </c>
      <c r="BS2187" t="s">
        <v>60</v>
      </c>
      <c r="BT2187" t="s">
        <v>54</v>
      </c>
      <c r="BU2187" t="s">
        <v>61</v>
      </c>
      <c r="BV2187" t="s">
        <v>62</v>
      </c>
      <c r="BX2187">
        <v>24</v>
      </c>
      <c r="BY2187">
        <v>0</v>
      </c>
      <c r="BZ2187">
        <v>0</v>
      </c>
      <c r="CX2187" t="s">
        <v>674</v>
      </c>
      <c r="CY2187">
        <v>0</v>
      </c>
      <c r="CZ2187" s="1">
        <v>44075</v>
      </c>
      <c r="DA2187" s="1">
        <v>44075</v>
      </c>
      <c r="DB2187" s="1">
        <v>44075</v>
      </c>
      <c r="DC2187" s="1">
        <v>44075</v>
      </c>
      <c r="DD2187" t="s">
        <v>51</v>
      </c>
      <c r="DF2187" t="s">
        <v>54</v>
      </c>
      <c r="DG2187">
        <v>0</v>
      </c>
      <c r="DH2187">
        <v>0</v>
      </c>
    </row>
    <row r="2188" spans="1:112" x14ac:dyDescent="0.2">
      <c r="A2188" t="s">
        <v>1012</v>
      </c>
      <c r="B2188" t="s">
        <v>1013</v>
      </c>
      <c r="C2188" t="s">
        <v>1052</v>
      </c>
      <c r="D2188" t="s">
        <v>1057</v>
      </c>
      <c r="F2188" t="str">
        <f>"251661"</f>
        <v>251661</v>
      </c>
      <c r="G2188" t="s">
        <v>49</v>
      </c>
      <c r="H2188">
        <v>12</v>
      </c>
      <c r="K2188" t="s">
        <v>51</v>
      </c>
      <c r="L2188" t="s">
        <v>52</v>
      </c>
      <c r="M2188">
        <v>131849.75</v>
      </c>
      <c r="N2188">
        <v>474184.31</v>
      </c>
      <c r="O2188" t="s">
        <v>53</v>
      </c>
      <c r="P2188" t="s">
        <v>54</v>
      </c>
      <c r="Q2188" t="s">
        <v>55</v>
      </c>
      <c r="T2188" t="s">
        <v>81</v>
      </c>
      <c r="U2188">
        <v>40</v>
      </c>
      <c r="V2188" s="1">
        <v>32874</v>
      </c>
      <c r="W2188" s="1">
        <v>32874</v>
      </c>
      <c r="X2188" s="1">
        <v>32874</v>
      </c>
      <c r="Y2188" s="1">
        <v>47484</v>
      </c>
      <c r="Z2188" t="s">
        <v>51</v>
      </c>
      <c r="AB2188" t="s">
        <v>54</v>
      </c>
      <c r="AC2188">
        <v>1</v>
      </c>
      <c r="AE2188" t="s">
        <v>222</v>
      </c>
      <c r="AF2188">
        <v>20</v>
      </c>
      <c r="AG2188" s="1">
        <v>34881</v>
      </c>
      <c r="AH2188" s="1">
        <v>34881</v>
      </c>
      <c r="AI2188" s="1">
        <v>34881</v>
      </c>
      <c r="AJ2188" s="1">
        <v>42186</v>
      </c>
      <c r="AK2188" t="s">
        <v>51</v>
      </c>
      <c r="AN2188">
        <v>0</v>
      </c>
      <c r="AO2188" t="s">
        <v>54</v>
      </c>
      <c r="AP2188" t="s">
        <v>53</v>
      </c>
      <c r="AQ2188">
        <v>0</v>
      </c>
      <c r="AR2188" t="s">
        <v>53</v>
      </c>
      <c r="AS2188">
        <v>0</v>
      </c>
      <c r="AT2188">
        <v>0</v>
      </c>
      <c r="AW2188" t="s">
        <v>58</v>
      </c>
      <c r="AX2188">
        <v>20</v>
      </c>
      <c r="AY2188" s="1">
        <v>34881</v>
      </c>
      <c r="AZ2188" s="1">
        <v>34881</v>
      </c>
      <c r="BA2188" s="1">
        <v>34881</v>
      </c>
      <c r="BB2188" s="1">
        <v>42186</v>
      </c>
      <c r="BC2188" t="s">
        <v>51</v>
      </c>
      <c r="BE2188" t="s">
        <v>54</v>
      </c>
      <c r="BF2188">
        <v>2</v>
      </c>
      <c r="BG2188">
        <v>0</v>
      </c>
      <c r="BH2188" t="s">
        <v>53</v>
      </c>
      <c r="BK2188" t="s">
        <v>59</v>
      </c>
      <c r="BL2188">
        <v>14000</v>
      </c>
      <c r="BM2188" s="1">
        <v>44118</v>
      </c>
      <c r="BN2188" s="1">
        <v>44118</v>
      </c>
      <c r="BO2188" s="1">
        <v>44118</v>
      </c>
      <c r="BP2188" s="1">
        <v>45279</v>
      </c>
      <c r="BQ2188" t="s">
        <v>51</v>
      </c>
      <c r="BS2188" t="s">
        <v>60</v>
      </c>
      <c r="BT2188" t="s">
        <v>54</v>
      </c>
      <c r="BU2188" t="s">
        <v>61</v>
      </c>
      <c r="BV2188" t="s">
        <v>62</v>
      </c>
      <c r="BX2188">
        <v>24</v>
      </c>
      <c r="BY2188">
        <v>0</v>
      </c>
      <c r="BZ2188">
        <v>0</v>
      </c>
      <c r="CX2188" t="s">
        <v>674</v>
      </c>
      <c r="CY2188">
        <v>0</v>
      </c>
      <c r="CZ2188" s="1">
        <v>44075</v>
      </c>
      <c r="DA2188" s="1">
        <v>44075</v>
      </c>
      <c r="DB2188" s="1">
        <v>44075</v>
      </c>
      <c r="DC2188" s="1">
        <v>44075</v>
      </c>
      <c r="DD2188" t="s">
        <v>51</v>
      </c>
      <c r="DF2188" t="s">
        <v>54</v>
      </c>
      <c r="DG2188">
        <v>0</v>
      </c>
      <c r="DH2188">
        <v>0</v>
      </c>
    </row>
    <row r="2189" spans="1:112" x14ac:dyDescent="0.2">
      <c r="A2189" t="s">
        <v>1012</v>
      </c>
      <c r="B2189" t="s">
        <v>1013</v>
      </c>
      <c r="C2189" t="s">
        <v>1052</v>
      </c>
      <c r="D2189" t="s">
        <v>1058</v>
      </c>
      <c r="F2189" t="str">
        <f>"251662"</f>
        <v>251662</v>
      </c>
      <c r="G2189" t="s">
        <v>49</v>
      </c>
      <c r="K2189" t="s">
        <v>51</v>
      </c>
      <c r="L2189" t="s">
        <v>52</v>
      </c>
      <c r="M2189">
        <v>131831.288</v>
      </c>
      <c r="N2189">
        <v>474166.815</v>
      </c>
      <c r="O2189" t="s">
        <v>53</v>
      </c>
      <c r="P2189" t="s">
        <v>54</v>
      </c>
      <c r="Q2189" t="s">
        <v>55</v>
      </c>
      <c r="T2189" t="s">
        <v>100</v>
      </c>
      <c r="U2189">
        <v>40</v>
      </c>
      <c r="V2189" s="1">
        <v>34700</v>
      </c>
      <c r="W2189" s="1">
        <v>34700</v>
      </c>
      <c r="X2189" s="1">
        <v>34700</v>
      </c>
      <c r="Y2189" s="1">
        <v>49310</v>
      </c>
      <c r="Z2189" t="s">
        <v>51</v>
      </c>
      <c r="AB2189" t="s">
        <v>54</v>
      </c>
      <c r="AC2189">
        <v>1</v>
      </c>
      <c r="AE2189" t="s">
        <v>222</v>
      </c>
      <c r="AF2189">
        <v>20</v>
      </c>
      <c r="AG2189" s="1">
        <v>34700</v>
      </c>
      <c r="AH2189" s="1">
        <v>34700</v>
      </c>
      <c r="AI2189" s="1">
        <v>34700</v>
      </c>
      <c r="AJ2189" s="1">
        <v>42005</v>
      </c>
      <c r="AK2189" t="s">
        <v>51</v>
      </c>
      <c r="AN2189">
        <v>0</v>
      </c>
      <c r="AO2189" t="s">
        <v>54</v>
      </c>
      <c r="AP2189" t="s">
        <v>53</v>
      </c>
      <c r="AQ2189">
        <v>0</v>
      </c>
      <c r="AR2189" t="s">
        <v>53</v>
      </c>
      <c r="AS2189">
        <v>0</v>
      </c>
      <c r="AT2189">
        <v>0</v>
      </c>
      <c r="AW2189" t="s">
        <v>161</v>
      </c>
      <c r="AX2189">
        <v>50</v>
      </c>
      <c r="AY2189" s="1">
        <v>34700</v>
      </c>
      <c r="AZ2189" s="1">
        <v>34700</v>
      </c>
      <c r="BA2189" s="1">
        <v>34700</v>
      </c>
      <c r="BB2189" s="1">
        <v>52963</v>
      </c>
      <c r="BC2189" t="s">
        <v>51</v>
      </c>
      <c r="BE2189" t="s">
        <v>54</v>
      </c>
      <c r="BF2189">
        <v>0</v>
      </c>
      <c r="BG2189">
        <v>0</v>
      </c>
      <c r="BH2189" t="s">
        <v>53</v>
      </c>
      <c r="BK2189" t="s">
        <v>59</v>
      </c>
      <c r="BL2189">
        <v>14000</v>
      </c>
      <c r="BM2189" s="1">
        <v>44104</v>
      </c>
      <c r="BN2189" s="1">
        <v>44104</v>
      </c>
      <c r="BO2189" s="1">
        <v>44104</v>
      </c>
      <c r="BP2189" s="1">
        <v>45269</v>
      </c>
      <c r="BQ2189" t="s">
        <v>51</v>
      </c>
      <c r="BS2189" t="s">
        <v>60</v>
      </c>
      <c r="BT2189" t="s">
        <v>54</v>
      </c>
      <c r="BU2189" t="s">
        <v>61</v>
      </c>
      <c r="BV2189" t="s">
        <v>62</v>
      </c>
      <c r="BX2189">
        <v>24</v>
      </c>
      <c r="BY2189">
        <v>0</v>
      </c>
      <c r="BZ2189">
        <v>0</v>
      </c>
      <c r="CX2189" t="s">
        <v>674</v>
      </c>
      <c r="CY2189">
        <v>0</v>
      </c>
      <c r="CZ2189" s="1">
        <v>44075</v>
      </c>
      <c r="DA2189" s="1">
        <v>44075</v>
      </c>
      <c r="DB2189" s="1">
        <v>44075</v>
      </c>
      <c r="DC2189" s="1">
        <v>44075</v>
      </c>
      <c r="DD2189" t="s">
        <v>51</v>
      </c>
      <c r="DF2189" t="s">
        <v>54</v>
      </c>
      <c r="DG2189">
        <v>0</v>
      </c>
      <c r="DH2189">
        <v>0</v>
      </c>
    </row>
    <row r="2190" spans="1:112" x14ac:dyDescent="0.2">
      <c r="A2190" t="s">
        <v>1012</v>
      </c>
      <c r="B2190" t="s">
        <v>1013</v>
      </c>
      <c r="C2190" t="s">
        <v>1052</v>
      </c>
      <c r="D2190" t="s">
        <v>1058</v>
      </c>
      <c r="F2190" t="str">
        <f>"251663"</f>
        <v>251663</v>
      </c>
      <c r="G2190" t="s">
        <v>49</v>
      </c>
      <c r="K2190" t="s">
        <v>51</v>
      </c>
      <c r="L2190" t="s">
        <v>52</v>
      </c>
      <c r="M2190">
        <v>131835.85</v>
      </c>
      <c r="N2190">
        <v>474195.12</v>
      </c>
      <c r="O2190" t="s">
        <v>53</v>
      </c>
      <c r="P2190" t="s">
        <v>54</v>
      </c>
      <c r="Q2190" t="s">
        <v>55</v>
      </c>
      <c r="T2190" t="s">
        <v>100</v>
      </c>
      <c r="U2190">
        <v>40</v>
      </c>
      <c r="V2190" s="1">
        <v>34700</v>
      </c>
      <c r="W2190" s="1">
        <v>34700</v>
      </c>
      <c r="X2190" s="1">
        <v>34700</v>
      </c>
      <c r="Y2190" s="1">
        <v>49310</v>
      </c>
      <c r="Z2190" t="s">
        <v>51</v>
      </c>
      <c r="AB2190" t="s">
        <v>54</v>
      </c>
      <c r="AC2190">
        <v>1</v>
      </c>
      <c r="AE2190" t="s">
        <v>222</v>
      </c>
      <c r="AF2190">
        <v>20</v>
      </c>
      <c r="AG2190" s="1">
        <v>34700</v>
      </c>
      <c r="AH2190" s="1">
        <v>34700</v>
      </c>
      <c r="AI2190" s="1">
        <v>34700</v>
      </c>
      <c r="AJ2190" s="1">
        <v>42005</v>
      </c>
      <c r="AK2190" t="s">
        <v>51</v>
      </c>
      <c r="AN2190">
        <v>0</v>
      </c>
      <c r="AO2190" t="s">
        <v>54</v>
      </c>
      <c r="AP2190" t="s">
        <v>53</v>
      </c>
      <c r="AQ2190">
        <v>0</v>
      </c>
      <c r="AR2190" t="s">
        <v>53</v>
      </c>
      <c r="AS2190">
        <v>0</v>
      </c>
      <c r="AT2190">
        <v>0</v>
      </c>
      <c r="AW2190" t="s">
        <v>161</v>
      </c>
      <c r="AX2190">
        <v>50</v>
      </c>
      <c r="AY2190" s="1">
        <v>34700</v>
      </c>
      <c r="AZ2190" s="1">
        <v>34700</v>
      </c>
      <c r="BA2190" s="1">
        <v>34700</v>
      </c>
      <c r="BB2190" s="1">
        <v>52963</v>
      </c>
      <c r="BC2190" t="s">
        <v>51</v>
      </c>
      <c r="BE2190" t="s">
        <v>54</v>
      </c>
      <c r="BF2190">
        <v>0</v>
      </c>
      <c r="BG2190">
        <v>0</v>
      </c>
      <c r="BH2190" t="s">
        <v>53</v>
      </c>
      <c r="BK2190" t="s">
        <v>59</v>
      </c>
      <c r="BL2190">
        <v>14000</v>
      </c>
      <c r="BM2190" s="1">
        <v>44104</v>
      </c>
      <c r="BN2190" s="1">
        <v>44104</v>
      </c>
      <c r="BO2190" s="1">
        <v>44104</v>
      </c>
      <c r="BP2190" s="1">
        <v>45269</v>
      </c>
      <c r="BQ2190" t="s">
        <v>51</v>
      </c>
      <c r="BS2190" t="s">
        <v>60</v>
      </c>
      <c r="BT2190" t="s">
        <v>54</v>
      </c>
      <c r="BU2190" t="s">
        <v>61</v>
      </c>
      <c r="BV2190" t="s">
        <v>62</v>
      </c>
      <c r="BX2190">
        <v>24</v>
      </c>
      <c r="BY2190">
        <v>0</v>
      </c>
      <c r="BZ2190">
        <v>0</v>
      </c>
      <c r="CX2190" t="s">
        <v>674</v>
      </c>
      <c r="CY2190">
        <v>0</v>
      </c>
      <c r="CZ2190" s="1">
        <v>44075</v>
      </c>
      <c r="DA2190" s="1">
        <v>44075</v>
      </c>
      <c r="DB2190" s="1">
        <v>44075</v>
      </c>
      <c r="DC2190" s="1">
        <v>44075</v>
      </c>
      <c r="DD2190" t="s">
        <v>51</v>
      </c>
      <c r="DF2190" t="s">
        <v>54</v>
      </c>
      <c r="DG2190">
        <v>0</v>
      </c>
      <c r="DH2190">
        <v>0</v>
      </c>
    </row>
    <row r="2191" spans="1:112" x14ac:dyDescent="0.2">
      <c r="A2191" t="s">
        <v>1012</v>
      </c>
      <c r="B2191" t="s">
        <v>1013</v>
      </c>
      <c r="C2191" t="s">
        <v>1052</v>
      </c>
      <c r="D2191" t="s">
        <v>1058</v>
      </c>
      <c r="F2191" t="str">
        <f>"251664"</f>
        <v>251664</v>
      </c>
      <c r="G2191" t="s">
        <v>49</v>
      </c>
      <c r="K2191" t="s">
        <v>51</v>
      </c>
      <c r="L2191" t="s">
        <v>52</v>
      </c>
      <c r="M2191">
        <v>131842.74600000001</v>
      </c>
      <c r="N2191">
        <v>474235.22899999999</v>
      </c>
      <c r="O2191" t="s">
        <v>53</v>
      </c>
      <c r="P2191" t="s">
        <v>54</v>
      </c>
      <c r="Q2191" t="s">
        <v>55</v>
      </c>
      <c r="T2191" t="s">
        <v>100</v>
      </c>
      <c r="U2191">
        <v>40</v>
      </c>
      <c r="V2191" s="1">
        <v>34700</v>
      </c>
      <c r="W2191" s="1">
        <v>34700</v>
      </c>
      <c r="X2191" s="1">
        <v>34700</v>
      </c>
      <c r="Y2191" s="1">
        <v>49310</v>
      </c>
      <c r="Z2191" t="s">
        <v>51</v>
      </c>
      <c r="AB2191" t="s">
        <v>54</v>
      </c>
      <c r="AC2191">
        <v>1</v>
      </c>
      <c r="AE2191" t="s">
        <v>222</v>
      </c>
      <c r="AF2191">
        <v>20</v>
      </c>
      <c r="AG2191" s="1">
        <v>34700</v>
      </c>
      <c r="AH2191" s="1">
        <v>34700</v>
      </c>
      <c r="AI2191" s="1">
        <v>34700</v>
      </c>
      <c r="AJ2191" s="1">
        <v>42005</v>
      </c>
      <c r="AK2191" t="s">
        <v>51</v>
      </c>
      <c r="AN2191">
        <v>0</v>
      </c>
      <c r="AO2191" t="s">
        <v>54</v>
      </c>
      <c r="AP2191" t="s">
        <v>53</v>
      </c>
      <c r="AQ2191">
        <v>0</v>
      </c>
      <c r="AR2191" t="s">
        <v>53</v>
      </c>
      <c r="AS2191">
        <v>0</v>
      </c>
      <c r="AT2191">
        <v>0</v>
      </c>
      <c r="AW2191" t="s">
        <v>161</v>
      </c>
      <c r="AX2191">
        <v>50</v>
      </c>
      <c r="AY2191" s="1">
        <v>34700</v>
      </c>
      <c r="AZ2191" s="1">
        <v>34700</v>
      </c>
      <c r="BA2191" s="1">
        <v>34700</v>
      </c>
      <c r="BB2191" s="1">
        <v>52963</v>
      </c>
      <c r="BC2191" t="s">
        <v>51</v>
      </c>
      <c r="BE2191" t="s">
        <v>54</v>
      </c>
      <c r="BF2191">
        <v>0</v>
      </c>
      <c r="BG2191">
        <v>0</v>
      </c>
      <c r="BH2191" t="s">
        <v>53</v>
      </c>
      <c r="BK2191" t="s">
        <v>59</v>
      </c>
      <c r="BL2191">
        <v>14000</v>
      </c>
      <c r="BM2191" s="1">
        <v>44104</v>
      </c>
      <c r="BN2191" s="1">
        <v>44104</v>
      </c>
      <c r="BO2191" s="1">
        <v>44104</v>
      </c>
      <c r="BP2191" s="1">
        <v>45269</v>
      </c>
      <c r="BQ2191" t="s">
        <v>51</v>
      </c>
      <c r="BS2191" t="s">
        <v>60</v>
      </c>
      <c r="BT2191" t="s">
        <v>54</v>
      </c>
      <c r="BU2191" t="s">
        <v>61</v>
      </c>
      <c r="BV2191" t="s">
        <v>62</v>
      </c>
      <c r="BX2191">
        <v>24</v>
      </c>
      <c r="BY2191">
        <v>0</v>
      </c>
      <c r="BZ2191">
        <v>0</v>
      </c>
      <c r="CX2191" t="s">
        <v>674</v>
      </c>
      <c r="CY2191">
        <v>0</v>
      </c>
      <c r="CZ2191" s="1">
        <v>44075</v>
      </c>
      <c r="DA2191" s="1">
        <v>44075</v>
      </c>
      <c r="DB2191" s="1">
        <v>44075</v>
      </c>
      <c r="DC2191" s="1">
        <v>44075</v>
      </c>
      <c r="DD2191" t="s">
        <v>51</v>
      </c>
      <c r="DF2191" t="s">
        <v>54</v>
      </c>
      <c r="DG2191">
        <v>0</v>
      </c>
      <c r="DH2191">
        <v>0</v>
      </c>
    </row>
    <row r="2192" spans="1:112" x14ac:dyDescent="0.2">
      <c r="A2192" t="s">
        <v>1012</v>
      </c>
      <c r="B2192" t="s">
        <v>1013</v>
      </c>
      <c r="C2192" t="s">
        <v>1052</v>
      </c>
      <c r="D2192" t="s">
        <v>1058</v>
      </c>
      <c r="F2192" t="str">
        <f>"251665"</f>
        <v>251665</v>
      </c>
      <c r="G2192" t="s">
        <v>49</v>
      </c>
      <c r="K2192" t="s">
        <v>51</v>
      </c>
      <c r="L2192" t="s">
        <v>52</v>
      </c>
      <c r="M2192">
        <v>131859.85</v>
      </c>
      <c r="N2192">
        <v>474271.99</v>
      </c>
      <c r="O2192" t="s">
        <v>53</v>
      </c>
      <c r="P2192" t="s">
        <v>54</v>
      </c>
      <c r="Q2192" t="s">
        <v>55</v>
      </c>
      <c r="T2192" t="s">
        <v>81</v>
      </c>
      <c r="U2192">
        <v>40</v>
      </c>
      <c r="V2192" s="1">
        <v>34700</v>
      </c>
      <c r="W2192" s="1">
        <v>34700</v>
      </c>
      <c r="X2192" s="1">
        <v>34700</v>
      </c>
      <c r="Y2192" s="1">
        <v>49310</v>
      </c>
      <c r="Z2192" t="s">
        <v>51</v>
      </c>
      <c r="AB2192" t="s">
        <v>54</v>
      </c>
      <c r="AC2192">
        <v>1</v>
      </c>
      <c r="AE2192" t="s">
        <v>613</v>
      </c>
      <c r="AF2192">
        <v>20</v>
      </c>
      <c r="AG2192" s="1">
        <v>34700</v>
      </c>
      <c r="AH2192" s="1">
        <v>34700</v>
      </c>
      <c r="AI2192" s="1">
        <v>34700</v>
      </c>
      <c r="AJ2192" s="1">
        <v>42005</v>
      </c>
      <c r="AK2192" t="s">
        <v>51</v>
      </c>
      <c r="AN2192">
        <v>0</v>
      </c>
      <c r="AO2192" t="s">
        <v>54</v>
      </c>
      <c r="AP2192" t="s">
        <v>53</v>
      </c>
      <c r="AQ2192">
        <v>0</v>
      </c>
      <c r="AR2192" t="s">
        <v>53</v>
      </c>
      <c r="AS2192">
        <v>0</v>
      </c>
      <c r="AT2192">
        <v>0</v>
      </c>
      <c r="AW2192" t="s">
        <v>161</v>
      </c>
      <c r="AX2192">
        <v>50</v>
      </c>
      <c r="AY2192" s="1">
        <v>34700</v>
      </c>
      <c r="AZ2192" s="1">
        <v>34700</v>
      </c>
      <c r="BA2192" s="1">
        <v>34700</v>
      </c>
      <c r="BB2192" s="1">
        <v>52963</v>
      </c>
      <c r="BC2192" t="s">
        <v>51</v>
      </c>
      <c r="BE2192" t="s">
        <v>54</v>
      </c>
      <c r="BF2192">
        <v>0</v>
      </c>
      <c r="BG2192">
        <v>0</v>
      </c>
      <c r="BH2192" t="s">
        <v>53</v>
      </c>
      <c r="BK2192" t="s">
        <v>59</v>
      </c>
      <c r="BL2192">
        <v>14000</v>
      </c>
      <c r="BM2192" s="1">
        <v>44104</v>
      </c>
      <c r="BN2192" s="1">
        <v>44104</v>
      </c>
      <c r="BO2192" s="1">
        <v>44104</v>
      </c>
      <c r="BP2192" s="1">
        <v>45269</v>
      </c>
      <c r="BQ2192" t="s">
        <v>51</v>
      </c>
      <c r="BS2192" t="s">
        <v>60</v>
      </c>
      <c r="BT2192" t="s">
        <v>54</v>
      </c>
      <c r="BU2192" t="s">
        <v>61</v>
      </c>
      <c r="BV2192" t="s">
        <v>62</v>
      </c>
      <c r="BX2192">
        <v>24</v>
      </c>
      <c r="BY2192">
        <v>0</v>
      </c>
      <c r="BZ2192">
        <v>0</v>
      </c>
      <c r="CX2192" t="s">
        <v>674</v>
      </c>
      <c r="CY2192">
        <v>0</v>
      </c>
      <c r="CZ2192" s="1">
        <v>44075</v>
      </c>
      <c r="DA2192" s="1">
        <v>44075</v>
      </c>
      <c r="DB2192" s="1">
        <v>44075</v>
      </c>
      <c r="DC2192" s="1">
        <v>44075</v>
      </c>
      <c r="DD2192" t="s">
        <v>51</v>
      </c>
      <c r="DF2192" t="s">
        <v>54</v>
      </c>
      <c r="DG2192">
        <v>0</v>
      </c>
      <c r="DH2192">
        <v>0</v>
      </c>
    </row>
    <row r="2193" spans="1:112" x14ac:dyDescent="0.2">
      <c r="A2193" t="s">
        <v>1012</v>
      </c>
      <c r="B2193" t="s">
        <v>1013</v>
      </c>
      <c r="C2193" t="s">
        <v>1052</v>
      </c>
      <c r="D2193" t="s">
        <v>1058</v>
      </c>
      <c r="F2193" t="str">
        <f>"251666"</f>
        <v>251666</v>
      </c>
      <c r="G2193" t="s">
        <v>49</v>
      </c>
      <c r="K2193" t="s">
        <v>51</v>
      </c>
      <c r="L2193" t="s">
        <v>52</v>
      </c>
      <c r="M2193">
        <v>131892.98000000001</v>
      </c>
      <c r="N2193">
        <v>474264.67</v>
      </c>
      <c r="O2193" t="s">
        <v>53</v>
      </c>
      <c r="P2193" t="s">
        <v>54</v>
      </c>
      <c r="Q2193" t="s">
        <v>55</v>
      </c>
      <c r="T2193" t="s">
        <v>81</v>
      </c>
      <c r="U2193">
        <v>40</v>
      </c>
      <c r="V2193" s="1">
        <v>34700</v>
      </c>
      <c r="W2193" s="1">
        <v>34700</v>
      </c>
      <c r="X2193" s="1">
        <v>34700</v>
      </c>
      <c r="Y2193" s="1">
        <v>49310</v>
      </c>
      <c r="Z2193" t="s">
        <v>51</v>
      </c>
      <c r="AB2193" t="s">
        <v>54</v>
      </c>
      <c r="AC2193">
        <v>1</v>
      </c>
      <c r="AE2193" t="s">
        <v>613</v>
      </c>
      <c r="AF2193">
        <v>20</v>
      </c>
      <c r="AG2193" s="1">
        <v>34700</v>
      </c>
      <c r="AH2193" s="1">
        <v>34700</v>
      </c>
      <c r="AI2193" s="1">
        <v>34700</v>
      </c>
      <c r="AJ2193" s="1">
        <v>42005</v>
      </c>
      <c r="AK2193" t="s">
        <v>51</v>
      </c>
      <c r="AN2193">
        <v>0</v>
      </c>
      <c r="AO2193" t="s">
        <v>54</v>
      </c>
      <c r="AP2193" t="s">
        <v>53</v>
      </c>
      <c r="AQ2193">
        <v>0</v>
      </c>
      <c r="AR2193" t="s">
        <v>53</v>
      </c>
      <c r="AS2193">
        <v>0</v>
      </c>
      <c r="AT2193">
        <v>0</v>
      </c>
      <c r="AW2193" t="s">
        <v>161</v>
      </c>
      <c r="AX2193">
        <v>50</v>
      </c>
      <c r="AY2193" s="1">
        <v>34700</v>
      </c>
      <c r="AZ2193" s="1">
        <v>34700</v>
      </c>
      <c r="BA2193" s="1">
        <v>34700</v>
      </c>
      <c r="BB2193" s="1">
        <v>52963</v>
      </c>
      <c r="BC2193" t="s">
        <v>51</v>
      </c>
      <c r="BE2193" t="s">
        <v>54</v>
      </c>
      <c r="BF2193">
        <v>0</v>
      </c>
      <c r="BG2193">
        <v>0</v>
      </c>
      <c r="BH2193" t="s">
        <v>53</v>
      </c>
      <c r="BK2193" t="s">
        <v>59</v>
      </c>
      <c r="BL2193">
        <v>14000</v>
      </c>
      <c r="BM2193" s="1">
        <v>44104</v>
      </c>
      <c r="BN2193" s="1">
        <v>44104</v>
      </c>
      <c r="BO2193" s="1">
        <v>44104</v>
      </c>
      <c r="BP2193" s="1">
        <v>45269</v>
      </c>
      <c r="BQ2193" t="s">
        <v>51</v>
      </c>
      <c r="BS2193" t="s">
        <v>60</v>
      </c>
      <c r="BT2193" t="s">
        <v>54</v>
      </c>
      <c r="BU2193" t="s">
        <v>61</v>
      </c>
      <c r="BV2193" t="s">
        <v>62</v>
      </c>
      <c r="BX2193">
        <v>24</v>
      </c>
      <c r="BY2193">
        <v>0</v>
      </c>
      <c r="BZ2193">
        <v>0</v>
      </c>
      <c r="CX2193" t="s">
        <v>674</v>
      </c>
      <c r="CY2193">
        <v>0</v>
      </c>
      <c r="CZ2193" s="1">
        <v>44075</v>
      </c>
      <c r="DA2193" s="1">
        <v>44075</v>
      </c>
      <c r="DB2193" s="1">
        <v>44075</v>
      </c>
      <c r="DC2193" s="1">
        <v>44075</v>
      </c>
      <c r="DD2193" t="s">
        <v>51</v>
      </c>
      <c r="DF2193" t="s">
        <v>54</v>
      </c>
      <c r="DG2193">
        <v>0</v>
      </c>
      <c r="DH2193">
        <v>0</v>
      </c>
    </row>
    <row r="2194" spans="1:112" x14ac:dyDescent="0.2">
      <c r="A2194" t="s">
        <v>1012</v>
      </c>
      <c r="B2194" t="s">
        <v>1013</v>
      </c>
      <c r="C2194" t="s">
        <v>1052</v>
      </c>
      <c r="D2194" t="s">
        <v>1058</v>
      </c>
      <c r="F2194" t="str">
        <f>"251667"</f>
        <v>251667</v>
      </c>
      <c r="G2194" t="s">
        <v>49</v>
      </c>
      <c r="K2194" t="s">
        <v>51</v>
      </c>
      <c r="L2194" t="s">
        <v>52</v>
      </c>
      <c r="M2194">
        <v>131919.47399999999</v>
      </c>
      <c r="N2194">
        <v>474238.81300000002</v>
      </c>
      <c r="O2194" t="s">
        <v>53</v>
      </c>
      <c r="P2194" t="s">
        <v>54</v>
      </c>
      <c r="Q2194" t="s">
        <v>55</v>
      </c>
      <c r="T2194" t="s">
        <v>81</v>
      </c>
      <c r="U2194">
        <v>40</v>
      </c>
      <c r="V2194" s="1">
        <v>34700</v>
      </c>
      <c r="W2194" s="1">
        <v>34700</v>
      </c>
      <c r="X2194" s="1">
        <v>34700</v>
      </c>
      <c r="Y2194" s="1">
        <v>49310</v>
      </c>
      <c r="Z2194" t="s">
        <v>51</v>
      </c>
      <c r="AB2194" t="s">
        <v>54</v>
      </c>
      <c r="AC2194">
        <v>1</v>
      </c>
      <c r="AE2194" t="s">
        <v>613</v>
      </c>
      <c r="AF2194">
        <v>20</v>
      </c>
      <c r="AG2194" s="1">
        <v>34700</v>
      </c>
      <c r="AH2194" s="1">
        <v>34700</v>
      </c>
      <c r="AI2194" s="1">
        <v>34700</v>
      </c>
      <c r="AJ2194" s="1">
        <v>42005</v>
      </c>
      <c r="AK2194" t="s">
        <v>51</v>
      </c>
      <c r="AN2194">
        <v>0</v>
      </c>
      <c r="AO2194" t="s">
        <v>54</v>
      </c>
      <c r="AP2194" t="s">
        <v>53</v>
      </c>
      <c r="AQ2194">
        <v>0</v>
      </c>
      <c r="AR2194" t="s">
        <v>53</v>
      </c>
      <c r="AS2194">
        <v>0</v>
      </c>
      <c r="AT2194">
        <v>0</v>
      </c>
      <c r="AW2194" t="s">
        <v>161</v>
      </c>
      <c r="AX2194">
        <v>50</v>
      </c>
      <c r="AY2194" s="1">
        <v>34700</v>
      </c>
      <c r="AZ2194" s="1">
        <v>34700</v>
      </c>
      <c r="BA2194" s="1">
        <v>34700</v>
      </c>
      <c r="BB2194" s="1">
        <v>52963</v>
      </c>
      <c r="BC2194" t="s">
        <v>51</v>
      </c>
      <c r="BE2194" t="s">
        <v>54</v>
      </c>
      <c r="BF2194">
        <v>0</v>
      </c>
      <c r="BG2194">
        <v>0</v>
      </c>
      <c r="BH2194" t="s">
        <v>53</v>
      </c>
      <c r="BK2194" t="s">
        <v>59</v>
      </c>
      <c r="BL2194">
        <v>14000</v>
      </c>
      <c r="BM2194" s="1">
        <v>44104</v>
      </c>
      <c r="BN2194" s="1">
        <v>44104</v>
      </c>
      <c r="BO2194" s="1">
        <v>44104</v>
      </c>
      <c r="BP2194" s="1">
        <v>45269</v>
      </c>
      <c r="BQ2194" t="s">
        <v>51</v>
      </c>
      <c r="BS2194" t="s">
        <v>60</v>
      </c>
      <c r="BT2194" t="s">
        <v>54</v>
      </c>
      <c r="BU2194" t="s">
        <v>61</v>
      </c>
      <c r="BV2194" t="s">
        <v>62</v>
      </c>
      <c r="BX2194">
        <v>24</v>
      </c>
      <c r="BY2194">
        <v>0</v>
      </c>
      <c r="BZ2194">
        <v>0</v>
      </c>
      <c r="CX2194" t="s">
        <v>674</v>
      </c>
      <c r="CY2194">
        <v>0</v>
      </c>
      <c r="CZ2194" s="1">
        <v>44075</v>
      </c>
      <c r="DA2194" s="1">
        <v>44075</v>
      </c>
      <c r="DB2194" s="1">
        <v>44075</v>
      </c>
      <c r="DC2194" s="1">
        <v>44075</v>
      </c>
      <c r="DD2194" t="s">
        <v>51</v>
      </c>
      <c r="DF2194" t="s">
        <v>54</v>
      </c>
      <c r="DG2194">
        <v>0</v>
      </c>
      <c r="DH2194">
        <v>0</v>
      </c>
    </row>
    <row r="2195" spans="1:112" x14ac:dyDescent="0.2">
      <c r="A2195" t="s">
        <v>1012</v>
      </c>
      <c r="B2195" t="s">
        <v>1013</v>
      </c>
      <c r="C2195" t="s">
        <v>1052</v>
      </c>
      <c r="D2195" t="s">
        <v>1058</v>
      </c>
      <c r="F2195" t="str">
        <f>"251668"</f>
        <v>251668</v>
      </c>
      <c r="G2195" t="s">
        <v>49</v>
      </c>
      <c r="K2195" t="s">
        <v>51</v>
      </c>
      <c r="L2195" t="s">
        <v>52</v>
      </c>
      <c r="M2195">
        <v>131883.424</v>
      </c>
      <c r="N2195">
        <v>474230.924</v>
      </c>
      <c r="O2195" t="s">
        <v>53</v>
      </c>
      <c r="P2195" t="s">
        <v>54</v>
      </c>
      <c r="Q2195" t="s">
        <v>55</v>
      </c>
      <c r="T2195" t="s">
        <v>81</v>
      </c>
      <c r="U2195">
        <v>40</v>
      </c>
      <c r="V2195" s="1">
        <v>34700</v>
      </c>
      <c r="W2195" s="1">
        <v>34700</v>
      </c>
      <c r="X2195" s="1">
        <v>34700</v>
      </c>
      <c r="Y2195" s="1">
        <v>49310</v>
      </c>
      <c r="Z2195" t="s">
        <v>51</v>
      </c>
      <c r="AB2195" t="s">
        <v>54</v>
      </c>
      <c r="AC2195">
        <v>1</v>
      </c>
      <c r="AE2195" t="s">
        <v>613</v>
      </c>
      <c r="AF2195">
        <v>20</v>
      </c>
      <c r="AG2195" s="1">
        <v>34700</v>
      </c>
      <c r="AH2195" s="1">
        <v>34700</v>
      </c>
      <c r="AI2195" s="1">
        <v>34700</v>
      </c>
      <c r="AJ2195" s="1">
        <v>42005</v>
      </c>
      <c r="AK2195" t="s">
        <v>51</v>
      </c>
      <c r="AN2195">
        <v>0</v>
      </c>
      <c r="AO2195" t="s">
        <v>54</v>
      </c>
      <c r="AP2195" t="s">
        <v>53</v>
      </c>
      <c r="AQ2195">
        <v>0</v>
      </c>
      <c r="AR2195" t="s">
        <v>53</v>
      </c>
      <c r="AS2195">
        <v>0</v>
      </c>
      <c r="AT2195">
        <v>0</v>
      </c>
      <c r="AW2195" t="s">
        <v>161</v>
      </c>
      <c r="AX2195">
        <v>50</v>
      </c>
      <c r="AY2195" s="1">
        <v>34700</v>
      </c>
      <c r="AZ2195" s="1">
        <v>34700</v>
      </c>
      <c r="BA2195" s="1">
        <v>34700</v>
      </c>
      <c r="BB2195" s="1">
        <v>52963</v>
      </c>
      <c r="BC2195" t="s">
        <v>51</v>
      </c>
      <c r="BE2195" t="s">
        <v>54</v>
      </c>
      <c r="BF2195">
        <v>0</v>
      </c>
      <c r="BG2195">
        <v>0</v>
      </c>
      <c r="BH2195" t="s">
        <v>53</v>
      </c>
      <c r="BK2195" t="s">
        <v>59</v>
      </c>
      <c r="BL2195">
        <v>14000</v>
      </c>
      <c r="BM2195" s="1">
        <v>44578</v>
      </c>
      <c r="BN2195" s="1">
        <v>44578</v>
      </c>
      <c r="BO2195" s="1">
        <v>44578</v>
      </c>
      <c r="BP2195" s="1">
        <v>45749</v>
      </c>
      <c r="BQ2195" t="s">
        <v>51</v>
      </c>
      <c r="BS2195" t="s">
        <v>60</v>
      </c>
      <c r="BT2195" t="s">
        <v>54</v>
      </c>
      <c r="BU2195" t="s">
        <v>61</v>
      </c>
      <c r="BV2195" t="s">
        <v>62</v>
      </c>
      <c r="BX2195">
        <v>24</v>
      </c>
      <c r="BY2195">
        <v>0</v>
      </c>
      <c r="BZ2195">
        <v>0</v>
      </c>
      <c r="CX2195" t="s">
        <v>674</v>
      </c>
      <c r="CY2195">
        <v>0</v>
      </c>
      <c r="CZ2195" s="1">
        <v>44075</v>
      </c>
      <c r="DA2195" s="1">
        <v>44075</v>
      </c>
      <c r="DB2195" s="1">
        <v>44075</v>
      </c>
      <c r="DC2195" s="1">
        <v>44075</v>
      </c>
      <c r="DD2195" t="s">
        <v>51</v>
      </c>
      <c r="DF2195" t="s">
        <v>54</v>
      </c>
      <c r="DG2195">
        <v>0</v>
      </c>
      <c r="DH2195">
        <v>0</v>
      </c>
    </row>
    <row r="2196" spans="1:112" x14ac:dyDescent="0.2">
      <c r="A2196" t="s">
        <v>1012</v>
      </c>
      <c r="B2196" t="s">
        <v>1013</v>
      </c>
      <c r="C2196" t="s">
        <v>1019</v>
      </c>
      <c r="D2196" t="s">
        <v>426</v>
      </c>
      <c r="F2196" t="str">
        <f>"251669"</f>
        <v>251669</v>
      </c>
      <c r="G2196" t="s">
        <v>49</v>
      </c>
      <c r="K2196" t="s">
        <v>51</v>
      </c>
      <c r="L2196" t="s">
        <v>52</v>
      </c>
      <c r="M2196">
        <v>131678.5</v>
      </c>
      <c r="N2196">
        <v>473949.44</v>
      </c>
      <c r="O2196" t="s">
        <v>53</v>
      </c>
      <c r="P2196" t="s">
        <v>54</v>
      </c>
      <c r="Q2196" t="s">
        <v>55</v>
      </c>
      <c r="T2196" t="s">
        <v>81</v>
      </c>
      <c r="U2196">
        <v>40</v>
      </c>
      <c r="V2196" s="1">
        <v>43556</v>
      </c>
      <c r="W2196" s="1">
        <v>43556</v>
      </c>
      <c r="X2196" s="1">
        <v>43556</v>
      </c>
      <c r="Y2196" s="1">
        <v>58166</v>
      </c>
      <c r="Z2196" t="s">
        <v>51</v>
      </c>
      <c r="AB2196" t="s">
        <v>54</v>
      </c>
      <c r="AC2196">
        <v>1</v>
      </c>
      <c r="AE2196" t="s">
        <v>1024</v>
      </c>
      <c r="AF2196">
        <v>20</v>
      </c>
      <c r="AG2196" s="1">
        <v>43556</v>
      </c>
      <c r="AH2196" s="1">
        <v>43556</v>
      </c>
      <c r="AI2196" s="1">
        <v>43556</v>
      </c>
      <c r="AJ2196" s="1">
        <v>50861</v>
      </c>
      <c r="AK2196" t="s">
        <v>51</v>
      </c>
      <c r="AN2196">
        <v>0</v>
      </c>
      <c r="AO2196" t="s">
        <v>54</v>
      </c>
      <c r="AP2196" t="s">
        <v>53</v>
      </c>
      <c r="AQ2196">
        <v>0</v>
      </c>
      <c r="AR2196" t="s">
        <v>145</v>
      </c>
      <c r="AS2196">
        <v>0</v>
      </c>
      <c r="AT2196">
        <v>0</v>
      </c>
      <c r="CC2196" t="s">
        <v>555</v>
      </c>
      <c r="CD2196">
        <v>85000</v>
      </c>
      <c r="CE2196" s="1">
        <v>43556</v>
      </c>
      <c r="CF2196" s="1">
        <v>43556</v>
      </c>
      <c r="CG2196" s="1">
        <v>43556</v>
      </c>
      <c r="CH2196" s="1">
        <v>51174</v>
      </c>
      <c r="CI2196" t="s">
        <v>51</v>
      </c>
      <c r="CK2196" t="s">
        <v>78</v>
      </c>
      <c r="CM2196" t="s">
        <v>54</v>
      </c>
      <c r="CN2196" t="s">
        <v>174</v>
      </c>
      <c r="CO2196" t="s">
        <v>86</v>
      </c>
      <c r="CR2196">
        <v>20</v>
      </c>
      <c r="CS2196">
        <v>0</v>
      </c>
      <c r="CT2196">
        <v>0</v>
      </c>
      <c r="CU2196">
        <v>0</v>
      </c>
      <c r="CX2196" t="s">
        <v>674</v>
      </c>
      <c r="CY2196">
        <v>0</v>
      </c>
      <c r="CZ2196" s="1">
        <v>44316</v>
      </c>
      <c r="DA2196" s="1">
        <v>44316</v>
      </c>
      <c r="DB2196" s="1">
        <v>44316</v>
      </c>
      <c r="DC2196" s="1">
        <v>44316</v>
      </c>
      <c r="DD2196" t="s">
        <v>51</v>
      </c>
      <c r="DF2196" t="s">
        <v>54</v>
      </c>
      <c r="DG2196">
        <v>0</v>
      </c>
      <c r="DH2196">
        <v>0</v>
      </c>
    </row>
    <row r="2197" spans="1:112" x14ac:dyDescent="0.2">
      <c r="A2197" t="s">
        <v>1012</v>
      </c>
      <c r="B2197" t="s">
        <v>1013</v>
      </c>
      <c r="C2197" t="s">
        <v>1019</v>
      </c>
      <c r="D2197" t="s">
        <v>426</v>
      </c>
      <c r="F2197" t="str">
        <f>"251670"</f>
        <v>251670</v>
      </c>
      <c r="G2197" t="s">
        <v>49</v>
      </c>
      <c r="K2197" t="s">
        <v>51</v>
      </c>
      <c r="L2197" t="s">
        <v>52</v>
      </c>
      <c r="M2197">
        <v>131658.79999999999</v>
      </c>
      <c r="N2197">
        <v>473930.48</v>
      </c>
      <c r="O2197" t="s">
        <v>53</v>
      </c>
      <c r="P2197" t="s">
        <v>54</v>
      </c>
      <c r="Q2197" t="s">
        <v>55</v>
      </c>
      <c r="T2197" t="s">
        <v>81</v>
      </c>
      <c r="U2197">
        <v>40</v>
      </c>
      <c r="V2197" s="1">
        <v>43556</v>
      </c>
      <c r="W2197" s="1">
        <v>43556</v>
      </c>
      <c r="X2197" s="1">
        <v>43556</v>
      </c>
      <c r="Y2197" s="1">
        <v>58166</v>
      </c>
      <c r="Z2197" t="s">
        <v>51</v>
      </c>
      <c r="AB2197" t="s">
        <v>54</v>
      </c>
      <c r="AC2197">
        <v>1</v>
      </c>
      <c r="AE2197" t="s">
        <v>1024</v>
      </c>
      <c r="AF2197">
        <v>20</v>
      </c>
      <c r="AG2197" s="1">
        <v>43556</v>
      </c>
      <c r="AH2197" s="1">
        <v>43556</v>
      </c>
      <c r="AI2197" s="1">
        <v>43556</v>
      </c>
      <c r="AJ2197" s="1">
        <v>50861</v>
      </c>
      <c r="AK2197" t="s">
        <v>51</v>
      </c>
      <c r="AN2197">
        <v>0</v>
      </c>
      <c r="AO2197" t="s">
        <v>54</v>
      </c>
      <c r="AP2197" t="s">
        <v>53</v>
      </c>
      <c r="AQ2197">
        <v>0</v>
      </c>
      <c r="AR2197" t="s">
        <v>145</v>
      </c>
      <c r="AS2197">
        <v>0</v>
      </c>
      <c r="AT2197">
        <v>0</v>
      </c>
      <c r="CC2197" t="s">
        <v>555</v>
      </c>
      <c r="CD2197">
        <v>85000</v>
      </c>
      <c r="CE2197" s="1">
        <v>43556</v>
      </c>
      <c r="CF2197" s="1">
        <v>43556</v>
      </c>
      <c r="CG2197" s="1">
        <v>43556</v>
      </c>
      <c r="CH2197" s="1">
        <v>51174</v>
      </c>
      <c r="CI2197" t="s">
        <v>51</v>
      </c>
      <c r="CK2197" t="s">
        <v>78</v>
      </c>
      <c r="CM2197" t="s">
        <v>54</v>
      </c>
      <c r="CN2197" t="s">
        <v>174</v>
      </c>
      <c r="CO2197" t="s">
        <v>86</v>
      </c>
      <c r="CR2197">
        <v>20</v>
      </c>
      <c r="CS2197">
        <v>0</v>
      </c>
      <c r="CT2197">
        <v>0</v>
      </c>
      <c r="CU2197">
        <v>0</v>
      </c>
      <c r="CX2197" t="s">
        <v>674</v>
      </c>
      <c r="CY2197">
        <v>0</v>
      </c>
      <c r="CZ2197" s="1">
        <v>44316</v>
      </c>
      <c r="DA2197" s="1">
        <v>44316</v>
      </c>
      <c r="DB2197" s="1">
        <v>44316</v>
      </c>
      <c r="DC2197" s="1">
        <v>44316</v>
      </c>
      <c r="DD2197" t="s">
        <v>51</v>
      </c>
      <c r="DF2197" t="s">
        <v>54</v>
      </c>
      <c r="DG2197">
        <v>0</v>
      </c>
      <c r="DH2197">
        <v>0</v>
      </c>
    </row>
    <row r="2198" spans="1:112" x14ac:dyDescent="0.2">
      <c r="A2198" t="s">
        <v>1012</v>
      </c>
      <c r="B2198" t="s">
        <v>1013</v>
      </c>
      <c r="C2198" t="s">
        <v>1019</v>
      </c>
      <c r="D2198" t="s">
        <v>426</v>
      </c>
      <c r="F2198" t="str">
        <f>"251671"</f>
        <v>251671</v>
      </c>
      <c r="G2198" t="s">
        <v>49</v>
      </c>
      <c r="K2198" t="s">
        <v>51</v>
      </c>
      <c r="L2198" t="s">
        <v>52</v>
      </c>
      <c r="M2198">
        <v>131636.19</v>
      </c>
      <c r="N2198">
        <v>473906.45</v>
      </c>
      <c r="O2198" t="s">
        <v>53</v>
      </c>
      <c r="P2198" t="s">
        <v>54</v>
      </c>
      <c r="Q2198" t="s">
        <v>55</v>
      </c>
      <c r="T2198" t="s">
        <v>81</v>
      </c>
      <c r="U2198">
        <v>40</v>
      </c>
      <c r="V2198" s="1">
        <v>43556</v>
      </c>
      <c r="W2198" s="1">
        <v>43556</v>
      </c>
      <c r="X2198" s="1">
        <v>43556</v>
      </c>
      <c r="Y2198" s="1">
        <v>58166</v>
      </c>
      <c r="Z2198" t="s">
        <v>51</v>
      </c>
      <c r="AB2198" t="s">
        <v>54</v>
      </c>
      <c r="AC2198">
        <v>1</v>
      </c>
      <c r="AE2198" t="s">
        <v>1024</v>
      </c>
      <c r="AF2198">
        <v>20</v>
      </c>
      <c r="AG2198" s="1">
        <v>43556</v>
      </c>
      <c r="AH2198" s="1">
        <v>43556</v>
      </c>
      <c r="AI2198" s="1">
        <v>43556</v>
      </c>
      <c r="AJ2198" s="1">
        <v>50861</v>
      </c>
      <c r="AK2198" t="s">
        <v>51</v>
      </c>
      <c r="AN2198">
        <v>0</v>
      </c>
      <c r="AO2198" t="s">
        <v>54</v>
      </c>
      <c r="AP2198" t="s">
        <v>53</v>
      </c>
      <c r="AQ2198">
        <v>0</v>
      </c>
      <c r="AR2198" t="s">
        <v>145</v>
      </c>
      <c r="AS2198">
        <v>0</v>
      </c>
      <c r="AT2198">
        <v>0</v>
      </c>
      <c r="CC2198" t="s">
        <v>555</v>
      </c>
      <c r="CD2198">
        <v>85000</v>
      </c>
      <c r="CE2198" s="1">
        <v>43556</v>
      </c>
      <c r="CF2198" s="1">
        <v>43556</v>
      </c>
      <c r="CG2198" s="1">
        <v>43556</v>
      </c>
      <c r="CH2198" s="1">
        <v>51174</v>
      </c>
      <c r="CI2198" t="s">
        <v>51</v>
      </c>
      <c r="CK2198" t="s">
        <v>78</v>
      </c>
      <c r="CM2198" t="s">
        <v>54</v>
      </c>
      <c r="CN2198" t="s">
        <v>174</v>
      </c>
      <c r="CO2198" t="s">
        <v>86</v>
      </c>
      <c r="CR2198">
        <v>20</v>
      </c>
      <c r="CS2198">
        <v>0</v>
      </c>
      <c r="CT2198">
        <v>0</v>
      </c>
      <c r="CU2198">
        <v>0</v>
      </c>
      <c r="CX2198" t="s">
        <v>360</v>
      </c>
      <c r="CY2198">
        <v>40</v>
      </c>
      <c r="CZ2198" s="1">
        <v>43654</v>
      </c>
      <c r="DA2198" s="1">
        <v>43654</v>
      </c>
      <c r="DB2198" s="1">
        <v>43654</v>
      </c>
      <c r="DC2198" s="1">
        <v>58264</v>
      </c>
      <c r="DD2198" t="s">
        <v>51</v>
      </c>
      <c r="DF2198" t="s">
        <v>54</v>
      </c>
      <c r="DG2198">
        <v>0</v>
      </c>
      <c r="DH2198">
        <v>0</v>
      </c>
    </row>
    <row r="2199" spans="1:112" x14ac:dyDescent="0.2">
      <c r="A2199" t="s">
        <v>1012</v>
      </c>
      <c r="B2199" t="s">
        <v>1013</v>
      </c>
      <c r="C2199" t="s">
        <v>1019</v>
      </c>
      <c r="D2199" t="s">
        <v>426</v>
      </c>
      <c r="F2199" t="str">
        <f>"251672"</f>
        <v>251672</v>
      </c>
      <c r="G2199" t="s">
        <v>49</v>
      </c>
      <c r="K2199" t="s">
        <v>51</v>
      </c>
      <c r="L2199" t="s">
        <v>52</v>
      </c>
      <c r="M2199">
        <v>131621.12</v>
      </c>
      <c r="N2199">
        <v>473873.19</v>
      </c>
      <c r="O2199" t="s">
        <v>53</v>
      </c>
      <c r="P2199" t="s">
        <v>54</v>
      </c>
      <c r="Q2199" t="s">
        <v>55</v>
      </c>
      <c r="T2199" t="s">
        <v>81</v>
      </c>
      <c r="U2199">
        <v>40</v>
      </c>
      <c r="V2199" s="1">
        <v>43556</v>
      </c>
      <c r="W2199" s="1">
        <v>43556</v>
      </c>
      <c r="X2199" s="1">
        <v>43556</v>
      </c>
      <c r="Y2199" s="1">
        <v>58166</v>
      </c>
      <c r="Z2199" t="s">
        <v>51</v>
      </c>
      <c r="AB2199" t="s">
        <v>54</v>
      </c>
      <c r="AC2199">
        <v>1</v>
      </c>
      <c r="AE2199" t="s">
        <v>1024</v>
      </c>
      <c r="AF2199">
        <v>20</v>
      </c>
      <c r="AG2199" s="1">
        <v>43556</v>
      </c>
      <c r="AH2199" s="1">
        <v>43556</v>
      </c>
      <c r="AI2199" s="1">
        <v>43556</v>
      </c>
      <c r="AJ2199" s="1">
        <v>50861</v>
      </c>
      <c r="AK2199" t="s">
        <v>51</v>
      </c>
      <c r="AN2199">
        <v>0</v>
      </c>
      <c r="AO2199" t="s">
        <v>54</v>
      </c>
      <c r="AP2199" t="s">
        <v>53</v>
      </c>
      <c r="AQ2199">
        <v>0</v>
      </c>
      <c r="AR2199" t="s">
        <v>145</v>
      </c>
      <c r="AS2199">
        <v>0</v>
      </c>
      <c r="AT2199">
        <v>0</v>
      </c>
      <c r="CC2199" t="s">
        <v>555</v>
      </c>
      <c r="CD2199">
        <v>85000</v>
      </c>
      <c r="CE2199" s="1">
        <v>43556</v>
      </c>
      <c r="CF2199" s="1">
        <v>43556</v>
      </c>
      <c r="CG2199" s="1">
        <v>43556</v>
      </c>
      <c r="CH2199" s="1">
        <v>51174</v>
      </c>
      <c r="CI2199" t="s">
        <v>51</v>
      </c>
      <c r="CK2199" t="s">
        <v>78</v>
      </c>
      <c r="CM2199" t="s">
        <v>54</v>
      </c>
      <c r="CN2199" t="s">
        <v>174</v>
      </c>
      <c r="CO2199" t="s">
        <v>86</v>
      </c>
      <c r="CR2199">
        <v>20</v>
      </c>
      <c r="CS2199">
        <v>0</v>
      </c>
      <c r="CT2199">
        <v>0</v>
      </c>
      <c r="CU2199">
        <v>0</v>
      </c>
      <c r="CX2199" t="s">
        <v>674</v>
      </c>
      <c r="CY2199">
        <v>0</v>
      </c>
      <c r="CZ2199" s="1">
        <v>44316</v>
      </c>
      <c r="DA2199" s="1">
        <v>44316</v>
      </c>
      <c r="DB2199" s="1">
        <v>44316</v>
      </c>
      <c r="DC2199" s="1">
        <v>44316</v>
      </c>
      <c r="DD2199" t="s">
        <v>51</v>
      </c>
      <c r="DF2199" t="s">
        <v>54</v>
      </c>
      <c r="DG2199">
        <v>0</v>
      </c>
      <c r="DH2199">
        <v>0</v>
      </c>
    </row>
    <row r="2200" spans="1:112" x14ac:dyDescent="0.2">
      <c r="A2200" t="s">
        <v>1012</v>
      </c>
      <c r="B2200" t="s">
        <v>1013</v>
      </c>
      <c r="C2200" t="s">
        <v>1019</v>
      </c>
      <c r="D2200" t="s">
        <v>426</v>
      </c>
      <c r="F2200" t="str">
        <f>"251673"</f>
        <v>251673</v>
      </c>
      <c r="G2200" t="s">
        <v>49</v>
      </c>
      <c r="K2200" t="s">
        <v>51</v>
      </c>
      <c r="L2200" t="s">
        <v>52</v>
      </c>
      <c r="M2200">
        <v>131620.54999999999</v>
      </c>
      <c r="N2200">
        <v>473842.79</v>
      </c>
      <c r="O2200" t="s">
        <v>53</v>
      </c>
      <c r="P2200" t="s">
        <v>54</v>
      </c>
      <c r="Q2200" t="s">
        <v>55</v>
      </c>
      <c r="T2200" t="s">
        <v>81</v>
      </c>
      <c r="U2200">
        <v>40</v>
      </c>
      <c r="V2200" s="1">
        <v>43556</v>
      </c>
      <c r="W2200" s="1">
        <v>43556</v>
      </c>
      <c r="X2200" s="1">
        <v>43556</v>
      </c>
      <c r="Y2200" s="1">
        <v>58166</v>
      </c>
      <c r="Z2200" t="s">
        <v>51</v>
      </c>
      <c r="AB2200" t="s">
        <v>54</v>
      </c>
      <c r="AC2200">
        <v>1</v>
      </c>
      <c r="AE2200" t="s">
        <v>1024</v>
      </c>
      <c r="AF2200">
        <v>20</v>
      </c>
      <c r="AG2200" s="1">
        <v>43556</v>
      </c>
      <c r="AH2200" s="1">
        <v>43556</v>
      </c>
      <c r="AI2200" s="1">
        <v>43556</v>
      </c>
      <c r="AJ2200" s="1">
        <v>50861</v>
      </c>
      <c r="AK2200" t="s">
        <v>51</v>
      </c>
      <c r="AN2200">
        <v>0</v>
      </c>
      <c r="AO2200" t="s">
        <v>54</v>
      </c>
      <c r="AP2200" t="s">
        <v>53</v>
      </c>
      <c r="AQ2200">
        <v>0</v>
      </c>
      <c r="AR2200" t="s">
        <v>145</v>
      </c>
      <c r="AS2200">
        <v>0</v>
      </c>
      <c r="AT2200">
        <v>0</v>
      </c>
      <c r="CC2200" t="s">
        <v>555</v>
      </c>
      <c r="CD2200">
        <v>85000</v>
      </c>
      <c r="CE2200" s="1">
        <v>43556</v>
      </c>
      <c r="CF2200" s="1">
        <v>43556</v>
      </c>
      <c r="CG2200" s="1">
        <v>43556</v>
      </c>
      <c r="CH2200" s="1">
        <v>51174</v>
      </c>
      <c r="CI2200" t="s">
        <v>51</v>
      </c>
      <c r="CK2200" t="s">
        <v>78</v>
      </c>
      <c r="CM2200" t="s">
        <v>54</v>
      </c>
      <c r="CN2200" t="s">
        <v>174</v>
      </c>
      <c r="CO2200" t="s">
        <v>86</v>
      </c>
      <c r="CR2200">
        <v>20</v>
      </c>
      <c r="CS2200">
        <v>0</v>
      </c>
      <c r="CT2200">
        <v>0</v>
      </c>
      <c r="CU2200">
        <v>0</v>
      </c>
      <c r="CX2200" t="s">
        <v>674</v>
      </c>
      <c r="CY2200">
        <v>0</v>
      </c>
      <c r="CZ2200" s="1">
        <v>44316</v>
      </c>
      <c r="DA2200" s="1">
        <v>44316</v>
      </c>
      <c r="DB2200" s="1">
        <v>44316</v>
      </c>
      <c r="DC2200" s="1">
        <v>44316</v>
      </c>
      <c r="DD2200" t="s">
        <v>51</v>
      </c>
      <c r="DF2200" t="s">
        <v>54</v>
      </c>
      <c r="DG2200">
        <v>0</v>
      </c>
      <c r="DH2200">
        <v>0</v>
      </c>
    </row>
    <row r="2201" spans="1:112" x14ac:dyDescent="0.2">
      <c r="A2201" t="s">
        <v>1012</v>
      </c>
      <c r="B2201" t="s">
        <v>1013</v>
      </c>
      <c r="C2201" t="s">
        <v>1019</v>
      </c>
      <c r="D2201" t="s">
        <v>426</v>
      </c>
      <c r="F2201" t="str">
        <f>"251674"</f>
        <v>251674</v>
      </c>
      <c r="G2201" t="s">
        <v>49</v>
      </c>
      <c r="K2201" t="s">
        <v>51</v>
      </c>
      <c r="L2201" t="s">
        <v>52</v>
      </c>
      <c r="M2201">
        <v>131635.31</v>
      </c>
      <c r="N2201">
        <v>473805.84</v>
      </c>
      <c r="O2201" t="s">
        <v>53</v>
      </c>
      <c r="P2201" t="s">
        <v>54</v>
      </c>
      <c r="Q2201" t="s">
        <v>55</v>
      </c>
      <c r="T2201" t="s">
        <v>81</v>
      </c>
      <c r="U2201">
        <v>40</v>
      </c>
      <c r="V2201" s="1">
        <v>43556</v>
      </c>
      <c r="W2201" s="1">
        <v>43556</v>
      </c>
      <c r="X2201" s="1">
        <v>43556</v>
      </c>
      <c r="Y2201" s="1">
        <v>58166</v>
      </c>
      <c r="Z2201" t="s">
        <v>51</v>
      </c>
      <c r="AB2201" t="s">
        <v>54</v>
      </c>
      <c r="AC2201">
        <v>1</v>
      </c>
      <c r="AE2201" t="s">
        <v>1024</v>
      </c>
      <c r="AF2201">
        <v>20</v>
      </c>
      <c r="AG2201" s="1">
        <v>43556</v>
      </c>
      <c r="AH2201" s="1">
        <v>43556</v>
      </c>
      <c r="AI2201" s="1">
        <v>43556</v>
      </c>
      <c r="AJ2201" s="1">
        <v>50861</v>
      </c>
      <c r="AK2201" t="s">
        <v>51</v>
      </c>
      <c r="AN2201">
        <v>0</v>
      </c>
      <c r="AO2201" t="s">
        <v>54</v>
      </c>
      <c r="AP2201" t="s">
        <v>53</v>
      </c>
      <c r="AQ2201">
        <v>0</v>
      </c>
      <c r="AR2201" t="s">
        <v>145</v>
      </c>
      <c r="AS2201">
        <v>0</v>
      </c>
      <c r="AT2201">
        <v>0</v>
      </c>
      <c r="CC2201" t="s">
        <v>555</v>
      </c>
      <c r="CD2201">
        <v>85000</v>
      </c>
      <c r="CE2201" s="1">
        <v>43556</v>
      </c>
      <c r="CF2201" s="1">
        <v>43556</v>
      </c>
      <c r="CG2201" s="1">
        <v>43556</v>
      </c>
      <c r="CH2201" s="1">
        <v>51174</v>
      </c>
      <c r="CI2201" t="s">
        <v>51</v>
      </c>
      <c r="CK2201" t="s">
        <v>78</v>
      </c>
      <c r="CM2201" t="s">
        <v>54</v>
      </c>
      <c r="CN2201" t="s">
        <v>174</v>
      </c>
      <c r="CO2201" t="s">
        <v>86</v>
      </c>
      <c r="CR2201">
        <v>20</v>
      </c>
      <c r="CS2201">
        <v>0</v>
      </c>
      <c r="CT2201">
        <v>0</v>
      </c>
      <c r="CU2201">
        <v>0</v>
      </c>
      <c r="CX2201" t="s">
        <v>674</v>
      </c>
      <c r="CY2201">
        <v>0</v>
      </c>
      <c r="CZ2201" s="1">
        <v>44316</v>
      </c>
      <c r="DA2201" s="1">
        <v>44316</v>
      </c>
      <c r="DB2201" s="1">
        <v>44316</v>
      </c>
      <c r="DC2201" s="1">
        <v>44316</v>
      </c>
      <c r="DD2201" t="s">
        <v>51</v>
      </c>
      <c r="DF2201" t="s">
        <v>54</v>
      </c>
      <c r="DG2201">
        <v>0</v>
      </c>
      <c r="DH2201">
        <v>0</v>
      </c>
    </row>
    <row r="2202" spans="1:112" x14ac:dyDescent="0.2">
      <c r="A2202" t="s">
        <v>1012</v>
      </c>
      <c r="B2202" t="s">
        <v>1013</v>
      </c>
      <c r="C2202" t="s">
        <v>1019</v>
      </c>
      <c r="D2202" t="s">
        <v>426</v>
      </c>
      <c r="F2202" t="str">
        <f>"254191"</f>
        <v>254191</v>
      </c>
      <c r="G2202" t="s">
        <v>49</v>
      </c>
      <c r="H2202">
        <v>60</v>
      </c>
      <c r="K2202" t="s">
        <v>51</v>
      </c>
      <c r="L2202" t="s">
        <v>52</v>
      </c>
      <c r="M2202">
        <v>131633.5</v>
      </c>
      <c r="N2202">
        <v>473773.09</v>
      </c>
      <c r="O2202" t="s">
        <v>53</v>
      </c>
      <c r="P2202" t="s">
        <v>54</v>
      </c>
      <c r="Q2202" t="s">
        <v>55</v>
      </c>
      <c r="T2202" t="s">
        <v>81</v>
      </c>
      <c r="U2202">
        <v>40</v>
      </c>
      <c r="V2202" s="1">
        <v>43556</v>
      </c>
      <c r="W2202" s="1">
        <v>43556</v>
      </c>
      <c r="X2202" s="1">
        <v>43556</v>
      </c>
      <c r="Y2202" s="1">
        <v>58166</v>
      </c>
      <c r="Z2202" t="s">
        <v>51</v>
      </c>
      <c r="AB2202" t="s">
        <v>54</v>
      </c>
      <c r="AC2202">
        <v>1</v>
      </c>
      <c r="AE2202" t="s">
        <v>1024</v>
      </c>
      <c r="AF2202">
        <v>20</v>
      </c>
      <c r="AG2202" s="1">
        <v>43556</v>
      </c>
      <c r="AH2202" s="1">
        <v>43556</v>
      </c>
      <c r="AI2202" s="1">
        <v>43556</v>
      </c>
      <c r="AJ2202" s="1">
        <v>50861</v>
      </c>
      <c r="AK2202" t="s">
        <v>51</v>
      </c>
      <c r="AN2202">
        <v>0</v>
      </c>
      <c r="AO2202" t="s">
        <v>54</v>
      </c>
      <c r="AP2202" t="s">
        <v>53</v>
      </c>
      <c r="AQ2202">
        <v>0</v>
      </c>
      <c r="AR2202" t="s">
        <v>145</v>
      </c>
      <c r="AS2202">
        <v>0</v>
      </c>
      <c r="AT2202">
        <v>0</v>
      </c>
      <c r="CC2202" t="s">
        <v>555</v>
      </c>
      <c r="CD2202">
        <v>85000</v>
      </c>
      <c r="CE2202" s="1">
        <v>43556</v>
      </c>
      <c r="CF2202" s="1">
        <v>43556</v>
      </c>
      <c r="CG2202" s="1">
        <v>43556</v>
      </c>
      <c r="CH2202" s="1">
        <v>51174</v>
      </c>
      <c r="CI2202" t="s">
        <v>51</v>
      </c>
      <c r="CK2202" t="s">
        <v>78</v>
      </c>
      <c r="CM2202" t="s">
        <v>54</v>
      </c>
      <c r="CN2202" t="s">
        <v>174</v>
      </c>
      <c r="CO2202" t="s">
        <v>86</v>
      </c>
      <c r="CR2202">
        <v>20</v>
      </c>
      <c r="CS2202">
        <v>0</v>
      </c>
      <c r="CT2202">
        <v>0</v>
      </c>
      <c r="CU2202">
        <v>0</v>
      </c>
      <c r="CX2202" t="s">
        <v>360</v>
      </c>
      <c r="CY2202">
        <v>40</v>
      </c>
      <c r="CZ2202" s="1">
        <v>43654</v>
      </c>
      <c r="DA2202" s="1">
        <v>43654</v>
      </c>
      <c r="DB2202" s="1">
        <v>43654</v>
      </c>
      <c r="DC2202" s="1">
        <v>58264</v>
      </c>
      <c r="DD2202" t="s">
        <v>51</v>
      </c>
      <c r="DF2202" t="s">
        <v>54</v>
      </c>
      <c r="DG2202">
        <v>0</v>
      </c>
      <c r="DH2202">
        <v>0</v>
      </c>
    </row>
    <row r="2203" spans="1:112" x14ac:dyDescent="0.2">
      <c r="A2203" t="s">
        <v>1012</v>
      </c>
      <c r="B2203" t="s">
        <v>1013</v>
      </c>
      <c r="C2203" t="s">
        <v>1019</v>
      </c>
      <c r="D2203" t="s">
        <v>426</v>
      </c>
      <c r="F2203" t="str">
        <f>"251676"</f>
        <v>251676</v>
      </c>
      <c r="G2203" t="s">
        <v>49</v>
      </c>
      <c r="H2203">
        <v>66</v>
      </c>
      <c r="K2203" t="s">
        <v>51</v>
      </c>
      <c r="L2203" t="s">
        <v>52</v>
      </c>
      <c r="M2203">
        <v>131638.32999999999</v>
      </c>
      <c r="N2203">
        <v>473745.14</v>
      </c>
      <c r="O2203" t="s">
        <v>53</v>
      </c>
      <c r="P2203" t="s">
        <v>54</v>
      </c>
      <c r="Q2203" t="s">
        <v>55</v>
      </c>
      <c r="T2203" t="s">
        <v>81</v>
      </c>
      <c r="U2203">
        <v>40</v>
      </c>
      <c r="V2203" s="1">
        <v>43556</v>
      </c>
      <c r="W2203" s="1">
        <v>43556</v>
      </c>
      <c r="X2203" s="1">
        <v>43556</v>
      </c>
      <c r="Y2203" s="1">
        <v>58166</v>
      </c>
      <c r="Z2203" t="s">
        <v>51</v>
      </c>
      <c r="AB2203" t="s">
        <v>54</v>
      </c>
      <c r="AC2203">
        <v>1</v>
      </c>
      <c r="AE2203" t="s">
        <v>1024</v>
      </c>
      <c r="AF2203">
        <v>20</v>
      </c>
      <c r="AG2203" s="1">
        <v>43556</v>
      </c>
      <c r="AH2203" s="1">
        <v>43556</v>
      </c>
      <c r="AI2203" s="1">
        <v>43556</v>
      </c>
      <c r="AJ2203" s="1">
        <v>50861</v>
      </c>
      <c r="AK2203" t="s">
        <v>51</v>
      </c>
      <c r="AN2203">
        <v>0</v>
      </c>
      <c r="AO2203" t="s">
        <v>54</v>
      </c>
      <c r="AP2203" t="s">
        <v>53</v>
      </c>
      <c r="AQ2203">
        <v>0</v>
      </c>
      <c r="AR2203" t="s">
        <v>145</v>
      </c>
      <c r="AS2203">
        <v>0</v>
      </c>
      <c r="AT2203">
        <v>0</v>
      </c>
      <c r="CC2203" t="s">
        <v>555</v>
      </c>
      <c r="CD2203">
        <v>85000</v>
      </c>
      <c r="CE2203" s="1">
        <v>43556</v>
      </c>
      <c r="CF2203" s="1">
        <v>43556</v>
      </c>
      <c r="CG2203" s="1">
        <v>43556</v>
      </c>
      <c r="CH2203" s="1">
        <v>51174</v>
      </c>
      <c r="CI2203" t="s">
        <v>51</v>
      </c>
      <c r="CK2203" t="s">
        <v>78</v>
      </c>
      <c r="CM2203" t="s">
        <v>54</v>
      </c>
      <c r="CN2203" t="s">
        <v>174</v>
      </c>
      <c r="CO2203" t="s">
        <v>86</v>
      </c>
      <c r="CR2203">
        <v>20</v>
      </c>
      <c r="CS2203">
        <v>0</v>
      </c>
      <c r="CT2203">
        <v>0</v>
      </c>
      <c r="CU2203">
        <v>0</v>
      </c>
      <c r="CX2203" t="s">
        <v>674</v>
      </c>
      <c r="CY2203">
        <v>0</v>
      </c>
      <c r="CZ2203" s="1">
        <v>44316</v>
      </c>
      <c r="DA2203" s="1">
        <v>44316</v>
      </c>
      <c r="DB2203" s="1">
        <v>44316</v>
      </c>
      <c r="DC2203" s="1">
        <v>44316</v>
      </c>
      <c r="DD2203" t="s">
        <v>51</v>
      </c>
      <c r="DF2203" t="s">
        <v>54</v>
      </c>
      <c r="DG2203">
        <v>0</v>
      </c>
      <c r="DH2203">
        <v>0</v>
      </c>
    </row>
    <row r="2204" spans="1:112" x14ac:dyDescent="0.2">
      <c r="A2204" t="s">
        <v>1012</v>
      </c>
      <c r="B2204" t="s">
        <v>1013</v>
      </c>
      <c r="C2204" t="s">
        <v>1019</v>
      </c>
      <c r="D2204" t="s">
        <v>426</v>
      </c>
      <c r="F2204" t="str">
        <f>"251677"</f>
        <v>251677</v>
      </c>
      <c r="G2204" t="s">
        <v>49</v>
      </c>
      <c r="H2204">
        <v>68</v>
      </c>
      <c r="K2204" t="s">
        <v>51</v>
      </c>
      <c r="L2204" t="s">
        <v>52</v>
      </c>
      <c r="M2204">
        <v>131643.34</v>
      </c>
      <c r="N2204">
        <v>473725.75</v>
      </c>
      <c r="O2204" t="s">
        <v>53</v>
      </c>
      <c r="P2204" t="s">
        <v>54</v>
      </c>
      <c r="Q2204" t="s">
        <v>55</v>
      </c>
      <c r="T2204" t="s">
        <v>81</v>
      </c>
      <c r="U2204">
        <v>40</v>
      </c>
      <c r="V2204" s="1">
        <v>43556</v>
      </c>
      <c r="W2204" s="1">
        <v>43556</v>
      </c>
      <c r="X2204" s="1">
        <v>43556</v>
      </c>
      <c r="Y2204" s="1">
        <v>58166</v>
      </c>
      <c r="Z2204" t="s">
        <v>51</v>
      </c>
      <c r="AB2204" t="s">
        <v>54</v>
      </c>
      <c r="AC2204">
        <v>1</v>
      </c>
      <c r="AE2204" t="s">
        <v>1024</v>
      </c>
      <c r="AF2204">
        <v>20</v>
      </c>
      <c r="AG2204" s="1">
        <v>43556</v>
      </c>
      <c r="AH2204" s="1">
        <v>43556</v>
      </c>
      <c r="AI2204" s="1">
        <v>43556</v>
      </c>
      <c r="AJ2204" s="1">
        <v>50861</v>
      </c>
      <c r="AK2204" t="s">
        <v>51</v>
      </c>
      <c r="AN2204">
        <v>0</v>
      </c>
      <c r="AO2204" t="s">
        <v>54</v>
      </c>
      <c r="AP2204" t="s">
        <v>53</v>
      </c>
      <c r="AQ2204">
        <v>0</v>
      </c>
      <c r="AR2204" t="s">
        <v>145</v>
      </c>
      <c r="AS2204">
        <v>0</v>
      </c>
      <c r="AT2204">
        <v>0</v>
      </c>
      <c r="CC2204" t="s">
        <v>555</v>
      </c>
      <c r="CD2204">
        <v>85000</v>
      </c>
      <c r="CE2204" s="1">
        <v>43556</v>
      </c>
      <c r="CF2204" s="1">
        <v>43556</v>
      </c>
      <c r="CG2204" s="1">
        <v>43556</v>
      </c>
      <c r="CH2204" s="1">
        <v>51174</v>
      </c>
      <c r="CI2204" t="s">
        <v>51</v>
      </c>
      <c r="CK2204" t="s">
        <v>78</v>
      </c>
      <c r="CM2204" t="s">
        <v>54</v>
      </c>
      <c r="CN2204" t="s">
        <v>174</v>
      </c>
      <c r="CO2204" t="s">
        <v>86</v>
      </c>
      <c r="CR2204">
        <v>20</v>
      </c>
      <c r="CS2204">
        <v>0</v>
      </c>
      <c r="CT2204">
        <v>0</v>
      </c>
      <c r="CU2204">
        <v>0</v>
      </c>
      <c r="CX2204" t="s">
        <v>674</v>
      </c>
      <c r="CY2204">
        <v>0</v>
      </c>
      <c r="CZ2204" s="1">
        <v>44316</v>
      </c>
      <c r="DA2204" s="1">
        <v>44316</v>
      </c>
      <c r="DB2204" s="1">
        <v>44316</v>
      </c>
      <c r="DC2204" s="1">
        <v>44316</v>
      </c>
      <c r="DD2204" t="s">
        <v>51</v>
      </c>
      <c r="DF2204" t="s">
        <v>54</v>
      </c>
      <c r="DG2204">
        <v>0</v>
      </c>
      <c r="DH2204">
        <v>0</v>
      </c>
    </row>
    <row r="2205" spans="1:112" x14ac:dyDescent="0.2">
      <c r="A2205" t="s">
        <v>1012</v>
      </c>
      <c r="B2205" t="s">
        <v>1013</v>
      </c>
      <c r="C2205" t="s">
        <v>1019</v>
      </c>
      <c r="D2205" t="s">
        <v>426</v>
      </c>
      <c r="F2205" t="str">
        <f>"251678"</f>
        <v>251678</v>
      </c>
      <c r="G2205" t="s">
        <v>49</v>
      </c>
      <c r="H2205">
        <v>68</v>
      </c>
      <c r="K2205" t="s">
        <v>51</v>
      </c>
      <c r="L2205" t="s">
        <v>52</v>
      </c>
      <c r="M2205">
        <v>131647.94</v>
      </c>
      <c r="N2205">
        <v>473703.38</v>
      </c>
      <c r="O2205" t="s">
        <v>53</v>
      </c>
      <c r="P2205" t="s">
        <v>54</v>
      </c>
      <c r="Q2205" t="s">
        <v>55</v>
      </c>
      <c r="T2205" t="s">
        <v>81</v>
      </c>
      <c r="U2205">
        <v>40</v>
      </c>
      <c r="V2205" s="1">
        <v>43556</v>
      </c>
      <c r="W2205" s="1">
        <v>43556</v>
      </c>
      <c r="X2205" s="1">
        <v>43556</v>
      </c>
      <c r="Y2205" s="1">
        <v>58166</v>
      </c>
      <c r="Z2205" t="s">
        <v>51</v>
      </c>
      <c r="AB2205" t="s">
        <v>54</v>
      </c>
      <c r="AC2205">
        <v>1</v>
      </c>
      <c r="AE2205" t="s">
        <v>1024</v>
      </c>
      <c r="AF2205">
        <v>20</v>
      </c>
      <c r="AG2205" s="1">
        <v>43556</v>
      </c>
      <c r="AH2205" s="1">
        <v>43556</v>
      </c>
      <c r="AI2205" s="1">
        <v>43556</v>
      </c>
      <c r="AJ2205" s="1">
        <v>50861</v>
      </c>
      <c r="AK2205" t="s">
        <v>51</v>
      </c>
      <c r="AN2205">
        <v>0</v>
      </c>
      <c r="AO2205" t="s">
        <v>54</v>
      </c>
      <c r="AP2205" t="s">
        <v>53</v>
      </c>
      <c r="AQ2205">
        <v>0</v>
      </c>
      <c r="AR2205" t="s">
        <v>145</v>
      </c>
      <c r="AS2205">
        <v>0</v>
      </c>
      <c r="AT2205">
        <v>0</v>
      </c>
      <c r="CC2205" t="s">
        <v>555</v>
      </c>
      <c r="CD2205">
        <v>85000</v>
      </c>
      <c r="CE2205" s="1">
        <v>43556</v>
      </c>
      <c r="CF2205" s="1">
        <v>43556</v>
      </c>
      <c r="CG2205" s="1">
        <v>43556</v>
      </c>
      <c r="CH2205" s="1">
        <v>51174</v>
      </c>
      <c r="CI2205" t="s">
        <v>51</v>
      </c>
      <c r="CK2205" t="s">
        <v>78</v>
      </c>
      <c r="CM2205" t="s">
        <v>54</v>
      </c>
      <c r="CN2205" t="s">
        <v>174</v>
      </c>
      <c r="CO2205" t="s">
        <v>86</v>
      </c>
      <c r="CR2205">
        <v>20</v>
      </c>
      <c r="CS2205">
        <v>0</v>
      </c>
      <c r="CT2205">
        <v>0</v>
      </c>
      <c r="CU2205">
        <v>0</v>
      </c>
      <c r="CX2205" t="s">
        <v>674</v>
      </c>
      <c r="CY2205">
        <v>0</v>
      </c>
      <c r="CZ2205" s="1">
        <v>44316</v>
      </c>
      <c r="DA2205" s="1">
        <v>44316</v>
      </c>
      <c r="DB2205" s="1">
        <v>44316</v>
      </c>
      <c r="DC2205" s="1">
        <v>44316</v>
      </c>
      <c r="DD2205" t="s">
        <v>51</v>
      </c>
      <c r="DF2205" t="s">
        <v>54</v>
      </c>
      <c r="DG2205">
        <v>0</v>
      </c>
      <c r="DH2205">
        <v>0</v>
      </c>
    </row>
    <row r="2206" spans="1:112" x14ac:dyDescent="0.2">
      <c r="A2206" t="s">
        <v>1012</v>
      </c>
      <c r="B2206" t="s">
        <v>1013</v>
      </c>
      <c r="C2206" t="s">
        <v>1019</v>
      </c>
      <c r="D2206" t="s">
        <v>426</v>
      </c>
      <c r="F2206" t="str">
        <f>"251679"</f>
        <v>251679</v>
      </c>
      <c r="G2206" t="s">
        <v>49</v>
      </c>
      <c r="H2206">
        <v>68</v>
      </c>
      <c r="K2206" t="s">
        <v>51</v>
      </c>
      <c r="L2206" t="s">
        <v>52</v>
      </c>
      <c r="M2206">
        <v>131654.42000000001</v>
      </c>
      <c r="N2206">
        <v>473679.75</v>
      </c>
      <c r="O2206" t="s">
        <v>53</v>
      </c>
      <c r="P2206" t="s">
        <v>54</v>
      </c>
      <c r="Q2206" t="s">
        <v>55</v>
      </c>
      <c r="T2206" t="s">
        <v>81</v>
      </c>
      <c r="U2206">
        <v>40</v>
      </c>
      <c r="V2206" s="1">
        <v>43556</v>
      </c>
      <c r="W2206" s="1">
        <v>43556</v>
      </c>
      <c r="X2206" s="1">
        <v>43556</v>
      </c>
      <c r="Y2206" s="1">
        <v>58166</v>
      </c>
      <c r="Z2206" t="s">
        <v>51</v>
      </c>
      <c r="AB2206" t="s">
        <v>54</v>
      </c>
      <c r="AC2206">
        <v>1</v>
      </c>
      <c r="AE2206" t="s">
        <v>1024</v>
      </c>
      <c r="AF2206">
        <v>20</v>
      </c>
      <c r="AG2206" s="1">
        <v>43556</v>
      </c>
      <c r="AH2206" s="1">
        <v>43556</v>
      </c>
      <c r="AI2206" s="1">
        <v>43556</v>
      </c>
      <c r="AJ2206" s="1">
        <v>50861</v>
      </c>
      <c r="AK2206" t="s">
        <v>51</v>
      </c>
      <c r="AN2206">
        <v>0</v>
      </c>
      <c r="AO2206" t="s">
        <v>54</v>
      </c>
      <c r="AP2206" t="s">
        <v>53</v>
      </c>
      <c r="AQ2206">
        <v>0</v>
      </c>
      <c r="AR2206" t="s">
        <v>145</v>
      </c>
      <c r="AS2206">
        <v>0</v>
      </c>
      <c r="AT2206">
        <v>0</v>
      </c>
      <c r="CC2206" t="s">
        <v>555</v>
      </c>
      <c r="CD2206">
        <v>85000</v>
      </c>
      <c r="CE2206" s="1">
        <v>43556</v>
      </c>
      <c r="CF2206" s="1">
        <v>43556</v>
      </c>
      <c r="CG2206" s="1">
        <v>43556</v>
      </c>
      <c r="CH2206" s="1">
        <v>51174</v>
      </c>
      <c r="CI2206" t="s">
        <v>51</v>
      </c>
      <c r="CK2206" t="s">
        <v>78</v>
      </c>
      <c r="CM2206" t="s">
        <v>54</v>
      </c>
      <c r="CN2206" t="s">
        <v>174</v>
      </c>
      <c r="CO2206" t="s">
        <v>86</v>
      </c>
      <c r="CR2206">
        <v>20</v>
      </c>
      <c r="CS2206">
        <v>0</v>
      </c>
      <c r="CT2206">
        <v>0</v>
      </c>
      <c r="CU2206">
        <v>0</v>
      </c>
      <c r="CX2206" t="s">
        <v>674</v>
      </c>
      <c r="CY2206">
        <v>0</v>
      </c>
      <c r="CZ2206" s="1">
        <v>44316</v>
      </c>
      <c r="DA2206" s="1">
        <v>44316</v>
      </c>
      <c r="DB2206" s="1">
        <v>44316</v>
      </c>
      <c r="DC2206" s="1">
        <v>44316</v>
      </c>
      <c r="DD2206" t="s">
        <v>51</v>
      </c>
      <c r="DF2206" t="s">
        <v>54</v>
      </c>
      <c r="DG2206">
        <v>0</v>
      </c>
      <c r="DH2206">
        <v>0</v>
      </c>
    </row>
    <row r="2207" spans="1:112" x14ac:dyDescent="0.2">
      <c r="A2207" t="s">
        <v>1012</v>
      </c>
      <c r="B2207" t="s">
        <v>1013</v>
      </c>
      <c r="C2207" t="s">
        <v>1019</v>
      </c>
      <c r="D2207" t="s">
        <v>426</v>
      </c>
      <c r="F2207" t="str">
        <f>"251680"</f>
        <v>251680</v>
      </c>
      <c r="G2207" t="s">
        <v>49</v>
      </c>
      <c r="H2207" t="s">
        <v>1059</v>
      </c>
      <c r="K2207" t="s">
        <v>51</v>
      </c>
      <c r="L2207" t="s">
        <v>52</v>
      </c>
      <c r="M2207">
        <v>131663.13</v>
      </c>
      <c r="N2207">
        <v>473654.22</v>
      </c>
      <c r="O2207" t="s">
        <v>53</v>
      </c>
      <c r="P2207" t="s">
        <v>54</v>
      </c>
      <c r="Q2207" t="s">
        <v>55</v>
      </c>
      <c r="T2207" t="s">
        <v>81</v>
      </c>
      <c r="U2207">
        <v>40</v>
      </c>
      <c r="V2207" s="1">
        <v>43556</v>
      </c>
      <c r="W2207" s="1">
        <v>43556</v>
      </c>
      <c r="X2207" s="1">
        <v>43556</v>
      </c>
      <c r="Y2207" s="1">
        <v>58166</v>
      </c>
      <c r="Z2207" t="s">
        <v>51</v>
      </c>
      <c r="AB2207" t="s">
        <v>54</v>
      </c>
      <c r="AC2207">
        <v>1</v>
      </c>
      <c r="AE2207" t="s">
        <v>1024</v>
      </c>
      <c r="AF2207">
        <v>20</v>
      </c>
      <c r="AG2207" s="1">
        <v>43556</v>
      </c>
      <c r="AH2207" s="1">
        <v>43556</v>
      </c>
      <c r="AI2207" s="1">
        <v>43556</v>
      </c>
      <c r="AJ2207" s="1">
        <v>50861</v>
      </c>
      <c r="AK2207" t="s">
        <v>51</v>
      </c>
      <c r="AN2207">
        <v>0</v>
      </c>
      <c r="AO2207" t="s">
        <v>54</v>
      </c>
      <c r="AP2207" t="s">
        <v>53</v>
      </c>
      <c r="AQ2207">
        <v>0</v>
      </c>
      <c r="AR2207" t="s">
        <v>145</v>
      </c>
      <c r="AS2207">
        <v>0</v>
      </c>
      <c r="AT2207">
        <v>0</v>
      </c>
      <c r="CC2207" t="s">
        <v>555</v>
      </c>
      <c r="CD2207">
        <v>85000</v>
      </c>
      <c r="CE2207" s="1">
        <v>43556</v>
      </c>
      <c r="CF2207" s="1">
        <v>43556</v>
      </c>
      <c r="CG2207" s="1">
        <v>43556</v>
      </c>
      <c r="CH2207" s="1">
        <v>51174</v>
      </c>
      <c r="CI2207" t="s">
        <v>51</v>
      </c>
      <c r="CK2207" t="s">
        <v>78</v>
      </c>
      <c r="CM2207" t="s">
        <v>54</v>
      </c>
      <c r="CN2207" t="s">
        <v>174</v>
      </c>
      <c r="CO2207" t="s">
        <v>86</v>
      </c>
      <c r="CR2207">
        <v>20</v>
      </c>
      <c r="CS2207">
        <v>0</v>
      </c>
      <c r="CT2207">
        <v>0</v>
      </c>
      <c r="CU2207">
        <v>0</v>
      </c>
      <c r="CX2207" t="s">
        <v>674</v>
      </c>
      <c r="CY2207">
        <v>0</v>
      </c>
      <c r="CZ2207" s="1">
        <v>44316</v>
      </c>
      <c r="DA2207" s="1">
        <v>44316</v>
      </c>
      <c r="DB2207" s="1">
        <v>44316</v>
      </c>
      <c r="DC2207" s="1">
        <v>44316</v>
      </c>
      <c r="DD2207" t="s">
        <v>51</v>
      </c>
      <c r="DF2207" t="s">
        <v>54</v>
      </c>
      <c r="DG2207">
        <v>0</v>
      </c>
      <c r="DH2207">
        <v>0</v>
      </c>
    </row>
    <row r="2208" spans="1:112" x14ac:dyDescent="0.2">
      <c r="A2208" t="s">
        <v>1012</v>
      </c>
      <c r="B2208" t="s">
        <v>1013</v>
      </c>
      <c r="C2208" t="s">
        <v>1019</v>
      </c>
      <c r="D2208" t="s">
        <v>426</v>
      </c>
      <c r="F2208" t="str">
        <f>"251681"</f>
        <v>251681</v>
      </c>
      <c r="G2208" t="s">
        <v>49</v>
      </c>
      <c r="H2208">
        <v>70</v>
      </c>
      <c r="K2208" t="s">
        <v>51</v>
      </c>
      <c r="L2208" t="s">
        <v>52</v>
      </c>
      <c r="M2208">
        <v>131672.95000000001</v>
      </c>
      <c r="N2208">
        <v>473628.91</v>
      </c>
      <c r="O2208" t="s">
        <v>53</v>
      </c>
      <c r="P2208" t="s">
        <v>54</v>
      </c>
      <c r="Q2208" t="s">
        <v>55</v>
      </c>
      <c r="T2208" t="s">
        <v>81</v>
      </c>
      <c r="U2208">
        <v>40</v>
      </c>
      <c r="V2208" s="1">
        <v>43556</v>
      </c>
      <c r="W2208" s="1">
        <v>43556</v>
      </c>
      <c r="X2208" s="1">
        <v>43556</v>
      </c>
      <c r="Y2208" s="1">
        <v>58166</v>
      </c>
      <c r="Z2208" t="s">
        <v>51</v>
      </c>
      <c r="AB2208" t="s">
        <v>54</v>
      </c>
      <c r="AC2208">
        <v>1</v>
      </c>
      <c r="AE2208" t="s">
        <v>1024</v>
      </c>
      <c r="AF2208">
        <v>20</v>
      </c>
      <c r="AG2208" s="1">
        <v>43556</v>
      </c>
      <c r="AH2208" s="1">
        <v>43556</v>
      </c>
      <c r="AI2208" s="1">
        <v>43556</v>
      </c>
      <c r="AJ2208" s="1">
        <v>50861</v>
      </c>
      <c r="AK2208" t="s">
        <v>51</v>
      </c>
      <c r="AN2208">
        <v>0</v>
      </c>
      <c r="AO2208" t="s">
        <v>54</v>
      </c>
      <c r="AP2208" t="s">
        <v>53</v>
      </c>
      <c r="AQ2208">
        <v>0</v>
      </c>
      <c r="AR2208" t="s">
        <v>145</v>
      </c>
      <c r="AS2208">
        <v>0</v>
      </c>
      <c r="AT2208">
        <v>0</v>
      </c>
      <c r="CC2208" t="s">
        <v>555</v>
      </c>
      <c r="CD2208">
        <v>85000</v>
      </c>
      <c r="CE2208" s="1">
        <v>43556</v>
      </c>
      <c r="CF2208" s="1">
        <v>43556</v>
      </c>
      <c r="CG2208" s="1">
        <v>43556</v>
      </c>
      <c r="CH2208" s="1">
        <v>51174</v>
      </c>
      <c r="CI2208" t="s">
        <v>51</v>
      </c>
      <c r="CK2208" t="s">
        <v>78</v>
      </c>
      <c r="CM2208" t="s">
        <v>54</v>
      </c>
      <c r="CN2208" t="s">
        <v>174</v>
      </c>
      <c r="CO2208" t="s">
        <v>86</v>
      </c>
      <c r="CR2208">
        <v>20</v>
      </c>
      <c r="CS2208">
        <v>0</v>
      </c>
      <c r="CT2208">
        <v>0</v>
      </c>
      <c r="CU2208">
        <v>0</v>
      </c>
      <c r="CX2208" t="s">
        <v>674</v>
      </c>
      <c r="CY2208">
        <v>0</v>
      </c>
      <c r="CZ2208" s="1">
        <v>44316</v>
      </c>
      <c r="DA2208" s="1">
        <v>44316</v>
      </c>
      <c r="DB2208" s="1">
        <v>44316</v>
      </c>
      <c r="DC2208" s="1">
        <v>44316</v>
      </c>
      <c r="DD2208" t="s">
        <v>51</v>
      </c>
      <c r="DF2208" t="s">
        <v>54</v>
      </c>
      <c r="DG2208">
        <v>0</v>
      </c>
      <c r="DH2208">
        <v>0</v>
      </c>
    </row>
    <row r="2209" spans="1:112" x14ac:dyDescent="0.2">
      <c r="A2209" t="s">
        <v>1012</v>
      </c>
      <c r="B2209" t="s">
        <v>1013</v>
      </c>
      <c r="C2209" t="s">
        <v>1019</v>
      </c>
      <c r="D2209" t="s">
        <v>426</v>
      </c>
      <c r="F2209" t="str">
        <f>"251682"</f>
        <v>251682</v>
      </c>
      <c r="G2209" t="s">
        <v>49</v>
      </c>
      <c r="K2209" t="s">
        <v>51</v>
      </c>
      <c r="L2209" t="s">
        <v>52</v>
      </c>
      <c r="M2209">
        <v>131683.49799999999</v>
      </c>
      <c r="N2209">
        <v>473606.44300000003</v>
      </c>
      <c r="O2209" t="s">
        <v>53</v>
      </c>
      <c r="P2209" t="s">
        <v>54</v>
      </c>
      <c r="Q2209" t="s">
        <v>55</v>
      </c>
      <c r="T2209" t="s">
        <v>81</v>
      </c>
      <c r="U2209">
        <v>40</v>
      </c>
      <c r="V2209" s="1">
        <v>43556</v>
      </c>
      <c r="W2209" s="1">
        <v>43556</v>
      </c>
      <c r="X2209" s="1">
        <v>43556</v>
      </c>
      <c r="Y2209" s="1">
        <v>58166</v>
      </c>
      <c r="Z2209" t="s">
        <v>51</v>
      </c>
      <c r="AB2209" t="s">
        <v>54</v>
      </c>
      <c r="AC2209">
        <v>1</v>
      </c>
      <c r="AE2209" t="s">
        <v>1024</v>
      </c>
      <c r="AF2209">
        <v>20</v>
      </c>
      <c r="AG2209" s="1">
        <v>43556</v>
      </c>
      <c r="AH2209" s="1">
        <v>43556</v>
      </c>
      <c r="AI2209" s="1">
        <v>43556</v>
      </c>
      <c r="AJ2209" s="1">
        <v>50861</v>
      </c>
      <c r="AK2209" t="s">
        <v>51</v>
      </c>
      <c r="AN2209">
        <v>0</v>
      </c>
      <c r="AO2209" t="s">
        <v>54</v>
      </c>
      <c r="AP2209" t="s">
        <v>53</v>
      </c>
      <c r="AQ2209">
        <v>0</v>
      </c>
      <c r="AR2209" t="s">
        <v>145</v>
      </c>
      <c r="AS2209">
        <v>0</v>
      </c>
      <c r="AT2209">
        <v>0</v>
      </c>
      <c r="CC2209" t="s">
        <v>555</v>
      </c>
      <c r="CD2209">
        <v>85000</v>
      </c>
      <c r="CE2209" s="1">
        <v>43556</v>
      </c>
      <c r="CF2209" s="1">
        <v>43556</v>
      </c>
      <c r="CG2209" s="1">
        <v>43556</v>
      </c>
      <c r="CH2209" s="1">
        <v>51174</v>
      </c>
      <c r="CI2209" t="s">
        <v>51</v>
      </c>
      <c r="CK2209" t="s">
        <v>78</v>
      </c>
      <c r="CM2209" t="s">
        <v>54</v>
      </c>
      <c r="CN2209" t="s">
        <v>174</v>
      </c>
      <c r="CO2209" t="s">
        <v>86</v>
      </c>
      <c r="CR2209">
        <v>20</v>
      </c>
      <c r="CS2209">
        <v>0</v>
      </c>
      <c r="CT2209">
        <v>0</v>
      </c>
      <c r="CU2209">
        <v>0</v>
      </c>
      <c r="CX2209" t="s">
        <v>674</v>
      </c>
      <c r="CY2209">
        <v>0</v>
      </c>
      <c r="CZ2209" s="1">
        <v>44316</v>
      </c>
      <c r="DA2209" s="1">
        <v>44316</v>
      </c>
      <c r="DB2209" s="1">
        <v>44316</v>
      </c>
      <c r="DC2209" s="1">
        <v>44316</v>
      </c>
      <c r="DD2209" t="s">
        <v>51</v>
      </c>
      <c r="DF2209" t="s">
        <v>54</v>
      </c>
      <c r="DG2209">
        <v>0</v>
      </c>
      <c r="DH2209">
        <v>0</v>
      </c>
    </row>
    <row r="2210" spans="1:112" x14ac:dyDescent="0.2">
      <c r="A2210" t="s">
        <v>1012</v>
      </c>
      <c r="B2210" t="s">
        <v>1013</v>
      </c>
      <c r="C2210" t="s">
        <v>1019</v>
      </c>
      <c r="D2210" t="s">
        <v>426</v>
      </c>
      <c r="F2210" t="str">
        <f>"251683"</f>
        <v>251683</v>
      </c>
      <c r="G2210" t="s">
        <v>49</v>
      </c>
      <c r="H2210">
        <v>70</v>
      </c>
      <c r="K2210" t="s">
        <v>51</v>
      </c>
      <c r="L2210" t="s">
        <v>52</v>
      </c>
      <c r="M2210">
        <v>131695.42000000001</v>
      </c>
      <c r="N2210">
        <v>473581.06</v>
      </c>
      <c r="O2210" t="s">
        <v>53</v>
      </c>
      <c r="P2210" t="s">
        <v>54</v>
      </c>
      <c r="Q2210" t="s">
        <v>55</v>
      </c>
      <c r="T2210" t="s">
        <v>81</v>
      </c>
      <c r="U2210">
        <v>40</v>
      </c>
      <c r="V2210" s="1">
        <v>43556</v>
      </c>
      <c r="W2210" s="1">
        <v>43556</v>
      </c>
      <c r="X2210" s="1">
        <v>43556</v>
      </c>
      <c r="Y2210" s="1">
        <v>58166</v>
      </c>
      <c r="Z2210" t="s">
        <v>51</v>
      </c>
      <c r="AB2210" t="s">
        <v>54</v>
      </c>
      <c r="AC2210">
        <v>1</v>
      </c>
      <c r="AE2210" t="s">
        <v>1024</v>
      </c>
      <c r="AF2210">
        <v>20</v>
      </c>
      <c r="AG2210" s="1">
        <v>43556</v>
      </c>
      <c r="AH2210" s="1">
        <v>43556</v>
      </c>
      <c r="AI2210" s="1">
        <v>43556</v>
      </c>
      <c r="AJ2210" s="1">
        <v>50861</v>
      </c>
      <c r="AK2210" t="s">
        <v>51</v>
      </c>
      <c r="AN2210">
        <v>0</v>
      </c>
      <c r="AO2210" t="s">
        <v>54</v>
      </c>
      <c r="AP2210" t="s">
        <v>53</v>
      </c>
      <c r="AQ2210">
        <v>0</v>
      </c>
      <c r="AR2210" t="s">
        <v>145</v>
      </c>
      <c r="AS2210">
        <v>0</v>
      </c>
      <c r="AT2210">
        <v>0</v>
      </c>
      <c r="CC2210" t="s">
        <v>555</v>
      </c>
      <c r="CD2210">
        <v>85000</v>
      </c>
      <c r="CE2210" s="1">
        <v>43556</v>
      </c>
      <c r="CF2210" s="1">
        <v>43556</v>
      </c>
      <c r="CG2210" s="1">
        <v>43556</v>
      </c>
      <c r="CH2210" s="1">
        <v>51174</v>
      </c>
      <c r="CI2210" t="s">
        <v>51</v>
      </c>
      <c r="CK2210" t="s">
        <v>78</v>
      </c>
      <c r="CM2210" t="s">
        <v>54</v>
      </c>
      <c r="CN2210" t="s">
        <v>174</v>
      </c>
      <c r="CO2210" t="s">
        <v>86</v>
      </c>
      <c r="CR2210">
        <v>20</v>
      </c>
      <c r="CS2210">
        <v>0</v>
      </c>
      <c r="CT2210">
        <v>0</v>
      </c>
      <c r="CU2210">
        <v>0</v>
      </c>
      <c r="CX2210" t="s">
        <v>674</v>
      </c>
      <c r="CY2210">
        <v>0</v>
      </c>
      <c r="CZ2210" s="1">
        <v>44316</v>
      </c>
      <c r="DA2210" s="1">
        <v>44316</v>
      </c>
      <c r="DB2210" s="1">
        <v>44316</v>
      </c>
      <c r="DC2210" s="1">
        <v>44316</v>
      </c>
      <c r="DD2210" t="s">
        <v>51</v>
      </c>
      <c r="DF2210" t="s">
        <v>54</v>
      </c>
      <c r="DG2210">
        <v>0</v>
      </c>
      <c r="DH2210">
        <v>0</v>
      </c>
    </row>
    <row r="2211" spans="1:112" x14ac:dyDescent="0.2">
      <c r="A2211" t="s">
        <v>1012</v>
      </c>
      <c r="B2211" t="s">
        <v>1013</v>
      </c>
      <c r="C2211" t="s">
        <v>1019</v>
      </c>
      <c r="D2211" t="s">
        <v>426</v>
      </c>
      <c r="F2211" t="str">
        <f>"254189"</f>
        <v>254189</v>
      </c>
      <c r="G2211" t="s">
        <v>49</v>
      </c>
      <c r="H2211" t="s">
        <v>1060</v>
      </c>
      <c r="K2211" t="s">
        <v>51</v>
      </c>
      <c r="L2211" t="s">
        <v>52</v>
      </c>
      <c r="M2211">
        <v>131720.71</v>
      </c>
      <c r="N2211">
        <v>473542.33</v>
      </c>
      <c r="O2211" t="s">
        <v>53</v>
      </c>
      <c r="P2211" t="s">
        <v>54</v>
      </c>
      <c r="Q2211" t="s">
        <v>55</v>
      </c>
      <c r="T2211" t="s">
        <v>81</v>
      </c>
      <c r="U2211">
        <v>40</v>
      </c>
      <c r="V2211" s="1">
        <v>43556</v>
      </c>
      <c r="W2211" s="1">
        <v>43556</v>
      </c>
      <c r="X2211" s="1">
        <v>43556</v>
      </c>
      <c r="Y2211" s="1">
        <v>58166</v>
      </c>
      <c r="Z2211" t="s">
        <v>51</v>
      </c>
      <c r="AB2211" t="s">
        <v>54</v>
      </c>
      <c r="AC2211">
        <v>1</v>
      </c>
      <c r="AE2211" t="s">
        <v>1024</v>
      </c>
      <c r="AF2211">
        <v>20</v>
      </c>
      <c r="AG2211" s="1">
        <v>43556</v>
      </c>
      <c r="AH2211" s="1">
        <v>43556</v>
      </c>
      <c r="AI2211" s="1">
        <v>43556</v>
      </c>
      <c r="AJ2211" s="1">
        <v>50861</v>
      </c>
      <c r="AK2211" t="s">
        <v>51</v>
      </c>
      <c r="AN2211">
        <v>0</v>
      </c>
      <c r="AO2211" t="s">
        <v>54</v>
      </c>
      <c r="AP2211" t="s">
        <v>53</v>
      </c>
      <c r="AQ2211">
        <v>0</v>
      </c>
      <c r="AR2211" t="s">
        <v>145</v>
      </c>
      <c r="AS2211">
        <v>0</v>
      </c>
      <c r="AT2211">
        <v>0</v>
      </c>
      <c r="CC2211" t="s">
        <v>555</v>
      </c>
      <c r="CD2211">
        <v>85000</v>
      </c>
      <c r="CE2211" s="1">
        <v>43556</v>
      </c>
      <c r="CF2211" s="1">
        <v>43556</v>
      </c>
      <c r="CG2211" s="1">
        <v>43556</v>
      </c>
      <c r="CH2211" s="1">
        <v>51174</v>
      </c>
      <c r="CI2211" t="s">
        <v>51</v>
      </c>
      <c r="CK2211" t="s">
        <v>78</v>
      </c>
      <c r="CM2211" t="s">
        <v>54</v>
      </c>
      <c r="CN2211" t="s">
        <v>174</v>
      </c>
      <c r="CO2211" t="s">
        <v>86</v>
      </c>
      <c r="CR2211">
        <v>20</v>
      </c>
      <c r="CS2211">
        <v>0</v>
      </c>
      <c r="CT2211">
        <v>0</v>
      </c>
      <c r="CU2211">
        <v>0</v>
      </c>
      <c r="CX2211" t="s">
        <v>360</v>
      </c>
      <c r="CY2211">
        <v>40</v>
      </c>
      <c r="CZ2211" s="1">
        <v>43654</v>
      </c>
      <c r="DA2211" s="1">
        <v>43654</v>
      </c>
      <c r="DB2211" s="1">
        <v>43654</v>
      </c>
      <c r="DC2211" s="1">
        <v>58264</v>
      </c>
      <c r="DD2211" t="s">
        <v>51</v>
      </c>
      <c r="DF2211" t="s">
        <v>54</v>
      </c>
      <c r="DG2211">
        <v>0</v>
      </c>
      <c r="DH2211">
        <v>0</v>
      </c>
    </row>
    <row r="2212" spans="1:112" x14ac:dyDescent="0.2">
      <c r="A2212" t="s">
        <v>1012</v>
      </c>
      <c r="B2212" t="s">
        <v>1013</v>
      </c>
      <c r="C2212" t="s">
        <v>1019</v>
      </c>
      <c r="D2212" t="s">
        <v>426</v>
      </c>
      <c r="F2212" t="str">
        <f>"254190"</f>
        <v>254190</v>
      </c>
      <c r="G2212" t="s">
        <v>49</v>
      </c>
      <c r="H2212" t="s">
        <v>1060</v>
      </c>
      <c r="K2212" t="s">
        <v>51</v>
      </c>
      <c r="L2212" t="s">
        <v>52</v>
      </c>
      <c r="M2212">
        <v>131736.42000000001</v>
      </c>
      <c r="N2212">
        <v>473524.4</v>
      </c>
      <c r="O2212" t="s">
        <v>53</v>
      </c>
      <c r="P2212" t="s">
        <v>54</v>
      </c>
      <c r="Q2212" t="s">
        <v>55</v>
      </c>
      <c r="T2212" t="s">
        <v>81</v>
      </c>
      <c r="U2212">
        <v>40</v>
      </c>
      <c r="V2212" s="1">
        <v>43556</v>
      </c>
      <c r="W2212" s="1">
        <v>43556</v>
      </c>
      <c r="X2212" s="1">
        <v>43556</v>
      </c>
      <c r="Y2212" s="1">
        <v>58166</v>
      </c>
      <c r="Z2212" t="s">
        <v>51</v>
      </c>
      <c r="AB2212" t="s">
        <v>54</v>
      </c>
      <c r="AC2212">
        <v>1</v>
      </c>
      <c r="AE2212" t="s">
        <v>1024</v>
      </c>
      <c r="AF2212">
        <v>20</v>
      </c>
      <c r="AG2212" s="1">
        <v>43556</v>
      </c>
      <c r="AH2212" s="1">
        <v>43556</v>
      </c>
      <c r="AI2212" s="1">
        <v>43556</v>
      </c>
      <c r="AJ2212" s="1">
        <v>50861</v>
      </c>
      <c r="AK2212" t="s">
        <v>51</v>
      </c>
      <c r="AN2212">
        <v>0</v>
      </c>
      <c r="AO2212" t="s">
        <v>54</v>
      </c>
      <c r="AP2212" t="s">
        <v>53</v>
      </c>
      <c r="AQ2212">
        <v>0</v>
      </c>
      <c r="AR2212" t="s">
        <v>145</v>
      </c>
      <c r="AS2212">
        <v>0</v>
      </c>
      <c r="AT2212">
        <v>0</v>
      </c>
      <c r="CC2212" t="s">
        <v>555</v>
      </c>
      <c r="CD2212">
        <v>85000</v>
      </c>
      <c r="CE2212" s="1">
        <v>43556</v>
      </c>
      <c r="CF2212" s="1">
        <v>43556</v>
      </c>
      <c r="CG2212" s="1">
        <v>43556</v>
      </c>
      <c r="CH2212" s="1">
        <v>51174</v>
      </c>
      <c r="CI2212" t="s">
        <v>51</v>
      </c>
      <c r="CK2212" t="s">
        <v>78</v>
      </c>
      <c r="CM2212" t="s">
        <v>54</v>
      </c>
      <c r="CN2212" t="s">
        <v>174</v>
      </c>
      <c r="CO2212" t="s">
        <v>86</v>
      </c>
      <c r="CR2212">
        <v>20</v>
      </c>
      <c r="CS2212">
        <v>0</v>
      </c>
      <c r="CT2212">
        <v>0</v>
      </c>
      <c r="CU2212">
        <v>0</v>
      </c>
      <c r="CX2212" t="s">
        <v>360</v>
      </c>
      <c r="CY2212">
        <v>40</v>
      </c>
      <c r="CZ2212" s="1">
        <v>43654</v>
      </c>
      <c r="DA2212" s="1">
        <v>43654</v>
      </c>
      <c r="DB2212" s="1">
        <v>43654</v>
      </c>
      <c r="DC2212" s="1">
        <v>58264</v>
      </c>
      <c r="DD2212" t="s">
        <v>51</v>
      </c>
      <c r="DF2212" t="s">
        <v>54</v>
      </c>
      <c r="DG2212">
        <v>0</v>
      </c>
      <c r="DH2212">
        <v>0</v>
      </c>
    </row>
    <row r="2213" spans="1:112" x14ac:dyDescent="0.2">
      <c r="A2213" t="s">
        <v>1012</v>
      </c>
      <c r="B2213" t="s">
        <v>1013</v>
      </c>
      <c r="C2213" t="s">
        <v>1019</v>
      </c>
      <c r="D2213" t="s">
        <v>426</v>
      </c>
      <c r="F2213" t="str">
        <f>"251687"</f>
        <v>251687</v>
      </c>
      <c r="G2213" t="s">
        <v>49</v>
      </c>
      <c r="K2213" t="s">
        <v>51</v>
      </c>
      <c r="L2213" t="s">
        <v>52</v>
      </c>
      <c r="M2213">
        <v>131767.14000000001</v>
      </c>
      <c r="N2213">
        <v>473504.67</v>
      </c>
      <c r="O2213" t="s">
        <v>53</v>
      </c>
      <c r="P2213" t="s">
        <v>54</v>
      </c>
      <c r="Q2213" t="s">
        <v>55</v>
      </c>
      <c r="T2213" t="s">
        <v>81</v>
      </c>
      <c r="U2213">
        <v>40</v>
      </c>
      <c r="V2213" s="1">
        <v>43556</v>
      </c>
      <c r="W2213" s="1">
        <v>43556</v>
      </c>
      <c r="X2213" s="1">
        <v>43556</v>
      </c>
      <c r="Y2213" s="1">
        <v>58166</v>
      </c>
      <c r="Z2213" t="s">
        <v>51</v>
      </c>
      <c r="AB2213" t="s">
        <v>54</v>
      </c>
      <c r="AC2213">
        <v>1</v>
      </c>
      <c r="AE2213" t="s">
        <v>1024</v>
      </c>
      <c r="AF2213">
        <v>20</v>
      </c>
      <c r="AG2213" s="1">
        <v>43556</v>
      </c>
      <c r="AH2213" s="1">
        <v>43556</v>
      </c>
      <c r="AI2213" s="1">
        <v>43556</v>
      </c>
      <c r="AJ2213" s="1">
        <v>50861</v>
      </c>
      <c r="AK2213" t="s">
        <v>51</v>
      </c>
      <c r="AN2213">
        <v>0</v>
      </c>
      <c r="AO2213" t="s">
        <v>54</v>
      </c>
      <c r="AP2213" t="s">
        <v>53</v>
      </c>
      <c r="AQ2213">
        <v>0</v>
      </c>
      <c r="AR2213" t="s">
        <v>145</v>
      </c>
      <c r="AS2213">
        <v>0</v>
      </c>
      <c r="AT2213">
        <v>0</v>
      </c>
      <c r="CC2213" t="s">
        <v>555</v>
      </c>
      <c r="CD2213">
        <v>85000</v>
      </c>
      <c r="CE2213" s="1">
        <v>43556</v>
      </c>
      <c r="CF2213" s="1">
        <v>43556</v>
      </c>
      <c r="CG2213" s="1">
        <v>43556</v>
      </c>
      <c r="CH2213" s="1">
        <v>51174</v>
      </c>
      <c r="CI2213" t="s">
        <v>51</v>
      </c>
      <c r="CK2213" t="s">
        <v>78</v>
      </c>
      <c r="CM2213" t="s">
        <v>54</v>
      </c>
      <c r="CN2213" t="s">
        <v>174</v>
      </c>
      <c r="CO2213" t="s">
        <v>86</v>
      </c>
      <c r="CR2213">
        <v>20</v>
      </c>
      <c r="CS2213">
        <v>0</v>
      </c>
      <c r="CT2213">
        <v>0</v>
      </c>
      <c r="CU2213">
        <v>0</v>
      </c>
      <c r="CX2213" t="s">
        <v>674</v>
      </c>
      <c r="CY2213">
        <v>0</v>
      </c>
      <c r="CZ2213" s="1">
        <v>44316</v>
      </c>
      <c r="DA2213" s="1">
        <v>44316</v>
      </c>
      <c r="DB2213" s="1">
        <v>44316</v>
      </c>
      <c r="DC2213" s="1">
        <v>44316</v>
      </c>
      <c r="DD2213" t="s">
        <v>51</v>
      </c>
      <c r="DF2213" t="s">
        <v>54</v>
      </c>
      <c r="DG2213">
        <v>0</v>
      </c>
      <c r="DH2213">
        <v>0</v>
      </c>
    </row>
    <row r="2214" spans="1:112" x14ac:dyDescent="0.2">
      <c r="A2214" t="s">
        <v>1012</v>
      </c>
      <c r="B2214" t="s">
        <v>1013</v>
      </c>
      <c r="C2214" t="s">
        <v>1019</v>
      </c>
      <c r="D2214" t="s">
        <v>426</v>
      </c>
      <c r="F2214" t="str">
        <f>"253396"</f>
        <v>253396</v>
      </c>
      <c r="G2214" t="s">
        <v>49</v>
      </c>
      <c r="K2214" t="s">
        <v>51</v>
      </c>
      <c r="L2214" t="s">
        <v>52</v>
      </c>
      <c r="M2214">
        <v>131784.85</v>
      </c>
      <c r="N2214">
        <v>473463.48</v>
      </c>
      <c r="O2214" t="s">
        <v>53</v>
      </c>
      <c r="P2214" t="s">
        <v>54</v>
      </c>
      <c r="Q2214" t="s">
        <v>55</v>
      </c>
      <c r="T2214" t="s">
        <v>81</v>
      </c>
      <c r="U2214">
        <v>40</v>
      </c>
      <c r="V2214" s="1">
        <v>43556</v>
      </c>
      <c r="W2214" s="1">
        <v>43556</v>
      </c>
      <c r="X2214" s="1">
        <v>43556</v>
      </c>
      <c r="Y2214" s="1">
        <v>58166</v>
      </c>
      <c r="Z2214" t="s">
        <v>51</v>
      </c>
      <c r="AB2214" t="s">
        <v>54</v>
      </c>
      <c r="AC2214">
        <v>1</v>
      </c>
      <c r="AE2214" t="s">
        <v>1024</v>
      </c>
      <c r="AF2214">
        <v>20</v>
      </c>
      <c r="AG2214" s="1">
        <v>43556</v>
      </c>
      <c r="AH2214" s="1">
        <v>43556</v>
      </c>
      <c r="AI2214" s="1">
        <v>43556</v>
      </c>
      <c r="AJ2214" s="1">
        <v>50861</v>
      </c>
      <c r="AK2214" t="s">
        <v>51</v>
      </c>
      <c r="AN2214">
        <v>0</v>
      </c>
      <c r="AO2214" t="s">
        <v>54</v>
      </c>
      <c r="AP2214" t="s">
        <v>53</v>
      </c>
      <c r="AQ2214">
        <v>0</v>
      </c>
      <c r="AR2214" t="s">
        <v>145</v>
      </c>
      <c r="AS2214">
        <v>0</v>
      </c>
      <c r="AT2214">
        <v>0</v>
      </c>
      <c r="CC2214" t="s">
        <v>555</v>
      </c>
      <c r="CD2214">
        <v>85000</v>
      </c>
      <c r="CE2214" s="1">
        <v>43556</v>
      </c>
      <c r="CF2214" s="1">
        <v>43556</v>
      </c>
      <c r="CG2214" s="1">
        <v>43556</v>
      </c>
      <c r="CH2214" s="1">
        <v>51174</v>
      </c>
      <c r="CI2214" t="s">
        <v>51</v>
      </c>
      <c r="CK2214" t="s">
        <v>78</v>
      </c>
      <c r="CM2214" t="s">
        <v>54</v>
      </c>
      <c r="CN2214" t="s">
        <v>174</v>
      </c>
      <c r="CO2214" t="s">
        <v>86</v>
      </c>
      <c r="CR2214">
        <v>20</v>
      </c>
      <c r="CS2214">
        <v>0</v>
      </c>
      <c r="CT2214">
        <v>0</v>
      </c>
      <c r="CU2214">
        <v>0</v>
      </c>
      <c r="CX2214" t="s">
        <v>360</v>
      </c>
      <c r="CY2214">
        <v>40</v>
      </c>
      <c r="CZ2214" s="1">
        <v>44316</v>
      </c>
      <c r="DA2214" s="1">
        <v>44316</v>
      </c>
      <c r="DB2214" s="1">
        <v>44316</v>
      </c>
      <c r="DC2214" s="1">
        <v>58926</v>
      </c>
      <c r="DD2214" t="s">
        <v>51</v>
      </c>
      <c r="DF2214" t="s">
        <v>54</v>
      </c>
      <c r="DG2214">
        <v>0</v>
      </c>
      <c r="DH2214">
        <v>0</v>
      </c>
    </row>
    <row r="2215" spans="1:112" x14ac:dyDescent="0.2">
      <c r="A2215" t="s">
        <v>1012</v>
      </c>
      <c r="B2215" t="s">
        <v>1013</v>
      </c>
      <c r="C2215" t="s">
        <v>1019</v>
      </c>
      <c r="D2215" t="s">
        <v>426</v>
      </c>
      <c r="F2215" t="str">
        <f>"251690"</f>
        <v>251690</v>
      </c>
      <c r="G2215" t="s">
        <v>49</v>
      </c>
      <c r="H2215">
        <v>37</v>
      </c>
      <c r="K2215" t="s">
        <v>51</v>
      </c>
      <c r="L2215" t="s">
        <v>52</v>
      </c>
      <c r="M2215">
        <v>131785.51999999999</v>
      </c>
      <c r="N2215">
        <v>473433.48</v>
      </c>
      <c r="O2215" t="s">
        <v>53</v>
      </c>
      <c r="P2215" t="s">
        <v>54</v>
      </c>
      <c r="Q2215" t="s">
        <v>55</v>
      </c>
      <c r="T2215" t="s">
        <v>81</v>
      </c>
      <c r="U2215">
        <v>40</v>
      </c>
      <c r="V2215" s="1">
        <v>43556</v>
      </c>
      <c r="W2215" s="1">
        <v>43556</v>
      </c>
      <c r="X2215" s="1">
        <v>43556</v>
      </c>
      <c r="Y2215" s="1">
        <v>58166</v>
      </c>
      <c r="Z2215" t="s">
        <v>51</v>
      </c>
      <c r="AB2215" t="s">
        <v>54</v>
      </c>
      <c r="AC2215">
        <v>1</v>
      </c>
      <c r="AE2215" t="s">
        <v>1024</v>
      </c>
      <c r="AF2215">
        <v>20</v>
      </c>
      <c r="AG2215" s="1">
        <v>43556</v>
      </c>
      <c r="AH2215" s="1">
        <v>43556</v>
      </c>
      <c r="AI2215" s="1">
        <v>43556</v>
      </c>
      <c r="AJ2215" s="1">
        <v>50861</v>
      </c>
      <c r="AK2215" t="s">
        <v>51</v>
      </c>
      <c r="AN2215">
        <v>0</v>
      </c>
      <c r="AO2215" t="s">
        <v>54</v>
      </c>
      <c r="AP2215" t="s">
        <v>53</v>
      </c>
      <c r="AQ2215">
        <v>0</v>
      </c>
      <c r="AR2215" t="s">
        <v>145</v>
      </c>
      <c r="AS2215">
        <v>0</v>
      </c>
      <c r="AT2215">
        <v>0</v>
      </c>
      <c r="CC2215" t="s">
        <v>555</v>
      </c>
      <c r="CD2215">
        <v>85000</v>
      </c>
      <c r="CE2215" s="1">
        <v>43556</v>
      </c>
      <c r="CF2215" s="1">
        <v>43556</v>
      </c>
      <c r="CG2215" s="1">
        <v>43556</v>
      </c>
      <c r="CH2215" s="1">
        <v>51174</v>
      </c>
      <c r="CI2215" t="s">
        <v>51</v>
      </c>
      <c r="CK2215" t="s">
        <v>78</v>
      </c>
      <c r="CM2215" t="s">
        <v>54</v>
      </c>
      <c r="CN2215" t="s">
        <v>174</v>
      </c>
      <c r="CO2215" t="s">
        <v>86</v>
      </c>
      <c r="CR2215">
        <v>20</v>
      </c>
      <c r="CS2215">
        <v>0</v>
      </c>
      <c r="CT2215">
        <v>0</v>
      </c>
      <c r="CU2215">
        <v>0</v>
      </c>
      <c r="CX2215" t="s">
        <v>674</v>
      </c>
      <c r="CY2215">
        <v>0</v>
      </c>
      <c r="CZ2215" s="1">
        <v>44316</v>
      </c>
      <c r="DA2215" s="1">
        <v>44316</v>
      </c>
      <c r="DB2215" s="1">
        <v>44316</v>
      </c>
      <c r="DC2215" s="1">
        <v>44316</v>
      </c>
      <c r="DD2215" t="s">
        <v>51</v>
      </c>
      <c r="DF2215" t="s">
        <v>54</v>
      </c>
      <c r="DG2215">
        <v>0</v>
      </c>
      <c r="DH2215">
        <v>0</v>
      </c>
    </row>
    <row r="2216" spans="1:112" x14ac:dyDescent="0.2">
      <c r="A2216" t="s">
        <v>1012</v>
      </c>
      <c r="B2216" t="s">
        <v>1013</v>
      </c>
      <c r="C2216" t="s">
        <v>1019</v>
      </c>
      <c r="D2216" t="s">
        <v>426</v>
      </c>
      <c r="F2216" t="str">
        <f>"251691"</f>
        <v>251691</v>
      </c>
      <c r="G2216" t="s">
        <v>49</v>
      </c>
      <c r="H2216">
        <v>37</v>
      </c>
      <c r="K2216" t="s">
        <v>51</v>
      </c>
      <c r="L2216" t="s">
        <v>52</v>
      </c>
      <c r="M2216">
        <v>131780.29</v>
      </c>
      <c r="N2216">
        <v>473405.62</v>
      </c>
      <c r="O2216" t="s">
        <v>53</v>
      </c>
      <c r="P2216" t="s">
        <v>54</v>
      </c>
      <c r="Q2216" t="s">
        <v>55</v>
      </c>
      <c r="T2216" t="s">
        <v>81</v>
      </c>
      <c r="U2216">
        <v>40</v>
      </c>
      <c r="V2216" s="1">
        <v>43556</v>
      </c>
      <c r="W2216" s="1">
        <v>43556</v>
      </c>
      <c r="X2216" s="1">
        <v>43556</v>
      </c>
      <c r="Y2216" s="1">
        <v>58166</v>
      </c>
      <c r="Z2216" t="s">
        <v>51</v>
      </c>
      <c r="AB2216" t="s">
        <v>54</v>
      </c>
      <c r="AC2216">
        <v>1</v>
      </c>
      <c r="AE2216" t="s">
        <v>1024</v>
      </c>
      <c r="AF2216">
        <v>20</v>
      </c>
      <c r="AG2216" s="1">
        <v>43556</v>
      </c>
      <c r="AH2216" s="1">
        <v>43556</v>
      </c>
      <c r="AI2216" s="1">
        <v>43556</v>
      </c>
      <c r="AJ2216" s="1">
        <v>50861</v>
      </c>
      <c r="AK2216" t="s">
        <v>51</v>
      </c>
      <c r="AN2216">
        <v>0</v>
      </c>
      <c r="AO2216" t="s">
        <v>54</v>
      </c>
      <c r="AP2216" t="s">
        <v>53</v>
      </c>
      <c r="AQ2216">
        <v>0</v>
      </c>
      <c r="AR2216" t="s">
        <v>145</v>
      </c>
      <c r="AS2216">
        <v>0</v>
      </c>
      <c r="AT2216">
        <v>0</v>
      </c>
      <c r="CC2216" t="s">
        <v>555</v>
      </c>
      <c r="CD2216">
        <v>85000</v>
      </c>
      <c r="CE2216" s="1">
        <v>43556</v>
      </c>
      <c r="CF2216" s="1">
        <v>43556</v>
      </c>
      <c r="CG2216" s="1">
        <v>43556</v>
      </c>
      <c r="CH2216" s="1">
        <v>51174</v>
      </c>
      <c r="CI2216" t="s">
        <v>51</v>
      </c>
      <c r="CK2216" t="s">
        <v>78</v>
      </c>
      <c r="CM2216" t="s">
        <v>54</v>
      </c>
      <c r="CN2216" t="s">
        <v>174</v>
      </c>
      <c r="CO2216" t="s">
        <v>86</v>
      </c>
      <c r="CR2216">
        <v>20</v>
      </c>
      <c r="CS2216">
        <v>0</v>
      </c>
      <c r="CT2216">
        <v>0</v>
      </c>
      <c r="CU2216">
        <v>0</v>
      </c>
      <c r="CX2216" t="s">
        <v>674</v>
      </c>
      <c r="CY2216">
        <v>0</v>
      </c>
      <c r="CZ2216" s="1">
        <v>44316</v>
      </c>
      <c r="DA2216" s="1">
        <v>44316</v>
      </c>
      <c r="DB2216" s="1">
        <v>44316</v>
      </c>
      <c r="DC2216" s="1">
        <v>44316</v>
      </c>
      <c r="DD2216" t="s">
        <v>51</v>
      </c>
      <c r="DF2216" t="s">
        <v>54</v>
      </c>
      <c r="DG2216">
        <v>0</v>
      </c>
      <c r="DH2216">
        <v>0</v>
      </c>
    </row>
    <row r="2217" spans="1:112" x14ac:dyDescent="0.2">
      <c r="A2217" t="s">
        <v>1012</v>
      </c>
      <c r="B2217" t="s">
        <v>1013</v>
      </c>
      <c r="C2217" t="s">
        <v>1019</v>
      </c>
      <c r="D2217" t="s">
        <v>426</v>
      </c>
      <c r="F2217" t="str">
        <f>"251692"</f>
        <v>251692</v>
      </c>
      <c r="G2217" t="s">
        <v>49</v>
      </c>
      <c r="H2217">
        <v>37</v>
      </c>
      <c r="K2217" t="s">
        <v>51</v>
      </c>
      <c r="L2217" t="s">
        <v>52</v>
      </c>
      <c r="M2217">
        <v>131771.32</v>
      </c>
      <c r="N2217">
        <v>473380.39</v>
      </c>
      <c r="O2217" t="s">
        <v>53</v>
      </c>
      <c r="P2217" t="s">
        <v>54</v>
      </c>
      <c r="Q2217" t="s">
        <v>55</v>
      </c>
      <c r="T2217" t="s">
        <v>81</v>
      </c>
      <c r="U2217">
        <v>40</v>
      </c>
      <c r="V2217" s="1">
        <v>43556</v>
      </c>
      <c r="W2217" s="1">
        <v>43556</v>
      </c>
      <c r="X2217" s="1">
        <v>43556</v>
      </c>
      <c r="Y2217" s="1">
        <v>58166</v>
      </c>
      <c r="Z2217" t="s">
        <v>51</v>
      </c>
      <c r="AB2217" t="s">
        <v>54</v>
      </c>
      <c r="AC2217">
        <v>1</v>
      </c>
      <c r="AE2217" t="s">
        <v>1024</v>
      </c>
      <c r="AF2217">
        <v>20</v>
      </c>
      <c r="AG2217" s="1">
        <v>43556</v>
      </c>
      <c r="AH2217" s="1">
        <v>43556</v>
      </c>
      <c r="AI2217" s="1">
        <v>43556</v>
      </c>
      <c r="AJ2217" s="1">
        <v>50861</v>
      </c>
      <c r="AK2217" t="s">
        <v>51</v>
      </c>
      <c r="AN2217">
        <v>0</v>
      </c>
      <c r="AO2217" t="s">
        <v>54</v>
      </c>
      <c r="AP2217" t="s">
        <v>53</v>
      </c>
      <c r="AQ2217">
        <v>0</v>
      </c>
      <c r="AR2217" t="s">
        <v>145</v>
      </c>
      <c r="AS2217">
        <v>0</v>
      </c>
      <c r="AT2217">
        <v>0</v>
      </c>
      <c r="CC2217" t="s">
        <v>555</v>
      </c>
      <c r="CD2217">
        <v>85000</v>
      </c>
      <c r="CE2217" s="1">
        <v>43556</v>
      </c>
      <c r="CF2217" s="1">
        <v>43556</v>
      </c>
      <c r="CG2217" s="1">
        <v>43556</v>
      </c>
      <c r="CH2217" s="1">
        <v>51174</v>
      </c>
      <c r="CI2217" t="s">
        <v>51</v>
      </c>
      <c r="CK2217" t="s">
        <v>78</v>
      </c>
      <c r="CM2217" t="s">
        <v>54</v>
      </c>
      <c r="CN2217" t="s">
        <v>174</v>
      </c>
      <c r="CO2217" t="s">
        <v>86</v>
      </c>
      <c r="CR2217">
        <v>20</v>
      </c>
      <c r="CS2217">
        <v>0</v>
      </c>
      <c r="CT2217">
        <v>0</v>
      </c>
      <c r="CU2217">
        <v>0</v>
      </c>
      <c r="CX2217" t="s">
        <v>674</v>
      </c>
      <c r="CY2217">
        <v>0</v>
      </c>
      <c r="CZ2217" s="1">
        <v>44316</v>
      </c>
      <c r="DA2217" s="1">
        <v>44316</v>
      </c>
      <c r="DB2217" s="1">
        <v>44316</v>
      </c>
      <c r="DC2217" s="1">
        <v>44316</v>
      </c>
      <c r="DD2217" t="s">
        <v>51</v>
      </c>
      <c r="DF2217" t="s">
        <v>54</v>
      </c>
      <c r="DG2217">
        <v>0</v>
      </c>
      <c r="DH2217">
        <v>0</v>
      </c>
    </row>
    <row r="2218" spans="1:112" x14ac:dyDescent="0.2">
      <c r="A2218" t="s">
        <v>1012</v>
      </c>
      <c r="B2218" t="s">
        <v>1013</v>
      </c>
      <c r="C2218" t="s">
        <v>1019</v>
      </c>
      <c r="D2218" t="s">
        <v>426</v>
      </c>
      <c r="F2218" t="str">
        <f>"251693"</f>
        <v>251693</v>
      </c>
      <c r="G2218" t="s">
        <v>49</v>
      </c>
      <c r="H2218">
        <v>41</v>
      </c>
      <c r="K2218" t="s">
        <v>51</v>
      </c>
      <c r="L2218" t="s">
        <v>52</v>
      </c>
      <c r="M2218">
        <v>131766.64000000001</v>
      </c>
      <c r="N2218">
        <v>473354.7</v>
      </c>
      <c r="O2218" t="s">
        <v>53</v>
      </c>
      <c r="P2218" t="s">
        <v>54</v>
      </c>
      <c r="Q2218" t="s">
        <v>55</v>
      </c>
      <c r="T2218" t="s">
        <v>81</v>
      </c>
      <c r="U2218">
        <v>40</v>
      </c>
      <c r="V2218" s="1">
        <v>43556</v>
      </c>
      <c r="W2218" s="1">
        <v>43556</v>
      </c>
      <c r="X2218" s="1">
        <v>43556</v>
      </c>
      <c r="Y2218" s="1">
        <v>58166</v>
      </c>
      <c r="Z2218" t="s">
        <v>51</v>
      </c>
      <c r="AB2218" t="s">
        <v>54</v>
      </c>
      <c r="AC2218">
        <v>1</v>
      </c>
      <c r="AE2218" t="s">
        <v>1024</v>
      </c>
      <c r="AF2218">
        <v>20</v>
      </c>
      <c r="AG2218" s="1">
        <v>43556</v>
      </c>
      <c r="AH2218" s="1">
        <v>43556</v>
      </c>
      <c r="AI2218" s="1">
        <v>43556</v>
      </c>
      <c r="AJ2218" s="1">
        <v>50861</v>
      </c>
      <c r="AK2218" t="s">
        <v>51</v>
      </c>
      <c r="AN2218">
        <v>0</v>
      </c>
      <c r="AO2218" t="s">
        <v>54</v>
      </c>
      <c r="AP2218" t="s">
        <v>53</v>
      </c>
      <c r="AQ2218">
        <v>0</v>
      </c>
      <c r="AR2218" t="s">
        <v>145</v>
      </c>
      <c r="AS2218">
        <v>0</v>
      </c>
      <c r="AT2218">
        <v>0</v>
      </c>
      <c r="CC2218" t="s">
        <v>555</v>
      </c>
      <c r="CD2218">
        <v>85000</v>
      </c>
      <c r="CE2218" s="1">
        <v>43556</v>
      </c>
      <c r="CF2218" s="1">
        <v>43556</v>
      </c>
      <c r="CG2218" s="1">
        <v>43556</v>
      </c>
      <c r="CH2218" s="1">
        <v>51174</v>
      </c>
      <c r="CI2218" t="s">
        <v>51</v>
      </c>
      <c r="CK2218" t="s">
        <v>78</v>
      </c>
      <c r="CM2218" t="s">
        <v>54</v>
      </c>
      <c r="CN2218" t="s">
        <v>174</v>
      </c>
      <c r="CO2218" t="s">
        <v>86</v>
      </c>
      <c r="CR2218">
        <v>20</v>
      </c>
      <c r="CS2218">
        <v>0</v>
      </c>
      <c r="CT2218">
        <v>0</v>
      </c>
      <c r="CU2218">
        <v>0</v>
      </c>
      <c r="CX2218" t="s">
        <v>674</v>
      </c>
      <c r="CY2218">
        <v>0</v>
      </c>
      <c r="CZ2218" s="1">
        <v>44316</v>
      </c>
      <c r="DA2218" s="1">
        <v>44316</v>
      </c>
      <c r="DB2218" s="1">
        <v>44316</v>
      </c>
      <c r="DC2218" s="1">
        <v>44316</v>
      </c>
      <c r="DD2218" t="s">
        <v>51</v>
      </c>
      <c r="DF2218" t="s">
        <v>54</v>
      </c>
      <c r="DG2218">
        <v>0</v>
      </c>
      <c r="DH2218">
        <v>0</v>
      </c>
    </row>
    <row r="2219" spans="1:112" x14ac:dyDescent="0.2">
      <c r="A2219" t="s">
        <v>1012</v>
      </c>
      <c r="B2219" t="s">
        <v>1013</v>
      </c>
      <c r="C2219" t="s">
        <v>1019</v>
      </c>
      <c r="D2219" t="s">
        <v>1061</v>
      </c>
      <c r="F2219" t="str">
        <f>"251694"</f>
        <v>251694</v>
      </c>
      <c r="G2219" t="s">
        <v>49</v>
      </c>
      <c r="H2219">
        <v>7</v>
      </c>
      <c r="K2219" t="s">
        <v>51</v>
      </c>
      <c r="L2219" t="s">
        <v>52</v>
      </c>
      <c r="M2219">
        <v>131649.35</v>
      </c>
      <c r="N2219">
        <v>473769.02</v>
      </c>
      <c r="O2219" t="s">
        <v>53</v>
      </c>
      <c r="P2219" t="s">
        <v>54</v>
      </c>
      <c r="Q2219" t="s">
        <v>55</v>
      </c>
      <c r="T2219" t="s">
        <v>81</v>
      </c>
      <c r="U2219">
        <v>40</v>
      </c>
      <c r="V2219" s="1">
        <v>21916</v>
      </c>
      <c r="W2219" s="1">
        <v>21916</v>
      </c>
      <c r="X2219" s="1">
        <v>21916</v>
      </c>
      <c r="Y2219" s="1">
        <v>36526</v>
      </c>
      <c r="Z2219" t="s">
        <v>51</v>
      </c>
      <c r="AB2219" t="s">
        <v>54</v>
      </c>
      <c r="AC2219">
        <v>1</v>
      </c>
      <c r="AE2219" t="s">
        <v>613</v>
      </c>
      <c r="AF2219">
        <v>20</v>
      </c>
      <c r="AG2219" s="1">
        <v>42917</v>
      </c>
      <c r="AH2219" s="1">
        <v>42917</v>
      </c>
      <c r="AI2219" s="1">
        <v>42917</v>
      </c>
      <c r="AJ2219" s="1">
        <v>50222</v>
      </c>
      <c r="AK2219" t="s">
        <v>51</v>
      </c>
      <c r="AN2219">
        <v>0</v>
      </c>
      <c r="AO2219" t="s">
        <v>54</v>
      </c>
      <c r="AP2219" t="s">
        <v>53</v>
      </c>
      <c r="AQ2219">
        <v>0</v>
      </c>
      <c r="AR2219" t="s">
        <v>53</v>
      </c>
      <c r="AS2219">
        <v>0</v>
      </c>
      <c r="AT2219">
        <v>0</v>
      </c>
      <c r="AW2219" t="s">
        <v>58</v>
      </c>
      <c r="AX2219">
        <v>20</v>
      </c>
      <c r="AY2219" s="1">
        <v>44075</v>
      </c>
      <c r="AZ2219" s="1">
        <v>44075</v>
      </c>
      <c r="BA2219" s="1">
        <v>44075</v>
      </c>
      <c r="BB2219" s="1">
        <v>51380</v>
      </c>
      <c r="BC2219" t="s">
        <v>51</v>
      </c>
      <c r="BE2219" t="s">
        <v>54</v>
      </c>
      <c r="BF2219">
        <v>2</v>
      </c>
      <c r="BG2219">
        <v>0</v>
      </c>
      <c r="BH2219" t="s">
        <v>53</v>
      </c>
      <c r="BK2219" t="s">
        <v>59</v>
      </c>
      <c r="BL2219">
        <v>14000</v>
      </c>
      <c r="BM2219" s="1">
        <v>44075</v>
      </c>
      <c r="BN2219" s="1">
        <v>44075</v>
      </c>
      <c r="BO2219" s="1">
        <v>44075</v>
      </c>
      <c r="BP2219" s="1">
        <v>45298</v>
      </c>
      <c r="BQ2219" t="s">
        <v>51</v>
      </c>
      <c r="BS2219" t="s">
        <v>78</v>
      </c>
      <c r="BT2219" t="s">
        <v>54</v>
      </c>
      <c r="BU2219" t="s">
        <v>61</v>
      </c>
      <c r="BV2219" t="s">
        <v>62</v>
      </c>
      <c r="BX2219">
        <v>24</v>
      </c>
      <c r="BY2219">
        <v>0</v>
      </c>
      <c r="BZ2219">
        <v>0</v>
      </c>
      <c r="CX2219" t="s">
        <v>674</v>
      </c>
      <c r="CY2219">
        <v>0</v>
      </c>
      <c r="CZ2219" s="1">
        <v>44075</v>
      </c>
      <c r="DA2219" s="1">
        <v>44075</v>
      </c>
      <c r="DB2219" s="1">
        <v>44075</v>
      </c>
      <c r="DC2219" s="1">
        <v>44075</v>
      </c>
      <c r="DD2219" t="s">
        <v>51</v>
      </c>
      <c r="DF2219" t="s">
        <v>54</v>
      </c>
      <c r="DG2219">
        <v>0</v>
      </c>
      <c r="DH2219">
        <v>0</v>
      </c>
    </row>
    <row r="2220" spans="1:112" x14ac:dyDescent="0.2">
      <c r="A2220" t="s">
        <v>1012</v>
      </c>
      <c r="B2220" t="s">
        <v>1013</v>
      </c>
      <c r="C2220" t="s">
        <v>1019</v>
      </c>
      <c r="D2220" t="s">
        <v>1061</v>
      </c>
      <c r="F2220" t="str">
        <f>"254192"</f>
        <v>254192</v>
      </c>
      <c r="G2220" t="s">
        <v>49</v>
      </c>
      <c r="H2220">
        <v>3</v>
      </c>
      <c r="K2220" t="s">
        <v>51</v>
      </c>
      <c r="L2220" t="s">
        <v>52</v>
      </c>
      <c r="M2220">
        <v>131673.47</v>
      </c>
      <c r="N2220">
        <v>473771.1</v>
      </c>
      <c r="O2220" t="s">
        <v>53</v>
      </c>
      <c r="P2220" t="s">
        <v>54</v>
      </c>
      <c r="Q2220" t="s">
        <v>55</v>
      </c>
      <c r="T2220" t="s">
        <v>246</v>
      </c>
      <c r="U2220">
        <v>40</v>
      </c>
      <c r="V2220" s="1">
        <v>21916</v>
      </c>
      <c r="W2220" s="1">
        <v>21916</v>
      </c>
      <c r="X2220" s="1">
        <v>21916</v>
      </c>
      <c r="Y2220" s="1">
        <v>36526</v>
      </c>
      <c r="Z2220" t="s">
        <v>51</v>
      </c>
      <c r="AB2220" t="s">
        <v>54</v>
      </c>
      <c r="AC2220">
        <v>1</v>
      </c>
      <c r="AE2220" t="s">
        <v>243</v>
      </c>
      <c r="AF2220">
        <v>20</v>
      </c>
      <c r="AG2220" s="1">
        <v>42917</v>
      </c>
      <c r="AH2220" s="1">
        <v>42917</v>
      </c>
      <c r="AI2220" s="1">
        <v>42917</v>
      </c>
      <c r="AJ2220" s="1">
        <v>50222</v>
      </c>
      <c r="AK2220" t="s">
        <v>51</v>
      </c>
      <c r="AN2220">
        <v>0</v>
      </c>
      <c r="AO2220" t="s">
        <v>54</v>
      </c>
      <c r="AP2220" t="s">
        <v>53</v>
      </c>
      <c r="AQ2220">
        <v>0</v>
      </c>
      <c r="AR2220" t="s">
        <v>53</v>
      </c>
      <c r="AS2220">
        <v>0</v>
      </c>
      <c r="AT2220">
        <v>0</v>
      </c>
      <c r="AW2220" t="s">
        <v>172</v>
      </c>
      <c r="AX2220">
        <v>15</v>
      </c>
      <c r="AY2220" s="1">
        <v>44075</v>
      </c>
      <c r="AZ2220" s="1">
        <v>44075</v>
      </c>
      <c r="BA2220" s="1">
        <v>44075</v>
      </c>
      <c r="BB2220" s="1">
        <v>49553</v>
      </c>
      <c r="BC2220" t="s">
        <v>51</v>
      </c>
      <c r="BE2220" t="s">
        <v>54</v>
      </c>
      <c r="BF2220">
        <v>40</v>
      </c>
      <c r="BG2220">
        <v>0</v>
      </c>
      <c r="BH2220" t="s">
        <v>145</v>
      </c>
      <c r="CC2220" t="s">
        <v>244</v>
      </c>
      <c r="CD2220">
        <v>100000</v>
      </c>
      <c r="CE2220" s="1">
        <v>44075</v>
      </c>
      <c r="CF2220" s="1">
        <v>44075</v>
      </c>
      <c r="CG2220" s="1">
        <v>44075</v>
      </c>
      <c r="CH2220" s="1">
        <v>52994</v>
      </c>
      <c r="CI2220" t="s">
        <v>51</v>
      </c>
      <c r="CK2220" t="s">
        <v>78</v>
      </c>
      <c r="CM2220" t="s">
        <v>54</v>
      </c>
      <c r="CN2220" t="s">
        <v>174</v>
      </c>
      <c r="CR2220">
        <v>0</v>
      </c>
      <c r="CS2220">
        <v>2150</v>
      </c>
      <c r="CT2220">
        <v>0</v>
      </c>
      <c r="CU2220">
        <v>16</v>
      </c>
      <c r="CX2220" t="s">
        <v>360</v>
      </c>
      <c r="CY2220">
        <v>40</v>
      </c>
      <c r="CZ2220" s="1">
        <v>44075</v>
      </c>
      <c r="DA2220" s="1">
        <v>44075</v>
      </c>
      <c r="DB2220" s="1">
        <v>44075</v>
      </c>
      <c r="DC2220" s="1">
        <v>58685</v>
      </c>
      <c r="DD2220" t="s">
        <v>51</v>
      </c>
      <c r="DF2220" t="s">
        <v>54</v>
      </c>
      <c r="DG2220">
        <v>0</v>
      </c>
      <c r="DH2220">
        <v>0</v>
      </c>
    </row>
    <row r="2221" spans="1:112" x14ac:dyDescent="0.2">
      <c r="A2221" t="s">
        <v>1012</v>
      </c>
      <c r="B2221" t="s">
        <v>1013</v>
      </c>
      <c r="C2221" t="s">
        <v>1019</v>
      </c>
      <c r="D2221" t="s">
        <v>1061</v>
      </c>
      <c r="F2221" t="str">
        <f>"254193"</f>
        <v>254193</v>
      </c>
      <c r="G2221" t="s">
        <v>49</v>
      </c>
      <c r="H2221">
        <v>12</v>
      </c>
      <c r="K2221" t="s">
        <v>51</v>
      </c>
      <c r="L2221" t="s">
        <v>52</v>
      </c>
      <c r="M2221">
        <v>131693.84</v>
      </c>
      <c r="N2221">
        <v>473755.59</v>
      </c>
      <c r="O2221" t="s">
        <v>53</v>
      </c>
      <c r="P2221" t="s">
        <v>54</v>
      </c>
      <c r="Q2221" t="s">
        <v>55</v>
      </c>
      <c r="T2221" t="s">
        <v>246</v>
      </c>
      <c r="U2221">
        <v>40</v>
      </c>
      <c r="V2221" s="1">
        <v>21916</v>
      </c>
      <c r="W2221" s="1">
        <v>21916</v>
      </c>
      <c r="X2221" s="1">
        <v>21916</v>
      </c>
      <c r="Y2221" s="1">
        <v>36526</v>
      </c>
      <c r="Z2221" t="s">
        <v>51</v>
      </c>
      <c r="AB2221" t="s">
        <v>54</v>
      </c>
      <c r="AC2221">
        <v>1</v>
      </c>
      <c r="AE2221" t="s">
        <v>243</v>
      </c>
      <c r="AF2221">
        <v>20</v>
      </c>
      <c r="AG2221" s="1">
        <v>42917</v>
      </c>
      <c r="AH2221" s="1">
        <v>42917</v>
      </c>
      <c r="AI2221" s="1">
        <v>42917</v>
      </c>
      <c r="AJ2221" s="1">
        <v>50222</v>
      </c>
      <c r="AK2221" t="s">
        <v>51</v>
      </c>
      <c r="AN2221">
        <v>0</v>
      </c>
      <c r="AO2221" t="s">
        <v>54</v>
      </c>
      <c r="AP2221" t="s">
        <v>53</v>
      </c>
      <c r="AQ2221">
        <v>0</v>
      </c>
      <c r="AR2221" t="s">
        <v>53</v>
      </c>
      <c r="AS2221">
        <v>0</v>
      </c>
      <c r="AT2221">
        <v>0</v>
      </c>
      <c r="AW2221" t="s">
        <v>172</v>
      </c>
      <c r="AX2221">
        <v>15</v>
      </c>
      <c r="AY2221" s="1">
        <v>44075</v>
      </c>
      <c r="AZ2221" s="1">
        <v>44075</v>
      </c>
      <c r="BA2221" s="1">
        <v>44075</v>
      </c>
      <c r="BB2221" s="1">
        <v>49553</v>
      </c>
      <c r="BC2221" t="s">
        <v>51</v>
      </c>
      <c r="BE2221" t="s">
        <v>54</v>
      </c>
      <c r="BF2221">
        <v>40</v>
      </c>
      <c r="BG2221">
        <v>0</v>
      </c>
      <c r="BH2221" t="s">
        <v>145</v>
      </c>
      <c r="CC2221" t="s">
        <v>244</v>
      </c>
      <c r="CD2221">
        <v>100000</v>
      </c>
      <c r="CE2221" s="1">
        <v>44075</v>
      </c>
      <c r="CF2221" s="1">
        <v>44075</v>
      </c>
      <c r="CG2221" s="1">
        <v>44075</v>
      </c>
      <c r="CH2221" s="1">
        <v>52994</v>
      </c>
      <c r="CI2221" t="s">
        <v>51</v>
      </c>
      <c r="CK2221" t="s">
        <v>78</v>
      </c>
      <c r="CM2221" t="s">
        <v>54</v>
      </c>
      <c r="CN2221" t="s">
        <v>174</v>
      </c>
      <c r="CR2221">
        <v>0</v>
      </c>
      <c r="CS2221">
        <v>2150</v>
      </c>
      <c r="CT2221">
        <v>0</v>
      </c>
      <c r="CU2221">
        <v>16</v>
      </c>
      <c r="CX2221" t="s">
        <v>360</v>
      </c>
      <c r="CY2221">
        <v>40</v>
      </c>
      <c r="CZ2221" s="1">
        <v>44075</v>
      </c>
      <c r="DA2221" s="1">
        <v>44075</v>
      </c>
      <c r="DB2221" s="1">
        <v>44075</v>
      </c>
      <c r="DC2221" s="1">
        <v>58685</v>
      </c>
      <c r="DD2221" t="s">
        <v>51</v>
      </c>
      <c r="DF2221" t="s">
        <v>54</v>
      </c>
      <c r="DG2221">
        <v>0</v>
      </c>
      <c r="DH2221">
        <v>0</v>
      </c>
    </row>
    <row r="2222" spans="1:112" x14ac:dyDescent="0.2">
      <c r="A2222" t="s">
        <v>1012</v>
      </c>
      <c r="B2222" t="s">
        <v>1013</v>
      </c>
      <c r="C2222" t="s">
        <v>1019</v>
      </c>
      <c r="D2222" t="s">
        <v>1061</v>
      </c>
      <c r="F2222" t="str">
        <f>"254194"</f>
        <v>254194</v>
      </c>
      <c r="G2222" t="s">
        <v>49</v>
      </c>
      <c r="H2222">
        <v>15</v>
      </c>
      <c r="K2222" t="s">
        <v>51</v>
      </c>
      <c r="L2222" t="s">
        <v>52</v>
      </c>
      <c r="M2222">
        <v>131710.54</v>
      </c>
      <c r="N2222">
        <v>473750.98</v>
      </c>
      <c r="O2222" t="s">
        <v>53</v>
      </c>
      <c r="P2222" t="s">
        <v>54</v>
      </c>
      <c r="Q2222" t="s">
        <v>55</v>
      </c>
      <c r="T2222" t="s">
        <v>246</v>
      </c>
      <c r="U2222">
        <v>40</v>
      </c>
      <c r="V2222" s="1">
        <v>21916</v>
      </c>
      <c r="W2222" s="1">
        <v>21916</v>
      </c>
      <c r="X2222" s="1">
        <v>21916</v>
      </c>
      <c r="Y2222" s="1">
        <v>36526</v>
      </c>
      <c r="Z2222" t="s">
        <v>51</v>
      </c>
      <c r="AB2222" t="s">
        <v>54</v>
      </c>
      <c r="AC2222">
        <v>1</v>
      </c>
      <c r="AE2222" t="s">
        <v>243</v>
      </c>
      <c r="AF2222">
        <v>20</v>
      </c>
      <c r="AG2222" s="1">
        <v>42917</v>
      </c>
      <c r="AH2222" s="1">
        <v>42917</v>
      </c>
      <c r="AI2222" s="1">
        <v>42917</v>
      </c>
      <c r="AJ2222" s="1">
        <v>50222</v>
      </c>
      <c r="AK2222" t="s">
        <v>51</v>
      </c>
      <c r="AN2222">
        <v>0</v>
      </c>
      <c r="AO2222" t="s">
        <v>54</v>
      </c>
      <c r="AP2222" t="s">
        <v>53</v>
      </c>
      <c r="AQ2222">
        <v>0</v>
      </c>
      <c r="AR2222" t="s">
        <v>53</v>
      </c>
      <c r="AS2222">
        <v>0</v>
      </c>
      <c r="AT2222">
        <v>0</v>
      </c>
      <c r="AW2222" t="s">
        <v>172</v>
      </c>
      <c r="AX2222">
        <v>15</v>
      </c>
      <c r="AY2222" s="1">
        <v>44075</v>
      </c>
      <c r="AZ2222" s="1">
        <v>44075</v>
      </c>
      <c r="BA2222" s="1">
        <v>44075</v>
      </c>
      <c r="BB2222" s="1">
        <v>49553</v>
      </c>
      <c r="BC2222" t="s">
        <v>51</v>
      </c>
      <c r="BE2222" t="s">
        <v>54</v>
      </c>
      <c r="BF2222">
        <v>40</v>
      </c>
      <c r="BG2222">
        <v>0</v>
      </c>
      <c r="BH2222" t="s">
        <v>145</v>
      </c>
      <c r="CC2222" t="s">
        <v>244</v>
      </c>
      <c r="CD2222">
        <v>100000</v>
      </c>
      <c r="CE2222" s="1">
        <v>44075</v>
      </c>
      <c r="CF2222" s="1">
        <v>44075</v>
      </c>
      <c r="CG2222" s="1">
        <v>44075</v>
      </c>
      <c r="CH2222" s="1">
        <v>52994</v>
      </c>
      <c r="CI2222" t="s">
        <v>51</v>
      </c>
      <c r="CK2222" t="s">
        <v>78</v>
      </c>
      <c r="CM2222" t="s">
        <v>54</v>
      </c>
      <c r="CN2222" t="s">
        <v>174</v>
      </c>
      <c r="CR2222">
        <v>0</v>
      </c>
      <c r="CS2222">
        <v>2150</v>
      </c>
      <c r="CT2222">
        <v>0</v>
      </c>
      <c r="CU2222">
        <v>16</v>
      </c>
      <c r="CX2222" t="s">
        <v>360</v>
      </c>
      <c r="CY2222">
        <v>40</v>
      </c>
      <c r="CZ2222" s="1">
        <v>44075</v>
      </c>
      <c r="DA2222" s="1">
        <v>44075</v>
      </c>
      <c r="DB2222" s="1">
        <v>44075</v>
      </c>
      <c r="DC2222" s="1">
        <v>58685</v>
      </c>
      <c r="DD2222" t="s">
        <v>51</v>
      </c>
      <c r="DF2222" t="s">
        <v>54</v>
      </c>
      <c r="DG2222">
        <v>0</v>
      </c>
      <c r="DH2222">
        <v>0</v>
      </c>
    </row>
    <row r="2223" spans="1:112" x14ac:dyDescent="0.2">
      <c r="A2223" t="s">
        <v>1012</v>
      </c>
      <c r="B2223" t="s">
        <v>1013</v>
      </c>
      <c r="C2223" t="s">
        <v>1019</v>
      </c>
      <c r="D2223" t="s">
        <v>1061</v>
      </c>
      <c r="F2223" t="str">
        <f>"254195"</f>
        <v>254195</v>
      </c>
      <c r="G2223" t="s">
        <v>49</v>
      </c>
      <c r="H2223">
        <v>18</v>
      </c>
      <c r="K2223" t="s">
        <v>51</v>
      </c>
      <c r="L2223" t="s">
        <v>52</v>
      </c>
      <c r="M2223">
        <v>131739.84</v>
      </c>
      <c r="N2223">
        <v>473750.02</v>
      </c>
      <c r="O2223" t="s">
        <v>53</v>
      </c>
      <c r="P2223" t="s">
        <v>54</v>
      </c>
      <c r="Q2223" t="s">
        <v>55</v>
      </c>
      <c r="T2223" t="s">
        <v>246</v>
      </c>
      <c r="U2223">
        <v>40</v>
      </c>
      <c r="V2223" s="1">
        <v>21916</v>
      </c>
      <c r="W2223" s="1">
        <v>21916</v>
      </c>
      <c r="X2223" s="1">
        <v>21916</v>
      </c>
      <c r="Y2223" s="1">
        <v>36526</v>
      </c>
      <c r="Z2223" t="s">
        <v>51</v>
      </c>
      <c r="AB2223" t="s">
        <v>54</v>
      </c>
      <c r="AC2223">
        <v>1</v>
      </c>
      <c r="AE2223" t="s">
        <v>243</v>
      </c>
      <c r="AF2223">
        <v>20</v>
      </c>
      <c r="AG2223" s="1">
        <v>42917</v>
      </c>
      <c r="AH2223" s="1">
        <v>42917</v>
      </c>
      <c r="AI2223" s="1">
        <v>42917</v>
      </c>
      <c r="AJ2223" s="1">
        <v>50222</v>
      </c>
      <c r="AK2223" t="s">
        <v>51</v>
      </c>
      <c r="AN2223">
        <v>0</v>
      </c>
      <c r="AO2223" t="s">
        <v>54</v>
      </c>
      <c r="AP2223" t="s">
        <v>53</v>
      </c>
      <c r="AQ2223">
        <v>0</v>
      </c>
      <c r="AR2223" t="s">
        <v>53</v>
      </c>
      <c r="AS2223">
        <v>0</v>
      </c>
      <c r="AT2223">
        <v>0</v>
      </c>
      <c r="AW2223" t="s">
        <v>172</v>
      </c>
      <c r="AX2223">
        <v>15</v>
      </c>
      <c r="AY2223" s="1">
        <v>44075</v>
      </c>
      <c r="AZ2223" s="1">
        <v>44075</v>
      </c>
      <c r="BA2223" s="1">
        <v>44075</v>
      </c>
      <c r="BB2223" s="1">
        <v>49553</v>
      </c>
      <c r="BC2223" t="s">
        <v>51</v>
      </c>
      <c r="BE2223" t="s">
        <v>54</v>
      </c>
      <c r="BF2223">
        <v>40</v>
      </c>
      <c r="BG2223">
        <v>0</v>
      </c>
      <c r="BH2223" t="s">
        <v>145</v>
      </c>
      <c r="CC2223" t="s">
        <v>244</v>
      </c>
      <c r="CD2223">
        <v>100000</v>
      </c>
      <c r="CE2223" s="1">
        <v>44075</v>
      </c>
      <c r="CF2223" s="1">
        <v>44075</v>
      </c>
      <c r="CG2223" s="1">
        <v>44075</v>
      </c>
      <c r="CH2223" s="1">
        <v>52994</v>
      </c>
      <c r="CI2223" t="s">
        <v>51</v>
      </c>
      <c r="CK2223" t="s">
        <v>78</v>
      </c>
      <c r="CM2223" t="s">
        <v>54</v>
      </c>
      <c r="CN2223" t="s">
        <v>174</v>
      </c>
      <c r="CR2223">
        <v>0</v>
      </c>
      <c r="CS2223">
        <v>2150</v>
      </c>
      <c r="CT2223">
        <v>0</v>
      </c>
      <c r="CU2223">
        <v>16</v>
      </c>
      <c r="CX2223" t="s">
        <v>360</v>
      </c>
      <c r="CY2223">
        <v>40</v>
      </c>
      <c r="CZ2223" s="1">
        <v>44075</v>
      </c>
      <c r="DA2223" s="1">
        <v>44075</v>
      </c>
      <c r="DB2223" s="1">
        <v>44075</v>
      </c>
      <c r="DC2223" s="1">
        <v>58685</v>
      </c>
      <c r="DD2223" t="s">
        <v>51</v>
      </c>
      <c r="DF2223" t="s">
        <v>54</v>
      </c>
      <c r="DG2223">
        <v>0</v>
      </c>
      <c r="DH2223">
        <v>0</v>
      </c>
    </row>
    <row r="2224" spans="1:112" x14ac:dyDescent="0.2">
      <c r="A2224" t="s">
        <v>1012</v>
      </c>
      <c r="B2224" t="s">
        <v>1013</v>
      </c>
      <c r="C2224" t="s">
        <v>1019</v>
      </c>
      <c r="D2224" t="s">
        <v>1061</v>
      </c>
      <c r="F2224" t="str">
        <f>"254196"</f>
        <v>254196</v>
      </c>
      <c r="G2224" t="s">
        <v>49</v>
      </c>
      <c r="H2224">
        <v>22</v>
      </c>
      <c r="K2224" t="s">
        <v>51</v>
      </c>
      <c r="L2224" t="s">
        <v>52</v>
      </c>
      <c r="M2224">
        <v>131762.6</v>
      </c>
      <c r="N2224">
        <v>473733.86</v>
      </c>
      <c r="O2224" t="s">
        <v>53</v>
      </c>
      <c r="P2224" t="s">
        <v>54</v>
      </c>
      <c r="Q2224" t="s">
        <v>55</v>
      </c>
      <c r="T2224" t="s">
        <v>246</v>
      </c>
      <c r="U2224">
        <v>40</v>
      </c>
      <c r="V2224" s="1">
        <v>21916</v>
      </c>
      <c r="W2224" s="1">
        <v>21916</v>
      </c>
      <c r="X2224" s="1">
        <v>21916</v>
      </c>
      <c r="Y2224" s="1">
        <v>36526</v>
      </c>
      <c r="Z2224" t="s">
        <v>51</v>
      </c>
      <c r="AB2224" t="s">
        <v>54</v>
      </c>
      <c r="AC2224">
        <v>1</v>
      </c>
      <c r="AE2224" t="s">
        <v>243</v>
      </c>
      <c r="AF2224">
        <v>20</v>
      </c>
      <c r="AG2224" s="1">
        <v>42917</v>
      </c>
      <c r="AH2224" s="1">
        <v>42917</v>
      </c>
      <c r="AI2224" s="1">
        <v>42917</v>
      </c>
      <c r="AJ2224" s="1">
        <v>50222</v>
      </c>
      <c r="AK2224" t="s">
        <v>51</v>
      </c>
      <c r="AN2224">
        <v>0</v>
      </c>
      <c r="AO2224" t="s">
        <v>54</v>
      </c>
      <c r="AP2224" t="s">
        <v>53</v>
      </c>
      <c r="AQ2224">
        <v>0</v>
      </c>
      <c r="AR2224" t="s">
        <v>53</v>
      </c>
      <c r="AS2224">
        <v>0</v>
      </c>
      <c r="AT2224">
        <v>0</v>
      </c>
      <c r="AW2224" t="s">
        <v>172</v>
      </c>
      <c r="AX2224">
        <v>15</v>
      </c>
      <c r="AY2224" s="1">
        <v>44075</v>
      </c>
      <c r="AZ2224" s="1">
        <v>44075</v>
      </c>
      <c r="BA2224" s="1">
        <v>44075</v>
      </c>
      <c r="BB2224" s="1">
        <v>49553</v>
      </c>
      <c r="BC2224" t="s">
        <v>51</v>
      </c>
      <c r="BE2224" t="s">
        <v>54</v>
      </c>
      <c r="BF2224">
        <v>40</v>
      </c>
      <c r="BG2224">
        <v>0</v>
      </c>
      <c r="BH2224" t="s">
        <v>145</v>
      </c>
      <c r="CC2224" t="s">
        <v>244</v>
      </c>
      <c r="CD2224">
        <v>100000</v>
      </c>
      <c r="CE2224" s="1">
        <v>44075</v>
      </c>
      <c r="CF2224" s="1">
        <v>44075</v>
      </c>
      <c r="CG2224" s="1">
        <v>44075</v>
      </c>
      <c r="CH2224" s="1">
        <v>52994</v>
      </c>
      <c r="CI2224" t="s">
        <v>51</v>
      </c>
      <c r="CK2224" t="s">
        <v>78</v>
      </c>
      <c r="CM2224" t="s">
        <v>54</v>
      </c>
      <c r="CN2224" t="s">
        <v>174</v>
      </c>
      <c r="CR2224">
        <v>0</v>
      </c>
      <c r="CS2224">
        <v>2150</v>
      </c>
      <c r="CT2224">
        <v>0</v>
      </c>
      <c r="CU2224">
        <v>16</v>
      </c>
      <c r="CX2224" t="s">
        <v>360</v>
      </c>
      <c r="CY2224">
        <v>40</v>
      </c>
      <c r="CZ2224" s="1">
        <v>44075</v>
      </c>
      <c r="DA2224" s="1">
        <v>44075</v>
      </c>
      <c r="DB2224" s="1">
        <v>44075</v>
      </c>
      <c r="DC2224" s="1">
        <v>58685</v>
      </c>
      <c r="DD2224" t="s">
        <v>51</v>
      </c>
      <c r="DF2224" t="s">
        <v>54</v>
      </c>
      <c r="DG2224">
        <v>0</v>
      </c>
      <c r="DH2224">
        <v>0</v>
      </c>
    </row>
    <row r="2225" spans="1:112" x14ac:dyDescent="0.2">
      <c r="A2225" t="s">
        <v>1012</v>
      </c>
      <c r="B2225" t="s">
        <v>1013</v>
      </c>
      <c r="C2225" t="s">
        <v>1019</v>
      </c>
      <c r="D2225" t="s">
        <v>1061</v>
      </c>
      <c r="F2225" t="str">
        <f>"254197"</f>
        <v>254197</v>
      </c>
      <c r="G2225" t="s">
        <v>49</v>
      </c>
      <c r="H2225">
        <v>24</v>
      </c>
      <c r="K2225" t="s">
        <v>51</v>
      </c>
      <c r="L2225" t="s">
        <v>52</v>
      </c>
      <c r="M2225">
        <v>131788.37</v>
      </c>
      <c r="N2225">
        <v>473734.24</v>
      </c>
      <c r="O2225" t="s">
        <v>53</v>
      </c>
      <c r="P2225" t="s">
        <v>54</v>
      </c>
      <c r="Q2225" t="s">
        <v>55</v>
      </c>
      <c r="T2225" t="s">
        <v>246</v>
      </c>
      <c r="U2225">
        <v>40</v>
      </c>
      <c r="V2225" s="1">
        <v>21916</v>
      </c>
      <c r="W2225" s="1">
        <v>21916</v>
      </c>
      <c r="X2225" s="1">
        <v>21916</v>
      </c>
      <c r="Y2225" s="1">
        <v>36526</v>
      </c>
      <c r="Z2225" t="s">
        <v>51</v>
      </c>
      <c r="AB2225" t="s">
        <v>54</v>
      </c>
      <c r="AC2225">
        <v>1</v>
      </c>
      <c r="AE2225" t="s">
        <v>243</v>
      </c>
      <c r="AF2225">
        <v>20</v>
      </c>
      <c r="AG2225" s="1">
        <v>42917</v>
      </c>
      <c r="AH2225" s="1">
        <v>42917</v>
      </c>
      <c r="AI2225" s="1">
        <v>42917</v>
      </c>
      <c r="AJ2225" s="1">
        <v>50222</v>
      </c>
      <c r="AK2225" t="s">
        <v>51</v>
      </c>
      <c r="AN2225">
        <v>0</v>
      </c>
      <c r="AO2225" t="s">
        <v>54</v>
      </c>
      <c r="AP2225" t="s">
        <v>53</v>
      </c>
      <c r="AQ2225">
        <v>0</v>
      </c>
      <c r="AR2225" t="s">
        <v>53</v>
      </c>
      <c r="AS2225">
        <v>0</v>
      </c>
      <c r="AT2225">
        <v>0</v>
      </c>
      <c r="AW2225" t="s">
        <v>172</v>
      </c>
      <c r="AX2225">
        <v>15</v>
      </c>
      <c r="AY2225" s="1">
        <v>44075</v>
      </c>
      <c r="AZ2225" s="1">
        <v>44075</v>
      </c>
      <c r="BA2225" s="1">
        <v>44075</v>
      </c>
      <c r="BB2225" s="1">
        <v>49553</v>
      </c>
      <c r="BC2225" t="s">
        <v>51</v>
      </c>
      <c r="BE2225" t="s">
        <v>54</v>
      </c>
      <c r="BF2225">
        <v>40</v>
      </c>
      <c r="BG2225">
        <v>0</v>
      </c>
      <c r="BH2225" t="s">
        <v>145</v>
      </c>
      <c r="CC2225" t="s">
        <v>244</v>
      </c>
      <c r="CD2225">
        <v>100000</v>
      </c>
      <c r="CE2225" s="1">
        <v>44075</v>
      </c>
      <c r="CF2225" s="1">
        <v>44075</v>
      </c>
      <c r="CG2225" s="1">
        <v>44075</v>
      </c>
      <c r="CH2225" s="1">
        <v>52994</v>
      </c>
      <c r="CI2225" t="s">
        <v>51</v>
      </c>
      <c r="CK2225" t="s">
        <v>78</v>
      </c>
      <c r="CM2225" t="s">
        <v>54</v>
      </c>
      <c r="CN2225" t="s">
        <v>174</v>
      </c>
      <c r="CR2225">
        <v>0</v>
      </c>
      <c r="CS2225">
        <v>2150</v>
      </c>
      <c r="CT2225">
        <v>0</v>
      </c>
      <c r="CU2225">
        <v>16</v>
      </c>
      <c r="CX2225" t="s">
        <v>360</v>
      </c>
      <c r="CY2225">
        <v>40</v>
      </c>
      <c r="CZ2225" s="1">
        <v>44075</v>
      </c>
      <c r="DA2225" s="1">
        <v>44075</v>
      </c>
      <c r="DB2225" s="1">
        <v>44075</v>
      </c>
      <c r="DC2225" s="1">
        <v>58685</v>
      </c>
      <c r="DD2225" t="s">
        <v>51</v>
      </c>
      <c r="DF2225" t="s">
        <v>54</v>
      </c>
      <c r="DG2225">
        <v>0</v>
      </c>
      <c r="DH2225">
        <v>0</v>
      </c>
    </row>
    <row r="2226" spans="1:112" x14ac:dyDescent="0.2">
      <c r="A2226" t="s">
        <v>1012</v>
      </c>
      <c r="B2226" t="s">
        <v>1013</v>
      </c>
      <c r="C2226" t="s">
        <v>1019</v>
      </c>
      <c r="D2226" t="s">
        <v>1062</v>
      </c>
      <c r="F2226" t="str">
        <f>"254199"</f>
        <v>254199</v>
      </c>
      <c r="G2226" t="s">
        <v>49</v>
      </c>
      <c r="H2226">
        <v>26</v>
      </c>
      <c r="K2226" t="s">
        <v>51</v>
      </c>
      <c r="L2226" t="s">
        <v>52</v>
      </c>
      <c r="M2226">
        <v>131815.44</v>
      </c>
      <c r="N2226">
        <v>473743.08</v>
      </c>
      <c r="O2226" t="s">
        <v>53</v>
      </c>
      <c r="P2226" t="s">
        <v>54</v>
      </c>
      <c r="Q2226" t="s">
        <v>55</v>
      </c>
      <c r="T2226" t="s">
        <v>246</v>
      </c>
      <c r="U2226">
        <v>40</v>
      </c>
      <c r="V2226" s="1">
        <v>21916</v>
      </c>
      <c r="W2226" s="1">
        <v>21916</v>
      </c>
      <c r="X2226" s="1">
        <v>21916</v>
      </c>
      <c r="Y2226" s="1">
        <v>36526</v>
      </c>
      <c r="Z2226" t="s">
        <v>51</v>
      </c>
      <c r="AB2226" t="s">
        <v>54</v>
      </c>
      <c r="AC2226">
        <v>1</v>
      </c>
      <c r="AE2226" t="s">
        <v>243</v>
      </c>
      <c r="AF2226">
        <v>20</v>
      </c>
      <c r="AG2226" s="1">
        <v>42917</v>
      </c>
      <c r="AH2226" s="1">
        <v>42917</v>
      </c>
      <c r="AI2226" s="1">
        <v>42917</v>
      </c>
      <c r="AJ2226" s="1">
        <v>50222</v>
      </c>
      <c r="AK2226" t="s">
        <v>51</v>
      </c>
      <c r="AN2226">
        <v>0</v>
      </c>
      <c r="AO2226" t="s">
        <v>54</v>
      </c>
      <c r="AP2226" t="s">
        <v>53</v>
      </c>
      <c r="AQ2226">
        <v>0</v>
      </c>
      <c r="AR2226" t="s">
        <v>53</v>
      </c>
      <c r="AS2226">
        <v>0</v>
      </c>
      <c r="AT2226">
        <v>0</v>
      </c>
      <c r="AW2226" t="s">
        <v>172</v>
      </c>
      <c r="AX2226">
        <v>15</v>
      </c>
      <c r="AY2226" s="1">
        <v>44316</v>
      </c>
      <c r="AZ2226" s="1">
        <v>44316</v>
      </c>
      <c r="BA2226" s="1">
        <v>44316</v>
      </c>
      <c r="BB2226" s="1">
        <v>49795</v>
      </c>
      <c r="BC2226" t="s">
        <v>51</v>
      </c>
      <c r="BE2226" t="s">
        <v>54</v>
      </c>
      <c r="BF2226">
        <v>40</v>
      </c>
      <c r="BG2226">
        <v>0</v>
      </c>
      <c r="BH2226" t="s">
        <v>145</v>
      </c>
      <c r="CC2226" t="s">
        <v>244</v>
      </c>
      <c r="CD2226">
        <v>100000</v>
      </c>
      <c r="CE2226" s="1">
        <v>44316</v>
      </c>
      <c r="CF2226" s="1">
        <v>44316</v>
      </c>
      <c r="CG2226" s="1">
        <v>44316</v>
      </c>
      <c r="CH2226" s="1">
        <v>52799</v>
      </c>
      <c r="CI2226" t="s">
        <v>51</v>
      </c>
      <c r="CK2226" t="s">
        <v>78</v>
      </c>
      <c r="CM2226" t="s">
        <v>54</v>
      </c>
      <c r="CN2226" t="s">
        <v>174</v>
      </c>
      <c r="CR2226">
        <v>0</v>
      </c>
      <c r="CS2226">
        <v>2150</v>
      </c>
      <c r="CT2226">
        <v>0</v>
      </c>
      <c r="CU2226">
        <v>16</v>
      </c>
      <c r="CX2226" t="s">
        <v>360</v>
      </c>
      <c r="CY2226">
        <v>40</v>
      </c>
      <c r="CZ2226" s="1">
        <v>44316</v>
      </c>
      <c r="DA2226" s="1">
        <v>44316</v>
      </c>
      <c r="DB2226" s="1">
        <v>44316</v>
      </c>
      <c r="DC2226" s="1">
        <v>58926</v>
      </c>
      <c r="DD2226" t="s">
        <v>51</v>
      </c>
      <c r="DF2226" t="s">
        <v>54</v>
      </c>
      <c r="DG2226">
        <v>0</v>
      </c>
      <c r="DH2226">
        <v>0</v>
      </c>
    </row>
    <row r="2227" spans="1:112" x14ac:dyDescent="0.2">
      <c r="A2227" t="s">
        <v>1012</v>
      </c>
      <c r="B2227" t="s">
        <v>1013</v>
      </c>
      <c r="C2227" t="s">
        <v>1019</v>
      </c>
      <c r="D2227" t="s">
        <v>1062</v>
      </c>
      <c r="F2227" t="str">
        <f>"254200"</f>
        <v>254200</v>
      </c>
      <c r="G2227" t="s">
        <v>49</v>
      </c>
      <c r="H2227">
        <v>20</v>
      </c>
      <c r="K2227" t="s">
        <v>51</v>
      </c>
      <c r="L2227" t="s">
        <v>52</v>
      </c>
      <c r="M2227">
        <v>131822.04999999999</v>
      </c>
      <c r="N2227">
        <v>473767.22</v>
      </c>
      <c r="O2227" t="s">
        <v>53</v>
      </c>
      <c r="P2227" t="s">
        <v>54</v>
      </c>
      <c r="Q2227" t="s">
        <v>55</v>
      </c>
      <c r="T2227" t="s">
        <v>246</v>
      </c>
      <c r="U2227">
        <v>40</v>
      </c>
      <c r="V2227" s="1">
        <v>21916</v>
      </c>
      <c r="W2227" s="1">
        <v>21916</v>
      </c>
      <c r="X2227" s="1">
        <v>21916</v>
      </c>
      <c r="Y2227" s="1">
        <v>36526</v>
      </c>
      <c r="Z2227" t="s">
        <v>51</v>
      </c>
      <c r="AB2227" t="s">
        <v>54</v>
      </c>
      <c r="AC2227">
        <v>1</v>
      </c>
      <c r="AE2227" t="s">
        <v>243</v>
      </c>
      <c r="AF2227">
        <v>20</v>
      </c>
      <c r="AG2227" s="1">
        <v>42917</v>
      </c>
      <c r="AH2227" s="1">
        <v>42917</v>
      </c>
      <c r="AI2227" s="1">
        <v>42917</v>
      </c>
      <c r="AJ2227" s="1">
        <v>50222</v>
      </c>
      <c r="AK2227" t="s">
        <v>51</v>
      </c>
      <c r="AN2227">
        <v>0</v>
      </c>
      <c r="AO2227" t="s">
        <v>54</v>
      </c>
      <c r="AP2227" t="s">
        <v>53</v>
      </c>
      <c r="AQ2227">
        <v>0</v>
      </c>
      <c r="AR2227" t="s">
        <v>53</v>
      </c>
      <c r="AS2227">
        <v>0</v>
      </c>
      <c r="AT2227">
        <v>0</v>
      </c>
      <c r="AW2227" t="s">
        <v>172</v>
      </c>
      <c r="AX2227">
        <v>15</v>
      </c>
      <c r="AY2227" s="1">
        <v>44316</v>
      </c>
      <c r="AZ2227" s="1">
        <v>44316</v>
      </c>
      <c r="BA2227" s="1">
        <v>44316</v>
      </c>
      <c r="BB2227" s="1">
        <v>49795</v>
      </c>
      <c r="BC2227" t="s">
        <v>51</v>
      </c>
      <c r="BE2227" t="s">
        <v>54</v>
      </c>
      <c r="BF2227">
        <v>40</v>
      </c>
      <c r="BG2227">
        <v>0</v>
      </c>
      <c r="BH2227" t="s">
        <v>145</v>
      </c>
      <c r="CC2227" t="s">
        <v>244</v>
      </c>
      <c r="CD2227">
        <v>100000</v>
      </c>
      <c r="CE2227" s="1">
        <v>44316</v>
      </c>
      <c r="CF2227" s="1">
        <v>44316</v>
      </c>
      <c r="CG2227" s="1">
        <v>44316</v>
      </c>
      <c r="CH2227" s="1">
        <v>52799</v>
      </c>
      <c r="CI2227" t="s">
        <v>51</v>
      </c>
      <c r="CK2227" t="s">
        <v>78</v>
      </c>
      <c r="CM2227" t="s">
        <v>54</v>
      </c>
      <c r="CN2227" t="s">
        <v>174</v>
      </c>
      <c r="CR2227">
        <v>0</v>
      </c>
      <c r="CS2227">
        <v>2150</v>
      </c>
      <c r="CT2227">
        <v>0</v>
      </c>
      <c r="CU2227">
        <v>16</v>
      </c>
      <c r="CX2227" t="s">
        <v>360</v>
      </c>
      <c r="CY2227">
        <v>40</v>
      </c>
      <c r="CZ2227" s="1">
        <v>44316</v>
      </c>
      <c r="DA2227" s="1">
        <v>44316</v>
      </c>
      <c r="DB2227" s="1">
        <v>44316</v>
      </c>
      <c r="DC2227" s="1">
        <v>58926</v>
      </c>
      <c r="DD2227" t="s">
        <v>51</v>
      </c>
      <c r="DF2227" t="s">
        <v>54</v>
      </c>
      <c r="DG2227">
        <v>0</v>
      </c>
      <c r="DH2227">
        <v>0</v>
      </c>
    </row>
    <row r="2228" spans="1:112" x14ac:dyDescent="0.2">
      <c r="A2228" t="s">
        <v>1012</v>
      </c>
      <c r="B2228" t="s">
        <v>1013</v>
      </c>
      <c r="C2228" t="s">
        <v>1019</v>
      </c>
      <c r="D2228" t="s">
        <v>1062</v>
      </c>
      <c r="F2228" t="str">
        <f>"254203"</f>
        <v>254203</v>
      </c>
      <c r="G2228" t="s">
        <v>49</v>
      </c>
      <c r="H2228">
        <v>4</v>
      </c>
      <c r="K2228" t="s">
        <v>51</v>
      </c>
      <c r="L2228" t="s">
        <v>52</v>
      </c>
      <c r="M2228">
        <v>131833.73000000001</v>
      </c>
      <c r="N2228">
        <v>473812.25</v>
      </c>
      <c r="O2228" t="s">
        <v>53</v>
      </c>
      <c r="P2228" t="s">
        <v>54</v>
      </c>
      <c r="Q2228" t="s">
        <v>55</v>
      </c>
      <c r="T2228" t="s">
        <v>246</v>
      </c>
      <c r="U2228">
        <v>40</v>
      </c>
      <c r="V2228" s="1">
        <v>21916</v>
      </c>
      <c r="W2228" s="1">
        <v>21916</v>
      </c>
      <c r="X2228" s="1">
        <v>21916</v>
      </c>
      <c r="Y2228" s="1">
        <v>36526</v>
      </c>
      <c r="Z2228" t="s">
        <v>51</v>
      </c>
      <c r="AB2228" t="s">
        <v>54</v>
      </c>
      <c r="AC2228">
        <v>1</v>
      </c>
      <c r="AE2228" t="s">
        <v>243</v>
      </c>
      <c r="AF2228">
        <v>20</v>
      </c>
      <c r="AG2228" s="1">
        <v>42917</v>
      </c>
      <c r="AH2228" s="1">
        <v>42917</v>
      </c>
      <c r="AI2228" s="1">
        <v>42917</v>
      </c>
      <c r="AJ2228" s="1">
        <v>50222</v>
      </c>
      <c r="AK2228" t="s">
        <v>51</v>
      </c>
      <c r="AN2228">
        <v>0</v>
      </c>
      <c r="AO2228" t="s">
        <v>54</v>
      </c>
      <c r="AP2228" t="s">
        <v>53</v>
      </c>
      <c r="AQ2228">
        <v>0</v>
      </c>
      <c r="AR2228" t="s">
        <v>53</v>
      </c>
      <c r="AS2228">
        <v>0</v>
      </c>
      <c r="AT2228">
        <v>0</v>
      </c>
      <c r="CC2228" t="s">
        <v>244</v>
      </c>
      <c r="CD2228">
        <v>100000</v>
      </c>
      <c r="CE2228" s="1">
        <v>43139</v>
      </c>
      <c r="CF2228" s="1">
        <v>43139</v>
      </c>
      <c r="CG2228" s="1">
        <v>43139</v>
      </c>
      <c r="CH2228" s="1">
        <v>51586</v>
      </c>
      <c r="CI2228" t="s">
        <v>51</v>
      </c>
      <c r="CK2228" t="s">
        <v>78</v>
      </c>
      <c r="CM2228" t="s">
        <v>54</v>
      </c>
      <c r="CN2228" t="s">
        <v>174</v>
      </c>
      <c r="CR2228">
        <v>0</v>
      </c>
      <c r="CS2228">
        <v>2150</v>
      </c>
      <c r="CT2228">
        <v>0</v>
      </c>
      <c r="CU2228">
        <v>16</v>
      </c>
      <c r="CX2228" t="s">
        <v>360</v>
      </c>
      <c r="CY2228">
        <v>40</v>
      </c>
      <c r="CZ2228" s="1">
        <v>44316</v>
      </c>
      <c r="DA2228" s="1">
        <v>44316</v>
      </c>
      <c r="DB2228" s="1">
        <v>44316</v>
      </c>
      <c r="DC2228" s="1">
        <v>58926</v>
      </c>
      <c r="DD2228" t="s">
        <v>51</v>
      </c>
      <c r="DF2228" t="s">
        <v>54</v>
      </c>
      <c r="DG2228">
        <v>0</v>
      </c>
      <c r="DH2228">
        <v>0</v>
      </c>
    </row>
    <row r="2229" spans="1:112" x14ac:dyDescent="0.2">
      <c r="A2229" t="s">
        <v>1012</v>
      </c>
      <c r="B2229" t="s">
        <v>1013</v>
      </c>
      <c r="C2229" t="s">
        <v>1019</v>
      </c>
      <c r="D2229" t="s">
        <v>1062</v>
      </c>
      <c r="F2229" t="str">
        <f>"251707"</f>
        <v>251707</v>
      </c>
      <c r="G2229" t="s">
        <v>49</v>
      </c>
      <c r="K2229" t="s">
        <v>51</v>
      </c>
      <c r="L2229" t="s">
        <v>52</v>
      </c>
      <c r="M2229">
        <v>131846.82999999999</v>
      </c>
      <c r="N2229">
        <v>473858.38</v>
      </c>
      <c r="O2229" t="s">
        <v>53</v>
      </c>
      <c r="P2229" t="s">
        <v>54</v>
      </c>
      <c r="Q2229" t="s">
        <v>55</v>
      </c>
      <c r="T2229" t="s">
        <v>100</v>
      </c>
      <c r="U2229">
        <v>40</v>
      </c>
      <c r="V2229" s="1">
        <v>28126</v>
      </c>
      <c r="W2229" s="1">
        <v>28126</v>
      </c>
      <c r="X2229" s="1">
        <v>28126</v>
      </c>
      <c r="Y2229" s="1">
        <v>42736</v>
      </c>
      <c r="Z2229" t="s">
        <v>51</v>
      </c>
      <c r="AB2229" t="s">
        <v>54</v>
      </c>
      <c r="AC2229">
        <v>1</v>
      </c>
      <c r="AE2229" t="s">
        <v>222</v>
      </c>
      <c r="AF2229">
        <v>20</v>
      </c>
      <c r="AG2229" s="1">
        <v>42917</v>
      </c>
      <c r="AH2229" s="1">
        <v>42917</v>
      </c>
      <c r="AI2229" s="1">
        <v>42917</v>
      </c>
      <c r="AJ2229" s="1">
        <v>50222</v>
      </c>
      <c r="AK2229" t="s">
        <v>51</v>
      </c>
      <c r="AN2229">
        <v>0</v>
      </c>
      <c r="AO2229" t="s">
        <v>54</v>
      </c>
      <c r="AP2229" t="s">
        <v>53</v>
      </c>
      <c r="AQ2229">
        <v>0</v>
      </c>
      <c r="AR2229" t="s">
        <v>53</v>
      </c>
      <c r="AS2229">
        <v>0</v>
      </c>
      <c r="AT2229">
        <v>0</v>
      </c>
      <c r="AW2229" t="s">
        <v>161</v>
      </c>
      <c r="AX2229">
        <v>50</v>
      </c>
      <c r="AY2229" s="1">
        <v>44075</v>
      </c>
      <c r="AZ2229" s="1">
        <v>44075</v>
      </c>
      <c r="BA2229" s="1">
        <v>44075</v>
      </c>
      <c r="BB2229" s="1">
        <v>62337</v>
      </c>
      <c r="BC2229" t="s">
        <v>51</v>
      </c>
      <c r="BE2229" t="s">
        <v>54</v>
      </c>
      <c r="BF2229">
        <v>0</v>
      </c>
      <c r="BG2229">
        <v>0</v>
      </c>
      <c r="BH2229" t="s">
        <v>53</v>
      </c>
      <c r="BK2229" t="s">
        <v>59</v>
      </c>
      <c r="BL2229">
        <v>14000</v>
      </c>
      <c r="BM2229" s="1">
        <v>44075</v>
      </c>
      <c r="BN2229" s="1">
        <v>44075</v>
      </c>
      <c r="BO2229" s="1">
        <v>44075</v>
      </c>
      <c r="BP2229" s="1">
        <v>45298</v>
      </c>
      <c r="BQ2229" t="s">
        <v>51</v>
      </c>
      <c r="BS2229" t="s">
        <v>78</v>
      </c>
      <c r="BT2229" t="s">
        <v>54</v>
      </c>
      <c r="BU2229" t="s">
        <v>61</v>
      </c>
      <c r="BV2229" t="s">
        <v>62</v>
      </c>
      <c r="BX2229">
        <v>24</v>
      </c>
      <c r="BY2229">
        <v>0</v>
      </c>
      <c r="BZ2229">
        <v>0</v>
      </c>
      <c r="CX2229" t="s">
        <v>674</v>
      </c>
      <c r="CY2229">
        <v>0</v>
      </c>
      <c r="CZ2229" s="1">
        <v>44075</v>
      </c>
      <c r="DA2229" s="1">
        <v>44075</v>
      </c>
      <c r="DB2229" s="1">
        <v>44075</v>
      </c>
      <c r="DC2229" s="1">
        <v>44075</v>
      </c>
      <c r="DD2229" t="s">
        <v>51</v>
      </c>
      <c r="DF2229" t="s">
        <v>54</v>
      </c>
      <c r="DG2229">
        <v>0</v>
      </c>
      <c r="DH2229">
        <v>0</v>
      </c>
    </row>
    <row r="2230" spans="1:112" x14ac:dyDescent="0.2">
      <c r="A2230" t="s">
        <v>1012</v>
      </c>
      <c r="B2230" t="s">
        <v>1013</v>
      </c>
      <c r="C2230" t="s">
        <v>1019</v>
      </c>
      <c r="D2230" t="s">
        <v>1063</v>
      </c>
      <c r="F2230" t="str">
        <f>"254204"</f>
        <v>254204</v>
      </c>
      <c r="G2230" t="s">
        <v>49</v>
      </c>
      <c r="H2230">
        <v>12</v>
      </c>
      <c r="K2230" t="s">
        <v>51</v>
      </c>
      <c r="L2230" t="s">
        <v>52</v>
      </c>
      <c r="M2230">
        <v>131812.79</v>
      </c>
      <c r="N2230">
        <v>473835.13</v>
      </c>
      <c r="O2230" t="s">
        <v>53</v>
      </c>
      <c r="P2230" t="s">
        <v>54</v>
      </c>
      <c r="Q2230" t="s">
        <v>55</v>
      </c>
      <c r="T2230" t="s">
        <v>246</v>
      </c>
      <c r="U2230">
        <v>40</v>
      </c>
      <c r="V2230" s="1">
        <v>35538</v>
      </c>
      <c r="W2230" s="1">
        <v>35538</v>
      </c>
      <c r="X2230" s="1">
        <v>35538</v>
      </c>
      <c r="Y2230" s="1">
        <v>50148</v>
      </c>
      <c r="Z2230" t="s">
        <v>51</v>
      </c>
      <c r="AB2230" t="s">
        <v>54</v>
      </c>
      <c r="AC2230">
        <v>1</v>
      </c>
      <c r="AE2230" t="s">
        <v>243</v>
      </c>
      <c r="AF2230">
        <v>20</v>
      </c>
      <c r="AG2230" s="1">
        <v>42917</v>
      </c>
      <c r="AH2230" s="1">
        <v>42917</v>
      </c>
      <c r="AI2230" s="1">
        <v>42917</v>
      </c>
      <c r="AJ2230" s="1">
        <v>50222</v>
      </c>
      <c r="AK2230" t="s">
        <v>51</v>
      </c>
      <c r="AN2230">
        <v>0</v>
      </c>
      <c r="AO2230" t="s">
        <v>54</v>
      </c>
      <c r="AP2230" t="s">
        <v>53</v>
      </c>
      <c r="AQ2230">
        <v>0</v>
      </c>
      <c r="AR2230" t="s">
        <v>53</v>
      </c>
      <c r="AS2230">
        <v>0</v>
      </c>
      <c r="AT2230">
        <v>0</v>
      </c>
      <c r="CC2230" t="s">
        <v>244</v>
      </c>
      <c r="CD2230">
        <v>100000</v>
      </c>
      <c r="CE2230" s="1">
        <v>43118</v>
      </c>
      <c r="CF2230" s="1">
        <v>43118</v>
      </c>
      <c r="CG2230" s="1">
        <v>43118</v>
      </c>
      <c r="CH2230" s="1">
        <v>51561</v>
      </c>
      <c r="CI2230" t="s">
        <v>51</v>
      </c>
      <c r="CK2230" t="s">
        <v>78</v>
      </c>
      <c r="CM2230" t="s">
        <v>54</v>
      </c>
      <c r="CN2230" t="s">
        <v>174</v>
      </c>
      <c r="CR2230">
        <v>0</v>
      </c>
      <c r="CS2230">
        <v>2150</v>
      </c>
      <c r="CT2230">
        <v>0</v>
      </c>
      <c r="CU2230">
        <v>16</v>
      </c>
      <c r="CX2230" t="s">
        <v>360</v>
      </c>
      <c r="CY2230">
        <v>40</v>
      </c>
      <c r="CZ2230" s="1">
        <v>43040</v>
      </c>
      <c r="DA2230" s="1">
        <v>43040</v>
      </c>
      <c r="DB2230" s="1">
        <v>43040</v>
      </c>
      <c r="DC2230" s="1">
        <v>57650</v>
      </c>
      <c r="DD2230" t="s">
        <v>51</v>
      </c>
      <c r="DF2230" t="s">
        <v>54</v>
      </c>
      <c r="DG2230">
        <v>0</v>
      </c>
      <c r="DH2230">
        <v>0</v>
      </c>
    </row>
    <row r="2231" spans="1:112" x14ac:dyDescent="0.2">
      <c r="A2231" t="s">
        <v>1012</v>
      </c>
      <c r="B2231" t="s">
        <v>1013</v>
      </c>
      <c r="C2231" t="s">
        <v>1019</v>
      </c>
      <c r="D2231" t="s">
        <v>1063</v>
      </c>
      <c r="F2231" t="str">
        <f>"254235"</f>
        <v>254235</v>
      </c>
      <c r="G2231" t="s">
        <v>49</v>
      </c>
      <c r="H2231">
        <v>8</v>
      </c>
      <c r="K2231" t="s">
        <v>51</v>
      </c>
      <c r="L2231" t="s">
        <v>52</v>
      </c>
      <c r="M2231">
        <v>131791.20000000001</v>
      </c>
      <c r="N2231">
        <v>473848.26</v>
      </c>
      <c r="O2231" t="s">
        <v>53</v>
      </c>
      <c r="P2231" t="s">
        <v>54</v>
      </c>
      <c r="Q2231" t="s">
        <v>55</v>
      </c>
      <c r="T2231" t="s">
        <v>246</v>
      </c>
      <c r="U2231">
        <v>40</v>
      </c>
      <c r="V2231" s="1">
        <v>35384</v>
      </c>
      <c r="W2231" s="1">
        <v>35384</v>
      </c>
      <c r="X2231" s="1">
        <v>35384</v>
      </c>
      <c r="Y2231" s="1">
        <v>49994</v>
      </c>
      <c r="Z2231" t="s">
        <v>51</v>
      </c>
      <c r="AB2231" t="s">
        <v>54</v>
      </c>
      <c r="AC2231">
        <v>1</v>
      </c>
      <c r="AE2231" t="s">
        <v>243</v>
      </c>
      <c r="AF2231">
        <v>20</v>
      </c>
      <c r="AG2231" s="1">
        <v>42917</v>
      </c>
      <c r="AH2231" s="1">
        <v>42917</v>
      </c>
      <c r="AI2231" s="1">
        <v>42917</v>
      </c>
      <c r="AJ2231" s="1">
        <v>50222</v>
      </c>
      <c r="AK2231" t="s">
        <v>51</v>
      </c>
      <c r="AN2231">
        <v>0</v>
      </c>
      <c r="AO2231" t="s">
        <v>54</v>
      </c>
      <c r="AP2231" t="s">
        <v>53</v>
      </c>
      <c r="AQ2231">
        <v>0</v>
      </c>
      <c r="AR2231" t="s">
        <v>53</v>
      </c>
      <c r="AS2231">
        <v>0</v>
      </c>
      <c r="AT2231">
        <v>0</v>
      </c>
      <c r="CC2231" t="s">
        <v>244</v>
      </c>
      <c r="CD2231">
        <v>100000</v>
      </c>
      <c r="CE2231" s="1">
        <v>43374</v>
      </c>
      <c r="CF2231" s="1">
        <v>43374</v>
      </c>
      <c r="CG2231" s="1">
        <v>43374</v>
      </c>
      <c r="CH2231" s="1">
        <v>51817</v>
      </c>
      <c r="CI2231" t="s">
        <v>51</v>
      </c>
      <c r="CK2231" t="s">
        <v>78</v>
      </c>
      <c r="CM2231" t="s">
        <v>54</v>
      </c>
      <c r="CN2231" t="s">
        <v>174</v>
      </c>
      <c r="CR2231">
        <v>0</v>
      </c>
      <c r="CS2231">
        <v>2150</v>
      </c>
      <c r="CT2231">
        <v>0</v>
      </c>
      <c r="CU2231">
        <v>16</v>
      </c>
      <c r="CX2231" t="s">
        <v>360</v>
      </c>
      <c r="CY2231">
        <v>40</v>
      </c>
      <c r="CZ2231" s="1">
        <v>43040</v>
      </c>
      <c r="DA2231" s="1">
        <v>43040</v>
      </c>
      <c r="DB2231" s="1">
        <v>43040</v>
      </c>
      <c r="DC2231" s="1">
        <v>57650</v>
      </c>
      <c r="DD2231" t="s">
        <v>51</v>
      </c>
      <c r="DF2231" t="s">
        <v>54</v>
      </c>
      <c r="DG2231">
        <v>0</v>
      </c>
      <c r="DH2231">
        <v>0</v>
      </c>
    </row>
    <row r="2232" spans="1:112" x14ac:dyDescent="0.2">
      <c r="A2232" t="s">
        <v>1012</v>
      </c>
      <c r="B2232" t="s">
        <v>1013</v>
      </c>
      <c r="C2232" t="s">
        <v>1019</v>
      </c>
      <c r="D2232" t="s">
        <v>1063</v>
      </c>
      <c r="F2232" t="str">
        <f>"254216"</f>
        <v>254216</v>
      </c>
      <c r="G2232" t="s">
        <v>49</v>
      </c>
      <c r="K2232" t="s">
        <v>51</v>
      </c>
      <c r="L2232" t="s">
        <v>52</v>
      </c>
      <c r="M2232">
        <v>131765.74799999999</v>
      </c>
      <c r="N2232">
        <v>473848.967</v>
      </c>
      <c r="O2232" t="s">
        <v>53</v>
      </c>
      <c r="P2232" t="s">
        <v>54</v>
      </c>
      <c r="Q2232" t="s">
        <v>55</v>
      </c>
      <c r="T2232" t="s">
        <v>246</v>
      </c>
      <c r="U2232">
        <v>40</v>
      </c>
      <c r="V2232" s="1">
        <v>35384</v>
      </c>
      <c r="W2232" s="1">
        <v>35384</v>
      </c>
      <c r="X2232" s="1">
        <v>35384</v>
      </c>
      <c r="Y2232" s="1">
        <v>49994</v>
      </c>
      <c r="Z2232" t="s">
        <v>51</v>
      </c>
      <c r="AB2232" t="s">
        <v>54</v>
      </c>
      <c r="AC2232">
        <v>1</v>
      </c>
      <c r="AE2232" t="s">
        <v>243</v>
      </c>
      <c r="AF2232">
        <v>20</v>
      </c>
      <c r="AG2232" s="1">
        <v>42917</v>
      </c>
      <c r="AH2232" s="1">
        <v>42917</v>
      </c>
      <c r="AI2232" s="1">
        <v>42917</v>
      </c>
      <c r="AJ2232" s="1">
        <v>50222</v>
      </c>
      <c r="AK2232" t="s">
        <v>51</v>
      </c>
      <c r="AN2232">
        <v>0</v>
      </c>
      <c r="AO2232" t="s">
        <v>54</v>
      </c>
      <c r="AP2232" t="s">
        <v>53</v>
      </c>
      <c r="AQ2232">
        <v>0</v>
      </c>
      <c r="AR2232" t="s">
        <v>53</v>
      </c>
      <c r="AS2232">
        <v>0</v>
      </c>
      <c r="AT2232">
        <v>0</v>
      </c>
      <c r="CC2232" t="s">
        <v>812</v>
      </c>
      <c r="CD2232">
        <v>100000</v>
      </c>
      <c r="CE2232" s="1">
        <v>43118</v>
      </c>
      <c r="CF2232" s="1">
        <v>43118</v>
      </c>
      <c r="CG2232" s="1">
        <v>43118</v>
      </c>
      <c r="CH2232" s="1">
        <v>51561</v>
      </c>
      <c r="CI2232" t="s">
        <v>51</v>
      </c>
      <c r="CK2232" t="s">
        <v>78</v>
      </c>
      <c r="CM2232" t="s">
        <v>54</v>
      </c>
      <c r="CN2232" t="s">
        <v>174</v>
      </c>
      <c r="CO2232" t="s">
        <v>86</v>
      </c>
      <c r="CP2232">
        <v>830</v>
      </c>
      <c r="CR2232">
        <v>18</v>
      </c>
      <c r="CS2232">
        <v>2700</v>
      </c>
      <c r="CT2232">
        <v>0</v>
      </c>
      <c r="CU2232">
        <v>16</v>
      </c>
      <c r="CX2232" t="s">
        <v>360</v>
      </c>
      <c r="CY2232">
        <v>40</v>
      </c>
      <c r="CZ2232" s="1">
        <v>43040</v>
      </c>
      <c r="DA2232" s="1">
        <v>43040</v>
      </c>
      <c r="DB2232" s="1">
        <v>43040</v>
      </c>
      <c r="DC2232" s="1">
        <v>57650</v>
      </c>
      <c r="DD2232" t="s">
        <v>51</v>
      </c>
      <c r="DF2232" t="s">
        <v>54</v>
      </c>
      <c r="DG2232">
        <v>0</v>
      </c>
      <c r="DH2232">
        <v>0</v>
      </c>
    </row>
    <row r="2233" spans="1:112" x14ac:dyDescent="0.2">
      <c r="A2233" t="s">
        <v>1012</v>
      </c>
      <c r="B2233" t="s">
        <v>1013</v>
      </c>
      <c r="C2233" t="s">
        <v>1019</v>
      </c>
      <c r="D2233" t="s">
        <v>1064</v>
      </c>
      <c r="F2233" t="str">
        <f>"254218"</f>
        <v>254218</v>
      </c>
      <c r="G2233" t="s">
        <v>49</v>
      </c>
      <c r="K2233" t="s">
        <v>51</v>
      </c>
      <c r="L2233" t="s">
        <v>52</v>
      </c>
      <c r="M2233">
        <v>131741.32199999999</v>
      </c>
      <c r="N2233">
        <v>473900.46</v>
      </c>
      <c r="O2233" t="s">
        <v>53</v>
      </c>
      <c r="P2233" t="s">
        <v>54</v>
      </c>
      <c r="Q2233" t="s">
        <v>55</v>
      </c>
      <c r="T2233" t="s">
        <v>246</v>
      </c>
      <c r="U2233">
        <v>40</v>
      </c>
      <c r="V2233" s="1">
        <v>23743</v>
      </c>
      <c r="W2233" s="1">
        <v>23743</v>
      </c>
      <c r="X2233" s="1">
        <v>23743</v>
      </c>
      <c r="Y2233" s="1">
        <v>38353</v>
      </c>
      <c r="Z2233" t="s">
        <v>51</v>
      </c>
      <c r="AB2233" t="s">
        <v>54</v>
      </c>
      <c r="AC2233">
        <v>1</v>
      </c>
      <c r="AE2233" t="s">
        <v>243</v>
      </c>
      <c r="AF2233">
        <v>20</v>
      </c>
      <c r="AG2233" s="1">
        <v>42917</v>
      </c>
      <c r="AH2233" s="1">
        <v>42917</v>
      </c>
      <c r="AI2233" s="1">
        <v>42917</v>
      </c>
      <c r="AJ2233" s="1">
        <v>50222</v>
      </c>
      <c r="AK2233" t="s">
        <v>51</v>
      </c>
      <c r="AN2233">
        <v>0</v>
      </c>
      <c r="AO2233" t="s">
        <v>54</v>
      </c>
      <c r="AP2233" t="s">
        <v>53</v>
      </c>
      <c r="AQ2233">
        <v>0</v>
      </c>
      <c r="AR2233" t="s">
        <v>53</v>
      </c>
      <c r="AS2233">
        <v>0</v>
      </c>
      <c r="AT2233">
        <v>0</v>
      </c>
      <c r="CC2233" t="s">
        <v>250</v>
      </c>
      <c r="CD2233">
        <v>100000</v>
      </c>
      <c r="CE2233" s="1">
        <v>42917</v>
      </c>
      <c r="CF2233" s="1">
        <v>42917</v>
      </c>
      <c r="CG2233" s="1">
        <v>42917</v>
      </c>
      <c r="CH2233" s="1">
        <v>51389</v>
      </c>
      <c r="CI2233" t="s">
        <v>51</v>
      </c>
      <c r="CK2233" t="s">
        <v>78</v>
      </c>
      <c r="CM2233" t="s">
        <v>54</v>
      </c>
      <c r="CN2233" t="s">
        <v>174</v>
      </c>
      <c r="CR2233">
        <v>13.2</v>
      </c>
      <c r="CS2233">
        <v>1800</v>
      </c>
      <c r="CT2233">
        <v>0</v>
      </c>
      <c r="CU2233">
        <v>16</v>
      </c>
    </row>
    <row r="2234" spans="1:112" x14ac:dyDescent="0.2">
      <c r="A2234" t="s">
        <v>1012</v>
      </c>
      <c r="B2234" t="s">
        <v>1013</v>
      </c>
      <c r="C2234" t="s">
        <v>1019</v>
      </c>
      <c r="D2234" t="s">
        <v>1064</v>
      </c>
      <c r="F2234" t="str">
        <f>"254217"</f>
        <v>254217</v>
      </c>
      <c r="G2234" t="s">
        <v>49</v>
      </c>
      <c r="K2234" t="s">
        <v>51</v>
      </c>
      <c r="L2234" t="s">
        <v>52</v>
      </c>
      <c r="M2234">
        <v>131743.00700000001</v>
      </c>
      <c r="N2234">
        <v>473878.40100000001</v>
      </c>
      <c r="O2234" t="s">
        <v>53</v>
      </c>
      <c r="P2234" t="s">
        <v>54</v>
      </c>
      <c r="Q2234" t="s">
        <v>55</v>
      </c>
      <c r="T2234" t="s">
        <v>246</v>
      </c>
      <c r="U2234">
        <v>40</v>
      </c>
      <c r="V2234" s="1">
        <v>23743</v>
      </c>
      <c r="W2234" s="1">
        <v>23743</v>
      </c>
      <c r="X2234" s="1">
        <v>23743</v>
      </c>
      <c r="Y2234" s="1">
        <v>38353</v>
      </c>
      <c r="Z2234" t="s">
        <v>51</v>
      </c>
      <c r="AB2234" t="s">
        <v>54</v>
      </c>
      <c r="AC2234">
        <v>1</v>
      </c>
      <c r="AE2234" t="s">
        <v>243</v>
      </c>
      <c r="AF2234">
        <v>20</v>
      </c>
      <c r="AG2234" s="1">
        <v>42917</v>
      </c>
      <c r="AH2234" s="1">
        <v>42917</v>
      </c>
      <c r="AI2234" s="1">
        <v>42917</v>
      </c>
      <c r="AJ2234" s="1">
        <v>50222</v>
      </c>
      <c r="AK2234" t="s">
        <v>51</v>
      </c>
      <c r="AN2234">
        <v>0</v>
      </c>
      <c r="AO2234" t="s">
        <v>54</v>
      </c>
      <c r="AP2234" t="s">
        <v>53</v>
      </c>
      <c r="AQ2234">
        <v>0</v>
      </c>
      <c r="AR2234" t="s">
        <v>53</v>
      </c>
      <c r="AS2234">
        <v>0</v>
      </c>
      <c r="AT2234">
        <v>0</v>
      </c>
      <c r="AW2234" t="s">
        <v>172</v>
      </c>
      <c r="AX2234">
        <v>15</v>
      </c>
      <c r="AY2234" s="1">
        <v>44320</v>
      </c>
      <c r="AZ2234" s="1">
        <v>44320</v>
      </c>
      <c r="BA2234" s="1">
        <v>44320</v>
      </c>
      <c r="BB2234" s="1">
        <v>49799</v>
      </c>
      <c r="BC2234" t="s">
        <v>51</v>
      </c>
      <c r="BE2234" t="s">
        <v>54</v>
      </c>
      <c r="BF2234">
        <v>40</v>
      </c>
      <c r="BG2234">
        <v>0</v>
      </c>
      <c r="BH2234" t="s">
        <v>145</v>
      </c>
      <c r="CC2234" t="s">
        <v>244</v>
      </c>
      <c r="CD2234">
        <v>100000</v>
      </c>
      <c r="CE2234" s="1">
        <v>44320</v>
      </c>
      <c r="CF2234" s="1">
        <v>44320</v>
      </c>
      <c r="CG2234" s="1">
        <v>44320</v>
      </c>
      <c r="CH2234" s="1">
        <v>52802</v>
      </c>
      <c r="CI2234" t="s">
        <v>51</v>
      </c>
      <c r="CK2234" t="s">
        <v>78</v>
      </c>
      <c r="CM2234" t="s">
        <v>54</v>
      </c>
      <c r="CN2234" t="s">
        <v>174</v>
      </c>
      <c r="CR2234">
        <v>0</v>
      </c>
      <c r="CS2234">
        <v>2150</v>
      </c>
      <c r="CT2234">
        <v>0</v>
      </c>
      <c r="CU2234">
        <v>16</v>
      </c>
      <c r="CX2234" t="s">
        <v>360</v>
      </c>
      <c r="CY2234">
        <v>40</v>
      </c>
      <c r="CZ2234" s="1">
        <v>44320</v>
      </c>
      <c r="DA2234" s="1">
        <v>44320</v>
      </c>
      <c r="DB2234" s="1">
        <v>44320</v>
      </c>
      <c r="DC2234" s="1">
        <v>58930</v>
      </c>
      <c r="DD2234" t="s">
        <v>51</v>
      </c>
      <c r="DF2234" t="s">
        <v>54</v>
      </c>
      <c r="DG2234">
        <v>0</v>
      </c>
      <c r="DH2234">
        <v>0</v>
      </c>
    </row>
    <row r="2235" spans="1:112" x14ac:dyDescent="0.2">
      <c r="A2235" t="s">
        <v>1012</v>
      </c>
      <c r="B2235" t="s">
        <v>1013</v>
      </c>
      <c r="C2235" t="s">
        <v>1019</v>
      </c>
      <c r="D2235" t="s">
        <v>1064</v>
      </c>
      <c r="F2235" t="str">
        <f>"254214"</f>
        <v>254214</v>
      </c>
      <c r="G2235" t="s">
        <v>49</v>
      </c>
      <c r="K2235" t="s">
        <v>51</v>
      </c>
      <c r="L2235" t="s">
        <v>52</v>
      </c>
      <c r="M2235">
        <v>131728.81</v>
      </c>
      <c r="N2235">
        <v>473863.45</v>
      </c>
      <c r="O2235" t="s">
        <v>53</v>
      </c>
      <c r="P2235" t="s">
        <v>54</v>
      </c>
      <c r="Q2235" t="s">
        <v>55</v>
      </c>
      <c r="T2235" t="s">
        <v>246</v>
      </c>
      <c r="U2235">
        <v>40</v>
      </c>
      <c r="V2235" s="1">
        <v>23743</v>
      </c>
      <c r="W2235" s="1">
        <v>23743</v>
      </c>
      <c r="X2235" s="1">
        <v>23743</v>
      </c>
      <c r="Y2235" s="1">
        <v>38353</v>
      </c>
      <c r="Z2235" t="s">
        <v>51</v>
      </c>
      <c r="AB2235" t="s">
        <v>54</v>
      </c>
      <c r="AC2235">
        <v>1</v>
      </c>
      <c r="AE2235" t="s">
        <v>243</v>
      </c>
      <c r="AF2235">
        <v>20</v>
      </c>
      <c r="AG2235" s="1">
        <v>42917</v>
      </c>
      <c r="AH2235" s="1">
        <v>42917</v>
      </c>
      <c r="AI2235" s="1">
        <v>42917</v>
      </c>
      <c r="AJ2235" s="1">
        <v>50222</v>
      </c>
      <c r="AK2235" t="s">
        <v>51</v>
      </c>
      <c r="AN2235">
        <v>0</v>
      </c>
      <c r="AO2235" t="s">
        <v>54</v>
      </c>
      <c r="AP2235" t="s">
        <v>53</v>
      </c>
      <c r="AQ2235">
        <v>0</v>
      </c>
      <c r="AR2235" t="s">
        <v>53</v>
      </c>
      <c r="AS2235">
        <v>0</v>
      </c>
      <c r="AT2235">
        <v>0</v>
      </c>
      <c r="AW2235" t="s">
        <v>172</v>
      </c>
      <c r="AX2235">
        <v>15</v>
      </c>
      <c r="AY2235" s="1">
        <v>44320</v>
      </c>
      <c r="AZ2235" s="1">
        <v>44320</v>
      </c>
      <c r="BA2235" s="1">
        <v>44320</v>
      </c>
      <c r="BB2235" s="1">
        <v>49799</v>
      </c>
      <c r="BC2235" t="s">
        <v>51</v>
      </c>
      <c r="BE2235" t="s">
        <v>54</v>
      </c>
      <c r="BF2235">
        <v>40</v>
      </c>
      <c r="BG2235">
        <v>0</v>
      </c>
      <c r="BH2235" t="s">
        <v>145</v>
      </c>
      <c r="CC2235" t="s">
        <v>244</v>
      </c>
      <c r="CD2235">
        <v>100000</v>
      </c>
      <c r="CE2235" s="1">
        <v>44320</v>
      </c>
      <c r="CF2235" s="1">
        <v>44320</v>
      </c>
      <c r="CG2235" s="1">
        <v>44320</v>
      </c>
      <c r="CH2235" s="1">
        <v>52802</v>
      </c>
      <c r="CI2235" t="s">
        <v>51</v>
      </c>
      <c r="CK2235" t="s">
        <v>78</v>
      </c>
      <c r="CM2235" t="s">
        <v>54</v>
      </c>
      <c r="CN2235" t="s">
        <v>174</v>
      </c>
      <c r="CR2235">
        <v>0</v>
      </c>
      <c r="CS2235">
        <v>2150</v>
      </c>
      <c r="CT2235">
        <v>0</v>
      </c>
      <c r="CU2235">
        <v>16</v>
      </c>
      <c r="CX2235" t="s">
        <v>360</v>
      </c>
      <c r="CY2235">
        <v>40</v>
      </c>
      <c r="CZ2235" s="1">
        <v>44320</v>
      </c>
      <c r="DA2235" s="1">
        <v>44320</v>
      </c>
      <c r="DB2235" s="1">
        <v>44320</v>
      </c>
      <c r="DC2235" s="1">
        <v>58930</v>
      </c>
      <c r="DD2235" t="s">
        <v>51</v>
      </c>
      <c r="DF2235" t="s">
        <v>54</v>
      </c>
      <c r="DG2235">
        <v>0</v>
      </c>
      <c r="DH2235">
        <v>0</v>
      </c>
    </row>
    <row r="2236" spans="1:112" x14ac:dyDescent="0.2">
      <c r="A2236" t="s">
        <v>1012</v>
      </c>
      <c r="B2236" t="s">
        <v>1013</v>
      </c>
      <c r="C2236" t="s">
        <v>1019</v>
      </c>
      <c r="D2236" t="s">
        <v>1064</v>
      </c>
      <c r="F2236" t="str">
        <f>"254212"</f>
        <v>254212</v>
      </c>
      <c r="G2236" t="s">
        <v>49</v>
      </c>
      <c r="K2236" t="s">
        <v>51</v>
      </c>
      <c r="L2236" t="s">
        <v>52</v>
      </c>
      <c r="M2236">
        <v>131727.70000000001</v>
      </c>
      <c r="N2236">
        <v>473823.27</v>
      </c>
      <c r="O2236" t="s">
        <v>145</v>
      </c>
      <c r="P2236" t="s">
        <v>54</v>
      </c>
      <c r="Q2236" t="s">
        <v>55</v>
      </c>
      <c r="T2236" t="s">
        <v>246</v>
      </c>
      <c r="U2236">
        <v>40</v>
      </c>
      <c r="V2236" s="1">
        <v>43009</v>
      </c>
      <c r="W2236" s="1">
        <v>43009</v>
      </c>
      <c r="X2236" s="1">
        <v>43009</v>
      </c>
      <c r="Y2236" s="1">
        <v>57619</v>
      </c>
      <c r="Z2236" t="s">
        <v>51</v>
      </c>
      <c r="AB2236" t="s">
        <v>54</v>
      </c>
      <c r="AE2236" t="s">
        <v>1065</v>
      </c>
      <c r="AF2236">
        <v>20</v>
      </c>
      <c r="AG2236" s="1">
        <v>43009</v>
      </c>
      <c r="AH2236" s="1">
        <v>43009</v>
      </c>
      <c r="AI2236" s="1">
        <v>43009</v>
      </c>
      <c r="AJ2236" s="1">
        <v>50314</v>
      </c>
      <c r="AK2236" t="s">
        <v>51</v>
      </c>
      <c r="AN2236">
        <v>0</v>
      </c>
      <c r="AO2236" t="s">
        <v>54</v>
      </c>
      <c r="AP2236" t="s">
        <v>53</v>
      </c>
      <c r="AQ2236">
        <v>0</v>
      </c>
      <c r="AR2236" t="s">
        <v>53</v>
      </c>
      <c r="AS2236">
        <v>0</v>
      </c>
      <c r="AT2236">
        <v>0</v>
      </c>
      <c r="AW2236" t="s">
        <v>172</v>
      </c>
      <c r="AX2236">
        <v>15</v>
      </c>
      <c r="AY2236" s="1">
        <v>43009</v>
      </c>
      <c r="AZ2236" s="1">
        <v>43009</v>
      </c>
      <c r="BA2236" s="1">
        <v>43009</v>
      </c>
      <c r="BB2236" s="1">
        <v>48488</v>
      </c>
      <c r="BC2236" t="s">
        <v>51</v>
      </c>
      <c r="BE2236" t="s">
        <v>54</v>
      </c>
      <c r="BF2236">
        <v>40</v>
      </c>
      <c r="BG2236">
        <v>0</v>
      </c>
      <c r="BH2236" t="s">
        <v>145</v>
      </c>
      <c r="CC2236" t="s">
        <v>250</v>
      </c>
      <c r="CD2236">
        <v>100000</v>
      </c>
      <c r="CE2236" s="1">
        <v>43009</v>
      </c>
      <c r="CF2236" s="1">
        <v>43009</v>
      </c>
      <c r="CG2236" s="1">
        <v>43009</v>
      </c>
      <c r="CH2236" s="1">
        <v>51921</v>
      </c>
      <c r="CI2236" t="s">
        <v>51</v>
      </c>
      <c r="CK2236" t="s">
        <v>78</v>
      </c>
      <c r="CM2236" t="s">
        <v>54</v>
      </c>
      <c r="CN2236" t="s">
        <v>174</v>
      </c>
      <c r="CR2236">
        <v>13.2</v>
      </c>
      <c r="CS2236">
        <v>1800</v>
      </c>
      <c r="CT2236">
        <v>0</v>
      </c>
      <c r="CU2236">
        <v>16</v>
      </c>
    </row>
    <row r="2237" spans="1:112" x14ac:dyDescent="0.2">
      <c r="A2237" t="s">
        <v>1012</v>
      </c>
      <c r="B2237" t="s">
        <v>1013</v>
      </c>
      <c r="C2237" t="s">
        <v>1019</v>
      </c>
      <c r="D2237" t="s">
        <v>1064</v>
      </c>
      <c r="F2237" t="str">
        <f>"251715"</f>
        <v>251715</v>
      </c>
      <c r="G2237" t="s">
        <v>49</v>
      </c>
      <c r="K2237" t="s">
        <v>51</v>
      </c>
      <c r="L2237" t="s">
        <v>52</v>
      </c>
      <c r="M2237">
        <v>131729.26</v>
      </c>
      <c r="N2237">
        <v>473811.68800000002</v>
      </c>
      <c r="O2237" t="s">
        <v>53</v>
      </c>
      <c r="P2237" t="s">
        <v>54</v>
      </c>
      <c r="Q2237" t="s">
        <v>55</v>
      </c>
      <c r="T2237" t="s">
        <v>246</v>
      </c>
      <c r="U2237">
        <v>40</v>
      </c>
      <c r="V2237" s="1">
        <v>23743</v>
      </c>
      <c r="W2237" s="1">
        <v>23743</v>
      </c>
      <c r="X2237" s="1">
        <v>23743</v>
      </c>
      <c r="Y2237" s="1">
        <v>38353</v>
      </c>
      <c r="Z2237" t="s">
        <v>51</v>
      </c>
      <c r="AB2237" t="s">
        <v>54</v>
      </c>
      <c r="AC2237">
        <v>1</v>
      </c>
      <c r="AE2237" t="s">
        <v>243</v>
      </c>
      <c r="AF2237">
        <v>20</v>
      </c>
      <c r="AG2237" s="1">
        <v>42917</v>
      </c>
      <c r="AH2237" s="1">
        <v>42917</v>
      </c>
      <c r="AI2237" s="1">
        <v>42917</v>
      </c>
      <c r="AJ2237" s="1">
        <v>50222</v>
      </c>
      <c r="AK2237" t="s">
        <v>51</v>
      </c>
      <c r="AN2237">
        <v>0</v>
      </c>
      <c r="AO2237" t="s">
        <v>54</v>
      </c>
      <c r="AP2237" t="s">
        <v>53</v>
      </c>
      <c r="AQ2237">
        <v>0</v>
      </c>
      <c r="AR2237" t="s">
        <v>53</v>
      </c>
      <c r="AS2237">
        <v>0</v>
      </c>
      <c r="AT2237">
        <v>0</v>
      </c>
      <c r="AW2237" t="s">
        <v>172</v>
      </c>
      <c r="AX2237">
        <v>15</v>
      </c>
      <c r="AY2237" s="1">
        <v>44320</v>
      </c>
      <c r="AZ2237" s="1">
        <v>44320</v>
      </c>
      <c r="BA2237" s="1">
        <v>44320</v>
      </c>
      <c r="BB2237" s="1">
        <v>49799</v>
      </c>
      <c r="BC2237" t="s">
        <v>51</v>
      </c>
      <c r="BE2237" t="s">
        <v>54</v>
      </c>
      <c r="BF2237">
        <v>40</v>
      </c>
      <c r="BG2237">
        <v>0</v>
      </c>
      <c r="BH2237" t="s">
        <v>145</v>
      </c>
      <c r="CC2237" t="s">
        <v>244</v>
      </c>
      <c r="CD2237">
        <v>100000</v>
      </c>
      <c r="CE2237" s="1">
        <v>44320</v>
      </c>
      <c r="CF2237" s="1">
        <v>44320</v>
      </c>
      <c r="CG2237" s="1">
        <v>44320</v>
      </c>
      <c r="CH2237" s="1">
        <v>52802</v>
      </c>
      <c r="CI2237" t="s">
        <v>51</v>
      </c>
      <c r="CK2237" t="s">
        <v>78</v>
      </c>
      <c r="CM2237" t="s">
        <v>54</v>
      </c>
      <c r="CN2237" t="s">
        <v>174</v>
      </c>
      <c r="CR2237">
        <v>0</v>
      </c>
      <c r="CS2237">
        <v>2150</v>
      </c>
      <c r="CT2237">
        <v>0</v>
      </c>
      <c r="CU2237">
        <v>16</v>
      </c>
      <c r="CX2237" t="s">
        <v>360</v>
      </c>
      <c r="CY2237">
        <v>40</v>
      </c>
      <c r="CZ2237" s="1">
        <v>44320</v>
      </c>
      <c r="DA2237" s="1">
        <v>44320</v>
      </c>
      <c r="DB2237" s="1">
        <v>44320</v>
      </c>
      <c r="DC2237" s="1">
        <v>58930</v>
      </c>
      <c r="DD2237" t="s">
        <v>51</v>
      </c>
      <c r="DF2237" t="s">
        <v>54</v>
      </c>
      <c r="DG2237">
        <v>0</v>
      </c>
      <c r="DH2237">
        <v>0</v>
      </c>
    </row>
    <row r="2238" spans="1:112" x14ac:dyDescent="0.2">
      <c r="A2238" t="s">
        <v>1012</v>
      </c>
      <c r="B2238" t="s">
        <v>1013</v>
      </c>
      <c r="C2238" t="s">
        <v>1019</v>
      </c>
      <c r="D2238" t="s">
        <v>1064</v>
      </c>
      <c r="F2238" t="str">
        <f>"254211"</f>
        <v>254211</v>
      </c>
      <c r="G2238" t="s">
        <v>49</v>
      </c>
      <c r="K2238" t="s">
        <v>51</v>
      </c>
      <c r="L2238" t="s">
        <v>52</v>
      </c>
      <c r="M2238">
        <v>131718.06</v>
      </c>
      <c r="N2238">
        <v>473787.44</v>
      </c>
      <c r="O2238" t="s">
        <v>53</v>
      </c>
      <c r="P2238" t="s">
        <v>54</v>
      </c>
      <c r="Q2238" t="s">
        <v>55</v>
      </c>
      <c r="T2238" t="s">
        <v>246</v>
      </c>
      <c r="U2238">
        <v>40</v>
      </c>
      <c r="V2238" s="1">
        <v>43009</v>
      </c>
      <c r="W2238" s="1">
        <v>43009</v>
      </c>
      <c r="X2238" s="1">
        <v>43009</v>
      </c>
      <c r="Y2238" s="1">
        <v>57619</v>
      </c>
      <c r="Z2238" t="s">
        <v>51</v>
      </c>
      <c r="AB2238" t="s">
        <v>54</v>
      </c>
      <c r="AE2238" t="s">
        <v>1065</v>
      </c>
      <c r="AF2238">
        <v>20</v>
      </c>
      <c r="AG2238" s="1">
        <v>43009</v>
      </c>
      <c r="AH2238" s="1">
        <v>43009</v>
      </c>
      <c r="AI2238" s="1">
        <v>43009</v>
      </c>
      <c r="AJ2238" s="1">
        <v>50314</v>
      </c>
      <c r="AK2238" t="s">
        <v>51</v>
      </c>
      <c r="AN2238">
        <v>0</v>
      </c>
      <c r="AO2238" t="s">
        <v>54</v>
      </c>
      <c r="AP2238" t="s">
        <v>53</v>
      </c>
      <c r="AQ2238">
        <v>0</v>
      </c>
      <c r="AR2238" t="s">
        <v>53</v>
      </c>
      <c r="AS2238">
        <v>0</v>
      </c>
      <c r="AT2238">
        <v>0</v>
      </c>
      <c r="AW2238" t="s">
        <v>172</v>
      </c>
      <c r="AX2238">
        <v>15</v>
      </c>
      <c r="AY2238" s="1">
        <v>43009</v>
      </c>
      <c r="AZ2238" s="1">
        <v>43009</v>
      </c>
      <c r="BA2238" s="1">
        <v>43009</v>
      </c>
      <c r="BB2238" s="1">
        <v>48488</v>
      </c>
      <c r="BC2238" t="s">
        <v>51</v>
      </c>
      <c r="BE2238" t="s">
        <v>54</v>
      </c>
      <c r="BF2238">
        <v>40</v>
      </c>
      <c r="BG2238">
        <v>0</v>
      </c>
      <c r="BH2238" t="s">
        <v>145</v>
      </c>
      <c r="CC2238" t="s">
        <v>1066</v>
      </c>
      <c r="CD2238">
        <v>100000</v>
      </c>
      <c r="CE2238" s="1">
        <v>43009</v>
      </c>
      <c r="CF2238" s="1">
        <v>43009</v>
      </c>
      <c r="CG2238" s="1">
        <v>43009</v>
      </c>
      <c r="CH2238" s="1">
        <v>51921</v>
      </c>
      <c r="CI2238" t="s">
        <v>51</v>
      </c>
      <c r="CK2238" t="s">
        <v>78</v>
      </c>
      <c r="CM2238" t="s">
        <v>54</v>
      </c>
      <c r="CN2238" t="s">
        <v>174</v>
      </c>
      <c r="CR2238">
        <v>11</v>
      </c>
      <c r="CS2238">
        <v>1600</v>
      </c>
      <c r="CT2238">
        <v>0</v>
      </c>
      <c r="CU2238">
        <v>16</v>
      </c>
      <c r="CX2238" t="s">
        <v>360</v>
      </c>
      <c r="CY2238">
        <v>40</v>
      </c>
      <c r="CZ2238" s="1">
        <v>43009</v>
      </c>
      <c r="DA2238" s="1">
        <v>43009</v>
      </c>
      <c r="DB2238" s="1">
        <v>43009</v>
      </c>
      <c r="DC2238" s="1">
        <v>57619</v>
      </c>
      <c r="DD2238" t="s">
        <v>51</v>
      </c>
      <c r="DF2238" t="s">
        <v>54</v>
      </c>
      <c r="DG2238">
        <v>0</v>
      </c>
      <c r="DH2238">
        <v>0</v>
      </c>
    </row>
    <row r="2239" spans="1:112" x14ac:dyDescent="0.2">
      <c r="A2239" t="s">
        <v>1012</v>
      </c>
      <c r="B2239" t="s">
        <v>1013</v>
      </c>
      <c r="C2239" t="s">
        <v>1019</v>
      </c>
      <c r="D2239" t="s">
        <v>1064</v>
      </c>
      <c r="F2239" t="str">
        <f>"254210"</f>
        <v>254210</v>
      </c>
      <c r="G2239" t="s">
        <v>49</v>
      </c>
      <c r="K2239" t="s">
        <v>51</v>
      </c>
      <c r="L2239" t="s">
        <v>52</v>
      </c>
      <c r="M2239">
        <v>131721.82999999999</v>
      </c>
      <c r="N2239">
        <v>473766.73</v>
      </c>
      <c r="O2239" t="s">
        <v>53</v>
      </c>
      <c r="P2239" t="s">
        <v>54</v>
      </c>
      <c r="Q2239" t="s">
        <v>55</v>
      </c>
      <c r="T2239" t="s">
        <v>246</v>
      </c>
      <c r="U2239">
        <v>40</v>
      </c>
      <c r="V2239" s="1">
        <v>23743</v>
      </c>
      <c r="W2239" s="1">
        <v>23743</v>
      </c>
      <c r="X2239" s="1">
        <v>23743</v>
      </c>
      <c r="Y2239" s="1">
        <v>38353</v>
      </c>
      <c r="Z2239" t="s">
        <v>51</v>
      </c>
      <c r="AB2239" t="s">
        <v>54</v>
      </c>
      <c r="AC2239">
        <v>1</v>
      </c>
      <c r="AE2239" t="s">
        <v>243</v>
      </c>
      <c r="AF2239">
        <v>20</v>
      </c>
      <c r="AG2239" s="1">
        <v>42917</v>
      </c>
      <c r="AH2239" s="1">
        <v>42917</v>
      </c>
      <c r="AI2239" s="1">
        <v>42917</v>
      </c>
      <c r="AJ2239" s="1">
        <v>50222</v>
      </c>
      <c r="AK2239" t="s">
        <v>51</v>
      </c>
      <c r="AN2239">
        <v>0</v>
      </c>
      <c r="AO2239" t="s">
        <v>54</v>
      </c>
      <c r="AP2239" t="s">
        <v>53</v>
      </c>
      <c r="AQ2239">
        <v>0</v>
      </c>
      <c r="AR2239" t="s">
        <v>53</v>
      </c>
      <c r="AS2239">
        <v>0</v>
      </c>
      <c r="AT2239">
        <v>0</v>
      </c>
      <c r="AW2239" t="s">
        <v>172</v>
      </c>
      <c r="AX2239">
        <v>15</v>
      </c>
      <c r="AY2239" s="1">
        <v>44320</v>
      </c>
      <c r="AZ2239" s="1">
        <v>44320</v>
      </c>
      <c r="BA2239" s="1">
        <v>44320</v>
      </c>
      <c r="BB2239" s="1">
        <v>49799</v>
      </c>
      <c r="BC2239" t="s">
        <v>51</v>
      </c>
      <c r="BE2239" t="s">
        <v>54</v>
      </c>
      <c r="BF2239">
        <v>40</v>
      </c>
      <c r="BG2239">
        <v>0</v>
      </c>
      <c r="BH2239" t="s">
        <v>145</v>
      </c>
      <c r="CC2239" t="s">
        <v>244</v>
      </c>
      <c r="CD2239">
        <v>100000</v>
      </c>
      <c r="CE2239" s="1">
        <v>44320</v>
      </c>
      <c r="CF2239" s="1">
        <v>44320</v>
      </c>
      <c r="CG2239" s="1">
        <v>44320</v>
      </c>
      <c r="CH2239" s="1">
        <v>52802</v>
      </c>
      <c r="CI2239" t="s">
        <v>51</v>
      </c>
      <c r="CK2239" t="s">
        <v>78</v>
      </c>
      <c r="CM2239" t="s">
        <v>54</v>
      </c>
      <c r="CN2239" t="s">
        <v>174</v>
      </c>
      <c r="CR2239">
        <v>0</v>
      </c>
      <c r="CS2239">
        <v>2150</v>
      </c>
      <c r="CT2239">
        <v>0</v>
      </c>
      <c r="CU2239">
        <v>16</v>
      </c>
      <c r="CX2239" t="s">
        <v>360</v>
      </c>
      <c r="CY2239">
        <v>40</v>
      </c>
      <c r="CZ2239" s="1">
        <v>44320</v>
      </c>
      <c r="DA2239" s="1">
        <v>44320</v>
      </c>
      <c r="DB2239" s="1">
        <v>44320</v>
      </c>
      <c r="DC2239" s="1">
        <v>58930</v>
      </c>
      <c r="DD2239" t="s">
        <v>51</v>
      </c>
      <c r="DF2239" t="s">
        <v>54</v>
      </c>
      <c r="DG2239">
        <v>0</v>
      </c>
      <c r="DH2239">
        <v>0</v>
      </c>
    </row>
    <row r="2240" spans="1:112" x14ac:dyDescent="0.2">
      <c r="A2240" t="s">
        <v>1012</v>
      </c>
      <c r="B2240" t="s">
        <v>1013</v>
      </c>
      <c r="C2240" t="s">
        <v>1019</v>
      </c>
      <c r="D2240" t="s">
        <v>1067</v>
      </c>
      <c r="F2240" t="str">
        <f>"251718"</f>
        <v>251718</v>
      </c>
      <c r="G2240" t="s">
        <v>49</v>
      </c>
      <c r="H2240">
        <v>17</v>
      </c>
      <c r="K2240" t="s">
        <v>51</v>
      </c>
      <c r="L2240" t="s">
        <v>52</v>
      </c>
      <c r="M2240">
        <v>131638.1</v>
      </c>
      <c r="N2240">
        <v>473836.77</v>
      </c>
      <c r="O2240" t="s">
        <v>53</v>
      </c>
      <c r="P2240" t="s">
        <v>54</v>
      </c>
      <c r="Q2240" t="s">
        <v>55</v>
      </c>
      <c r="T2240" t="s">
        <v>81</v>
      </c>
      <c r="U2240">
        <v>40</v>
      </c>
      <c r="V2240" s="1">
        <v>28126</v>
      </c>
      <c r="W2240" s="1">
        <v>28126</v>
      </c>
      <c r="X2240" s="1">
        <v>28126</v>
      </c>
      <c r="Y2240" s="1">
        <v>42736</v>
      </c>
      <c r="Z2240" t="s">
        <v>51</v>
      </c>
      <c r="AB2240" t="s">
        <v>54</v>
      </c>
      <c r="AC2240">
        <v>1</v>
      </c>
      <c r="AE2240" t="s">
        <v>613</v>
      </c>
      <c r="AF2240">
        <v>20</v>
      </c>
      <c r="AG2240" s="1">
        <v>42917</v>
      </c>
      <c r="AH2240" s="1">
        <v>42917</v>
      </c>
      <c r="AI2240" s="1">
        <v>42917</v>
      </c>
      <c r="AJ2240" s="1">
        <v>50222</v>
      </c>
      <c r="AK2240" t="s">
        <v>51</v>
      </c>
      <c r="AN2240">
        <v>0</v>
      </c>
      <c r="AO2240" t="s">
        <v>54</v>
      </c>
      <c r="AP2240" t="s">
        <v>53</v>
      </c>
      <c r="AQ2240">
        <v>0</v>
      </c>
      <c r="AR2240" t="s">
        <v>53</v>
      </c>
      <c r="AS2240">
        <v>0</v>
      </c>
      <c r="AT2240">
        <v>0</v>
      </c>
      <c r="AW2240" t="s">
        <v>161</v>
      </c>
      <c r="AX2240">
        <v>50</v>
      </c>
      <c r="AY2240" s="1">
        <v>44075</v>
      </c>
      <c r="AZ2240" s="1">
        <v>44075</v>
      </c>
      <c r="BA2240" s="1">
        <v>44075</v>
      </c>
      <c r="BB2240" s="1">
        <v>62337</v>
      </c>
      <c r="BC2240" t="s">
        <v>51</v>
      </c>
      <c r="BE2240" t="s">
        <v>54</v>
      </c>
      <c r="BF2240">
        <v>0</v>
      </c>
      <c r="BG2240">
        <v>0</v>
      </c>
      <c r="BH2240" t="s">
        <v>53</v>
      </c>
      <c r="BK2240" t="s">
        <v>720</v>
      </c>
      <c r="BL2240">
        <v>17000</v>
      </c>
      <c r="BM2240" s="1">
        <v>44075</v>
      </c>
      <c r="BN2240" s="1">
        <v>44075</v>
      </c>
      <c r="BO2240" s="1">
        <v>44075</v>
      </c>
      <c r="BP2240" s="1">
        <v>45593</v>
      </c>
      <c r="BQ2240" t="s">
        <v>51</v>
      </c>
      <c r="BS2240" t="s">
        <v>78</v>
      </c>
      <c r="BT2240" t="s">
        <v>54</v>
      </c>
      <c r="BU2240" t="s">
        <v>721</v>
      </c>
      <c r="BV2240" t="s">
        <v>722</v>
      </c>
      <c r="BX2240">
        <v>18</v>
      </c>
      <c r="BY2240">
        <v>0</v>
      </c>
      <c r="BZ2240">
        <v>0</v>
      </c>
      <c r="CX2240" t="s">
        <v>674</v>
      </c>
      <c r="CY2240">
        <v>0</v>
      </c>
      <c r="CZ2240" s="1">
        <v>44075</v>
      </c>
      <c r="DA2240" s="1">
        <v>44075</v>
      </c>
      <c r="DB2240" s="1">
        <v>44075</v>
      </c>
      <c r="DC2240" s="1">
        <v>44075</v>
      </c>
      <c r="DD2240" t="s">
        <v>51</v>
      </c>
      <c r="DF2240" t="s">
        <v>54</v>
      </c>
      <c r="DG2240">
        <v>0</v>
      </c>
      <c r="DH2240">
        <v>0</v>
      </c>
    </row>
    <row r="2241" spans="1:112" x14ac:dyDescent="0.2">
      <c r="A2241" t="s">
        <v>1012</v>
      </c>
      <c r="B2241" t="s">
        <v>1013</v>
      </c>
      <c r="C2241" t="s">
        <v>1019</v>
      </c>
      <c r="D2241" t="s">
        <v>1067</v>
      </c>
      <c r="F2241" t="str">
        <f>"251719"</f>
        <v>251719</v>
      </c>
      <c r="G2241" t="s">
        <v>49</v>
      </c>
      <c r="H2241">
        <v>1</v>
      </c>
      <c r="K2241" t="s">
        <v>51</v>
      </c>
      <c r="L2241" t="s">
        <v>52</v>
      </c>
      <c r="M2241">
        <v>131660.59</v>
      </c>
      <c r="N2241">
        <v>473843.9</v>
      </c>
      <c r="O2241" t="s">
        <v>53</v>
      </c>
      <c r="P2241" t="s">
        <v>54</v>
      </c>
      <c r="Q2241" t="s">
        <v>55</v>
      </c>
      <c r="T2241" t="s">
        <v>183</v>
      </c>
      <c r="U2241">
        <v>40</v>
      </c>
      <c r="V2241" s="1">
        <v>28126</v>
      </c>
      <c r="W2241" s="1">
        <v>28126</v>
      </c>
      <c r="X2241" s="1">
        <v>28126</v>
      </c>
      <c r="Y2241" s="1">
        <v>42736</v>
      </c>
      <c r="Z2241" t="s">
        <v>51</v>
      </c>
      <c r="AB2241" t="s">
        <v>54</v>
      </c>
      <c r="AC2241">
        <v>1</v>
      </c>
      <c r="AE2241" t="s">
        <v>613</v>
      </c>
      <c r="AF2241">
        <v>20</v>
      </c>
      <c r="AG2241" s="1">
        <v>42917</v>
      </c>
      <c r="AH2241" s="1">
        <v>42917</v>
      </c>
      <c r="AI2241" s="1">
        <v>42917</v>
      </c>
      <c r="AJ2241" s="1">
        <v>50222</v>
      </c>
      <c r="AK2241" t="s">
        <v>51</v>
      </c>
      <c r="AN2241">
        <v>0</v>
      </c>
      <c r="AO2241" t="s">
        <v>54</v>
      </c>
      <c r="AP2241" t="s">
        <v>53</v>
      </c>
      <c r="AQ2241">
        <v>0</v>
      </c>
      <c r="AR2241" t="s">
        <v>53</v>
      </c>
      <c r="AS2241">
        <v>0</v>
      </c>
      <c r="AT2241">
        <v>0</v>
      </c>
      <c r="AW2241" t="s">
        <v>161</v>
      </c>
      <c r="AX2241">
        <v>50</v>
      </c>
      <c r="AY2241" s="1">
        <v>44075</v>
      </c>
      <c r="AZ2241" s="1">
        <v>44075</v>
      </c>
      <c r="BA2241" s="1">
        <v>44075</v>
      </c>
      <c r="BB2241" s="1">
        <v>62337</v>
      </c>
      <c r="BC2241" t="s">
        <v>51</v>
      </c>
      <c r="BE2241" t="s">
        <v>54</v>
      </c>
      <c r="BF2241">
        <v>0</v>
      </c>
      <c r="BG2241">
        <v>0</v>
      </c>
      <c r="BH2241" t="s">
        <v>53</v>
      </c>
      <c r="BK2241" t="s">
        <v>720</v>
      </c>
      <c r="BL2241">
        <v>17000</v>
      </c>
      <c r="BM2241" s="1">
        <v>44075</v>
      </c>
      <c r="BN2241" s="1">
        <v>44075</v>
      </c>
      <c r="BO2241" s="1">
        <v>44075</v>
      </c>
      <c r="BP2241" s="1">
        <v>45593</v>
      </c>
      <c r="BQ2241" t="s">
        <v>51</v>
      </c>
      <c r="BS2241" t="s">
        <v>78</v>
      </c>
      <c r="BT2241" t="s">
        <v>54</v>
      </c>
      <c r="BU2241" t="s">
        <v>721</v>
      </c>
      <c r="BV2241" t="s">
        <v>722</v>
      </c>
      <c r="BX2241">
        <v>18</v>
      </c>
      <c r="BY2241">
        <v>0</v>
      </c>
      <c r="BZ2241">
        <v>0</v>
      </c>
      <c r="CX2241" t="s">
        <v>674</v>
      </c>
      <c r="CY2241">
        <v>0</v>
      </c>
      <c r="CZ2241" s="1">
        <v>44075</v>
      </c>
      <c r="DA2241" s="1">
        <v>44075</v>
      </c>
      <c r="DB2241" s="1">
        <v>44075</v>
      </c>
      <c r="DC2241" s="1">
        <v>44075</v>
      </c>
      <c r="DD2241" t="s">
        <v>51</v>
      </c>
      <c r="DF2241" t="s">
        <v>54</v>
      </c>
      <c r="DG2241">
        <v>0</v>
      </c>
      <c r="DH2241">
        <v>0</v>
      </c>
    </row>
    <row r="2242" spans="1:112" x14ac:dyDescent="0.2">
      <c r="A2242" t="s">
        <v>1012</v>
      </c>
      <c r="B2242" t="s">
        <v>1013</v>
      </c>
      <c r="C2242" t="s">
        <v>1019</v>
      </c>
      <c r="D2242" t="s">
        <v>1067</v>
      </c>
      <c r="F2242" t="str">
        <f>"251720"</f>
        <v>251720</v>
      </c>
      <c r="G2242" t="s">
        <v>49</v>
      </c>
      <c r="H2242">
        <v>10</v>
      </c>
      <c r="K2242" t="s">
        <v>51</v>
      </c>
      <c r="L2242" t="s">
        <v>52</v>
      </c>
      <c r="M2242">
        <v>131688.19</v>
      </c>
      <c r="N2242">
        <v>473831.28</v>
      </c>
      <c r="O2242" t="s">
        <v>53</v>
      </c>
      <c r="P2242" t="s">
        <v>54</v>
      </c>
      <c r="Q2242" t="s">
        <v>55</v>
      </c>
      <c r="T2242" t="s">
        <v>81</v>
      </c>
      <c r="U2242">
        <v>40</v>
      </c>
      <c r="V2242" s="1">
        <v>28126</v>
      </c>
      <c r="W2242" s="1">
        <v>28126</v>
      </c>
      <c r="X2242" s="1">
        <v>28126</v>
      </c>
      <c r="Y2242" s="1">
        <v>42736</v>
      </c>
      <c r="Z2242" t="s">
        <v>51</v>
      </c>
      <c r="AB2242" t="s">
        <v>54</v>
      </c>
      <c r="AC2242">
        <v>1</v>
      </c>
      <c r="AE2242" t="s">
        <v>613</v>
      </c>
      <c r="AF2242">
        <v>20</v>
      </c>
      <c r="AG2242" s="1">
        <v>42917</v>
      </c>
      <c r="AH2242" s="1">
        <v>42917</v>
      </c>
      <c r="AI2242" s="1">
        <v>42917</v>
      </c>
      <c r="AJ2242" s="1">
        <v>50222</v>
      </c>
      <c r="AK2242" t="s">
        <v>51</v>
      </c>
      <c r="AN2242">
        <v>0</v>
      </c>
      <c r="AO2242" t="s">
        <v>54</v>
      </c>
      <c r="AP2242" t="s">
        <v>53</v>
      </c>
      <c r="AQ2242">
        <v>0</v>
      </c>
      <c r="AR2242" t="s">
        <v>53</v>
      </c>
      <c r="AS2242">
        <v>0</v>
      </c>
      <c r="AT2242">
        <v>0</v>
      </c>
      <c r="AW2242" t="s">
        <v>161</v>
      </c>
      <c r="AX2242">
        <v>50</v>
      </c>
      <c r="AY2242" s="1">
        <v>44075</v>
      </c>
      <c r="AZ2242" s="1">
        <v>44075</v>
      </c>
      <c r="BA2242" s="1">
        <v>44075</v>
      </c>
      <c r="BB2242" s="1">
        <v>62337</v>
      </c>
      <c r="BC2242" t="s">
        <v>51</v>
      </c>
      <c r="BE2242" t="s">
        <v>54</v>
      </c>
      <c r="BF2242">
        <v>0</v>
      </c>
      <c r="BG2242">
        <v>0</v>
      </c>
      <c r="BH2242" t="s">
        <v>53</v>
      </c>
      <c r="BK2242" t="s">
        <v>720</v>
      </c>
      <c r="BL2242">
        <v>17000</v>
      </c>
      <c r="BM2242" s="1">
        <v>44075</v>
      </c>
      <c r="BN2242" s="1">
        <v>44075</v>
      </c>
      <c r="BO2242" s="1">
        <v>44075</v>
      </c>
      <c r="BP2242" s="1">
        <v>45593</v>
      </c>
      <c r="BQ2242" t="s">
        <v>51</v>
      </c>
      <c r="BS2242" t="s">
        <v>78</v>
      </c>
      <c r="BT2242" t="s">
        <v>54</v>
      </c>
      <c r="BU2242" t="s">
        <v>721</v>
      </c>
      <c r="BV2242" t="s">
        <v>722</v>
      </c>
      <c r="BX2242">
        <v>18</v>
      </c>
      <c r="BY2242">
        <v>0</v>
      </c>
      <c r="BZ2242">
        <v>0</v>
      </c>
      <c r="CX2242" t="s">
        <v>674</v>
      </c>
      <c r="CY2242">
        <v>0</v>
      </c>
      <c r="CZ2242" s="1">
        <v>44075</v>
      </c>
      <c r="DA2242" s="1">
        <v>44075</v>
      </c>
      <c r="DB2242" s="1">
        <v>44075</v>
      </c>
      <c r="DC2242" s="1">
        <v>44075</v>
      </c>
      <c r="DD2242" t="s">
        <v>51</v>
      </c>
      <c r="DF2242" t="s">
        <v>54</v>
      </c>
      <c r="DG2242">
        <v>0</v>
      </c>
      <c r="DH2242">
        <v>0</v>
      </c>
    </row>
    <row r="2243" spans="1:112" x14ac:dyDescent="0.2">
      <c r="A2243" t="s">
        <v>1012</v>
      </c>
      <c r="B2243" t="s">
        <v>1013</v>
      </c>
      <c r="C2243" t="s">
        <v>1019</v>
      </c>
      <c r="D2243" t="s">
        <v>1067</v>
      </c>
      <c r="F2243" t="str">
        <f>"251721"</f>
        <v>251721</v>
      </c>
      <c r="G2243" t="s">
        <v>49</v>
      </c>
      <c r="H2243">
        <v>15</v>
      </c>
      <c r="K2243" t="s">
        <v>51</v>
      </c>
      <c r="L2243" t="s">
        <v>52</v>
      </c>
      <c r="M2243">
        <v>131717.51</v>
      </c>
      <c r="N2243">
        <v>473838.74</v>
      </c>
      <c r="O2243" t="s">
        <v>53</v>
      </c>
      <c r="P2243" t="s">
        <v>54</v>
      </c>
      <c r="Q2243" t="s">
        <v>55</v>
      </c>
      <c r="T2243" t="s">
        <v>81</v>
      </c>
      <c r="U2243">
        <v>40</v>
      </c>
      <c r="V2243" s="1">
        <v>28126</v>
      </c>
      <c r="W2243" s="1">
        <v>28126</v>
      </c>
      <c r="X2243" s="1">
        <v>28126</v>
      </c>
      <c r="Y2243" s="1">
        <v>42736</v>
      </c>
      <c r="Z2243" t="s">
        <v>51</v>
      </c>
      <c r="AB2243" t="s">
        <v>54</v>
      </c>
      <c r="AC2243">
        <v>1</v>
      </c>
      <c r="AE2243" t="s">
        <v>613</v>
      </c>
      <c r="AF2243">
        <v>20</v>
      </c>
      <c r="AG2243" s="1">
        <v>42917</v>
      </c>
      <c r="AH2243" s="1">
        <v>42917</v>
      </c>
      <c r="AI2243" s="1">
        <v>42917</v>
      </c>
      <c r="AJ2243" s="1">
        <v>50222</v>
      </c>
      <c r="AK2243" t="s">
        <v>51</v>
      </c>
      <c r="AN2243">
        <v>0</v>
      </c>
      <c r="AO2243" t="s">
        <v>54</v>
      </c>
      <c r="AP2243" t="s">
        <v>53</v>
      </c>
      <c r="AQ2243">
        <v>0</v>
      </c>
      <c r="AR2243" t="s">
        <v>53</v>
      </c>
      <c r="AS2243">
        <v>0</v>
      </c>
      <c r="AT2243">
        <v>0</v>
      </c>
      <c r="AW2243" t="s">
        <v>161</v>
      </c>
      <c r="AX2243">
        <v>50</v>
      </c>
      <c r="AY2243" s="1">
        <v>44075</v>
      </c>
      <c r="AZ2243" s="1">
        <v>44075</v>
      </c>
      <c r="BA2243" s="1">
        <v>44075</v>
      </c>
      <c r="BB2243" s="1">
        <v>62337</v>
      </c>
      <c r="BC2243" t="s">
        <v>51</v>
      </c>
      <c r="BE2243" t="s">
        <v>54</v>
      </c>
      <c r="BF2243">
        <v>0</v>
      </c>
      <c r="BG2243">
        <v>0</v>
      </c>
      <c r="BH2243" t="s">
        <v>53</v>
      </c>
      <c r="BK2243" t="s">
        <v>720</v>
      </c>
      <c r="BL2243">
        <v>17000</v>
      </c>
      <c r="BM2243" s="1">
        <v>44599</v>
      </c>
      <c r="BN2243" s="1">
        <v>44599</v>
      </c>
      <c r="BO2243" s="1">
        <v>44599</v>
      </c>
      <c r="BP2243" s="1">
        <v>46116</v>
      </c>
      <c r="BQ2243" t="s">
        <v>51</v>
      </c>
      <c r="BS2243" t="s">
        <v>78</v>
      </c>
      <c r="BT2243" t="s">
        <v>54</v>
      </c>
      <c r="BU2243" t="s">
        <v>721</v>
      </c>
      <c r="BV2243" t="s">
        <v>722</v>
      </c>
      <c r="BX2243">
        <v>18</v>
      </c>
      <c r="BY2243">
        <v>0</v>
      </c>
      <c r="BZ2243">
        <v>0</v>
      </c>
      <c r="CX2243" t="s">
        <v>674</v>
      </c>
      <c r="CY2243">
        <v>0</v>
      </c>
      <c r="CZ2243" s="1">
        <v>44075</v>
      </c>
      <c r="DA2243" s="1">
        <v>44075</v>
      </c>
      <c r="DB2243" s="1">
        <v>44075</v>
      </c>
      <c r="DC2243" s="1">
        <v>44075</v>
      </c>
      <c r="DD2243" t="s">
        <v>51</v>
      </c>
      <c r="DF2243" t="s">
        <v>54</v>
      </c>
      <c r="DG2243">
        <v>0</v>
      </c>
      <c r="DH2243">
        <v>0</v>
      </c>
    </row>
    <row r="2244" spans="1:112" x14ac:dyDescent="0.2">
      <c r="A2244" t="s">
        <v>1012</v>
      </c>
      <c r="B2244" t="s">
        <v>1013</v>
      </c>
      <c r="C2244" t="s">
        <v>1019</v>
      </c>
      <c r="D2244" t="s">
        <v>1068</v>
      </c>
      <c r="F2244" t="str">
        <f>"254209"</f>
        <v>254209</v>
      </c>
      <c r="G2244" t="s">
        <v>49</v>
      </c>
      <c r="H2244">
        <v>29</v>
      </c>
      <c r="K2244" t="s">
        <v>51</v>
      </c>
      <c r="L2244" t="s">
        <v>52</v>
      </c>
      <c r="M2244">
        <v>131771.70000000001</v>
      </c>
      <c r="N2244">
        <v>473752.85</v>
      </c>
      <c r="O2244" t="s">
        <v>53</v>
      </c>
      <c r="P2244" t="s">
        <v>54</v>
      </c>
      <c r="Q2244" t="s">
        <v>55</v>
      </c>
      <c r="T2244" t="s">
        <v>246</v>
      </c>
      <c r="U2244">
        <v>40</v>
      </c>
      <c r="V2244" s="1">
        <v>20090</v>
      </c>
      <c r="W2244" s="1">
        <v>20090</v>
      </c>
      <c r="X2244" s="1">
        <v>20090</v>
      </c>
      <c r="Y2244" s="1">
        <v>34700</v>
      </c>
      <c r="Z2244" t="s">
        <v>51</v>
      </c>
      <c r="AB2244" t="s">
        <v>54</v>
      </c>
      <c r="AC2244">
        <v>1</v>
      </c>
      <c r="AE2244" t="s">
        <v>243</v>
      </c>
      <c r="AF2244">
        <v>20</v>
      </c>
      <c r="AG2244" s="1">
        <v>42917</v>
      </c>
      <c r="AH2244" s="1">
        <v>42917</v>
      </c>
      <c r="AI2244" s="1">
        <v>42917</v>
      </c>
      <c r="AJ2244" s="1">
        <v>50222</v>
      </c>
      <c r="AK2244" t="s">
        <v>51</v>
      </c>
      <c r="AN2244">
        <v>0</v>
      </c>
      <c r="AO2244" t="s">
        <v>54</v>
      </c>
      <c r="AP2244" t="s">
        <v>53</v>
      </c>
      <c r="AQ2244">
        <v>0</v>
      </c>
      <c r="AR2244" t="s">
        <v>53</v>
      </c>
      <c r="AS2244">
        <v>0</v>
      </c>
      <c r="AT2244">
        <v>0</v>
      </c>
      <c r="AW2244" t="s">
        <v>172</v>
      </c>
      <c r="AX2244">
        <v>15</v>
      </c>
      <c r="AY2244" s="1">
        <v>44320</v>
      </c>
      <c r="AZ2244" s="1">
        <v>44320</v>
      </c>
      <c r="BA2244" s="1">
        <v>44320</v>
      </c>
      <c r="BB2244" s="1">
        <v>49799</v>
      </c>
      <c r="BC2244" t="s">
        <v>51</v>
      </c>
      <c r="BE2244" t="s">
        <v>54</v>
      </c>
      <c r="BF2244">
        <v>40</v>
      </c>
      <c r="BG2244">
        <v>0</v>
      </c>
      <c r="BH2244" t="s">
        <v>145</v>
      </c>
      <c r="CC2244" t="s">
        <v>244</v>
      </c>
      <c r="CD2244">
        <v>100000</v>
      </c>
      <c r="CE2244" s="1">
        <v>44320</v>
      </c>
      <c r="CF2244" s="1">
        <v>44320</v>
      </c>
      <c r="CG2244" s="1">
        <v>44320</v>
      </c>
      <c r="CH2244" s="1">
        <v>52802</v>
      </c>
      <c r="CI2244" t="s">
        <v>51</v>
      </c>
      <c r="CK2244" t="s">
        <v>78</v>
      </c>
      <c r="CM2244" t="s">
        <v>54</v>
      </c>
      <c r="CN2244" t="s">
        <v>174</v>
      </c>
      <c r="CR2244">
        <v>0</v>
      </c>
      <c r="CS2244">
        <v>2150</v>
      </c>
      <c r="CT2244">
        <v>0</v>
      </c>
      <c r="CU2244">
        <v>16</v>
      </c>
      <c r="CX2244" t="s">
        <v>360</v>
      </c>
      <c r="CY2244">
        <v>40</v>
      </c>
      <c r="CZ2244" s="1">
        <v>44320</v>
      </c>
      <c r="DA2244" s="1">
        <v>44320</v>
      </c>
      <c r="DB2244" s="1">
        <v>44320</v>
      </c>
      <c r="DC2244" s="1">
        <v>58930</v>
      </c>
      <c r="DD2244" t="s">
        <v>51</v>
      </c>
      <c r="DF2244" t="s">
        <v>54</v>
      </c>
      <c r="DG2244">
        <v>0</v>
      </c>
      <c r="DH2244">
        <v>0</v>
      </c>
    </row>
    <row r="2245" spans="1:112" x14ac:dyDescent="0.2">
      <c r="A2245" t="s">
        <v>1012</v>
      </c>
      <c r="B2245" t="s">
        <v>1013</v>
      </c>
      <c r="C2245" t="s">
        <v>1019</v>
      </c>
      <c r="D2245" t="s">
        <v>1068</v>
      </c>
      <c r="F2245" t="str">
        <f>"254208"</f>
        <v>254208</v>
      </c>
      <c r="G2245" t="s">
        <v>49</v>
      </c>
      <c r="H2245">
        <v>22</v>
      </c>
      <c r="K2245" t="s">
        <v>51</v>
      </c>
      <c r="L2245" t="s">
        <v>52</v>
      </c>
      <c r="M2245">
        <v>131767.93</v>
      </c>
      <c r="N2245">
        <v>473773.93</v>
      </c>
      <c r="O2245" t="s">
        <v>53</v>
      </c>
      <c r="P2245" t="s">
        <v>54</v>
      </c>
      <c r="Q2245" t="s">
        <v>55</v>
      </c>
      <c r="T2245" t="s">
        <v>246</v>
      </c>
      <c r="U2245">
        <v>40</v>
      </c>
      <c r="V2245" s="1">
        <v>20090</v>
      </c>
      <c r="W2245" s="1">
        <v>20090</v>
      </c>
      <c r="X2245" s="1">
        <v>20090</v>
      </c>
      <c r="Y2245" s="1">
        <v>34700</v>
      </c>
      <c r="Z2245" t="s">
        <v>51</v>
      </c>
      <c r="AB2245" t="s">
        <v>54</v>
      </c>
      <c r="AC2245">
        <v>1</v>
      </c>
      <c r="AE2245" t="s">
        <v>243</v>
      </c>
      <c r="AF2245">
        <v>20</v>
      </c>
      <c r="AG2245" s="1">
        <v>42917</v>
      </c>
      <c r="AH2245" s="1">
        <v>42917</v>
      </c>
      <c r="AI2245" s="1">
        <v>42917</v>
      </c>
      <c r="AJ2245" s="1">
        <v>50222</v>
      </c>
      <c r="AK2245" t="s">
        <v>51</v>
      </c>
      <c r="AN2245">
        <v>0</v>
      </c>
      <c r="AO2245" t="s">
        <v>54</v>
      </c>
      <c r="AP2245" t="s">
        <v>53</v>
      </c>
      <c r="AQ2245">
        <v>0</v>
      </c>
      <c r="AR2245" t="s">
        <v>53</v>
      </c>
      <c r="AS2245">
        <v>0</v>
      </c>
      <c r="AT2245">
        <v>0</v>
      </c>
      <c r="AW2245" t="s">
        <v>172</v>
      </c>
      <c r="AX2245">
        <v>15</v>
      </c>
      <c r="AY2245" s="1">
        <v>44320</v>
      </c>
      <c r="AZ2245" s="1">
        <v>44320</v>
      </c>
      <c r="BA2245" s="1">
        <v>44320</v>
      </c>
      <c r="BB2245" s="1">
        <v>49799</v>
      </c>
      <c r="BC2245" t="s">
        <v>51</v>
      </c>
      <c r="BE2245" t="s">
        <v>54</v>
      </c>
      <c r="BF2245">
        <v>40</v>
      </c>
      <c r="BG2245">
        <v>0</v>
      </c>
      <c r="BH2245" t="s">
        <v>145</v>
      </c>
      <c r="CC2245" t="s">
        <v>244</v>
      </c>
      <c r="CD2245">
        <v>100000</v>
      </c>
      <c r="CE2245" s="1">
        <v>44320</v>
      </c>
      <c r="CF2245" s="1">
        <v>44320</v>
      </c>
      <c r="CG2245" s="1">
        <v>44320</v>
      </c>
      <c r="CH2245" s="1">
        <v>52802</v>
      </c>
      <c r="CI2245" t="s">
        <v>51</v>
      </c>
      <c r="CK2245" t="s">
        <v>78</v>
      </c>
      <c r="CM2245" t="s">
        <v>54</v>
      </c>
      <c r="CN2245" t="s">
        <v>174</v>
      </c>
      <c r="CR2245">
        <v>0</v>
      </c>
      <c r="CS2245">
        <v>2150</v>
      </c>
      <c r="CT2245">
        <v>0</v>
      </c>
      <c r="CU2245">
        <v>16</v>
      </c>
      <c r="CX2245" t="s">
        <v>360</v>
      </c>
      <c r="CY2245">
        <v>40</v>
      </c>
      <c r="CZ2245" s="1">
        <v>44320</v>
      </c>
      <c r="DA2245" s="1">
        <v>44320</v>
      </c>
      <c r="DB2245" s="1">
        <v>44320</v>
      </c>
      <c r="DC2245" s="1">
        <v>58930</v>
      </c>
      <c r="DD2245" t="s">
        <v>51</v>
      </c>
      <c r="DF2245" t="s">
        <v>54</v>
      </c>
      <c r="DG2245">
        <v>0</v>
      </c>
      <c r="DH2245">
        <v>0</v>
      </c>
    </row>
    <row r="2246" spans="1:112" x14ac:dyDescent="0.2">
      <c r="A2246" t="s">
        <v>1012</v>
      </c>
      <c r="B2246" t="s">
        <v>1013</v>
      </c>
      <c r="C2246" t="s">
        <v>1019</v>
      </c>
      <c r="D2246" t="s">
        <v>1068</v>
      </c>
      <c r="F2246" t="str">
        <f>"254207"</f>
        <v>254207</v>
      </c>
      <c r="G2246" t="s">
        <v>49</v>
      </c>
      <c r="H2246">
        <v>11</v>
      </c>
      <c r="K2246" t="s">
        <v>51</v>
      </c>
      <c r="L2246" t="s">
        <v>52</v>
      </c>
      <c r="M2246">
        <v>131775.19</v>
      </c>
      <c r="N2246">
        <v>473807.89</v>
      </c>
      <c r="O2246" t="s">
        <v>53</v>
      </c>
      <c r="P2246" t="s">
        <v>54</v>
      </c>
      <c r="Q2246" t="s">
        <v>55</v>
      </c>
      <c r="T2246" t="s">
        <v>246</v>
      </c>
      <c r="U2246">
        <v>40</v>
      </c>
      <c r="V2246" s="1">
        <v>20090</v>
      </c>
      <c r="W2246" s="1">
        <v>20090</v>
      </c>
      <c r="X2246" s="1">
        <v>20090</v>
      </c>
      <c r="Y2246" s="1">
        <v>34700</v>
      </c>
      <c r="Z2246" t="s">
        <v>51</v>
      </c>
      <c r="AB2246" t="s">
        <v>54</v>
      </c>
      <c r="AC2246">
        <v>1</v>
      </c>
      <c r="AE2246" t="s">
        <v>243</v>
      </c>
      <c r="AF2246">
        <v>20</v>
      </c>
      <c r="AG2246" s="1">
        <v>42917</v>
      </c>
      <c r="AH2246" s="1">
        <v>42917</v>
      </c>
      <c r="AI2246" s="1">
        <v>42917</v>
      </c>
      <c r="AJ2246" s="1">
        <v>50222</v>
      </c>
      <c r="AK2246" t="s">
        <v>51</v>
      </c>
      <c r="AN2246">
        <v>0</v>
      </c>
      <c r="AO2246" t="s">
        <v>54</v>
      </c>
      <c r="AP2246" t="s">
        <v>53</v>
      </c>
      <c r="AQ2246">
        <v>0</v>
      </c>
      <c r="AR2246" t="s">
        <v>53</v>
      </c>
      <c r="AS2246">
        <v>0</v>
      </c>
      <c r="AT2246">
        <v>0</v>
      </c>
      <c r="AW2246" t="s">
        <v>172</v>
      </c>
      <c r="AX2246">
        <v>15</v>
      </c>
      <c r="AY2246" s="1">
        <v>44320</v>
      </c>
      <c r="AZ2246" s="1">
        <v>44320</v>
      </c>
      <c r="BA2246" s="1">
        <v>44320</v>
      </c>
      <c r="BB2246" s="1">
        <v>49799</v>
      </c>
      <c r="BC2246" t="s">
        <v>51</v>
      </c>
      <c r="BE2246" t="s">
        <v>54</v>
      </c>
      <c r="BF2246">
        <v>40</v>
      </c>
      <c r="BG2246">
        <v>0</v>
      </c>
      <c r="BH2246" t="s">
        <v>145</v>
      </c>
      <c r="CC2246" t="s">
        <v>244</v>
      </c>
      <c r="CD2246">
        <v>100000</v>
      </c>
      <c r="CE2246" s="1">
        <v>44320</v>
      </c>
      <c r="CF2246" s="1">
        <v>44320</v>
      </c>
      <c r="CG2246" s="1">
        <v>44320</v>
      </c>
      <c r="CH2246" s="1">
        <v>52802</v>
      </c>
      <c r="CI2246" t="s">
        <v>51</v>
      </c>
      <c r="CK2246" t="s">
        <v>78</v>
      </c>
      <c r="CM2246" t="s">
        <v>54</v>
      </c>
      <c r="CN2246" t="s">
        <v>174</v>
      </c>
      <c r="CR2246">
        <v>0</v>
      </c>
      <c r="CS2246">
        <v>2150</v>
      </c>
      <c r="CT2246">
        <v>0</v>
      </c>
      <c r="CU2246">
        <v>16</v>
      </c>
      <c r="CX2246" t="s">
        <v>360</v>
      </c>
      <c r="CY2246">
        <v>40</v>
      </c>
      <c r="CZ2246" s="1">
        <v>44320</v>
      </c>
      <c r="DA2246" s="1">
        <v>44320</v>
      </c>
      <c r="DB2246" s="1">
        <v>44320</v>
      </c>
      <c r="DC2246" s="1">
        <v>58930</v>
      </c>
      <c r="DD2246" t="s">
        <v>51</v>
      </c>
      <c r="DF2246" t="s">
        <v>54</v>
      </c>
      <c r="DG2246">
        <v>0</v>
      </c>
      <c r="DH2246">
        <v>0</v>
      </c>
    </row>
    <row r="2247" spans="1:112" x14ac:dyDescent="0.2">
      <c r="A2247" t="s">
        <v>1012</v>
      </c>
      <c r="B2247" t="s">
        <v>1013</v>
      </c>
      <c r="C2247" t="s">
        <v>1019</v>
      </c>
      <c r="D2247" t="s">
        <v>1068</v>
      </c>
      <c r="F2247" t="str">
        <f>"254206"</f>
        <v>254206</v>
      </c>
      <c r="G2247" t="s">
        <v>49</v>
      </c>
      <c r="H2247">
        <v>2</v>
      </c>
      <c r="K2247" t="s">
        <v>51</v>
      </c>
      <c r="L2247" t="s">
        <v>52</v>
      </c>
      <c r="M2247">
        <v>131790.04999999999</v>
      </c>
      <c r="N2247">
        <v>473834.4</v>
      </c>
      <c r="O2247" t="s">
        <v>53</v>
      </c>
      <c r="P2247" t="s">
        <v>54</v>
      </c>
      <c r="Q2247" t="s">
        <v>55</v>
      </c>
      <c r="T2247" t="s">
        <v>246</v>
      </c>
      <c r="U2247">
        <v>40</v>
      </c>
      <c r="V2247" s="1">
        <v>44320</v>
      </c>
      <c r="W2247" s="1">
        <v>44320</v>
      </c>
      <c r="X2247" s="1">
        <v>44320</v>
      </c>
      <c r="Y2247" s="1">
        <v>58930</v>
      </c>
      <c r="Z2247" t="s">
        <v>51</v>
      </c>
      <c r="AB2247" t="s">
        <v>54</v>
      </c>
      <c r="AC2247">
        <v>1</v>
      </c>
      <c r="AE2247" t="s">
        <v>243</v>
      </c>
      <c r="AF2247">
        <v>20</v>
      </c>
      <c r="AG2247" s="1">
        <v>44320</v>
      </c>
      <c r="AH2247" s="1">
        <v>44320</v>
      </c>
      <c r="AI2247" s="1">
        <v>44320</v>
      </c>
      <c r="AJ2247" s="1">
        <v>51625</v>
      </c>
      <c r="AK2247" t="s">
        <v>51</v>
      </c>
      <c r="AN2247">
        <v>0</v>
      </c>
      <c r="AO2247" t="s">
        <v>54</v>
      </c>
      <c r="AP2247" t="s">
        <v>53</v>
      </c>
      <c r="AQ2247">
        <v>0</v>
      </c>
      <c r="AR2247" t="s">
        <v>53</v>
      </c>
      <c r="AS2247">
        <v>0</v>
      </c>
      <c r="AT2247">
        <v>0</v>
      </c>
      <c r="AW2247" t="s">
        <v>172</v>
      </c>
      <c r="AX2247">
        <v>15</v>
      </c>
      <c r="AY2247" s="1">
        <v>44320</v>
      </c>
      <c r="AZ2247" s="1">
        <v>44320</v>
      </c>
      <c r="BA2247" s="1">
        <v>44320</v>
      </c>
      <c r="BB2247" s="1">
        <v>49799</v>
      </c>
      <c r="BC2247" t="s">
        <v>51</v>
      </c>
      <c r="BE2247" t="s">
        <v>54</v>
      </c>
      <c r="BF2247">
        <v>40</v>
      </c>
      <c r="BG2247">
        <v>0</v>
      </c>
      <c r="BH2247" t="s">
        <v>145</v>
      </c>
      <c r="CC2247" t="s">
        <v>244</v>
      </c>
      <c r="CD2247">
        <v>100000</v>
      </c>
      <c r="CE2247" s="1">
        <v>44320</v>
      </c>
      <c r="CF2247" s="1">
        <v>44320</v>
      </c>
      <c r="CG2247" s="1">
        <v>44320</v>
      </c>
      <c r="CH2247" s="1">
        <v>52802</v>
      </c>
      <c r="CI2247" t="s">
        <v>51</v>
      </c>
      <c r="CK2247" t="s">
        <v>78</v>
      </c>
      <c r="CM2247" t="s">
        <v>54</v>
      </c>
      <c r="CN2247" t="s">
        <v>174</v>
      </c>
      <c r="CR2247">
        <v>0</v>
      </c>
      <c r="CS2247">
        <v>2150</v>
      </c>
      <c r="CT2247">
        <v>0</v>
      </c>
      <c r="CU2247">
        <v>16</v>
      </c>
      <c r="CX2247" t="s">
        <v>360</v>
      </c>
      <c r="CY2247">
        <v>40</v>
      </c>
      <c r="CZ2247" s="1">
        <v>44320</v>
      </c>
      <c r="DA2247" s="1">
        <v>44320</v>
      </c>
      <c r="DB2247" s="1">
        <v>44320</v>
      </c>
      <c r="DC2247" s="1">
        <v>58930</v>
      </c>
      <c r="DD2247" t="s">
        <v>51</v>
      </c>
      <c r="DF2247" t="s">
        <v>54</v>
      </c>
      <c r="DG2247">
        <v>0</v>
      </c>
      <c r="DH2247">
        <v>0</v>
      </c>
    </row>
    <row r="2248" spans="1:112" x14ac:dyDescent="0.2">
      <c r="A2248" t="s">
        <v>1012</v>
      </c>
      <c r="B2248" t="s">
        <v>1013</v>
      </c>
      <c r="C2248" t="s">
        <v>1019</v>
      </c>
      <c r="D2248" t="s">
        <v>1069</v>
      </c>
      <c r="F2248" t="str">
        <f>"251726"</f>
        <v>251726</v>
      </c>
      <c r="G2248" t="s">
        <v>49</v>
      </c>
      <c r="H2248">
        <v>2</v>
      </c>
      <c r="K2248" t="s">
        <v>51</v>
      </c>
      <c r="L2248" t="s">
        <v>52</v>
      </c>
      <c r="M2248">
        <v>131840.09</v>
      </c>
      <c r="N2248">
        <v>473784.33</v>
      </c>
      <c r="O2248" t="s">
        <v>53</v>
      </c>
      <c r="P2248" t="s">
        <v>54</v>
      </c>
      <c r="Q2248" t="s">
        <v>55</v>
      </c>
      <c r="T2248" t="s">
        <v>100</v>
      </c>
      <c r="U2248">
        <v>40</v>
      </c>
      <c r="V2248" s="1">
        <v>28126</v>
      </c>
      <c r="W2248" s="1">
        <v>28126</v>
      </c>
      <c r="X2248" s="1">
        <v>28126</v>
      </c>
      <c r="Y2248" s="1">
        <v>42736</v>
      </c>
      <c r="Z2248" t="s">
        <v>51</v>
      </c>
      <c r="AB2248" t="s">
        <v>54</v>
      </c>
      <c r="AC2248">
        <v>1</v>
      </c>
      <c r="AE2248" t="s">
        <v>243</v>
      </c>
      <c r="AF2248">
        <v>20</v>
      </c>
      <c r="AG2248" s="1">
        <v>35247</v>
      </c>
      <c r="AH2248" s="1">
        <v>35247</v>
      </c>
      <c r="AI2248" s="1">
        <v>35247</v>
      </c>
      <c r="AJ2248" s="1">
        <v>42552</v>
      </c>
      <c r="AK2248" t="s">
        <v>51</v>
      </c>
      <c r="AN2248">
        <v>0</v>
      </c>
      <c r="AO2248" t="s">
        <v>54</v>
      </c>
      <c r="AP2248" t="s">
        <v>53</v>
      </c>
      <c r="AQ2248">
        <v>0</v>
      </c>
      <c r="AR2248" t="s">
        <v>53</v>
      </c>
      <c r="AS2248">
        <v>0</v>
      </c>
      <c r="AT2248">
        <v>0</v>
      </c>
      <c r="AW2248" t="s">
        <v>172</v>
      </c>
      <c r="AX2248">
        <v>15</v>
      </c>
      <c r="AY2248" s="1">
        <v>44320</v>
      </c>
      <c r="AZ2248" s="1">
        <v>44320</v>
      </c>
      <c r="BA2248" s="1">
        <v>44320</v>
      </c>
      <c r="BB2248" s="1">
        <v>49799</v>
      </c>
      <c r="BC2248" t="s">
        <v>51</v>
      </c>
      <c r="BE2248" t="s">
        <v>54</v>
      </c>
      <c r="BF2248">
        <v>40</v>
      </c>
      <c r="BG2248">
        <v>0</v>
      </c>
      <c r="BH2248" t="s">
        <v>145</v>
      </c>
      <c r="CC2248" t="s">
        <v>244</v>
      </c>
      <c r="CD2248">
        <v>100000</v>
      </c>
      <c r="CE2248" s="1">
        <v>44320</v>
      </c>
      <c r="CF2248" s="1">
        <v>44320</v>
      </c>
      <c r="CG2248" s="1">
        <v>44320</v>
      </c>
      <c r="CH2248" s="1">
        <v>52802</v>
      </c>
      <c r="CI2248" t="s">
        <v>51</v>
      </c>
      <c r="CK2248" t="s">
        <v>78</v>
      </c>
      <c r="CM2248" t="s">
        <v>54</v>
      </c>
      <c r="CN2248" t="s">
        <v>174</v>
      </c>
      <c r="CR2248">
        <v>0</v>
      </c>
      <c r="CS2248">
        <v>2150</v>
      </c>
      <c r="CT2248">
        <v>0</v>
      </c>
      <c r="CU2248">
        <v>16</v>
      </c>
      <c r="CX2248" t="s">
        <v>674</v>
      </c>
      <c r="CY2248">
        <v>0</v>
      </c>
      <c r="CZ2248" s="1">
        <v>44320</v>
      </c>
      <c r="DA2248" s="1">
        <v>44320</v>
      </c>
      <c r="DB2248" s="1">
        <v>44320</v>
      </c>
      <c r="DC2248" s="1">
        <v>44320</v>
      </c>
      <c r="DD2248" t="s">
        <v>51</v>
      </c>
      <c r="DF2248" t="s">
        <v>54</v>
      </c>
      <c r="DG2248">
        <v>0</v>
      </c>
      <c r="DH2248">
        <v>0</v>
      </c>
    </row>
    <row r="2249" spans="1:112" x14ac:dyDescent="0.2">
      <c r="A2249" t="s">
        <v>1012</v>
      </c>
      <c r="B2249" t="s">
        <v>1013</v>
      </c>
      <c r="C2249" t="s">
        <v>1019</v>
      </c>
      <c r="D2249" t="s">
        <v>1069</v>
      </c>
      <c r="F2249" t="str">
        <f>"251727"</f>
        <v>251727</v>
      </c>
      <c r="G2249" t="s">
        <v>49</v>
      </c>
      <c r="H2249">
        <v>8</v>
      </c>
      <c r="K2249" t="s">
        <v>51</v>
      </c>
      <c r="L2249" t="s">
        <v>52</v>
      </c>
      <c r="M2249">
        <v>131862.56</v>
      </c>
      <c r="N2249">
        <v>473778.41</v>
      </c>
      <c r="O2249" t="s">
        <v>53</v>
      </c>
      <c r="P2249" t="s">
        <v>54</v>
      </c>
      <c r="Q2249" t="s">
        <v>55</v>
      </c>
      <c r="T2249" t="s">
        <v>100</v>
      </c>
      <c r="U2249">
        <v>40</v>
      </c>
      <c r="V2249" s="1">
        <v>28126</v>
      </c>
      <c r="W2249" s="1">
        <v>28126</v>
      </c>
      <c r="X2249" s="1">
        <v>28126</v>
      </c>
      <c r="Y2249" s="1">
        <v>42736</v>
      </c>
      <c r="Z2249" t="s">
        <v>51</v>
      </c>
      <c r="AB2249" t="s">
        <v>54</v>
      </c>
      <c r="AC2249">
        <v>1</v>
      </c>
      <c r="AE2249" t="s">
        <v>243</v>
      </c>
      <c r="AF2249">
        <v>20</v>
      </c>
      <c r="AG2249" s="1">
        <v>35247</v>
      </c>
      <c r="AH2249" s="1">
        <v>35247</v>
      </c>
      <c r="AI2249" s="1">
        <v>35247</v>
      </c>
      <c r="AJ2249" s="1">
        <v>42552</v>
      </c>
      <c r="AK2249" t="s">
        <v>51</v>
      </c>
      <c r="AN2249">
        <v>0</v>
      </c>
      <c r="AO2249" t="s">
        <v>54</v>
      </c>
      <c r="AP2249" t="s">
        <v>53</v>
      </c>
      <c r="AQ2249">
        <v>0</v>
      </c>
      <c r="AR2249" t="s">
        <v>53</v>
      </c>
      <c r="AS2249">
        <v>0</v>
      </c>
      <c r="AT2249">
        <v>0</v>
      </c>
      <c r="AW2249" t="s">
        <v>172</v>
      </c>
      <c r="AX2249">
        <v>15</v>
      </c>
      <c r="AY2249" s="1">
        <v>44320</v>
      </c>
      <c r="AZ2249" s="1">
        <v>44320</v>
      </c>
      <c r="BA2249" s="1">
        <v>44320</v>
      </c>
      <c r="BB2249" s="1">
        <v>49799</v>
      </c>
      <c r="BC2249" t="s">
        <v>51</v>
      </c>
      <c r="BE2249" t="s">
        <v>54</v>
      </c>
      <c r="BF2249">
        <v>40</v>
      </c>
      <c r="BG2249">
        <v>0</v>
      </c>
      <c r="BH2249" t="s">
        <v>145</v>
      </c>
      <c r="CC2249" t="s">
        <v>244</v>
      </c>
      <c r="CD2249">
        <v>100000</v>
      </c>
      <c r="CE2249" s="1">
        <v>44320</v>
      </c>
      <c r="CF2249" s="1">
        <v>44320</v>
      </c>
      <c r="CG2249" s="1">
        <v>44320</v>
      </c>
      <c r="CH2249" s="1">
        <v>52802</v>
      </c>
      <c r="CI2249" t="s">
        <v>51</v>
      </c>
      <c r="CK2249" t="s">
        <v>78</v>
      </c>
      <c r="CM2249" t="s">
        <v>54</v>
      </c>
      <c r="CN2249" t="s">
        <v>174</v>
      </c>
      <c r="CR2249">
        <v>0</v>
      </c>
      <c r="CS2249">
        <v>2150</v>
      </c>
      <c r="CT2249">
        <v>0</v>
      </c>
      <c r="CU2249">
        <v>16</v>
      </c>
      <c r="CX2249" t="s">
        <v>674</v>
      </c>
      <c r="CY2249">
        <v>0</v>
      </c>
      <c r="CZ2249" s="1">
        <v>44320</v>
      </c>
      <c r="DA2249" s="1">
        <v>44320</v>
      </c>
      <c r="DB2249" s="1">
        <v>44320</v>
      </c>
      <c r="DC2249" s="1">
        <v>44320</v>
      </c>
      <c r="DD2249" t="s">
        <v>51</v>
      </c>
      <c r="DF2249" t="s">
        <v>54</v>
      </c>
      <c r="DG2249">
        <v>0</v>
      </c>
      <c r="DH2249">
        <v>0</v>
      </c>
    </row>
    <row r="2250" spans="1:112" x14ac:dyDescent="0.2">
      <c r="A2250" t="s">
        <v>1012</v>
      </c>
      <c r="B2250" t="s">
        <v>1013</v>
      </c>
      <c r="C2250" t="s">
        <v>1019</v>
      </c>
      <c r="D2250" t="s">
        <v>1069</v>
      </c>
      <c r="F2250" t="str">
        <f>"251728"</f>
        <v>251728</v>
      </c>
      <c r="G2250" t="s">
        <v>49</v>
      </c>
      <c r="H2250">
        <v>11</v>
      </c>
      <c r="K2250" t="s">
        <v>51</v>
      </c>
      <c r="L2250" t="s">
        <v>52</v>
      </c>
      <c r="M2250">
        <v>131870.09</v>
      </c>
      <c r="N2250">
        <v>473759.76</v>
      </c>
      <c r="O2250" t="s">
        <v>53</v>
      </c>
      <c r="P2250" t="s">
        <v>54</v>
      </c>
      <c r="Q2250" t="s">
        <v>55</v>
      </c>
      <c r="T2250" t="s">
        <v>100</v>
      </c>
      <c r="U2250">
        <v>40</v>
      </c>
      <c r="V2250" s="1">
        <v>28126</v>
      </c>
      <c r="W2250" s="1">
        <v>28126</v>
      </c>
      <c r="X2250" s="1">
        <v>28126</v>
      </c>
      <c r="Y2250" s="1">
        <v>42736</v>
      </c>
      <c r="Z2250" t="s">
        <v>51</v>
      </c>
      <c r="AB2250" t="s">
        <v>54</v>
      </c>
      <c r="AC2250">
        <v>1</v>
      </c>
      <c r="AE2250" t="s">
        <v>243</v>
      </c>
      <c r="AF2250">
        <v>20</v>
      </c>
      <c r="AG2250" s="1">
        <v>35247</v>
      </c>
      <c r="AH2250" s="1">
        <v>35247</v>
      </c>
      <c r="AI2250" s="1">
        <v>35247</v>
      </c>
      <c r="AJ2250" s="1">
        <v>42552</v>
      </c>
      <c r="AK2250" t="s">
        <v>51</v>
      </c>
      <c r="AN2250">
        <v>0</v>
      </c>
      <c r="AO2250" t="s">
        <v>54</v>
      </c>
      <c r="AP2250" t="s">
        <v>53</v>
      </c>
      <c r="AQ2250">
        <v>0</v>
      </c>
      <c r="AR2250" t="s">
        <v>53</v>
      </c>
      <c r="AS2250">
        <v>0</v>
      </c>
      <c r="AT2250">
        <v>0</v>
      </c>
      <c r="AW2250" t="s">
        <v>172</v>
      </c>
      <c r="AX2250">
        <v>15</v>
      </c>
      <c r="AY2250" s="1">
        <v>44320</v>
      </c>
      <c r="AZ2250" s="1">
        <v>44320</v>
      </c>
      <c r="BA2250" s="1">
        <v>44320</v>
      </c>
      <c r="BB2250" s="1">
        <v>49799</v>
      </c>
      <c r="BC2250" t="s">
        <v>51</v>
      </c>
      <c r="BE2250" t="s">
        <v>54</v>
      </c>
      <c r="BF2250">
        <v>40</v>
      </c>
      <c r="BG2250">
        <v>0</v>
      </c>
      <c r="BH2250" t="s">
        <v>145</v>
      </c>
      <c r="CC2250" t="s">
        <v>244</v>
      </c>
      <c r="CD2250">
        <v>100000</v>
      </c>
      <c r="CE2250" s="1">
        <v>44320</v>
      </c>
      <c r="CF2250" s="1">
        <v>44320</v>
      </c>
      <c r="CG2250" s="1">
        <v>44320</v>
      </c>
      <c r="CH2250" s="1">
        <v>52802</v>
      </c>
      <c r="CI2250" t="s">
        <v>51</v>
      </c>
      <c r="CK2250" t="s">
        <v>78</v>
      </c>
      <c r="CM2250" t="s">
        <v>54</v>
      </c>
      <c r="CN2250" t="s">
        <v>174</v>
      </c>
      <c r="CR2250">
        <v>0</v>
      </c>
      <c r="CS2250">
        <v>2150</v>
      </c>
      <c r="CT2250">
        <v>0</v>
      </c>
      <c r="CU2250">
        <v>16</v>
      </c>
      <c r="CX2250" t="s">
        <v>674</v>
      </c>
      <c r="CY2250">
        <v>0</v>
      </c>
      <c r="CZ2250" s="1">
        <v>44320</v>
      </c>
      <c r="DA2250" s="1">
        <v>44320</v>
      </c>
      <c r="DB2250" s="1">
        <v>44320</v>
      </c>
      <c r="DC2250" s="1">
        <v>44320</v>
      </c>
      <c r="DD2250" t="s">
        <v>51</v>
      </c>
      <c r="DF2250" t="s">
        <v>54</v>
      </c>
      <c r="DG2250">
        <v>0</v>
      </c>
      <c r="DH2250">
        <v>0</v>
      </c>
    </row>
    <row r="2251" spans="1:112" x14ac:dyDescent="0.2">
      <c r="A2251" t="s">
        <v>1012</v>
      </c>
      <c r="B2251" t="s">
        <v>1013</v>
      </c>
      <c r="C2251" t="s">
        <v>1019</v>
      </c>
      <c r="D2251" t="s">
        <v>1069</v>
      </c>
      <c r="F2251" t="str">
        <f>"251729"</f>
        <v>251729</v>
      </c>
      <c r="G2251" t="s">
        <v>49</v>
      </c>
      <c r="H2251">
        <v>16</v>
      </c>
      <c r="K2251" t="s">
        <v>51</v>
      </c>
      <c r="L2251" t="s">
        <v>52</v>
      </c>
      <c r="M2251">
        <v>131881.26999999999</v>
      </c>
      <c r="N2251">
        <v>473734.16</v>
      </c>
      <c r="O2251" t="s">
        <v>53</v>
      </c>
      <c r="P2251" t="s">
        <v>54</v>
      </c>
      <c r="Q2251" t="s">
        <v>55</v>
      </c>
      <c r="T2251" t="s">
        <v>100</v>
      </c>
      <c r="U2251">
        <v>40</v>
      </c>
      <c r="V2251" s="1">
        <v>28126</v>
      </c>
      <c r="W2251" s="1">
        <v>28126</v>
      </c>
      <c r="X2251" s="1">
        <v>28126</v>
      </c>
      <c r="Y2251" s="1">
        <v>42736</v>
      </c>
      <c r="Z2251" t="s">
        <v>51</v>
      </c>
      <c r="AB2251" t="s">
        <v>54</v>
      </c>
      <c r="AC2251">
        <v>1</v>
      </c>
      <c r="AE2251" t="s">
        <v>243</v>
      </c>
      <c r="AF2251">
        <v>20</v>
      </c>
      <c r="AG2251" s="1">
        <v>35247</v>
      </c>
      <c r="AH2251" s="1">
        <v>35247</v>
      </c>
      <c r="AI2251" s="1">
        <v>35247</v>
      </c>
      <c r="AJ2251" s="1">
        <v>42552</v>
      </c>
      <c r="AK2251" t="s">
        <v>51</v>
      </c>
      <c r="AN2251">
        <v>0</v>
      </c>
      <c r="AO2251" t="s">
        <v>54</v>
      </c>
      <c r="AP2251" t="s">
        <v>53</v>
      </c>
      <c r="AQ2251">
        <v>0</v>
      </c>
      <c r="AR2251" t="s">
        <v>53</v>
      </c>
      <c r="AS2251">
        <v>0</v>
      </c>
      <c r="AT2251">
        <v>0</v>
      </c>
      <c r="CC2251" t="s">
        <v>250</v>
      </c>
      <c r="CD2251">
        <v>100000</v>
      </c>
      <c r="CE2251" s="1">
        <v>44320</v>
      </c>
      <c r="CF2251" s="1">
        <v>44320</v>
      </c>
      <c r="CG2251" s="1">
        <v>44320</v>
      </c>
      <c r="CH2251" s="1">
        <v>53302</v>
      </c>
      <c r="CI2251" t="s">
        <v>51</v>
      </c>
      <c r="CK2251" t="s">
        <v>78</v>
      </c>
      <c r="CM2251" t="s">
        <v>54</v>
      </c>
      <c r="CN2251" t="s">
        <v>174</v>
      </c>
      <c r="CR2251">
        <v>13.2</v>
      </c>
      <c r="CS2251">
        <v>1800</v>
      </c>
      <c r="CT2251">
        <v>0</v>
      </c>
      <c r="CU2251">
        <v>16</v>
      </c>
    </row>
    <row r="2252" spans="1:112" x14ac:dyDescent="0.2">
      <c r="A2252" t="s">
        <v>1012</v>
      </c>
      <c r="B2252" t="s">
        <v>1013</v>
      </c>
      <c r="C2252" t="s">
        <v>1019</v>
      </c>
      <c r="D2252" t="s">
        <v>1069</v>
      </c>
      <c r="F2252" t="str">
        <f>"251730"</f>
        <v>251730</v>
      </c>
      <c r="G2252" t="s">
        <v>49</v>
      </c>
      <c r="H2252">
        <v>18</v>
      </c>
      <c r="K2252" t="s">
        <v>51</v>
      </c>
      <c r="L2252" t="s">
        <v>52</v>
      </c>
      <c r="M2252">
        <v>131879</v>
      </c>
      <c r="N2252">
        <v>473716.31</v>
      </c>
      <c r="O2252" t="s">
        <v>53</v>
      </c>
      <c r="P2252" t="s">
        <v>54</v>
      </c>
      <c r="Q2252" t="s">
        <v>55</v>
      </c>
      <c r="T2252" t="s">
        <v>100</v>
      </c>
      <c r="U2252">
        <v>40</v>
      </c>
      <c r="V2252" s="1">
        <v>28126</v>
      </c>
      <c r="W2252" s="1">
        <v>28126</v>
      </c>
      <c r="X2252" s="1">
        <v>28126</v>
      </c>
      <c r="Y2252" s="1">
        <v>42736</v>
      </c>
      <c r="Z2252" t="s">
        <v>51</v>
      </c>
      <c r="AB2252" t="s">
        <v>54</v>
      </c>
      <c r="AC2252">
        <v>1</v>
      </c>
      <c r="AE2252" t="s">
        <v>243</v>
      </c>
      <c r="AF2252">
        <v>20</v>
      </c>
      <c r="AG2252" s="1">
        <v>35247</v>
      </c>
      <c r="AH2252" s="1">
        <v>35247</v>
      </c>
      <c r="AI2252" s="1">
        <v>35247</v>
      </c>
      <c r="AJ2252" s="1">
        <v>42552</v>
      </c>
      <c r="AK2252" t="s">
        <v>51</v>
      </c>
      <c r="AN2252">
        <v>0</v>
      </c>
      <c r="AO2252" t="s">
        <v>54</v>
      </c>
      <c r="AP2252" t="s">
        <v>53</v>
      </c>
      <c r="AQ2252">
        <v>0</v>
      </c>
      <c r="AR2252" t="s">
        <v>53</v>
      </c>
      <c r="AS2252">
        <v>0</v>
      </c>
      <c r="AT2252">
        <v>0</v>
      </c>
      <c r="AW2252" t="s">
        <v>172</v>
      </c>
      <c r="AX2252">
        <v>15</v>
      </c>
      <c r="AY2252" s="1">
        <v>44320</v>
      </c>
      <c r="AZ2252" s="1">
        <v>44320</v>
      </c>
      <c r="BA2252" s="1">
        <v>44320</v>
      </c>
      <c r="BB2252" s="1">
        <v>49799</v>
      </c>
      <c r="BC2252" t="s">
        <v>51</v>
      </c>
      <c r="BE2252" t="s">
        <v>54</v>
      </c>
      <c r="BF2252">
        <v>40</v>
      </c>
      <c r="BG2252">
        <v>0</v>
      </c>
      <c r="BH2252" t="s">
        <v>145</v>
      </c>
      <c r="CC2252" t="s">
        <v>244</v>
      </c>
      <c r="CD2252">
        <v>100000</v>
      </c>
      <c r="CE2252" s="1">
        <v>44320</v>
      </c>
      <c r="CF2252" s="1">
        <v>44320</v>
      </c>
      <c r="CG2252" s="1">
        <v>44320</v>
      </c>
      <c r="CH2252" s="1">
        <v>52802</v>
      </c>
      <c r="CI2252" t="s">
        <v>51</v>
      </c>
      <c r="CK2252" t="s">
        <v>78</v>
      </c>
      <c r="CM2252" t="s">
        <v>54</v>
      </c>
      <c r="CN2252" t="s">
        <v>174</v>
      </c>
      <c r="CR2252">
        <v>0</v>
      </c>
      <c r="CS2252">
        <v>2150</v>
      </c>
      <c r="CT2252">
        <v>0</v>
      </c>
      <c r="CU2252">
        <v>16</v>
      </c>
      <c r="CX2252" t="s">
        <v>674</v>
      </c>
      <c r="CY2252">
        <v>0</v>
      </c>
      <c r="CZ2252" s="1">
        <v>44320</v>
      </c>
      <c r="DA2252" s="1">
        <v>44320</v>
      </c>
      <c r="DB2252" s="1">
        <v>44320</v>
      </c>
      <c r="DC2252" s="1">
        <v>44320</v>
      </c>
      <c r="DD2252" t="s">
        <v>51</v>
      </c>
      <c r="DF2252" t="s">
        <v>54</v>
      </c>
      <c r="DG2252">
        <v>0</v>
      </c>
      <c r="DH2252">
        <v>0</v>
      </c>
    </row>
    <row r="2253" spans="1:112" x14ac:dyDescent="0.2">
      <c r="A2253" t="s">
        <v>1012</v>
      </c>
      <c r="B2253" t="s">
        <v>1013</v>
      </c>
      <c r="C2253" t="s">
        <v>1019</v>
      </c>
      <c r="D2253" t="s">
        <v>1069</v>
      </c>
      <c r="F2253" t="str">
        <f>"251731"</f>
        <v>251731</v>
      </c>
      <c r="G2253" t="s">
        <v>49</v>
      </c>
      <c r="H2253">
        <v>24</v>
      </c>
      <c r="K2253" t="s">
        <v>51</v>
      </c>
      <c r="L2253" t="s">
        <v>52</v>
      </c>
      <c r="M2253">
        <v>131883.87</v>
      </c>
      <c r="N2253">
        <v>473696.32</v>
      </c>
      <c r="O2253" t="s">
        <v>53</v>
      </c>
      <c r="P2253" t="s">
        <v>54</v>
      </c>
      <c r="Q2253" t="s">
        <v>55</v>
      </c>
      <c r="T2253" t="s">
        <v>100</v>
      </c>
      <c r="U2253">
        <v>40</v>
      </c>
      <c r="V2253" s="1">
        <v>28126</v>
      </c>
      <c r="W2253" s="1">
        <v>28126</v>
      </c>
      <c r="X2253" s="1">
        <v>28126</v>
      </c>
      <c r="Y2253" s="1">
        <v>42736</v>
      </c>
      <c r="Z2253" t="s">
        <v>51</v>
      </c>
      <c r="AB2253" t="s">
        <v>54</v>
      </c>
      <c r="AC2253">
        <v>1</v>
      </c>
      <c r="AE2253" t="s">
        <v>243</v>
      </c>
      <c r="AF2253">
        <v>20</v>
      </c>
      <c r="AG2253" s="1">
        <v>35247</v>
      </c>
      <c r="AH2253" s="1">
        <v>35247</v>
      </c>
      <c r="AI2253" s="1">
        <v>35247</v>
      </c>
      <c r="AJ2253" s="1">
        <v>42552</v>
      </c>
      <c r="AK2253" t="s">
        <v>51</v>
      </c>
      <c r="AN2253">
        <v>0</v>
      </c>
      <c r="AO2253" t="s">
        <v>54</v>
      </c>
      <c r="AP2253" t="s">
        <v>53</v>
      </c>
      <c r="AQ2253">
        <v>0</v>
      </c>
      <c r="AR2253" t="s">
        <v>53</v>
      </c>
      <c r="AS2253">
        <v>0</v>
      </c>
      <c r="AT2253">
        <v>0</v>
      </c>
      <c r="AW2253" t="s">
        <v>172</v>
      </c>
      <c r="AX2253">
        <v>15</v>
      </c>
      <c r="AY2253" s="1">
        <v>44320</v>
      </c>
      <c r="AZ2253" s="1">
        <v>44320</v>
      </c>
      <c r="BA2253" s="1">
        <v>44320</v>
      </c>
      <c r="BB2253" s="1">
        <v>49799</v>
      </c>
      <c r="BC2253" t="s">
        <v>51</v>
      </c>
      <c r="BE2253" t="s">
        <v>54</v>
      </c>
      <c r="BF2253">
        <v>40</v>
      </c>
      <c r="BG2253">
        <v>0</v>
      </c>
      <c r="BH2253" t="s">
        <v>145</v>
      </c>
      <c r="CC2253" t="s">
        <v>244</v>
      </c>
      <c r="CD2253">
        <v>100000</v>
      </c>
      <c r="CE2253" s="1">
        <v>44320</v>
      </c>
      <c r="CF2253" s="1">
        <v>44320</v>
      </c>
      <c r="CG2253" s="1">
        <v>44320</v>
      </c>
      <c r="CH2253" s="1">
        <v>52802</v>
      </c>
      <c r="CI2253" t="s">
        <v>51</v>
      </c>
      <c r="CK2253" t="s">
        <v>78</v>
      </c>
      <c r="CM2253" t="s">
        <v>54</v>
      </c>
      <c r="CN2253" t="s">
        <v>174</v>
      </c>
      <c r="CR2253">
        <v>0</v>
      </c>
      <c r="CS2253">
        <v>2150</v>
      </c>
      <c r="CT2253">
        <v>0</v>
      </c>
      <c r="CU2253">
        <v>16</v>
      </c>
      <c r="CX2253" t="s">
        <v>674</v>
      </c>
      <c r="CY2253">
        <v>0</v>
      </c>
      <c r="CZ2253" s="1">
        <v>44320</v>
      </c>
      <c r="DA2253" s="1">
        <v>44320</v>
      </c>
      <c r="DB2253" s="1">
        <v>44320</v>
      </c>
      <c r="DC2253" s="1">
        <v>44320</v>
      </c>
      <c r="DD2253" t="s">
        <v>51</v>
      </c>
      <c r="DF2253" t="s">
        <v>54</v>
      </c>
      <c r="DG2253">
        <v>0</v>
      </c>
      <c r="DH2253">
        <v>0</v>
      </c>
    </row>
    <row r="2254" spans="1:112" x14ac:dyDescent="0.2">
      <c r="A2254" t="s">
        <v>1012</v>
      </c>
      <c r="B2254" t="s">
        <v>1013</v>
      </c>
      <c r="C2254" t="s">
        <v>1019</v>
      </c>
      <c r="D2254" t="s">
        <v>1069</v>
      </c>
      <c r="F2254" t="str">
        <f>"251732"</f>
        <v>251732</v>
      </c>
      <c r="G2254" t="s">
        <v>49</v>
      </c>
      <c r="H2254">
        <v>22</v>
      </c>
      <c r="K2254" t="s">
        <v>51</v>
      </c>
      <c r="L2254" t="s">
        <v>52</v>
      </c>
      <c r="M2254">
        <v>131856.5</v>
      </c>
      <c r="N2254">
        <v>473700.35</v>
      </c>
      <c r="O2254" t="s">
        <v>53</v>
      </c>
      <c r="P2254" t="s">
        <v>54</v>
      </c>
      <c r="Q2254" t="s">
        <v>55</v>
      </c>
      <c r="T2254" t="s">
        <v>100</v>
      </c>
      <c r="U2254">
        <v>40</v>
      </c>
      <c r="V2254" s="1">
        <v>28126</v>
      </c>
      <c r="W2254" s="1">
        <v>28126</v>
      </c>
      <c r="X2254" s="1">
        <v>28126</v>
      </c>
      <c r="Y2254" s="1">
        <v>42736</v>
      </c>
      <c r="Z2254" t="s">
        <v>51</v>
      </c>
      <c r="AB2254" t="s">
        <v>54</v>
      </c>
      <c r="AC2254">
        <v>1</v>
      </c>
      <c r="AE2254" t="s">
        <v>243</v>
      </c>
      <c r="AF2254">
        <v>20</v>
      </c>
      <c r="AG2254" s="1">
        <v>35247</v>
      </c>
      <c r="AH2254" s="1">
        <v>35247</v>
      </c>
      <c r="AI2254" s="1">
        <v>35247</v>
      </c>
      <c r="AJ2254" s="1">
        <v>42552</v>
      </c>
      <c r="AK2254" t="s">
        <v>51</v>
      </c>
      <c r="AN2254">
        <v>0</v>
      </c>
      <c r="AO2254" t="s">
        <v>54</v>
      </c>
      <c r="AP2254" t="s">
        <v>53</v>
      </c>
      <c r="AQ2254">
        <v>0</v>
      </c>
      <c r="AR2254" t="s">
        <v>53</v>
      </c>
      <c r="AS2254">
        <v>0</v>
      </c>
      <c r="AT2254">
        <v>0</v>
      </c>
      <c r="AW2254" t="s">
        <v>172</v>
      </c>
      <c r="AX2254">
        <v>15</v>
      </c>
      <c r="AY2254" s="1">
        <v>44320</v>
      </c>
      <c r="AZ2254" s="1">
        <v>44320</v>
      </c>
      <c r="BA2254" s="1">
        <v>44320</v>
      </c>
      <c r="BB2254" s="1">
        <v>49799</v>
      </c>
      <c r="BC2254" t="s">
        <v>51</v>
      </c>
      <c r="BE2254" t="s">
        <v>54</v>
      </c>
      <c r="BF2254">
        <v>40</v>
      </c>
      <c r="BG2254">
        <v>0</v>
      </c>
      <c r="BH2254" t="s">
        <v>145</v>
      </c>
      <c r="CC2254" t="s">
        <v>244</v>
      </c>
      <c r="CD2254">
        <v>100000</v>
      </c>
      <c r="CE2254" s="1">
        <v>44320</v>
      </c>
      <c r="CF2254" s="1">
        <v>44320</v>
      </c>
      <c r="CG2254" s="1">
        <v>44320</v>
      </c>
      <c r="CH2254" s="1">
        <v>52802</v>
      </c>
      <c r="CI2254" t="s">
        <v>51</v>
      </c>
      <c r="CK2254" t="s">
        <v>78</v>
      </c>
      <c r="CM2254" t="s">
        <v>54</v>
      </c>
      <c r="CN2254" t="s">
        <v>174</v>
      </c>
      <c r="CR2254">
        <v>0</v>
      </c>
      <c r="CS2254">
        <v>2150</v>
      </c>
      <c r="CT2254">
        <v>0</v>
      </c>
      <c r="CU2254">
        <v>16</v>
      </c>
      <c r="CX2254" t="s">
        <v>674</v>
      </c>
      <c r="CY2254">
        <v>0</v>
      </c>
      <c r="CZ2254" s="1">
        <v>44320</v>
      </c>
      <c r="DA2254" s="1">
        <v>44320</v>
      </c>
      <c r="DB2254" s="1">
        <v>44320</v>
      </c>
      <c r="DC2254" s="1">
        <v>44320</v>
      </c>
      <c r="DD2254" t="s">
        <v>51</v>
      </c>
      <c r="DF2254" t="s">
        <v>54</v>
      </c>
      <c r="DG2254">
        <v>0</v>
      </c>
      <c r="DH2254">
        <v>0</v>
      </c>
    </row>
    <row r="2255" spans="1:112" x14ac:dyDescent="0.2">
      <c r="A2255" t="s">
        <v>1012</v>
      </c>
      <c r="B2255" t="s">
        <v>1013</v>
      </c>
      <c r="C2255" t="s">
        <v>1019</v>
      </c>
      <c r="D2255" t="s">
        <v>1069</v>
      </c>
      <c r="F2255" t="str">
        <f>"251733"</f>
        <v>251733</v>
      </c>
      <c r="G2255" t="s">
        <v>49</v>
      </c>
      <c r="H2255">
        <v>13</v>
      </c>
      <c r="K2255" t="s">
        <v>51</v>
      </c>
      <c r="L2255" t="s">
        <v>52</v>
      </c>
      <c r="M2255">
        <v>131896.17000000001</v>
      </c>
      <c r="N2255">
        <v>473719.9</v>
      </c>
      <c r="O2255" t="s">
        <v>53</v>
      </c>
      <c r="P2255" t="s">
        <v>54</v>
      </c>
      <c r="Q2255" t="s">
        <v>55</v>
      </c>
      <c r="T2255" t="s">
        <v>100</v>
      </c>
      <c r="U2255">
        <v>40</v>
      </c>
      <c r="V2255" s="1">
        <v>28126</v>
      </c>
      <c r="W2255" s="1">
        <v>28126</v>
      </c>
      <c r="X2255" s="1">
        <v>28126</v>
      </c>
      <c r="Y2255" s="1">
        <v>42736</v>
      </c>
      <c r="Z2255" t="s">
        <v>51</v>
      </c>
      <c r="AB2255" t="s">
        <v>54</v>
      </c>
      <c r="AC2255">
        <v>1</v>
      </c>
      <c r="AE2255" t="s">
        <v>243</v>
      </c>
      <c r="AF2255">
        <v>20</v>
      </c>
      <c r="AG2255" s="1">
        <v>35247</v>
      </c>
      <c r="AH2255" s="1">
        <v>35247</v>
      </c>
      <c r="AI2255" s="1">
        <v>35247</v>
      </c>
      <c r="AJ2255" s="1">
        <v>42552</v>
      </c>
      <c r="AK2255" t="s">
        <v>51</v>
      </c>
      <c r="AN2255">
        <v>0</v>
      </c>
      <c r="AO2255" t="s">
        <v>54</v>
      </c>
      <c r="AP2255" t="s">
        <v>53</v>
      </c>
      <c r="AQ2255">
        <v>0</v>
      </c>
      <c r="AR2255" t="s">
        <v>53</v>
      </c>
      <c r="AS2255">
        <v>0</v>
      </c>
      <c r="AT2255">
        <v>0</v>
      </c>
      <c r="AW2255" t="s">
        <v>172</v>
      </c>
      <c r="AX2255">
        <v>15</v>
      </c>
      <c r="AY2255" s="1">
        <v>44320</v>
      </c>
      <c r="AZ2255" s="1">
        <v>44320</v>
      </c>
      <c r="BA2255" s="1">
        <v>44320</v>
      </c>
      <c r="BB2255" s="1">
        <v>49799</v>
      </c>
      <c r="BC2255" t="s">
        <v>51</v>
      </c>
      <c r="BE2255" t="s">
        <v>54</v>
      </c>
      <c r="BF2255">
        <v>40</v>
      </c>
      <c r="BG2255">
        <v>0</v>
      </c>
      <c r="BH2255" t="s">
        <v>145</v>
      </c>
      <c r="CC2255" t="s">
        <v>244</v>
      </c>
      <c r="CD2255">
        <v>100000</v>
      </c>
      <c r="CE2255" s="1">
        <v>44320</v>
      </c>
      <c r="CF2255" s="1">
        <v>44320</v>
      </c>
      <c r="CG2255" s="1">
        <v>44320</v>
      </c>
      <c r="CH2255" s="1">
        <v>52802</v>
      </c>
      <c r="CI2255" t="s">
        <v>51</v>
      </c>
      <c r="CK2255" t="s">
        <v>78</v>
      </c>
      <c r="CM2255" t="s">
        <v>54</v>
      </c>
      <c r="CN2255" t="s">
        <v>174</v>
      </c>
      <c r="CR2255">
        <v>0</v>
      </c>
      <c r="CS2255">
        <v>2150</v>
      </c>
      <c r="CT2255">
        <v>0</v>
      </c>
      <c r="CU2255">
        <v>16</v>
      </c>
      <c r="CX2255" t="s">
        <v>674</v>
      </c>
      <c r="CY2255">
        <v>0</v>
      </c>
      <c r="CZ2255" s="1">
        <v>44320</v>
      </c>
      <c r="DA2255" s="1">
        <v>44320</v>
      </c>
      <c r="DB2255" s="1">
        <v>44320</v>
      </c>
      <c r="DC2255" s="1">
        <v>44320</v>
      </c>
      <c r="DD2255" t="s">
        <v>51</v>
      </c>
      <c r="DF2255" t="s">
        <v>54</v>
      </c>
      <c r="DG2255">
        <v>0</v>
      </c>
      <c r="DH2255">
        <v>0</v>
      </c>
    </row>
    <row r="2256" spans="1:112" x14ac:dyDescent="0.2">
      <c r="A2256" t="s">
        <v>1012</v>
      </c>
      <c r="B2256" t="s">
        <v>1013</v>
      </c>
      <c r="C2256" t="s">
        <v>1019</v>
      </c>
      <c r="D2256" t="s">
        <v>1069</v>
      </c>
      <c r="F2256" t="str">
        <f>"251734"</f>
        <v>251734</v>
      </c>
      <c r="G2256" t="s">
        <v>49</v>
      </c>
      <c r="H2256">
        <v>21</v>
      </c>
      <c r="K2256" t="s">
        <v>51</v>
      </c>
      <c r="L2256" t="s">
        <v>52</v>
      </c>
      <c r="M2256">
        <v>131919.13</v>
      </c>
      <c r="N2256">
        <v>473721.57</v>
      </c>
      <c r="O2256" t="s">
        <v>53</v>
      </c>
      <c r="P2256" t="s">
        <v>54</v>
      </c>
      <c r="Q2256" t="s">
        <v>55</v>
      </c>
      <c r="T2256" t="s">
        <v>100</v>
      </c>
      <c r="U2256">
        <v>40</v>
      </c>
      <c r="V2256" s="1">
        <v>28126</v>
      </c>
      <c r="W2256" s="1">
        <v>28126</v>
      </c>
      <c r="X2256" s="1">
        <v>28126</v>
      </c>
      <c r="Y2256" s="1">
        <v>42736</v>
      </c>
      <c r="Z2256" t="s">
        <v>51</v>
      </c>
      <c r="AB2256" t="s">
        <v>54</v>
      </c>
      <c r="AC2256">
        <v>1</v>
      </c>
      <c r="AE2256" t="s">
        <v>243</v>
      </c>
      <c r="AF2256">
        <v>20</v>
      </c>
      <c r="AG2256" s="1">
        <v>35247</v>
      </c>
      <c r="AH2256" s="1">
        <v>35247</v>
      </c>
      <c r="AI2256" s="1">
        <v>35247</v>
      </c>
      <c r="AJ2256" s="1">
        <v>42552</v>
      </c>
      <c r="AK2256" t="s">
        <v>51</v>
      </c>
      <c r="AN2256">
        <v>0</v>
      </c>
      <c r="AO2256" t="s">
        <v>54</v>
      </c>
      <c r="AP2256" t="s">
        <v>53</v>
      </c>
      <c r="AQ2256">
        <v>0</v>
      </c>
      <c r="AR2256" t="s">
        <v>53</v>
      </c>
      <c r="AS2256">
        <v>0</v>
      </c>
      <c r="AT2256">
        <v>0</v>
      </c>
      <c r="AW2256" t="s">
        <v>172</v>
      </c>
      <c r="AX2256">
        <v>15</v>
      </c>
      <c r="AY2256" s="1">
        <v>44320</v>
      </c>
      <c r="AZ2256" s="1">
        <v>44320</v>
      </c>
      <c r="BA2256" s="1">
        <v>44320</v>
      </c>
      <c r="BB2256" s="1">
        <v>49799</v>
      </c>
      <c r="BC2256" t="s">
        <v>51</v>
      </c>
      <c r="BE2256" t="s">
        <v>54</v>
      </c>
      <c r="BF2256">
        <v>40</v>
      </c>
      <c r="BG2256">
        <v>0</v>
      </c>
      <c r="BH2256" t="s">
        <v>145</v>
      </c>
      <c r="CC2256" t="s">
        <v>244</v>
      </c>
      <c r="CD2256">
        <v>100000</v>
      </c>
      <c r="CE2256" s="1">
        <v>44320</v>
      </c>
      <c r="CF2256" s="1">
        <v>44320</v>
      </c>
      <c r="CG2256" s="1">
        <v>44320</v>
      </c>
      <c r="CH2256" s="1">
        <v>52802</v>
      </c>
      <c r="CI2256" t="s">
        <v>51</v>
      </c>
      <c r="CK2256" t="s">
        <v>78</v>
      </c>
      <c r="CM2256" t="s">
        <v>54</v>
      </c>
      <c r="CN2256" t="s">
        <v>174</v>
      </c>
      <c r="CR2256">
        <v>0</v>
      </c>
      <c r="CS2256">
        <v>2150</v>
      </c>
      <c r="CT2256">
        <v>0</v>
      </c>
      <c r="CU2256">
        <v>16</v>
      </c>
      <c r="CX2256" t="s">
        <v>674</v>
      </c>
      <c r="CY2256">
        <v>0</v>
      </c>
      <c r="CZ2256" s="1">
        <v>44320</v>
      </c>
      <c r="DA2256" s="1">
        <v>44320</v>
      </c>
      <c r="DB2256" s="1">
        <v>44320</v>
      </c>
      <c r="DC2256" s="1">
        <v>44320</v>
      </c>
      <c r="DD2256" t="s">
        <v>51</v>
      </c>
      <c r="DF2256" t="s">
        <v>54</v>
      </c>
      <c r="DG2256">
        <v>0</v>
      </c>
      <c r="DH2256">
        <v>0</v>
      </c>
    </row>
    <row r="2257" spans="1:112" x14ac:dyDescent="0.2">
      <c r="A2257" t="s">
        <v>1012</v>
      </c>
      <c r="B2257" t="s">
        <v>1013</v>
      </c>
      <c r="C2257" t="s">
        <v>1019</v>
      </c>
      <c r="D2257" t="s">
        <v>1069</v>
      </c>
      <c r="F2257" t="str">
        <f>"251735"</f>
        <v>251735</v>
      </c>
      <c r="G2257" t="s">
        <v>49</v>
      </c>
      <c r="H2257">
        <v>28</v>
      </c>
      <c r="K2257" t="s">
        <v>51</v>
      </c>
      <c r="L2257" t="s">
        <v>52</v>
      </c>
      <c r="M2257">
        <v>131939.25</v>
      </c>
      <c r="N2257">
        <v>473708.26</v>
      </c>
      <c r="O2257" t="s">
        <v>53</v>
      </c>
      <c r="P2257" t="s">
        <v>54</v>
      </c>
      <c r="Q2257" t="s">
        <v>55</v>
      </c>
      <c r="T2257" t="s">
        <v>100</v>
      </c>
      <c r="U2257">
        <v>40</v>
      </c>
      <c r="V2257" s="1">
        <v>28126</v>
      </c>
      <c r="W2257" s="1">
        <v>28126</v>
      </c>
      <c r="X2257" s="1">
        <v>28126</v>
      </c>
      <c r="Y2257" s="1">
        <v>42736</v>
      </c>
      <c r="Z2257" t="s">
        <v>51</v>
      </c>
      <c r="AB2257" t="s">
        <v>54</v>
      </c>
      <c r="AC2257">
        <v>1</v>
      </c>
      <c r="AE2257" t="s">
        <v>243</v>
      </c>
      <c r="AF2257">
        <v>20</v>
      </c>
      <c r="AG2257" s="1">
        <v>35247</v>
      </c>
      <c r="AH2257" s="1">
        <v>35247</v>
      </c>
      <c r="AI2257" s="1">
        <v>35247</v>
      </c>
      <c r="AJ2257" s="1">
        <v>42552</v>
      </c>
      <c r="AK2257" t="s">
        <v>51</v>
      </c>
      <c r="AN2257">
        <v>0</v>
      </c>
      <c r="AO2257" t="s">
        <v>54</v>
      </c>
      <c r="AP2257" t="s">
        <v>53</v>
      </c>
      <c r="AQ2257">
        <v>0</v>
      </c>
      <c r="AR2257" t="s">
        <v>53</v>
      </c>
      <c r="AS2257">
        <v>0</v>
      </c>
      <c r="AT2257">
        <v>0</v>
      </c>
      <c r="AW2257" t="s">
        <v>172</v>
      </c>
      <c r="AX2257">
        <v>15</v>
      </c>
      <c r="AY2257" s="1">
        <v>44320</v>
      </c>
      <c r="AZ2257" s="1">
        <v>44320</v>
      </c>
      <c r="BA2257" s="1">
        <v>44320</v>
      </c>
      <c r="BB2257" s="1">
        <v>49799</v>
      </c>
      <c r="BC2257" t="s">
        <v>51</v>
      </c>
      <c r="BE2257" t="s">
        <v>54</v>
      </c>
      <c r="BF2257">
        <v>40</v>
      </c>
      <c r="BG2257">
        <v>0</v>
      </c>
      <c r="BH2257" t="s">
        <v>145</v>
      </c>
      <c r="CC2257" t="s">
        <v>244</v>
      </c>
      <c r="CD2257">
        <v>100000</v>
      </c>
      <c r="CE2257" s="1">
        <v>44320</v>
      </c>
      <c r="CF2257" s="1">
        <v>44320</v>
      </c>
      <c r="CG2257" s="1">
        <v>44320</v>
      </c>
      <c r="CH2257" s="1">
        <v>52802</v>
      </c>
      <c r="CI2257" t="s">
        <v>51</v>
      </c>
      <c r="CK2257" t="s">
        <v>78</v>
      </c>
      <c r="CM2257" t="s">
        <v>54</v>
      </c>
      <c r="CN2257" t="s">
        <v>174</v>
      </c>
      <c r="CR2257">
        <v>0</v>
      </c>
      <c r="CS2257">
        <v>2150</v>
      </c>
      <c r="CT2257">
        <v>0</v>
      </c>
      <c r="CU2257">
        <v>16</v>
      </c>
      <c r="CX2257" t="s">
        <v>674</v>
      </c>
      <c r="CY2257">
        <v>0</v>
      </c>
      <c r="CZ2257" s="1">
        <v>44320</v>
      </c>
      <c r="DA2257" s="1">
        <v>44320</v>
      </c>
      <c r="DB2257" s="1">
        <v>44320</v>
      </c>
      <c r="DC2257" s="1">
        <v>44320</v>
      </c>
      <c r="DD2257" t="s">
        <v>51</v>
      </c>
      <c r="DF2257" t="s">
        <v>54</v>
      </c>
      <c r="DG2257">
        <v>0</v>
      </c>
      <c r="DH2257">
        <v>0</v>
      </c>
    </row>
    <row r="2258" spans="1:112" x14ac:dyDescent="0.2">
      <c r="A2258" t="s">
        <v>1012</v>
      </c>
      <c r="B2258" t="s">
        <v>1013</v>
      </c>
      <c r="C2258" t="s">
        <v>1019</v>
      </c>
      <c r="D2258" t="s">
        <v>1069</v>
      </c>
      <c r="F2258" t="str">
        <f>"251736"</f>
        <v>251736</v>
      </c>
      <c r="G2258" t="s">
        <v>49</v>
      </c>
      <c r="H2258">
        <v>34</v>
      </c>
      <c r="K2258" t="s">
        <v>51</v>
      </c>
      <c r="L2258" t="s">
        <v>52</v>
      </c>
      <c r="M2258">
        <v>131954.71</v>
      </c>
      <c r="N2258">
        <v>473730.09</v>
      </c>
      <c r="O2258" t="s">
        <v>53</v>
      </c>
      <c r="P2258" t="s">
        <v>54</v>
      </c>
      <c r="Q2258" t="s">
        <v>55</v>
      </c>
      <c r="T2258" t="s">
        <v>100</v>
      </c>
      <c r="U2258">
        <v>40</v>
      </c>
      <c r="V2258" s="1">
        <v>28126</v>
      </c>
      <c r="W2258" s="1">
        <v>28126</v>
      </c>
      <c r="X2258" s="1">
        <v>28126</v>
      </c>
      <c r="Y2258" s="1">
        <v>42736</v>
      </c>
      <c r="Z2258" t="s">
        <v>51</v>
      </c>
      <c r="AB2258" t="s">
        <v>54</v>
      </c>
      <c r="AC2258">
        <v>1</v>
      </c>
      <c r="AE2258" t="s">
        <v>243</v>
      </c>
      <c r="AF2258">
        <v>20</v>
      </c>
      <c r="AG2258" s="1">
        <v>35247</v>
      </c>
      <c r="AH2258" s="1">
        <v>35247</v>
      </c>
      <c r="AI2258" s="1">
        <v>35247</v>
      </c>
      <c r="AJ2258" s="1">
        <v>42552</v>
      </c>
      <c r="AK2258" t="s">
        <v>51</v>
      </c>
      <c r="AN2258">
        <v>0</v>
      </c>
      <c r="AO2258" t="s">
        <v>54</v>
      </c>
      <c r="AP2258" t="s">
        <v>53</v>
      </c>
      <c r="AQ2258">
        <v>0</v>
      </c>
      <c r="AR2258" t="s">
        <v>53</v>
      </c>
      <c r="AS2258">
        <v>0</v>
      </c>
      <c r="AT2258">
        <v>0</v>
      </c>
      <c r="AW2258" t="s">
        <v>172</v>
      </c>
      <c r="AX2258">
        <v>15</v>
      </c>
      <c r="AY2258" s="1">
        <v>44320</v>
      </c>
      <c r="AZ2258" s="1">
        <v>44320</v>
      </c>
      <c r="BA2258" s="1">
        <v>44320</v>
      </c>
      <c r="BB2258" s="1">
        <v>49799</v>
      </c>
      <c r="BC2258" t="s">
        <v>51</v>
      </c>
      <c r="BE2258" t="s">
        <v>54</v>
      </c>
      <c r="BF2258">
        <v>40</v>
      </c>
      <c r="BG2258">
        <v>0</v>
      </c>
      <c r="BH2258" t="s">
        <v>145</v>
      </c>
      <c r="CC2258" t="s">
        <v>244</v>
      </c>
      <c r="CD2258">
        <v>100000</v>
      </c>
      <c r="CE2258" s="1">
        <v>44320</v>
      </c>
      <c r="CF2258" s="1">
        <v>44320</v>
      </c>
      <c r="CG2258" s="1">
        <v>44320</v>
      </c>
      <c r="CH2258" s="1">
        <v>52802</v>
      </c>
      <c r="CI2258" t="s">
        <v>51</v>
      </c>
      <c r="CK2258" t="s">
        <v>78</v>
      </c>
      <c r="CM2258" t="s">
        <v>54</v>
      </c>
      <c r="CN2258" t="s">
        <v>174</v>
      </c>
      <c r="CR2258">
        <v>0</v>
      </c>
      <c r="CS2258">
        <v>2150</v>
      </c>
      <c r="CT2258">
        <v>0</v>
      </c>
      <c r="CU2258">
        <v>16</v>
      </c>
      <c r="CX2258" t="s">
        <v>674</v>
      </c>
      <c r="CY2258">
        <v>0</v>
      </c>
      <c r="CZ2258" s="1">
        <v>44320</v>
      </c>
      <c r="DA2258" s="1">
        <v>44320</v>
      </c>
      <c r="DB2258" s="1">
        <v>44320</v>
      </c>
      <c r="DC2258" s="1">
        <v>44320</v>
      </c>
      <c r="DD2258" t="s">
        <v>51</v>
      </c>
      <c r="DF2258" t="s">
        <v>54</v>
      </c>
      <c r="DG2258">
        <v>0</v>
      </c>
      <c r="DH2258">
        <v>0</v>
      </c>
    </row>
    <row r="2259" spans="1:112" x14ac:dyDescent="0.2">
      <c r="A2259" t="s">
        <v>1012</v>
      </c>
      <c r="B2259" t="s">
        <v>1013</v>
      </c>
      <c r="C2259" t="s">
        <v>1019</v>
      </c>
      <c r="D2259" t="s">
        <v>1069</v>
      </c>
      <c r="F2259" t="str">
        <f>"251737"</f>
        <v>251737</v>
      </c>
      <c r="G2259" t="s">
        <v>49</v>
      </c>
      <c r="H2259">
        <v>23</v>
      </c>
      <c r="K2259" t="s">
        <v>51</v>
      </c>
      <c r="L2259" t="s">
        <v>52</v>
      </c>
      <c r="M2259">
        <v>131939.88</v>
      </c>
      <c r="N2259">
        <v>473740.36</v>
      </c>
      <c r="O2259" t="s">
        <v>53</v>
      </c>
      <c r="P2259" t="s">
        <v>54</v>
      </c>
      <c r="Q2259" t="s">
        <v>55</v>
      </c>
      <c r="T2259" t="s">
        <v>100</v>
      </c>
      <c r="U2259">
        <v>40</v>
      </c>
      <c r="V2259" s="1">
        <v>28126</v>
      </c>
      <c r="W2259" s="1">
        <v>28126</v>
      </c>
      <c r="X2259" s="1">
        <v>28126</v>
      </c>
      <c r="Y2259" s="1">
        <v>42736</v>
      </c>
      <c r="Z2259" t="s">
        <v>51</v>
      </c>
      <c r="AB2259" t="s">
        <v>54</v>
      </c>
      <c r="AC2259">
        <v>1</v>
      </c>
      <c r="AE2259" t="s">
        <v>243</v>
      </c>
      <c r="AF2259">
        <v>20</v>
      </c>
      <c r="AG2259" s="1">
        <v>35247</v>
      </c>
      <c r="AH2259" s="1">
        <v>35247</v>
      </c>
      <c r="AI2259" s="1">
        <v>35247</v>
      </c>
      <c r="AJ2259" s="1">
        <v>42552</v>
      </c>
      <c r="AK2259" t="s">
        <v>51</v>
      </c>
      <c r="AN2259">
        <v>0</v>
      </c>
      <c r="AO2259" t="s">
        <v>54</v>
      </c>
      <c r="AP2259" t="s">
        <v>53</v>
      </c>
      <c r="AQ2259">
        <v>0</v>
      </c>
      <c r="AR2259" t="s">
        <v>53</v>
      </c>
      <c r="AS2259">
        <v>0</v>
      </c>
      <c r="AT2259">
        <v>0</v>
      </c>
      <c r="AW2259" t="s">
        <v>172</v>
      </c>
      <c r="AX2259">
        <v>15</v>
      </c>
      <c r="AY2259" s="1">
        <v>44320</v>
      </c>
      <c r="AZ2259" s="1">
        <v>44320</v>
      </c>
      <c r="BA2259" s="1">
        <v>44320</v>
      </c>
      <c r="BB2259" s="1">
        <v>49799</v>
      </c>
      <c r="BC2259" t="s">
        <v>51</v>
      </c>
      <c r="BE2259" t="s">
        <v>54</v>
      </c>
      <c r="BF2259">
        <v>40</v>
      </c>
      <c r="BG2259">
        <v>0</v>
      </c>
      <c r="BH2259" t="s">
        <v>145</v>
      </c>
      <c r="CC2259" t="s">
        <v>244</v>
      </c>
      <c r="CD2259">
        <v>100000</v>
      </c>
      <c r="CE2259" s="1">
        <v>44320</v>
      </c>
      <c r="CF2259" s="1">
        <v>44320</v>
      </c>
      <c r="CG2259" s="1">
        <v>44320</v>
      </c>
      <c r="CH2259" s="1">
        <v>52802</v>
      </c>
      <c r="CI2259" t="s">
        <v>51</v>
      </c>
      <c r="CK2259" t="s">
        <v>78</v>
      </c>
      <c r="CM2259" t="s">
        <v>54</v>
      </c>
      <c r="CN2259" t="s">
        <v>174</v>
      </c>
      <c r="CR2259">
        <v>0</v>
      </c>
      <c r="CS2259">
        <v>2150</v>
      </c>
      <c r="CT2259">
        <v>0</v>
      </c>
      <c r="CU2259">
        <v>16</v>
      </c>
      <c r="CX2259" t="s">
        <v>674</v>
      </c>
      <c r="CY2259">
        <v>0</v>
      </c>
      <c r="CZ2259" s="1">
        <v>44320</v>
      </c>
      <c r="DA2259" s="1">
        <v>44320</v>
      </c>
      <c r="DB2259" s="1">
        <v>44320</v>
      </c>
      <c r="DC2259" s="1">
        <v>44320</v>
      </c>
      <c r="DD2259" t="s">
        <v>51</v>
      </c>
      <c r="DF2259" t="s">
        <v>54</v>
      </c>
      <c r="DG2259">
        <v>0</v>
      </c>
      <c r="DH2259">
        <v>0</v>
      </c>
    </row>
    <row r="2260" spans="1:112" x14ac:dyDescent="0.2">
      <c r="A2260" t="s">
        <v>1012</v>
      </c>
      <c r="B2260" t="s">
        <v>1013</v>
      </c>
      <c r="C2260" t="s">
        <v>1019</v>
      </c>
      <c r="D2260" t="s">
        <v>1069</v>
      </c>
      <c r="F2260" t="str">
        <f>"251739"</f>
        <v>251739</v>
      </c>
      <c r="G2260" t="s">
        <v>49</v>
      </c>
      <c r="H2260">
        <v>40</v>
      </c>
      <c r="K2260" t="s">
        <v>51</v>
      </c>
      <c r="L2260" t="s">
        <v>52</v>
      </c>
      <c r="M2260">
        <v>131975.21</v>
      </c>
      <c r="N2260">
        <v>473756.57</v>
      </c>
      <c r="O2260" t="s">
        <v>53</v>
      </c>
      <c r="P2260" t="s">
        <v>54</v>
      </c>
      <c r="Q2260" t="s">
        <v>55</v>
      </c>
      <c r="T2260" t="s">
        <v>100</v>
      </c>
      <c r="U2260">
        <v>40</v>
      </c>
      <c r="V2260" s="1">
        <v>28126</v>
      </c>
      <c r="W2260" s="1">
        <v>28126</v>
      </c>
      <c r="X2260" s="1">
        <v>28126</v>
      </c>
      <c r="Y2260" s="1">
        <v>42736</v>
      </c>
      <c r="Z2260" t="s">
        <v>51</v>
      </c>
      <c r="AB2260" t="s">
        <v>54</v>
      </c>
      <c r="AC2260">
        <v>1</v>
      </c>
      <c r="AE2260" t="s">
        <v>243</v>
      </c>
      <c r="AF2260">
        <v>20</v>
      </c>
      <c r="AG2260" s="1">
        <v>35247</v>
      </c>
      <c r="AH2260" s="1">
        <v>35247</v>
      </c>
      <c r="AI2260" s="1">
        <v>35247</v>
      </c>
      <c r="AJ2260" s="1">
        <v>42552</v>
      </c>
      <c r="AK2260" t="s">
        <v>51</v>
      </c>
      <c r="AN2260">
        <v>0</v>
      </c>
      <c r="AO2260" t="s">
        <v>54</v>
      </c>
      <c r="AP2260" t="s">
        <v>53</v>
      </c>
      <c r="AQ2260">
        <v>0</v>
      </c>
      <c r="AR2260" t="s">
        <v>53</v>
      </c>
      <c r="AS2260">
        <v>0</v>
      </c>
      <c r="AT2260">
        <v>0</v>
      </c>
      <c r="AW2260" t="s">
        <v>172</v>
      </c>
      <c r="AX2260">
        <v>15</v>
      </c>
      <c r="AY2260" s="1">
        <v>44320</v>
      </c>
      <c r="AZ2260" s="1">
        <v>44320</v>
      </c>
      <c r="BA2260" s="1">
        <v>44320</v>
      </c>
      <c r="BB2260" s="1">
        <v>49799</v>
      </c>
      <c r="BC2260" t="s">
        <v>51</v>
      </c>
      <c r="BE2260" t="s">
        <v>54</v>
      </c>
      <c r="BF2260">
        <v>40</v>
      </c>
      <c r="BG2260">
        <v>0</v>
      </c>
      <c r="BH2260" t="s">
        <v>145</v>
      </c>
      <c r="CC2260" t="s">
        <v>244</v>
      </c>
      <c r="CD2260">
        <v>100000</v>
      </c>
      <c r="CE2260" s="1">
        <v>44320</v>
      </c>
      <c r="CF2260" s="1">
        <v>44320</v>
      </c>
      <c r="CG2260" s="1">
        <v>44320</v>
      </c>
      <c r="CH2260" s="1">
        <v>52802</v>
      </c>
      <c r="CI2260" t="s">
        <v>51</v>
      </c>
      <c r="CK2260" t="s">
        <v>78</v>
      </c>
      <c r="CM2260" t="s">
        <v>54</v>
      </c>
      <c r="CN2260" t="s">
        <v>174</v>
      </c>
      <c r="CR2260">
        <v>0</v>
      </c>
      <c r="CS2260">
        <v>2150</v>
      </c>
      <c r="CT2260">
        <v>0</v>
      </c>
      <c r="CU2260">
        <v>16</v>
      </c>
      <c r="CX2260" t="s">
        <v>674</v>
      </c>
      <c r="CY2260">
        <v>0</v>
      </c>
      <c r="CZ2260" s="1">
        <v>44320</v>
      </c>
      <c r="DA2260" s="1">
        <v>44320</v>
      </c>
      <c r="DB2260" s="1">
        <v>44320</v>
      </c>
      <c r="DC2260" s="1">
        <v>44320</v>
      </c>
      <c r="DD2260" t="s">
        <v>51</v>
      </c>
      <c r="DF2260" t="s">
        <v>54</v>
      </c>
      <c r="DG2260">
        <v>0</v>
      </c>
      <c r="DH2260">
        <v>0</v>
      </c>
    </row>
    <row r="2261" spans="1:112" x14ac:dyDescent="0.2">
      <c r="A2261" t="s">
        <v>1012</v>
      </c>
      <c r="B2261" t="s">
        <v>1013</v>
      </c>
      <c r="C2261" t="s">
        <v>1019</v>
      </c>
      <c r="D2261" t="s">
        <v>1069</v>
      </c>
      <c r="F2261" t="str">
        <f>"251740"</f>
        <v>251740</v>
      </c>
      <c r="G2261" t="s">
        <v>49</v>
      </c>
      <c r="H2261">
        <v>50</v>
      </c>
      <c r="K2261" t="s">
        <v>51</v>
      </c>
      <c r="L2261" t="s">
        <v>52</v>
      </c>
      <c r="M2261">
        <v>131967.26</v>
      </c>
      <c r="N2261">
        <v>473778.44</v>
      </c>
      <c r="O2261" t="s">
        <v>53</v>
      </c>
      <c r="P2261" t="s">
        <v>54</v>
      </c>
      <c r="Q2261" t="s">
        <v>55</v>
      </c>
      <c r="T2261" t="s">
        <v>100</v>
      </c>
      <c r="U2261">
        <v>40</v>
      </c>
      <c r="V2261" s="1">
        <v>28126</v>
      </c>
      <c r="W2261" s="1">
        <v>28126</v>
      </c>
      <c r="X2261" s="1">
        <v>28126</v>
      </c>
      <c r="Y2261" s="1">
        <v>42736</v>
      </c>
      <c r="Z2261" t="s">
        <v>51</v>
      </c>
      <c r="AB2261" t="s">
        <v>54</v>
      </c>
      <c r="AC2261">
        <v>1</v>
      </c>
      <c r="AE2261" t="s">
        <v>243</v>
      </c>
      <c r="AF2261">
        <v>20</v>
      </c>
      <c r="AG2261" s="1">
        <v>35247</v>
      </c>
      <c r="AH2261" s="1">
        <v>35247</v>
      </c>
      <c r="AI2261" s="1">
        <v>35247</v>
      </c>
      <c r="AJ2261" s="1">
        <v>42552</v>
      </c>
      <c r="AK2261" t="s">
        <v>51</v>
      </c>
      <c r="AN2261">
        <v>0</v>
      </c>
      <c r="AO2261" t="s">
        <v>54</v>
      </c>
      <c r="AP2261" t="s">
        <v>53</v>
      </c>
      <c r="AQ2261">
        <v>0</v>
      </c>
      <c r="AR2261" t="s">
        <v>53</v>
      </c>
      <c r="AS2261">
        <v>0</v>
      </c>
      <c r="AT2261">
        <v>0</v>
      </c>
      <c r="AW2261" t="s">
        <v>172</v>
      </c>
      <c r="AX2261">
        <v>15</v>
      </c>
      <c r="AY2261" s="1">
        <v>44320</v>
      </c>
      <c r="AZ2261" s="1">
        <v>44320</v>
      </c>
      <c r="BA2261" s="1">
        <v>44320</v>
      </c>
      <c r="BB2261" s="1">
        <v>49799</v>
      </c>
      <c r="BC2261" t="s">
        <v>51</v>
      </c>
      <c r="BE2261" t="s">
        <v>54</v>
      </c>
      <c r="BF2261">
        <v>40</v>
      </c>
      <c r="BG2261">
        <v>0</v>
      </c>
      <c r="BH2261" t="s">
        <v>145</v>
      </c>
      <c r="CC2261" t="s">
        <v>244</v>
      </c>
      <c r="CD2261">
        <v>100000</v>
      </c>
      <c r="CE2261" s="1">
        <v>44320</v>
      </c>
      <c r="CF2261" s="1">
        <v>44320</v>
      </c>
      <c r="CG2261" s="1">
        <v>44320</v>
      </c>
      <c r="CH2261" s="1">
        <v>52802</v>
      </c>
      <c r="CI2261" t="s">
        <v>51</v>
      </c>
      <c r="CK2261" t="s">
        <v>78</v>
      </c>
      <c r="CM2261" t="s">
        <v>54</v>
      </c>
      <c r="CN2261" t="s">
        <v>174</v>
      </c>
      <c r="CR2261">
        <v>0</v>
      </c>
      <c r="CS2261">
        <v>2150</v>
      </c>
      <c r="CT2261">
        <v>0</v>
      </c>
      <c r="CU2261">
        <v>16</v>
      </c>
      <c r="CX2261" t="s">
        <v>674</v>
      </c>
      <c r="CY2261">
        <v>0</v>
      </c>
      <c r="CZ2261" s="1">
        <v>44320</v>
      </c>
      <c r="DA2261" s="1">
        <v>44320</v>
      </c>
      <c r="DB2261" s="1">
        <v>44320</v>
      </c>
      <c r="DC2261" s="1">
        <v>44320</v>
      </c>
      <c r="DD2261" t="s">
        <v>51</v>
      </c>
      <c r="DF2261" t="s">
        <v>54</v>
      </c>
      <c r="DG2261">
        <v>0</v>
      </c>
      <c r="DH2261">
        <v>0</v>
      </c>
    </row>
    <row r="2262" spans="1:112" x14ac:dyDescent="0.2">
      <c r="A2262" t="s">
        <v>1012</v>
      </c>
      <c r="B2262" t="s">
        <v>1013</v>
      </c>
      <c r="C2262" t="s">
        <v>1019</v>
      </c>
      <c r="D2262" t="s">
        <v>1069</v>
      </c>
      <c r="F2262" t="str">
        <f>"251741"</f>
        <v>251741</v>
      </c>
      <c r="G2262" t="s">
        <v>49</v>
      </c>
      <c r="H2262">
        <v>52</v>
      </c>
      <c r="K2262" t="s">
        <v>51</v>
      </c>
      <c r="L2262" t="s">
        <v>52</v>
      </c>
      <c r="M2262">
        <v>131948.4</v>
      </c>
      <c r="N2262">
        <v>473786.63</v>
      </c>
      <c r="O2262" t="s">
        <v>53</v>
      </c>
      <c r="P2262" t="s">
        <v>54</v>
      </c>
      <c r="Q2262" t="s">
        <v>55</v>
      </c>
      <c r="T2262" t="s">
        <v>100</v>
      </c>
      <c r="U2262">
        <v>40</v>
      </c>
      <c r="V2262" s="1">
        <v>28126</v>
      </c>
      <c r="W2262" s="1">
        <v>28126</v>
      </c>
      <c r="X2262" s="1">
        <v>28126</v>
      </c>
      <c r="Y2262" s="1">
        <v>42736</v>
      </c>
      <c r="Z2262" t="s">
        <v>51</v>
      </c>
      <c r="AB2262" t="s">
        <v>54</v>
      </c>
      <c r="AC2262">
        <v>1</v>
      </c>
      <c r="AE2262" t="s">
        <v>243</v>
      </c>
      <c r="AF2262">
        <v>20</v>
      </c>
      <c r="AG2262" s="1">
        <v>35247</v>
      </c>
      <c r="AH2262" s="1">
        <v>35247</v>
      </c>
      <c r="AI2262" s="1">
        <v>35247</v>
      </c>
      <c r="AJ2262" s="1">
        <v>42552</v>
      </c>
      <c r="AK2262" t="s">
        <v>51</v>
      </c>
      <c r="AN2262">
        <v>0</v>
      </c>
      <c r="AO2262" t="s">
        <v>54</v>
      </c>
      <c r="AP2262" t="s">
        <v>53</v>
      </c>
      <c r="AQ2262">
        <v>0</v>
      </c>
      <c r="AR2262" t="s">
        <v>53</v>
      </c>
      <c r="AS2262">
        <v>0</v>
      </c>
      <c r="AT2262">
        <v>0</v>
      </c>
      <c r="AW2262" t="s">
        <v>172</v>
      </c>
      <c r="AX2262">
        <v>15</v>
      </c>
      <c r="AY2262" s="1">
        <v>44320</v>
      </c>
      <c r="AZ2262" s="1">
        <v>44320</v>
      </c>
      <c r="BA2262" s="1">
        <v>44320</v>
      </c>
      <c r="BB2262" s="1">
        <v>49799</v>
      </c>
      <c r="BC2262" t="s">
        <v>51</v>
      </c>
      <c r="BE2262" t="s">
        <v>54</v>
      </c>
      <c r="BF2262">
        <v>40</v>
      </c>
      <c r="BG2262">
        <v>0</v>
      </c>
      <c r="BH2262" t="s">
        <v>145</v>
      </c>
      <c r="CC2262" t="s">
        <v>244</v>
      </c>
      <c r="CD2262">
        <v>100000</v>
      </c>
      <c r="CE2262" s="1">
        <v>44320</v>
      </c>
      <c r="CF2262" s="1">
        <v>44320</v>
      </c>
      <c r="CG2262" s="1">
        <v>44320</v>
      </c>
      <c r="CH2262" s="1">
        <v>52802</v>
      </c>
      <c r="CI2262" t="s">
        <v>51</v>
      </c>
      <c r="CK2262" t="s">
        <v>78</v>
      </c>
      <c r="CM2262" t="s">
        <v>54</v>
      </c>
      <c r="CN2262" t="s">
        <v>174</v>
      </c>
      <c r="CR2262">
        <v>0</v>
      </c>
      <c r="CS2262">
        <v>2150</v>
      </c>
      <c r="CT2262">
        <v>0</v>
      </c>
      <c r="CU2262">
        <v>16</v>
      </c>
      <c r="CX2262" t="s">
        <v>674</v>
      </c>
      <c r="CY2262">
        <v>0</v>
      </c>
      <c r="CZ2262" s="1">
        <v>44320</v>
      </c>
      <c r="DA2262" s="1">
        <v>44320</v>
      </c>
      <c r="DB2262" s="1">
        <v>44320</v>
      </c>
      <c r="DC2262" s="1">
        <v>44320</v>
      </c>
      <c r="DD2262" t="s">
        <v>51</v>
      </c>
      <c r="DF2262" t="s">
        <v>54</v>
      </c>
      <c r="DG2262">
        <v>0</v>
      </c>
      <c r="DH2262">
        <v>0</v>
      </c>
    </row>
    <row r="2263" spans="1:112" x14ac:dyDescent="0.2">
      <c r="A2263" t="s">
        <v>1012</v>
      </c>
      <c r="B2263" t="s">
        <v>1013</v>
      </c>
      <c r="C2263" t="s">
        <v>1019</v>
      </c>
      <c r="D2263" t="s">
        <v>1069</v>
      </c>
      <c r="F2263" t="str">
        <f>"251742"</f>
        <v>251742</v>
      </c>
      <c r="G2263" t="s">
        <v>49</v>
      </c>
      <c r="H2263">
        <v>60</v>
      </c>
      <c r="K2263" t="s">
        <v>51</v>
      </c>
      <c r="L2263" t="s">
        <v>52</v>
      </c>
      <c r="M2263">
        <v>131929.23000000001</v>
      </c>
      <c r="N2263">
        <v>473805.51</v>
      </c>
      <c r="O2263" t="s">
        <v>53</v>
      </c>
      <c r="P2263" t="s">
        <v>54</v>
      </c>
      <c r="Q2263" t="s">
        <v>55</v>
      </c>
      <c r="T2263" t="s">
        <v>100</v>
      </c>
      <c r="U2263">
        <v>40</v>
      </c>
      <c r="V2263" s="1">
        <v>28126</v>
      </c>
      <c r="W2263" s="1">
        <v>28126</v>
      </c>
      <c r="X2263" s="1">
        <v>28126</v>
      </c>
      <c r="Y2263" s="1">
        <v>42736</v>
      </c>
      <c r="Z2263" t="s">
        <v>51</v>
      </c>
      <c r="AB2263" t="s">
        <v>54</v>
      </c>
      <c r="AC2263">
        <v>1</v>
      </c>
      <c r="AE2263" t="s">
        <v>243</v>
      </c>
      <c r="AF2263">
        <v>20</v>
      </c>
      <c r="AG2263" s="1">
        <v>35247</v>
      </c>
      <c r="AH2263" s="1">
        <v>35247</v>
      </c>
      <c r="AI2263" s="1">
        <v>35247</v>
      </c>
      <c r="AJ2263" s="1">
        <v>42552</v>
      </c>
      <c r="AK2263" t="s">
        <v>51</v>
      </c>
      <c r="AN2263">
        <v>0</v>
      </c>
      <c r="AO2263" t="s">
        <v>54</v>
      </c>
      <c r="AP2263" t="s">
        <v>53</v>
      </c>
      <c r="AQ2263">
        <v>0</v>
      </c>
      <c r="AR2263" t="s">
        <v>53</v>
      </c>
      <c r="AS2263">
        <v>0</v>
      </c>
      <c r="AT2263">
        <v>0</v>
      </c>
      <c r="AW2263" t="s">
        <v>172</v>
      </c>
      <c r="AX2263">
        <v>15</v>
      </c>
      <c r="AY2263" s="1">
        <v>44320</v>
      </c>
      <c r="AZ2263" s="1">
        <v>44320</v>
      </c>
      <c r="BA2263" s="1">
        <v>44320</v>
      </c>
      <c r="BB2263" s="1">
        <v>49799</v>
      </c>
      <c r="BC2263" t="s">
        <v>51</v>
      </c>
      <c r="BE2263" t="s">
        <v>54</v>
      </c>
      <c r="BF2263">
        <v>40</v>
      </c>
      <c r="BG2263">
        <v>0</v>
      </c>
      <c r="BH2263" t="s">
        <v>145</v>
      </c>
      <c r="CC2263" t="s">
        <v>244</v>
      </c>
      <c r="CD2263">
        <v>100000</v>
      </c>
      <c r="CE2263" s="1">
        <v>44320</v>
      </c>
      <c r="CF2263" s="1">
        <v>44320</v>
      </c>
      <c r="CG2263" s="1">
        <v>44320</v>
      </c>
      <c r="CH2263" s="1">
        <v>52802</v>
      </c>
      <c r="CI2263" t="s">
        <v>51</v>
      </c>
      <c r="CK2263" t="s">
        <v>78</v>
      </c>
      <c r="CM2263" t="s">
        <v>54</v>
      </c>
      <c r="CN2263" t="s">
        <v>174</v>
      </c>
      <c r="CR2263">
        <v>0</v>
      </c>
      <c r="CS2263">
        <v>2150</v>
      </c>
      <c r="CT2263">
        <v>0</v>
      </c>
      <c r="CU2263">
        <v>16</v>
      </c>
      <c r="CX2263" t="s">
        <v>674</v>
      </c>
      <c r="CY2263">
        <v>0</v>
      </c>
      <c r="CZ2263" s="1">
        <v>44320</v>
      </c>
      <c r="DA2263" s="1">
        <v>44320</v>
      </c>
      <c r="DB2263" s="1">
        <v>44320</v>
      </c>
      <c r="DC2263" s="1">
        <v>44320</v>
      </c>
      <c r="DD2263" t="s">
        <v>51</v>
      </c>
      <c r="DF2263" t="s">
        <v>54</v>
      </c>
      <c r="DG2263">
        <v>0</v>
      </c>
      <c r="DH2263">
        <v>0</v>
      </c>
    </row>
    <row r="2264" spans="1:112" x14ac:dyDescent="0.2">
      <c r="A2264" t="s">
        <v>1012</v>
      </c>
      <c r="B2264" t="s">
        <v>1013</v>
      </c>
      <c r="C2264" t="s">
        <v>1019</v>
      </c>
      <c r="D2264" t="s">
        <v>1069</v>
      </c>
      <c r="F2264" t="str">
        <f>"251743"</f>
        <v>251743</v>
      </c>
      <c r="G2264" t="s">
        <v>49</v>
      </c>
      <c r="H2264">
        <v>43</v>
      </c>
      <c r="K2264" t="s">
        <v>51</v>
      </c>
      <c r="L2264" t="s">
        <v>52</v>
      </c>
      <c r="M2264">
        <v>131909.84</v>
      </c>
      <c r="N2264">
        <v>473812.15</v>
      </c>
      <c r="O2264" t="s">
        <v>53</v>
      </c>
      <c r="P2264" t="s">
        <v>54</v>
      </c>
      <c r="Q2264" t="s">
        <v>55</v>
      </c>
      <c r="T2264" t="s">
        <v>100</v>
      </c>
      <c r="U2264">
        <v>40</v>
      </c>
      <c r="V2264" s="1">
        <v>28126</v>
      </c>
      <c r="W2264" s="1">
        <v>28126</v>
      </c>
      <c r="X2264" s="1">
        <v>28126</v>
      </c>
      <c r="Y2264" s="1">
        <v>42736</v>
      </c>
      <c r="Z2264" t="s">
        <v>51</v>
      </c>
      <c r="AB2264" t="s">
        <v>54</v>
      </c>
      <c r="AC2264">
        <v>1</v>
      </c>
      <c r="AE2264" t="s">
        <v>243</v>
      </c>
      <c r="AF2264">
        <v>20</v>
      </c>
      <c r="AG2264" s="1">
        <v>35247</v>
      </c>
      <c r="AH2264" s="1">
        <v>35247</v>
      </c>
      <c r="AI2264" s="1">
        <v>35247</v>
      </c>
      <c r="AJ2264" s="1">
        <v>42552</v>
      </c>
      <c r="AK2264" t="s">
        <v>51</v>
      </c>
      <c r="AN2264">
        <v>0</v>
      </c>
      <c r="AO2264" t="s">
        <v>54</v>
      </c>
      <c r="AP2264" t="s">
        <v>53</v>
      </c>
      <c r="AQ2264">
        <v>0</v>
      </c>
      <c r="AR2264" t="s">
        <v>53</v>
      </c>
      <c r="AS2264">
        <v>0</v>
      </c>
      <c r="AT2264">
        <v>0</v>
      </c>
      <c r="AW2264" t="s">
        <v>172</v>
      </c>
      <c r="AX2264">
        <v>15</v>
      </c>
      <c r="AY2264" s="1">
        <v>44320</v>
      </c>
      <c r="AZ2264" s="1">
        <v>44320</v>
      </c>
      <c r="BA2264" s="1">
        <v>44320</v>
      </c>
      <c r="BB2264" s="1">
        <v>49799</v>
      </c>
      <c r="BC2264" t="s">
        <v>51</v>
      </c>
      <c r="BE2264" t="s">
        <v>54</v>
      </c>
      <c r="BF2264">
        <v>40</v>
      </c>
      <c r="BG2264">
        <v>0</v>
      </c>
      <c r="BH2264" t="s">
        <v>145</v>
      </c>
      <c r="CC2264" t="s">
        <v>244</v>
      </c>
      <c r="CD2264">
        <v>100000</v>
      </c>
      <c r="CE2264" s="1">
        <v>44320</v>
      </c>
      <c r="CF2264" s="1">
        <v>44320</v>
      </c>
      <c r="CG2264" s="1">
        <v>44320</v>
      </c>
      <c r="CH2264" s="1">
        <v>52802</v>
      </c>
      <c r="CI2264" t="s">
        <v>51</v>
      </c>
      <c r="CK2264" t="s">
        <v>78</v>
      </c>
      <c r="CM2264" t="s">
        <v>54</v>
      </c>
      <c r="CN2264" t="s">
        <v>174</v>
      </c>
      <c r="CR2264">
        <v>0</v>
      </c>
      <c r="CS2264">
        <v>2150</v>
      </c>
      <c r="CT2264">
        <v>0</v>
      </c>
      <c r="CU2264">
        <v>16</v>
      </c>
      <c r="CX2264" t="s">
        <v>674</v>
      </c>
      <c r="CY2264">
        <v>0</v>
      </c>
      <c r="CZ2264" s="1">
        <v>44320</v>
      </c>
      <c r="DA2264" s="1">
        <v>44320</v>
      </c>
      <c r="DB2264" s="1">
        <v>44320</v>
      </c>
      <c r="DC2264" s="1">
        <v>44320</v>
      </c>
      <c r="DD2264" t="s">
        <v>51</v>
      </c>
      <c r="DF2264" t="s">
        <v>54</v>
      </c>
      <c r="DG2264">
        <v>0</v>
      </c>
      <c r="DH2264">
        <v>0</v>
      </c>
    </row>
    <row r="2265" spans="1:112" x14ac:dyDescent="0.2">
      <c r="A2265" t="s">
        <v>1012</v>
      </c>
      <c r="B2265" t="s">
        <v>1013</v>
      </c>
      <c r="C2265" t="s">
        <v>1019</v>
      </c>
      <c r="D2265" t="s">
        <v>1069</v>
      </c>
      <c r="F2265" t="str">
        <f>"251744"</f>
        <v>251744</v>
      </c>
      <c r="G2265" t="s">
        <v>49</v>
      </c>
      <c r="H2265">
        <v>49</v>
      </c>
      <c r="K2265" t="s">
        <v>51</v>
      </c>
      <c r="L2265" t="s">
        <v>52</v>
      </c>
      <c r="M2265">
        <v>131894.78</v>
      </c>
      <c r="N2265">
        <v>473825.11</v>
      </c>
      <c r="O2265" t="s">
        <v>53</v>
      </c>
      <c r="P2265" t="s">
        <v>54</v>
      </c>
      <c r="Q2265" t="s">
        <v>55</v>
      </c>
      <c r="T2265" t="s">
        <v>100</v>
      </c>
      <c r="U2265">
        <v>40</v>
      </c>
      <c r="V2265" s="1">
        <v>28126</v>
      </c>
      <c r="W2265" s="1">
        <v>28126</v>
      </c>
      <c r="X2265" s="1">
        <v>28126</v>
      </c>
      <c r="Y2265" s="1">
        <v>42736</v>
      </c>
      <c r="Z2265" t="s">
        <v>51</v>
      </c>
      <c r="AB2265" t="s">
        <v>54</v>
      </c>
      <c r="AC2265">
        <v>1</v>
      </c>
      <c r="AE2265" t="s">
        <v>243</v>
      </c>
      <c r="AF2265">
        <v>20</v>
      </c>
      <c r="AG2265" s="1">
        <v>35247</v>
      </c>
      <c r="AH2265" s="1">
        <v>35247</v>
      </c>
      <c r="AI2265" s="1">
        <v>35247</v>
      </c>
      <c r="AJ2265" s="1">
        <v>42552</v>
      </c>
      <c r="AK2265" t="s">
        <v>51</v>
      </c>
      <c r="AN2265">
        <v>0</v>
      </c>
      <c r="AO2265" t="s">
        <v>54</v>
      </c>
      <c r="AP2265" t="s">
        <v>53</v>
      </c>
      <c r="AQ2265">
        <v>0</v>
      </c>
      <c r="AR2265" t="s">
        <v>53</v>
      </c>
      <c r="AS2265">
        <v>0</v>
      </c>
      <c r="AT2265">
        <v>0</v>
      </c>
      <c r="AW2265" t="s">
        <v>172</v>
      </c>
      <c r="AX2265">
        <v>15</v>
      </c>
      <c r="AY2265" s="1">
        <v>44320</v>
      </c>
      <c r="AZ2265" s="1">
        <v>44320</v>
      </c>
      <c r="BA2265" s="1">
        <v>44320</v>
      </c>
      <c r="BB2265" s="1">
        <v>49799</v>
      </c>
      <c r="BC2265" t="s">
        <v>51</v>
      </c>
      <c r="BE2265" t="s">
        <v>54</v>
      </c>
      <c r="BF2265">
        <v>40</v>
      </c>
      <c r="BG2265">
        <v>0</v>
      </c>
      <c r="BH2265" t="s">
        <v>145</v>
      </c>
      <c r="CC2265" t="s">
        <v>244</v>
      </c>
      <c r="CD2265">
        <v>100000</v>
      </c>
      <c r="CE2265" s="1">
        <v>44320</v>
      </c>
      <c r="CF2265" s="1">
        <v>44320</v>
      </c>
      <c r="CG2265" s="1">
        <v>44320</v>
      </c>
      <c r="CH2265" s="1">
        <v>52802</v>
      </c>
      <c r="CI2265" t="s">
        <v>51</v>
      </c>
      <c r="CK2265" t="s">
        <v>78</v>
      </c>
      <c r="CM2265" t="s">
        <v>54</v>
      </c>
      <c r="CN2265" t="s">
        <v>174</v>
      </c>
      <c r="CR2265">
        <v>0</v>
      </c>
      <c r="CS2265">
        <v>2150</v>
      </c>
      <c r="CT2265">
        <v>0</v>
      </c>
      <c r="CU2265">
        <v>16</v>
      </c>
      <c r="CX2265" t="s">
        <v>674</v>
      </c>
      <c r="CY2265">
        <v>0</v>
      </c>
      <c r="CZ2265" s="1">
        <v>44320</v>
      </c>
      <c r="DA2265" s="1">
        <v>44320</v>
      </c>
      <c r="DB2265" s="1">
        <v>44320</v>
      </c>
      <c r="DC2265" s="1">
        <v>44320</v>
      </c>
      <c r="DD2265" t="s">
        <v>51</v>
      </c>
      <c r="DF2265" t="s">
        <v>54</v>
      </c>
      <c r="DG2265">
        <v>0</v>
      </c>
      <c r="DH2265">
        <v>0</v>
      </c>
    </row>
    <row r="2266" spans="1:112" x14ac:dyDescent="0.2">
      <c r="A2266" t="s">
        <v>1012</v>
      </c>
      <c r="B2266" t="s">
        <v>1013</v>
      </c>
      <c r="C2266" t="s">
        <v>1019</v>
      </c>
      <c r="D2266" t="s">
        <v>1069</v>
      </c>
      <c r="F2266" t="str">
        <f>"251745"</f>
        <v>251745</v>
      </c>
      <c r="G2266" t="s">
        <v>49</v>
      </c>
      <c r="H2266">
        <v>72</v>
      </c>
      <c r="K2266" t="s">
        <v>51</v>
      </c>
      <c r="L2266" t="s">
        <v>52</v>
      </c>
      <c r="M2266">
        <v>131863.81</v>
      </c>
      <c r="N2266">
        <v>473841.7</v>
      </c>
      <c r="O2266" t="s">
        <v>53</v>
      </c>
      <c r="P2266" t="s">
        <v>54</v>
      </c>
      <c r="Q2266" t="s">
        <v>55</v>
      </c>
      <c r="T2266" t="s">
        <v>100</v>
      </c>
      <c r="U2266">
        <v>40</v>
      </c>
      <c r="V2266" s="1">
        <v>28126</v>
      </c>
      <c r="W2266" s="1">
        <v>28126</v>
      </c>
      <c r="X2266" s="1">
        <v>28126</v>
      </c>
      <c r="Y2266" s="1">
        <v>42736</v>
      </c>
      <c r="Z2266" t="s">
        <v>51</v>
      </c>
      <c r="AB2266" t="s">
        <v>54</v>
      </c>
      <c r="AC2266">
        <v>1</v>
      </c>
      <c r="AE2266" t="s">
        <v>243</v>
      </c>
      <c r="AF2266">
        <v>20</v>
      </c>
      <c r="AG2266" s="1">
        <v>35247</v>
      </c>
      <c r="AH2266" s="1">
        <v>35247</v>
      </c>
      <c r="AI2266" s="1">
        <v>35247</v>
      </c>
      <c r="AJ2266" s="1">
        <v>42552</v>
      </c>
      <c r="AK2266" t="s">
        <v>51</v>
      </c>
      <c r="AN2266">
        <v>0</v>
      </c>
      <c r="AO2266" t="s">
        <v>54</v>
      </c>
      <c r="AP2266" t="s">
        <v>53</v>
      </c>
      <c r="AQ2266">
        <v>0</v>
      </c>
      <c r="AR2266" t="s">
        <v>53</v>
      </c>
      <c r="AS2266">
        <v>0</v>
      </c>
      <c r="AT2266">
        <v>0</v>
      </c>
      <c r="AW2266" t="s">
        <v>172</v>
      </c>
      <c r="AX2266">
        <v>15</v>
      </c>
      <c r="AY2266" s="1">
        <v>44320</v>
      </c>
      <c r="AZ2266" s="1">
        <v>44320</v>
      </c>
      <c r="BA2266" s="1">
        <v>44320</v>
      </c>
      <c r="BB2266" s="1">
        <v>49799</v>
      </c>
      <c r="BC2266" t="s">
        <v>51</v>
      </c>
      <c r="BE2266" t="s">
        <v>54</v>
      </c>
      <c r="BF2266">
        <v>40</v>
      </c>
      <c r="BG2266">
        <v>0</v>
      </c>
      <c r="BH2266" t="s">
        <v>145</v>
      </c>
      <c r="CC2266" t="s">
        <v>244</v>
      </c>
      <c r="CD2266">
        <v>100000</v>
      </c>
      <c r="CE2266" s="1">
        <v>44320</v>
      </c>
      <c r="CF2266" s="1">
        <v>44320</v>
      </c>
      <c r="CG2266" s="1">
        <v>44320</v>
      </c>
      <c r="CH2266" s="1">
        <v>52802</v>
      </c>
      <c r="CI2266" t="s">
        <v>51</v>
      </c>
      <c r="CK2266" t="s">
        <v>78</v>
      </c>
      <c r="CM2266" t="s">
        <v>54</v>
      </c>
      <c r="CN2266" t="s">
        <v>174</v>
      </c>
      <c r="CR2266">
        <v>0</v>
      </c>
      <c r="CS2266">
        <v>2150</v>
      </c>
      <c r="CT2266">
        <v>0</v>
      </c>
      <c r="CU2266">
        <v>16</v>
      </c>
      <c r="CX2266" t="s">
        <v>674</v>
      </c>
      <c r="CY2266">
        <v>0</v>
      </c>
      <c r="CZ2266" s="1">
        <v>44320</v>
      </c>
      <c r="DA2266" s="1">
        <v>44320</v>
      </c>
      <c r="DB2266" s="1">
        <v>44320</v>
      </c>
      <c r="DC2266" s="1">
        <v>44320</v>
      </c>
      <c r="DD2266" t="s">
        <v>51</v>
      </c>
      <c r="DF2266" t="s">
        <v>54</v>
      </c>
      <c r="DG2266">
        <v>0</v>
      </c>
      <c r="DH2266">
        <v>0</v>
      </c>
    </row>
    <row r="2267" spans="1:112" x14ac:dyDescent="0.2">
      <c r="A2267" t="s">
        <v>1012</v>
      </c>
      <c r="B2267" t="s">
        <v>1013</v>
      </c>
      <c r="C2267" t="s">
        <v>1019</v>
      </c>
      <c r="D2267" t="s">
        <v>1069</v>
      </c>
      <c r="F2267" t="str">
        <f>"251746"</f>
        <v>251746</v>
      </c>
      <c r="G2267" t="s">
        <v>49</v>
      </c>
      <c r="H2267">
        <v>70</v>
      </c>
      <c r="K2267" t="s">
        <v>51</v>
      </c>
      <c r="L2267" t="s">
        <v>52</v>
      </c>
      <c r="M2267">
        <v>131870.42000000001</v>
      </c>
      <c r="N2267">
        <v>473827.44</v>
      </c>
      <c r="O2267" t="s">
        <v>53</v>
      </c>
      <c r="P2267" t="s">
        <v>54</v>
      </c>
      <c r="Q2267" t="s">
        <v>55</v>
      </c>
      <c r="T2267" t="s">
        <v>100</v>
      </c>
      <c r="U2267">
        <v>40</v>
      </c>
      <c r="V2267" s="1">
        <v>28126</v>
      </c>
      <c r="W2267" s="1">
        <v>28126</v>
      </c>
      <c r="X2267" s="1">
        <v>28126</v>
      </c>
      <c r="Y2267" s="1">
        <v>42736</v>
      </c>
      <c r="Z2267" t="s">
        <v>51</v>
      </c>
      <c r="AB2267" t="s">
        <v>54</v>
      </c>
      <c r="AC2267">
        <v>1</v>
      </c>
      <c r="AE2267" t="s">
        <v>243</v>
      </c>
      <c r="AF2267">
        <v>20</v>
      </c>
      <c r="AG2267" s="1">
        <v>35247</v>
      </c>
      <c r="AH2267" s="1">
        <v>35247</v>
      </c>
      <c r="AI2267" s="1">
        <v>35247</v>
      </c>
      <c r="AJ2267" s="1">
        <v>42552</v>
      </c>
      <c r="AK2267" t="s">
        <v>51</v>
      </c>
      <c r="AN2267">
        <v>0</v>
      </c>
      <c r="AO2267" t="s">
        <v>54</v>
      </c>
      <c r="AP2267" t="s">
        <v>53</v>
      </c>
      <c r="AQ2267">
        <v>0</v>
      </c>
      <c r="AR2267" t="s">
        <v>53</v>
      </c>
      <c r="AS2267">
        <v>0</v>
      </c>
      <c r="AT2267">
        <v>0</v>
      </c>
      <c r="AW2267" t="s">
        <v>172</v>
      </c>
      <c r="AX2267">
        <v>15</v>
      </c>
      <c r="AY2267" s="1">
        <v>44320</v>
      </c>
      <c r="AZ2267" s="1">
        <v>44320</v>
      </c>
      <c r="BA2267" s="1">
        <v>44320</v>
      </c>
      <c r="BB2267" s="1">
        <v>49799</v>
      </c>
      <c r="BC2267" t="s">
        <v>51</v>
      </c>
      <c r="BE2267" t="s">
        <v>54</v>
      </c>
      <c r="BF2267">
        <v>40</v>
      </c>
      <c r="BG2267">
        <v>0</v>
      </c>
      <c r="BH2267" t="s">
        <v>145</v>
      </c>
      <c r="CC2267" t="s">
        <v>244</v>
      </c>
      <c r="CD2267">
        <v>100000</v>
      </c>
      <c r="CE2267" s="1">
        <v>44320</v>
      </c>
      <c r="CF2267" s="1">
        <v>44320</v>
      </c>
      <c r="CG2267" s="1">
        <v>44320</v>
      </c>
      <c r="CH2267" s="1">
        <v>52802</v>
      </c>
      <c r="CI2267" t="s">
        <v>51</v>
      </c>
      <c r="CK2267" t="s">
        <v>78</v>
      </c>
      <c r="CM2267" t="s">
        <v>54</v>
      </c>
      <c r="CN2267" t="s">
        <v>174</v>
      </c>
      <c r="CR2267">
        <v>0</v>
      </c>
      <c r="CS2267">
        <v>2150</v>
      </c>
      <c r="CT2267">
        <v>0</v>
      </c>
      <c r="CU2267">
        <v>16</v>
      </c>
      <c r="CX2267" t="s">
        <v>674</v>
      </c>
      <c r="CY2267">
        <v>0</v>
      </c>
      <c r="CZ2267" s="1">
        <v>44320</v>
      </c>
      <c r="DA2267" s="1">
        <v>44320</v>
      </c>
      <c r="DB2267" s="1">
        <v>44320</v>
      </c>
      <c r="DC2267" s="1">
        <v>44320</v>
      </c>
      <c r="DD2267" t="s">
        <v>51</v>
      </c>
      <c r="DF2267" t="s">
        <v>54</v>
      </c>
      <c r="DG2267">
        <v>0</v>
      </c>
      <c r="DH2267">
        <v>0</v>
      </c>
    </row>
    <row r="2268" spans="1:112" x14ac:dyDescent="0.2">
      <c r="A2268" t="s">
        <v>1012</v>
      </c>
      <c r="B2268" t="s">
        <v>1013</v>
      </c>
      <c r="C2268" t="s">
        <v>1019</v>
      </c>
      <c r="D2268" t="s">
        <v>1069</v>
      </c>
      <c r="F2268" t="str">
        <f>"251747"</f>
        <v>251747</v>
      </c>
      <c r="G2268" t="s">
        <v>49</v>
      </c>
      <c r="H2268">
        <v>1</v>
      </c>
      <c r="K2268" t="s">
        <v>51</v>
      </c>
      <c r="L2268" t="s">
        <v>52</v>
      </c>
      <c r="M2268">
        <v>131864.26999999999</v>
      </c>
      <c r="N2268">
        <v>473804.24</v>
      </c>
      <c r="O2268" t="s">
        <v>53</v>
      </c>
      <c r="P2268" t="s">
        <v>54</v>
      </c>
      <c r="Q2268" t="s">
        <v>55</v>
      </c>
      <c r="T2268" t="s">
        <v>100</v>
      </c>
      <c r="U2268">
        <v>40</v>
      </c>
      <c r="V2268" s="1">
        <v>28126</v>
      </c>
      <c r="W2268" s="1">
        <v>28126</v>
      </c>
      <c r="X2268" s="1">
        <v>28126</v>
      </c>
      <c r="Y2268" s="1">
        <v>42736</v>
      </c>
      <c r="Z2268" t="s">
        <v>51</v>
      </c>
      <c r="AB2268" t="s">
        <v>54</v>
      </c>
      <c r="AE2268" t="s">
        <v>243</v>
      </c>
      <c r="AF2268">
        <v>20</v>
      </c>
      <c r="AG2268" s="1">
        <v>44320</v>
      </c>
      <c r="AH2268" s="1">
        <v>44320</v>
      </c>
      <c r="AI2268" s="1">
        <v>44320</v>
      </c>
      <c r="AJ2268" s="1">
        <v>51625</v>
      </c>
      <c r="AK2268" t="s">
        <v>51</v>
      </c>
      <c r="AN2268">
        <v>0</v>
      </c>
      <c r="AO2268" t="s">
        <v>54</v>
      </c>
      <c r="AP2268" t="s">
        <v>53</v>
      </c>
      <c r="AQ2268">
        <v>0</v>
      </c>
      <c r="AR2268" t="s">
        <v>53</v>
      </c>
      <c r="AS2268">
        <v>0</v>
      </c>
      <c r="AT2268">
        <v>0</v>
      </c>
      <c r="CC2268" t="s">
        <v>244</v>
      </c>
      <c r="CD2268">
        <v>100000</v>
      </c>
      <c r="CE2268" s="1">
        <v>44320</v>
      </c>
      <c r="CF2268" s="1">
        <v>44320</v>
      </c>
      <c r="CG2268" s="1">
        <v>44320</v>
      </c>
      <c r="CH2268" s="1">
        <v>52802</v>
      </c>
      <c r="CI2268" t="s">
        <v>51</v>
      </c>
      <c r="CK2268" t="s">
        <v>78</v>
      </c>
      <c r="CM2268" t="s">
        <v>54</v>
      </c>
      <c r="CN2268" t="s">
        <v>174</v>
      </c>
      <c r="CR2268">
        <v>0</v>
      </c>
      <c r="CS2268">
        <v>2150</v>
      </c>
      <c r="CT2268">
        <v>0</v>
      </c>
      <c r="CU2268">
        <v>16</v>
      </c>
    </row>
    <row r="2269" spans="1:112" x14ac:dyDescent="0.2">
      <c r="A2269" t="s">
        <v>1012</v>
      </c>
      <c r="B2269" t="s">
        <v>1013</v>
      </c>
      <c r="C2269" t="s">
        <v>1019</v>
      </c>
      <c r="D2269" t="s">
        <v>1069</v>
      </c>
      <c r="F2269" t="str">
        <f>"251748"</f>
        <v>251748</v>
      </c>
      <c r="G2269" t="s">
        <v>49</v>
      </c>
      <c r="H2269">
        <v>1</v>
      </c>
      <c r="K2269" t="s">
        <v>51</v>
      </c>
      <c r="L2269" t="s">
        <v>52</v>
      </c>
      <c r="M2269">
        <v>131877.75</v>
      </c>
      <c r="N2269">
        <v>473791.69</v>
      </c>
      <c r="O2269" t="s">
        <v>53</v>
      </c>
      <c r="P2269" t="s">
        <v>54</v>
      </c>
      <c r="Q2269" t="s">
        <v>55</v>
      </c>
      <c r="T2269" t="s">
        <v>100</v>
      </c>
      <c r="U2269">
        <v>40</v>
      </c>
      <c r="V2269" s="1">
        <v>28126</v>
      </c>
      <c r="W2269" s="1">
        <v>28126</v>
      </c>
      <c r="X2269" s="1">
        <v>28126</v>
      </c>
      <c r="Y2269" s="1">
        <v>42736</v>
      </c>
      <c r="Z2269" t="s">
        <v>51</v>
      </c>
      <c r="AB2269" t="s">
        <v>54</v>
      </c>
      <c r="AC2269">
        <v>1</v>
      </c>
      <c r="AE2269" t="s">
        <v>243</v>
      </c>
      <c r="AF2269">
        <v>20</v>
      </c>
      <c r="AG2269" s="1">
        <v>35247</v>
      </c>
      <c r="AH2269" s="1">
        <v>35247</v>
      </c>
      <c r="AI2269" s="1">
        <v>35247</v>
      </c>
      <c r="AJ2269" s="1">
        <v>42552</v>
      </c>
      <c r="AK2269" t="s">
        <v>51</v>
      </c>
      <c r="AN2269">
        <v>0</v>
      </c>
      <c r="AO2269" t="s">
        <v>54</v>
      </c>
      <c r="AP2269" t="s">
        <v>53</v>
      </c>
      <c r="AQ2269">
        <v>0</v>
      </c>
      <c r="AR2269" t="s">
        <v>53</v>
      </c>
      <c r="AS2269">
        <v>0</v>
      </c>
      <c r="AT2269">
        <v>0</v>
      </c>
      <c r="AW2269" t="s">
        <v>172</v>
      </c>
      <c r="AX2269">
        <v>15</v>
      </c>
      <c r="AY2269" s="1">
        <v>44320</v>
      </c>
      <c r="AZ2269" s="1">
        <v>44320</v>
      </c>
      <c r="BA2269" s="1">
        <v>44320</v>
      </c>
      <c r="BB2269" s="1">
        <v>49799</v>
      </c>
      <c r="BC2269" t="s">
        <v>51</v>
      </c>
      <c r="BE2269" t="s">
        <v>54</v>
      </c>
      <c r="BF2269">
        <v>40</v>
      </c>
      <c r="BG2269">
        <v>0</v>
      </c>
      <c r="BH2269" t="s">
        <v>145</v>
      </c>
      <c r="CC2269" t="s">
        <v>244</v>
      </c>
      <c r="CD2269">
        <v>100000</v>
      </c>
      <c r="CE2269" s="1">
        <v>44320</v>
      </c>
      <c r="CF2269" s="1">
        <v>44320</v>
      </c>
      <c r="CG2269" s="1">
        <v>44320</v>
      </c>
      <c r="CH2269" s="1">
        <v>52802</v>
      </c>
      <c r="CI2269" t="s">
        <v>51</v>
      </c>
      <c r="CK2269" t="s">
        <v>78</v>
      </c>
      <c r="CM2269" t="s">
        <v>54</v>
      </c>
      <c r="CN2269" t="s">
        <v>174</v>
      </c>
      <c r="CR2269">
        <v>0</v>
      </c>
      <c r="CS2269">
        <v>2150</v>
      </c>
      <c r="CT2269">
        <v>0</v>
      </c>
      <c r="CU2269">
        <v>16</v>
      </c>
      <c r="CX2269" t="s">
        <v>674</v>
      </c>
      <c r="CY2269">
        <v>0</v>
      </c>
      <c r="CZ2269" s="1">
        <v>44320</v>
      </c>
      <c r="DA2269" s="1">
        <v>44320</v>
      </c>
      <c r="DB2269" s="1">
        <v>44320</v>
      </c>
      <c r="DC2269" s="1">
        <v>44320</v>
      </c>
      <c r="DD2269" t="s">
        <v>51</v>
      </c>
      <c r="DF2269" t="s">
        <v>54</v>
      </c>
      <c r="DG2269">
        <v>0</v>
      </c>
      <c r="DH2269">
        <v>0</v>
      </c>
    </row>
    <row r="2270" spans="1:112" x14ac:dyDescent="0.2">
      <c r="A2270" t="s">
        <v>1012</v>
      </c>
      <c r="B2270" t="s">
        <v>1013</v>
      </c>
      <c r="C2270" t="s">
        <v>1019</v>
      </c>
      <c r="D2270" t="s">
        <v>1069</v>
      </c>
      <c r="F2270" t="str">
        <f>"251749"</f>
        <v>251749</v>
      </c>
      <c r="G2270" t="s">
        <v>49</v>
      </c>
      <c r="H2270">
        <v>3</v>
      </c>
      <c r="K2270" t="s">
        <v>51</v>
      </c>
      <c r="L2270" t="s">
        <v>52</v>
      </c>
      <c r="M2270">
        <v>131904.45000000001</v>
      </c>
      <c r="N2270">
        <v>473774.24</v>
      </c>
      <c r="O2270" t="s">
        <v>53</v>
      </c>
      <c r="P2270" t="s">
        <v>54</v>
      </c>
      <c r="Q2270" t="s">
        <v>55</v>
      </c>
      <c r="T2270" t="s">
        <v>100</v>
      </c>
      <c r="U2270">
        <v>40</v>
      </c>
      <c r="V2270" s="1">
        <v>28126</v>
      </c>
      <c r="W2270" s="1">
        <v>28126</v>
      </c>
      <c r="X2270" s="1">
        <v>28126</v>
      </c>
      <c r="Y2270" s="1">
        <v>42736</v>
      </c>
      <c r="Z2270" t="s">
        <v>51</v>
      </c>
      <c r="AB2270" t="s">
        <v>54</v>
      </c>
      <c r="AC2270">
        <v>1</v>
      </c>
      <c r="AE2270" t="s">
        <v>222</v>
      </c>
      <c r="AF2270">
        <v>20</v>
      </c>
      <c r="AG2270" s="1">
        <v>35247</v>
      </c>
      <c r="AH2270" s="1">
        <v>35247</v>
      </c>
      <c r="AI2270" s="1">
        <v>35247</v>
      </c>
      <c r="AJ2270" s="1">
        <v>42552</v>
      </c>
      <c r="AK2270" t="s">
        <v>51</v>
      </c>
      <c r="AN2270">
        <v>0</v>
      </c>
      <c r="AO2270" t="s">
        <v>54</v>
      </c>
      <c r="AP2270" t="s">
        <v>53</v>
      </c>
      <c r="AQ2270">
        <v>0</v>
      </c>
      <c r="AR2270" t="s">
        <v>53</v>
      </c>
      <c r="AS2270">
        <v>0</v>
      </c>
      <c r="AT2270">
        <v>0</v>
      </c>
      <c r="CC2270" t="s">
        <v>250</v>
      </c>
      <c r="CD2270">
        <v>100000</v>
      </c>
      <c r="CE2270" s="1">
        <v>44320</v>
      </c>
      <c r="CF2270" s="1">
        <v>44320</v>
      </c>
      <c r="CG2270" s="1">
        <v>44320</v>
      </c>
      <c r="CH2270" s="1">
        <v>53302</v>
      </c>
      <c r="CI2270" t="s">
        <v>51</v>
      </c>
      <c r="CK2270" t="s">
        <v>78</v>
      </c>
      <c r="CM2270" t="s">
        <v>54</v>
      </c>
      <c r="CN2270" t="s">
        <v>174</v>
      </c>
      <c r="CR2270">
        <v>13.2</v>
      </c>
      <c r="CS2270">
        <v>1800</v>
      </c>
      <c r="CT2270">
        <v>0</v>
      </c>
      <c r="CU2270">
        <v>16</v>
      </c>
      <c r="CX2270" t="s">
        <v>674</v>
      </c>
      <c r="CY2270">
        <v>0</v>
      </c>
      <c r="CZ2270" s="1">
        <v>44320</v>
      </c>
      <c r="DA2270" s="1">
        <v>44320</v>
      </c>
      <c r="DB2270" s="1">
        <v>44320</v>
      </c>
      <c r="DC2270" s="1">
        <v>44320</v>
      </c>
      <c r="DD2270" t="s">
        <v>51</v>
      </c>
      <c r="DF2270" t="s">
        <v>54</v>
      </c>
      <c r="DG2270">
        <v>0</v>
      </c>
      <c r="DH2270">
        <v>0</v>
      </c>
    </row>
    <row r="2271" spans="1:112" x14ac:dyDescent="0.2">
      <c r="A2271" t="s">
        <v>1012</v>
      </c>
      <c r="B2271" t="s">
        <v>1013</v>
      </c>
      <c r="C2271" t="s">
        <v>1019</v>
      </c>
      <c r="D2271" t="s">
        <v>1069</v>
      </c>
      <c r="F2271" t="str">
        <f>"251750"</f>
        <v>251750</v>
      </c>
      <c r="G2271" t="s">
        <v>49</v>
      </c>
      <c r="H2271">
        <v>25</v>
      </c>
      <c r="K2271" t="s">
        <v>51</v>
      </c>
      <c r="L2271" t="s">
        <v>52</v>
      </c>
      <c r="M2271">
        <v>131938.57999999999</v>
      </c>
      <c r="N2271">
        <v>473763.47</v>
      </c>
      <c r="O2271" t="s">
        <v>53</v>
      </c>
      <c r="P2271" t="s">
        <v>54</v>
      </c>
      <c r="Q2271" t="s">
        <v>55</v>
      </c>
      <c r="T2271" t="s">
        <v>100</v>
      </c>
      <c r="U2271">
        <v>40</v>
      </c>
      <c r="V2271" s="1">
        <v>28126</v>
      </c>
      <c r="W2271" s="1">
        <v>28126</v>
      </c>
      <c r="X2271" s="1">
        <v>28126</v>
      </c>
      <c r="Y2271" s="1">
        <v>42736</v>
      </c>
      <c r="Z2271" t="s">
        <v>51</v>
      </c>
      <c r="AB2271" t="s">
        <v>54</v>
      </c>
      <c r="AC2271">
        <v>1</v>
      </c>
      <c r="AE2271" t="s">
        <v>243</v>
      </c>
      <c r="AF2271">
        <v>20</v>
      </c>
      <c r="AG2271" s="1">
        <v>35247</v>
      </c>
      <c r="AH2271" s="1">
        <v>35247</v>
      </c>
      <c r="AI2271" s="1">
        <v>35247</v>
      </c>
      <c r="AJ2271" s="1">
        <v>42552</v>
      </c>
      <c r="AK2271" t="s">
        <v>51</v>
      </c>
      <c r="AN2271">
        <v>0</v>
      </c>
      <c r="AO2271" t="s">
        <v>54</v>
      </c>
      <c r="AP2271" t="s">
        <v>53</v>
      </c>
      <c r="AQ2271">
        <v>0</v>
      </c>
      <c r="AR2271" t="s">
        <v>53</v>
      </c>
      <c r="AS2271">
        <v>0</v>
      </c>
      <c r="AT2271">
        <v>0</v>
      </c>
      <c r="AW2271" t="s">
        <v>172</v>
      </c>
      <c r="AX2271">
        <v>15</v>
      </c>
      <c r="AY2271" s="1">
        <v>44320</v>
      </c>
      <c r="AZ2271" s="1">
        <v>44320</v>
      </c>
      <c r="BA2271" s="1">
        <v>44320</v>
      </c>
      <c r="BB2271" s="1">
        <v>49799</v>
      </c>
      <c r="BC2271" t="s">
        <v>51</v>
      </c>
      <c r="BE2271" t="s">
        <v>54</v>
      </c>
      <c r="BF2271">
        <v>40</v>
      </c>
      <c r="BG2271">
        <v>0</v>
      </c>
      <c r="BH2271" t="s">
        <v>145</v>
      </c>
      <c r="CC2271" t="s">
        <v>244</v>
      </c>
      <c r="CD2271">
        <v>100000</v>
      </c>
      <c r="CE2271" s="1">
        <v>44320</v>
      </c>
      <c r="CF2271" s="1">
        <v>44320</v>
      </c>
      <c r="CG2271" s="1">
        <v>44320</v>
      </c>
      <c r="CH2271" s="1">
        <v>52802</v>
      </c>
      <c r="CI2271" t="s">
        <v>51</v>
      </c>
      <c r="CK2271" t="s">
        <v>78</v>
      </c>
      <c r="CM2271" t="s">
        <v>54</v>
      </c>
      <c r="CN2271" t="s">
        <v>174</v>
      </c>
      <c r="CR2271">
        <v>0</v>
      </c>
      <c r="CS2271">
        <v>2150</v>
      </c>
      <c r="CT2271">
        <v>0</v>
      </c>
      <c r="CU2271">
        <v>16</v>
      </c>
      <c r="CX2271" t="s">
        <v>674</v>
      </c>
      <c r="CY2271">
        <v>0</v>
      </c>
      <c r="CZ2271" s="1">
        <v>44320</v>
      </c>
      <c r="DA2271" s="1">
        <v>44320</v>
      </c>
      <c r="DB2271" s="1">
        <v>44320</v>
      </c>
      <c r="DC2271" s="1">
        <v>44320</v>
      </c>
      <c r="DD2271" t="s">
        <v>51</v>
      </c>
      <c r="DF2271" t="s">
        <v>54</v>
      </c>
      <c r="DG2271">
        <v>0</v>
      </c>
      <c r="DH2271">
        <v>0</v>
      </c>
    </row>
    <row r="2272" spans="1:112" x14ac:dyDescent="0.2">
      <c r="A2272" t="s">
        <v>1012</v>
      </c>
      <c r="B2272" t="s">
        <v>1013</v>
      </c>
      <c r="C2272" t="s">
        <v>1019</v>
      </c>
      <c r="D2272" t="s">
        <v>1069</v>
      </c>
      <c r="F2272" t="str">
        <f>"251751"</f>
        <v>251751</v>
      </c>
      <c r="G2272" t="s">
        <v>49</v>
      </c>
      <c r="H2272">
        <v>33</v>
      </c>
      <c r="K2272" t="s">
        <v>51</v>
      </c>
      <c r="L2272" t="s">
        <v>52</v>
      </c>
      <c r="M2272">
        <v>131939.06</v>
      </c>
      <c r="N2272">
        <v>473775.97</v>
      </c>
      <c r="O2272" t="s">
        <v>53</v>
      </c>
      <c r="P2272" t="s">
        <v>54</v>
      </c>
      <c r="Q2272" t="s">
        <v>55</v>
      </c>
      <c r="T2272" t="s">
        <v>100</v>
      </c>
      <c r="U2272">
        <v>40</v>
      </c>
      <c r="V2272" s="1">
        <v>28126</v>
      </c>
      <c r="W2272" s="1">
        <v>28126</v>
      </c>
      <c r="X2272" s="1">
        <v>28126</v>
      </c>
      <c r="Y2272" s="1">
        <v>42736</v>
      </c>
      <c r="Z2272" t="s">
        <v>51</v>
      </c>
      <c r="AB2272" t="s">
        <v>54</v>
      </c>
      <c r="AC2272">
        <v>1</v>
      </c>
      <c r="AE2272" t="s">
        <v>243</v>
      </c>
      <c r="AF2272">
        <v>20</v>
      </c>
      <c r="AG2272" s="1">
        <v>35247</v>
      </c>
      <c r="AH2272" s="1">
        <v>35247</v>
      </c>
      <c r="AI2272" s="1">
        <v>35247</v>
      </c>
      <c r="AJ2272" s="1">
        <v>42552</v>
      </c>
      <c r="AK2272" t="s">
        <v>51</v>
      </c>
      <c r="AN2272">
        <v>0</v>
      </c>
      <c r="AO2272" t="s">
        <v>54</v>
      </c>
      <c r="AP2272" t="s">
        <v>53</v>
      </c>
      <c r="AQ2272">
        <v>0</v>
      </c>
      <c r="AR2272" t="s">
        <v>53</v>
      </c>
      <c r="AS2272">
        <v>0</v>
      </c>
      <c r="AT2272">
        <v>0</v>
      </c>
      <c r="AW2272" t="s">
        <v>172</v>
      </c>
      <c r="AX2272">
        <v>15</v>
      </c>
      <c r="AY2272" s="1">
        <v>44320</v>
      </c>
      <c r="AZ2272" s="1">
        <v>44320</v>
      </c>
      <c r="BA2272" s="1">
        <v>44320</v>
      </c>
      <c r="BB2272" s="1">
        <v>49799</v>
      </c>
      <c r="BC2272" t="s">
        <v>51</v>
      </c>
      <c r="BE2272" t="s">
        <v>54</v>
      </c>
      <c r="BF2272">
        <v>40</v>
      </c>
      <c r="BG2272">
        <v>0</v>
      </c>
      <c r="BH2272" t="s">
        <v>145</v>
      </c>
      <c r="CC2272" t="s">
        <v>244</v>
      </c>
      <c r="CD2272">
        <v>100000</v>
      </c>
      <c r="CE2272" s="1">
        <v>44320</v>
      </c>
      <c r="CF2272" s="1">
        <v>44320</v>
      </c>
      <c r="CG2272" s="1">
        <v>44320</v>
      </c>
      <c r="CH2272" s="1">
        <v>52802</v>
      </c>
      <c r="CI2272" t="s">
        <v>51</v>
      </c>
      <c r="CK2272" t="s">
        <v>78</v>
      </c>
      <c r="CM2272" t="s">
        <v>54</v>
      </c>
      <c r="CN2272" t="s">
        <v>174</v>
      </c>
      <c r="CR2272">
        <v>0</v>
      </c>
      <c r="CS2272">
        <v>2150</v>
      </c>
      <c r="CT2272">
        <v>0</v>
      </c>
      <c r="CU2272">
        <v>16</v>
      </c>
      <c r="CX2272" t="s">
        <v>674</v>
      </c>
      <c r="CY2272">
        <v>0</v>
      </c>
      <c r="CZ2272" s="1">
        <v>44320</v>
      </c>
      <c r="DA2272" s="1">
        <v>44320</v>
      </c>
      <c r="DB2272" s="1">
        <v>44320</v>
      </c>
      <c r="DC2272" s="1">
        <v>44320</v>
      </c>
      <c r="DD2272" t="s">
        <v>51</v>
      </c>
      <c r="DF2272" t="s">
        <v>54</v>
      </c>
      <c r="DG2272">
        <v>0</v>
      </c>
      <c r="DH2272">
        <v>0</v>
      </c>
    </row>
    <row r="2273" spans="1:112" x14ac:dyDescent="0.2">
      <c r="A2273" t="s">
        <v>1012</v>
      </c>
      <c r="B2273" t="s">
        <v>1013</v>
      </c>
      <c r="C2273" t="s">
        <v>1019</v>
      </c>
      <c r="D2273" t="s">
        <v>1070</v>
      </c>
      <c r="F2273" t="str">
        <f>"251752"</f>
        <v>251752</v>
      </c>
      <c r="G2273" t="s">
        <v>49</v>
      </c>
      <c r="H2273">
        <v>26</v>
      </c>
      <c r="K2273" t="s">
        <v>51</v>
      </c>
      <c r="L2273" t="s">
        <v>52</v>
      </c>
      <c r="M2273">
        <v>131848.20000000001</v>
      </c>
      <c r="N2273">
        <v>473887.47</v>
      </c>
      <c r="O2273" t="s">
        <v>53</v>
      </c>
      <c r="P2273" t="s">
        <v>54</v>
      </c>
      <c r="Q2273" t="s">
        <v>55</v>
      </c>
      <c r="T2273" t="s">
        <v>81</v>
      </c>
      <c r="U2273">
        <v>40</v>
      </c>
      <c r="V2273" s="1">
        <v>44378</v>
      </c>
      <c r="W2273" s="1">
        <v>44378</v>
      </c>
      <c r="X2273" s="1">
        <v>44378</v>
      </c>
      <c r="Y2273" s="1">
        <v>58988</v>
      </c>
      <c r="Z2273" t="s">
        <v>51</v>
      </c>
      <c r="AB2273" t="s">
        <v>54</v>
      </c>
      <c r="AC2273">
        <v>1</v>
      </c>
      <c r="AE2273" t="s">
        <v>1024</v>
      </c>
      <c r="AF2273">
        <v>20</v>
      </c>
      <c r="AG2273" s="1">
        <v>44378</v>
      </c>
      <c r="AH2273" s="1">
        <v>44378</v>
      </c>
      <c r="AI2273" s="1">
        <v>44378</v>
      </c>
      <c r="AJ2273" s="1">
        <v>51683</v>
      </c>
      <c r="AK2273" t="s">
        <v>51</v>
      </c>
      <c r="AN2273">
        <v>0</v>
      </c>
      <c r="AO2273" t="s">
        <v>54</v>
      </c>
      <c r="AP2273" t="s">
        <v>53</v>
      </c>
      <c r="AQ2273">
        <v>0</v>
      </c>
      <c r="AR2273" t="s">
        <v>145</v>
      </c>
      <c r="AS2273">
        <v>0</v>
      </c>
      <c r="AT2273">
        <v>0</v>
      </c>
      <c r="CC2273" t="s">
        <v>555</v>
      </c>
      <c r="CD2273">
        <v>85000</v>
      </c>
      <c r="CE2273" s="1">
        <v>44378</v>
      </c>
      <c r="CF2273" s="1">
        <v>44378</v>
      </c>
      <c r="CG2273" s="1">
        <v>44378</v>
      </c>
      <c r="CH2273" s="1">
        <v>51965</v>
      </c>
      <c r="CI2273" t="s">
        <v>51</v>
      </c>
      <c r="CK2273" t="s">
        <v>78</v>
      </c>
      <c r="CM2273" t="s">
        <v>54</v>
      </c>
      <c r="CN2273" t="s">
        <v>174</v>
      </c>
      <c r="CO2273" t="s">
        <v>86</v>
      </c>
      <c r="CR2273">
        <v>20</v>
      </c>
      <c r="CS2273">
        <v>0</v>
      </c>
      <c r="CT2273">
        <v>0</v>
      </c>
      <c r="CU2273">
        <v>0</v>
      </c>
      <c r="CX2273" t="s">
        <v>674</v>
      </c>
      <c r="CY2273">
        <v>0</v>
      </c>
      <c r="CZ2273" s="1">
        <v>44320</v>
      </c>
      <c r="DA2273" s="1">
        <v>44320</v>
      </c>
      <c r="DB2273" s="1">
        <v>44320</v>
      </c>
      <c r="DC2273" s="1">
        <v>44320</v>
      </c>
      <c r="DD2273" t="s">
        <v>51</v>
      </c>
      <c r="DF2273" t="s">
        <v>54</v>
      </c>
      <c r="DG2273">
        <v>0</v>
      </c>
      <c r="DH2273">
        <v>0</v>
      </c>
    </row>
    <row r="2274" spans="1:112" x14ac:dyDescent="0.2">
      <c r="A2274" t="s">
        <v>1012</v>
      </c>
      <c r="B2274" t="s">
        <v>1013</v>
      </c>
      <c r="C2274" t="s">
        <v>1019</v>
      </c>
      <c r="D2274" t="s">
        <v>1070</v>
      </c>
      <c r="F2274" t="str">
        <f>"251753"</f>
        <v>251753</v>
      </c>
      <c r="G2274" t="s">
        <v>49</v>
      </c>
      <c r="H2274">
        <v>22</v>
      </c>
      <c r="K2274" t="s">
        <v>51</v>
      </c>
      <c r="L2274" t="s">
        <v>52</v>
      </c>
      <c r="M2274">
        <v>131822.76999999999</v>
      </c>
      <c r="N2274">
        <v>473902.51</v>
      </c>
      <c r="O2274" t="s">
        <v>53</v>
      </c>
      <c r="P2274" t="s">
        <v>54</v>
      </c>
      <c r="Q2274" t="s">
        <v>55</v>
      </c>
      <c r="T2274" t="s">
        <v>81</v>
      </c>
      <c r="U2274">
        <v>40</v>
      </c>
      <c r="V2274" s="1">
        <v>44378</v>
      </c>
      <c r="W2274" s="1">
        <v>44378</v>
      </c>
      <c r="X2274" s="1">
        <v>44378</v>
      </c>
      <c r="Y2274" s="1">
        <v>58988</v>
      </c>
      <c r="Z2274" t="s">
        <v>51</v>
      </c>
      <c r="AB2274" t="s">
        <v>54</v>
      </c>
      <c r="AC2274">
        <v>1</v>
      </c>
      <c r="AE2274" t="s">
        <v>1024</v>
      </c>
      <c r="AF2274">
        <v>20</v>
      </c>
      <c r="AG2274" s="1">
        <v>44378</v>
      </c>
      <c r="AH2274" s="1">
        <v>44378</v>
      </c>
      <c r="AI2274" s="1">
        <v>44378</v>
      </c>
      <c r="AJ2274" s="1">
        <v>51683</v>
      </c>
      <c r="AK2274" t="s">
        <v>51</v>
      </c>
      <c r="AN2274">
        <v>0</v>
      </c>
      <c r="AO2274" t="s">
        <v>54</v>
      </c>
      <c r="AP2274" t="s">
        <v>53</v>
      </c>
      <c r="AQ2274">
        <v>0</v>
      </c>
      <c r="AR2274" t="s">
        <v>145</v>
      </c>
      <c r="AS2274">
        <v>0</v>
      </c>
      <c r="AT2274">
        <v>0</v>
      </c>
      <c r="CC2274" t="s">
        <v>555</v>
      </c>
      <c r="CD2274">
        <v>85000</v>
      </c>
      <c r="CE2274" s="1">
        <v>44378</v>
      </c>
      <c r="CF2274" s="1">
        <v>44378</v>
      </c>
      <c r="CG2274" s="1">
        <v>44378</v>
      </c>
      <c r="CH2274" s="1">
        <v>51965</v>
      </c>
      <c r="CI2274" t="s">
        <v>51</v>
      </c>
      <c r="CK2274" t="s">
        <v>78</v>
      </c>
      <c r="CM2274" t="s">
        <v>54</v>
      </c>
      <c r="CN2274" t="s">
        <v>174</v>
      </c>
      <c r="CO2274" t="s">
        <v>86</v>
      </c>
      <c r="CR2274">
        <v>20</v>
      </c>
      <c r="CS2274">
        <v>0</v>
      </c>
      <c r="CT2274">
        <v>0</v>
      </c>
      <c r="CU2274">
        <v>0</v>
      </c>
      <c r="CX2274" t="s">
        <v>674</v>
      </c>
      <c r="CY2274">
        <v>0</v>
      </c>
      <c r="CZ2274" s="1">
        <v>44320</v>
      </c>
      <c r="DA2274" s="1">
        <v>44320</v>
      </c>
      <c r="DB2274" s="1">
        <v>44320</v>
      </c>
      <c r="DC2274" s="1">
        <v>44320</v>
      </c>
      <c r="DD2274" t="s">
        <v>51</v>
      </c>
      <c r="DF2274" t="s">
        <v>54</v>
      </c>
      <c r="DG2274">
        <v>0</v>
      </c>
      <c r="DH2274">
        <v>0</v>
      </c>
    </row>
    <row r="2275" spans="1:112" x14ac:dyDescent="0.2">
      <c r="A2275" t="s">
        <v>1012</v>
      </c>
      <c r="B2275" t="s">
        <v>1013</v>
      </c>
      <c r="C2275" t="s">
        <v>1019</v>
      </c>
      <c r="D2275" t="s">
        <v>1070</v>
      </c>
      <c r="F2275" t="str">
        <f>"251754"</f>
        <v>251754</v>
      </c>
      <c r="G2275" t="s">
        <v>49</v>
      </c>
      <c r="H2275">
        <v>18</v>
      </c>
      <c r="K2275" t="s">
        <v>51</v>
      </c>
      <c r="L2275" t="s">
        <v>52</v>
      </c>
      <c r="M2275">
        <v>131802.73000000001</v>
      </c>
      <c r="N2275">
        <v>473905.94</v>
      </c>
      <c r="O2275" t="s">
        <v>53</v>
      </c>
      <c r="P2275" t="s">
        <v>54</v>
      </c>
      <c r="Q2275" t="s">
        <v>55</v>
      </c>
      <c r="T2275" t="s">
        <v>81</v>
      </c>
      <c r="U2275">
        <v>40</v>
      </c>
      <c r="V2275" s="1">
        <v>44378</v>
      </c>
      <c r="W2275" s="1">
        <v>44378</v>
      </c>
      <c r="X2275" s="1">
        <v>44378</v>
      </c>
      <c r="Y2275" s="1">
        <v>58988</v>
      </c>
      <c r="Z2275" t="s">
        <v>51</v>
      </c>
      <c r="AB2275" t="s">
        <v>54</v>
      </c>
      <c r="AC2275">
        <v>1</v>
      </c>
      <c r="AE2275" t="s">
        <v>1024</v>
      </c>
      <c r="AF2275">
        <v>20</v>
      </c>
      <c r="AG2275" s="1">
        <v>44378</v>
      </c>
      <c r="AH2275" s="1">
        <v>44378</v>
      </c>
      <c r="AI2275" s="1">
        <v>44378</v>
      </c>
      <c r="AJ2275" s="1">
        <v>51683</v>
      </c>
      <c r="AK2275" t="s">
        <v>51</v>
      </c>
      <c r="AN2275">
        <v>0</v>
      </c>
      <c r="AO2275" t="s">
        <v>54</v>
      </c>
      <c r="AP2275" t="s">
        <v>53</v>
      </c>
      <c r="AQ2275">
        <v>0</v>
      </c>
      <c r="AR2275" t="s">
        <v>145</v>
      </c>
      <c r="AS2275">
        <v>0</v>
      </c>
      <c r="AT2275">
        <v>0</v>
      </c>
      <c r="CC2275" t="s">
        <v>555</v>
      </c>
      <c r="CD2275">
        <v>85000</v>
      </c>
      <c r="CE2275" s="1">
        <v>44378</v>
      </c>
      <c r="CF2275" s="1">
        <v>44378</v>
      </c>
      <c r="CG2275" s="1">
        <v>44378</v>
      </c>
      <c r="CH2275" s="1">
        <v>51965</v>
      </c>
      <c r="CI2275" t="s">
        <v>51</v>
      </c>
      <c r="CK2275" t="s">
        <v>78</v>
      </c>
      <c r="CM2275" t="s">
        <v>54</v>
      </c>
      <c r="CN2275" t="s">
        <v>174</v>
      </c>
      <c r="CO2275" t="s">
        <v>86</v>
      </c>
      <c r="CR2275">
        <v>20</v>
      </c>
      <c r="CS2275">
        <v>0</v>
      </c>
      <c r="CT2275">
        <v>0</v>
      </c>
      <c r="CU2275">
        <v>0</v>
      </c>
      <c r="CX2275" t="s">
        <v>674</v>
      </c>
      <c r="CY2275">
        <v>0</v>
      </c>
      <c r="CZ2275" s="1">
        <v>44320</v>
      </c>
      <c r="DA2275" s="1">
        <v>44320</v>
      </c>
      <c r="DB2275" s="1">
        <v>44320</v>
      </c>
      <c r="DC2275" s="1">
        <v>44320</v>
      </c>
      <c r="DD2275" t="s">
        <v>51</v>
      </c>
      <c r="DF2275" t="s">
        <v>54</v>
      </c>
      <c r="DG2275">
        <v>0</v>
      </c>
      <c r="DH2275">
        <v>0</v>
      </c>
    </row>
    <row r="2276" spans="1:112" x14ac:dyDescent="0.2">
      <c r="A2276" t="s">
        <v>1012</v>
      </c>
      <c r="B2276" t="s">
        <v>1013</v>
      </c>
      <c r="C2276" t="s">
        <v>1019</v>
      </c>
      <c r="D2276" t="s">
        <v>1070</v>
      </c>
      <c r="F2276" t="str">
        <f>"251755"</f>
        <v>251755</v>
      </c>
      <c r="G2276" t="s">
        <v>49</v>
      </c>
      <c r="H2276">
        <v>12</v>
      </c>
      <c r="K2276" t="s">
        <v>51</v>
      </c>
      <c r="L2276" t="s">
        <v>52</v>
      </c>
      <c r="M2276">
        <v>131776.5</v>
      </c>
      <c r="N2276">
        <v>473909.51</v>
      </c>
      <c r="O2276" t="s">
        <v>53</v>
      </c>
      <c r="P2276" t="s">
        <v>54</v>
      </c>
      <c r="Q2276" t="s">
        <v>55</v>
      </c>
      <c r="T2276" t="s">
        <v>81</v>
      </c>
      <c r="U2276">
        <v>40</v>
      </c>
      <c r="V2276" s="1">
        <v>44378</v>
      </c>
      <c r="W2276" s="1">
        <v>44378</v>
      </c>
      <c r="X2276" s="1">
        <v>44378</v>
      </c>
      <c r="Y2276" s="1">
        <v>58988</v>
      </c>
      <c r="Z2276" t="s">
        <v>51</v>
      </c>
      <c r="AB2276" t="s">
        <v>54</v>
      </c>
      <c r="AC2276">
        <v>1</v>
      </c>
      <c r="AE2276" t="s">
        <v>1024</v>
      </c>
      <c r="AF2276">
        <v>20</v>
      </c>
      <c r="AG2276" s="1">
        <v>44378</v>
      </c>
      <c r="AH2276" s="1">
        <v>44378</v>
      </c>
      <c r="AI2276" s="1">
        <v>44378</v>
      </c>
      <c r="AJ2276" s="1">
        <v>51683</v>
      </c>
      <c r="AK2276" t="s">
        <v>51</v>
      </c>
      <c r="AN2276">
        <v>0</v>
      </c>
      <c r="AO2276" t="s">
        <v>54</v>
      </c>
      <c r="AP2276" t="s">
        <v>53</v>
      </c>
      <c r="AQ2276">
        <v>0</v>
      </c>
      <c r="AR2276" t="s">
        <v>145</v>
      </c>
      <c r="AS2276">
        <v>0</v>
      </c>
      <c r="AT2276">
        <v>0</v>
      </c>
      <c r="CC2276" t="s">
        <v>555</v>
      </c>
      <c r="CD2276">
        <v>85000</v>
      </c>
      <c r="CE2276" s="1">
        <v>44378</v>
      </c>
      <c r="CF2276" s="1">
        <v>44378</v>
      </c>
      <c r="CG2276" s="1">
        <v>44378</v>
      </c>
      <c r="CH2276" s="1">
        <v>51965</v>
      </c>
      <c r="CI2276" t="s">
        <v>51</v>
      </c>
      <c r="CK2276" t="s">
        <v>78</v>
      </c>
      <c r="CM2276" t="s">
        <v>54</v>
      </c>
      <c r="CN2276" t="s">
        <v>174</v>
      </c>
      <c r="CO2276" t="s">
        <v>86</v>
      </c>
      <c r="CR2276">
        <v>20</v>
      </c>
      <c r="CS2276">
        <v>0</v>
      </c>
      <c r="CT2276">
        <v>0</v>
      </c>
      <c r="CU2276">
        <v>0</v>
      </c>
      <c r="CX2276" t="s">
        <v>674</v>
      </c>
      <c r="CY2276">
        <v>0</v>
      </c>
      <c r="CZ2276" s="1">
        <v>44320</v>
      </c>
      <c r="DA2276" s="1">
        <v>44320</v>
      </c>
      <c r="DB2276" s="1">
        <v>44320</v>
      </c>
      <c r="DC2276" s="1">
        <v>44320</v>
      </c>
      <c r="DD2276" t="s">
        <v>51</v>
      </c>
      <c r="DF2276" t="s">
        <v>54</v>
      </c>
      <c r="DG2276">
        <v>0</v>
      </c>
      <c r="DH2276">
        <v>0</v>
      </c>
    </row>
    <row r="2277" spans="1:112" x14ac:dyDescent="0.2">
      <c r="A2277" t="s">
        <v>1012</v>
      </c>
      <c r="B2277" t="s">
        <v>1013</v>
      </c>
      <c r="C2277" t="s">
        <v>1019</v>
      </c>
      <c r="D2277" t="s">
        <v>1070</v>
      </c>
      <c r="F2277" t="str">
        <f>"254219"</f>
        <v>254219</v>
      </c>
      <c r="G2277" t="s">
        <v>49</v>
      </c>
      <c r="H2277">
        <v>8</v>
      </c>
      <c r="K2277" t="s">
        <v>51</v>
      </c>
      <c r="L2277" t="s">
        <v>52</v>
      </c>
      <c r="M2277">
        <v>131726.35</v>
      </c>
      <c r="N2277">
        <v>473918.6</v>
      </c>
      <c r="O2277" t="s">
        <v>53</v>
      </c>
      <c r="P2277" t="s">
        <v>54</v>
      </c>
      <c r="Q2277" t="s">
        <v>55</v>
      </c>
      <c r="T2277" t="s">
        <v>81</v>
      </c>
      <c r="U2277">
        <v>40</v>
      </c>
      <c r="V2277" s="1">
        <v>44378</v>
      </c>
      <c r="W2277" s="1">
        <v>44378</v>
      </c>
      <c r="X2277" s="1">
        <v>44378</v>
      </c>
      <c r="Y2277" s="1">
        <v>58988</v>
      </c>
      <c r="Z2277" t="s">
        <v>51</v>
      </c>
      <c r="AB2277" t="s">
        <v>54</v>
      </c>
      <c r="AC2277">
        <v>1</v>
      </c>
      <c r="AE2277" t="s">
        <v>1024</v>
      </c>
      <c r="AF2277">
        <v>20</v>
      </c>
      <c r="AG2277" s="1">
        <v>44378</v>
      </c>
      <c r="AH2277" s="1">
        <v>44378</v>
      </c>
      <c r="AI2277" s="1">
        <v>44378</v>
      </c>
      <c r="AJ2277" s="1">
        <v>51683</v>
      </c>
      <c r="AK2277" t="s">
        <v>51</v>
      </c>
      <c r="AN2277">
        <v>0</v>
      </c>
      <c r="AO2277" t="s">
        <v>54</v>
      </c>
      <c r="AP2277" t="s">
        <v>53</v>
      </c>
      <c r="AQ2277">
        <v>0</v>
      </c>
      <c r="AR2277" t="s">
        <v>145</v>
      </c>
      <c r="AS2277">
        <v>0</v>
      </c>
      <c r="AT2277">
        <v>0</v>
      </c>
      <c r="CC2277" t="s">
        <v>555</v>
      </c>
      <c r="CD2277">
        <v>85000</v>
      </c>
      <c r="CE2277" s="1">
        <v>44378</v>
      </c>
      <c r="CF2277" s="1">
        <v>44378</v>
      </c>
      <c r="CG2277" s="1">
        <v>44378</v>
      </c>
      <c r="CH2277" s="1">
        <v>51965</v>
      </c>
      <c r="CI2277" t="s">
        <v>51</v>
      </c>
      <c r="CK2277" t="s">
        <v>78</v>
      </c>
      <c r="CM2277" t="s">
        <v>54</v>
      </c>
      <c r="CN2277" t="s">
        <v>174</v>
      </c>
      <c r="CO2277" t="s">
        <v>86</v>
      </c>
      <c r="CR2277">
        <v>20</v>
      </c>
      <c r="CS2277">
        <v>0</v>
      </c>
      <c r="CT2277">
        <v>0</v>
      </c>
      <c r="CU2277">
        <v>0</v>
      </c>
      <c r="CX2277" t="s">
        <v>360</v>
      </c>
      <c r="CY2277">
        <v>40</v>
      </c>
      <c r="CZ2277" s="1">
        <v>44320</v>
      </c>
      <c r="DA2277" s="1">
        <v>44320</v>
      </c>
      <c r="DB2277" s="1">
        <v>44320</v>
      </c>
      <c r="DC2277" s="1">
        <v>58930</v>
      </c>
      <c r="DD2277" t="s">
        <v>51</v>
      </c>
      <c r="DF2277" t="s">
        <v>54</v>
      </c>
      <c r="DG2277">
        <v>0</v>
      </c>
      <c r="DH2277">
        <v>0</v>
      </c>
    </row>
    <row r="2278" spans="1:112" x14ac:dyDescent="0.2">
      <c r="A2278" t="s">
        <v>1012</v>
      </c>
      <c r="B2278" t="s">
        <v>1013</v>
      </c>
      <c r="C2278" t="s">
        <v>1019</v>
      </c>
      <c r="D2278" t="s">
        <v>1070</v>
      </c>
      <c r="F2278" t="str">
        <f>"251758"</f>
        <v>251758</v>
      </c>
      <c r="G2278" t="s">
        <v>49</v>
      </c>
      <c r="H2278">
        <v>4</v>
      </c>
      <c r="K2278" t="s">
        <v>51</v>
      </c>
      <c r="L2278" t="s">
        <v>52</v>
      </c>
      <c r="M2278">
        <v>131716.16</v>
      </c>
      <c r="N2278">
        <v>473938.45</v>
      </c>
      <c r="O2278" t="s">
        <v>53</v>
      </c>
      <c r="P2278" t="s">
        <v>54</v>
      </c>
      <c r="Q2278" t="s">
        <v>55</v>
      </c>
      <c r="T2278" t="s">
        <v>81</v>
      </c>
      <c r="U2278">
        <v>40</v>
      </c>
      <c r="V2278" s="1">
        <v>44378</v>
      </c>
      <c r="W2278" s="1">
        <v>44378</v>
      </c>
      <c r="X2278" s="1">
        <v>44378</v>
      </c>
      <c r="Y2278" s="1">
        <v>58988</v>
      </c>
      <c r="Z2278" t="s">
        <v>51</v>
      </c>
      <c r="AB2278" t="s">
        <v>54</v>
      </c>
      <c r="AC2278">
        <v>1</v>
      </c>
      <c r="AE2278" t="s">
        <v>1024</v>
      </c>
      <c r="AF2278">
        <v>20</v>
      </c>
      <c r="AG2278" s="1">
        <v>44378</v>
      </c>
      <c r="AH2278" s="1">
        <v>44378</v>
      </c>
      <c r="AI2278" s="1">
        <v>44378</v>
      </c>
      <c r="AJ2278" s="1">
        <v>51683</v>
      </c>
      <c r="AK2278" t="s">
        <v>51</v>
      </c>
      <c r="AN2278">
        <v>0</v>
      </c>
      <c r="AO2278" t="s">
        <v>54</v>
      </c>
      <c r="AP2278" t="s">
        <v>53</v>
      </c>
      <c r="AQ2278">
        <v>0</v>
      </c>
      <c r="AR2278" t="s">
        <v>145</v>
      </c>
      <c r="AS2278">
        <v>0</v>
      </c>
      <c r="AT2278">
        <v>0</v>
      </c>
      <c r="CC2278" t="s">
        <v>555</v>
      </c>
      <c r="CD2278">
        <v>85000</v>
      </c>
      <c r="CE2278" s="1">
        <v>44378</v>
      </c>
      <c r="CF2278" s="1">
        <v>44378</v>
      </c>
      <c r="CG2278" s="1">
        <v>44378</v>
      </c>
      <c r="CH2278" s="1">
        <v>51965</v>
      </c>
      <c r="CI2278" t="s">
        <v>51</v>
      </c>
      <c r="CK2278" t="s">
        <v>78</v>
      </c>
      <c r="CM2278" t="s">
        <v>54</v>
      </c>
      <c r="CN2278" t="s">
        <v>174</v>
      </c>
      <c r="CO2278" t="s">
        <v>86</v>
      </c>
      <c r="CR2278">
        <v>20</v>
      </c>
      <c r="CS2278">
        <v>0</v>
      </c>
      <c r="CT2278">
        <v>0</v>
      </c>
      <c r="CU2278">
        <v>0</v>
      </c>
      <c r="CX2278" t="s">
        <v>674</v>
      </c>
      <c r="CY2278">
        <v>0</v>
      </c>
      <c r="CZ2278" s="1">
        <v>44320</v>
      </c>
      <c r="DA2278" s="1">
        <v>44320</v>
      </c>
      <c r="DB2278" s="1">
        <v>44320</v>
      </c>
      <c r="DC2278" s="1">
        <v>44320</v>
      </c>
      <c r="DD2278" t="s">
        <v>51</v>
      </c>
      <c r="DF2278" t="s">
        <v>54</v>
      </c>
      <c r="DG2278">
        <v>0</v>
      </c>
      <c r="DH2278">
        <v>0</v>
      </c>
    </row>
    <row r="2279" spans="1:112" x14ac:dyDescent="0.2">
      <c r="A2279" t="s">
        <v>1012</v>
      </c>
      <c r="B2279" t="s">
        <v>1013</v>
      </c>
      <c r="C2279" t="s">
        <v>1019</v>
      </c>
      <c r="D2279" t="s">
        <v>1070</v>
      </c>
      <c r="F2279" t="str">
        <f>"251759"</f>
        <v>251759</v>
      </c>
      <c r="G2279" t="s">
        <v>49</v>
      </c>
      <c r="H2279">
        <v>2</v>
      </c>
      <c r="K2279" t="s">
        <v>51</v>
      </c>
      <c r="L2279" t="s">
        <v>52</v>
      </c>
      <c r="M2279">
        <v>131696.79</v>
      </c>
      <c r="N2279">
        <v>473945.73</v>
      </c>
      <c r="O2279" t="s">
        <v>53</v>
      </c>
      <c r="P2279" t="s">
        <v>54</v>
      </c>
      <c r="Q2279" t="s">
        <v>55</v>
      </c>
      <c r="T2279" t="s">
        <v>81</v>
      </c>
      <c r="U2279">
        <v>40</v>
      </c>
      <c r="V2279" s="1">
        <v>44378</v>
      </c>
      <c r="W2279" s="1">
        <v>44378</v>
      </c>
      <c r="X2279" s="1">
        <v>44378</v>
      </c>
      <c r="Y2279" s="1">
        <v>58988</v>
      </c>
      <c r="Z2279" t="s">
        <v>51</v>
      </c>
      <c r="AB2279" t="s">
        <v>54</v>
      </c>
      <c r="AC2279">
        <v>1</v>
      </c>
      <c r="AE2279" t="s">
        <v>1024</v>
      </c>
      <c r="AF2279">
        <v>20</v>
      </c>
      <c r="AG2279" s="1">
        <v>44378</v>
      </c>
      <c r="AH2279" s="1">
        <v>44378</v>
      </c>
      <c r="AI2279" s="1">
        <v>44378</v>
      </c>
      <c r="AJ2279" s="1">
        <v>51683</v>
      </c>
      <c r="AK2279" t="s">
        <v>51</v>
      </c>
      <c r="AN2279">
        <v>0</v>
      </c>
      <c r="AO2279" t="s">
        <v>54</v>
      </c>
      <c r="AP2279" t="s">
        <v>53</v>
      </c>
      <c r="AQ2279">
        <v>0</v>
      </c>
      <c r="AR2279" t="s">
        <v>145</v>
      </c>
      <c r="AS2279">
        <v>0</v>
      </c>
      <c r="AT2279">
        <v>0</v>
      </c>
      <c r="CC2279" t="s">
        <v>555</v>
      </c>
      <c r="CD2279">
        <v>85000</v>
      </c>
      <c r="CE2279" s="1">
        <v>44378</v>
      </c>
      <c r="CF2279" s="1">
        <v>44378</v>
      </c>
      <c r="CG2279" s="1">
        <v>44378</v>
      </c>
      <c r="CH2279" s="1">
        <v>51965</v>
      </c>
      <c r="CI2279" t="s">
        <v>51</v>
      </c>
      <c r="CK2279" t="s">
        <v>78</v>
      </c>
      <c r="CM2279" t="s">
        <v>54</v>
      </c>
      <c r="CN2279" t="s">
        <v>174</v>
      </c>
      <c r="CO2279" t="s">
        <v>86</v>
      </c>
      <c r="CR2279">
        <v>20</v>
      </c>
      <c r="CS2279">
        <v>0</v>
      </c>
      <c r="CT2279">
        <v>0</v>
      </c>
      <c r="CU2279">
        <v>0</v>
      </c>
      <c r="CX2279" t="s">
        <v>674</v>
      </c>
      <c r="CY2279">
        <v>0</v>
      </c>
      <c r="CZ2279" s="1">
        <v>44320</v>
      </c>
      <c r="DA2279" s="1">
        <v>44320</v>
      </c>
      <c r="DB2279" s="1">
        <v>44320</v>
      </c>
      <c r="DC2279" s="1">
        <v>44320</v>
      </c>
      <c r="DD2279" t="s">
        <v>51</v>
      </c>
      <c r="DF2279" t="s">
        <v>54</v>
      </c>
      <c r="DG2279">
        <v>0</v>
      </c>
      <c r="DH2279">
        <v>0</v>
      </c>
    </row>
    <row r="2280" spans="1:112" x14ac:dyDescent="0.2">
      <c r="A2280" t="s">
        <v>1012</v>
      </c>
      <c r="B2280" t="s">
        <v>1013</v>
      </c>
      <c r="C2280" t="s">
        <v>1019</v>
      </c>
      <c r="D2280" t="s">
        <v>1071</v>
      </c>
      <c r="F2280" t="str">
        <f>"254285"</f>
        <v>254285</v>
      </c>
      <c r="G2280" t="s">
        <v>49</v>
      </c>
      <c r="H2280">
        <v>95</v>
      </c>
      <c r="K2280" t="s">
        <v>51</v>
      </c>
      <c r="L2280" t="s">
        <v>52</v>
      </c>
      <c r="M2280">
        <v>131558.32999999999</v>
      </c>
      <c r="N2280">
        <v>474201.18</v>
      </c>
      <c r="O2280" t="s">
        <v>53</v>
      </c>
      <c r="P2280" t="s">
        <v>54</v>
      </c>
      <c r="Q2280" t="s">
        <v>55</v>
      </c>
      <c r="T2280" t="s">
        <v>170</v>
      </c>
      <c r="U2280">
        <v>40</v>
      </c>
      <c r="V2280" s="1">
        <v>42186</v>
      </c>
      <c r="W2280" s="1">
        <v>42186</v>
      </c>
      <c r="X2280" s="1">
        <v>42186</v>
      </c>
      <c r="Y2280" s="1">
        <v>56796</v>
      </c>
      <c r="Z2280" t="s">
        <v>51</v>
      </c>
      <c r="AB2280" t="s">
        <v>54</v>
      </c>
      <c r="AC2280">
        <v>1</v>
      </c>
      <c r="AE2280" t="s">
        <v>171</v>
      </c>
      <c r="AF2280">
        <v>20</v>
      </c>
      <c r="AG2280" s="1">
        <v>42186</v>
      </c>
      <c r="AH2280" s="1">
        <v>42186</v>
      </c>
      <c r="AI2280" s="1">
        <v>42186</v>
      </c>
      <c r="AJ2280" s="1">
        <v>49491</v>
      </c>
      <c r="AK2280" t="s">
        <v>51</v>
      </c>
      <c r="AN2280">
        <v>0</v>
      </c>
      <c r="AO2280" t="s">
        <v>54</v>
      </c>
      <c r="AP2280" t="s">
        <v>53</v>
      </c>
      <c r="AQ2280">
        <v>0</v>
      </c>
      <c r="AR2280" t="s">
        <v>53</v>
      </c>
      <c r="AS2280">
        <v>0</v>
      </c>
      <c r="AT2280">
        <v>0</v>
      </c>
      <c r="CC2280" t="s">
        <v>1066</v>
      </c>
      <c r="CD2280">
        <v>100000</v>
      </c>
      <c r="CE2280" s="1">
        <v>42186</v>
      </c>
      <c r="CF2280" s="1">
        <v>42186</v>
      </c>
      <c r="CG2280" s="1">
        <v>42186</v>
      </c>
      <c r="CH2280" s="1">
        <v>50658</v>
      </c>
      <c r="CI2280" t="s">
        <v>51</v>
      </c>
      <c r="CK2280" t="s">
        <v>78</v>
      </c>
      <c r="CM2280" t="s">
        <v>54</v>
      </c>
      <c r="CN2280" t="s">
        <v>174</v>
      </c>
      <c r="CR2280">
        <v>11</v>
      </c>
      <c r="CS2280">
        <v>1600</v>
      </c>
      <c r="CT2280">
        <v>0</v>
      </c>
      <c r="CU2280">
        <v>16</v>
      </c>
      <c r="CX2280" t="s">
        <v>360</v>
      </c>
      <c r="CY2280">
        <v>40</v>
      </c>
      <c r="CZ2280" s="1">
        <v>44320</v>
      </c>
      <c r="DA2280" s="1">
        <v>44320</v>
      </c>
      <c r="DB2280" s="1">
        <v>44320</v>
      </c>
      <c r="DC2280" s="1">
        <v>58930</v>
      </c>
      <c r="DD2280" t="s">
        <v>51</v>
      </c>
      <c r="DF2280" t="s">
        <v>54</v>
      </c>
      <c r="DG2280">
        <v>0</v>
      </c>
      <c r="DH2280">
        <v>0</v>
      </c>
    </row>
    <row r="2281" spans="1:112" x14ac:dyDescent="0.2">
      <c r="A2281" t="s">
        <v>1012</v>
      </c>
      <c r="B2281" t="s">
        <v>1013</v>
      </c>
      <c r="C2281" t="s">
        <v>1019</v>
      </c>
      <c r="D2281" t="s">
        <v>1071</v>
      </c>
      <c r="F2281" t="str">
        <f>"254286"</f>
        <v>254286</v>
      </c>
      <c r="G2281" t="s">
        <v>49</v>
      </c>
      <c r="H2281">
        <v>90</v>
      </c>
      <c r="K2281" t="s">
        <v>51</v>
      </c>
      <c r="L2281" t="s">
        <v>52</v>
      </c>
      <c r="M2281">
        <v>131550.57</v>
      </c>
      <c r="N2281">
        <v>474233.09</v>
      </c>
      <c r="O2281" t="s">
        <v>53</v>
      </c>
      <c r="P2281" t="s">
        <v>54</v>
      </c>
      <c r="Q2281" t="s">
        <v>55</v>
      </c>
      <c r="T2281" t="s">
        <v>170</v>
      </c>
      <c r="U2281">
        <v>40</v>
      </c>
      <c r="V2281" s="1">
        <v>42186</v>
      </c>
      <c r="W2281" s="1">
        <v>42186</v>
      </c>
      <c r="X2281" s="1">
        <v>42186</v>
      </c>
      <c r="Y2281" s="1">
        <v>56796</v>
      </c>
      <c r="Z2281" t="s">
        <v>51</v>
      </c>
      <c r="AB2281" t="s">
        <v>54</v>
      </c>
      <c r="AC2281">
        <v>1</v>
      </c>
      <c r="AE2281" t="s">
        <v>171</v>
      </c>
      <c r="AF2281">
        <v>20</v>
      </c>
      <c r="AG2281" s="1">
        <v>42186</v>
      </c>
      <c r="AH2281" s="1">
        <v>42186</v>
      </c>
      <c r="AI2281" s="1">
        <v>42186</v>
      </c>
      <c r="AJ2281" s="1">
        <v>49491</v>
      </c>
      <c r="AK2281" t="s">
        <v>51</v>
      </c>
      <c r="AN2281">
        <v>0</v>
      </c>
      <c r="AO2281" t="s">
        <v>54</v>
      </c>
      <c r="AP2281" t="s">
        <v>53</v>
      </c>
      <c r="AQ2281">
        <v>0</v>
      </c>
      <c r="AR2281" t="s">
        <v>53</v>
      </c>
      <c r="AS2281">
        <v>0</v>
      </c>
      <c r="AT2281">
        <v>0</v>
      </c>
      <c r="CC2281" t="s">
        <v>1066</v>
      </c>
      <c r="CD2281">
        <v>100000</v>
      </c>
      <c r="CE2281" s="1">
        <v>42186</v>
      </c>
      <c r="CF2281" s="1">
        <v>42186</v>
      </c>
      <c r="CG2281" s="1">
        <v>42186</v>
      </c>
      <c r="CH2281" s="1">
        <v>50658</v>
      </c>
      <c r="CI2281" t="s">
        <v>51</v>
      </c>
      <c r="CK2281" t="s">
        <v>78</v>
      </c>
      <c r="CM2281" t="s">
        <v>54</v>
      </c>
      <c r="CN2281" t="s">
        <v>174</v>
      </c>
      <c r="CR2281">
        <v>11</v>
      </c>
      <c r="CS2281">
        <v>1600</v>
      </c>
      <c r="CT2281">
        <v>0</v>
      </c>
      <c r="CU2281">
        <v>16</v>
      </c>
      <c r="CX2281" t="s">
        <v>360</v>
      </c>
      <c r="CY2281">
        <v>40</v>
      </c>
      <c r="CZ2281" s="1">
        <v>44320</v>
      </c>
      <c r="DA2281" s="1">
        <v>44320</v>
      </c>
      <c r="DB2281" s="1">
        <v>44320</v>
      </c>
      <c r="DC2281" s="1">
        <v>58930</v>
      </c>
      <c r="DD2281" t="s">
        <v>51</v>
      </c>
      <c r="DF2281" t="s">
        <v>54</v>
      </c>
      <c r="DG2281">
        <v>0</v>
      </c>
      <c r="DH2281">
        <v>0</v>
      </c>
    </row>
    <row r="2282" spans="1:112" x14ac:dyDescent="0.2">
      <c r="A2282" t="s">
        <v>1012</v>
      </c>
      <c r="B2282" t="s">
        <v>1013</v>
      </c>
      <c r="C2282" t="s">
        <v>1019</v>
      </c>
      <c r="D2282" t="s">
        <v>1071</v>
      </c>
      <c r="F2282" t="str">
        <f>"254288"</f>
        <v>254288</v>
      </c>
      <c r="G2282" t="s">
        <v>49</v>
      </c>
      <c r="H2282">
        <v>86</v>
      </c>
      <c r="K2282" t="s">
        <v>51</v>
      </c>
      <c r="L2282" t="s">
        <v>52</v>
      </c>
      <c r="M2282">
        <v>131563.10999999999</v>
      </c>
      <c r="N2282">
        <v>474296.66</v>
      </c>
      <c r="O2282" t="s">
        <v>53</v>
      </c>
      <c r="P2282" t="s">
        <v>54</v>
      </c>
      <c r="Q2282" t="s">
        <v>55</v>
      </c>
      <c r="T2282" t="s">
        <v>170</v>
      </c>
      <c r="U2282">
        <v>40</v>
      </c>
      <c r="V2282" s="1">
        <v>42186</v>
      </c>
      <c r="W2282" s="1">
        <v>42186</v>
      </c>
      <c r="X2282" s="1">
        <v>42186</v>
      </c>
      <c r="Y2282" s="1">
        <v>56796</v>
      </c>
      <c r="Z2282" t="s">
        <v>51</v>
      </c>
      <c r="AB2282" t="s">
        <v>54</v>
      </c>
      <c r="AC2282">
        <v>1</v>
      </c>
      <c r="AE2282" t="s">
        <v>171</v>
      </c>
      <c r="AF2282">
        <v>20</v>
      </c>
      <c r="AG2282" s="1">
        <v>42186</v>
      </c>
      <c r="AH2282" s="1">
        <v>42186</v>
      </c>
      <c r="AI2282" s="1">
        <v>42186</v>
      </c>
      <c r="AJ2282" s="1">
        <v>49491</v>
      </c>
      <c r="AK2282" t="s">
        <v>51</v>
      </c>
      <c r="AN2282">
        <v>0</v>
      </c>
      <c r="AO2282" t="s">
        <v>54</v>
      </c>
      <c r="AP2282" t="s">
        <v>53</v>
      </c>
      <c r="AQ2282">
        <v>0</v>
      </c>
      <c r="AR2282" t="s">
        <v>53</v>
      </c>
      <c r="AS2282">
        <v>0</v>
      </c>
      <c r="AT2282">
        <v>0</v>
      </c>
      <c r="CC2282" t="s">
        <v>250</v>
      </c>
      <c r="CD2282">
        <v>100000</v>
      </c>
      <c r="CE2282" s="1">
        <v>42186</v>
      </c>
      <c r="CF2282" s="1">
        <v>42186</v>
      </c>
      <c r="CG2282" s="1">
        <v>42186</v>
      </c>
      <c r="CH2282" s="1">
        <v>50658</v>
      </c>
      <c r="CI2282" t="s">
        <v>51</v>
      </c>
      <c r="CK2282" t="s">
        <v>78</v>
      </c>
      <c r="CM2282" t="s">
        <v>54</v>
      </c>
      <c r="CN2282" t="s">
        <v>174</v>
      </c>
      <c r="CR2282">
        <v>13.2</v>
      </c>
      <c r="CS2282">
        <v>1800</v>
      </c>
      <c r="CT2282">
        <v>0</v>
      </c>
      <c r="CU2282">
        <v>16</v>
      </c>
      <c r="CX2282" t="s">
        <v>360</v>
      </c>
      <c r="CY2282">
        <v>40</v>
      </c>
      <c r="CZ2282" s="1">
        <v>44320</v>
      </c>
      <c r="DA2282" s="1">
        <v>44320</v>
      </c>
      <c r="DB2282" s="1">
        <v>44320</v>
      </c>
      <c r="DC2282" s="1">
        <v>58930</v>
      </c>
      <c r="DD2282" t="s">
        <v>51</v>
      </c>
      <c r="DF2282" t="s">
        <v>54</v>
      </c>
      <c r="DG2282">
        <v>0</v>
      </c>
      <c r="DH2282">
        <v>0</v>
      </c>
    </row>
    <row r="2283" spans="1:112" x14ac:dyDescent="0.2">
      <c r="A2283" t="s">
        <v>1012</v>
      </c>
      <c r="B2283" t="s">
        <v>1013</v>
      </c>
      <c r="C2283" t="s">
        <v>1014</v>
      </c>
      <c r="D2283" t="s">
        <v>1071</v>
      </c>
      <c r="F2283" t="str">
        <f>"254289"</f>
        <v>254289</v>
      </c>
      <c r="G2283" t="s">
        <v>49</v>
      </c>
      <c r="K2283" t="s">
        <v>51</v>
      </c>
      <c r="L2283" t="s">
        <v>52</v>
      </c>
      <c r="M2283">
        <v>131560.96900000001</v>
      </c>
      <c r="N2283">
        <v>474330.15600000002</v>
      </c>
      <c r="O2283" t="s">
        <v>53</v>
      </c>
      <c r="P2283" t="s">
        <v>54</v>
      </c>
      <c r="Q2283" t="s">
        <v>55</v>
      </c>
      <c r="T2283" t="s">
        <v>170</v>
      </c>
      <c r="U2283">
        <v>40</v>
      </c>
      <c r="V2283" s="1">
        <v>42186</v>
      </c>
      <c r="W2283" s="1">
        <v>42186</v>
      </c>
      <c r="X2283" s="1">
        <v>42186</v>
      </c>
      <c r="Y2283" s="1">
        <v>56796</v>
      </c>
      <c r="Z2283" t="s">
        <v>51</v>
      </c>
      <c r="AB2283" t="s">
        <v>54</v>
      </c>
      <c r="AC2283">
        <v>1</v>
      </c>
      <c r="AE2283" t="s">
        <v>171</v>
      </c>
      <c r="AF2283">
        <v>20</v>
      </c>
      <c r="AG2283" s="1">
        <v>42186</v>
      </c>
      <c r="AH2283" s="1">
        <v>42186</v>
      </c>
      <c r="AI2283" s="1">
        <v>42186</v>
      </c>
      <c r="AJ2283" s="1">
        <v>49491</v>
      </c>
      <c r="AK2283" t="s">
        <v>51</v>
      </c>
      <c r="AN2283">
        <v>0</v>
      </c>
      <c r="AO2283" t="s">
        <v>54</v>
      </c>
      <c r="AP2283" t="s">
        <v>53</v>
      </c>
      <c r="AQ2283">
        <v>0</v>
      </c>
      <c r="AR2283" t="s">
        <v>53</v>
      </c>
      <c r="AS2283">
        <v>0</v>
      </c>
      <c r="AT2283">
        <v>0</v>
      </c>
      <c r="AW2283" t="s">
        <v>172</v>
      </c>
      <c r="AX2283">
        <v>15</v>
      </c>
      <c r="AY2283" s="1">
        <v>44320</v>
      </c>
      <c r="AZ2283" s="1">
        <v>44320</v>
      </c>
      <c r="BA2283" s="1">
        <v>44320</v>
      </c>
      <c r="BB2283" s="1">
        <v>49799</v>
      </c>
      <c r="BC2283" t="s">
        <v>51</v>
      </c>
      <c r="BE2283" t="s">
        <v>54</v>
      </c>
      <c r="BF2283">
        <v>40</v>
      </c>
      <c r="BG2283">
        <v>0</v>
      </c>
      <c r="BH2283" t="s">
        <v>145</v>
      </c>
      <c r="CC2283" t="s">
        <v>250</v>
      </c>
      <c r="CD2283">
        <v>100000</v>
      </c>
      <c r="CE2283" s="1">
        <v>44320</v>
      </c>
      <c r="CF2283" s="1">
        <v>44320</v>
      </c>
      <c r="CG2283" s="1">
        <v>44320</v>
      </c>
      <c r="CH2283" s="1">
        <v>52802</v>
      </c>
      <c r="CI2283" t="s">
        <v>51</v>
      </c>
      <c r="CK2283" t="s">
        <v>78</v>
      </c>
      <c r="CM2283" t="s">
        <v>54</v>
      </c>
      <c r="CN2283" t="s">
        <v>174</v>
      </c>
      <c r="CR2283">
        <v>13.2</v>
      </c>
      <c r="CS2283">
        <v>1800</v>
      </c>
      <c r="CT2283">
        <v>0</v>
      </c>
      <c r="CU2283">
        <v>16</v>
      </c>
      <c r="CX2283" t="s">
        <v>360</v>
      </c>
      <c r="CY2283">
        <v>40</v>
      </c>
      <c r="CZ2283" s="1">
        <v>44320</v>
      </c>
      <c r="DA2283" s="1">
        <v>44320</v>
      </c>
      <c r="DB2283" s="1">
        <v>44320</v>
      </c>
      <c r="DC2283" s="1">
        <v>58930</v>
      </c>
      <c r="DD2283" t="s">
        <v>51</v>
      </c>
      <c r="DF2283" t="s">
        <v>54</v>
      </c>
      <c r="DG2283">
        <v>0</v>
      </c>
      <c r="DH2283">
        <v>0</v>
      </c>
    </row>
    <row r="2284" spans="1:112" x14ac:dyDescent="0.2">
      <c r="A2284" t="s">
        <v>1012</v>
      </c>
      <c r="B2284" t="s">
        <v>1013</v>
      </c>
      <c r="C2284" t="s">
        <v>1019</v>
      </c>
      <c r="D2284" t="s">
        <v>1072</v>
      </c>
      <c r="F2284" t="str">
        <f>"251774"</f>
        <v>251774</v>
      </c>
      <c r="G2284" t="s">
        <v>49</v>
      </c>
      <c r="K2284" t="s">
        <v>51</v>
      </c>
      <c r="L2284" t="s">
        <v>52</v>
      </c>
      <c r="M2284">
        <v>131566.76999999999</v>
      </c>
      <c r="N2284">
        <v>474346.63</v>
      </c>
      <c r="O2284" t="s">
        <v>53</v>
      </c>
      <c r="P2284" t="s">
        <v>54</v>
      </c>
      <c r="Q2284" t="s">
        <v>55</v>
      </c>
      <c r="T2284" t="s">
        <v>431</v>
      </c>
      <c r="U2284">
        <v>40</v>
      </c>
      <c r="V2284" s="1">
        <v>27395</v>
      </c>
      <c r="W2284" s="1">
        <v>27395</v>
      </c>
      <c r="X2284" s="1">
        <v>27395</v>
      </c>
      <c r="Y2284" s="1">
        <v>42005</v>
      </c>
      <c r="Z2284" t="s">
        <v>51</v>
      </c>
      <c r="AB2284" t="s">
        <v>54</v>
      </c>
      <c r="AC2284">
        <v>1</v>
      </c>
      <c r="AE2284" t="s">
        <v>79</v>
      </c>
      <c r="AF2284">
        <v>20</v>
      </c>
      <c r="AG2284" s="1">
        <v>34700</v>
      </c>
      <c r="AH2284" s="1">
        <v>34700</v>
      </c>
      <c r="AI2284" s="1">
        <v>34700</v>
      </c>
      <c r="AJ2284" s="1">
        <v>42005</v>
      </c>
      <c r="AK2284" t="s">
        <v>51</v>
      </c>
      <c r="AN2284">
        <v>0</v>
      </c>
      <c r="AO2284" t="s">
        <v>54</v>
      </c>
      <c r="AP2284" t="s">
        <v>53</v>
      </c>
      <c r="AQ2284">
        <v>0</v>
      </c>
      <c r="AR2284" t="s">
        <v>145</v>
      </c>
      <c r="AS2284">
        <v>0</v>
      </c>
      <c r="AT2284">
        <v>0</v>
      </c>
      <c r="AW2284" t="s">
        <v>79</v>
      </c>
      <c r="AX2284">
        <v>20</v>
      </c>
      <c r="AY2284" s="1">
        <v>34700</v>
      </c>
      <c r="AZ2284" s="1">
        <v>34700</v>
      </c>
      <c r="BA2284" s="1">
        <v>34700</v>
      </c>
      <c r="BB2284" s="1">
        <v>42005</v>
      </c>
      <c r="BC2284" t="s">
        <v>51</v>
      </c>
      <c r="BE2284" t="s">
        <v>54</v>
      </c>
      <c r="BF2284">
        <v>5</v>
      </c>
      <c r="BG2284">
        <v>0</v>
      </c>
      <c r="BH2284" t="s">
        <v>53</v>
      </c>
      <c r="BK2284" t="s">
        <v>92</v>
      </c>
      <c r="BL2284">
        <v>14000</v>
      </c>
      <c r="BM2284" s="1">
        <v>44314</v>
      </c>
      <c r="BN2284" s="1">
        <v>44314</v>
      </c>
      <c r="BO2284" s="1">
        <v>44314</v>
      </c>
      <c r="BP2284" s="1">
        <v>45537</v>
      </c>
      <c r="BQ2284" t="s">
        <v>51</v>
      </c>
      <c r="BS2284" t="s">
        <v>60</v>
      </c>
      <c r="BT2284" t="s">
        <v>54</v>
      </c>
      <c r="BU2284" t="s">
        <v>61</v>
      </c>
      <c r="BV2284" t="s">
        <v>62</v>
      </c>
      <c r="BX2284">
        <v>55</v>
      </c>
      <c r="BY2284">
        <v>0</v>
      </c>
      <c r="BZ2284">
        <v>0</v>
      </c>
    </row>
    <row r="2285" spans="1:112" x14ac:dyDescent="0.2">
      <c r="A2285" t="s">
        <v>1012</v>
      </c>
      <c r="B2285" t="s">
        <v>1013</v>
      </c>
      <c r="C2285" t="s">
        <v>1052</v>
      </c>
      <c r="D2285" t="s">
        <v>1071</v>
      </c>
      <c r="F2285" t="str">
        <f>"254307"</f>
        <v>254307</v>
      </c>
      <c r="G2285" t="s">
        <v>49</v>
      </c>
      <c r="H2285" t="s">
        <v>1073</v>
      </c>
      <c r="K2285" t="s">
        <v>51</v>
      </c>
      <c r="L2285" t="s">
        <v>52</v>
      </c>
      <c r="M2285">
        <v>131583.9</v>
      </c>
      <c r="N2285">
        <v>474444.58</v>
      </c>
      <c r="O2285" t="s">
        <v>53</v>
      </c>
      <c r="P2285" t="s">
        <v>54</v>
      </c>
      <c r="Q2285" t="s">
        <v>55</v>
      </c>
      <c r="T2285" t="s">
        <v>246</v>
      </c>
      <c r="U2285">
        <v>40</v>
      </c>
      <c r="V2285" s="1">
        <v>42186</v>
      </c>
      <c r="W2285" s="1">
        <v>42186</v>
      </c>
      <c r="X2285" s="1">
        <v>42186</v>
      </c>
      <c r="Y2285" s="1">
        <v>56796</v>
      </c>
      <c r="Z2285" t="s">
        <v>51</v>
      </c>
      <c r="AB2285" t="s">
        <v>54</v>
      </c>
      <c r="AC2285">
        <v>1</v>
      </c>
      <c r="AE2285" t="s">
        <v>243</v>
      </c>
      <c r="AF2285">
        <v>20</v>
      </c>
      <c r="AG2285" s="1">
        <v>42186</v>
      </c>
      <c r="AH2285" s="1">
        <v>42186</v>
      </c>
      <c r="AI2285" s="1">
        <v>42186</v>
      </c>
      <c r="AJ2285" s="1">
        <v>49491</v>
      </c>
      <c r="AK2285" t="s">
        <v>51</v>
      </c>
      <c r="AN2285">
        <v>0</v>
      </c>
      <c r="AO2285" t="s">
        <v>54</v>
      </c>
      <c r="AP2285" t="s">
        <v>53</v>
      </c>
      <c r="AQ2285">
        <v>0</v>
      </c>
      <c r="AR2285" t="s">
        <v>53</v>
      </c>
      <c r="AS2285">
        <v>0</v>
      </c>
      <c r="AT2285">
        <v>0</v>
      </c>
      <c r="CC2285" t="s">
        <v>244</v>
      </c>
      <c r="CD2285">
        <v>100000</v>
      </c>
      <c r="CE2285" s="1">
        <v>42186</v>
      </c>
      <c r="CF2285" s="1">
        <v>42186</v>
      </c>
      <c r="CG2285" s="1">
        <v>42186</v>
      </c>
      <c r="CH2285" s="1">
        <v>51135</v>
      </c>
      <c r="CI2285" t="s">
        <v>51</v>
      </c>
      <c r="CK2285" t="s">
        <v>78</v>
      </c>
      <c r="CM2285" t="s">
        <v>54</v>
      </c>
      <c r="CN2285" t="s">
        <v>174</v>
      </c>
      <c r="CR2285">
        <v>0</v>
      </c>
      <c r="CS2285">
        <v>2150</v>
      </c>
      <c r="CT2285">
        <v>0</v>
      </c>
      <c r="CU2285">
        <v>16</v>
      </c>
      <c r="CX2285" t="s">
        <v>360</v>
      </c>
      <c r="CY2285">
        <v>40</v>
      </c>
      <c r="CZ2285" s="1">
        <v>44320</v>
      </c>
      <c r="DA2285" s="1">
        <v>44320</v>
      </c>
      <c r="DB2285" s="1">
        <v>44320</v>
      </c>
      <c r="DC2285" s="1">
        <v>58930</v>
      </c>
      <c r="DD2285" t="s">
        <v>51</v>
      </c>
      <c r="DF2285" t="s">
        <v>54</v>
      </c>
      <c r="DG2285">
        <v>0</v>
      </c>
      <c r="DH2285">
        <v>0</v>
      </c>
    </row>
    <row r="2286" spans="1:112" x14ac:dyDescent="0.2">
      <c r="A2286" t="s">
        <v>1012</v>
      </c>
      <c r="B2286" t="s">
        <v>1013</v>
      </c>
      <c r="C2286" t="s">
        <v>1052</v>
      </c>
      <c r="D2286" t="s">
        <v>1071</v>
      </c>
      <c r="F2286" t="str">
        <f>"254307"</f>
        <v>254307</v>
      </c>
      <c r="G2286" t="s">
        <v>49</v>
      </c>
      <c r="H2286" t="s">
        <v>1073</v>
      </c>
      <c r="K2286" t="s">
        <v>51</v>
      </c>
      <c r="L2286" t="s">
        <v>52</v>
      </c>
      <c r="M2286">
        <v>131583.9</v>
      </c>
      <c r="N2286">
        <v>474444.58</v>
      </c>
      <c r="O2286" t="s">
        <v>53</v>
      </c>
      <c r="P2286" t="s">
        <v>54</v>
      </c>
      <c r="Q2286" t="s">
        <v>55</v>
      </c>
      <c r="S2286" t="s">
        <v>1074</v>
      </c>
      <c r="T2286" t="s">
        <v>1074</v>
      </c>
      <c r="U2286">
        <v>30</v>
      </c>
      <c r="V2286" s="1">
        <v>44242</v>
      </c>
      <c r="W2286" s="1">
        <v>44242</v>
      </c>
      <c r="X2286" s="1">
        <v>44242</v>
      </c>
      <c r="Y2286" s="1">
        <v>55199</v>
      </c>
      <c r="Z2286" t="s">
        <v>51</v>
      </c>
      <c r="AB2286" t="s">
        <v>54</v>
      </c>
      <c r="AC2286">
        <v>1</v>
      </c>
      <c r="AE2286" t="s">
        <v>243</v>
      </c>
      <c r="AF2286">
        <v>20</v>
      </c>
      <c r="AG2286" s="1">
        <v>44242</v>
      </c>
      <c r="AH2286" s="1">
        <v>44242</v>
      </c>
      <c r="AI2286" s="1">
        <v>44242</v>
      </c>
      <c r="AJ2286" s="1">
        <v>51547</v>
      </c>
      <c r="AK2286" t="s">
        <v>51</v>
      </c>
      <c r="AN2286">
        <v>0</v>
      </c>
      <c r="AO2286" t="s">
        <v>54</v>
      </c>
      <c r="AP2286" t="s">
        <v>53</v>
      </c>
      <c r="AQ2286">
        <v>0</v>
      </c>
      <c r="AR2286" t="s">
        <v>53</v>
      </c>
      <c r="AS2286">
        <v>0</v>
      </c>
      <c r="AT2286">
        <v>0</v>
      </c>
      <c r="CC2286" t="s">
        <v>432</v>
      </c>
      <c r="CD2286">
        <v>85000</v>
      </c>
      <c r="CE2286" s="1">
        <v>44242</v>
      </c>
      <c r="CF2286" s="1">
        <v>44242</v>
      </c>
      <c r="CG2286" s="1">
        <v>44242</v>
      </c>
      <c r="CH2286" s="1">
        <v>51870</v>
      </c>
      <c r="CI2286" t="s">
        <v>51</v>
      </c>
      <c r="CK2286" t="s">
        <v>78</v>
      </c>
      <c r="CM2286" t="s">
        <v>54</v>
      </c>
      <c r="CN2286" t="s">
        <v>174</v>
      </c>
      <c r="CO2286" t="s">
        <v>86</v>
      </c>
      <c r="CR2286">
        <v>24</v>
      </c>
      <c r="CS2286">
        <v>0</v>
      </c>
      <c r="CT2286">
        <v>0</v>
      </c>
      <c r="CU2286">
        <v>0</v>
      </c>
      <c r="CX2286" t="s">
        <v>360</v>
      </c>
      <c r="CY2286">
        <v>40</v>
      </c>
      <c r="CZ2286" s="1">
        <v>44320</v>
      </c>
      <c r="DA2286" s="1">
        <v>44320</v>
      </c>
      <c r="DB2286" s="1">
        <v>44320</v>
      </c>
      <c r="DC2286" s="1">
        <v>58930</v>
      </c>
      <c r="DD2286" t="s">
        <v>51</v>
      </c>
      <c r="DF2286" t="s">
        <v>54</v>
      </c>
      <c r="DG2286">
        <v>0</v>
      </c>
      <c r="DH2286">
        <v>0</v>
      </c>
    </row>
    <row r="2287" spans="1:112" x14ac:dyDescent="0.2">
      <c r="A2287" t="s">
        <v>1012</v>
      </c>
      <c r="B2287" t="s">
        <v>1013</v>
      </c>
      <c r="C2287" t="s">
        <v>1014</v>
      </c>
      <c r="D2287" t="s">
        <v>1020</v>
      </c>
      <c r="F2287" t="str">
        <f>"254066"</f>
        <v>254066</v>
      </c>
      <c r="G2287" t="s">
        <v>49</v>
      </c>
      <c r="H2287" t="s">
        <v>1075</v>
      </c>
      <c r="K2287" t="s">
        <v>51</v>
      </c>
      <c r="L2287" t="s">
        <v>52</v>
      </c>
      <c r="M2287">
        <v>131673.34</v>
      </c>
      <c r="N2287">
        <v>475229.05</v>
      </c>
      <c r="O2287" t="s">
        <v>53</v>
      </c>
      <c r="P2287" t="s">
        <v>54</v>
      </c>
      <c r="Q2287" t="s">
        <v>55</v>
      </c>
      <c r="T2287" t="s">
        <v>1076</v>
      </c>
      <c r="U2287">
        <v>30</v>
      </c>
      <c r="V2287" s="1">
        <v>43282</v>
      </c>
      <c r="W2287" s="1">
        <v>43282</v>
      </c>
      <c r="X2287" s="1">
        <v>43282</v>
      </c>
      <c r="Y2287" s="1">
        <v>54240</v>
      </c>
      <c r="Z2287" t="s">
        <v>51</v>
      </c>
      <c r="AB2287" t="s">
        <v>54</v>
      </c>
      <c r="AC2287">
        <v>1</v>
      </c>
      <c r="AE2287" t="s">
        <v>934</v>
      </c>
      <c r="AF2287">
        <v>20</v>
      </c>
      <c r="AG2287" s="1">
        <v>43282</v>
      </c>
      <c r="AH2287" s="1">
        <v>43282</v>
      </c>
      <c r="AI2287" s="1">
        <v>43282</v>
      </c>
      <c r="AJ2287" s="1">
        <v>50587</v>
      </c>
      <c r="AK2287" t="s">
        <v>51</v>
      </c>
      <c r="AN2287">
        <v>0</v>
      </c>
      <c r="AO2287" t="s">
        <v>54</v>
      </c>
      <c r="AP2287" t="s">
        <v>53</v>
      </c>
      <c r="AQ2287">
        <v>0</v>
      </c>
      <c r="AR2287" t="s">
        <v>53</v>
      </c>
      <c r="AS2287">
        <v>0</v>
      </c>
      <c r="AT2287">
        <v>0</v>
      </c>
      <c r="AW2287" t="s">
        <v>172</v>
      </c>
      <c r="AX2287">
        <v>15</v>
      </c>
      <c r="AY2287" s="1">
        <v>43282</v>
      </c>
      <c r="AZ2287" s="1">
        <v>43282</v>
      </c>
      <c r="BA2287" s="1">
        <v>43282</v>
      </c>
      <c r="BB2287" s="1">
        <v>48761</v>
      </c>
      <c r="BC2287" t="s">
        <v>51</v>
      </c>
      <c r="BE2287" t="s">
        <v>54</v>
      </c>
      <c r="BF2287">
        <v>40</v>
      </c>
      <c r="BG2287">
        <v>0</v>
      </c>
      <c r="BH2287" t="s">
        <v>145</v>
      </c>
      <c r="CC2287" t="s">
        <v>850</v>
      </c>
      <c r="CD2287">
        <v>1</v>
      </c>
      <c r="CE2287" s="1">
        <v>43282</v>
      </c>
      <c r="CF2287" s="1">
        <v>43282</v>
      </c>
      <c r="CG2287" s="1">
        <v>43282</v>
      </c>
      <c r="CH2287" s="1">
        <v>43282</v>
      </c>
      <c r="CI2287" t="s">
        <v>51</v>
      </c>
      <c r="CK2287" t="s">
        <v>78</v>
      </c>
      <c r="CM2287" t="s">
        <v>54</v>
      </c>
      <c r="CN2287" t="s">
        <v>174</v>
      </c>
      <c r="CO2287" t="s">
        <v>86</v>
      </c>
      <c r="CR2287">
        <v>18</v>
      </c>
      <c r="CS2287">
        <v>0</v>
      </c>
      <c r="CT2287">
        <v>0</v>
      </c>
      <c r="CU2287">
        <v>0</v>
      </c>
      <c r="CX2287" t="s">
        <v>360</v>
      </c>
      <c r="CY2287">
        <v>40</v>
      </c>
      <c r="CZ2287" s="1">
        <v>43282</v>
      </c>
      <c r="DA2287" s="1">
        <v>43282</v>
      </c>
      <c r="DB2287" s="1">
        <v>43282</v>
      </c>
      <c r="DC2287" s="1">
        <v>57892</v>
      </c>
      <c r="DD2287" t="s">
        <v>51</v>
      </c>
      <c r="DF2287" t="s">
        <v>54</v>
      </c>
      <c r="DG2287">
        <v>0</v>
      </c>
      <c r="DH2287">
        <v>0</v>
      </c>
    </row>
    <row r="2288" spans="1:112" x14ac:dyDescent="0.2">
      <c r="A2288" t="s">
        <v>1012</v>
      </c>
      <c r="B2288" t="s">
        <v>1013</v>
      </c>
      <c r="C2288" t="s">
        <v>1052</v>
      </c>
      <c r="D2288" t="s">
        <v>1071</v>
      </c>
      <c r="F2288" t="str">
        <f>"254057"</f>
        <v>254057</v>
      </c>
      <c r="G2288" t="s">
        <v>49</v>
      </c>
      <c r="K2288" t="s">
        <v>51</v>
      </c>
      <c r="L2288" t="s">
        <v>52</v>
      </c>
      <c r="M2288">
        <v>131658.32</v>
      </c>
      <c r="N2288">
        <v>475094.63</v>
      </c>
      <c r="O2288" t="s">
        <v>53</v>
      </c>
      <c r="P2288" t="s">
        <v>54</v>
      </c>
      <c r="Q2288" t="s">
        <v>55</v>
      </c>
      <c r="T2288" t="s">
        <v>1076</v>
      </c>
      <c r="U2288">
        <v>30</v>
      </c>
      <c r="V2288" s="1">
        <v>43282</v>
      </c>
      <c r="W2288" s="1">
        <v>43282</v>
      </c>
      <c r="X2288" s="1">
        <v>43282</v>
      </c>
      <c r="Y2288" s="1">
        <v>54240</v>
      </c>
      <c r="Z2288" t="s">
        <v>51</v>
      </c>
      <c r="AB2288" t="s">
        <v>54</v>
      </c>
      <c r="AC2288">
        <v>1</v>
      </c>
      <c r="AE2288" t="s">
        <v>934</v>
      </c>
      <c r="AF2288">
        <v>20</v>
      </c>
      <c r="AG2288" s="1">
        <v>43282</v>
      </c>
      <c r="AH2288" s="1">
        <v>43282</v>
      </c>
      <c r="AI2288" s="1">
        <v>43282</v>
      </c>
      <c r="AJ2288" s="1">
        <v>50587</v>
      </c>
      <c r="AK2288" t="s">
        <v>51</v>
      </c>
      <c r="AN2288">
        <v>0</v>
      </c>
      <c r="AO2288" t="s">
        <v>54</v>
      </c>
      <c r="AP2288" t="s">
        <v>53</v>
      </c>
      <c r="AQ2288">
        <v>0</v>
      </c>
      <c r="AR2288" t="s">
        <v>53</v>
      </c>
      <c r="AS2288">
        <v>0</v>
      </c>
      <c r="AT2288">
        <v>0</v>
      </c>
      <c r="AW2288" t="s">
        <v>79</v>
      </c>
      <c r="AX2288">
        <v>20</v>
      </c>
      <c r="AY2288" s="1">
        <v>43282</v>
      </c>
      <c r="AZ2288" s="1">
        <v>43282</v>
      </c>
      <c r="BA2288" s="1">
        <v>43282</v>
      </c>
      <c r="BB2288" s="1">
        <v>50587</v>
      </c>
      <c r="BC2288" t="s">
        <v>51</v>
      </c>
      <c r="BE2288" t="s">
        <v>54</v>
      </c>
      <c r="BF2288">
        <v>5</v>
      </c>
      <c r="BG2288">
        <v>0</v>
      </c>
      <c r="BH2288" t="s">
        <v>53</v>
      </c>
      <c r="BK2288" t="s">
        <v>146</v>
      </c>
      <c r="BL2288">
        <v>14000</v>
      </c>
      <c r="BM2288" s="1">
        <v>43282</v>
      </c>
      <c r="BN2288" s="1">
        <v>43282</v>
      </c>
      <c r="BO2288" s="1">
        <v>43282</v>
      </c>
      <c r="BP2288" s="1">
        <v>44482</v>
      </c>
      <c r="BQ2288" t="s">
        <v>51</v>
      </c>
      <c r="BS2288" t="s">
        <v>60</v>
      </c>
      <c r="BT2288" t="s">
        <v>54</v>
      </c>
      <c r="BU2288" t="s">
        <v>61</v>
      </c>
      <c r="BV2288" t="s">
        <v>62</v>
      </c>
      <c r="BX2288">
        <v>24</v>
      </c>
      <c r="BY2288">
        <v>0</v>
      </c>
      <c r="BZ2288">
        <v>0</v>
      </c>
    </row>
    <row r="2289" spans="1:112" x14ac:dyDescent="0.2">
      <c r="A2289" t="s">
        <v>1012</v>
      </c>
      <c r="B2289" t="s">
        <v>1013</v>
      </c>
      <c r="C2289" t="s">
        <v>1052</v>
      </c>
      <c r="D2289" t="s">
        <v>1071</v>
      </c>
      <c r="F2289" t="str">
        <f>"254059"</f>
        <v>254059</v>
      </c>
      <c r="G2289" t="s">
        <v>49</v>
      </c>
      <c r="K2289" t="s">
        <v>51</v>
      </c>
      <c r="L2289" t="s">
        <v>52</v>
      </c>
      <c r="M2289">
        <v>131670.04999999999</v>
      </c>
      <c r="N2289">
        <v>475130.26</v>
      </c>
      <c r="O2289" t="s">
        <v>53</v>
      </c>
      <c r="P2289" t="s">
        <v>54</v>
      </c>
      <c r="Q2289" t="s">
        <v>55</v>
      </c>
      <c r="S2289" t="s">
        <v>514</v>
      </c>
      <c r="T2289" t="s">
        <v>514</v>
      </c>
      <c r="U2289">
        <v>30</v>
      </c>
      <c r="V2289" s="1">
        <v>43258</v>
      </c>
      <c r="W2289" s="1">
        <v>43258</v>
      </c>
      <c r="X2289" s="1">
        <v>43258</v>
      </c>
      <c r="Y2289" s="1">
        <v>54216</v>
      </c>
      <c r="Z2289" t="s">
        <v>51</v>
      </c>
      <c r="AB2289" t="s">
        <v>54</v>
      </c>
      <c r="AC2289">
        <v>1</v>
      </c>
      <c r="AE2289" t="s">
        <v>515</v>
      </c>
      <c r="AF2289">
        <v>20</v>
      </c>
      <c r="AG2289" s="1">
        <v>43258</v>
      </c>
      <c r="AH2289" s="1">
        <v>43258</v>
      </c>
      <c r="AI2289" s="1">
        <v>43258</v>
      </c>
      <c r="AJ2289" s="1">
        <v>50563</v>
      </c>
      <c r="AK2289" t="s">
        <v>51</v>
      </c>
      <c r="AN2289">
        <v>0</v>
      </c>
      <c r="AO2289" t="s">
        <v>54</v>
      </c>
      <c r="AP2289" t="s">
        <v>53</v>
      </c>
      <c r="AQ2289">
        <v>0</v>
      </c>
      <c r="AR2289" t="s">
        <v>53</v>
      </c>
      <c r="AS2289">
        <v>0</v>
      </c>
      <c r="AT2289">
        <v>0</v>
      </c>
      <c r="CC2289" t="s">
        <v>432</v>
      </c>
      <c r="CD2289">
        <v>85000</v>
      </c>
      <c r="CE2289" s="1">
        <v>43258</v>
      </c>
      <c r="CF2289" s="1">
        <v>43258</v>
      </c>
      <c r="CG2289" s="1">
        <v>43258</v>
      </c>
      <c r="CH2289" s="1">
        <v>50853</v>
      </c>
      <c r="CI2289" t="s">
        <v>51</v>
      </c>
      <c r="CK2289" t="s">
        <v>78</v>
      </c>
      <c r="CM2289" t="s">
        <v>54</v>
      </c>
      <c r="CN2289" t="s">
        <v>174</v>
      </c>
      <c r="CO2289" t="s">
        <v>86</v>
      </c>
      <c r="CR2289">
        <v>24</v>
      </c>
      <c r="CS2289">
        <v>0</v>
      </c>
      <c r="CT2289">
        <v>0</v>
      </c>
      <c r="CU2289">
        <v>0</v>
      </c>
    </row>
    <row r="2290" spans="1:112" x14ac:dyDescent="0.2">
      <c r="A2290" t="s">
        <v>1012</v>
      </c>
      <c r="B2290" t="s">
        <v>1013</v>
      </c>
      <c r="C2290" t="s">
        <v>1014</v>
      </c>
      <c r="D2290" t="s">
        <v>1071</v>
      </c>
      <c r="F2290" t="str">
        <f>"254060"</f>
        <v>254060</v>
      </c>
      <c r="G2290" t="s">
        <v>49</v>
      </c>
      <c r="K2290" t="s">
        <v>51</v>
      </c>
      <c r="L2290" t="s">
        <v>52</v>
      </c>
      <c r="M2290">
        <v>131663.53</v>
      </c>
      <c r="N2290">
        <v>475145.79</v>
      </c>
      <c r="O2290" t="s">
        <v>53</v>
      </c>
      <c r="P2290" t="s">
        <v>54</v>
      </c>
      <c r="Q2290" t="s">
        <v>55</v>
      </c>
      <c r="S2290" t="s">
        <v>514</v>
      </c>
      <c r="T2290" t="s">
        <v>514</v>
      </c>
      <c r="U2290">
        <v>30</v>
      </c>
      <c r="V2290" s="1">
        <v>43258</v>
      </c>
      <c r="W2290" s="1">
        <v>43258</v>
      </c>
      <c r="X2290" s="1">
        <v>43258</v>
      </c>
      <c r="Y2290" s="1">
        <v>54216</v>
      </c>
      <c r="Z2290" t="s">
        <v>51</v>
      </c>
      <c r="AB2290" t="s">
        <v>54</v>
      </c>
      <c r="AC2290">
        <v>1</v>
      </c>
      <c r="AE2290" t="s">
        <v>515</v>
      </c>
      <c r="AF2290">
        <v>20</v>
      </c>
      <c r="AG2290" s="1">
        <v>43258</v>
      </c>
      <c r="AH2290" s="1">
        <v>43258</v>
      </c>
      <c r="AI2290" s="1">
        <v>43258</v>
      </c>
      <c r="AJ2290" s="1">
        <v>50563</v>
      </c>
      <c r="AK2290" t="s">
        <v>51</v>
      </c>
      <c r="AN2290">
        <v>0</v>
      </c>
      <c r="AO2290" t="s">
        <v>54</v>
      </c>
      <c r="AP2290" t="s">
        <v>53</v>
      </c>
      <c r="AQ2290">
        <v>0</v>
      </c>
      <c r="AR2290" t="s">
        <v>53</v>
      </c>
      <c r="AS2290">
        <v>0</v>
      </c>
      <c r="AT2290">
        <v>0</v>
      </c>
      <c r="CC2290" t="s">
        <v>432</v>
      </c>
      <c r="CD2290">
        <v>85000</v>
      </c>
      <c r="CE2290" s="1">
        <v>43258</v>
      </c>
      <c r="CF2290" s="1">
        <v>43258</v>
      </c>
      <c r="CG2290" s="1">
        <v>43258</v>
      </c>
      <c r="CH2290" s="1">
        <v>50853</v>
      </c>
      <c r="CI2290" t="s">
        <v>51</v>
      </c>
      <c r="CK2290" t="s">
        <v>78</v>
      </c>
      <c r="CM2290" t="s">
        <v>54</v>
      </c>
      <c r="CN2290" t="s">
        <v>174</v>
      </c>
      <c r="CO2290" t="s">
        <v>86</v>
      </c>
      <c r="CR2290">
        <v>24</v>
      </c>
      <c r="CS2290">
        <v>0</v>
      </c>
      <c r="CT2290">
        <v>0</v>
      </c>
      <c r="CU2290">
        <v>0</v>
      </c>
    </row>
    <row r="2291" spans="1:112" x14ac:dyDescent="0.2">
      <c r="A2291" t="s">
        <v>1012</v>
      </c>
      <c r="B2291" t="s">
        <v>1013</v>
      </c>
      <c r="C2291" t="s">
        <v>1052</v>
      </c>
      <c r="D2291" t="s">
        <v>1071</v>
      </c>
      <c r="F2291" t="str">
        <f>"254061"</f>
        <v>254061</v>
      </c>
      <c r="G2291" t="s">
        <v>49</v>
      </c>
      <c r="K2291" t="s">
        <v>51</v>
      </c>
      <c r="L2291" t="s">
        <v>52</v>
      </c>
      <c r="M2291">
        <v>131671.82</v>
      </c>
      <c r="N2291">
        <v>475151.43</v>
      </c>
      <c r="O2291" t="s">
        <v>53</v>
      </c>
      <c r="P2291" t="s">
        <v>54</v>
      </c>
      <c r="Q2291" t="s">
        <v>55</v>
      </c>
      <c r="S2291" t="s">
        <v>514</v>
      </c>
      <c r="T2291" t="s">
        <v>514</v>
      </c>
      <c r="U2291">
        <v>30</v>
      </c>
      <c r="V2291" s="1">
        <v>43101</v>
      </c>
      <c r="W2291" s="1">
        <v>43221</v>
      </c>
      <c r="X2291" s="1">
        <v>43221</v>
      </c>
      <c r="Y2291" s="1">
        <v>54179</v>
      </c>
      <c r="Z2291" t="s">
        <v>51</v>
      </c>
      <c r="AB2291" t="s">
        <v>54</v>
      </c>
      <c r="AC2291">
        <v>1</v>
      </c>
      <c r="AE2291" t="s">
        <v>515</v>
      </c>
      <c r="AF2291">
        <v>20</v>
      </c>
      <c r="AG2291" s="1">
        <v>43101</v>
      </c>
      <c r="AH2291" s="1">
        <v>43221</v>
      </c>
      <c r="AI2291" s="1">
        <v>43221</v>
      </c>
      <c r="AJ2291" s="1">
        <v>50526</v>
      </c>
      <c r="AK2291" t="s">
        <v>51</v>
      </c>
      <c r="AN2291">
        <v>0</v>
      </c>
      <c r="AO2291" t="s">
        <v>54</v>
      </c>
      <c r="AP2291" t="s">
        <v>53</v>
      </c>
      <c r="AQ2291">
        <v>0</v>
      </c>
      <c r="AR2291" t="s">
        <v>53</v>
      </c>
      <c r="AS2291">
        <v>0</v>
      </c>
      <c r="AT2291">
        <v>0</v>
      </c>
      <c r="CC2291" t="s">
        <v>432</v>
      </c>
      <c r="CD2291">
        <v>85000</v>
      </c>
      <c r="CE2291" s="1">
        <v>43101</v>
      </c>
      <c r="CF2291" s="1">
        <v>43221</v>
      </c>
      <c r="CG2291" s="1">
        <v>43221</v>
      </c>
      <c r="CH2291" s="1">
        <v>50831</v>
      </c>
      <c r="CI2291" t="s">
        <v>51</v>
      </c>
      <c r="CK2291" t="s">
        <v>78</v>
      </c>
      <c r="CM2291" t="s">
        <v>54</v>
      </c>
      <c r="CN2291" t="s">
        <v>174</v>
      </c>
      <c r="CO2291" t="s">
        <v>86</v>
      </c>
      <c r="CR2291">
        <v>24</v>
      </c>
      <c r="CS2291">
        <v>0</v>
      </c>
      <c r="CT2291">
        <v>0</v>
      </c>
      <c r="CU2291">
        <v>0</v>
      </c>
    </row>
    <row r="2292" spans="1:112" x14ac:dyDescent="0.2">
      <c r="A2292" t="s">
        <v>1012</v>
      </c>
      <c r="B2292" t="s">
        <v>1013</v>
      </c>
      <c r="C2292" t="s">
        <v>1052</v>
      </c>
      <c r="D2292" t="s">
        <v>1071</v>
      </c>
      <c r="F2292" t="str">
        <f>"254062"</f>
        <v>254062</v>
      </c>
      <c r="G2292" t="s">
        <v>49</v>
      </c>
      <c r="K2292" t="s">
        <v>51</v>
      </c>
      <c r="L2292" t="s">
        <v>52</v>
      </c>
      <c r="M2292">
        <v>131665.62</v>
      </c>
      <c r="N2292">
        <v>475166.82</v>
      </c>
      <c r="O2292" t="s">
        <v>53</v>
      </c>
      <c r="P2292" t="s">
        <v>54</v>
      </c>
      <c r="Q2292" t="s">
        <v>55</v>
      </c>
      <c r="S2292" t="s">
        <v>514</v>
      </c>
      <c r="T2292" t="s">
        <v>514</v>
      </c>
      <c r="U2292">
        <v>30</v>
      </c>
      <c r="V2292" s="1">
        <v>43258</v>
      </c>
      <c r="W2292" s="1">
        <v>43258</v>
      </c>
      <c r="X2292" s="1">
        <v>43258</v>
      </c>
      <c r="Y2292" s="1">
        <v>54216</v>
      </c>
      <c r="Z2292" t="s">
        <v>51</v>
      </c>
      <c r="AB2292" t="s">
        <v>54</v>
      </c>
      <c r="AC2292">
        <v>1</v>
      </c>
      <c r="AE2292" t="s">
        <v>515</v>
      </c>
      <c r="AF2292">
        <v>20</v>
      </c>
      <c r="AG2292" s="1">
        <v>43258</v>
      </c>
      <c r="AH2292" s="1">
        <v>43258</v>
      </c>
      <c r="AI2292" s="1">
        <v>43258</v>
      </c>
      <c r="AJ2292" s="1">
        <v>50563</v>
      </c>
      <c r="AK2292" t="s">
        <v>51</v>
      </c>
      <c r="AN2292">
        <v>0</v>
      </c>
      <c r="AO2292" t="s">
        <v>54</v>
      </c>
      <c r="AP2292" t="s">
        <v>53</v>
      </c>
      <c r="AQ2292">
        <v>0</v>
      </c>
      <c r="AR2292" t="s">
        <v>53</v>
      </c>
      <c r="AS2292">
        <v>0</v>
      </c>
      <c r="AT2292">
        <v>0</v>
      </c>
      <c r="CC2292" t="s">
        <v>432</v>
      </c>
      <c r="CD2292">
        <v>85000</v>
      </c>
      <c r="CE2292" s="1">
        <v>43258</v>
      </c>
      <c r="CF2292" s="1">
        <v>43258</v>
      </c>
      <c r="CG2292" s="1">
        <v>43258</v>
      </c>
      <c r="CH2292" s="1">
        <v>50853</v>
      </c>
      <c r="CI2292" t="s">
        <v>51</v>
      </c>
      <c r="CK2292" t="s">
        <v>78</v>
      </c>
      <c r="CM2292" t="s">
        <v>54</v>
      </c>
      <c r="CN2292" t="s">
        <v>174</v>
      </c>
      <c r="CO2292" t="s">
        <v>86</v>
      </c>
      <c r="CR2292">
        <v>24</v>
      </c>
      <c r="CS2292">
        <v>0</v>
      </c>
      <c r="CT2292">
        <v>0</v>
      </c>
      <c r="CU2292">
        <v>0</v>
      </c>
    </row>
    <row r="2293" spans="1:112" x14ac:dyDescent="0.2">
      <c r="A2293" t="s">
        <v>1012</v>
      </c>
      <c r="B2293" t="s">
        <v>1013</v>
      </c>
      <c r="C2293" t="s">
        <v>1019</v>
      </c>
      <c r="D2293" t="s">
        <v>1077</v>
      </c>
      <c r="F2293" t="str">
        <f>"251841"</f>
        <v>251841</v>
      </c>
      <c r="G2293" t="s">
        <v>49</v>
      </c>
      <c r="H2293">
        <v>32</v>
      </c>
      <c r="K2293" t="s">
        <v>51</v>
      </c>
      <c r="L2293" t="s">
        <v>52</v>
      </c>
      <c r="M2293">
        <v>131798.56</v>
      </c>
      <c r="N2293">
        <v>473927.43</v>
      </c>
      <c r="O2293" t="s">
        <v>53</v>
      </c>
      <c r="P2293" t="s">
        <v>54</v>
      </c>
      <c r="Q2293" t="s">
        <v>55</v>
      </c>
      <c r="T2293" t="s">
        <v>100</v>
      </c>
      <c r="U2293">
        <v>40</v>
      </c>
      <c r="V2293" s="1">
        <v>32874</v>
      </c>
      <c r="W2293" s="1">
        <v>32874</v>
      </c>
      <c r="X2293" s="1">
        <v>32874</v>
      </c>
      <c r="Y2293" s="1">
        <v>47484</v>
      </c>
      <c r="Z2293" t="s">
        <v>51</v>
      </c>
      <c r="AB2293" t="s">
        <v>54</v>
      </c>
      <c r="AC2293">
        <v>1</v>
      </c>
      <c r="AE2293" t="s">
        <v>819</v>
      </c>
      <c r="AF2293">
        <v>20</v>
      </c>
      <c r="AG2293" s="1">
        <v>32874</v>
      </c>
      <c r="AH2293" s="1">
        <v>32874</v>
      </c>
      <c r="AI2293" s="1">
        <v>32874</v>
      </c>
      <c r="AJ2293" s="1">
        <v>40179</v>
      </c>
      <c r="AK2293" t="s">
        <v>51</v>
      </c>
      <c r="AN2293">
        <v>0</v>
      </c>
      <c r="AO2293" t="s">
        <v>54</v>
      </c>
      <c r="AP2293" t="s">
        <v>53</v>
      </c>
      <c r="AQ2293">
        <v>0</v>
      </c>
      <c r="AR2293" t="s">
        <v>53</v>
      </c>
      <c r="AS2293">
        <v>0</v>
      </c>
      <c r="AT2293">
        <v>0</v>
      </c>
      <c r="AW2293" t="s">
        <v>161</v>
      </c>
      <c r="AX2293">
        <v>50</v>
      </c>
      <c r="AY2293" s="1">
        <v>32874</v>
      </c>
      <c r="AZ2293" s="1">
        <v>32874</v>
      </c>
      <c r="BA2293" s="1">
        <v>32874</v>
      </c>
      <c r="BB2293" s="1">
        <v>51136</v>
      </c>
      <c r="BC2293" t="s">
        <v>51</v>
      </c>
      <c r="BE2293" t="s">
        <v>54</v>
      </c>
      <c r="BF2293">
        <v>0</v>
      </c>
      <c r="BG2293">
        <v>0</v>
      </c>
      <c r="BH2293" t="s">
        <v>53</v>
      </c>
      <c r="BK2293" t="s">
        <v>720</v>
      </c>
      <c r="BL2293">
        <v>17000</v>
      </c>
      <c r="BM2293" s="1">
        <v>44208</v>
      </c>
      <c r="BN2293" s="1">
        <v>44208</v>
      </c>
      <c r="BO2293" s="1">
        <v>44208</v>
      </c>
      <c r="BP2293" s="1">
        <v>45650</v>
      </c>
      <c r="BQ2293" t="s">
        <v>51</v>
      </c>
      <c r="BS2293" t="s">
        <v>60</v>
      </c>
      <c r="BT2293" t="s">
        <v>54</v>
      </c>
      <c r="BU2293" t="s">
        <v>721</v>
      </c>
      <c r="BV2293" t="s">
        <v>722</v>
      </c>
      <c r="BX2293">
        <v>18</v>
      </c>
      <c r="BY2293">
        <v>0</v>
      </c>
      <c r="BZ2293">
        <v>0</v>
      </c>
      <c r="CX2293" t="s">
        <v>674</v>
      </c>
      <c r="CY2293">
        <v>0</v>
      </c>
      <c r="CZ2293" s="1">
        <v>44320</v>
      </c>
      <c r="DA2293" s="1">
        <v>44320</v>
      </c>
      <c r="DB2293" s="1">
        <v>44320</v>
      </c>
      <c r="DC2293" s="1">
        <v>44320</v>
      </c>
      <c r="DD2293" t="s">
        <v>51</v>
      </c>
      <c r="DF2293" t="s">
        <v>54</v>
      </c>
      <c r="DG2293">
        <v>0</v>
      </c>
      <c r="DH2293">
        <v>0</v>
      </c>
    </row>
    <row r="2294" spans="1:112" x14ac:dyDescent="0.2">
      <c r="A2294" t="s">
        <v>1012</v>
      </c>
      <c r="B2294" t="s">
        <v>1013</v>
      </c>
      <c r="C2294" t="s">
        <v>1019</v>
      </c>
      <c r="D2294" t="s">
        <v>1077</v>
      </c>
      <c r="F2294" t="str">
        <f>"251842"</f>
        <v>251842</v>
      </c>
      <c r="G2294" t="s">
        <v>49</v>
      </c>
      <c r="H2294">
        <v>28</v>
      </c>
      <c r="K2294" t="s">
        <v>51</v>
      </c>
      <c r="L2294" t="s">
        <v>52</v>
      </c>
      <c r="M2294">
        <v>131821.91</v>
      </c>
      <c r="N2294">
        <v>473922.41</v>
      </c>
      <c r="O2294" t="s">
        <v>53</v>
      </c>
      <c r="P2294" t="s">
        <v>54</v>
      </c>
      <c r="Q2294" t="s">
        <v>55</v>
      </c>
      <c r="T2294" t="s">
        <v>100</v>
      </c>
      <c r="U2294">
        <v>40</v>
      </c>
      <c r="V2294" s="1">
        <v>32874</v>
      </c>
      <c r="W2294" s="1">
        <v>32874</v>
      </c>
      <c r="X2294" s="1">
        <v>32874</v>
      </c>
      <c r="Y2294" s="1">
        <v>47484</v>
      </c>
      <c r="Z2294" t="s">
        <v>51</v>
      </c>
      <c r="AB2294" t="s">
        <v>54</v>
      </c>
      <c r="AC2294">
        <v>1</v>
      </c>
      <c r="AE2294" t="s">
        <v>819</v>
      </c>
      <c r="AF2294">
        <v>20</v>
      </c>
      <c r="AG2294" s="1">
        <v>32874</v>
      </c>
      <c r="AH2294" s="1">
        <v>32874</v>
      </c>
      <c r="AI2294" s="1">
        <v>32874</v>
      </c>
      <c r="AJ2294" s="1">
        <v>40179</v>
      </c>
      <c r="AK2294" t="s">
        <v>51</v>
      </c>
      <c r="AN2294">
        <v>0</v>
      </c>
      <c r="AO2294" t="s">
        <v>54</v>
      </c>
      <c r="AP2294" t="s">
        <v>53</v>
      </c>
      <c r="AQ2294">
        <v>0</v>
      </c>
      <c r="AR2294" t="s">
        <v>53</v>
      </c>
      <c r="AS2294">
        <v>0</v>
      </c>
      <c r="AT2294">
        <v>0</v>
      </c>
      <c r="AW2294" t="s">
        <v>161</v>
      </c>
      <c r="AX2294">
        <v>50</v>
      </c>
      <c r="AY2294" s="1">
        <v>32874</v>
      </c>
      <c r="AZ2294" s="1">
        <v>32874</v>
      </c>
      <c r="BA2294" s="1">
        <v>32874</v>
      </c>
      <c r="BB2294" s="1">
        <v>51136</v>
      </c>
      <c r="BC2294" t="s">
        <v>51</v>
      </c>
      <c r="BE2294" t="s">
        <v>54</v>
      </c>
      <c r="BF2294">
        <v>0</v>
      </c>
      <c r="BG2294">
        <v>0</v>
      </c>
      <c r="BH2294" t="s">
        <v>53</v>
      </c>
      <c r="BK2294" t="s">
        <v>720</v>
      </c>
      <c r="BL2294">
        <v>17000</v>
      </c>
      <c r="BM2294" s="1">
        <v>44118</v>
      </c>
      <c r="BN2294" s="1">
        <v>44118</v>
      </c>
      <c r="BO2294" s="1">
        <v>44118</v>
      </c>
      <c r="BP2294" s="1">
        <v>45556</v>
      </c>
      <c r="BQ2294" t="s">
        <v>51</v>
      </c>
      <c r="BS2294" t="s">
        <v>60</v>
      </c>
      <c r="BT2294" t="s">
        <v>54</v>
      </c>
      <c r="BU2294" t="s">
        <v>721</v>
      </c>
      <c r="BV2294" t="s">
        <v>722</v>
      </c>
      <c r="BX2294">
        <v>18</v>
      </c>
      <c r="BY2294">
        <v>0</v>
      </c>
      <c r="BZ2294">
        <v>0</v>
      </c>
      <c r="CX2294" t="s">
        <v>674</v>
      </c>
      <c r="CY2294">
        <v>0</v>
      </c>
      <c r="CZ2294" s="1">
        <v>44320</v>
      </c>
      <c r="DA2294" s="1">
        <v>44320</v>
      </c>
      <c r="DB2294" s="1">
        <v>44320</v>
      </c>
      <c r="DC2294" s="1">
        <v>44320</v>
      </c>
      <c r="DD2294" t="s">
        <v>51</v>
      </c>
      <c r="DF2294" t="s">
        <v>54</v>
      </c>
      <c r="DG2294">
        <v>0</v>
      </c>
      <c r="DH2294">
        <v>0</v>
      </c>
    </row>
    <row r="2295" spans="1:112" x14ac:dyDescent="0.2">
      <c r="A2295" t="s">
        <v>1012</v>
      </c>
      <c r="B2295" t="s">
        <v>1013</v>
      </c>
      <c r="C2295" t="s">
        <v>1019</v>
      </c>
      <c r="D2295" t="s">
        <v>1077</v>
      </c>
      <c r="F2295" t="str">
        <f>"251843"</f>
        <v>251843</v>
      </c>
      <c r="G2295" t="s">
        <v>49</v>
      </c>
      <c r="H2295">
        <v>26</v>
      </c>
      <c r="K2295" t="s">
        <v>51</v>
      </c>
      <c r="L2295" t="s">
        <v>52</v>
      </c>
      <c r="M2295">
        <v>131843.23000000001</v>
      </c>
      <c r="N2295">
        <v>473924.21</v>
      </c>
      <c r="O2295" t="s">
        <v>53</v>
      </c>
      <c r="P2295" t="s">
        <v>54</v>
      </c>
      <c r="Q2295" t="s">
        <v>55</v>
      </c>
      <c r="T2295" t="s">
        <v>100</v>
      </c>
      <c r="U2295">
        <v>40</v>
      </c>
      <c r="V2295" s="1">
        <v>32874</v>
      </c>
      <c r="W2295" s="1">
        <v>32874</v>
      </c>
      <c r="X2295" s="1">
        <v>32874</v>
      </c>
      <c r="Y2295" s="1">
        <v>47484</v>
      </c>
      <c r="Z2295" t="s">
        <v>51</v>
      </c>
      <c r="AB2295" t="s">
        <v>54</v>
      </c>
      <c r="AC2295">
        <v>1</v>
      </c>
      <c r="AE2295" t="s">
        <v>819</v>
      </c>
      <c r="AF2295">
        <v>20</v>
      </c>
      <c r="AG2295" s="1">
        <v>32874</v>
      </c>
      <c r="AH2295" s="1">
        <v>32874</v>
      </c>
      <c r="AI2295" s="1">
        <v>32874</v>
      </c>
      <c r="AJ2295" s="1">
        <v>40179</v>
      </c>
      <c r="AK2295" t="s">
        <v>51</v>
      </c>
      <c r="AN2295">
        <v>0</v>
      </c>
      <c r="AO2295" t="s">
        <v>54</v>
      </c>
      <c r="AP2295" t="s">
        <v>53</v>
      </c>
      <c r="AQ2295">
        <v>0</v>
      </c>
      <c r="AR2295" t="s">
        <v>53</v>
      </c>
      <c r="AS2295">
        <v>0</v>
      </c>
      <c r="AT2295">
        <v>0</v>
      </c>
      <c r="AW2295" t="s">
        <v>161</v>
      </c>
      <c r="AX2295">
        <v>50</v>
      </c>
      <c r="AY2295" s="1">
        <v>32874</v>
      </c>
      <c r="AZ2295" s="1">
        <v>32874</v>
      </c>
      <c r="BA2295" s="1">
        <v>32874</v>
      </c>
      <c r="BB2295" s="1">
        <v>51136</v>
      </c>
      <c r="BC2295" t="s">
        <v>51</v>
      </c>
      <c r="BE2295" t="s">
        <v>54</v>
      </c>
      <c r="BF2295">
        <v>0</v>
      </c>
      <c r="BG2295">
        <v>0</v>
      </c>
      <c r="BH2295" t="s">
        <v>53</v>
      </c>
      <c r="BK2295" t="s">
        <v>720</v>
      </c>
      <c r="BL2295">
        <v>17000</v>
      </c>
      <c r="BM2295" s="1">
        <v>44118</v>
      </c>
      <c r="BN2295" s="1">
        <v>44118</v>
      </c>
      <c r="BO2295" s="1">
        <v>44118</v>
      </c>
      <c r="BP2295" s="1">
        <v>45556</v>
      </c>
      <c r="BQ2295" t="s">
        <v>51</v>
      </c>
      <c r="BS2295" t="s">
        <v>60</v>
      </c>
      <c r="BT2295" t="s">
        <v>54</v>
      </c>
      <c r="BU2295" t="s">
        <v>721</v>
      </c>
      <c r="BV2295" t="s">
        <v>722</v>
      </c>
      <c r="BX2295">
        <v>18</v>
      </c>
      <c r="BY2295">
        <v>0</v>
      </c>
      <c r="BZ2295">
        <v>0</v>
      </c>
      <c r="CX2295" t="s">
        <v>674</v>
      </c>
      <c r="CY2295">
        <v>0</v>
      </c>
      <c r="CZ2295" s="1">
        <v>44320</v>
      </c>
      <c r="DA2295" s="1">
        <v>44320</v>
      </c>
      <c r="DB2295" s="1">
        <v>44320</v>
      </c>
      <c r="DC2295" s="1">
        <v>44320</v>
      </c>
      <c r="DD2295" t="s">
        <v>51</v>
      </c>
      <c r="DF2295" t="s">
        <v>54</v>
      </c>
      <c r="DG2295">
        <v>0</v>
      </c>
      <c r="DH2295">
        <v>0</v>
      </c>
    </row>
    <row r="2296" spans="1:112" x14ac:dyDescent="0.2">
      <c r="A2296" t="s">
        <v>1012</v>
      </c>
      <c r="B2296" t="s">
        <v>1013</v>
      </c>
      <c r="C2296" t="s">
        <v>1019</v>
      </c>
      <c r="D2296" t="s">
        <v>1077</v>
      </c>
      <c r="F2296" t="str">
        <f>"251844"</f>
        <v>251844</v>
      </c>
      <c r="G2296" t="s">
        <v>49</v>
      </c>
      <c r="H2296">
        <v>24</v>
      </c>
      <c r="K2296" t="s">
        <v>51</v>
      </c>
      <c r="L2296" t="s">
        <v>52</v>
      </c>
      <c r="M2296">
        <v>131854.72</v>
      </c>
      <c r="N2296">
        <v>473948.37</v>
      </c>
      <c r="O2296" t="s">
        <v>53</v>
      </c>
      <c r="P2296" t="s">
        <v>54</v>
      </c>
      <c r="Q2296" t="s">
        <v>55</v>
      </c>
      <c r="T2296" t="s">
        <v>100</v>
      </c>
      <c r="U2296">
        <v>40</v>
      </c>
      <c r="V2296" s="1">
        <v>32874</v>
      </c>
      <c r="W2296" s="1">
        <v>32874</v>
      </c>
      <c r="X2296" s="1">
        <v>32874</v>
      </c>
      <c r="Y2296" s="1">
        <v>47484</v>
      </c>
      <c r="Z2296" t="s">
        <v>51</v>
      </c>
      <c r="AB2296" t="s">
        <v>54</v>
      </c>
      <c r="AC2296">
        <v>1</v>
      </c>
      <c r="AE2296" t="s">
        <v>819</v>
      </c>
      <c r="AF2296">
        <v>20</v>
      </c>
      <c r="AG2296" s="1">
        <v>32874</v>
      </c>
      <c r="AH2296" s="1">
        <v>32874</v>
      </c>
      <c r="AI2296" s="1">
        <v>32874</v>
      </c>
      <c r="AJ2296" s="1">
        <v>40179</v>
      </c>
      <c r="AK2296" t="s">
        <v>51</v>
      </c>
      <c r="AN2296">
        <v>0</v>
      </c>
      <c r="AO2296" t="s">
        <v>54</v>
      </c>
      <c r="AP2296" t="s">
        <v>53</v>
      </c>
      <c r="AQ2296">
        <v>0</v>
      </c>
      <c r="AR2296" t="s">
        <v>53</v>
      </c>
      <c r="AS2296">
        <v>0</v>
      </c>
      <c r="AT2296">
        <v>0</v>
      </c>
      <c r="AW2296" t="s">
        <v>161</v>
      </c>
      <c r="AX2296">
        <v>50</v>
      </c>
      <c r="AY2296" s="1">
        <v>32874</v>
      </c>
      <c r="AZ2296" s="1">
        <v>32874</v>
      </c>
      <c r="BA2296" s="1">
        <v>32874</v>
      </c>
      <c r="BB2296" s="1">
        <v>51136</v>
      </c>
      <c r="BC2296" t="s">
        <v>51</v>
      </c>
      <c r="BE2296" t="s">
        <v>54</v>
      </c>
      <c r="BF2296">
        <v>0</v>
      </c>
      <c r="BG2296">
        <v>0</v>
      </c>
      <c r="BH2296" t="s">
        <v>53</v>
      </c>
      <c r="BK2296" t="s">
        <v>720</v>
      </c>
      <c r="BL2296">
        <v>17000</v>
      </c>
      <c r="BM2296" s="1">
        <v>44118</v>
      </c>
      <c r="BN2296" s="1">
        <v>44118</v>
      </c>
      <c r="BO2296" s="1">
        <v>44118</v>
      </c>
      <c r="BP2296" s="1">
        <v>45556</v>
      </c>
      <c r="BQ2296" t="s">
        <v>51</v>
      </c>
      <c r="BS2296" t="s">
        <v>60</v>
      </c>
      <c r="BT2296" t="s">
        <v>54</v>
      </c>
      <c r="BU2296" t="s">
        <v>721</v>
      </c>
      <c r="BV2296" t="s">
        <v>722</v>
      </c>
      <c r="BX2296">
        <v>18</v>
      </c>
      <c r="BY2296">
        <v>0</v>
      </c>
      <c r="BZ2296">
        <v>0</v>
      </c>
      <c r="CX2296" t="s">
        <v>674</v>
      </c>
      <c r="CY2296">
        <v>0</v>
      </c>
      <c r="CZ2296" s="1">
        <v>44320</v>
      </c>
      <c r="DA2296" s="1">
        <v>44320</v>
      </c>
      <c r="DB2296" s="1">
        <v>44320</v>
      </c>
      <c r="DC2296" s="1">
        <v>44320</v>
      </c>
      <c r="DD2296" t="s">
        <v>51</v>
      </c>
      <c r="DF2296" t="s">
        <v>54</v>
      </c>
      <c r="DG2296">
        <v>0</v>
      </c>
      <c r="DH2296">
        <v>0</v>
      </c>
    </row>
    <row r="2297" spans="1:112" x14ac:dyDescent="0.2">
      <c r="A2297" t="s">
        <v>1012</v>
      </c>
      <c r="B2297" t="s">
        <v>1013</v>
      </c>
      <c r="C2297" t="s">
        <v>1052</v>
      </c>
      <c r="D2297" t="s">
        <v>1077</v>
      </c>
      <c r="F2297" t="str">
        <f>"251845"</f>
        <v>251845</v>
      </c>
      <c r="G2297" t="s">
        <v>49</v>
      </c>
      <c r="H2297">
        <v>20</v>
      </c>
      <c r="K2297" t="s">
        <v>51</v>
      </c>
      <c r="L2297" t="s">
        <v>52</v>
      </c>
      <c r="M2297">
        <v>131859.32999999999</v>
      </c>
      <c r="N2297">
        <v>473971.69</v>
      </c>
      <c r="O2297" t="s">
        <v>53</v>
      </c>
      <c r="P2297" t="s">
        <v>54</v>
      </c>
      <c r="Q2297" t="s">
        <v>55</v>
      </c>
      <c r="T2297" t="s">
        <v>100</v>
      </c>
      <c r="U2297">
        <v>40</v>
      </c>
      <c r="V2297" s="1">
        <v>32874</v>
      </c>
      <c r="W2297" s="1">
        <v>32874</v>
      </c>
      <c r="X2297" s="1">
        <v>32874</v>
      </c>
      <c r="Y2297" s="1">
        <v>47484</v>
      </c>
      <c r="Z2297" t="s">
        <v>51</v>
      </c>
      <c r="AB2297" t="s">
        <v>54</v>
      </c>
      <c r="AC2297">
        <v>1</v>
      </c>
      <c r="AE2297" t="s">
        <v>819</v>
      </c>
      <c r="AF2297">
        <v>20</v>
      </c>
      <c r="AG2297" s="1">
        <v>32874</v>
      </c>
      <c r="AH2297" s="1">
        <v>32874</v>
      </c>
      <c r="AI2297" s="1">
        <v>32874</v>
      </c>
      <c r="AJ2297" s="1">
        <v>40179</v>
      </c>
      <c r="AK2297" t="s">
        <v>51</v>
      </c>
      <c r="AN2297">
        <v>0</v>
      </c>
      <c r="AO2297" t="s">
        <v>54</v>
      </c>
      <c r="AP2297" t="s">
        <v>53</v>
      </c>
      <c r="AQ2297">
        <v>0</v>
      </c>
      <c r="AR2297" t="s">
        <v>53</v>
      </c>
      <c r="AS2297">
        <v>0</v>
      </c>
      <c r="AT2297">
        <v>0</v>
      </c>
      <c r="AW2297" t="s">
        <v>161</v>
      </c>
      <c r="AX2297">
        <v>50</v>
      </c>
      <c r="AY2297" s="1">
        <v>32874</v>
      </c>
      <c r="AZ2297" s="1">
        <v>32874</v>
      </c>
      <c r="BA2297" s="1">
        <v>32874</v>
      </c>
      <c r="BB2297" s="1">
        <v>51136</v>
      </c>
      <c r="BC2297" t="s">
        <v>51</v>
      </c>
      <c r="BE2297" t="s">
        <v>54</v>
      </c>
      <c r="BF2297">
        <v>0</v>
      </c>
      <c r="BG2297">
        <v>0</v>
      </c>
      <c r="BH2297" t="s">
        <v>53</v>
      </c>
      <c r="BK2297" t="s">
        <v>720</v>
      </c>
      <c r="BL2297">
        <v>17000</v>
      </c>
      <c r="BM2297" s="1">
        <v>44118</v>
      </c>
      <c r="BN2297" s="1">
        <v>44118</v>
      </c>
      <c r="BO2297" s="1">
        <v>44118</v>
      </c>
      <c r="BP2297" s="1">
        <v>45556</v>
      </c>
      <c r="BQ2297" t="s">
        <v>51</v>
      </c>
      <c r="BS2297" t="s">
        <v>60</v>
      </c>
      <c r="BT2297" t="s">
        <v>54</v>
      </c>
      <c r="BU2297" t="s">
        <v>721</v>
      </c>
      <c r="BV2297" t="s">
        <v>722</v>
      </c>
      <c r="BX2297">
        <v>18</v>
      </c>
      <c r="BY2297">
        <v>0</v>
      </c>
      <c r="BZ2297">
        <v>0</v>
      </c>
      <c r="CX2297" t="s">
        <v>674</v>
      </c>
      <c r="CY2297">
        <v>0</v>
      </c>
      <c r="CZ2297" s="1">
        <v>44320</v>
      </c>
      <c r="DA2297" s="1">
        <v>44320</v>
      </c>
      <c r="DB2297" s="1">
        <v>44320</v>
      </c>
      <c r="DC2297" s="1">
        <v>44320</v>
      </c>
      <c r="DD2297" t="s">
        <v>51</v>
      </c>
      <c r="DF2297" t="s">
        <v>54</v>
      </c>
      <c r="DG2297">
        <v>0</v>
      </c>
      <c r="DH2297">
        <v>0</v>
      </c>
    </row>
    <row r="2298" spans="1:112" x14ac:dyDescent="0.2">
      <c r="A2298" t="s">
        <v>1012</v>
      </c>
      <c r="B2298" t="s">
        <v>1013</v>
      </c>
      <c r="C2298" t="s">
        <v>1052</v>
      </c>
      <c r="D2298" t="s">
        <v>1077</v>
      </c>
      <c r="F2298" t="str">
        <f>"251846"</f>
        <v>251846</v>
      </c>
      <c r="G2298" t="s">
        <v>49</v>
      </c>
      <c r="H2298">
        <v>16</v>
      </c>
      <c r="K2298" t="s">
        <v>51</v>
      </c>
      <c r="L2298" t="s">
        <v>52</v>
      </c>
      <c r="M2298">
        <v>131862.54</v>
      </c>
      <c r="N2298">
        <v>473995.96</v>
      </c>
      <c r="O2298" t="s">
        <v>53</v>
      </c>
      <c r="P2298" t="s">
        <v>54</v>
      </c>
      <c r="Q2298" t="s">
        <v>55</v>
      </c>
      <c r="T2298" t="s">
        <v>100</v>
      </c>
      <c r="U2298">
        <v>40</v>
      </c>
      <c r="V2298" s="1">
        <v>32874</v>
      </c>
      <c r="W2298" s="1">
        <v>32874</v>
      </c>
      <c r="X2298" s="1">
        <v>32874</v>
      </c>
      <c r="Y2298" s="1">
        <v>47484</v>
      </c>
      <c r="Z2298" t="s">
        <v>51</v>
      </c>
      <c r="AB2298" t="s">
        <v>54</v>
      </c>
      <c r="AC2298">
        <v>1</v>
      </c>
      <c r="AE2298" t="s">
        <v>819</v>
      </c>
      <c r="AF2298">
        <v>20</v>
      </c>
      <c r="AG2298" s="1">
        <v>32874</v>
      </c>
      <c r="AH2298" s="1">
        <v>32874</v>
      </c>
      <c r="AI2298" s="1">
        <v>32874</v>
      </c>
      <c r="AJ2298" s="1">
        <v>40179</v>
      </c>
      <c r="AK2298" t="s">
        <v>51</v>
      </c>
      <c r="AN2298">
        <v>0</v>
      </c>
      <c r="AO2298" t="s">
        <v>54</v>
      </c>
      <c r="AP2298" t="s">
        <v>53</v>
      </c>
      <c r="AQ2298">
        <v>0</v>
      </c>
      <c r="AR2298" t="s">
        <v>53</v>
      </c>
      <c r="AS2298">
        <v>0</v>
      </c>
      <c r="AT2298">
        <v>0</v>
      </c>
      <c r="AW2298" t="s">
        <v>161</v>
      </c>
      <c r="AX2298">
        <v>50</v>
      </c>
      <c r="AY2298" s="1">
        <v>32874</v>
      </c>
      <c r="AZ2298" s="1">
        <v>32874</v>
      </c>
      <c r="BA2298" s="1">
        <v>32874</v>
      </c>
      <c r="BB2298" s="1">
        <v>51136</v>
      </c>
      <c r="BC2298" t="s">
        <v>51</v>
      </c>
      <c r="BE2298" t="s">
        <v>54</v>
      </c>
      <c r="BF2298">
        <v>0</v>
      </c>
      <c r="BG2298">
        <v>0</v>
      </c>
      <c r="BH2298" t="s">
        <v>53</v>
      </c>
      <c r="BK2298" t="s">
        <v>720</v>
      </c>
      <c r="BL2298">
        <v>17000</v>
      </c>
      <c r="BM2298" s="1">
        <v>44908</v>
      </c>
      <c r="BN2298" s="1">
        <v>44908</v>
      </c>
      <c r="BO2298" s="1">
        <v>44908</v>
      </c>
      <c r="BP2298" s="1">
        <v>46350</v>
      </c>
      <c r="BQ2298" t="s">
        <v>51</v>
      </c>
      <c r="BS2298" t="s">
        <v>60</v>
      </c>
      <c r="BT2298" t="s">
        <v>54</v>
      </c>
      <c r="BU2298" t="s">
        <v>721</v>
      </c>
      <c r="BV2298" t="s">
        <v>722</v>
      </c>
      <c r="BX2298">
        <v>18</v>
      </c>
      <c r="BY2298">
        <v>0</v>
      </c>
      <c r="BZ2298">
        <v>0</v>
      </c>
      <c r="CX2298" t="s">
        <v>674</v>
      </c>
      <c r="CY2298">
        <v>0</v>
      </c>
      <c r="CZ2298" s="1">
        <v>44320</v>
      </c>
      <c r="DA2298" s="1">
        <v>44320</v>
      </c>
      <c r="DB2298" s="1">
        <v>44320</v>
      </c>
      <c r="DC2298" s="1">
        <v>44320</v>
      </c>
      <c r="DD2298" t="s">
        <v>51</v>
      </c>
      <c r="DF2298" t="s">
        <v>54</v>
      </c>
      <c r="DG2298">
        <v>0</v>
      </c>
      <c r="DH2298">
        <v>0</v>
      </c>
    </row>
    <row r="2299" spans="1:112" x14ac:dyDescent="0.2">
      <c r="A2299" t="s">
        <v>1012</v>
      </c>
      <c r="B2299" t="s">
        <v>1013</v>
      </c>
      <c r="C2299" t="s">
        <v>1052</v>
      </c>
      <c r="D2299" t="s">
        <v>1077</v>
      </c>
      <c r="F2299" t="str">
        <f>"251847"</f>
        <v>251847</v>
      </c>
      <c r="G2299" t="s">
        <v>49</v>
      </c>
      <c r="H2299">
        <v>21</v>
      </c>
      <c r="K2299" t="s">
        <v>51</v>
      </c>
      <c r="L2299" t="s">
        <v>52</v>
      </c>
      <c r="M2299">
        <v>131863.18</v>
      </c>
      <c r="N2299">
        <v>474018.9</v>
      </c>
      <c r="O2299" t="s">
        <v>53</v>
      </c>
      <c r="P2299" t="s">
        <v>54</v>
      </c>
      <c r="Q2299" t="s">
        <v>55</v>
      </c>
      <c r="T2299" t="s">
        <v>100</v>
      </c>
      <c r="U2299">
        <v>40</v>
      </c>
      <c r="V2299" s="1">
        <v>32874</v>
      </c>
      <c r="W2299" s="1">
        <v>32874</v>
      </c>
      <c r="X2299" s="1">
        <v>32874</v>
      </c>
      <c r="Y2299" s="1">
        <v>47484</v>
      </c>
      <c r="Z2299" t="s">
        <v>51</v>
      </c>
      <c r="AB2299" t="s">
        <v>54</v>
      </c>
      <c r="AC2299">
        <v>1</v>
      </c>
      <c r="AE2299" t="s">
        <v>819</v>
      </c>
      <c r="AF2299">
        <v>20</v>
      </c>
      <c r="AG2299" s="1">
        <v>32874</v>
      </c>
      <c r="AH2299" s="1">
        <v>32874</v>
      </c>
      <c r="AI2299" s="1">
        <v>32874</v>
      </c>
      <c r="AJ2299" s="1">
        <v>40179</v>
      </c>
      <c r="AK2299" t="s">
        <v>51</v>
      </c>
      <c r="AN2299">
        <v>0</v>
      </c>
      <c r="AO2299" t="s">
        <v>54</v>
      </c>
      <c r="AP2299" t="s">
        <v>53</v>
      </c>
      <c r="AQ2299">
        <v>0</v>
      </c>
      <c r="AR2299" t="s">
        <v>53</v>
      </c>
      <c r="AS2299">
        <v>0</v>
      </c>
      <c r="AT2299">
        <v>0</v>
      </c>
      <c r="AW2299" t="s">
        <v>161</v>
      </c>
      <c r="AX2299">
        <v>50</v>
      </c>
      <c r="AY2299" s="1">
        <v>32874</v>
      </c>
      <c r="AZ2299" s="1">
        <v>32874</v>
      </c>
      <c r="BA2299" s="1">
        <v>32874</v>
      </c>
      <c r="BB2299" s="1">
        <v>51136</v>
      </c>
      <c r="BC2299" t="s">
        <v>51</v>
      </c>
      <c r="BE2299" t="s">
        <v>54</v>
      </c>
      <c r="BF2299">
        <v>0</v>
      </c>
      <c r="BG2299">
        <v>0</v>
      </c>
      <c r="BH2299" t="s">
        <v>53</v>
      </c>
      <c r="BK2299" t="s">
        <v>720</v>
      </c>
      <c r="BL2299">
        <v>17000</v>
      </c>
      <c r="BM2299" s="1">
        <v>44118</v>
      </c>
      <c r="BN2299" s="1">
        <v>44118</v>
      </c>
      <c r="BO2299" s="1">
        <v>44118</v>
      </c>
      <c r="BP2299" s="1">
        <v>45556</v>
      </c>
      <c r="BQ2299" t="s">
        <v>51</v>
      </c>
      <c r="BS2299" t="s">
        <v>60</v>
      </c>
      <c r="BT2299" t="s">
        <v>54</v>
      </c>
      <c r="BU2299" t="s">
        <v>721</v>
      </c>
      <c r="BV2299" t="s">
        <v>722</v>
      </c>
      <c r="BX2299">
        <v>18</v>
      </c>
      <c r="BY2299">
        <v>0</v>
      </c>
      <c r="BZ2299">
        <v>0</v>
      </c>
      <c r="CX2299" t="s">
        <v>674</v>
      </c>
      <c r="CY2299">
        <v>0</v>
      </c>
      <c r="CZ2299" s="1">
        <v>44320</v>
      </c>
      <c r="DA2299" s="1">
        <v>44320</v>
      </c>
      <c r="DB2299" s="1">
        <v>44320</v>
      </c>
      <c r="DC2299" s="1">
        <v>44320</v>
      </c>
      <c r="DD2299" t="s">
        <v>51</v>
      </c>
      <c r="DF2299" t="s">
        <v>54</v>
      </c>
      <c r="DG2299">
        <v>0</v>
      </c>
      <c r="DH2299">
        <v>0</v>
      </c>
    </row>
    <row r="2300" spans="1:112" x14ac:dyDescent="0.2">
      <c r="A2300" t="s">
        <v>1012</v>
      </c>
      <c r="B2300" t="s">
        <v>1013</v>
      </c>
      <c r="C2300" t="s">
        <v>1052</v>
      </c>
      <c r="D2300" t="s">
        <v>1077</v>
      </c>
      <c r="F2300" t="str">
        <f>"251848"</f>
        <v>251848</v>
      </c>
      <c r="G2300" t="s">
        <v>49</v>
      </c>
      <c r="H2300">
        <v>23</v>
      </c>
      <c r="K2300" t="s">
        <v>51</v>
      </c>
      <c r="L2300" t="s">
        <v>52</v>
      </c>
      <c r="M2300">
        <v>131860.75</v>
      </c>
      <c r="N2300">
        <v>474042.31</v>
      </c>
      <c r="O2300" t="s">
        <v>53</v>
      </c>
      <c r="P2300" t="s">
        <v>54</v>
      </c>
      <c r="Q2300" t="s">
        <v>55</v>
      </c>
      <c r="T2300" t="s">
        <v>100</v>
      </c>
      <c r="U2300">
        <v>40</v>
      </c>
      <c r="V2300" s="1">
        <v>32874</v>
      </c>
      <c r="W2300" s="1">
        <v>32874</v>
      </c>
      <c r="X2300" s="1">
        <v>32874</v>
      </c>
      <c r="Y2300" s="1">
        <v>47484</v>
      </c>
      <c r="Z2300" t="s">
        <v>51</v>
      </c>
      <c r="AB2300" t="s">
        <v>54</v>
      </c>
      <c r="AC2300">
        <v>1</v>
      </c>
      <c r="AE2300" t="s">
        <v>819</v>
      </c>
      <c r="AF2300">
        <v>20</v>
      </c>
      <c r="AG2300" s="1">
        <v>32874</v>
      </c>
      <c r="AH2300" s="1">
        <v>32874</v>
      </c>
      <c r="AI2300" s="1">
        <v>32874</v>
      </c>
      <c r="AJ2300" s="1">
        <v>40179</v>
      </c>
      <c r="AK2300" t="s">
        <v>51</v>
      </c>
      <c r="AN2300">
        <v>0</v>
      </c>
      <c r="AO2300" t="s">
        <v>54</v>
      </c>
      <c r="AP2300" t="s">
        <v>53</v>
      </c>
      <c r="AQ2300">
        <v>0</v>
      </c>
      <c r="AR2300" t="s">
        <v>53</v>
      </c>
      <c r="AS2300">
        <v>0</v>
      </c>
      <c r="AT2300">
        <v>0</v>
      </c>
      <c r="AW2300" t="s">
        <v>161</v>
      </c>
      <c r="AX2300">
        <v>50</v>
      </c>
      <c r="AY2300" s="1">
        <v>32874</v>
      </c>
      <c r="AZ2300" s="1">
        <v>32874</v>
      </c>
      <c r="BA2300" s="1">
        <v>32874</v>
      </c>
      <c r="BB2300" s="1">
        <v>51136</v>
      </c>
      <c r="BC2300" t="s">
        <v>51</v>
      </c>
      <c r="BE2300" t="s">
        <v>54</v>
      </c>
      <c r="BF2300">
        <v>0</v>
      </c>
      <c r="BG2300">
        <v>0</v>
      </c>
      <c r="BH2300" t="s">
        <v>53</v>
      </c>
      <c r="BK2300" t="s">
        <v>720</v>
      </c>
      <c r="BL2300">
        <v>17000</v>
      </c>
      <c r="BM2300" s="1">
        <v>44118</v>
      </c>
      <c r="BN2300" s="1">
        <v>44118</v>
      </c>
      <c r="BO2300" s="1">
        <v>44118</v>
      </c>
      <c r="BP2300" s="1">
        <v>45556</v>
      </c>
      <c r="BQ2300" t="s">
        <v>51</v>
      </c>
      <c r="BS2300" t="s">
        <v>60</v>
      </c>
      <c r="BT2300" t="s">
        <v>54</v>
      </c>
      <c r="BU2300" t="s">
        <v>721</v>
      </c>
      <c r="BV2300" t="s">
        <v>722</v>
      </c>
      <c r="BX2300">
        <v>18</v>
      </c>
      <c r="BY2300">
        <v>0</v>
      </c>
      <c r="BZ2300">
        <v>0</v>
      </c>
      <c r="CX2300" t="s">
        <v>674</v>
      </c>
      <c r="CY2300">
        <v>0</v>
      </c>
      <c r="CZ2300" s="1">
        <v>44320</v>
      </c>
      <c r="DA2300" s="1">
        <v>44320</v>
      </c>
      <c r="DB2300" s="1">
        <v>44320</v>
      </c>
      <c r="DC2300" s="1">
        <v>44320</v>
      </c>
      <c r="DD2300" t="s">
        <v>51</v>
      </c>
      <c r="DF2300" t="s">
        <v>54</v>
      </c>
      <c r="DG2300">
        <v>0</v>
      </c>
      <c r="DH2300">
        <v>0</v>
      </c>
    </row>
    <row r="2301" spans="1:112" x14ac:dyDescent="0.2">
      <c r="A2301" t="s">
        <v>1012</v>
      </c>
      <c r="B2301" t="s">
        <v>1013</v>
      </c>
      <c r="C2301" t="s">
        <v>1052</v>
      </c>
      <c r="D2301" t="s">
        <v>1077</v>
      </c>
      <c r="F2301" t="str">
        <f>"251849"</f>
        <v>251849</v>
      </c>
      <c r="G2301" t="s">
        <v>49</v>
      </c>
      <c r="H2301">
        <v>27</v>
      </c>
      <c r="K2301" t="s">
        <v>51</v>
      </c>
      <c r="L2301" t="s">
        <v>52</v>
      </c>
      <c r="M2301">
        <v>131857.21</v>
      </c>
      <c r="N2301">
        <v>474062.97</v>
      </c>
      <c r="O2301" t="s">
        <v>53</v>
      </c>
      <c r="P2301" t="s">
        <v>54</v>
      </c>
      <c r="Q2301" t="s">
        <v>55</v>
      </c>
      <c r="T2301" t="s">
        <v>100</v>
      </c>
      <c r="U2301">
        <v>40</v>
      </c>
      <c r="V2301" s="1">
        <v>32874</v>
      </c>
      <c r="W2301" s="1">
        <v>32874</v>
      </c>
      <c r="X2301" s="1">
        <v>32874</v>
      </c>
      <c r="Y2301" s="1">
        <v>47484</v>
      </c>
      <c r="Z2301" t="s">
        <v>51</v>
      </c>
      <c r="AB2301" t="s">
        <v>54</v>
      </c>
      <c r="AC2301">
        <v>1</v>
      </c>
      <c r="AE2301" t="s">
        <v>819</v>
      </c>
      <c r="AF2301">
        <v>20</v>
      </c>
      <c r="AG2301" s="1">
        <v>32874</v>
      </c>
      <c r="AH2301" s="1">
        <v>32874</v>
      </c>
      <c r="AI2301" s="1">
        <v>32874</v>
      </c>
      <c r="AJ2301" s="1">
        <v>40179</v>
      </c>
      <c r="AK2301" t="s">
        <v>51</v>
      </c>
      <c r="AN2301">
        <v>0</v>
      </c>
      <c r="AO2301" t="s">
        <v>54</v>
      </c>
      <c r="AP2301" t="s">
        <v>53</v>
      </c>
      <c r="AQ2301">
        <v>0</v>
      </c>
      <c r="AR2301" t="s">
        <v>53</v>
      </c>
      <c r="AS2301">
        <v>0</v>
      </c>
      <c r="AT2301">
        <v>0</v>
      </c>
      <c r="AW2301" t="s">
        <v>161</v>
      </c>
      <c r="AX2301">
        <v>50</v>
      </c>
      <c r="AY2301" s="1">
        <v>32874</v>
      </c>
      <c r="AZ2301" s="1">
        <v>32874</v>
      </c>
      <c r="BA2301" s="1">
        <v>32874</v>
      </c>
      <c r="BB2301" s="1">
        <v>51136</v>
      </c>
      <c r="BC2301" t="s">
        <v>51</v>
      </c>
      <c r="BE2301" t="s">
        <v>54</v>
      </c>
      <c r="BF2301">
        <v>0</v>
      </c>
      <c r="BG2301">
        <v>0</v>
      </c>
      <c r="BH2301" t="s">
        <v>53</v>
      </c>
      <c r="BK2301" t="s">
        <v>720</v>
      </c>
      <c r="BL2301">
        <v>17000</v>
      </c>
      <c r="BM2301" s="1">
        <v>44844</v>
      </c>
      <c r="BN2301" s="1">
        <v>44844</v>
      </c>
      <c r="BO2301" s="1">
        <v>44844</v>
      </c>
      <c r="BP2301" s="1">
        <v>46282</v>
      </c>
      <c r="BQ2301" t="s">
        <v>51</v>
      </c>
      <c r="BS2301" t="s">
        <v>60</v>
      </c>
      <c r="BT2301" t="s">
        <v>54</v>
      </c>
      <c r="BU2301" t="s">
        <v>721</v>
      </c>
      <c r="BV2301" t="s">
        <v>722</v>
      </c>
      <c r="BX2301">
        <v>18</v>
      </c>
      <c r="BY2301">
        <v>0</v>
      </c>
      <c r="BZ2301">
        <v>0</v>
      </c>
      <c r="CX2301" t="s">
        <v>674</v>
      </c>
      <c r="CY2301">
        <v>0</v>
      </c>
      <c r="CZ2301" s="1">
        <v>44320</v>
      </c>
      <c r="DA2301" s="1">
        <v>44320</v>
      </c>
      <c r="DB2301" s="1">
        <v>44320</v>
      </c>
      <c r="DC2301" s="1">
        <v>44320</v>
      </c>
      <c r="DD2301" t="s">
        <v>51</v>
      </c>
      <c r="DF2301" t="s">
        <v>54</v>
      </c>
      <c r="DG2301">
        <v>0</v>
      </c>
      <c r="DH2301">
        <v>0</v>
      </c>
    </row>
    <row r="2302" spans="1:112" x14ac:dyDescent="0.2">
      <c r="A2302" t="s">
        <v>1012</v>
      </c>
      <c r="B2302" t="s">
        <v>1013</v>
      </c>
      <c r="C2302" t="s">
        <v>1052</v>
      </c>
      <c r="D2302" t="s">
        <v>1077</v>
      </c>
      <c r="F2302" t="str">
        <f>"251850"</f>
        <v>251850</v>
      </c>
      <c r="G2302" t="s">
        <v>49</v>
      </c>
      <c r="K2302" t="s">
        <v>51</v>
      </c>
      <c r="L2302" t="s">
        <v>52</v>
      </c>
      <c r="M2302">
        <v>131838.93</v>
      </c>
      <c r="N2302">
        <v>474019.67</v>
      </c>
      <c r="O2302" t="s">
        <v>53</v>
      </c>
      <c r="P2302" t="s">
        <v>54</v>
      </c>
      <c r="Q2302" t="s">
        <v>55</v>
      </c>
      <c r="T2302" t="s">
        <v>100</v>
      </c>
      <c r="U2302">
        <v>40</v>
      </c>
      <c r="V2302" s="1">
        <v>32874</v>
      </c>
      <c r="W2302" s="1">
        <v>32874</v>
      </c>
      <c r="X2302" s="1">
        <v>32874</v>
      </c>
      <c r="Y2302" s="1">
        <v>47484</v>
      </c>
      <c r="Z2302" t="s">
        <v>51</v>
      </c>
      <c r="AB2302" t="s">
        <v>54</v>
      </c>
      <c r="AC2302">
        <v>1</v>
      </c>
      <c r="AE2302" t="s">
        <v>819</v>
      </c>
      <c r="AF2302">
        <v>20</v>
      </c>
      <c r="AG2302" s="1">
        <v>32874</v>
      </c>
      <c r="AH2302" s="1">
        <v>32874</v>
      </c>
      <c r="AI2302" s="1">
        <v>32874</v>
      </c>
      <c r="AJ2302" s="1">
        <v>40179</v>
      </c>
      <c r="AK2302" t="s">
        <v>51</v>
      </c>
      <c r="AN2302">
        <v>0</v>
      </c>
      <c r="AO2302" t="s">
        <v>54</v>
      </c>
      <c r="AP2302" t="s">
        <v>53</v>
      </c>
      <c r="AQ2302">
        <v>0</v>
      </c>
      <c r="AR2302" t="s">
        <v>53</v>
      </c>
      <c r="AS2302">
        <v>0</v>
      </c>
      <c r="AT2302">
        <v>0</v>
      </c>
      <c r="AW2302" t="s">
        <v>161</v>
      </c>
      <c r="AX2302">
        <v>50</v>
      </c>
      <c r="AY2302" s="1">
        <v>32874</v>
      </c>
      <c r="AZ2302" s="1">
        <v>32874</v>
      </c>
      <c r="BA2302" s="1">
        <v>32874</v>
      </c>
      <c r="BB2302" s="1">
        <v>51136</v>
      </c>
      <c r="BC2302" t="s">
        <v>51</v>
      </c>
      <c r="BE2302" t="s">
        <v>54</v>
      </c>
      <c r="BF2302">
        <v>0</v>
      </c>
      <c r="BG2302">
        <v>0</v>
      </c>
      <c r="BH2302" t="s">
        <v>53</v>
      </c>
      <c r="BK2302" t="s">
        <v>720</v>
      </c>
      <c r="BL2302">
        <v>17000</v>
      </c>
      <c r="BM2302" s="1">
        <v>44123</v>
      </c>
      <c r="BN2302" s="1">
        <v>44123</v>
      </c>
      <c r="BO2302" s="1">
        <v>44123</v>
      </c>
      <c r="BP2302" s="1">
        <v>45562</v>
      </c>
      <c r="BQ2302" t="s">
        <v>51</v>
      </c>
      <c r="BS2302" t="s">
        <v>60</v>
      </c>
      <c r="BT2302" t="s">
        <v>54</v>
      </c>
      <c r="BU2302" t="s">
        <v>721</v>
      </c>
      <c r="BV2302" t="s">
        <v>722</v>
      </c>
      <c r="BX2302">
        <v>18</v>
      </c>
      <c r="BY2302">
        <v>0</v>
      </c>
      <c r="BZ2302">
        <v>0</v>
      </c>
      <c r="CX2302" t="s">
        <v>674</v>
      </c>
      <c r="CY2302">
        <v>0</v>
      </c>
      <c r="CZ2302" s="1">
        <v>44320</v>
      </c>
      <c r="DA2302" s="1">
        <v>44320</v>
      </c>
      <c r="DB2302" s="1">
        <v>44320</v>
      </c>
      <c r="DC2302" s="1">
        <v>44320</v>
      </c>
      <c r="DD2302" t="s">
        <v>51</v>
      </c>
      <c r="DF2302" t="s">
        <v>54</v>
      </c>
      <c r="DG2302">
        <v>0</v>
      </c>
      <c r="DH2302">
        <v>0</v>
      </c>
    </row>
    <row r="2303" spans="1:112" x14ac:dyDescent="0.2">
      <c r="A2303" t="s">
        <v>1012</v>
      </c>
      <c r="B2303" t="s">
        <v>1013</v>
      </c>
      <c r="C2303" t="s">
        <v>1019</v>
      </c>
      <c r="D2303" t="s">
        <v>1077</v>
      </c>
      <c r="F2303" t="str">
        <f>"251851"</f>
        <v>251851</v>
      </c>
      <c r="G2303" t="s">
        <v>49</v>
      </c>
      <c r="H2303">
        <v>17</v>
      </c>
      <c r="K2303" t="s">
        <v>51</v>
      </c>
      <c r="L2303" t="s">
        <v>52</v>
      </c>
      <c r="M2303">
        <v>131815.59</v>
      </c>
      <c r="N2303">
        <v>474017.44</v>
      </c>
      <c r="O2303" t="s">
        <v>53</v>
      </c>
      <c r="P2303" t="s">
        <v>54</v>
      </c>
      <c r="Q2303" t="s">
        <v>55</v>
      </c>
      <c r="T2303" t="s">
        <v>100</v>
      </c>
      <c r="U2303">
        <v>40</v>
      </c>
      <c r="V2303" s="1">
        <v>32874</v>
      </c>
      <c r="W2303" s="1">
        <v>32874</v>
      </c>
      <c r="X2303" s="1">
        <v>32874</v>
      </c>
      <c r="Y2303" s="1">
        <v>47484</v>
      </c>
      <c r="Z2303" t="s">
        <v>51</v>
      </c>
      <c r="AB2303" t="s">
        <v>54</v>
      </c>
      <c r="AC2303">
        <v>1</v>
      </c>
      <c r="AE2303" t="s">
        <v>819</v>
      </c>
      <c r="AF2303">
        <v>20</v>
      </c>
      <c r="AG2303" s="1">
        <v>32874</v>
      </c>
      <c r="AH2303" s="1">
        <v>32874</v>
      </c>
      <c r="AI2303" s="1">
        <v>32874</v>
      </c>
      <c r="AJ2303" s="1">
        <v>40179</v>
      </c>
      <c r="AK2303" t="s">
        <v>51</v>
      </c>
      <c r="AN2303">
        <v>0</v>
      </c>
      <c r="AO2303" t="s">
        <v>54</v>
      </c>
      <c r="AP2303" t="s">
        <v>53</v>
      </c>
      <c r="AQ2303">
        <v>0</v>
      </c>
      <c r="AR2303" t="s">
        <v>53</v>
      </c>
      <c r="AS2303">
        <v>0</v>
      </c>
      <c r="AT2303">
        <v>0</v>
      </c>
      <c r="AW2303" t="s">
        <v>161</v>
      </c>
      <c r="AX2303">
        <v>50</v>
      </c>
      <c r="AY2303" s="1">
        <v>32874</v>
      </c>
      <c r="AZ2303" s="1">
        <v>32874</v>
      </c>
      <c r="BA2303" s="1">
        <v>32874</v>
      </c>
      <c r="BB2303" s="1">
        <v>51136</v>
      </c>
      <c r="BC2303" t="s">
        <v>51</v>
      </c>
      <c r="BE2303" t="s">
        <v>54</v>
      </c>
      <c r="BF2303">
        <v>0</v>
      </c>
      <c r="BG2303">
        <v>0</v>
      </c>
      <c r="BH2303" t="s">
        <v>53</v>
      </c>
      <c r="BK2303" t="s">
        <v>720</v>
      </c>
      <c r="BL2303">
        <v>17000</v>
      </c>
      <c r="BM2303" s="1">
        <v>44118</v>
      </c>
      <c r="BN2303" s="1">
        <v>44118</v>
      </c>
      <c r="BO2303" s="1">
        <v>44118</v>
      </c>
      <c r="BP2303" s="1">
        <v>45556</v>
      </c>
      <c r="BQ2303" t="s">
        <v>51</v>
      </c>
      <c r="BS2303" t="s">
        <v>60</v>
      </c>
      <c r="BT2303" t="s">
        <v>54</v>
      </c>
      <c r="BU2303" t="s">
        <v>721</v>
      </c>
      <c r="BV2303" t="s">
        <v>722</v>
      </c>
      <c r="BX2303">
        <v>18</v>
      </c>
      <c r="BY2303">
        <v>0</v>
      </c>
      <c r="BZ2303">
        <v>0</v>
      </c>
      <c r="CX2303" t="s">
        <v>674</v>
      </c>
      <c r="CY2303">
        <v>0</v>
      </c>
      <c r="CZ2303" s="1">
        <v>44320</v>
      </c>
      <c r="DA2303" s="1">
        <v>44320</v>
      </c>
      <c r="DB2303" s="1">
        <v>44320</v>
      </c>
      <c r="DC2303" s="1">
        <v>44320</v>
      </c>
      <c r="DD2303" t="s">
        <v>51</v>
      </c>
      <c r="DF2303" t="s">
        <v>54</v>
      </c>
      <c r="DG2303">
        <v>0</v>
      </c>
      <c r="DH2303">
        <v>0</v>
      </c>
    </row>
    <row r="2304" spans="1:112" x14ac:dyDescent="0.2">
      <c r="A2304" t="s">
        <v>1012</v>
      </c>
      <c r="B2304" t="s">
        <v>1013</v>
      </c>
      <c r="C2304" t="s">
        <v>1019</v>
      </c>
      <c r="D2304" t="s">
        <v>1077</v>
      </c>
      <c r="F2304" t="str">
        <f>"251852"</f>
        <v>251852</v>
      </c>
      <c r="G2304" t="s">
        <v>49</v>
      </c>
      <c r="H2304">
        <v>11</v>
      </c>
      <c r="K2304" t="s">
        <v>51</v>
      </c>
      <c r="L2304" t="s">
        <v>52</v>
      </c>
      <c r="M2304">
        <v>131801.87599999999</v>
      </c>
      <c r="N2304">
        <v>473998.65600000002</v>
      </c>
      <c r="O2304" t="s">
        <v>53</v>
      </c>
      <c r="P2304" t="s">
        <v>54</v>
      </c>
      <c r="Q2304" t="s">
        <v>55</v>
      </c>
      <c r="T2304" t="s">
        <v>100</v>
      </c>
      <c r="U2304">
        <v>40</v>
      </c>
      <c r="V2304" s="1">
        <v>32874</v>
      </c>
      <c r="W2304" s="1">
        <v>32874</v>
      </c>
      <c r="X2304" s="1">
        <v>32874</v>
      </c>
      <c r="Y2304" s="1">
        <v>47484</v>
      </c>
      <c r="Z2304" t="s">
        <v>51</v>
      </c>
      <c r="AB2304" t="s">
        <v>54</v>
      </c>
      <c r="AC2304">
        <v>1</v>
      </c>
      <c r="AE2304" t="s">
        <v>819</v>
      </c>
      <c r="AF2304">
        <v>20</v>
      </c>
      <c r="AG2304" s="1">
        <v>32874</v>
      </c>
      <c r="AH2304" s="1">
        <v>32874</v>
      </c>
      <c r="AI2304" s="1">
        <v>32874</v>
      </c>
      <c r="AJ2304" s="1">
        <v>40179</v>
      </c>
      <c r="AK2304" t="s">
        <v>51</v>
      </c>
      <c r="AN2304">
        <v>0</v>
      </c>
      <c r="AO2304" t="s">
        <v>54</v>
      </c>
      <c r="AP2304" t="s">
        <v>53</v>
      </c>
      <c r="AQ2304">
        <v>0</v>
      </c>
      <c r="AR2304" t="s">
        <v>53</v>
      </c>
      <c r="AS2304">
        <v>0</v>
      </c>
      <c r="AT2304">
        <v>0</v>
      </c>
      <c r="AW2304" t="s">
        <v>161</v>
      </c>
      <c r="AX2304">
        <v>50</v>
      </c>
      <c r="AY2304" s="1">
        <v>32874</v>
      </c>
      <c r="AZ2304" s="1">
        <v>32874</v>
      </c>
      <c r="BA2304" s="1">
        <v>32874</v>
      </c>
      <c r="BB2304" s="1">
        <v>51136</v>
      </c>
      <c r="BC2304" t="s">
        <v>51</v>
      </c>
      <c r="BE2304" t="s">
        <v>54</v>
      </c>
      <c r="BF2304">
        <v>0</v>
      </c>
      <c r="BG2304">
        <v>0</v>
      </c>
      <c r="BH2304" t="s">
        <v>53</v>
      </c>
      <c r="BK2304" t="s">
        <v>720</v>
      </c>
      <c r="BL2304">
        <v>17000</v>
      </c>
      <c r="BM2304" s="1">
        <v>44504</v>
      </c>
      <c r="BN2304" s="1">
        <v>44504</v>
      </c>
      <c r="BO2304" s="1">
        <v>44504</v>
      </c>
      <c r="BP2304" s="1">
        <v>45945</v>
      </c>
      <c r="BQ2304" t="s">
        <v>51</v>
      </c>
      <c r="BS2304" t="s">
        <v>60</v>
      </c>
      <c r="BT2304" t="s">
        <v>54</v>
      </c>
      <c r="BU2304" t="s">
        <v>721</v>
      </c>
      <c r="BV2304" t="s">
        <v>722</v>
      </c>
      <c r="BX2304">
        <v>18</v>
      </c>
      <c r="BY2304">
        <v>0</v>
      </c>
      <c r="BZ2304">
        <v>0</v>
      </c>
      <c r="CX2304" t="s">
        <v>674</v>
      </c>
      <c r="CY2304">
        <v>0</v>
      </c>
      <c r="CZ2304" s="1">
        <v>44320</v>
      </c>
      <c r="DA2304" s="1">
        <v>44320</v>
      </c>
      <c r="DB2304" s="1">
        <v>44320</v>
      </c>
      <c r="DC2304" s="1">
        <v>44320</v>
      </c>
      <c r="DD2304" t="s">
        <v>51</v>
      </c>
      <c r="DF2304" t="s">
        <v>54</v>
      </c>
      <c r="DG2304">
        <v>0</v>
      </c>
      <c r="DH2304">
        <v>0</v>
      </c>
    </row>
    <row r="2305" spans="1:112" x14ac:dyDescent="0.2">
      <c r="A2305" t="s">
        <v>1012</v>
      </c>
      <c r="B2305" t="s">
        <v>1013</v>
      </c>
      <c r="C2305" t="s">
        <v>1019</v>
      </c>
      <c r="D2305" t="s">
        <v>1077</v>
      </c>
      <c r="F2305" t="str">
        <f>"251853"</f>
        <v>251853</v>
      </c>
      <c r="G2305" t="s">
        <v>49</v>
      </c>
      <c r="K2305" t="s">
        <v>51</v>
      </c>
      <c r="L2305" t="s">
        <v>52</v>
      </c>
      <c r="M2305">
        <v>131798.46299999999</v>
      </c>
      <c r="N2305">
        <v>473979.44500000001</v>
      </c>
      <c r="O2305" t="s">
        <v>53</v>
      </c>
      <c r="P2305" t="s">
        <v>54</v>
      </c>
      <c r="Q2305" t="s">
        <v>55</v>
      </c>
      <c r="T2305" t="s">
        <v>100</v>
      </c>
      <c r="U2305">
        <v>40</v>
      </c>
      <c r="V2305" s="1">
        <v>32874</v>
      </c>
      <c r="W2305" s="1">
        <v>32874</v>
      </c>
      <c r="X2305" s="1">
        <v>32874</v>
      </c>
      <c r="Y2305" s="1">
        <v>47484</v>
      </c>
      <c r="Z2305" t="s">
        <v>51</v>
      </c>
      <c r="AB2305" t="s">
        <v>54</v>
      </c>
      <c r="AC2305">
        <v>1</v>
      </c>
      <c r="AE2305" t="s">
        <v>819</v>
      </c>
      <c r="AF2305">
        <v>20</v>
      </c>
      <c r="AG2305" s="1">
        <v>32874</v>
      </c>
      <c r="AH2305" s="1">
        <v>32874</v>
      </c>
      <c r="AI2305" s="1">
        <v>32874</v>
      </c>
      <c r="AJ2305" s="1">
        <v>40179</v>
      </c>
      <c r="AK2305" t="s">
        <v>51</v>
      </c>
      <c r="AN2305">
        <v>0</v>
      </c>
      <c r="AO2305" t="s">
        <v>54</v>
      </c>
      <c r="AP2305" t="s">
        <v>53</v>
      </c>
      <c r="AQ2305">
        <v>0</v>
      </c>
      <c r="AR2305" t="s">
        <v>53</v>
      </c>
      <c r="AS2305">
        <v>0</v>
      </c>
      <c r="AT2305">
        <v>0</v>
      </c>
      <c r="AW2305" t="s">
        <v>161</v>
      </c>
      <c r="AX2305">
        <v>50</v>
      </c>
      <c r="AY2305" s="1">
        <v>32874</v>
      </c>
      <c r="AZ2305" s="1">
        <v>32874</v>
      </c>
      <c r="BA2305" s="1">
        <v>32874</v>
      </c>
      <c r="BB2305" s="1">
        <v>51136</v>
      </c>
      <c r="BC2305" t="s">
        <v>51</v>
      </c>
      <c r="BE2305" t="s">
        <v>54</v>
      </c>
      <c r="BF2305">
        <v>0</v>
      </c>
      <c r="BG2305">
        <v>0</v>
      </c>
      <c r="BH2305" t="s">
        <v>53</v>
      </c>
      <c r="BK2305" t="s">
        <v>720</v>
      </c>
      <c r="BL2305">
        <v>17000</v>
      </c>
      <c r="BM2305" s="1">
        <v>44118</v>
      </c>
      <c r="BN2305" s="1">
        <v>44118</v>
      </c>
      <c r="BO2305" s="1">
        <v>44118</v>
      </c>
      <c r="BP2305" s="1">
        <v>45556</v>
      </c>
      <c r="BQ2305" t="s">
        <v>51</v>
      </c>
      <c r="BS2305" t="s">
        <v>60</v>
      </c>
      <c r="BT2305" t="s">
        <v>54</v>
      </c>
      <c r="BU2305" t="s">
        <v>721</v>
      </c>
      <c r="BV2305" t="s">
        <v>722</v>
      </c>
      <c r="BX2305">
        <v>18</v>
      </c>
      <c r="BY2305">
        <v>0</v>
      </c>
      <c r="BZ2305">
        <v>0</v>
      </c>
      <c r="CX2305" t="s">
        <v>674</v>
      </c>
      <c r="CY2305">
        <v>0</v>
      </c>
      <c r="CZ2305" s="1">
        <v>44320</v>
      </c>
      <c r="DA2305" s="1">
        <v>44320</v>
      </c>
      <c r="DB2305" s="1">
        <v>44320</v>
      </c>
      <c r="DC2305" s="1">
        <v>44320</v>
      </c>
      <c r="DD2305" t="s">
        <v>51</v>
      </c>
      <c r="DF2305" t="s">
        <v>54</v>
      </c>
      <c r="DG2305">
        <v>0</v>
      </c>
      <c r="DH2305">
        <v>0</v>
      </c>
    </row>
    <row r="2306" spans="1:112" x14ac:dyDescent="0.2">
      <c r="A2306" t="s">
        <v>1012</v>
      </c>
      <c r="B2306" t="s">
        <v>1013</v>
      </c>
      <c r="C2306" t="s">
        <v>1019</v>
      </c>
      <c r="D2306" t="s">
        <v>1077</v>
      </c>
      <c r="F2306" t="str">
        <f>"251854"</f>
        <v>251854</v>
      </c>
      <c r="G2306" t="s">
        <v>49</v>
      </c>
      <c r="K2306" t="s">
        <v>51</v>
      </c>
      <c r="L2306" t="s">
        <v>52</v>
      </c>
      <c r="M2306">
        <v>131794.139</v>
      </c>
      <c r="N2306">
        <v>473954.58100000001</v>
      </c>
      <c r="O2306" t="s">
        <v>53</v>
      </c>
      <c r="P2306" t="s">
        <v>54</v>
      </c>
      <c r="Q2306" t="s">
        <v>55</v>
      </c>
      <c r="T2306" t="s">
        <v>100</v>
      </c>
      <c r="U2306">
        <v>40</v>
      </c>
      <c r="V2306" s="1">
        <v>32874</v>
      </c>
      <c r="W2306" s="1">
        <v>32874</v>
      </c>
      <c r="X2306" s="1">
        <v>32874</v>
      </c>
      <c r="Y2306" s="1">
        <v>47484</v>
      </c>
      <c r="Z2306" t="s">
        <v>51</v>
      </c>
      <c r="AB2306" t="s">
        <v>54</v>
      </c>
      <c r="AC2306">
        <v>1</v>
      </c>
      <c r="AE2306" t="s">
        <v>819</v>
      </c>
      <c r="AF2306">
        <v>20</v>
      </c>
      <c r="AG2306" s="1">
        <v>32874</v>
      </c>
      <c r="AH2306" s="1">
        <v>32874</v>
      </c>
      <c r="AI2306" s="1">
        <v>32874</v>
      </c>
      <c r="AJ2306" s="1">
        <v>40179</v>
      </c>
      <c r="AK2306" t="s">
        <v>51</v>
      </c>
      <c r="AN2306">
        <v>0</v>
      </c>
      <c r="AO2306" t="s">
        <v>54</v>
      </c>
      <c r="AP2306" t="s">
        <v>53</v>
      </c>
      <c r="AQ2306">
        <v>0</v>
      </c>
      <c r="AR2306" t="s">
        <v>53</v>
      </c>
      <c r="AS2306">
        <v>0</v>
      </c>
      <c r="AT2306">
        <v>0</v>
      </c>
      <c r="AW2306" t="s">
        <v>161</v>
      </c>
      <c r="AX2306">
        <v>50</v>
      </c>
      <c r="AY2306" s="1">
        <v>32874</v>
      </c>
      <c r="AZ2306" s="1">
        <v>32874</v>
      </c>
      <c r="BA2306" s="1">
        <v>32874</v>
      </c>
      <c r="BB2306" s="1">
        <v>51136</v>
      </c>
      <c r="BC2306" t="s">
        <v>51</v>
      </c>
      <c r="BE2306" t="s">
        <v>54</v>
      </c>
      <c r="BF2306">
        <v>0</v>
      </c>
      <c r="BG2306">
        <v>0</v>
      </c>
      <c r="BH2306" t="s">
        <v>53</v>
      </c>
      <c r="BK2306" t="s">
        <v>720</v>
      </c>
      <c r="BL2306">
        <v>17000</v>
      </c>
      <c r="BM2306" s="1">
        <v>44312</v>
      </c>
      <c r="BN2306" s="1">
        <v>44312</v>
      </c>
      <c r="BO2306" s="1">
        <v>44312</v>
      </c>
      <c r="BP2306" s="1">
        <v>45744</v>
      </c>
      <c r="BQ2306" t="s">
        <v>51</v>
      </c>
      <c r="BS2306" t="s">
        <v>60</v>
      </c>
      <c r="BT2306" t="s">
        <v>54</v>
      </c>
      <c r="BU2306" t="s">
        <v>721</v>
      </c>
      <c r="BV2306" t="s">
        <v>722</v>
      </c>
      <c r="BX2306">
        <v>18</v>
      </c>
      <c r="BY2306">
        <v>0</v>
      </c>
      <c r="BZ2306">
        <v>0</v>
      </c>
      <c r="CX2306" t="s">
        <v>674</v>
      </c>
      <c r="CY2306">
        <v>0</v>
      </c>
      <c r="CZ2306" s="1">
        <v>44320</v>
      </c>
      <c r="DA2306" s="1">
        <v>44320</v>
      </c>
      <c r="DB2306" s="1">
        <v>44320</v>
      </c>
      <c r="DC2306" s="1">
        <v>44320</v>
      </c>
      <c r="DD2306" t="s">
        <v>51</v>
      </c>
      <c r="DF2306" t="s">
        <v>54</v>
      </c>
      <c r="DG2306">
        <v>0</v>
      </c>
      <c r="DH2306">
        <v>0</v>
      </c>
    </row>
    <row r="2307" spans="1:112" x14ac:dyDescent="0.2">
      <c r="A2307" t="s">
        <v>1012</v>
      </c>
      <c r="B2307" t="s">
        <v>1013</v>
      </c>
      <c r="C2307" t="s">
        <v>1019</v>
      </c>
      <c r="D2307" t="s">
        <v>1077</v>
      </c>
      <c r="F2307" t="str">
        <f>"251855"</f>
        <v>251855</v>
      </c>
      <c r="G2307" t="s">
        <v>49</v>
      </c>
      <c r="H2307">
        <v>3</v>
      </c>
      <c r="K2307" t="s">
        <v>51</v>
      </c>
      <c r="L2307" t="s">
        <v>52</v>
      </c>
      <c r="M2307">
        <v>131781.78</v>
      </c>
      <c r="N2307">
        <v>473938.88</v>
      </c>
      <c r="O2307" t="s">
        <v>53</v>
      </c>
      <c r="P2307" t="s">
        <v>54</v>
      </c>
      <c r="Q2307" t="s">
        <v>55</v>
      </c>
      <c r="T2307" t="s">
        <v>100</v>
      </c>
      <c r="U2307">
        <v>40</v>
      </c>
      <c r="V2307" s="1">
        <v>32874</v>
      </c>
      <c r="W2307" s="1">
        <v>32874</v>
      </c>
      <c r="X2307" s="1">
        <v>32874</v>
      </c>
      <c r="Y2307" s="1">
        <v>47484</v>
      </c>
      <c r="Z2307" t="s">
        <v>51</v>
      </c>
      <c r="AB2307" t="s">
        <v>54</v>
      </c>
      <c r="AC2307">
        <v>1</v>
      </c>
      <c r="AE2307" t="s">
        <v>819</v>
      </c>
      <c r="AF2307">
        <v>20</v>
      </c>
      <c r="AG2307" s="1">
        <v>32874</v>
      </c>
      <c r="AH2307" s="1">
        <v>32874</v>
      </c>
      <c r="AI2307" s="1">
        <v>32874</v>
      </c>
      <c r="AJ2307" s="1">
        <v>40179</v>
      </c>
      <c r="AK2307" t="s">
        <v>51</v>
      </c>
      <c r="AN2307">
        <v>0</v>
      </c>
      <c r="AO2307" t="s">
        <v>54</v>
      </c>
      <c r="AP2307" t="s">
        <v>53</v>
      </c>
      <c r="AQ2307">
        <v>0</v>
      </c>
      <c r="AR2307" t="s">
        <v>53</v>
      </c>
      <c r="AS2307">
        <v>0</v>
      </c>
      <c r="AT2307">
        <v>0</v>
      </c>
      <c r="AW2307" t="s">
        <v>161</v>
      </c>
      <c r="AX2307">
        <v>50</v>
      </c>
      <c r="AY2307" s="1">
        <v>32874</v>
      </c>
      <c r="AZ2307" s="1">
        <v>32874</v>
      </c>
      <c r="BA2307" s="1">
        <v>32874</v>
      </c>
      <c r="BB2307" s="1">
        <v>51136</v>
      </c>
      <c r="BC2307" t="s">
        <v>51</v>
      </c>
      <c r="BE2307" t="s">
        <v>54</v>
      </c>
      <c r="BF2307">
        <v>0</v>
      </c>
      <c r="BG2307">
        <v>0</v>
      </c>
      <c r="BH2307" t="s">
        <v>53</v>
      </c>
      <c r="BK2307" t="s">
        <v>720</v>
      </c>
      <c r="BL2307">
        <v>17000</v>
      </c>
      <c r="BM2307" s="1">
        <v>44221</v>
      </c>
      <c r="BN2307" s="1">
        <v>44221</v>
      </c>
      <c r="BO2307" s="1">
        <v>44221</v>
      </c>
      <c r="BP2307" s="1">
        <v>45664</v>
      </c>
      <c r="BQ2307" t="s">
        <v>51</v>
      </c>
      <c r="BS2307" t="s">
        <v>60</v>
      </c>
      <c r="BT2307" t="s">
        <v>54</v>
      </c>
      <c r="BU2307" t="s">
        <v>721</v>
      </c>
      <c r="BV2307" t="s">
        <v>722</v>
      </c>
      <c r="BX2307">
        <v>18</v>
      </c>
      <c r="BY2307">
        <v>0</v>
      </c>
      <c r="BZ2307">
        <v>0</v>
      </c>
      <c r="CX2307" t="s">
        <v>674</v>
      </c>
      <c r="CY2307">
        <v>0</v>
      </c>
      <c r="CZ2307" s="1">
        <v>44320</v>
      </c>
      <c r="DA2307" s="1">
        <v>44320</v>
      </c>
      <c r="DB2307" s="1">
        <v>44320</v>
      </c>
      <c r="DC2307" s="1">
        <v>44320</v>
      </c>
      <c r="DD2307" t="s">
        <v>51</v>
      </c>
      <c r="DF2307" t="s">
        <v>54</v>
      </c>
      <c r="DG2307">
        <v>0</v>
      </c>
      <c r="DH2307">
        <v>0</v>
      </c>
    </row>
    <row r="2308" spans="1:112" x14ac:dyDescent="0.2">
      <c r="A2308" t="s">
        <v>1012</v>
      </c>
      <c r="B2308" t="s">
        <v>1013</v>
      </c>
      <c r="C2308" t="s">
        <v>1019</v>
      </c>
      <c r="D2308" t="s">
        <v>1077</v>
      </c>
      <c r="F2308" t="str">
        <f>"251856"</f>
        <v>251856</v>
      </c>
      <c r="G2308" t="s">
        <v>49</v>
      </c>
      <c r="K2308" t="s">
        <v>51</v>
      </c>
      <c r="L2308" t="s">
        <v>52</v>
      </c>
      <c r="M2308">
        <v>131764.745</v>
      </c>
      <c r="N2308">
        <v>473942.80499999999</v>
      </c>
      <c r="O2308" t="s">
        <v>53</v>
      </c>
      <c r="P2308" t="s">
        <v>54</v>
      </c>
      <c r="Q2308" t="s">
        <v>55</v>
      </c>
      <c r="T2308" t="s">
        <v>100</v>
      </c>
      <c r="U2308">
        <v>40</v>
      </c>
      <c r="V2308" s="1">
        <v>32874</v>
      </c>
      <c r="W2308" s="1">
        <v>32874</v>
      </c>
      <c r="X2308" s="1">
        <v>32874</v>
      </c>
      <c r="Y2308" s="1">
        <v>47484</v>
      </c>
      <c r="Z2308" t="s">
        <v>51</v>
      </c>
      <c r="AB2308" t="s">
        <v>54</v>
      </c>
      <c r="AC2308">
        <v>1</v>
      </c>
      <c r="AE2308" t="s">
        <v>222</v>
      </c>
      <c r="AF2308">
        <v>20</v>
      </c>
      <c r="AG2308" s="1">
        <v>32874</v>
      </c>
      <c r="AH2308" s="1">
        <v>32874</v>
      </c>
      <c r="AI2308" s="1">
        <v>32874</v>
      </c>
      <c r="AJ2308" s="1">
        <v>40179</v>
      </c>
      <c r="AK2308" t="s">
        <v>51</v>
      </c>
      <c r="AN2308">
        <v>0</v>
      </c>
      <c r="AO2308" t="s">
        <v>54</v>
      </c>
      <c r="AP2308" t="s">
        <v>53</v>
      </c>
      <c r="AQ2308">
        <v>0</v>
      </c>
      <c r="AR2308" t="s">
        <v>53</v>
      </c>
      <c r="AS2308">
        <v>0</v>
      </c>
      <c r="AT2308">
        <v>0</v>
      </c>
      <c r="AW2308" t="s">
        <v>161</v>
      </c>
      <c r="AX2308">
        <v>50</v>
      </c>
      <c r="AY2308" s="1">
        <v>32874</v>
      </c>
      <c r="AZ2308" s="1">
        <v>32874</v>
      </c>
      <c r="BA2308" s="1">
        <v>32874</v>
      </c>
      <c r="BB2308" s="1">
        <v>51136</v>
      </c>
      <c r="BC2308" t="s">
        <v>51</v>
      </c>
      <c r="BE2308" t="s">
        <v>54</v>
      </c>
      <c r="BF2308">
        <v>0</v>
      </c>
      <c r="BG2308">
        <v>0</v>
      </c>
      <c r="BH2308" t="s">
        <v>53</v>
      </c>
      <c r="BK2308" t="s">
        <v>59</v>
      </c>
      <c r="BL2308">
        <v>14000</v>
      </c>
      <c r="BM2308" s="1">
        <v>44118</v>
      </c>
      <c r="BN2308" s="1">
        <v>44118</v>
      </c>
      <c r="BO2308" s="1">
        <v>44118</v>
      </c>
      <c r="BP2308" s="1">
        <v>45279</v>
      </c>
      <c r="BQ2308" t="s">
        <v>51</v>
      </c>
      <c r="BS2308" t="s">
        <v>60</v>
      </c>
      <c r="BT2308" t="s">
        <v>54</v>
      </c>
      <c r="BU2308" t="s">
        <v>61</v>
      </c>
      <c r="BV2308" t="s">
        <v>62</v>
      </c>
      <c r="BX2308">
        <v>24</v>
      </c>
      <c r="BY2308">
        <v>0</v>
      </c>
      <c r="BZ2308">
        <v>0</v>
      </c>
      <c r="CX2308" t="s">
        <v>674</v>
      </c>
      <c r="CY2308">
        <v>0</v>
      </c>
      <c r="CZ2308" s="1">
        <v>44320</v>
      </c>
      <c r="DA2308" s="1">
        <v>44320</v>
      </c>
      <c r="DB2308" s="1">
        <v>44320</v>
      </c>
      <c r="DC2308" s="1">
        <v>44320</v>
      </c>
      <c r="DD2308" t="s">
        <v>51</v>
      </c>
      <c r="DF2308" t="s">
        <v>54</v>
      </c>
      <c r="DG2308">
        <v>0</v>
      </c>
      <c r="DH2308">
        <v>0</v>
      </c>
    </row>
    <row r="2309" spans="1:112" x14ac:dyDescent="0.2">
      <c r="A2309" t="s">
        <v>1012</v>
      </c>
      <c r="B2309" t="s">
        <v>1013</v>
      </c>
      <c r="C2309" t="s">
        <v>1019</v>
      </c>
      <c r="D2309" t="s">
        <v>1077</v>
      </c>
      <c r="F2309" t="str">
        <f>"251857"</f>
        <v>251857</v>
      </c>
      <c r="G2309" t="s">
        <v>49</v>
      </c>
      <c r="K2309" t="s">
        <v>51</v>
      </c>
      <c r="L2309" t="s">
        <v>52</v>
      </c>
      <c r="M2309">
        <v>131751.231</v>
      </c>
      <c r="N2309">
        <v>473954.19099999999</v>
      </c>
      <c r="O2309" t="s">
        <v>53</v>
      </c>
      <c r="P2309" t="s">
        <v>54</v>
      </c>
      <c r="Q2309" t="s">
        <v>55</v>
      </c>
      <c r="T2309" t="s">
        <v>100</v>
      </c>
      <c r="U2309">
        <v>40</v>
      </c>
      <c r="V2309" s="1">
        <v>32874</v>
      </c>
      <c r="W2309" s="1">
        <v>32874</v>
      </c>
      <c r="X2309" s="1">
        <v>32874</v>
      </c>
      <c r="Y2309" s="1">
        <v>47484</v>
      </c>
      <c r="Z2309" t="s">
        <v>51</v>
      </c>
      <c r="AB2309" t="s">
        <v>54</v>
      </c>
      <c r="AC2309">
        <v>1</v>
      </c>
      <c r="AE2309" t="s">
        <v>222</v>
      </c>
      <c r="AF2309">
        <v>20</v>
      </c>
      <c r="AG2309" s="1">
        <v>32874</v>
      </c>
      <c r="AH2309" s="1">
        <v>32874</v>
      </c>
      <c r="AI2309" s="1">
        <v>32874</v>
      </c>
      <c r="AJ2309" s="1">
        <v>40179</v>
      </c>
      <c r="AK2309" t="s">
        <v>51</v>
      </c>
      <c r="AN2309">
        <v>0</v>
      </c>
      <c r="AO2309" t="s">
        <v>54</v>
      </c>
      <c r="AP2309" t="s">
        <v>53</v>
      </c>
      <c r="AQ2309">
        <v>0</v>
      </c>
      <c r="AR2309" t="s">
        <v>53</v>
      </c>
      <c r="AS2309">
        <v>0</v>
      </c>
      <c r="AT2309">
        <v>0</v>
      </c>
      <c r="AW2309" t="s">
        <v>161</v>
      </c>
      <c r="AX2309">
        <v>50</v>
      </c>
      <c r="AY2309" s="1">
        <v>32874</v>
      </c>
      <c r="AZ2309" s="1">
        <v>32874</v>
      </c>
      <c r="BA2309" s="1">
        <v>32874</v>
      </c>
      <c r="BB2309" s="1">
        <v>51136</v>
      </c>
      <c r="BC2309" t="s">
        <v>51</v>
      </c>
      <c r="BE2309" t="s">
        <v>54</v>
      </c>
      <c r="BF2309">
        <v>0</v>
      </c>
      <c r="BG2309">
        <v>0</v>
      </c>
      <c r="BH2309" t="s">
        <v>53</v>
      </c>
      <c r="BI2309">
        <v>1</v>
      </c>
      <c r="BK2309" t="s">
        <v>59</v>
      </c>
      <c r="BL2309">
        <v>14000</v>
      </c>
      <c r="BM2309" s="1">
        <v>44118</v>
      </c>
      <c r="BN2309" s="1">
        <v>44118</v>
      </c>
      <c r="BO2309" s="1">
        <v>44118</v>
      </c>
      <c r="BP2309" s="1">
        <v>45279</v>
      </c>
      <c r="BQ2309" t="s">
        <v>51</v>
      </c>
      <c r="BS2309" t="s">
        <v>60</v>
      </c>
      <c r="BT2309" t="s">
        <v>54</v>
      </c>
      <c r="BU2309" t="s">
        <v>61</v>
      </c>
      <c r="BV2309" t="s">
        <v>62</v>
      </c>
      <c r="BX2309">
        <v>24</v>
      </c>
      <c r="BY2309">
        <v>0</v>
      </c>
      <c r="BZ2309">
        <v>0</v>
      </c>
      <c r="CX2309" t="s">
        <v>674</v>
      </c>
      <c r="CY2309">
        <v>0</v>
      </c>
      <c r="CZ2309" s="1">
        <v>44320</v>
      </c>
      <c r="DA2309" s="1">
        <v>44320</v>
      </c>
      <c r="DB2309" s="1">
        <v>44320</v>
      </c>
      <c r="DC2309" s="1">
        <v>44320</v>
      </c>
      <c r="DD2309" t="s">
        <v>51</v>
      </c>
      <c r="DF2309" t="s">
        <v>54</v>
      </c>
      <c r="DG2309">
        <v>0</v>
      </c>
      <c r="DH2309">
        <v>0</v>
      </c>
    </row>
    <row r="2310" spans="1:112" x14ac:dyDescent="0.2">
      <c r="A2310" t="s">
        <v>1012</v>
      </c>
      <c r="B2310" t="s">
        <v>1013</v>
      </c>
      <c r="C2310" t="s">
        <v>1019</v>
      </c>
      <c r="D2310" t="s">
        <v>1053</v>
      </c>
      <c r="F2310" t="str">
        <f>"251868"</f>
        <v>251868</v>
      </c>
      <c r="G2310" t="s">
        <v>49</v>
      </c>
      <c r="K2310" t="s">
        <v>51</v>
      </c>
      <c r="L2310" t="s">
        <v>52</v>
      </c>
      <c r="M2310">
        <v>132017.54</v>
      </c>
      <c r="N2310">
        <v>473828.19</v>
      </c>
      <c r="O2310" t="s">
        <v>53</v>
      </c>
      <c r="P2310" t="s">
        <v>54</v>
      </c>
      <c r="Q2310" t="s">
        <v>55</v>
      </c>
      <c r="T2310" t="s">
        <v>81</v>
      </c>
      <c r="U2310">
        <v>40</v>
      </c>
      <c r="V2310" s="1">
        <v>39448</v>
      </c>
      <c r="W2310" s="1">
        <v>39448</v>
      </c>
      <c r="X2310" s="1">
        <v>39448</v>
      </c>
      <c r="Y2310" s="1">
        <v>54058</v>
      </c>
      <c r="Z2310" t="s">
        <v>51</v>
      </c>
      <c r="AB2310" t="s">
        <v>54</v>
      </c>
      <c r="AC2310">
        <v>1</v>
      </c>
      <c r="AE2310" t="s">
        <v>64</v>
      </c>
      <c r="AF2310">
        <v>20</v>
      </c>
      <c r="AG2310" s="1">
        <v>39448</v>
      </c>
      <c r="AH2310" s="1">
        <v>39448</v>
      </c>
      <c r="AI2310" s="1">
        <v>39448</v>
      </c>
      <c r="AJ2310" s="1">
        <v>46753</v>
      </c>
      <c r="AK2310" t="s">
        <v>51</v>
      </c>
      <c r="AN2310">
        <v>0</v>
      </c>
      <c r="AO2310" t="s">
        <v>54</v>
      </c>
      <c r="AP2310" t="s">
        <v>53</v>
      </c>
      <c r="AQ2310">
        <v>0</v>
      </c>
      <c r="AR2310" t="s">
        <v>53</v>
      </c>
      <c r="AS2310">
        <v>0</v>
      </c>
      <c r="AT2310">
        <v>0</v>
      </c>
      <c r="AW2310" t="s">
        <v>58</v>
      </c>
      <c r="AX2310">
        <v>20</v>
      </c>
      <c r="AY2310" s="1">
        <v>39448</v>
      </c>
      <c r="AZ2310" s="1">
        <v>39448</v>
      </c>
      <c r="BA2310" s="1">
        <v>39448</v>
      </c>
      <c r="BB2310" s="1">
        <v>46753</v>
      </c>
      <c r="BC2310" t="s">
        <v>51</v>
      </c>
      <c r="BE2310" t="s">
        <v>54</v>
      </c>
      <c r="BF2310">
        <v>2</v>
      </c>
      <c r="BG2310">
        <v>0</v>
      </c>
      <c r="BH2310" t="s">
        <v>53</v>
      </c>
      <c r="BK2310" t="s">
        <v>65</v>
      </c>
      <c r="BL2310">
        <v>14000</v>
      </c>
      <c r="BM2310" s="1">
        <v>43336</v>
      </c>
      <c r="BN2310" s="1">
        <v>43336</v>
      </c>
      <c r="BO2310" s="1">
        <v>43336</v>
      </c>
      <c r="BP2310" s="1">
        <v>44511</v>
      </c>
      <c r="BQ2310" t="s">
        <v>51</v>
      </c>
      <c r="BS2310" t="s">
        <v>60</v>
      </c>
      <c r="BT2310" t="s">
        <v>54</v>
      </c>
      <c r="BU2310" t="s">
        <v>61</v>
      </c>
      <c r="BV2310" t="s">
        <v>62</v>
      </c>
      <c r="BX2310">
        <v>36</v>
      </c>
      <c r="BY2310">
        <v>0</v>
      </c>
      <c r="BZ2310">
        <v>0</v>
      </c>
      <c r="CX2310" t="s">
        <v>674</v>
      </c>
      <c r="CY2310">
        <v>0</v>
      </c>
      <c r="CZ2310" s="1">
        <v>44320</v>
      </c>
      <c r="DA2310" s="1">
        <v>44320</v>
      </c>
      <c r="DB2310" s="1">
        <v>44320</v>
      </c>
      <c r="DC2310" s="1">
        <v>44320</v>
      </c>
      <c r="DD2310" t="s">
        <v>51</v>
      </c>
      <c r="DF2310" t="s">
        <v>54</v>
      </c>
      <c r="DG2310">
        <v>0</v>
      </c>
      <c r="DH2310">
        <v>0</v>
      </c>
    </row>
    <row r="2311" spans="1:112" x14ac:dyDescent="0.2">
      <c r="A2311" t="s">
        <v>1012</v>
      </c>
      <c r="B2311" t="s">
        <v>1013</v>
      </c>
      <c r="C2311" t="s">
        <v>1052</v>
      </c>
      <c r="D2311" t="s">
        <v>1078</v>
      </c>
      <c r="F2311" t="str">
        <f>"251869"</f>
        <v>251869</v>
      </c>
      <c r="G2311" t="s">
        <v>49</v>
      </c>
      <c r="H2311">
        <v>85</v>
      </c>
      <c r="K2311" t="s">
        <v>51</v>
      </c>
      <c r="L2311" t="s">
        <v>52</v>
      </c>
      <c r="M2311">
        <v>131596.31</v>
      </c>
      <c r="N2311">
        <v>474375.91</v>
      </c>
      <c r="O2311" t="s">
        <v>53</v>
      </c>
      <c r="P2311" t="s">
        <v>54</v>
      </c>
      <c r="Q2311" t="s">
        <v>55</v>
      </c>
      <c r="T2311" t="s">
        <v>466</v>
      </c>
      <c r="U2311">
        <v>40</v>
      </c>
      <c r="V2311" s="1">
        <v>30682</v>
      </c>
      <c r="W2311" s="1">
        <v>30682</v>
      </c>
      <c r="X2311" s="1">
        <v>30682</v>
      </c>
      <c r="Y2311" s="1">
        <v>45292</v>
      </c>
      <c r="Z2311" t="s">
        <v>51</v>
      </c>
      <c r="AB2311" t="s">
        <v>54</v>
      </c>
      <c r="AC2311">
        <v>1</v>
      </c>
      <c r="AE2311" t="s">
        <v>621</v>
      </c>
      <c r="AF2311">
        <v>20</v>
      </c>
      <c r="AG2311" s="1">
        <v>30864</v>
      </c>
      <c r="AH2311" s="1">
        <v>30864</v>
      </c>
      <c r="AI2311" s="1">
        <v>30864</v>
      </c>
      <c r="AJ2311" s="1">
        <v>38169</v>
      </c>
      <c r="AK2311" t="s">
        <v>51</v>
      </c>
      <c r="AN2311">
        <v>0</v>
      </c>
      <c r="AO2311" t="s">
        <v>54</v>
      </c>
      <c r="AP2311" t="s">
        <v>53</v>
      </c>
      <c r="AQ2311">
        <v>0</v>
      </c>
      <c r="AR2311" t="s">
        <v>53</v>
      </c>
      <c r="AS2311">
        <v>0</v>
      </c>
      <c r="AT2311">
        <v>0</v>
      </c>
      <c r="AW2311" t="s">
        <v>58</v>
      </c>
      <c r="AX2311">
        <v>20</v>
      </c>
      <c r="AY2311" s="1">
        <v>30864</v>
      </c>
      <c r="AZ2311" s="1">
        <v>30864</v>
      </c>
      <c r="BA2311" s="1">
        <v>30864</v>
      </c>
      <c r="BB2311" s="1">
        <v>38169</v>
      </c>
      <c r="BC2311" t="s">
        <v>51</v>
      </c>
      <c r="BE2311" t="s">
        <v>54</v>
      </c>
      <c r="BF2311">
        <v>2</v>
      </c>
      <c r="BG2311">
        <v>0</v>
      </c>
      <c r="BH2311" t="s">
        <v>53</v>
      </c>
      <c r="BI2311">
        <v>1</v>
      </c>
      <c r="BK2311" t="s">
        <v>739</v>
      </c>
      <c r="BL2311">
        <v>10000</v>
      </c>
      <c r="BM2311" s="1">
        <v>41456</v>
      </c>
      <c r="BN2311" s="1">
        <v>41456</v>
      </c>
      <c r="BO2311" s="1">
        <v>41456</v>
      </c>
      <c r="BP2311" s="1">
        <v>42313</v>
      </c>
      <c r="BQ2311" t="s">
        <v>51</v>
      </c>
      <c r="BS2311" t="s">
        <v>60</v>
      </c>
      <c r="BT2311" t="s">
        <v>54</v>
      </c>
      <c r="BU2311" t="s">
        <v>740</v>
      </c>
      <c r="BV2311" t="s">
        <v>741</v>
      </c>
      <c r="BX2311">
        <v>20</v>
      </c>
      <c r="BY2311">
        <v>0</v>
      </c>
      <c r="BZ2311">
        <v>0</v>
      </c>
    </row>
    <row r="2312" spans="1:112" x14ac:dyDescent="0.2">
      <c r="A2312" t="s">
        <v>1012</v>
      </c>
      <c r="B2312" t="s">
        <v>1013</v>
      </c>
      <c r="C2312" t="s">
        <v>1052</v>
      </c>
      <c r="D2312" t="s">
        <v>1078</v>
      </c>
      <c r="F2312" t="str">
        <f>"251870"</f>
        <v>251870</v>
      </c>
      <c r="G2312" t="s">
        <v>49</v>
      </c>
      <c r="H2312">
        <v>1</v>
      </c>
      <c r="K2312" t="s">
        <v>51</v>
      </c>
      <c r="L2312" t="s">
        <v>52</v>
      </c>
      <c r="M2312">
        <v>131620.42000000001</v>
      </c>
      <c r="N2312">
        <v>474364.1</v>
      </c>
      <c r="O2312" t="s">
        <v>53</v>
      </c>
      <c r="P2312" t="s">
        <v>54</v>
      </c>
      <c r="Q2312" t="s">
        <v>55</v>
      </c>
      <c r="T2312" t="s">
        <v>81</v>
      </c>
      <c r="U2312">
        <v>40</v>
      </c>
      <c r="V2312" s="1">
        <v>30682</v>
      </c>
      <c r="W2312" s="1">
        <v>30682</v>
      </c>
      <c r="X2312" s="1">
        <v>30682</v>
      </c>
      <c r="Y2312" s="1">
        <v>45292</v>
      </c>
      <c r="Z2312" t="s">
        <v>51</v>
      </c>
      <c r="AB2312" t="s">
        <v>54</v>
      </c>
      <c r="AC2312">
        <v>1</v>
      </c>
      <c r="AE2312" t="s">
        <v>356</v>
      </c>
      <c r="AF2312">
        <v>20</v>
      </c>
      <c r="AG2312" s="1">
        <v>30864</v>
      </c>
      <c r="AH2312" s="1">
        <v>30864</v>
      </c>
      <c r="AI2312" s="1">
        <v>30864</v>
      </c>
      <c r="AJ2312" s="1">
        <v>38169</v>
      </c>
      <c r="AK2312" t="s">
        <v>51</v>
      </c>
      <c r="AN2312">
        <v>0</v>
      </c>
      <c r="AO2312" t="s">
        <v>54</v>
      </c>
      <c r="AP2312" t="s">
        <v>53</v>
      </c>
      <c r="AQ2312">
        <v>0</v>
      </c>
      <c r="AR2312" t="s">
        <v>145</v>
      </c>
      <c r="AS2312">
        <v>0</v>
      </c>
      <c r="AT2312">
        <v>0</v>
      </c>
      <c r="AW2312" t="s">
        <v>172</v>
      </c>
      <c r="AX2312">
        <v>15</v>
      </c>
      <c r="AY2312" s="1">
        <v>30864</v>
      </c>
      <c r="AZ2312" s="1">
        <v>30864</v>
      </c>
      <c r="BA2312" s="1">
        <v>30864</v>
      </c>
      <c r="BB2312" s="1">
        <v>36342</v>
      </c>
      <c r="BC2312" t="s">
        <v>51</v>
      </c>
      <c r="BE2312" t="s">
        <v>54</v>
      </c>
      <c r="BF2312">
        <v>40</v>
      </c>
      <c r="BG2312">
        <v>0</v>
      </c>
      <c r="BH2312" t="s">
        <v>145</v>
      </c>
      <c r="CC2312" t="s">
        <v>250</v>
      </c>
      <c r="CD2312">
        <v>100000</v>
      </c>
      <c r="CE2312" s="1">
        <v>44075</v>
      </c>
      <c r="CF2312" s="1">
        <v>44075</v>
      </c>
      <c r="CG2312" s="1">
        <v>44075</v>
      </c>
      <c r="CH2312" s="1">
        <v>52994</v>
      </c>
      <c r="CI2312" t="s">
        <v>51</v>
      </c>
      <c r="CK2312" t="s">
        <v>78</v>
      </c>
      <c r="CM2312" t="s">
        <v>54</v>
      </c>
      <c r="CN2312" t="s">
        <v>174</v>
      </c>
      <c r="CR2312">
        <v>13.2</v>
      </c>
      <c r="CS2312">
        <v>1800</v>
      </c>
      <c r="CT2312">
        <v>0</v>
      </c>
      <c r="CU2312">
        <v>16</v>
      </c>
      <c r="CX2312" t="s">
        <v>674</v>
      </c>
      <c r="CY2312">
        <v>0</v>
      </c>
      <c r="CZ2312" s="1">
        <v>44075</v>
      </c>
      <c r="DA2312" s="1">
        <v>44075</v>
      </c>
      <c r="DB2312" s="1">
        <v>44075</v>
      </c>
      <c r="DC2312" s="1">
        <v>44075</v>
      </c>
      <c r="DD2312" t="s">
        <v>51</v>
      </c>
      <c r="DF2312" t="s">
        <v>54</v>
      </c>
      <c r="DG2312">
        <v>0</v>
      </c>
      <c r="DH2312">
        <v>0</v>
      </c>
    </row>
    <row r="2313" spans="1:112" x14ac:dyDescent="0.2">
      <c r="A2313" t="s">
        <v>1012</v>
      </c>
      <c r="B2313" t="s">
        <v>1013</v>
      </c>
      <c r="C2313" t="s">
        <v>1052</v>
      </c>
      <c r="D2313" t="s">
        <v>1078</v>
      </c>
      <c r="F2313" t="str">
        <f>"251871"</f>
        <v>251871</v>
      </c>
      <c r="G2313" t="s">
        <v>49</v>
      </c>
      <c r="H2313" t="s">
        <v>1079</v>
      </c>
      <c r="K2313" t="s">
        <v>51</v>
      </c>
      <c r="L2313" t="s">
        <v>52</v>
      </c>
      <c r="M2313">
        <v>131640.88</v>
      </c>
      <c r="N2313">
        <v>474384.62</v>
      </c>
      <c r="O2313" t="s">
        <v>53</v>
      </c>
      <c r="P2313" t="s">
        <v>54</v>
      </c>
      <c r="Q2313" t="s">
        <v>55</v>
      </c>
      <c r="T2313" t="s">
        <v>81</v>
      </c>
      <c r="U2313">
        <v>40</v>
      </c>
      <c r="V2313" s="1">
        <v>30682</v>
      </c>
      <c r="W2313" s="1">
        <v>30682</v>
      </c>
      <c r="X2313" s="1">
        <v>30682</v>
      </c>
      <c r="Y2313" s="1">
        <v>45292</v>
      </c>
      <c r="Z2313" t="s">
        <v>51</v>
      </c>
      <c r="AB2313" t="s">
        <v>54</v>
      </c>
      <c r="AC2313">
        <v>1</v>
      </c>
      <c r="AE2313" t="s">
        <v>64</v>
      </c>
      <c r="AF2313">
        <v>20</v>
      </c>
      <c r="AG2313" s="1">
        <v>30864</v>
      </c>
      <c r="AH2313" s="1">
        <v>30864</v>
      </c>
      <c r="AI2313" s="1">
        <v>30864</v>
      </c>
      <c r="AJ2313" s="1">
        <v>38169</v>
      </c>
      <c r="AK2313" t="s">
        <v>51</v>
      </c>
      <c r="AN2313">
        <v>0</v>
      </c>
      <c r="AO2313" t="s">
        <v>54</v>
      </c>
      <c r="AP2313" t="s">
        <v>53</v>
      </c>
      <c r="AQ2313">
        <v>0</v>
      </c>
      <c r="AR2313" t="s">
        <v>53</v>
      </c>
      <c r="AS2313">
        <v>0</v>
      </c>
      <c r="AT2313">
        <v>0</v>
      </c>
      <c r="AW2313" t="s">
        <v>58</v>
      </c>
      <c r="AX2313">
        <v>20</v>
      </c>
      <c r="AY2313" s="1">
        <v>30864</v>
      </c>
      <c r="AZ2313" s="1">
        <v>30864</v>
      </c>
      <c r="BA2313" s="1">
        <v>30864</v>
      </c>
      <c r="BB2313" s="1">
        <v>38169</v>
      </c>
      <c r="BC2313" t="s">
        <v>51</v>
      </c>
      <c r="BE2313" t="s">
        <v>54</v>
      </c>
      <c r="BF2313">
        <v>2</v>
      </c>
      <c r="BG2313">
        <v>0</v>
      </c>
      <c r="BH2313" t="s">
        <v>53</v>
      </c>
      <c r="BI2313">
        <v>1</v>
      </c>
      <c r="BK2313" t="s">
        <v>65</v>
      </c>
      <c r="BL2313">
        <v>14000</v>
      </c>
      <c r="BM2313" s="1">
        <v>41456</v>
      </c>
      <c r="BN2313" s="1">
        <v>41456</v>
      </c>
      <c r="BO2313" s="1">
        <v>41456</v>
      </c>
      <c r="BP2313" s="1">
        <v>42656</v>
      </c>
      <c r="BQ2313" t="s">
        <v>51</v>
      </c>
      <c r="BS2313" t="s">
        <v>60</v>
      </c>
      <c r="BT2313" t="s">
        <v>54</v>
      </c>
      <c r="BU2313" t="s">
        <v>61</v>
      </c>
      <c r="BV2313" t="s">
        <v>62</v>
      </c>
      <c r="BX2313">
        <v>36</v>
      </c>
      <c r="BY2313">
        <v>0</v>
      </c>
      <c r="BZ2313">
        <v>0</v>
      </c>
      <c r="CX2313" t="s">
        <v>674</v>
      </c>
      <c r="CY2313">
        <v>0</v>
      </c>
      <c r="CZ2313" s="1">
        <v>41394</v>
      </c>
      <c r="DA2313" s="1">
        <v>41394</v>
      </c>
      <c r="DB2313" s="1">
        <v>41394</v>
      </c>
      <c r="DC2313" s="1">
        <v>41394</v>
      </c>
      <c r="DD2313" t="s">
        <v>51</v>
      </c>
      <c r="DF2313" t="s">
        <v>54</v>
      </c>
      <c r="DG2313">
        <v>0</v>
      </c>
      <c r="DH2313">
        <v>0</v>
      </c>
    </row>
    <row r="2314" spans="1:112" x14ac:dyDescent="0.2">
      <c r="A2314" t="s">
        <v>1012</v>
      </c>
      <c r="B2314" t="s">
        <v>1013</v>
      </c>
      <c r="C2314" t="s">
        <v>1052</v>
      </c>
      <c r="D2314" t="s">
        <v>1078</v>
      </c>
      <c r="F2314" t="str">
        <f>"251872"</f>
        <v>251872</v>
      </c>
      <c r="G2314" t="s">
        <v>49</v>
      </c>
      <c r="H2314">
        <v>7</v>
      </c>
      <c r="K2314" t="s">
        <v>51</v>
      </c>
      <c r="L2314" t="s">
        <v>52</v>
      </c>
      <c r="M2314">
        <v>131659.20000000001</v>
      </c>
      <c r="N2314">
        <v>474400.67</v>
      </c>
      <c r="O2314" t="s">
        <v>53</v>
      </c>
      <c r="P2314" t="s">
        <v>54</v>
      </c>
      <c r="Q2314" t="s">
        <v>55</v>
      </c>
      <c r="T2314" t="s">
        <v>81</v>
      </c>
      <c r="U2314">
        <v>40</v>
      </c>
      <c r="V2314" s="1">
        <v>30682</v>
      </c>
      <c r="W2314" s="1">
        <v>30682</v>
      </c>
      <c r="X2314" s="1">
        <v>30682</v>
      </c>
      <c r="Y2314" s="1">
        <v>45292</v>
      </c>
      <c r="Z2314" t="s">
        <v>51</v>
      </c>
      <c r="AB2314" t="s">
        <v>54</v>
      </c>
      <c r="AC2314">
        <v>1</v>
      </c>
      <c r="AE2314" t="s">
        <v>57</v>
      </c>
      <c r="AF2314">
        <v>20</v>
      </c>
      <c r="AG2314" s="1">
        <v>30864</v>
      </c>
      <c r="AH2314" s="1">
        <v>30864</v>
      </c>
      <c r="AI2314" s="1">
        <v>30864</v>
      </c>
      <c r="AJ2314" s="1">
        <v>38169</v>
      </c>
      <c r="AK2314" t="s">
        <v>51</v>
      </c>
      <c r="AN2314">
        <v>0</v>
      </c>
      <c r="AO2314" t="s">
        <v>54</v>
      </c>
      <c r="AP2314" t="s">
        <v>53</v>
      </c>
      <c r="AQ2314">
        <v>0</v>
      </c>
      <c r="AR2314" t="s">
        <v>53</v>
      </c>
      <c r="AS2314">
        <v>0</v>
      </c>
      <c r="AT2314">
        <v>0</v>
      </c>
      <c r="AW2314" t="s">
        <v>58</v>
      </c>
      <c r="AX2314">
        <v>20</v>
      </c>
      <c r="AY2314" s="1">
        <v>30864</v>
      </c>
      <c r="AZ2314" s="1">
        <v>30864</v>
      </c>
      <c r="BA2314" s="1">
        <v>30864</v>
      </c>
      <c r="BB2314" s="1">
        <v>38169</v>
      </c>
      <c r="BC2314" t="s">
        <v>51</v>
      </c>
      <c r="BE2314" t="s">
        <v>54</v>
      </c>
      <c r="BF2314">
        <v>2</v>
      </c>
      <c r="BG2314">
        <v>0</v>
      </c>
      <c r="BH2314" t="s">
        <v>53</v>
      </c>
      <c r="BI2314">
        <v>1</v>
      </c>
      <c r="BK2314" t="s">
        <v>59</v>
      </c>
      <c r="BL2314">
        <v>14000</v>
      </c>
      <c r="BM2314" s="1">
        <v>41456</v>
      </c>
      <c r="BN2314" s="1">
        <v>41456</v>
      </c>
      <c r="BO2314" s="1">
        <v>41456</v>
      </c>
      <c r="BP2314" s="1">
        <v>42656</v>
      </c>
      <c r="BQ2314" t="s">
        <v>51</v>
      </c>
      <c r="BS2314" t="s">
        <v>60</v>
      </c>
      <c r="BT2314" t="s">
        <v>54</v>
      </c>
      <c r="BU2314" t="s">
        <v>61</v>
      </c>
      <c r="BV2314" t="s">
        <v>62</v>
      </c>
      <c r="BX2314">
        <v>24</v>
      </c>
      <c r="BY2314">
        <v>0</v>
      </c>
      <c r="BZ2314">
        <v>0</v>
      </c>
      <c r="CX2314" t="s">
        <v>674</v>
      </c>
      <c r="CY2314">
        <v>0</v>
      </c>
      <c r="CZ2314" s="1">
        <v>38106</v>
      </c>
      <c r="DA2314" s="1">
        <v>38106</v>
      </c>
      <c r="DB2314" s="1">
        <v>38106</v>
      </c>
      <c r="DC2314" s="1">
        <v>38106</v>
      </c>
      <c r="DD2314" t="s">
        <v>51</v>
      </c>
      <c r="DF2314" t="s">
        <v>54</v>
      </c>
      <c r="DG2314">
        <v>0</v>
      </c>
      <c r="DH2314">
        <v>0</v>
      </c>
    </row>
    <row r="2315" spans="1:112" x14ac:dyDescent="0.2">
      <c r="A2315" t="s">
        <v>1012</v>
      </c>
      <c r="B2315" t="s">
        <v>1013</v>
      </c>
      <c r="C2315" t="s">
        <v>1052</v>
      </c>
      <c r="D2315" t="s">
        <v>1078</v>
      </c>
      <c r="F2315" t="str">
        <f>"251873"</f>
        <v>251873</v>
      </c>
      <c r="G2315" t="s">
        <v>49</v>
      </c>
      <c r="K2315" t="s">
        <v>51</v>
      </c>
      <c r="L2315" t="s">
        <v>52</v>
      </c>
      <c r="M2315">
        <v>131676.31</v>
      </c>
      <c r="N2315">
        <v>474417.79</v>
      </c>
      <c r="O2315" t="s">
        <v>53</v>
      </c>
      <c r="P2315" t="s">
        <v>54</v>
      </c>
      <c r="Q2315" t="s">
        <v>55</v>
      </c>
      <c r="T2315" t="s">
        <v>81</v>
      </c>
      <c r="U2315">
        <v>40</v>
      </c>
      <c r="V2315" s="1">
        <v>30682</v>
      </c>
      <c r="W2315" s="1">
        <v>30682</v>
      </c>
      <c r="X2315" s="1">
        <v>30682</v>
      </c>
      <c r="Y2315" s="1">
        <v>45292</v>
      </c>
      <c r="Z2315" t="s">
        <v>51</v>
      </c>
      <c r="AB2315" t="s">
        <v>54</v>
      </c>
      <c r="AC2315">
        <v>1</v>
      </c>
      <c r="AE2315" t="s">
        <v>64</v>
      </c>
      <c r="AF2315">
        <v>20</v>
      </c>
      <c r="AG2315" s="1">
        <v>30864</v>
      </c>
      <c r="AH2315" s="1">
        <v>30864</v>
      </c>
      <c r="AI2315" s="1">
        <v>30864</v>
      </c>
      <c r="AJ2315" s="1">
        <v>38169</v>
      </c>
      <c r="AK2315" t="s">
        <v>51</v>
      </c>
      <c r="AN2315">
        <v>0</v>
      </c>
      <c r="AO2315" t="s">
        <v>54</v>
      </c>
      <c r="AP2315" t="s">
        <v>53</v>
      </c>
      <c r="AQ2315">
        <v>0</v>
      </c>
      <c r="AR2315" t="s">
        <v>53</v>
      </c>
      <c r="AS2315">
        <v>0</v>
      </c>
      <c r="AT2315">
        <v>0</v>
      </c>
      <c r="AW2315" t="s">
        <v>79</v>
      </c>
      <c r="AX2315">
        <v>20</v>
      </c>
      <c r="AY2315" s="1">
        <v>30864</v>
      </c>
      <c r="AZ2315" s="1">
        <v>30864</v>
      </c>
      <c r="BA2315" s="1">
        <v>30864</v>
      </c>
      <c r="BB2315" s="1">
        <v>38169</v>
      </c>
      <c r="BC2315" t="s">
        <v>51</v>
      </c>
      <c r="BE2315" t="s">
        <v>54</v>
      </c>
      <c r="BF2315">
        <v>5</v>
      </c>
      <c r="BG2315">
        <v>0</v>
      </c>
      <c r="BH2315" t="s">
        <v>53</v>
      </c>
      <c r="BK2315" t="s">
        <v>65</v>
      </c>
      <c r="BL2315">
        <v>14000</v>
      </c>
      <c r="BM2315" s="1">
        <v>42917</v>
      </c>
      <c r="BN2315" s="1">
        <v>42917</v>
      </c>
      <c r="BO2315" s="1">
        <v>42917</v>
      </c>
      <c r="BP2315" s="1">
        <v>44117</v>
      </c>
      <c r="BQ2315" t="s">
        <v>51</v>
      </c>
      <c r="BS2315" t="s">
        <v>60</v>
      </c>
      <c r="BT2315" t="s">
        <v>54</v>
      </c>
      <c r="BU2315" t="s">
        <v>61</v>
      </c>
      <c r="BV2315" t="s">
        <v>62</v>
      </c>
      <c r="BX2315">
        <v>36</v>
      </c>
      <c r="BY2315">
        <v>0</v>
      </c>
      <c r="BZ2315">
        <v>0</v>
      </c>
      <c r="CX2315" t="s">
        <v>674</v>
      </c>
      <c r="CY2315">
        <v>0</v>
      </c>
      <c r="CZ2315" s="1">
        <v>40662</v>
      </c>
      <c r="DA2315" s="1">
        <v>40662</v>
      </c>
      <c r="DB2315" s="1">
        <v>40662</v>
      </c>
      <c r="DC2315" s="1">
        <v>40662</v>
      </c>
      <c r="DD2315" t="s">
        <v>51</v>
      </c>
      <c r="DF2315" t="s">
        <v>54</v>
      </c>
      <c r="DG2315">
        <v>0</v>
      </c>
      <c r="DH2315">
        <v>0</v>
      </c>
    </row>
    <row r="2316" spans="1:112" x14ac:dyDescent="0.2">
      <c r="A2316" t="s">
        <v>1012</v>
      </c>
      <c r="B2316" t="s">
        <v>1013</v>
      </c>
      <c r="C2316" t="s">
        <v>1052</v>
      </c>
      <c r="D2316" t="s">
        <v>1078</v>
      </c>
      <c r="F2316" t="str">
        <f>"251874"</f>
        <v>251874</v>
      </c>
      <c r="G2316" t="s">
        <v>49</v>
      </c>
      <c r="H2316">
        <v>23</v>
      </c>
      <c r="K2316" t="s">
        <v>51</v>
      </c>
      <c r="L2316" t="s">
        <v>52</v>
      </c>
      <c r="M2316">
        <v>131710.01</v>
      </c>
      <c r="N2316">
        <v>474415.02</v>
      </c>
      <c r="O2316" t="s">
        <v>53</v>
      </c>
      <c r="P2316" t="s">
        <v>54</v>
      </c>
      <c r="Q2316" t="s">
        <v>55</v>
      </c>
      <c r="T2316" t="s">
        <v>81</v>
      </c>
      <c r="U2316">
        <v>40</v>
      </c>
      <c r="V2316" s="1">
        <v>30682</v>
      </c>
      <c r="W2316" s="1">
        <v>30682</v>
      </c>
      <c r="X2316" s="1">
        <v>30682</v>
      </c>
      <c r="Y2316" s="1">
        <v>45292</v>
      </c>
      <c r="Z2316" t="s">
        <v>51</v>
      </c>
      <c r="AB2316" t="s">
        <v>54</v>
      </c>
      <c r="AC2316">
        <v>1</v>
      </c>
      <c r="AE2316" t="s">
        <v>356</v>
      </c>
      <c r="AF2316">
        <v>20</v>
      </c>
      <c r="AG2316" s="1">
        <v>30864</v>
      </c>
      <c r="AH2316" s="1">
        <v>30864</v>
      </c>
      <c r="AI2316" s="1">
        <v>30864</v>
      </c>
      <c r="AJ2316" s="1">
        <v>38169</v>
      </c>
      <c r="AK2316" t="s">
        <v>51</v>
      </c>
      <c r="AN2316">
        <v>0</v>
      </c>
      <c r="AO2316" t="s">
        <v>54</v>
      </c>
      <c r="AP2316" t="s">
        <v>53</v>
      </c>
      <c r="AQ2316">
        <v>0</v>
      </c>
      <c r="AR2316" t="s">
        <v>145</v>
      </c>
      <c r="AS2316">
        <v>0</v>
      </c>
      <c r="AT2316">
        <v>0</v>
      </c>
      <c r="AW2316" t="s">
        <v>172</v>
      </c>
      <c r="AX2316">
        <v>15</v>
      </c>
      <c r="AY2316" s="1">
        <v>30864</v>
      </c>
      <c r="AZ2316" s="1">
        <v>30864</v>
      </c>
      <c r="BA2316" s="1">
        <v>30864</v>
      </c>
      <c r="BB2316" s="1">
        <v>36342</v>
      </c>
      <c r="BC2316" t="s">
        <v>51</v>
      </c>
      <c r="BE2316" t="s">
        <v>54</v>
      </c>
      <c r="BF2316">
        <v>40</v>
      </c>
      <c r="BG2316">
        <v>0</v>
      </c>
      <c r="BH2316" t="s">
        <v>145</v>
      </c>
      <c r="CC2316" t="s">
        <v>250</v>
      </c>
      <c r="CD2316">
        <v>100000</v>
      </c>
      <c r="CE2316" s="1">
        <v>44315</v>
      </c>
      <c r="CF2316" s="1">
        <v>44315</v>
      </c>
      <c r="CG2316" s="1">
        <v>44315</v>
      </c>
      <c r="CH2316" s="1">
        <v>52798</v>
      </c>
      <c r="CI2316" t="s">
        <v>51</v>
      </c>
      <c r="CK2316" t="s">
        <v>78</v>
      </c>
      <c r="CM2316" t="s">
        <v>54</v>
      </c>
      <c r="CN2316" t="s">
        <v>174</v>
      </c>
      <c r="CR2316">
        <v>13.2</v>
      </c>
      <c r="CS2316">
        <v>1800</v>
      </c>
      <c r="CT2316">
        <v>0</v>
      </c>
      <c r="CU2316">
        <v>16</v>
      </c>
      <c r="CX2316" t="s">
        <v>674</v>
      </c>
      <c r="CY2316">
        <v>0</v>
      </c>
      <c r="CZ2316" s="1">
        <v>44315</v>
      </c>
      <c r="DA2316" s="1">
        <v>44315</v>
      </c>
      <c r="DB2316" s="1">
        <v>44315</v>
      </c>
      <c r="DC2316" s="1">
        <v>44315</v>
      </c>
      <c r="DD2316" t="s">
        <v>51</v>
      </c>
      <c r="DF2316" t="s">
        <v>54</v>
      </c>
      <c r="DG2316">
        <v>0</v>
      </c>
      <c r="DH2316">
        <v>0</v>
      </c>
    </row>
    <row r="2317" spans="1:112" x14ac:dyDescent="0.2">
      <c r="A2317" t="s">
        <v>1012</v>
      </c>
      <c r="B2317" t="s">
        <v>1013</v>
      </c>
      <c r="C2317" t="s">
        <v>1052</v>
      </c>
      <c r="D2317" t="s">
        <v>1078</v>
      </c>
      <c r="F2317" t="str">
        <f>"251875"</f>
        <v>251875</v>
      </c>
      <c r="G2317" t="s">
        <v>49</v>
      </c>
      <c r="H2317">
        <v>2</v>
      </c>
      <c r="K2317" t="s">
        <v>51</v>
      </c>
      <c r="L2317" t="s">
        <v>52</v>
      </c>
      <c r="M2317">
        <v>131730.70000000001</v>
      </c>
      <c r="N2317">
        <v>474433.95</v>
      </c>
      <c r="O2317" t="s">
        <v>53</v>
      </c>
      <c r="P2317" t="s">
        <v>54</v>
      </c>
      <c r="Q2317" t="s">
        <v>55</v>
      </c>
      <c r="T2317" t="s">
        <v>81</v>
      </c>
      <c r="U2317">
        <v>40</v>
      </c>
      <c r="V2317" s="1">
        <v>30682</v>
      </c>
      <c r="W2317" s="1">
        <v>30682</v>
      </c>
      <c r="X2317" s="1">
        <v>30682</v>
      </c>
      <c r="Y2317" s="1">
        <v>45292</v>
      </c>
      <c r="Z2317" t="s">
        <v>51</v>
      </c>
      <c r="AB2317" t="s">
        <v>54</v>
      </c>
      <c r="AC2317">
        <v>1</v>
      </c>
      <c r="AE2317" t="s">
        <v>356</v>
      </c>
      <c r="AF2317">
        <v>20</v>
      </c>
      <c r="AG2317" s="1">
        <v>30864</v>
      </c>
      <c r="AH2317" s="1">
        <v>30864</v>
      </c>
      <c r="AI2317" s="1">
        <v>30864</v>
      </c>
      <c r="AJ2317" s="1">
        <v>38169</v>
      </c>
      <c r="AK2317" t="s">
        <v>51</v>
      </c>
      <c r="AN2317">
        <v>0</v>
      </c>
      <c r="AO2317" t="s">
        <v>54</v>
      </c>
      <c r="AP2317" t="s">
        <v>53</v>
      </c>
      <c r="AQ2317">
        <v>0</v>
      </c>
      <c r="AR2317" t="s">
        <v>145</v>
      </c>
      <c r="AS2317">
        <v>0</v>
      </c>
      <c r="AT2317">
        <v>0</v>
      </c>
      <c r="AW2317" t="s">
        <v>172</v>
      </c>
      <c r="AX2317">
        <v>15</v>
      </c>
      <c r="AY2317" s="1">
        <v>30864</v>
      </c>
      <c r="AZ2317" s="1">
        <v>30864</v>
      </c>
      <c r="BA2317" s="1">
        <v>30864</v>
      </c>
      <c r="BB2317" s="1">
        <v>36342</v>
      </c>
      <c r="BC2317" t="s">
        <v>51</v>
      </c>
      <c r="BE2317" t="s">
        <v>54</v>
      </c>
      <c r="BF2317">
        <v>40</v>
      </c>
      <c r="BG2317">
        <v>0</v>
      </c>
      <c r="BH2317" t="s">
        <v>145</v>
      </c>
      <c r="CC2317" t="s">
        <v>250</v>
      </c>
      <c r="CD2317">
        <v>100000</v>
      </c>
      <c r="CE2317" s="1">
        <v>44315</v>
      </c>
      <c r="CF2317" s="1">
        <v>44315</v>
      </c>
      <c r="CG2317" s="1">
        <v>44315</v>
      </c>
      <c r="CH2317" s="1">
        <v>52798</v>
      </c>
      <c r="CI2317" t="s">
        <v>51</v>
      </c>
      <c r="CK2317" t="s">
        <v>78</v>
      </c>
      <c r="CM2317" t="s">
        <v>54</v>
      </c>
      <c r="CN2317" t="s">
        <v>174</v>
      </c>
      <c r="CR2317">
        <v>13.2</v>
      </c>
      <c r="CS2317">
        <v>1800</v>
      </c>
      <c r="CT2317">
        <v>0</v>
      </c>
      <c r="CU2317">
        <v>16</v>
      </c>
      <c r="CX2317" t="s">
        <v>674</v>
      </c>
      <c r="CY2317">
        <v>0</v>
      </c>
      <c r="CZ2317" s="1">
        <v>44315</v>
      </c>
      <c r="DA2317" s="1">
        <v>44315</v>
      </c>
      <c r="DB2317" s="1">
        <v>44315</v>
      </c>
      <c r="DC2317" s="1">
        <v>44315</v>
      </c>
      <c r="DD2317" t="s">
        <v>51</v>
      </c>
      <c r="DF2317" t="s">
        <v>54</v>
      </c>
      <c r="DG2317">
        <v>0</v>
      </c>
      <c r="DH2317">
        <v>0</v>
      </c>
    </row>
    <row r="2318" spans="1:112" x14ac:dyDescent="0.2">
      <c r="A2318" t="s">
        <v>1012</v>
      </c>
      <c r="B2318" t="s">
        <v>1013</v>
      </c>
      <c r="C2318" t="s">
        <v>1052</v>
      </c>
      <c r="D2318" t="s">
        <v>1078</v>
      </c>
      <c r="F2318" t="str">
        <f>"251876"</f>
        <v>251876</v>
      </c>
      <c r="G2318" t="s">
        <v>49</v>
      </c>
      <c r="H2318">
        <v>27</v>
      </c>
      <c r="K2318" t="s">
        <v>51</v>
      </c>
      <c r="L2318" t="s">
        <v>52</v>
      </c>
      <c r="M2318">
        <v>131728.20199999999</v>
      </c>
      <c r="N2318">
        <v>474461.44799999997</v>
      </c>
      <c r="O2318" t="s">
        <v>53</v>
      </c>
      <c r="P2318" t="s">
        <v>54</v>
      </c>
      <c r="Q2318" t="s">
        <v>55</v>
      </c>
      <c r="T2318" t="s">
        <v>81</v>
      </c>
      <c r="U2318">
        <v>40</v>
      </c>
      <c r="V2318" s="1">
        <v>30682</v>
      </c>
      <c r="W2318" s="1">
        <v>30682</v>
      </c>
      <c r="X2318" s="1">
        <v>30682</v>
      </c>
      <c r="Y2318" s="1">
        <v>45292</v>
      </c>
      <c r="Z2318" t="s">
        <v>51</v>
      </c>
      <c r="AB2318" t="s">
        <v>54</v>
      </c>
      <c r="AC2318">
        <v>1</v>
      </c>
      <c r="AE2318" t="s">
        <v>356</v>
      </c>
      <c r="AF2318">
        <v>20</v>
      </c>
      <c r="AG2318" s="1">
        <v>30864</v>
      </c>
      <c r="AH2318" s="1">
        <v>30864</v>
      </c>
      <c r="AI2318" s="1">
        <v>30864</v>
      </c>
      <c r="AJ2318" s="1">
        <v>38169</v>
      </c>
      <c r="AK2318" t="s">
        <v>51</v>
      </c>
      <c r="AN2318">
        <v>0</v>
      </c>
      <c r="AO2318" t="s">
        <v>54</v>
      </c>
      <c r="AP2318" t="s">
        <v>53</v>
      </c>
      <c r="AQ2318">
        <v>0</v>
      </c>
      <c r="AR2318" t="s">
        <v>145</v>
      </c>
      <c r="AS2318">
        <v>0</v>
      </c>
      <c r="AT2318">
        <v>0</v>
      </c>
      <c r="AW2318" t="s">
        <v>172</v>
      </c>
      <c r="AX2318">
        <v>15</v>
      </c>
      <c r="AY2318" s="1">
        <v>30864</v>
      </c>
      <c r="AZ2318" s="1">
        <v>30864</v>
      </c>
      <c r="BA2318" s="1">
        <v>30864</v>
      </c>
      <c r="BB2318" s="1">
        <v>36342</v>
      </c>
      <c r="BC2318" t="s">
        <v>51</v>
      </c>
      <c r="BE2318" t="s">
        <v>54</v>
      </c>
      <c r="BF2318">
        <v>40</v>
      </c>
      <c r="BG2318">
        <v>0</v>
      </c>
      <c r="BH2318" t="s">
        <v>145</v>
      </c>
      <c r="CC2318" t="s">
        <v>250</v>
      </c>
      <c r="CD2318">
        <v>100000</v>
      </c>
      <c r="CE2318" s="1">
        <v>44315</v>
      </c>
      <c r="CF2318" s="1">
        <v>44315</v>
      </c>
      <c r="CG2318" s="1">
        <v>44315</v>
      </c>
      <c r="CH2318" s="1">
        <v>52798</v>
      </c>
      <c r="CI2318" t="s">
        <v>51</v>
      </c>
      <c r="CK2318" t="s">
        <v>78</v>
      </c>
      <c r="CM2318" t="s">
        <v>54</v>
      </c>
      <c r="CN2318" t="s">
        <v>174</v>
      </c>
      <c r="CR2318">
        <v>13.2</v>
      </c>
      <c r="CS2318">
        <v>1800</v>
      </c>
      <c r="CT2318">
        <v>0</v>
      </c>
      <c r="CU2318">
        <v>16</v>
      </c>
      <c r="CX2318" t="s">
        <v>674</v>
      </c>
      <c r="CY2318">
        <v>0</v>
      </c>
      <c r="CZ2318" s="1">
        <v>44315</v>
      </c>
      <c r="DA2318" s="1">
        <v>44315</v>
      </c>
      <c r="DB2318" s="1">
        <v>44315</v>
      </c>
      <c r="DC2318" s="1">
        <v>44315</v>
      </c>
      <c r="DD2318" t="s">
        <v>51</v>
      </c>
      <c r="DF2318" t="s">
        <v>54</v>
      </c>
      <c r="DG2318">
        <v>0</v>
      </c>
      <c r="DH2318">
        <v>0</v>
      </c>
    </row>
    <row r="2319" spans="1:112" x14ac:dyDescent="0.2">
      <c r="A2319" t="s">
        <v>1012</v>
      </c>
      <c r="B2319" t="s">
        <v>1013</v>
      </c>
      <c r="C2319" t="s">
        <v>1052</v>
      </c>
      <c r="D2319" t="s">
        <v>1078</v>
      </c>
      <c r="F2319" t="str">
        <f>"251877"</f>
        <v>251877</v>
      </c>
      <c r="G2319" t="s">
        <v>49</v>
      </c>
      <c r="H2319">
        <v>37</v>
      </c>
      <c r="K2319" t="s">
        <v>51</v>
      </c>
      <c r="L2319" t="s">
        <v>52</v>
      </c>
      <c r="M2319">
        <v>131735.15</v>
      </c>
      <c r="N2319">
        <v>474490.54</v>
      </c>
      <c r="O2319" t="s">
        <v>53</v>
      </c>
      <c r="P2319" t="s">
        <v>54</v>
      </c>
      <c r="Q2319" t="s">
        <v>55</v>
      </c>
      <c r="T2319" t="s">
        <v>81</v>
      </c>
      <c r="U2319">
        <v>40</v>
      </c>
      <c r="V2319" s="1">
        <v>30682</v>
      </c>
      <c r="W2319" s="1">
        <v>30682</v>
      </c>
      <c r="X2319" s="1">
        <v>30682</v>
      </c>
      <c r="Y2319" s="1">
        <v>45292</v>
      </c>
      <c r="Z2319" t="s">
        <v>51</v>
      </c>
      <c r="AB2319" t="s">
        <v>54</v>
      </c>
      <c r="AC2319">
        <v>1</v>
      </c>
      <c r="AE2319" t="s">
        <v>57</v>
      </c>
      <c r="AF2319">
        <v>20</v>
      </c>
      <c r="AG2319" s="1">
        <v>30864</v>
      </c>
      <c r="AH2319" s="1">
        <v>30864</v>
      </c>
      <c r="AI2319" s="1">
        <v>30864</v>
      </c>
      <c r="AJ2319" s="1">
        <v>38169</v>
      </c>
      <c r="AK2319" t="s">
        <v>51</v>
      </c>
      <c r="AN2319">
        <v>0</v>
      </c>
      <c r="AO2319" t="s">
        <v>54</v>
      </c>
      <c r="AP2319" t="s">
        <v>53</v>
      </c>
      <c r="AQ2319">
        <v>0</v>
      </c>
      <c r="AR2319" t="s">
        <v>53</v>
      </c>
      <c r="AS2319">
        <v>0</v>
      </c>
      <c r="AT2319">
        <v>0</v>
      </c>
      <c r="AW2319" t="s">
        <v>58</v>
      </c>
      <c r="AX2319">
        <v>20</v>
      </c>
      <c r="AY2319" s="1">
        <v>30864</v>
      </c>
      <c r="AZ2319" s="1">
        <v>30864</v>
      </c>
      <c r="BA2319" s="1">
        <v>30864</v>
      </c>
      <c r="BB2319" s="1">
        <v>38169</v>
      </c>
      <c r="BC2319" t="s">
        <v>51</v>
      </c>
      <c r="BE2319" t="s">
        <v>54</v>
      </c>
      <c r="BF2319">
        <v>2</v>
      </c>
      <c r="BG2319">
        <v>0</v>
      </c>
      <c r="BH2319" t="s">
        <v>53</v>
      </c>
      <c r="BI2319">
        <v>1</v>
      </c>
      <c r="BK2319" t="s">
        <v>59</v>
      </c>
      <c r="BL2319">
        <v>14000</v>
      </c>
      <c r="BM2319" s="1">
        <v>41456</v>
      </c>
      <c r="BN2319" s="1">
        <v>41456</v>
      </c>
      <c r="BO2319" s="1">
        <v>41456</v>
      </c>
      <c r="BP2319" s="1">
        <v>42656</v>
      </c>
      <c r="BQ2319" t="s">
        <v>51</v>
      </c>
      <c r="BS2319" t="s">
        <v>60</v>
      </c>
      <c r="BT2319" t="s">
        <v>54</v>
      </c>
      <c r="BU2319" t="s">
        <v>61</v>
      </c>
      <c r="BV2319" t="s">
        <v>62</v>
      </c>
      <c r="BX2319">
        <v>24</v>
      </c>
      <c r="BY2319">
        <v>0</v>
      </c>
      <c r="BZ2319">
        <v>0</v>
      </c>
      <c r="CX2319" t="s">
        <v>674</v>
      </c>
      <c r="CY2319">
        <v>0</v>
      </c>
      <c r="CZ2319" s="1">
        <v>44315</v>
      </c>
      <c r="DA2319" s="1">
        <v>44315</v>
      </c>
      <c r="DB2319" s="1">
        <v>44315</v>
      </c>
      <c r="DC2319" s="1">
        <v>44315</v>
      </c>
      <c r="DD2319" t="s">
        <v>51</v>
      </c>
      <c r="DF2319" t="s">
        <v>54</v>
      </c>
      <c r="DG2319">
        <v>0</v>
      </c>
      <c r="DH2319">
        <v>0</v>
      </c>
    </row>
    <row r="2320" spans="1:112" x14ac:dyDescent="0.2">
      <c r="A2320" t="s">
        <v>1012</v>
      </c>
      <c r="B2320" t="s">
        <v>1013</v>
      </c>
      <c r="C2320" t="s">
        <v>1052</v>
      </c>
      <c r="D2320" t="s">
        <v>1078</v>
      </c>
      <c r="F2320" t="str">
        <f>"251878"</f>
        <v>251878</v>
      </c>
      <c r="G2320" t="s">
        <v>49</v>
      </c>
      <c r="H2320">
        <v>40</v>
      </c>
      <c r="K2320" t="s">
        <v>51</v>
      </c>
      <c r="L2320" t="s">
        <v>52</v>
      </c>
      <c r="M2320">
        <v>131734.45000000001</v>
      </c>
      <c r="N2320">
        <v>474525.66</v>
      </c>
      <c r="O2320" t="s">
        <v>53</v>
      </c>
      <c r="P2320" t="s">
        <v>54</v>
      </c>
      <c r="Q2320" t="s">
        <v>55</v>
      </c>
      <c r="T2320" t="s">
        <v>81</v>
      </c>
      <c r="U2320">
        <v>40</v>
      </c>
      <c r="V2320" s="1">
        <v>30682</v>
      </c>
      <c r="W2320" s="1">
        <v>30682</v>
      </c>
      <c r="X2320" s="1">
        <v>30682</v>
      </c>
      <c r="Y2320" s="1">
        <v>45292</v>
      </c>
      <c r="Z2320" t="s">
        <v>51</v>
      </c>
      <c r="AB2320" t="s">
        <v>54</v>
      </c>
      <c r="AC2320">
        <v>1</v>
      </c>
      <c r="AE2320" t="s">
        <v>356</v>
      </c>
      <c r="AF2320">
        <v>20</v>
      </c>
      <c r="AG2320" s="1">
        <v>30864</v>
      </c>
      <c r="AH2320" s="1">
        <v>30864</v>
      </c>
      <c r="AI2320" s="1">
        <v>30864</v>
      </c>
      <c r="AJ2320" s="1">
        <v>38169</v>
      </c>
      <c r="AK2320" t="s">
        <v>51</v>
      </c>
      <c r="AN2320">
        <v>0</v>
      </c>
      <c r="AO2320" t="s">
        <v>54</v>
      </c>
      <c r="AP2320" t="s">
        <v>53</v>
      </c>
      <c r="AQ2320">
        <v>0</v>
      </c>
      <c r="AR2320" t="s">
        <v>145</v>
      </c>
      <c r="AS2320">
        <v>0</v>
      </c>
      <c r="AT2320">
        <v>0</v>
      </c>
      <c r="AW2320" t="s">
        <v>172</v>
      </c>
      <c r="AX2320">
        <v>15</v>
      </c>
      <c r="AY2320" s="1">
        <v>30864</v>
      </c>
      <c r="AZ2320" s="1">
        <v>30864</v>
      </c>
      <c r="BA2320" s="1">
        <v>30864</v>
      </c>
      <c r="BB2320" s="1">
        <v>36342</v>
      </c>
      <c r="BC2320" t="s">
        <v>51</v>
      </c>
      <c r="BE2320" t="s">
        <v>54</v>
      </c>
      <c r="BF2320">
        <v>40</v>
      </c>
      <c r="BG2320">
        <v>0</v>
      </c>
      <c r="BH2320" t="s">
        <v>145</v>
      </c>
      <c r="CC2320" t="s">
        <v>250</v>
      </c>
      <c r="CD2320">
        <v>100000</v>
      </c>
      <c r="CE2320" s="1">
        <v>44320</v>
      </c>
      <c r="CF2320" s="1">
        <v>44320</v>
      </c>
      <c r="CG2320" s="1">
        <v>44320</v>
      </c>
      <c r="CH2320" s="1">
        <v>52802</v>
      </c>
      <c r="CI2320" t="s">
        <v>51</v>
      </c>
      <c r="CK2320" t="s">
        <v>78</v>
      </c>
      <c r="CM2320" t="s">
        <v>54</v>
      </c>
      <c r="CN2320" t="s">
        <v>174</v>
      </c>
      <c r="CR2320">
        <v>13.2</v>
      </c>
      <c r="CS2320">
        <v>1800</v>
      </c>
      <c r="CT2320">
        <v>0</v>
      </c>
      <c r="CU2320">
        <v>16</v>
      </c>
      <c r="CX2320" t="s">
        <v>674</v>
      </c>
      <c r="CY2320">
        <v>0</v>
      </c>
      <c r="CZ2320" s="1">
        <v>44320</v>
      </c>
      <c r="DA2320" s="1">
        <v>44320</v>
      </c>
      <c r="DB2320" s="1">
        <v>44320</v>
      </c>
      <c r="DC2320" s="1">
        <v>44320</v>
      </c>
      <c r="DD2320" t="s">
        <v>51</v>
      </c>
      <c r="DF2320" t="s">
        <v>54</v>
      </c>
      <c r="DG2320">
        <v>0</v>
      </c>
      <c r="DH2320">
        <v>0</v>
      </c>
    </row>
    <row r="2321" spans="1:112" x14ac:dyDescent="0.2">
      <c r="A2321" t="s">
        <v>1012</v>
      </c>
      <c r="B2321" t="s">
        <v>1013</v>
      </c>
      <c r="C2321" t="s">
        <v>1052</v>
      </c>
      <c r="D2321" t="s">
        <v>1078</v>
      </c>
      <c r="F2321" t="str">
        <f>"251879"</f>
        <v>251879</v>
      </c>
      <c r="G2321" t="s">
        <v>49</v>
      </c>
      <c r="H2321">
        <v>59</v>
      </c>
      <c r="K2321" t="s">
        <v>51</v>
      </c>
      <c r="L2321" t="s">
        <v>52</v>
      </c>
      <c r="M2321">
        <v>131736.29999999999</v>
      </c>
      <c r="N2321">
        <v>474558.21</v>
      </c>
      <c r="O2321" t="s">
        <v>53</v>
      </c>
      <c r="P2321" t="s">
        <v>54</v>
      </c>
      <c r="Q2321" t="s">
        <v>55</v>
      </c>
      <c r="T2321" t="s">
        <v>81</v>
      </c>
      <c r="U2321">
        <v>40</v>
      </c>
      <c r="V2321" s="1">
        <v>30682</v>
      </c>
      <c r="W2321" s="1">
        <v>30682</v>
      </c>
      <c r="X2321" s="1">
        <v>30682</v>
      </c>
      <c r="Y2321" s="1">
        <v>45292</v>
      </c>
      <c r="Z2321" t="s">
        <v>51</v>
      </c>
      <c r="AB2321" t="s">
        <v>54</v>
      </c>
      <c r="AC2321">
        <v>1</v>
      </c>
      <c r="AE2321" t="s">
        <v>356</v>
      </c>
      <c r="AF2321">
        <v>20</v>
      </c>
      <c r="AG2321" s="1">
        <v>30864</v>
      </c>
      <c r="AH2321" s="1">
        <v>30864</v>
      </c>
      <c r="AI2321" s="1">
        <v>30864</v>
      </c>
      <c r="AJ2321" s="1">
        <v>38169</v>
      </c>
      <c r="AK2321" t="s">
        <v>51</v>
      </c>
      <c r="AN2321">
        <v>0</v>
      </c>
      <c r="AO2321" t="s">
        <v>54</v>
      </c>
      <c r="AP2321" t="s">
        <v>53</v>
      </c>
      <c r="AQ2321">
        <v>0</v>
      </c>
      <c r="AR2321" t="s">
        <v>145</v>
      </c>
      <c r="AS2321">
        <v>0</v>
      </c>
      <c r="AT2321">
        <v>0</v>
      </c>
      <c r="AW2321" t="s">
        <v>172</v>
      </c>
      <c r="AX2321">
        <v>15</v>
      </c>
      <c r="AY2321" s="1">
        <v>30864</v>
      </c>
      <c r="AZ2321" s="1">
        <v>30864</v>
      </c>
      <c r="BA2321" s="1">
        <v>30864</v>
      </c>
      <c r="BB2321" s="1">
        <v>36342</v>
      </c>
      <c r="BC2321" t="s">
        <v>51</v>
      </c>
      <c r="BE2321" t="s">
        <v>54</v>
      </c>
      <c r="BF2321">
        <v>40</v>
      </c>
      <c r="BG2321">
        <v>0</v>
      </c>
      <c r="BH2321" t="s">
        <v>145</v>
      </c>
      <c r="CC2321" t="s">
        <v>250</v>
      </c>
      <c r="CD2321">
        <v>100000</v>
      </c>
      <c r="CE2321" s="1">
        <v>44320</v>
      </c>
      <c r="CF2321" s="1">
        <v>44320</v>
      </c>
      <c r="CG2321" s="1">
        <v>44320</v>
      </c>
      <c r="CH2321" s="1">
        <v>52802</v>
      </c>
      <c r="CI2321" t="s">
        <v>51</v>
      </c>
      <c r="CK2321" t="s">
        <v>78</v>
      </c>
      <c r="CM2321" t="s">
        <v>54</v>
      </c>
      <c r="CN2321" t="s">
        <v>174</v>
      </c>
      <c r="CR2321">
        <v>13.2</v>
      </c>
      <c r="CS2321">
        <v>1800</v>
      </c>
      <c r="CT2321">
        <v>0</v>
      </c>
      <c r="CU2321">
        <v>16</v>
      </c>
      <c r="CX2321" t="s">
        <v>674</v>
      </c>
      <c r="CY2321">
        <v>0</v>
      </c>
      <c r="CZ2321" s="1">
        <v>44320</v>
      </c>
      <c r="DA2321" s="1">
        <v>44320</v>
      </c>
      <c r="DB2321" s="1">
        <v>44320</v>
      </c>
      <c r="DC2321" s="1">
        <v>44320</v>
      </c>
      <c r="DD2321" t="s">
        <v>51</v>
      </c>
      <c r="DF2321" t="s">
        <v>54</v>
      </c>
      <c r="DG2321">
        <v>0</v>
      </c>
      <c r="DH2321">
        <v>0</v>
      </c>
    </row>
    <row r="2322" spans="1:112" x14ac:dyDescent="0.2">
      <c r="A2322" t="s">
        <v>1012</v>
      </c>
      <c r="B2322" t="s">
        <v>1013</v>
      </c>
      <c r="C2322" t="s">
        <v>1052</v>
      </c>
      <c r="D2322" t="s">
        <v>1078</v>
      </c>
      <c r="F2322" t="str">
        <f>"251880"</f>
        <v>251880</v>
      </c>
      <c r="G2322" t="s">
        <v>49</v>
      </c>
      <c r="H2322">
        <v>61</v>
      </c>
      <c r="K2322" t="s">
        <v>51</v>
      </c>
      <c r="L2322" t="s">
        <v>52</v>
      </c>
      <c r="M2322">
        <v>131739.60999999999</v>
      </c>
      <c r="N2322">
        <v>474578.9</v>
      </c>
      <c r="O2322" t="s">
        <v>53</v>
      </c>
      <c r="P2322" t="s">
        <v>54</v>
      </c>
      <c r="Q2322" t="s">
        <v>55</v>
      </c>
      <c r="T2322" t="s">
        <v>81</v>
      </c>
      <c r="U2322">
        <v>40</v>
      </c>
      <c r="V2322" s="1">
        <v>30682</v>
      </c>
      <c r="W2322" s="1">
        <v>30682</v>
      </c>
      <c r="X2322" s="1">
        <v>30682</v>
      </c>
      <c r="Y2322" s="1">
        <v>45292</v>
      </c>
      <c r="Z2322" t="s">
        <v>51</v>
      </c>
      <c r="AB2322" t="s">
        <v>54</v>
      </c>
      <c r="AC2322">
        <v>1</v>
      </c>
      <c r="AE2322" t="s">
        <v>613</v>
      </c>
      <c r="AF2322">
        <v>20</v>
      </c>
      <c r="AG2322" s="1">
        <v>30864</v>
      </c>
      <c r="AH2322" s="1">
        <v>30864</v>
      </c>
      <c r="AI2322" s="1">
        <v>30864</v>
      </c>
      <c r="AJ2322" s="1">
        <v>38169</v>
      </c>
      <c r="AK2322" t="s">
        <v>51</v>
      </c>
      <c r="AN2322">
        <v>0</v>
      </c>
      <c r="AO2322" t="s">
        <v>54</v>
      </c>
      <c r="AP2322" t="s">
        <v>53</v>
      </c>
      <c r="AQ2322">
        <v>0</v>
      </c>
      <c r="AR2322" t="s">
        <v>53</v>
      </c>
      <c r="AS2322">
        <v>0</v>
      </c>
      <c r="AT2322">
        <v>0</v>
      </c>
      <c r="AW2322" t="s">
        <v>161</v>
      </c>
      <c r="AX2322">
        <v>50</v>
      </c>
      <c r="AY2322" s="1">
        <v>30864</v>
      </c>
      <c r="AZ2322" s="1">
        <v>30864</v>
      </c>
      <c r="BA2322" s="1">
        <v>30864</v>
      </c>
      <c r="BB2322" s="1">
        <v>49126</v>
      </c>
      <c r="BC2322" t="s">
        <v>51</v>
      </c>
      <c r="BE2322" t="s">
        <v>54</v>
      </c>
      <c r="BF2322">
        <v>0</v>
      </c>
      <c r="BG2322">
        <v>0</v>
      </c>
      <c r="BH2322" t="s">
        <v>53</v>
      </c>
      <c r="BI2322">
        <v>2</v>
      </c>
      <c r="BK2322" t="s">
        <v>720</v>
      </c>
      <c r="BL2322">
        <v>17000</v>
      </c>
      <c r="BM2322" s="1">
        <v>44104</v>
      </c>
      <c r="BN2322" s="1">
        <v>44104</v>
      </c>
      <c r="BO2322" s="1">
        <v>44104</v>
      </c>
      <c r="BP2322" s="1">
        <v>45540</v>
      </c>
      <c r="BQ2322" t="s">
        <v>51</v>
      </c>
      <c r="BS2322" t="s">
        <v>60</v>
      </c>
      <c r="BT2322" t="s">
        <v>54</v>
      </c>
      <c r="BU2322" t="s">
        <v>721</v>
      </c>
      <c r="BV2322" t="s">
        <v>722</v>
      </c>
      <c r="BX2322">
        <v>18</v>
      </c>
      <c r="BY2322">
        <v>0</v>
      </c>
      <c r="BZ2322">
        <v>0</v>
      </c>
      <c r="CX2322" t="s">
        <v>674</v>
      </c>
      <c r="CY2322">
        <v>0</v>
      </c>
      <c r="CZ2322" s="1">
        <v>44320</v>
      </c>
      <c r="DA2322" s="1">
        <v>44320</v>
      </c>
      <c r="DB2322" s="1">
        <v>44320</v>
      </c>
      <c r="DC2322" s="1">
        <v>44320</v>
      </c>
      <c r="DD2322" t="s">
        <v>51</v>
      </c>
      <c r="DF2322" t="s">
        <v>54</v>
      </c>
      <c r="DG2322">
        <v>0</v>
      </c>
      <c r="DH2322">
        <v>0</v>
      </c>
    </row>
    <row r="2323" spans="1:112" x14ac:dyDescent="0.2">
      <c r="A2323" t="s">
        <v>1012</v>
      </c>
      <c r="B2323" t="s">
        <v>1013</v>
      </c>
      <c r="C2323" t="s">
        <v>1052</v>
      </c>
      <c r="D2323" t="s">
        <v>1078</v>
      </c>
      <c r="F2323" t="str">
        <f>"251881"</f>
        <v>251881</v>
      </c>
      <c r="G2323" t="s">
        <v>49</v>
      </c>
      <c r="H2323">
        <v>65</v>
      </c>
      <c r="K2323" t="s">
        <v>51</v>
      </c>
      <c r="L2323" t="s">
        <v>52</v>
      </c>
      <c r="M2323">
        <v>131744.37</v>
      </c>
      <c r="N2323">
        <v>474604.28</v>
      </c>
      <c r="O2323" t="s">
        <v>53</v>
      </c>
      <c r="P2323" t="s">
        <v>54</v>
      </c>
      <c r="Q2323" t="s">
        <v>55</v>
      </c>
      <c r="T2323" t="s">
        <v>81</v>
      </c>
      <c r="U2323">
        <v>40</v>
      </c>
      <c r="V2323" s="1">
        <v>30682</v>
      </c>
      <c r="W2323" s="1">
        <v>30682</v>
      </c>
      <c r="X2323" s="1">
        <v>30682</v>
      </c>
      <c r="Y2323" s="1">
        <v>45292</v>
      </c>
      <c r="Z2323" t="s">
        <v>51</v>
      </c>
      <c r="AB2323" t="s">
        <v>54</v>
      </c>
      <c r="AC2323">
        <v>1</v>
      </c>
      <c r="AE2323" t="s">
        <v>613</v>
      </c>
      <c r="AF2323">
        <v>20</v>
      </c>
      <c r="AG2323" s="1">
        <v>30864</v>
      </c>
      <c r="AH2323" s="1">
        <v>30864</v>
      </c>
      <c r="AI2323" s="1">
        <v>30864</v>
      </c>
      <c r="AJ2323" s="1">
        <v>38169</v>
      </c>
      <c r="AK2323" t="s">
        <v>51</v>
      </c>
      <c r="AN2323">
        <v>0</v>
      </c>
      <c r="AO2323" t="s">
        <v>54</v>
      </c>
      <c r="AP2323" t="s">
        <v>53</v>
      </c>
      <c r="AQ2323">
        <v>0</v>
      </c>
      <c r="AR2323" t="s">
        <v>53</v>
      </c>
      <c r="AS2323">
        <v>0</v>
      </c>
      <c r="AT2323">
        <v>0</v>
      </c>
      <c r="AW2323" t="s">
        <v>161</v>
      </c>
      <c r="AX2323">
        <v>50</v>
      </c>
      <c r="AY2323" s="1">
        <v>30864</v>
      </c>
      <c r="AZ2323" s="1">
        <v>30864</v>
      </c>
      <c r="BA2323" s="1">
        <v>30864</v>
      </c>
      <c r="BB2323" s="1">
        <v>49126</v>
      </c>
      <c r="BC2323" t="s">
        <v>51</v>
      </c>
      <c r="BE2323" t="s">
        <v>54</v>
      </c>
      <c r="BF2323">
        <v>0</v>
      </c>
      <c r="BG2323">
        <v>0</v>
      </c>
      <c r="BH2323" t="s">
        <v>53</v>
      </c>
      <c r="BI2323">
        <v>1</v>
      </c>
      <c r="BK2323" t="s">
        <v>720</v>
      </c>
      <c r="BL2323">
        <v>17000</v>
      </c>
      <c r="BM2323" s="1">
        <v>44104</v>
      </c>
      <c r="BN2323" s="1">
        <v>44104</v>
      </c>
      <c r="BO2323" s="1">
        <v>44104</v>
      </c>
      <c r="BP2323" s="1">
        <v>45540</v>
      </c>
      <c r="BQ2323" t="s">
        <v>51</v>
      </c>
      <c r="BS2323" t="s">
        <v>60</v>
      </c>
      <c r="BT2323" t="s">
        <v>54</v>
      </c>
      <c r="BU2323" t="s">
        <v>721</v>
      </c>
      <c r="BV2323" t="s">
        <v>722</v>
      </c>
      <c r="BX2323">
        <v>18</v>
      </c>
      <c r="BY2323">
        <v>0</v>
      </c>
      <c r="BZ2323">
        <v>0</v>
      </c>
      <c r="CX2323" t="s">
        <v>674</v>
      </c>
      <c r="CY2323">
        <v>0</v>
      </c>
      <c r="CZ2323" s="1">
        <v>44320</v>
      </c>
      <c r="DA2323" s="1">
        <v>44320</v>
      </c>
      <c r="DB2323" s="1">
        <v>44320</v>
      </c>
      <c r="DC2323" s="1">
        <v>44320</v>
      </c>
      <c r="DD2323" t="s">
        <v>51</v>
      </c>
      <c r="DF2323" t="s">
        <v>54</v>
      </c>
      <c r="DG2323">
        <v>0</v>
      </c>
      <c r="DH2323">
        <v>0</v>
      </c>
    </row>
    <row r="2324" spans="1:112" x14ac:dyDescent="0.2">
      <c r="A2324" t="s">
        <v>1012</v>
      </c>
      <c r="B2324" t="s">
        <v>1013</v>
      </c>
      <c r="C2324" t="s">
        <v>1052</v>
      </c>
      <c r="D2324" t="s">
        <v>1078</v>
      </c>
      <c r="F2324" t="str">
        <f>"251882"</f>
        <v>251882</v>
      </c>
      <c r="G2324" t="s">
        <v>49</v>
      </c>
      <c r="H2324">
        <v>71</v>
      </c>
      <c r="K2324" t="s">
        <v>51</v>
      </c>
      <c r="L2324" t="s">
        <v>52</v>
      </c>
      <c r="M2324">
        <v>131749.44</v>
      </c>
      <c r="N2324">
        <v>474630.77</v>
      </c>
      <c r="O2324" t="s">
        <v>53</v>
      </c>
      <c r="P2324" t="s">
        <v>54</v>
      </c>
      <c r="Q2324" t="s">
        <v>55</v>
      </c>
      <c r="T2324" t="s">
        <v>81</v>
      </c>
      <c r="U2324">
        <v>40</v>
      </c>
      <c r="V2324" s="1">
        <v>30682</v>
      </c>
      <c r="W2324" s="1">
        <v>30682</v>
      </c>
      <c r="X2324" s="1">
        <v>30682</v>
      </c>
      <c r="Y2324" s="1">
        <v>45292</v>
      </c>
      <c r="Z2324" t="s">
        <v>51</v>
      </c>
      <c r="AB2324" t="s">
        <v>54</v>
      </c>
      <c r="AC2324">
        <v>1</v>
      </c>
      <c r="AE2324" t="s">
        <v>613</v>
      </c>
      <c r="AF2324">
        <v>20</v>
      </c>
      <c r="AG2324" s="1">
        <v>30864</v>
      </c>
      <c r="AH2324" s="1">
        <v>30864</v>
      </c>
      <c r="AI2324" s="1">
        <v>30864</v>
      </c>
      <c r="AJ2324" s="1">
        <v>38169</v>
      </c>
      <c r="AK2324" t="s">
        <v>51</v>
      </c>
      <c r="AN2324">
        <v>0</v>
      </c>
      <c r="AO2324" t="s">
        <v>54</v>
      </c>
      <c r="AP2324" t="s">
        <v>53</v>
      </c>
      <c r="AQ2324">
        <v>0</v>
      </c>
      <c r="AR2324" t="s">
        <v>53</v>
      </c>
      <c r="AS2324">
        <v>0</v>
      </c>
      <c r="AT2324">
        <v>0</v>
      </c>
      <c r="AW2324" t="s">
        <v>161</v>
      </c>
      <c r="AX2324">
        <v>50</v>
      </c>
      <c r="AY2324" s="1">
        <v>30864</v>
      </c>
      <c r="AZ2324" s="1">
        <v>30864</v>
      </c>
      <c r="BA2324" s="1">
        <v>30864</v>
      </c>
      <c r="BB2324" s="1">
        <v>49126</v>
      </c>
      <c r="BC2324" t="s">
        <v>51</v>
      </c>
      <c r="BE2324" t="s">
        <v>54</v>
      </c>
      <c r="BF2324">
        <v>0</v>
      </c>
      <c r="BG2324">
        <v>0</v>
      </c>
      <c r="BH2324" t="s">
        <v>53</v>
      </c>
      <c r="BI2324">
        <v>2</v>
      </c>
      <c r="BK2324" t="s">
        <v>720</v>
      </c>
      <c r="BL2324">
        <v>17000</v>
      </c>
      <c r="BM2324" s="1">
        <v>44642</v>
      </c>
      <c r="BN2324" s="1">
        <v>44642</v>
      </c>
      <c r="BO2324" s="1">
        <v>44642</v>
      </c>
      <c r="BP2324" s="1">
        <v>46080</v>
      </c>
      <c r="BQ2324" t="s">
        <v>51</v>
      </c>
      <c r="BS2324" t="s">
        <v>60</v>
      </c>
      <c r="BT2324" t="s">
        <v>54</v>
      </c>
      <c r="BU2324" t="s">
        <v>721</v>
      </c>
      <c r="BV2324" t="s">
        <v>722</v>
      </c>
      <c r="BX2324">
        <v>18</v>
      </c>
      <c r="BY2324">
        <v>0</v>
      </c>
      <c r="BZ2324">
        <v>0</v>
      </c>
      <c r="CX2324" t="s">
        <v>674</v>
      </c>
      <c r="CY2324">
        <v>0</v>
      </c>
      <c r="CZ2324" s="1">
        <v>44320</v>
      </c>
      <c r="DA2324" s="1">
        <v>44320</v>
      </c>
      <c r="DB2324" s="1">
        <v>44320</v>
      </c>
      <c r="DC2324" s="1">
        <v>44320</v>
      </c>
      <c r="DD2324" t="s">
        <v>51</v>
      </c>
      <c r="DF2324" t="s">
        <v>54</v>
      </c>
      <c r="DG2324">
        <v>0</v>
      </c>
      <c r="DH2324">
        <v>0</v>
      </c>
    </row>
    <row r="2325" spans="1:112" x14ac:dyDescent="0.2">
      <c r="A2325" t="s">
        <v>1012</v>
      </c>
      <c r="B2325" t="s">
        <v>1013</v>
      </c>
      <c r="C2325" t="s">
        <v>1052</v>
      </c>
      <c r="D2325" t="s">
        <v>1078</v>
      </c>
      <c r="F2325" t="str">
        <f>"251883"</f>
        <v>251883</v>
      </c>
      <c r="G2325" t="s">
        <v>49</v>
      </c>
      <c r="H2325">
        <v>77</v>
      </c>
      <c r="K2325" t="s">
        <v>51</v>
      </c>
      <c r="L2325" t="s">
        <v>52</v>
      </c>
      <c r="M2325">
        <v>131754.01999999999</v>
      </c>
      <c r="N2325">
        <v>474656</v>
      </c>
      <c r="O2325" t="s">
        <v>53</v>
      </c>
      <c r="P2325" t="s">
        <v>54</v>
      </c>
      <c r="Q2325" t="s">
        <v>55</v>
      </c>
      <c r="T2325" t="s">
        <v>81</v>
      </c>
      <c r="U2325">
        <v>40</v>
      </c>
      <c r="V2325" s="1">
        <v>30682</v>
      </c>
      <c r="W2325" s="1">
        <v>30682</v>
      </c>
      <c r="X2325" s="1">
        <v>30682</v>
      </c>
      <c r="Y2325" s="1">
        <v>45292</v>
      </c>
      <c r="Z2325" t="s">
        <v>51</v>
      </c>
      <c r="AB2325" t="s">
        <v>54</v>
      </c>
      <c r="AC2325">
        <v>1</v>
      </c>
      <c r="AE2325" t="s">
        <v>613</v>
      </c>
      <c r="AF2325">
        <v>20</v>
      </c>
      <c r="AG2325" s="1">
        <v>30864</v>
      </c>
      <c r="AH2325" s="1">
        <v>30864</v>
      </c>
      <c r="AI2325" s="1">
        <v>30864</v>
      </c>
      <c r="AJ2325" s="1">
        <v>38169</v>
      </c>
      <c r="AK2325" t="s">
        <v>51</v>
      </c>
      <c r="AN2325">
        <v>0</v>
      </c>
      <c r="AO2325" t="s">
        <v>54</v>
      </c>
      <c r="AP2325" t="s">
        <v>53</v>
      </c>
      <c r="AQ2325">
        <v>0</v>
      </c>
      <c r="AR2325" t="s">
        <v>53</v>
      </c>
      <c r="AS2325">
        <v>0</v>
      </c>
      <c r="AT2325">
        <v>0</v>
      </c>
      <c r="AW2325" t="s">
        <v>161</v>
      </c>
      <c r="AX2325">
        <v>50</v>
      </c>
      <c r="AY2325" s="1">
        <v>30864</v>
      </c>
      <c r="AZ2325" s="1">
        <v>30864</v>
      </c>
      <c r="BA2325" s="1">
        <v>30864</v>
      </c>
      <c r="BB2325" s="1">
        <v>49126</v>
      </c>
      <c r="BC2325" t="s">
        <v>51</v>
      </c>
      <c r="BE2325" t="s">
        <v>54</v>
      </c>
      <c r="BF2325">
        <v>0</v>
      </c>
      <c r="BG2325">
        <v>0</v>
      </c>
      <c r="BH2325" t="s">
        <v>53</v>
      </c>
      <c r="BI2325">
        <v>1</v>
      </c>
      <c r="BK2325" t="s">
        <v>720</v>
      </c>
      <c r="BL2325">
        <v>17000</v>
      </c>
      <c r="BM2325" s="1">
        <v>44963</v>
      </c>
      <c r="BN2325" s="1">
        <v>44963</v>
      </c>
      <c r="BO2325" s="1">
        <v>44963</v>
      </c>
      <c r="BP2325" s="1">
        <v>46405</v>
      </c>
      <c r="BQ2325" t="s">
        <v>51</v>
      </c>
      <c r="BS2325" t="s">
        <v>60</v>
      </c>
      <c r="BT2325" t="s">
        <v>54</v>
      </c>
      <c r="BU2325" t="s">
        <v>721</v>
      </c>
      <c r="BV2325" t="s">
        <v>722</v>
      </c>
      <c r="BX2325">
        <v>18</v>
      </c>
      <c r="BY2325">
        <v>0</v>
      </c>
      <c r="BZ2325">
        <v>0</v>
      </c>
      <c r="CX2325" t="s">
        <v>674</v>
      </c>
      <c r="CY2325">
        <v>0</v>
      </c>
      <c r="CZ2325" s="1">
        <v>44320</v>
      </c>
      <c r="DA2325" s="1">
        <v>44320</v>
      </c>
      <c r="DB2325" s="1">
        <v>44320</v>
      </c>
      <c r="DC2325" s="1">
        <v>44320</v>
      </c>
      <c r="DD2325" t="s">
        <v>51</v>
      </c>
      <c r="DF2325" t="s">
        <v>54</v>
      </c>
      <c r="DG2325">
        <v>0</v>
      </c>
      <c r="DH2325">
        <v>0</v>
      </c>
    </row>
    <row r="2326" spans="1:112" x14ac:dyDescent="0.2">
      <c r="A2326" t="s">
        <v>1012</v>
      </c>
      <c r="B2326" t="s">
        <v>1013</v>
      </c>
      <c r="C2326" t="s">
        <v>1052</v>
      </c>
      <c r="D2326" t="s">
        <v>1078</v>
      </c>
      <c r="F2326" t="str">
        <f>"251884"</f>
        <v>251884</v>
      </c>
      <c r="G2326" t="s">
        <v>49</v>
      </c>
      <c r="H2326">
        <v>81</v>
      </c>
      <c r="K2326" t="s">
        <v>51</v>
      </c>
      <c r="L2326" t="s">
        <v>52</v>
      </c>
      <c r="M2326">
        <v>131755.03</v>
      </c>
      <c r="N2326">
        <v>474679.72</v>
      </c>
      <c r="O2326" t="s">
        <v>53</v>
      </c>
      <c r="P2326" t="s">
        <v>54</v>
      </c>
      <c r="Q2326" t="s">
        <v>55</v>
      </c>
      <c r="T2326" t="s">
        <v>81</v>
      </c>
      <c r="U2326">
        <v>40</v>
      </c>
      <c r="V2326" s="1">
        <v>30682</v>
      </c>
      <c r="W2326" s="1">
        <v>30682</v>
      </c>
      <c r="X2326" s="1">
        <v>30682</v>
      </c>
      <c r="Y2326" s="1">
        <v>45292</v>
      </c>
      <c r="Z2326" t="s">
        <v>51</v>
      </c>
      <c r="AB2326" t="s">
        <v>54</v>
      </c>
      <c r="AC2326">
        <v>1</v>
      </c>
      <c r="AE2326" t="s">
        <v>613</v>
      </c>
      <c r="AF2326">
        <v>20</v>
      </c>
      <c r="AG2326" s="1">
        <v>30864</v>
      </c>
      <c r="AH2326" s="1">
        <v>30864</v>
      </c>
      <c r="AI2326" s="1">
        <v>30864</v>
      </c>
      <c r="AJ2326" s="1">
        <v>38169</v>
      </c>
      <c r="AK2326" t="s">
        <v>51</v>
      </c>
      <c r="AN2326">
        <v>0</v>
      </c>
      <c r="AO2326" t="s">
        <v>54</v>
      </c>
      <c r="AP2326" t="s">
        <v>53</v>
      </c>
      <c r="AQ2326">
        <v>0</v>
      </c>
      <c r="AR2326" t="s">
        <v>53</v>
      </c>
      <c r="AS2326">
        <v>0</v>
      </c>
      <c r="AT2326">
        <v>0</v>
      </c>
      <c r="AW2326" t="s">
        <v>161</v>
      </c>
      <c r="AX2326">
        <v>50</v>
      </c>
      <c r="AY2326" s="1">
        <v>30864</v>
      </c>
      <c r="AZ2326" s="1">
        <v>30864</v>
      </c>
      <c r="BA2326" s="1">
        <v>30864</v>
      </c>
      <c r="BB2326" s="1">
        <v>49126</v>
      </c>
      <c r="BC2326" t="s">
        <v>51</v>
      </c>
      <c r="BE2326" t="s">
        <v>54</v>
      </c>
      <c r="BF2326">
        <v>0</v>
      </c>
      <c r="BG2326">
        <v>0</v>
      </c>
      <c r="BH2326" t="s">
        <v>53</v>
      </c>
      <c r="BI2326">
        <v>2</v>
      </c>
      <c r="BK2326" t="s">
        <v>720</v>
      </c>
      <c r="BL2326">
        <v>17000</v>
      </c>
      <c r="BM2326" s="1">
        <v>44104</v>
      </c>
      <c r="BN2326" s="1">
        <v>44104</v>
      </c>
      <c r="BO2326" s="1">
        <v>44104</v>
      </c>
      <c r="BP2326" s="1">
        <v>45540</v>
      </c>
      <c r="BQ2326" t="s">
        <v>51</v>
      </c>
      <c r="BS2326" t="s">
        <v>60</v>
      </c>
      <c r="BT2326" t="s">
        <v>54</v>
      </c>
      <c r="BU2326" t="s">
        <v>721</v>
      </c>
      <c r="BV2326" t="s">
        <v>722</v>
      </c>
      <c r="BX2326">
        <v>18</v>
      </c>
      <c r="BY2326">
        <v>0</v>
      </c>
      <c r="BZ2326">
        <v>0</v>
      </c>
      <c r="CX2326" t="s">
        <v>674</v>
      </c>
      <c r="CY2326">
        <v>0</v>
      </c>
      <c r="CZ2326" s="1">
        <v>44320</v>
      </c>
      <c r="DA2326" s="1">
        <v>44320</v>
      </c>
      <c r="DB2326" s="1">
        <v>44320</v>
      </c>
      <c r="DC2326" s="1">
        <v>44320</v>
      </c>
      <c r="DD2326" t="s">
        <v>51</v>
      </c>
      <c r="DF2326" t="s">
        <v>54</v>
      </c>
      <c r="DG2326">
        <v>0</v>
      </c>
      <c r="DH2326">
        <v>0</v>
      </c>
    </row>
    <row r="2327" spans="1:112" x14ac:dyDescent="0.2">
      <c r="A2327" t="s">
        <v>1012</v>
      </c>
      <c r="B2327" t="s">
        <v>1013</v>
      </c>
      <c r="C2327" t="s">
        <v>1052</v>
      </c>
      <c r="D2327" t="s">
        <v>1078</v>
      </c>
      <c r="F2327" t="str">
        <f>"251885"</f>
        <v>251885</v>
      </c>
      <c r="G2327" t="s">
        <v>49</v>
      </c>
      <c r="K2327" t="s">
        <v>51</v>
      </c>
      <c r="L2327" t="s">
        <v>52</v>
      </c>
      <c r="M2327">
        <v>131754.75099999999</v>
      </c>
      <c r="N2327">
        <v>474703.26199999999</v>
      </c>
      <c r="O2327" t="s">
        <v>53</v>
      </c>
      <c r="P2327" t="s">
        <v>54</v>
      </c>
      <c r="Q2327" t="s">
        <v>55</v>
      </c>
      <c r="T2327" t="s">
        <v>81</v>
      </c>
      <c r="U2327">
        <v>40</v>
      </c>
      <c r="V2327" s="1">
        <v>30682</v>
      </c>
      <c r="W2327" s="1">
        <v>30682</v>
      </c>
      <c r="X2327" s="1">
        <v>30682</v>
      </c>
      <c r="Y2327" s="1">
        <v>45292</v>
      </c>
      <c r="Z2327" t="s">
        <v>51</v>
      </c>
      <c r="AB2327" t="s">
        <v>54</v>
      </c>
      <c r="AC2327">
        <v>1</v>
      </c>
      <c r="AE2327" t="s">
        <v>613</v>
      </c>
      <c r="AF2327">
        <v>20</v>
      </c>
      <c r="AG2327" s="1">
        <v>30864</v>
      </c>
      <c r="AH2327" s="1">
        <v>30864</v>
      </c>
      <c r="AI2327" s="1">
        <v>30864</v>
      </c>
      <c r="AJ2327" s="1">
        <v>38169</v>
      </c>
      <c r="AK2327" t="s">
        <v>51</v>
      </c>
      <c r="AN2327">
        <v>0</v>
      </c>
      <c r="AO2327" t="s">
        <v>54</v>
      </c>
      <c r="AP2327" t="s">
        <v>53</v>
      </c>
      <c r="AQ2327">
        <v>0</v>
      </c>
      <c r="AR2327" t="s">
        <v>53</v>
      </c>
      <c r="AS2327">
        <v>0</v>
      </c>
      <c r="AT2327">
        <v>0</v>
      </c>
      <c r="AW2327" t="s">
        <v>161</v>
      </c>
      <c r="AX2327">
        <v>50</v>
      </c>
      <c r="AY2327" s="1">
        <v>30864</v>
      </c>
      <c r="AZ2327" s="1">
        <v>30864</v>
      </c>
      <c r="BA2327" s="1">
        <v>30864</v>
      </c>
      <c r="BB2327" s="1">
        <v>49126</v>
      </c>
      <c r="BC2327" t="s">
        <v>51</v>
      </c>
      <c r="BE2327" t="s">
        <v>54</v>
      </c>
      <c r="BF2327">
        <v>0</v>
      </c>
      <c r="BG2327">
        <v>0</v>
      </c>
      <c r="BH2327" t="s">
        <v>53</v>
      </c>
      <c r="BI2327">
        <v>2</v>
      </c>
      <c r="BK2327" t="s">
        <v>720</v>
      </c>
      <c r="BL2327">
        <v>17000</v>
      </c>
      <c r="BM2327" s="1">
        <v>44104</v>
      </c>
      <c r="BN2327" s="1">
        <v>44104</v>
      </c>
      <c r="BO2327" s="1">
        <v>44104</v>
      </c>
      <c r="BP2327" s="1">
        <v>45540</v>
      </c>
      <c r="BQ2327" t="s">
        <v>51</v>
      </c>
      <c r="BS2327" t="s">
        <v>60</v>
      </c>
      <c r="BT2327" t="s">
        <v>54</v>
      </c>
      <c r="BU2327" t="s">
        <v>721</v>
      </c>
      <c r="BV2327" t="s">
        <v>722</v>
      </c>
      <c r="BX2327">
        <v>18</v>
      </c>
      <c r="BY2327">
        <v>0</v>
      </c>
      <c r="BZ2327">
        <v>0</v>
      </c>
      <c r="CX2327" t="s">
        <v>674</v>
      </c>
      <c r="CY2327">
        <v>0</v>
      </c>
      <c r="CZ2327" s="1">
        <v>44320</v>
      </c>
      <c r="DA2327" s="1">
        <v>44320</v>
      </c>
      <c r="DB2327" s="1">
        <v>44320</v>
      </c>
      <c r="DC2327" s="1">
        <v>44320</v>
      </c>
      <c r="DD2327" t="s">
        <v>51</v>
      </c>
      <c r="DF2327" t="s">
        <v>54</v>
      </c>
      <c r="DG2327">
        <v>0</v>
      </c>
      <c r="DH2327">
        <v>0</v>
      </c>
    </row>
    <row r="2328" spans="1:112" x14ac:dyDescent="0.2">
      <c r="A2328" t="s">
        <v>1012</v>
      </c>
      <c r="B2328" t="s">
        <v>1013</v>
      </c>
      <c r="C2328" t="s">
        <v>1052</v>
      </c>
      <c r="D2328" t="s">
        <v>1078</v>
      </c>
      <c r="F2328" t="str">
        <f>"251886"</f>
        <v>251886</v>
      </c>
      <c r="G2328" t="s">
        <v>49</v>
      </c>
      <c r="H2328">
        <v>89</v>
      </c>
      <c r="K2328" t="s">
        <v>51</v>
      </c>
      <c r="L2328" t="s">
        <v>52</v>
      </c>
      <c r="M2328">
        <v>131739.04999999999</v>
      </c>
      <c r="N2328">
        <v>474719.41</v>
      </c>
      <c r="O2328" t="s">
        <v>53</v>
      </c>
      <c r="P2328" t="s">
        <v>54</v>
      </c>
      <c r="Q2328" t="s">
        <v>55</v>
      </c>
      <c r="T2328" t="s">
        <v>81</v>
      </c>
      <c r="U2328">
        <v>40</v>
      </c>
      <c r="V2328" s="1">
        <v>30682</v>
      </c>
      <c r="W2328" s="1">
        <v>30682</v>
      </c>
      <c r="X2328" s="1">
        <v>30682</v>
      </c>
      <c r="Y2328" s="1">
        <v>45292</v>
      </c>
      <c r="Z2328" t="s">
        <v>51</v>
      </c>
      <c r="AB2328" t="s">
        <v>54</v>
      </c>
      <c r="AC2328">
        <v>1</v>
      </c>
      <c r="AE2328" t="s">
        <v>613</v>
      </c>
      <c r="AF2328">
        <v>20</v>
      </c>
      <c r="AG2328" s="1">
        <v>30864</v>
      </c>
      <c r="AH2328" s="1">
        <v>30864</v>
      </c>
      <c r="AI2328" s="1">
        <v>30864</v>
      </c>
      <c r="AJ2328" s="1">
        <v>38169</v>
      </c>
      <c r="AK2328" t="s">
        <v>51</v>
      </c>
      <c r="AN2328">
        <v>0</v>
      </c>
      <c r="AO2328" t="s">
        <v>54</v>
      </c>
      <c r="AP2328" t="s">
        <v>53</v>
      </c>
      <c r="AQ2328">
        <v>0</v>
      </c>
      <c r="AR2328" t="s">
        <v>53</v>
      </c>
      <c r="AS2328">
        <v>0</v>
      </c>
      <c r="AT2328">
        <v>0</v>
      </c>
      <c r="AW2328" t="s">
        <v>161</v>
      </c>
      <c r="AX2328">
        <v>50</v>
      </c>
      <c r="AY2328" s="1">
        <v>30864</v>
      </c>
      <c r="AZ2328" s="1">
        <v>30864</v>
      </c>
      <c r="BA2328" s="1">
        <v>30864</v>
      </c>
      <c r="BB2328" s="1">
        <v>49126</v>
      </c>
      <c r="BC2328" t="s">
        <v>51</v>
      </c>
      <c r="BE2328" t="s">
        <v>54</v>
      </c>
      <c r="BF2328">
        <v>0</v>
      </c>
      <c r="BG2328">
        <v>0</v>
      </c>
      <c r="BH2328" t="s">
        <v>53</v>
      </c>
      <c r="BK2328" t="s">
        <v>720</v>
      </c>
      <c r="BL2328">
        <v>17000</v>
      </c>
      <c r="BM2328" s="1">
        <v>44104</v>
      </c>
      <c r="BN2328" s="1">
        <v>44104</v>
      </c>
      <c r="BO2328" s="1">
        <v>44104</v>
      </c>
      <c r="BP2328" s="1">
        <v>45540</v>
      </c>
      <c r="BQ2328" t="s">
        <v>51</v>
      </c>
      <c r="BS2328" t="s">
        <v>60</v>
      </c>
      <c r="BT2328" t="s">
        <v>54</v>
      </c>
      <c r="BU2328" t="s">
        <v>721</v>
      </c>
      <c r="BV2328" t="s">
        <v>722</v>
      </c>
      <c r="BX2328">
        <v>18</v>
      </c>
      <c r="BY2328">
        <v>0</v>
      </c>
      <c r="BZ2328">
        <v>0</v>
      </c>
      <c r="CX2328" t="s">
        <v>674</v>
      </c>
      <c r="CY2328">
        <v>0</v>
      </c>
      <c r="CZ2328" s="1">
        <v>44320</v>
      </c>
      <c r="DA2328" s="1">
        <v>44320</v>
      </c>
      <c r="DB2328" s="1">
        <v>44320</v>
      </c>
      <c r="DC2328" s="1">
        <v>44320</v>
      </c>
      <c r="DD2328" t="s">
        <v>51</v>
      </c>
      <c r="DF2328" t="s">
        <v>54</v>
      </c>
      <c r="DG2328">
        <v>0</v>
      </c>
      <c r="DH2328">
        <v>0</v>
      </c>
    </row>
    <row r="2329" spans="1:112" x14ac:dyDescent="0.2">
      <c r="A2329" t="s">
        <v>1012</v>
      </c>
      <c r="B2329" t="s">
        <v>1013</v>
      </c>
      <c r="C2329" t="s">
        <v>1052</v>
      </c>
      <c r="D2329" t="s">
        <v>1078</v>
      </c>
      <c r="F2329" t="str">
        <f>"251888"</f>
        <v>251888</v>
      </c>
      <c r="G2329" t="s">
        <v>49</v>
      </c>
      <c r="H2329">
        <v>20</v>
      </c>
      <c r="K2329" t="s">
        <v>51</v>
      </c>
      <c r="L2329" t="s">
        <v>52</v>
      </c>
      <c r="M2329">
        <v>131689.23000000001</v>
      </c>
      <c r="N2329">
        <v>474736.78</v>
      </c>
      <c r="O2329" t="s">
        <v>53</v>
      </c>
      <c r="P2329" t="s">
        <v>54</v>
      </c>
      <c r="Q2329" t="s">
        <v>55</v>
      </c>
      <c r="T2329" t="s">
        <v>81</v>
      </c>
      <c r="U2329">
        <v>40</v>
      </c>
      <c r="V2329" s="1">
        <v>30682</v>
      </c>
      <c r="W2329" s="1">
        <v>30682</v>
      </c>
      <c r="X2329" s="1">
        <v>30682</v>
      </c>
      <c r="Y2329" s="1">
        <v>45292</v>
      </c>
      <c r="Z2329" t="s">
        <v>51</v>
      </c>
      <c r="AB2329" t="s">
        <v>54</v>
      </c>
      <c r="AC2329">
        <v>1</v>
      </c>
      <c r="AE2329" t="s">
        <v>613</v>
      </c>
      <c r="AF2329">
        <v>20</v>
      </c>
      <c r="AG2329" s="1">
        <v>30864</v>
      </c>
      <c r="AH2329" s="1">
        <v>30864</v>
      </c>
      <c r="AI2329" s="1">
        <v>30864</v>
      </c>
      <c r="AJ2329" s="1">
        <v>38169</v>
      </c>
      <c r="AK2329" t="s">
        <v>51</v>
      </c>
      <c r="AN2329">
        <v>0</v>
      </c>
      <c r="AO2329" t="s">
        <v>54</v>
      </c>
      <c r="AP2329" t="s">
        <v>53</v>
      </c>
      <c r="AQ2329">
        <v>0</v>
      </c>
      <c r="AR2329" t="s">
        <v>53</v>
      </c>
      <c r="AS2329">
        <v>0</v>
      </c>
      <c r="AT2329">
        <v>0</v>
      </c>
      <c r="AW2329" t="s">
        <v>161</v>
      </c>
      <c r="AX2329">
        <v>50</v>
      </c>
      <c r="AY2329" s="1">
        <v>30864</v>
      </c>
      <c r="AZ2329" s="1">
        <v>30864</v>
      </c>
      <c r="BA2329" s="1">
        <v>30864</v>
      </c>
      <c r="BB2329" s="1">
        <v>49126</v>
      </c>
      <c r="BC2329" t="s">
        <v>51</v>
      </c>
      <c r="BE2329" t="s">
        <v>54</v>
      </c>
      <c r="BF2329">
        <v>0</v>
      </c>
      <c r="BG2329">
        <v>0</v>
      </c>
      <c r="BH2329" t="s">
        <v>53</v>
      </c>
      <c r="BI2329">
        <v>1</v>
      </c>
      <c r="BK2329" t="s">
        <v>720</v>
      </c>
      <c r="BL2329">
        <v>17000</v>
      </c>
      <c r="BM2329" s="1">
        <v>44104</v>
      </c>
      <c r="BN2329" s="1">
        <v>44104</v>
      </c>
      <c r="BO2329" s="1">
        <v>44104</v>
      </c>
      <c r="BP2329" s="1">
        <v>45540</v>
      </c>
      <c r="BQ2329" t="s">
        <v>51</v>
      </c>
      <c r="BS2329" t="s">
        <v>60</v>
      </c>
      <c r="BT2329" t="s">
        <v>54</v>
      </c>
      <c r="BU2329" t="s">
        <v>721</v>
      </c>
      <c r="BV2329" t="s">
        <v>722</v>
      </c>
      <c r="BX2329">
        <v>18</v>
      </c>
      <c r="BY2329">
        <v>0</v>
      </c>
      <c r="BZ2329">
        <v>0</v>
      </c>
      <c r="CX2329" t="s">
        <v>674</v>
      </c>
      <c r="CY2329">
        <v>0</v>
      </c>
      <c r="CZ2329" s="1">
        <v>44320</v>
      </c>
      <c r="DA2329" s="1">
        <v>44320</v>
      </c>
      <c r="DB2329" s="1">
        <v>44320</v>
      </c>
      <c r="DC2329" s="1">
        <v>44320</v>
      </c>
      <c r="DD2329" t="s">
        <v>51</v>
      </c>
      <c r="DF2329" t="s">
        <v>54</v>
      </c>
      <c r="DG2329">
        <v>0</v>
      </c>
      <c r="DH2329">
        <v>0</v>
      </c>
    </row>
    <row r="2330" spans="1:112" x14ac:dyDescent="0.2">
      <c r="A2330" t="s">
        <v>1012</v>
      </c>
      <c r="B2330" t="s">
        <v>1013</v>
      </c>
      <c r="C2330" t="s">
        <v>1052</v>
      </c>
      <c r="D2330" t="s">
        <v>1078</v>
      </c>
      <c r="F2330" t="str">
        <f>"251889"</f>
        <v>251889</v>
      </c>
      <c r="G2330" t="s">
        <v>49</v>
      </c>
      <c r="H2330">
        <v>105</v>
      </c>
      <c r="K2330" t="s">
        <v>51</v>
      </c>
      <c r="L2330" t="s">
        <v>52</v>
      </c>
      <c r="M2330">
        <v>131659.92000000001</v>
      </c>
      <c r="N2330">
        <v>474742.34</v>
      </c>
      <c r="O2330" t="s">
        <v>53</v>
      </c>
      <c r="P2330" t="s">
        <v>54</v>
      </c>
      <c r="Q2330" t="s">
        <v>55</v>
      </c>
      <c r="T2330" t="s">
        <v>81</v>
      </c>
      <c r="U2330">
        <v>40</v>
      </c>
      <c r="V2330" s="1">
        <v>30682</v>
      </c>
      <c r="W2330" s="1">
        <v>30682</v>
      </c>
      <c r="X2330" s="1">
        <v>30682</v>
      </c>
      <c r="Y2330" s="1">
        <v>45292</v>
      </c>
      <c r="Z2330" t="s">
        <v>51</v>
      </c>
      <c r="AB2330" t="s">
        <v>54</v>
      </c>
      <c r="AC2330">
        <v>1</v>
      </c>
      <c r="AE2330" t="s">
        <v>613</v>
      </c>
      <c r="AF2330">
        <v>20</v>
      </c>
      <c r="AG2330" s="1">
        <v>30864</v>
      </c>
      <c r="AH2330" s="1">
        <v>30864</v>
      </c>
      <c r="AI2330" s="1">
        <v>30864</v>
      </c>
      <c r="AJ2330" s="1">
        <v>38169</v>
      </c>
      <c r="AK2330" t="s">
        <v>51</v>
      </c>
      <c r="AN2330">
        <v>0</v>
      </c>
      <c r="AO2330" t="s">
        <v>54</v>
      </c>
      <c r="AP2330" t="s">
        <v>53</v>
      </c>
      <c r="AQ2330">
        <v>0</v>
      </c>
      <c r="AR2330" t="s">
        <v>53</v>
      </c>
      <c r="AS2330">
        <v>0</v>
      </c>
      <c r="AT2330">
        <v>0</v>
      </c>
      <c r="AW2330" t="s">
        <v>161</v>
      </c>
      <c r="AX2330">
        <v>50</v>
      </c>
      <c r="AY2330" s="1">
        <v>30864</v>
      </c>
      <c r="AZ2330" s="1">
        <v>30864</v>
      </c>
      <c r="BA2330" s="1">
        <v>30864</v>
      </c>
      <c r="BB2330" s="1">
        <v>49126</v>
      </c>
      <c r="BC2330" t="s">
        <v>51</v>
      </c>
      <c r="BE2330" t="s">
        <v>54</v>
      </c>
      <c r="BF2330">
        <v>0</v>
      </c>
      <c r="BG2330">
        <v>0</v>
      </c>
      <c r="BH2330" t="s">
        <v>53</v>
      </c>
      <c r="BK2330" t="s">
        <v>720</v>
      </c>
      <c r="BL2330">
        <v>17000</v>
      </c>
      <c r="BM2330" s="1">
        <v>44382</v>
      </c>
      <c r="BN2330" s="1">
        <v>44382</v>
      </c>
      <c r="BO2330" s="1">
        <v>44382</v>
      </c>
      <c r="BP2330" s="1">
        <v>45804</v>
      </c>
      <c r="BQ2330" t="s">
        <v>51</v>
      </c>
      <c r="BS2330" t="s">
        <v>60</v>
      </c>
      <c r="BT2330" t="s">
        <v>54</v>
      </c>
      <c r="BU2330" t="s">
        <v>721</v>
      </c>
      <c r="BV2330" t="s">
        <v>722</v>
      </c>
      <c r="BX2330">
        <v>18</v>
      </c>
      <c r="BY2330">
        <v>0</v>
      </c>
      <c r="BZ2330">
        <v>0</v>
      </c>
      <c r="CX2330" t="s">
        <v>674</v>
      </c>
      <c r="CY2330">
        <v>0</v>
      </c>
      <c r="CZ2330" s="1">
        <v>44320</v>
      </c>
      <c r="DA2330" s="1">
        <v>44320</v>
      </c>
      <c r="DB2330" s="1">
        <v>44320</v>
      </c>
      <c r="DC2330" s="1">
        <v>44320</v>
      </c>
      <c r="DD2330" t="s">
        <v>51</v>
      </c>
      <c r="DF2330" t="s">
        <v>54</v>
      </c>
      <c r="DG2330">
        <v>0</v>
      </c>
      <c r="DH2330">
        <v>0</v>
      </c>
    </row>
    <row r="2331" spans="1:112" x14ac:dyDescent="0.2">
      <c r="A2331" t="s">
        <v>1012</v>
      </c>
      <c r="B2331" t="s">
        <v>1013</v>
      </c>
      <c r="C2331" t="s">
        <v>1052</v>
      </c>
      <c r="D2331" t="s">
        <v>1078</v>
      </c>
      <c r="F2331" t="str">
        <f>"251890"</f>
        <v>251890</v>
      </c>
      <c r="G2331" t="s">
        <v>49</v>
      </c>
      <c r="H2331">
        <v>48</v>
      </c>
      <c r="K2331" t="s">
        <v>51</v>
      </c>
      <c r="L2331" t="s">
        <v>52</v>
      </c>
      <c r="M2331">
        <v>131635.26999999999</v>
      </c>
      <c r="N2331">
        <v>474745.72</v>
      </c>
      <c r="O2331" t="s">
        <v>53</v>
      </c>
      <c r="P2331" t="s">
        <v>54</v>
      </c>
      <c r="Q2331" t="s">
        <v>55</v>
      </c>
      <c r="T2331" t="s">
        <v>81</v>
      </c>
      <c r="U2331">
        <v>40</v>
      </c>
      <c r="V2331" s="1">
        <v>30682</v>
      </c>
      <c r="W2331" s="1">
        <v>30682</v>
      </c>
      <c r="X2331" s="1">
        <v>30682</v>
      </c>
      <c r="Y2331" s="1">
        <v>45292</v>
      </c>
      <c r="Z2331" t="s">
        <v>51</v>
      </c>
      <c r="AB2331" t="s">
        <v>54</v>
      </c>
      <c r="AC2331">
        <v>1</v>
      </c>
      <c r="AE2331" t="s">
        <v>613</v>
      </c>
      <c r="AF2331">
        <v>20</v>
      </c>
      <c r="AG2331" s="1">
        <v>30864</v>
      </c>
      <c r="AH2331" s="1">
        <v>30864</v>
      </c>
      <c r="AI2331" s="1">
        <v>30864</v>
      </c>
      <c r="AJ2331" s="1">
        <v>38169</v>
      </c>
      <c r="AK2331" t="s">
        <v>51</v>
      </c>
      <c r="AN2331">
        <v>0</v>
      </c>
      <c r="AO2331" t="s">
        <v>54</v>
      </c>
      <c r="AP2331" t="s">
        <v>53</v>
      </c>
      <c r="AQ2331">
        <v>0</v>
      </c>
      <c r="AR2331" t="s">
        <v>53</v>
      </c>
      <c r="AS2331">
        <v>0</v>
      </c>
      <c r="AT2331">
        <v>0</v>
      </c>
      <c r="AW2331" t="s">
        <v>161</v>
      </c>
      <c r="AX2331">
        <v>50</v>
      </c>
      <c r="AY2331" s="1">
        <v>30864</v>
      </c>
      <c r="AZ2331" s="1">
        <v>30864</v>
      </c>
      <c r="BA2331" s="1">
        <v>30864</v>
      </c>
      <c r="BB2331" s="1">
        <v>49126</v>
      </c>
      <c r="BC2331" t="s">
        <v>51</v>
      </c>
      <c r="BE2331" t="s">
        <v>54</v>
      </c>
      <c r="BF2331">
        <v>0</v>
      </c>
      <c r="BG2331">
        <v>0</v>
      </c>
      <c r="BH2331" t="s">
        <v>53</v>
      </c>
      <c r="BI2331">
        <v>1</v>
      </c>
      <c r="BK2331" t="s">
        <v>720</v>
      </c>
      <c r="BL2331">
        <v>17000</v>
      </c>
      <c r="BM2331" s="1">
        <v>44165</v>
      </c>
      <c r="BN2331" s="1">
        <v>44165</v>
      </c>
      <c r="BO2331" s="1">
        <v>44165</v>
      </c>
      <c r="BP2331" s="1">
        <v>45607</v>
      </c>
      <c r="BQ2331" t="s">
        <v>51</v>
      </c>
      <c r="BS2331" t="s">
        <v>60</v>
      </c>
      <c r="BT2331" t="s">
        <v>54</v>
      </c>
      <c r="BU2331" t="s">
        <v>721</v>
      </c>
      <c r="BV2331" t="s">
        <v>722</v>
      </c>
      <c r="BX2331">
        <v>18</v>
      </c>
      <c r="BY2331">
        <v>0</v>
      </c>
      <c r="BZ2331">
        <v>0</v>
      </c>
      <c r="CX2331" t="s">
        <v>674</v>
      </c>
      <c r="CY2331">
        <v>0</v>
      </c>
      <c r="CZ2331" s="1">
        <v>44320</v>
      </c>
      <c r="DA2331" s="1">
        <v>44320</v>
      </c>
      <c r="DB2331" s="1">
        <v>44320</v>
      </c>
      <c r="DC2331" s="1">
        <v>44320</v>
      </c>
      <c r="DD2331" t="s">
        <v>51</v>
      </c>
      <c r="DF2331" t="s">
        <v>54</v>
      </c>
      <c r="DG2331">
        <v>0</v>
      </c>
      <c r="DH2331">
        <v>0</v>
      </c>
    </row>
    <row r="2332" spans="1:112" x14ac:dyDescent="0.2">
      <c r="A2332" t="s">
        <v>1012</v>
      </c>
      <c r="B2332" t="s">
        <v>1013</v>
      </c>
      <c r="C2332" t="s">
        <v>1052</v>
      </c>
      <c r="D2332" t="s">
        <v>1080</v>
      </c>
      <c r="F2332" t="str">
        <f>"251891"</f>
        <v>251891</v>
      </c>
      <c r="G2332" t="s">
        <v>49</v>
      </c>
      <c r="H2332">
        <v>10</v>
      </c>
      <c r="K2332" t="s">
        <v>51</v>
      </c>
      <c r="L2332" t="s">
        <v>52</v>
      </c>
      <c r="M2332">
        <v>131668.31</v>
      </c>
      <c r="N2332">
        <v>474361.25</v>
      </c>
      <c r="O2332" t="s">
        <v>53</v>
      </c>
      <c r="P2332" t="s">
        <v>54</v>
      </c>
      <c r="Q2332" t="s">
        <v>55</v>
      </c>
      <c r="T2332" t="s">
        <v>100</v>
      </c>
      <c r="U2332">
        <v>40</v>
      </c>
      <c r="V2332" s="1">
        <v>30682</v>
      </c>
      <c r="W2332" s="1">
        <v>30682</v>
      </c>
      <c r="X2332" s="1">
        <v>30682</v>
      </c>
      <c r="Y2332" s="1">
        <v>45292</v>
      </c>
      <c r="Z2332" t="s">
        <v>51</v>
      </c>
      <c r="AB2332" t="s">
        <v>54</v>
      </c>
      <c r="AC2332">
        <v>1</v>
      </c>
      <c r="AE2332" t="s">
        <v>1081</v>
      </c>
      <c r="AF2332">
        <v>20</v>
      </c>
      <c r="AG2332" s="1">
        <v>30864</v>
      </c>
      <c r="AH2332" s="1">
        <v>30864</v>
      </c>
      <c r="AI2332" s="1">
        <v>30864</v>
      </c>
      <c r="AJ2332" s="1">
        <v>38169</v>
      </c>
      <c r="AK2332" t="s">
        <v>51</v>
      </c>
      <c r="AN2332">
        <v>0</v>
      </c>
      <c r="AO2332" t="s">
        <v>54</v>
      </c>
      <c r="AP2332" t="s">
        <v>53</v>
      </c>
      <c r="AQ2332">
        <v>0</v>
      </c>
      <c r="AR2332" t="s">
        <v>53</v>
      </c>
      <c r="AS2332">
        <v>0</v>
      </c>
      <c r="AT2332">
        <v>0</v>
      </c>
      <c r="AW2332" t="s">
        <v>58</v>
      </c>
      <c r="AX2332">
        <v>20</v>
      </c>
      <c r="AY2332" s="1">
        <v>30864</v>
      </c>
      <c r="AZ2332" s="1">
        <v>30864</v>
      </c>
      <c r="BA2332" s="1">
        <v>30864</v>
      </c>
      <c r="BB2332" s="1">
        <v>38169</v>
      </c>
      <c r="BC2332" t="s">
        <v>51</v>
      </c>
      <c r="BE2332" t="s">
        <v>54</v>
      </c>
      <c r="BF2332">
        <v>2</v>
      </c>
      <c r="BG2332">
        <v>0</v>
      </c>
      <c r="BH2332" t="s">
        <v>53</v>
      </c>
      <c r="BK2332" t="s">
        <v>59</v>
      </c>
      <c r="BL2332">
        <v>14000</v>
      </c>
      <c r="BM2332" s="1">
        <v>44104</v>
      </c>
      <c r="BN2332" s="1">
        <v>44104</v>
      </c>
      <c r="BO2332" s="1">
        <v>44104</v>
      </c>
      <c r="BP2332" s="1">
        <v>45269</v>
      </c>
      <c r="BQ2332" t="s">
        <v>51</v>
      </c>
      <c r="BS2332" t="s">
        <v>60</v>
      </c>
      <c r="BT2332" t="s">
        <v>54</v>
      </c>
      <c r="BU2332" t="s">
        <v>61</v>
      </c>
      <c r="BV2332" t="s">
        <v>62</v>
      </c>
      <c r="BX2332">
        <v>24</v>
      </c>
      <c r="BY2332">
        <v>0</v>
      </c>
      <c r="BZ2332">
        <v>0</v>
      </c>
      <c r="CX2332" t="s">
        <v>674</v>
      </c>
      <c r="CY2332">
        <v>0</v>
      </c>
      <c r="CZ2332" s="1">
        <v>44075</v>
      </c>
      <c r="DA2332" s="1">
        <v>44075</v>
      </c>
      <c r="DB2332" s="1">
        <v>44075</v>
      </c>
      <c r="DC2332" s="1">
        <v>44075</v>
      </c>
      <c r="DD2332" t="s">
        <v>51</v>
      </c>
      <c r="DF2332" t="s">
        <v>54</v>
      </c>
      <c r="DG2332">
        <v>0</v>
      </c>
      <c r="DH2332">
        <v>0</v>
      </c>
    </row>
    <row r="2333" spans="1:112" x14ac:dyDescent="0.2">
      <c r="A2333" t="s">
        <v>1012</v>
      </c>
      <c r="B2333" t="s">
        <v>1013</v>
      </c>
      <c r="C2333" t="s">
        <v>1052</v>
      </c>
      <c r="D2333" t="s">
        <v>1080</v>
      </c>
      <c r="F2333" t="str">
        <f>"251892"</f>
        <v>251892</v>
      </c>
      <c r="G2333" t="s">
        <v>49</v>
      </c>
      <c r="H2333">
        <v>16</v>
      </c>
      <c r="K2333" t="s">
        <v>51</v>
      </c>
      <c r="L2333" t="s">
        <v>52</v>
      </c>
      <c r="M2333">
        <v>131686.209</v>
      </c>
      <c r="N2333">
        <v>474350.05599999998</v>
      </c>
      <c r="O2333" t="s">
        <v>53</v>
      </c>
      <c r="P2333" t="s">
        <v>54</v>
      </c>
      <c r="Q2333" t="s">
        <v>55</v>
      </c>
      <c r="T2333" t="s">
        <v>100</v>
      </c>
      <c r="U2333">
        <v>40</v>
      </c>
      <c r="V2333" s="1">
        <v>30682</v>
      </c>
      <c r="W2333" s="1">
        <v>30682</v>
      </c>
      <c r="X2333" s="1">
        <v>30682</v>
      </c>
      <c r="Y2333" s="1">
        <v>45292</v>
      </c>
      <c r="Z2333" t="s">
        <v>51</v>
      </c>
      <c r="AB2333" t="s">
        <v>54</v>
      </c>
      <c r="AC2333">
        <v>1</v>
      </c>
      <c r="AE2333" t="s">
        <v>1081</v>
      </c>
      <c r="AF2333">
        <v>20</v>
      </c>
      <c r="AG2333" s="1">
        <v>30864</v>
      </c>
      <c r="AH2333" s="1">
        <v>30864</v>
      </c>
      <c r="AI2333" s="1">
        <v>30864</v>
      </c>
      <c r="AJ2333" s="1">
        <v>38169</v>
      </c>
      <c r="AK2333" t="s">
        <v>51</v>
      </c>
      <c r="AN2333">
        <v>0</v>
      </c>
      <c r="AO2333" t="s">
        <v>54</v>
      </c>
      <c r="AP2333" t="s">
        <v>53</v>
      </c>
      <c r="AQ2333">
        <v>0</v>
      </c>
      <c r="AR2333" t="s">
        <v>53</v>
      </c>
      <c r="AS2333">
        <v>0</v>
      </c>
      <c r="AT2333">
        <v>0</v>
      </c>
      <c r="AW2333" t="s">
        <v>58</v>
      </c>
      <c r="AX2333">
        <v>20</v>
      </c>
      <c r="AY2333" s="1">
        <v>30864</v>
      </c>
      <c r="AZ2333" s="1">
        <v>30864</v>
      </c>
      <c r="BA2333" s="1">
        <v>30864</v>
      </c>
      <c r="BB2333" s="1">
        <v>38169</v>
      </c>
      <c r="BC2333" t="s">
        <v>51</v>
      </c>
      <c r="BE2333" t="s">
        <v>54</v>
      </c>
      <c r="BF2333">
        <v>2</v>
      </c>
      <c r="BG2333">
        <v>0</v>
      </c>
      <c r="BH2333" t="s">
        <v>53</v>
      </c>
      <c r="BK2333" t="s">
        <v>59</v>
      </c>
      <c r="BL2333">
        <v>14000</v>
      </c>
      <c r="BM2333" s="1">
        <v>44104</v>
      </c>
      <c r="BN2333" s="1">
        <v>44104</v>
      </c>
      <c r="BO2333" s="1">
        <v>44104</v>
      </c>
      <c r="BP2333" s="1">
        <v>45269</v>
      </c>
      <c r="BQ2333" t="s">
        <v>51</v>
      </c>
      <c r="BS2333" t="s">
        <v>60</v>
      </c>
      <c r="BT2333" t="s">
        <v>54</v>
      </c>
      <c r="BU2333" t="s">
        <v>61</v>
      </c>
      <c r="BV2333" t="s">
        <v>62</v>
      </c>
      <c r="BX2333">
        <v>24</v>
      </c>
      <c r="BY2333">
        <v>0</v>
      </c>
      <c r="BZ2333">
        <v>0</v>
      </c>
      <c r="CX2333" t="s">
        <v>674</v>
      </c>
      <c r="CY2333">
        <v>0</v>
      </c>
      <c r="CZ2333" s="1">
        <v>44075</v>
      </c>
      <c r="DA2333" s="1">
        <v>44075</v>
      </c>
      <c r="DB2333" s="1">
        <v>44075</v>
      </c>
      <c r="DC2333" s="1">
        <v>44075</v>
      </c>
      <c r="DD2333" t="s">
        <v>51</v>
      </c>
      <c r="DF2333" t="s">
        <v>54</v>
      </c>
      <c r="DG2333">
        <v>0</v>
      </c>
      <c r="DH2333">
        <v>0</v>
      </c>
    </row>
    <row r="2334" spans="1:112" x14ac:dyDescent="0.2">
      <c r="A2334" t="s">
        <v>1012</v>
      </c>
      <c r="B2334" t="s">
        <v>1013</v>
      </c>
      <c r="C2334" t="s">
        <v>1052</v>
      </c>
      <c r="D2334" t="s">
        <v>1080</v>
      </c>
      <c r="F2334" t="str">
        <f>"251893"</f>
        <v>251893</v>
      </c>
      <c r="G2334" t="s">
        <v>49</v>
      </c>
      <c r="H2334">
        <v>24</v>
      </c>
      <c r="K2334" t="s">
        <v>51</v>
      </c>
      <c r="L2334" t="s">
        <v>52</v>
      </c>
      <c r="M2334">
        <v>131713.28599999999</v>
      </c>
      <c r="N2334">
        <v>474342.185</v>
      </c>
      <c r="O2334" t="s">
        <v>53</v>
      </c>
      <c r="P2334" t="s">
        <v>54</v>
      </c>
      <c r="Q2334" t="s">
        <v>55</v>
      </c>
      <c r="T2334" t="s">
        <v>100</v>
      </c>
      <c r="U2334">
        <v>40</v>
      </c>
      <c r="V2334" s="1">
        <v>30682</v>
      </c>
      <c r="W2334" s="1">
        <v>30682</v>
      </c>
      <c r="X2334" s="1">
        <v>30682</v>
      </c>
      <c r="Y2334" s="1">
        <v>45292</v>
      </c>
      <c r="Z2334" t="s">
        <v>51</v>
      </c>
      <c r="AB2334" t="s">
        <v>54</v>
      </c>
      <c r="AC2334">
        <v>1</v>
      </c>
      <c r="AE2334" t="s">
        <v>1081</v>
      </c>
      <c r="AF2334">
        <v>20</v>
      </c>
      <c r="AG2334" s="1">
        <v>30864</v>
      </c>
      <c r="AH2334" s="1">
        <v>30864</v>
      </c>
      <c r="AI2334" s="1">
        <v>30864</v>
      </c>
      <c r="AJ2334" s="1">
        <v>38169</v>
      </c>
      <c r="AK2334" t="s">
        <v>51</v>
      </c>
      <c r="AN2334">
        <v>0</v>
      </c>
      <c r="AO2334" t="s">
        <v>54</v>
      </c>
      <c r="AP2334" t="s">
        <v>53</v>
      </c>
      <c r="AQ2334">
        <v>0</v>
      </c>
      <c r="AR2334" t="s">
        <v>53</v>
      </c>
      <c r="AS2334">
        <v>0</v>
      </c>
      <c r="AT2334">
        <v>0</v>
      </c>
      <c r="AW2334" t="s">
        <v>58</v>
      </c>
      <c r="AX2334">
        <v>20</v>
      </c>
      <c r="AY2334" s="1">
        <v>30864</v>
      </c>
      <c r="AZ2334" s="1">
        <v>30864</v>
      </c>
      <c r="BA2334" s="1">
        <v>30864</v>
      </c>
      <c r="BB2334" s="1">
        <v>38169</v>
      </c>
      <c r="BC2334" t="s">
        <v>51</v>
      </c>
      <c r="BE2334" t="s">
        <v>54</v>
      </c>
      <c r="BF2334">
        <v>2</v>
      </c>
      <c r="BG2334">
        <v>0</v>
      </c>
      <c r="BH2334" t="s">
        <v>53</v>
      </c>
      <c r="BK2334" t="s">
        <v>59</v>
      </c>
      <c r="BL2334">
        <v>14000</v>
      </c>
      <c r="BM2334" s="1">
        <v>44104</v>
      </c>
      <c r="BN2334" s="1">
        <v>44104</v>
      </c>
      <c r="BO2334" s="1">
        <v>44104</v>
      </c>
      <c r="BP2334" s="1">
        <v>45269</v>
      </c>
      <c r="BQ2334" t="s">
        <v>51</v>
      </c>
      <c r="BS2334" t="s">
        <v>60</v>
      </c>
      <c r="BT2334" t="s">
        <v>54</v>
      </c>
      <c r="BU2334" t="s">
        <v>61</v>
      </c>
      <c r="BV2334" t="s">
        <v>62</v>
      </c>
      <c r="BX2334">
        <v>24</v>
      </c>
      <c r="BY2334">
        <v>0</v>
      </c>
      <c r="BZ2334">
        <v>0</v>
      </c>
      <c r="CX2334" t="s">
        <v>674</v>
      </c>
      <c r="CY2334">
        <v>0</v>
      </c>
      <c r="CZ2334" s="1">
        <v>44075</v>
      </c>
      <c r="DA2334" s="1">
        <v>44075</v>
      </c>
      <c r="DB2334" s="1">
        <v>44075</v>
      </c>
      <c r="DC2334" s="1">
        <v>44075</v>
      </c>
      <c r="DD2334" t="s">
        <v>51</v>
      </c>
      <c r="DF2334" t="s">
        <v>54</v>
      </c>
      <c r="DG2334">
        <v>0</v>
      </c>
      <c r="DH2334">
        <v>0</v>
      </c>
    </row>
    <row r="2335" spans="1:112" x14ac:dyDescent="0.2">
      <c r="A2335" t="s">
        <v>1012</v>
      </c>
      <c r="B2335" t="s">
        <v>1013</v>
      </c>
      <c r="C2335" t="s">
        <v>1052</v>
      </c>
      <c r="D2335" t="s">
        <v>1080</v>
      </c>
      <c r="F2335" t="str">
        <f>"251894"</f>
        <v>251894</v>
      </c>
      <c r="G2335" t="s">
        <v>49</v>
      </c>
      <c r="K2335" t="s">
        <v>51</v>
      </c>
      <c r="L2335" t="s">
        <v>52</v>
      </c>
      <c r="M2335">
        <v>131711.20300000001</v>
      </c>
      <c r="N2335">
        <v>474380.45</v>
      </c>
      <c r="O2335" t="s">
        <v>53</v>
      </c>
      <c r="P2335" t="s">
        <v>54</v>
      </c>
      <c r="Q2335" t="s">
        <v>55</v>
      </c>
      <c r="T2335" t="s">
        <v>100</v>
      </c>
      <c r="U2335">
        <v>40</v>
      </c>
      <c r="V2335" s="1">
        <v>30682</v>
      </c>
      <c r="W2335" s="1">
        <v>30682</v>
      </c>
      <c r="X2335" s="1">
        <v>30682</v>
      </c>
      <c r="Y2335" s="1">
        <v>45292</v>
      </c>
      <c r="Z2335" t="s">
        <v>51</v>
      </c>
      <c r="AB2335" t="s">
        <v>54</v>
      </c>
      <c r="AE2335" t="s">
        <v>1081</v>
      </c>
      <c r="AF2335">
        <v>20</v>
      </c>
      <c r="AG2335" s="1">
        <v>44075</v>
      </c>
      <c r="AH2335" s="1">
        <v>44075</v>
      </c>
      <c r="AI2335" s="1">
        <v>44075</v>
      </c>
      <c r="AJ2335" s="1">
        <v>51380</v>
      </c>
      <c r="AK2335" t="s">
        <v>51</v>
      </c>
      <c r="AN2335">
        <v>0</v>
      </c>
      <c r="AO2335" t="s">
        <v>54</v>
      </c>
      <c r="AP2335" t="s">
        <v>53</v>
      </c>
      <c r="AQ2335">
        <v>0</v>
      </c>
      <c r="AR2335" t="s">
        <v>53</v>
      </c>
      <c r="AS2335">
        <v>0</v>
      </c>
      <c r="AT2335">
        <v>0</v>
      </c>
      <c r="AW2335" t="s">
        <v>58</v>
      </c>
      <c r="AX2335">
        <v>20</v>
      </c>
      <c r="AY2335" s="1">
        <v>44075</v>
      </c>
      <c r="AZ2335" s="1">
        <v>44075</v>
      </c>
      <c r="BA2335" s="1">
        <v>44075</v>
      </c>
      <c r="BB2335" s="1">
        <v>51380</v>
      </c>
      <c r="BC2335" t="s">
        <v>51</v>
      </c>
      <c r="BE2335" t="s">
        <v>54</v>
      </c>
      <c r="BF2335">
        <v>2</v>
      </c>
      <c r="BG2335">
        <v>0</v>
      </c>
      <c r="BH2335" t="s">
        <v>53</v>
      </c>
      <c r="BK2335" t="s">
        <v>59</v>
      </c>
      <c r="BL2335">
        <v>14000</v>
      </c>
      <c r="BM2335" s="1">
        <v>44075</v>
      </c>
      <c r="BN2335" s="1">
        <v>44075</v>
      </c>
      <c r="BO2335" s="1">
        <v>44075</v>
      </c>
      <c r="BP2335" s="1">
        <v>45298</v>
      </c>
      <c r="BQ2335" t="s">
        <v>51</v>
      </c>
      <c r="BS2335" t="s">
        <v>78</v>
      </c>
      <c r="BT2335" t="s">
        <v>54</v>
      </c>
      <c r="BU2335" t="s">
        <v>61</v>
      </c>
      <c r="BV2335" t="s">
        <v>62</v>
      </c>
      <c r="BX2335">
        <v>24</v>
      </c>
      <c r="BY2335">
        <v>0</v>
      </c>
      <c r="BZ2335">
        <v>0</v>
      </c>
      <c r="CX2335" t="s">
        <v>674</v>
      </c>
      <c r="CY2335">
        <v>0</v>
      </c>
      <c r="CZ2335" s="1">
        <v>44075</v>
      </c>
      <c r="DA2335" s="1">
        <v>44075</v>
      </c>
      <c r="DB2335" s="1">
        <v>44075</v>
      </c>
      <c r="DC2335" s="1">
        <v>44075</v>
      </c>
      <c r="DD2335" t="s">
        <v>51</v>
      </c>
      <c r="DF2335" t="s">
        <v>54</v>
      </c>
      <c r="DG2335">
        <v>0</v>
      </c>
      <c r="DH2335">
        <v>0</v>
      </c>
    </row>
    <row r="2336" spans="1:112" x14ac:dyDescent="0.2">
      <c r="A2336" t="s">
        <v>1012</v>
      </c>
      <c r="B2336" t="s">
        <v>1013</v>
      </c>
      <c r="C2336" t="s">
        <v>1052</v>
      </c>
      <c r="D2336" t="s">
        <v>1082</v>
      </c>
      <c r="F2336" t="str">
        <f>"251895"</f>
        <v>251895</v>
      </c>
      <c r="G2336" t="s">
        <v>49</v>
      </c>
      <c r="H2336">
        <v>4</v>
      </c>
      <c r="K2336" t="s">
        <v>51</v>
      </c>
      <c r="L2336" t="s">
        <v>52</v>
      </c>
      <c r="M2336">
        <v>131733.46</v>
      </c>
      <c r="N2336">
        <v>474347.69</v>
      </c>
      <c r="O2336" t="s">
        <v>53</v>
      </c>
      <c r="P2336" t="s">
        <v>54</v>
      </c>
      <c r="Q2336" t="s">
        <v>55</v>
      </c>
      <c r="T2336" t="s">
        <v>100</v>
      </c>
      <c r="U2336">
        <v>40</v>
      </c>
      <c r="V2336" s="1">
        <v>30864</v>
      </c>
      <c r="W2336" s="1">
        <v>30864</v>
      </c>
      <c r="X2336" s="1">
        <v>30864</v>
      </c>
      <c r="Y2336" s="1">
        <v>45474</v>
      </c>
      <c r="Z2336" t="s">
        <v>51</v>
      </c>
      <c r="AB2336" t="s">
        <v>54</v>
      </c>
      <c r="AC2336">
        <v>1</v>
      </c>
      <c r="AE2336" t="s">
        <v>1081</v>
      </c>
      <c r="AF2336">
        <v>20</v>
      </c>
      <c r="AG2336" s="1">
        <v>30864</v>
      </c>
      <c r="AH2336" s="1">
        <v>30864</v>
      </c>
      <c r="AI2336" s="1">
        <v>30864</v>
      </c>
      <c r="AJ2336" s="1">
        <v>38169</v>
      </c>
      <c r="AK2336" t="s">
        <v>51</v>
      </c>
      <c r="AN2336">
        <v>0</v>
      </c>
      <c r="AO2336" t="s">
        <v>54</v>
      </c>
      <c r="AP2336" t="s">
        <v>53</v>
      </c>
      <c r="AQ2336">
        <v>0</v>
      </c>
      <c r="AR2336" t="s">
        <v>53</v>
      </c>
      <c r="AS2336">
        <v>0</v>
      </c>
      <c r="AT2336">
        <v>0</v>
      </c>
      <c r="AW2336" t="s">
        <v>58</v>
      </c>
      <c r="AX2336">
        <v>20</v>
      </c>
      <c r="AY2336" s="1">
        <v>30864</v>
      </c>
      <c r="AZ2336" s="1">
        <v>30864</v>
      </c>
      <c r="BA2336" s="1">
        <v>30864</v>
      </c>
      <c r="BB2336" s="1">
        <v>38169</v>
      </c>
      <c r="BC2336" t="s">
        <v>51</v>
      </c>
      <c r="BE2336" t="s">
        <v>54</v>
      </c>
      <c r="BF2336">
        <v>2</v>
      </c>
      <c r="BG2336">
        <v>0</v>
      </c>
      <c r="BH2336" t="s">
        <v>53</v>
      </c>
      <c r="BK2336" t="s">
        <v>59</v>
      </c>
      <c r="BL2336">
        <v>14000</v>
      </c>
      <c r="BM2336" s="1">
        <v>44104</v>
      </c>
      <c r="BN2336" s="1">
        <v>44104</v>
      </c>
      <c r="BO2336" s="1">
        <v>44104</v>
      </c>
      <c r="BP2336" s="1">
        <v>45269</v>
      </c>
      <c r="BQ2336" t="s">
        <v>51</v>
      </c>
      <c r="BS2336" t="s">
        <v>60</v>
      </c>
      <c r="BT2336" t="s">
        <v>54</v>
      </c>
      <c r="BU2336" t="s">
        <v>61</v>
      </c>
      <c r="BV2336" t="s">
        <v>62</v>
      </c>
      <c r="BX2336">
        <v>24</v>
      </c>
      <c r="BY2336">
        <v>0</v>
      </c>
      <c r="BZ2336">
        <v>0</v>
      </c>
      <c r="CX2336" t="s">
        <v>674</v>
      </c>
      <c r="CY2336">
        <v>0</v>
      </c>
      <c r="CZ2336" s="1">
        <v>44075</v>
      </c>
      <c r="DA2336" s="1">
        <v>44075</v>
      </c>
      <c r="DB2336" s="1">
        <v>44075</v>
      </c>
      <c r="DC2336" s="1">
        <v>44075</v>
      </c>
      <c r="DD2336" t="s">
        <v>51</v>
      </c>
      <c r="DF2336" t="s">
        <v>54</v>
      </c>
      <c r="DG2336">
        <v>0</v>
      </c>
      <c r="DH2336">
        <v>0</v>
      </c>
    </row>
    <row r="2337" spans="1:112" x14ac:dyDescent="0.2">
      <c r="A2337" t="s">
        <v>1012</v>
      </c>
      <c r="B2337" t="s">
        <v>1013</v>
      </c>
      <c r="C2337" t="s">
        <v>1052</v>
      </c>
      <c r="D2337" t="s">
        <v>1082</v>
      </c>
      <c r="F2337" t="str">
        <f>"251896"</f>
        <v>251896</v>
      </c>
      <c r="G2337" t="s">
        <v>49</v>
      </c>
      <c r="H2337">
        <v>12</v>
      </c>
      <c r="K2337" t="s">
        <v>51</v>
      </c>
      <c r="L2337" t="s">
        <v>52</v>
      </c>
      <c r="M2337">
        <v>131766.32</v>
      </c>
      <c r="N2337">
        <v>474332.27</v>
      </c>
      <c r="O2337" t="s">
        <v>53</v>
      </c>
      <c r="P2337" t="s">
        <v>54</v>
      </c>
      <c r="Q2337" t="s">
        <v>55</v>
      </c>
      <c r="T2337" t="s">
        <v>100</v>
      </c>
      <c r="U2337">
        <v>40</v>
      </c>
      <c r="V2337" s="1">
        <v>30864</v>
      </c>
      <c r="W2337" s="1">
        <v>30864</v>
      </c>
      <c r="X2337" s="1">
        <v>30864</v>
      </c>
      <c r="Y2337" s="1">
        <v>45474</v>
      </c>
      <c r="Z2337" t="s">
        <v>51</v>
      </c>
      <c r="AB2337" t="s">
        <v>54</v>
      </c>
      <c r="AC2337">
        <v>1</v>
      </c>
      <c r="AE2337" t="s">
        <v>222</v>
      </c>
      <c r="AF2337">
        <v>20</v>
      </c>
      <c r="AG2337" s="1">
        <v>30864</v>
      </c>
      <c r="AH2337" s="1">
        <v>30864</v>
      </c>
      <c r="AI2337" s="1">
        <v>30864</v>
      </c>
      <c r="AJ2337" s="1">
        <v>38169</v>
      </c>
      <c r="AK2337" t="s">
        <v>51</v>
      </c>
      <c r="AN2337">
        <v>0</v>
      </c>
      <c r="AO2337" t="s">
        <v>54</v>
      </c>
      <c r="AP2337" t="s">
        <v>53</v>
      </c>
      <c r="AQ2337">
        <v>0</v>
      </c>
      <c r="AR2337" t="s">
        <v>53</v>
      </c>
      <c r="AS2337">
        <v>0</v>
      </c>
      <c r="AT2337">
        <v>0</v>
      </c>
      <c r="AW2337" t="s">
        <v>58</v>
      </c>
      <c r="AX2337">
        <v>20</v>
      </c>
      <c r="AY2337" s="1">
        <v>30864</v>
      </c>
      <c r="AZ2337" s="1">
        <v>30864</v>
      </c>
      <c r="BA2337" s="1">
        <v>30864</v>
      </c>
      <c r="BB2337" s="1">
        <v>38169</v>
      </c>
      <c r="BC2337" t="s">
        <v>51</v>
      </c>
      <c r="BE2337" t="s">
        <v>54</v>
      </c>
      <c r="BF2337">
        <v>2</v>
      </c>
      <c r="BG2337">
        <v>0</v>
      </c>
      <c r="BH2337" t="s">
        <v>53</v>
      </c>
      <c r="BK2337" t="s">
        <v>59</v>
      </c>
      <c r="BL2337">
        <v>14000</v>
      </c>
      <c r="BM2337" s="1">
        <v>44104</v>
      </c>
      <c r="BN2337" s="1">
        <v>44104</v>
      </c>
      <c r="BO2337" s="1">
        <v>44104</v>
      </c>
      <c r="BP2337" s="1">
        <v>45269</v>
      </c>
      <c r="BQ2337" t="s">
        <v>51</v>
      </c>
      <c r="BS2337" t="s">
        <v>60</v>
      </c>
      <c r="BT2337" t="s">
        <v>54</v>
      </c>
      <c r="BU2337" t="s">
        <v>61</v>
      </c>
      <c r="BV2337" t="s">
        <v>62</v>
      </c>
      <c r="BX2337">
        <v>24</v>
      </c>
      <c r="BY2337">
        <v>0</v>
      </c>
      <c r="BZ2337">
        <v>0</v>
      </c>
      <c r="CX2337" t="s">
        <v>674</v>
      </c>
      <c r="CY2337">
        <v>0</v>
      </c>
      <c r="CZ2337" s="1">
        <v>44075</v>
      </c>
      <c r="DA2337" s="1">
        <v>44075</v>
      </c>
      <c r="DB2337" s="1">
        <v>44075</v>
      </c>
      <c r="DC2337" s="1">
        <v>44075</v>
      </c>
      <c r="DD2337" t="s">
        <v>51</v>
      </c>
      <c r="DF2337" t="s">
        <v>54</v>
      </c>
      <c r="DG2337">
        <v>0</v>
      </c>
      <c r="DH2337">
        <v>0</v>
      </c>
    </row>
    <row r="2338" spans="1:112" x14ac:dyDescent="0.2">
      <c r="A2338" t="s">
        <v>1012</v>
      </c>
      <c r="B2338" t="s">
        <v>1013</v>
      </c>
      <c r="C2338" t="s">
        <v>1052</v>
      </c>
      <c r="D2338" t="s">
        <v>1082</v>
      </c>
      <c r="F2338" t="str">
        <f>"251897"</f>
        <v>251897</v>
      </c>
      <c r="G2338" t="s">
        <v>49</v>
      </c>
      <c r="K2338" t="s">
        <v>51</v>
      </c>
      <c r="L2338" t="s">
        <v>52</v>
      </c>
      <c r="M2338">
        <v>131775.38</v>
      </c>
      <c r="N2338">
        <v>474338.83</v>
      </c>
      <c r="O2338" t="s">
        <v>53</v>
      </c>
      <c r="P2338" t="s">
        <v>54</v>
      </c>
      <c r="Q2338" t="s">
        <v>55</v>
      </c>
      <c r="T2338" t="s">
        <v>100</v>
      </c>
      <c r="U2338">
        <v>40</v>
      </c>
      <c r="V2338" s="1">
        <v>30864</v>
      </c>
      <c r="W2338" s="1">
        <v>30864</v>
      </c>
      <c r="X2338" s="1">
        <v>30864</v>
      </c>
      <c r="Y2338" s="1">
        <v>45474</v>
      </c>
      <c r="Z2338" t="s">
        <v>51</v>
      </c>
      <c r="AB2338" t="s">
        <v>54</v>
      </c>
      <c r="AC2338">
        <v>1</v>
      </c>
      <c r="AE2338" t="s">
        <v>222</v>
      </c>
      <c r="AF2338">
        <v>20</v>
      </c>
      <c r="AG2338" s="1">
        <v>30864</v>
      </c>
      <c r="AH2338" s="1">
        <v>30864</v>
      </c>
      <c r="AI2338" s="1">
        <v>30864</v>
      </c>
      <c r="AJ2338" s="1">
        <v>38169</v>
      </c>
      <c r="AK2338" t="s">
        <v>51</v>
      </c>
      <c r="AN2338">
        <v>0</v>
      </c>
      <c r="AO2338" t="s">
        <v>54</v>
      </c>
      <c r="AP2338" t="s">
        <v>53</v>
      </c>
      <c r="AQ2338">
        <v>0</v>
      </c>
      <c r="AR2338" t="s">
        <v>53</v>
      </c>
      <c r="AS2338">
        <v>0</v>
      </c>
      <c r="AT2338">
        <v>0</v>
      </c>
      <c r="AW2338" t="s">
        <v>58</v>
      </c>
      <c r="AX2338">
        <v>20</v>
      </c>
      <c r="AY2338" s="1">
        <v>43353</v>
      </c>
      <c r="AZ2338" s="1">
        <v>43353</v>
      </c>
      <c r="BA2338" s="1">
        <v>43353</v>
      </c>
      <c r="BB2338" s="1">
        <v>50658</v>
      </c>
      <c r="BC2338" t="s">
        <v>51</v>
      </c>
      <c r="BE2338" t="s">
        <v>54</v>
      </c>
      <c r="BF2338">
        <v>2</v>
      </c>
      <c r="BG2338">
        <v>0</v>
      </c>
      <c r="BH2338" t="s">
        <v>53</v>
      </c>
      <c r="BK2338" t="s">
        <v>59</v>
      </c>
      <c r="BL2338">
        <v>14000</v>
      </c>
      <c r="BM2338" s="1">
        <v>44104</v>
      </c>
      <c r="BN2338" s="1">
        <v>44104</v>
      </c>
      <c r="BO2338" s="1">
        <v>44104</v>
      </c>
      <c r="BP2338" s="1">
        <v>45269</v>
      </c>
      <c r="BQ2338" t="s">
        <v>51</v>
      </c>
      <c r="BS2338" t="s">
        <v>60</v>
      </c>
      <c r="BT2338" t="s">
        <v>54</v>
      </c>
      <c r="BU2338" t="s">
        <v>61</v>
      </c>
      <c r="BV2338" t="s">
        <v>62</v>
      </c>
      <c r="BX2338">
        <v>24</v>
      </c>
      <c r="BY2338">
        <v>0</v>
      </c>
      <c r="BZ2338">
        <v>0</v>
      </c>
      <c r="CX2338" t="s">
        <v>674</v>
      </c>
      <c r="CY2338">
        <v>0</v>
      </c>
      <c r="CZ2338" s="1">
        <v>44075</v>
      </c>
      <c r="DA2338" s="1">
        <v>44075</v>
      </c>
      <c r="DB2338" s="1">
        <v>44075</v>
      </c>
      <c r="DC2338" s="1">
        <v>44075</v>
      </c>
      <c r="DD2338" t="s">
        <v>51</v>
      </c>
      <c r="DF2338" t="s">
        <v>54</v>
      </c>
      <c r="DG2338">
        <v>0</v>
      </c>
      <c r="DH2338">
        <v>0</v>
      </c>
    </row>
    <row r="2339" spans="1:112" x14ac:dyDescent="0.2">
      <c r="A2339" t="s">
        <v>1012</v>
      </c>
      <c r="B2339" t="s">
        <v>1013</v>
      </c>
      <c r="C2339" t="s">
        <v>1052</v>
      </c>
      <c r="D2339" t="s">
        <v>1082</v>
      </c>
      <c r="F2339" t="str">
        <f>"251898"</f>
        <v>251898</v>
      </c>
      <c r="G2339" t="s">
        <v>49</v>
      </c>
      <c r="H2339">
        <v>20</v>
      </c>
      <c r="K2339" t="s">
        <v>51</v>
      </c>
      <c r="L2339" t="s">
        <v>52</v>
      </c>
      <c r="M2339">
        <v>131801.60999999999</v>
      </c>
      <c r="N2339">
        <v>474339.4</v>
      </c>
      <c r="O2339" t="s">
        <v>53</v>
      </c>
      <c r="P2339" t="s">
        <v>54</v>
      </c>
      <c r="Q2339" t="s">
        <v>55</v>
      </c>
      <c r="T2339" t="s">
        <v>100</v>
      </c>
      <c r="U2339">
        <v>40</v>
      </c>
      <c r="V2339" s="1">
        <v>30864</v>
      </c>
      <c r="W2339" s="1">
        <v>30864</v>
      </c>
      <c r="X2339" s="1">
        <v>30864</v>
      </c>
      <c r="Y2339" s="1">
        <v>45474</v>
      </c>
      <c r="Z2339" t="s">
        <v>51</v>
      </c>
      <c r="AB2339" t="s">
        <v>54</v>
      </c>
      <c r="AC2339">
        <v>1</v>
      </c>
      <c r="AE2339" t="s">
        <v>1081</v>
      </c>
      <c r="AF2339">
        <v>20</v>
      </c>
      <c r="AG2339" s="1">
        <v>30864</v>
      </c>
      <c r="AH2339" s="1">
        <v>30864</v>
      </c>
      <c r="AI2339" s="1">
        <v>30864</v>
      </c>
      <c r="AJ2339" s="1">
        <v>38169</v>
      </c>
      <c r="AK2339" t="s">
        <v>51</v>
      </c>
      <c r="AN2339">
        <v>0</v>
      </c>
      <c r="AO2339" t="s">
        <v>54</v>
      </c>
      <c r="AP2339" t="s">
        <v>53</v>
      </c>
      <c r="AQ2339">
        <v>0</v>
      </c>
      <c r="AR2339" t="s">
        <v>53</v>
      </c>
      <c r="AS2339">
        <v>0</v>
      </c>
      <c r="AT2339">
        <v>0</v>
      </c>
      <c r="AW2339" t="s">
        <v>58</v>
      </c>
      <c r="AX2339">
        <v>20</v>
      </c>
      <c r="AY2339" s="1">
        <v>30864</v>
      </c>
      <c r="AZ2339" s="1">
        <v>30864</v>
      </c>
      <c r="BA2339" s="1">
        <v>30864</v>
      </c>
      <c r="BB2339" s="1">
        <v>38169</v>
      </c>
      <c r="BC2339" t="s">
        <v>51</v>
      </c>
      <c r="BE2339" t="s">
        <v>54</v>
      </c>
      <c r="BF2339">
        <v>2</v>
      </c>
      <c r="BG2339">
        <v>0</v>
      </c>
      <c r="BH2339" t="s">
        <v>53</v>
      </c>
      <c r="BK2339" t="s">
        <v>59</v>
      </c>
      <c r="BL2339">
        <v>14000</v>
      </c>
      <c r="BM2339" s="1">
        <v>44104</v>
      </c>
      <c r="BN2339" s="1">
        <v>44104</v>
      </c>
      <c r="BO2339" s="1">
        <v>44104</v>
      </c>
      <c r="BP2339" s="1">
        <v>45269</v>
      </c>
      <c r="BQ2339" t="s">
        <v>51</v>
      </c>
      <c r="BS2339" t="s">
        <v>60</v>
      </c>
      <c r="BT2339" t="s">
        <v>54</v>
      </c>
      <c r="BU2339" t="s">
        <v>61</v>
      </c>
      <c r="BV2339" t="s">
        <v>62</v>
      </c>
      <c r="BX2339">
        <v>24</v>
      </c>
      <c r="BY2339">
        <v>0</v>
      </c>
      <c r="BZ2339">
        <v>0</v>
      </c>
      <c r="CX2339" t="s">
        <v>674</v>
      </c>
      <c r="CY2339">
        <v>0</v>
      </c>
      <c r="CZ2339" s="1">
        <v>44075</v>
      </c>
      <c r="DA2339" s="1">
        <v>44075</v>
      </c>
      <c r="DB2339" s="1">
        <v>44075</v>
      </c>
      <c r="DC2339" s="1">
        <v>44075</v>
      </c>
      <c r="DD2339" t="s">
        <v>51</v>
      </c>
      <c r="DF2339" t="s">
        <v>54</v>
      </c>
      <c r="DG2339">
        <v>0</v>
      </c>
      <c r="DH2339">
        <v>0</v>
      </c>
    </row>
    <row r="2340" spans="1:112" x14ac:dyDescent="0.2">
      <c r="A2340" t="s">
        <v>1012</v>
      </c>
      <c r="B2340" t="s">
        <v>1013</v>
      </c>
      <c r="C2340" t="s">
        <v>1052</v>
      </c>
      <c r="D2340" t="s">
        <v>1082</v>
      </c>
      <c r="F2340" t="str">
        <f>"251899"</f>
        <v>251899</v>
      </c>
      <c r="G2340" t="s">
        <v>49</v>
      </c>
      <c r="H2340">
        <v>22</v>
      </c>
      <c r="K2340" t="s">
        <v>51</v>
      </c>
      <c r="L2340" t="s">
        <v>52</v>
      </c>
      <c r="M2340">
        <v>131825.04</v>
      </c>
      <c r="N2340">
        <v>474341.96</v>
      </c>
      <c r="O2340" t="s">
        <v>53</v>
      </c>
      <c r="P2340" t="s">
        <v>54</v>
      </c>
      <c r="Q2340" t="s">
        <v>55</v>
      </c>
      <c r="T2340" t="s">
        <v>100</v>
      </c>
      <c r="U2340">
        <v>40</v>
      </c>
      <c r="V2340" s="1">
        <v>30682</v>
      </c>
      <c r="W2340" s="1">
        <v>30682</v>
      </c>
      <c r="X2340" s="1">
        <v>30682</v>
      </c>
      <c r="Y2340" s="1">
        <v>45292</v>
      </c>
      <c r="Z2340" t="s">
        <v>51</v>
      </c>
      <c r="AB2340" t="s">
        <v>54</v>
      </c>
      <c r="AC2340">
        <v>1</v>
      </c>
      <c r="AE2340" t="s">
        <v>1081</v>
      </c>
      <c r="AF2340">
        <v>20</v>
      </c>
      <c r="AG2340" s="1">
        <v>33055</v>
      </c>
      <c r="AH2340" s="1">
        <v>33055</v>
      </c>
      <c r="AI2340" s="1">
        <v>33055</v>
      </c>
      <c r="AJ2340" s="1">
        <v>40360</v>
      </c>
      <c r="AK2340" t="s">
        <v>51</v>
      </c>
      <c r="AN2340">
        <v>0</v>
      </c>
      <c r="AO2340" t="s">
        <v>54</v>
      </c>
      <c r="AP2340" t="s">
        <v>53</v>
      </c>
      <c r="AQ2340">
        <v>0</v>
      </c>
      <c r="AR2340" t="s">
        <v>53</v>
      </c>
      <c r="AS2340">
        <v>0</v>
      </c>
      <c r="AT2340">
        <v>0</v>
      </c>
      <c r="AW2340" t="s">
        <v>58</v>
      </c>
      <c r="AX2340">
        <v>20</v>
      </c>
      <c r="AY2340" s="1">
        <v>33055</v>
      </c>
      <c r="AZ2340" s="1">
        <v>33055</v>
      </c>
      <c r="BA2340" s="1">
        <v>33055</v>
      </c>
      <c r="BB2340" s="1">
        <v>40360</v>
      </c>
      <c r="BC2340" t="s">
        <v>51</v>
      </c>
      <c r="BE2340" t="s">
        <v>54</v>
      </c>
      <c r="BF2340">
        <v>2</v>
      </c>
      <c r="BG2340">
        <v>0</v>
      </c>
      <c r="BH2340" t="s">
        <v>53</v>
      </c>
      <c r="BK2340" t="s">
        <v>59</v>
      </c>
      <c r="BL2340">
        <v>14000</v>
      </c>
      <c r="BM2340" s="1">
        <v>44104</v>
      </c>
      <c r="BN2340" s="1">
        <v>44104</v>
      </c>
      <c r="BO2340" s="1">
        <v>44104</v>
      </c>
      <c r="BP2340" s="1">
        <v>45269</v>
      </c>
      <c r="BQ2340" t="s">
        <v>51</v>
      </c>
      <c r="BS2340" t="s">
        <v>60</v>
      </c>
      <c r="BT2340" t="s">
        <v>54</v>
      </c>
      <c r="BU2340" t="s">
        <v>61</v>
      </c>
      <c r="BV2340" t="s">
        <v>62</v>
      </c>
      <c r="BX2340">
        <v>24</v>
      </c>
      <c r="BY2340">
        <v>0</v>
      </c>
      <c r="BZ2340">
        <v>0</v>
      </c>
      <c r="CX2340" t="s">
        <v>674</v>
      </c>
      <c r="CY2340">
        <v>0</v>
      </c>
      <c r="CZ2340" s="1">
        <v>44075</v>
      </c>
      <c r="DA2340" s="1">
        <v>44075</v>
      </c>
      <c r="DB2340" s="1">
        <v>44075</v>
      </c>
      <c r="DC2340" s="1">
        <v>44075</v>
      </c>
      <c r="DD2340" t="s">
        <v>51</v>
      </c>
      <c r="DF2340" t="s">
        <v>54</v>
      </c>
      <c r="DG2340">
        <v>0</v>
      </c>
      <c r="DH2340">
        <v>0</v>
      </c>
    </row>
    <row r="2341" spans="1:112" x14ac:dyDescent="0.2">
      <c r="A2341" t="s">
        <v>1012</v>
      </c>
      <c r="B2341" t="s">
        <v>1013</v>
      </c>
      <c r="C2341" t="s">
        <v>1052</v>
      </c>
      <c r="D2341" t="s">
        <v>1082</v>
      </c>
      <c r="F2341" t="str">
        <f>"251900"</f>
        <v>251900</v>
      </c>
      <c r="G2341" t="s">
        <v>49</v>
      </c>
      <c r="H2341">
        <v>30</v>
      </c>
      <c r="K2341" t="s">
        <v>51</v>
      </c>
      <c r="L2341" t="s">
        <v>52</v>
      </c>
      <c r="M2341">
        <v>131860.32999999999</v>
      </c>
      <c r="N2341">
        <v>474340.83</v>
      </c>
      <c r="O2341" t="s">
        <v>53</v>
      </c>
      <c r="P2341" t="s">
        <v>54</v>
      </c>
      <c r="Q2341" t="s">
        <v>55</v>
      </c>
      <c r="T2341" t="s">
        <v>100</v>
      </c>
      <c r="U2341">
        <v>40</v>
      </c>
      <c r="V2341" s="1">
        <v>30864</v>
      </c>
      <c r="W2341" s="1">
        <v>30864</v>
      </c>
      <c r="X2341" s="1">
        <v>30864</v>
      </c>
      <c r="Y2341" s="1">
        <v>45474</v>
      </c>
      <c r="Z2341" t="s">
        <v>51</v>
      </c>
      <c r="AB2341" t="s">
        <v>54</v>
      </c>
      <c r="AC2341">
        <v>1</v>
      </c>
      <c r="AE2341" t="s">
        <v>1081</v>
      </c>
      <c r="AF2341">
        <v>20</v>
      </c>
      <c r="AG2341" s="1">
        <v>30864</v>
      </c>
      <c r="AH2341" s="1">
        <v>30864</v>
      </c>
      <c r="AI2341" s="1">
        <v>30864</v>
      </c>
      <c r="AJ2341" s="1">
        <v>38169</v>
      </c>
      <c r="AK2341" t="s">
        <v>51</v>
      </c>
      <c r="AN2341">
        <v>0</v>
      </c>
      <c r="AO2341" t="s">
        <v>54</v>
      </c>
      <c r="AP2341" t="s">
        <v>53</v>
      </c>
      <c r="AQ2341">
        <v>0</v>
      </c>
      <c r="AR2341" t="s">
        <v>53</v>
      </c>
      <c r="AS2341">
        <v>0</v>
      </c>
      <c r="AT2341">
        <v>0</v>
      </c>
      <c r="AW2341" t="s">
        <v>58</v>
      </c>
      <c r="AX2341">
        <v>20</v>
      </c>
      <c r="AY2341" s="1">
        <v>30864</v>
      </c>
      <c r="AZ2341" s="1">
        <v>30864</v>
      </c>
      <c r="BA2341" s="1">
        <v>30864</v>
      </c>
      <c r="BB2341" s="1">
        <v>38169</v>
      </c>
      <c r="BC2341" t="s">
        <v>51</v>
      </c>
      <c r="BE2341" t="s">
        <v>54</v>
      </c>
      <c r="BF2341">
        <v>2</v>
      </c>
      <c r="BG2341">
        <v>0</v>
      </c>
      <c r="BH2341" t="s">
        <v>53</v>
      </c>
      <c r="BK2341" t="s">
        <v>59</v>
      </c>
      <c r="BL2341">
        <v>14000</v>
      </c>
      <c r="BM2341" s="1">
        <v>44104</v>
      </c>
      <c r="BN2341" s="1">
        <v>44104</v>
      </c>
      <c r="BO2341" s="1">
        <v>44104</v>
      </c>
      <c r="BP2341" s="1">
        <v>45269</v>
      </c>
      <c r="BQ2341" t="s">
        <v>51</v>
      </c>
      <c r="BS2341" t="s">
        <v>60</v>
      </c>
      <c r="BT2341" t="s">
        <v>54</v>
      </c>
      <c r="BU2341" t="s">
        <v>61</v>
      </c>
      <c r="BV2341" t="s">
        <v>62</v>
      </c>
      <c r="BX2341">
        <v>24</v>
      </c>
      <c r="BY2341">
        <v>0</v>
      </c>
      <c r="BZ2341">
        <v>0</v>
      </c>
      <c r="CX2341" t="s">
        <v>674</v>
      </c>
      <c r="CY2341">
        <v>0</v>
      </c>
      <c r="CZ2341" s="1">
        <v>43040</v>
      </c>
      <c r="DA2341" s="1">
        <v>43040</v>
      </c>
      <c r="DB2341" s="1">
        <v>43040</v>
      </c>
      <c r="DC2341" s="1">
        <v>43040</v>
      </c>
      <c r="DD2341" t="s">
        <v>51</v>
      </c>
      <c r="DF2341" t="s">
        <v>54</v>
      </c>
      <c r="DG2341">
        <v>0</v>
      </c>
      <c r="DH2341">
        <v>0</v>
      </c>
    </row>
    <row r="2342" spans="1:112" x14ac:dyDescent="0.2">
      <c r="A2342" t="s">
        <v>1012</v>
      </c>
      <c r="B2342" t="s">
        <v>1013</v>
      </c>
      <c r="C2342" t="s">
        <v>1052</v>
      </c>
      <c r="D2342" t="s">
        <v>1083</v>
      </c>
      <c r="F2342" t="str">
        <f>"251901"</f>
        <v>251901</v>
      </c>
      <c r="G2342" t="s">
        <v>49</v>
      </c>
      <c r="K2342" t="s">
        <v>51</v>
      </c>
      <c r="L2342" t="s">
        <v>52</v>
      </c>
      <c r="M2342">
        <v>131859.36799999999</v>
      </c>
      <c r="N2342">
        <v>474374.00900000002</v>
      </c>
      <c r="O2342" t="s">
        <v>53</v>
      </c>
      <c r="P2342" t="s">
        <v>54</v>
      </c>
      <c r="Q2342" t="s">
        <v>55</v>
      </c>
      <c r="T2342" t="s">
        <v>100</v>
      </c>
      <c r="U2342">
        <v>40</v>
      </c>
      <c r="V2342" s="1">
        <v>25385</v>
      </c>
      <c r="W2342" s="1">
        <v>25385</v>
      </c>
      <c r="X2342" s="1">
        <v>25385</v>
      </c>
      <c r="Y2342" s="1">
        <v>39995</v>
      </c>
      <c r="Z2342" t="s">
        <v>51</v>
      </c>
      <c r="AB2342" t="s">
        <v>54</v>
      </c>
      <c r="AC2342">
        <v>1</v>
      </c>
      <c r="AE2342" t="s">
        <v>1081</v>
      </c>
      <c r="AF2342">
        <v>20</v>
      </c>
      <c r="AG2342" s="1">
        <v>25385</v>
      </c>
      <c r="AH2342" s="1">
        <v>25385</v>
      </c>
      <c r="AI2342" s="1">
        <v>25385</v>
      </c>
      <c r="AJ2342" s="1">
        <v>32690</v>
      </c>
      <c r="AK2342" t="s">
        <v>51</v>
      </c>
      <c r="AN2342">
        <v>0</v>
      </c>
      <c r="AO2342" t="s">
        <v>54</v>
      </c>
      <c r="AP2342" t="s">
        <v>53</v>
      </c>
      <c r="AQ2342">
        <v>0</v>
      </c>
      <c r="AR2342" t="s">
        <v>53</v>
      </c>
      <c r="AS2342">
        <v>0</v>
      </c>
      <c r="AT2342">
        <v>0</v>
      </c>
      <c r="AW2342" t="s">
        <v>58</v>
      </c>
      <c r="AX2342">
        <v>20</v>
      </c>
      <c r="AY2342" s="1">
        <v>25385</v>
      </c>
      <c r="AZ2342" s="1">
        <v>25385</v>
      </c>
      <c r="BA2342" s="1">
        <v>25385</v>
      </c>
      <c r="BB2342" s="1">
        <v>32690</v>
      </c>
      <c r="BC2342" t="s">
        <v>51</v>
      </c>
      <c r="BE2342" t="s">
        <v>54</v>
      </c>
      <c r="BF2342">
        <v>2</v>
      </c>
      <c r="BG2342">
        <v>0</v>
      </c>
      <c r="BH2342" t="s">
        <v>53</v>
      </c>
      <c r="BK2342" t="s">
        <v>59</v>
      </c>
      <c r="BL2342">
        <v>14000</v>
      </c>
      <c r="BM2342" s="1">
        <v>44104</v>
      </c>
      <c r="BN2342" s="1">
        <v>44104</v>
      </c>
      <c r="BO2342" s="1">
        <v>44104</v>
      </c>
      <c r="BP2342" s="1">
        <v>45269</v>
      </c>
      <c r="BQ2342" t="s">
        <v>51</v>
      </c>
      <c r="BS2342" t="s">
        <v>60</v>
      </c>
      <c r="BT2342" t="s">
        <v>54</v>
      </c>
      <c r="BU2342" t="s">
        <v>61</v>
      </c>
      <c r="BV2342" t="s">
        <v>62</v>
      </c>
      <c r="BX2342">
        <v>24</v>
      </c>
      <c r="BY2342">
        <v>0</v>
      </c>
      <c r="BZ2342">
        <v>0</v>
      </c>
      <c r="CX2342" t="s">
        <v>674</v>
      </c>
      <c r="CY2342">
        <v>0</v>
      </c>
      <c r="CZ2342" s="1">
        <v>29677</v>
      </c>
      <c r="DA2342" s="1">
        <v>29677</v>
      </c>
      <c r="DB2342" s="1">
        <v>29677</v>
      </c>
      <c r="DC2342" s="1">
        <v>29677</v>
      </c>
      <c r="DD2342" t="s">
        <v>51</v>
      </c>
      <c r="DF2342" t="s">
        <v>54</v>
      </c>
      <c r="DG2342">
        <v>0</v>
      </c>
      <c r="DH2342">
        <v>0</v>
      </c>
    </row>
    <row r="2343" spans="1:112" x14ac:dyDescent="0.2">
      <c r="A2343" t="s">
        <v>1012</v>
      </c>
      <c r="B2343" t="s">
        <v>1013</v>
      </c>
      <c r="C2343" t="s">
        <v>1052</v>
      </c>
      <c r="D2343" t="s">
        <v>1083</v>
      </c>
      <c r="F2343" t="str">
        <f>"251902"</f>
        <v>251902</v>
      </c>
      <c r="G2343" t="s">
        <v>49</v>
      </c>
      <c r="K2343" t="s">
        <v>51</v>
      </c>
      <c r="L2343" t="s">
        <v>52</v>
      </c>
      <c r="M2343">
        <v>131831.54</v>
      </c>
      <c r="N2343">
        <v>474360.46</v>
      </c>
      <c r="O2343" t="s">
        <v>53</v>
      </c>
      <c r="P2343" t="s">
        <v>54</v>
      </c>
      <c r="Q2343" t="s">
        <v>55</v>
      </c>
      <c r="T2343" t="s">
        <v>100</v>
      </c>
      <c r="U2343">
        <v>40</v>
      </c>
      <c r="V2343" s="1">
        <v>25385</v>
      </c>
      <c r="W2343" s="1">
        <v>25385</v>
      </c>
      <c r="X2343" s="1">
        <v>25385</v>
      </c>
      <c r="Y2343" s="1">
        <v>39995</v>
      </c>
      <c r="Z2343" t="s">
        <v>51</v>
      </c>
      <c r="AB2343" t="s">
        <v>54</v>
      </c>
      <c r="AC2343">
        <v>1</v>
      </c>
      <c r="AE2343" t="s">
        <v>1081</v>
      </c>
      <c r="AF2343">
        <v>20</v>
      </c>
      <c r="AG2343" s="1">
        <v>25385</v>
      </c>
      <c r="AH2343" s="1">
        <v>25385</v>
      </c>
      <c r="AI2343" s="1">
        <v>25385</v>
      </c>
      <c r="AJ2343" s="1">
        <v>32690</v>
      </c>
      <c r="AK2343" t="s">
        <v>51</v>
      </c>
      <c r="AN2343">
        <v>0</v>
      </c>
      <c r="AO2343" t="s">
        <v>54</v>
      </c>
      <c r="AP2343" t="s">
        <v>53</v>
      </c>
      <c r="AQ2343">
        <v>0</v>
      </c>
      <c r="AR2343" t="s">
        <v>53</v>
      </c>
      <c r="AS2343">
        <v>0</v>
      </c>
      <c r="AT2343">
        <v>0</v>
      </c>
      <c r="AW2343" t="s">
        <v>58</v>
      </c>
      <c r="AX2343">
        <v>20</v>
      </c>
      <c r="AY2343" s="1">
        <v>25385</v>
      </c>
      <c r="AZ2343" s="1">
        <v>25385</v>
      </c>
      <c r="BA2343" s="1">
        <v>25385</v>
      </c>
      <c r="BB2343" s="1">
        <v>32690</v>
      </c>
      <c r="BC2343" t="s">
        <v>51</v>
      </c>
      <c r="BE2343" t="s">
        <v>54</v>
      </c>
      <c r="BF2343">
        <v>2</v>
      </c>
      <c r="BG2343">
        <v>0</v>
      </c>
      <c r="BH2343" t="s">
        <v>53</v>
      </c>
      <c r="BK2343" t="s">
        <v>59</v>
      </c>
      <c r="BL2343">
        <v>14000</v>
      </c>
      <c r="BM2343" s="1">
        <v>44104</v>
      </c>
      <c r="BN2343" s="1">
        <v>44104</v>
      </c>
      <c r="BO2343" s="1">
        <v>44104</v>
      </c>
      <c r="BP2343" s="1">
        <v>45269</v>
      </c>
      <c r="BQ2343" t="s">
        <v>51</v>
      </c>
      <c r="BS2343" t="s">
        <v>60</v>
      </c>
      <c r="BT2343" t="s">
        <v>54</v>
      </c>
      <c r="BU2343" t="s">
        <v>61</v>
      </c>
      <c r="BV2343" t="s">
        <v>62</v>
      </c>
      <c r="BX2343">
        <v>24</v>
      </c>
      <c r="BY2343">
        <v>0</v>
      </c>
      <c r="BZ2343">
        <v>0</v>
      </c>
      <c r="CX2343" t="s">
        <v>674</v>
      </c>
      <c r="CY2343">
        <v>0</v>
      </c>
      <c r="CZ2343" s="1">
        <v>29677</v>
      </c>
      <c r="DA2343" s="1">
        <v>29677</v>
      </c>
      <c r="DB2343" s="1">
        <v>29677</v>
      </c>
      <c r="DC2343" s="1">
        <v>29677</v>
      </c>
      <c r="DD2343" t="s">
        <v>51</v>
      </c>
      <c r="DF2343" t="s">
        <v>54</v>
      </c>
      <c r="DG2343">
        <v>0</v>
      </c>
      <c r="DH2343">
        <v>0</v>
      </c>
    </row>
    <row r="2344" spans="1:112" x14ac:dyDescent="0.2">
      <c r="A2344" t="s">
        <v>1012</v>
      </c>
      <c r="B2344" t="s">
        <v>1013</v>
      </c>
      <c r="C2344" t="s">
        <v>1052</v>
      </c>
      <c r="D2344" t="s">
        <v>1083</v>
      </c>
      <c r="F2344" t="str">
        <f>"251903"</f>
        <v>251903</v>
      </c>
      <c r="G2344" t="s">
        <v>49</v>
      </c>
      <c r="K2344" t="s">
        <v>51</v>
      </c>
      <c r="L2344" t="s">
        <v>52</v>
      </c>
      <c r="M2344">
        <v>131830.848</v>
      </c>
      <c r="N2344">
        <v>474388.23200000002</v>
      </c>
      <c r="O2344" t="s">
        <v>53</v>
      </c>
      <c r="P2344" t="s">
        <v>54</v>
      </c>
      <c r="Q2344" t="s">
        <v>55</v>
      </c>
      <c r="T2344" t="s">
        <v>100</v>
      </c>
      <c r="U2344">
        <v>40</v>
      </c>
      <c r="V2344" s="1">
        <v>25385</v>
      </c>
      <c r="W2344" s="1">
        <v>25385</v>
      </c>
      <c r="X2344" s="1">
        <v>25385</v>
      </c>
      <c r="Y2344" s="1">
        <v>39995</v>
      </c>
      <c r="Z2344" t="s">
        <v>51</v>
      </c>
      <c r="AB2344" t="s">
        <v>54</v>
      </c>
      <c r="AC2344">
        <v>1</v>
      </c>
      <c r="AE2344" t="s">
        <v>1081</v>
      </c>
      <c r="AF2344">
        <v>20</v>
      </c>
      <c r="AG2344" s="1">
        <v>25385</v>
      </c>
      <c r="AH2344" s="1">
        <v>25385</v>
      </c>
      <c r="AI2344" s="1">
        <v>25385</v>
      </c>
      <c r="AJ2344" s="1">
        <v>32690</v>
      </c>
      <c r="AK2344" t="s">
        <v>51</v>
      </c>
      <c r="AN2344">
        <v>0</v>
      </c>
      <c r="AO2344" t="s">
        <v>54</v>
      </c>
      <c r="AP2344" t="s">
        <v>53</v>
      </c>
      <c r="AQ2344">
        <v>0</v>
      </c>
      <c r="AR2344" t="s">
        <v>53</v>
      </c>
      <c r="AS2344">
        <v>0</v>
      </c>
      <c r="AT2344">
        <v>0</v>
      </c>
      <c r="AW2344" t="s">
        <v>58</v>
      </c>
      <c r="AX2344">
        <v>20</v>
      </c>
      <c r="AY2344" s="1">
        <v>25385</v>
      </c>
      <c r="AZ2344" s="1">
        <v>25385</v>
      </c>
      <c r="BA2344" s="1">
        <v>25385</v>
      </c>
      <c r="BB2344" s="1">
        <v>32690</v>
      </c>
      <c r="BC2344" t="s">
        <v>51</v>
      </c>
      <c r="BE2344" t="s">
        <v>54</v>
      </c>
      <c r="BF2344">
        <v>2</v>
      </c>
      <c r="BG2344">
        <v>0</v>
      </c>
      <c r="BH2344" t="s">
        <v>53</v>
      </c>
      <c r="BK2344" t="s">
        <v>59</v>
      </c>
      <c r="BL2344">
        <v>14000</v>
      </c>
      <c r="BM2344" s="1">
        <v>44104</v>
      </c>
      <c r="BN2344" s="1">
        <v>44104</v>
      </c>
      <c r="BO2344" s="1">
        <v>44104</v>
      </c>
      <c r="BP2344" s="1">
        <v>45269</v>
      </c>
      <c r="BQ2344" t="s">
        <v>51</v>
      </c>
      <c r="BS2344" t="s">
        <v>60</v>
      </c>
      <c r="BT2344" t="s">
        <v>54</v>
      </c>
      <c r="BU2344" t="s">
        <v>61</v>
      </c>
      <c r="BV2344" t="s">
        <v>62</v>
      </c>
      <c r="BX2344">
        <v>24</v>
      </c>
      <c r="BY2344">
        <v>0</v>
      </c>
      <c r="BZ2344">
        <v>0</v>
      </c>
      <c r="CX2344" t="s">
        <v>674</v>
      </c>
      <c r="CY2344">
        <v>0</v>
      </c>
      <c r="CZ2344" s="1">
        <v>44075</v>
      </c>
      <c r="DA2344" s="1">
        <v>44075</v>
      </c>
      <c r="DB2344" s="1">
        <v>44075</v>
      </c>
      <c r="DC2344" s="1">
        <v>44075</v>
      </c>
      <c r="DD2344" t="s">
        <v>51</v>
      </c>
      <c r="DF2344" t="s">
        <v>54</v>
      </c>
      <c r="DG2344">
        <v>0</v>
      </c>
      <c r="DH2344">
        <v>0</v>
      </c>
    </row>
    <row r="2345" spans="1:112" x14ac:dyDescent="0.2">
      <c r="A2345" t="s">
        <v>1012</v>
      </c>
      <c r="B2345" t="s">
        <v>1013</v>
      </c>
      <c r="C2345" t="s">
        <v>1052</v>
      </c>
      <c r="D2345" t="s">
        <v>1084</v>
      </c>
      <c r="F2345" t="str">
        <f>"251904"</f>
        <v>251904</v>
      </c>
      <c r="G2345" t="s">
        <v>49</v>
      </c>
      <c r="H2345">
        <v>27</v>
      </c>
      <c r="K2345" t="s">
        <v>51</v>
      </c>
      <c r="L2345" t="s">
        <v>52</v>
      </c>
      <c r="M2345">
        <v>131854.82999999999</v>
      </c>
      <c r="N2345">
        <v>474411.69</v>
      </c>
      <c r="O2345" t="s">
        <v>53</v>
      </c>
      <c r="P2345" t="s">
        <v>54</v>
      </c>
      <c r="Q2345" t="s">
        <v>55</v>
      </c>
      <c r="T2345" t="s">
        <v>100</v>
      </c>
      <c r="U2345">
        <v>40</v>
      </c>
      <c r="V2345" s="1">
        <v>31048</v>
      </c>
      <c r="W2345" s="1">
        <v>31048</v>
      </c>
      <c r="X2345" s="1">
        <v>31048</v>
      </c>
      <c r="Y2345" s="1">
        <v>45658</v>
      </c>
      <c r="Z2345" t="s">
        <v>51</v>
      </c>
      <c r="AB2345" t="s">
        <v>54</v>
      </c>
      <c r="AC2345">
        <v>1</v>
      </c>
      <c r="AE2345" t="s">
        <v>1081</v>
      </c>
      <c r="AF2345">
        <v>20</v>
      </c>
      <c r="AG2345" s="1">
        <v>31048</v>
      </c>
      <c r="AH2345" s="1">
        <v>31048</v>
      </c>
      <c r="AI2345" s="1">
        <v>31048</v>
      </c>
      <c r="AJ2345" s="1">
        <v>38353</v>
      </c>
      <c r="AK2345" t="s">
        <v>51</v>
      </c>
      <c r="AN2345">
        <v>0</v>
      </c>
      <c r="AO2345" t="s">
        <v>54</v>
      </c>
      <c r="AP2345" t="s">
        <v>53</v>
      </c>
      <c r="AQ2345">
        <v>0</v>
      </c>
      <c r="AR2345" t="s">
        <v>53</v>
      </c>
      <c r="AS2345">
        <v>0</v>
      </c>
      <c r="AT2345">
        <v>0</v>
      </c>
      <c r="AW2345" t="s">
        <v>58</v>
      </c>
      <c r="AX2345">
        <v>20</v>
      </c>
      <c r="AY2345" s="1">
        <v>31048</v>
      </c>
      <c r="AZ2345" s="1">
        <v>31048</v>
      </c>
      <c r="BA2345" s="1">
        <v>31048</v>
      </c>
      <c r="BB2345" s="1">
        <v>38353</v>
      </c>
      <c r="BC2345" t="s">
        <v>51</v>
      </c>
      <c r="BE2345" t="s">
        <v>54</v>
      </c>
      <c r="BF2345">
        <v>2</v>
      </c>
      <c r="BG2345">
        <v>0</v>
      </c>
      <c r="BH2345" t="s">
        <v>53</v>
      </c>
      <c r="BK2345" t="s">
        <v>59</v>
      </c>
      <c r="BL2345">
        <v>14000</v>
      </c>
      <c r="BM2345" s="1">
        <v>44104</v>
      </c>
      <c r="BN2345" s="1">
        <v>44104</v>
      </c>
      <c r="BO2345" s="1">
        <v>44104</v>
      </c>
      <c r="BP2345" s="1">
        <v>45269</v>
      </c>
      <c r="BQ2345" t="s">
        <v>51</v>
      </c>
      <c r="BS2345" t="s">
        <v>60</v>
      </c>
      <c r="BT2345" t="s">
        <v>54</v>
      </c>
      <c r="BU2345" t="s">
        <v>61</v>
      </c>
      <c r="BV2345" t="s">
        <v>62</v>
      </c>
      <c r="BX2345">
        <v>24</v>
      </c>
      <c r="BY2345">
        <v>0</v>
      </c>
      <c r="BZ2345">
        <v>0</v>
      </c>
      <c r="CX2345" t="s">
        <v>674</v>
      </c>
      <c r="CY2345">
        <v>0</v>
      </c>
      <c r="CZ2345" s="1">
        <v>44320</v>
      </c>
      <c r="DA2345" s="1">
        <v>44320</v>
      </c>
      <c r="DB2345" s="1">
        <v>44320</v>
      </c>
      <c r="DC2345" s="1">
        <v>44320</v>
      </c>
      <c r="DD2345" t="s">
        <v>51</v>
      </c>
      <c r="DF2345" t="s">
        <v>54</v>
      </c>
      <c r="DG2345">
        <v>0</v>
      </c>
      <c r="DH2345">
        <v>0</v>
      </c>
    </row>
    <row r="2346" spans="1:112" x14ac:dyDescent="0.2">
      <c r="A2346" t="s">
        <v>1012</v>
      </c>
      <c r="B2346" t="s">
        <v>1013</v>
      </c>
      <c r="C2346" t="s">
        <v>1052</v>
      </c>
      <c r="D2346" t="s">
        <v>1084</v>
      </c>
      <c r="F2346" t="str">
        <f>"251905"</f>
        <v>251905</v>
      </c>
      <c r="G2346" t="s">
        <v>49</v>
      </c>
      <c r="H2346">
        <v>21</v>
      </c>
      <c r="K2346" t="s">
        <v>51</v>
      </c>
      <c r="L2346" t="s">
        <v>52</v>
      </c>
      <c r="M2346">
        <v>131826.43</v>
      </c>
      <c r="N2346">
        <v>474411.03</v>
      </c>
      <c r="O2346" t="s">
        <v>53</v>
      </c>
      <c r="P2346" t="s">
        <v>54</v>
      </c>
      <c r="Q2346" t="s">
        <v>55</v>
      </c>
      <c r="T2346" t="s">
        <v>100</v>
      </c>
      <c r="U2346">
        <v>40</v>
      </c>
      <c r="V2346" s="1">
        <v>31048</v>
      </c>
      <c r="W2346" s="1">
        <v>31048</v>
      </c>
      <c r="X2346" s="1">
        <v>31048</v>
      </c>
      <c r="Y2346" s="1">
        <v>45658</v>
      </c>
      <c r="Z2346" t="s">
        <v>51</v>
      </c>
      <c r="AB2346" t="s">
        <v>54</v>
      </c>
      <c r="AC2346">
        <v>1</v>
      </c>
      <c r="AE2346" t="s">
        <v>1081</v>
      </c>
      <c r="AF2346">
        <v>20</v>
      </c>
      <c r="AG2346" s="1">
        <v>31048</v>
      </c>
      <c r="AH2346" s="1">
        <v>31048</v>
      </c>
      <c r="AI2346" s="1">
        <v>31048</v>
      </c>
      <c r="AJ2346" s="1">
        <v>38353</v>
      </c>
      <c r="AK2346" t="s">
        <v>51</v>
      </c>
      <c r="AN2346">
        <v>0</v>
      </c>
      <c r="AO2346" t="s">
        <v>54</v>
      </c>
      <c r="AP2346" t="s">
        <v>53</v>
      </c>
      <c r="AQ2346">
        <v>0</v>
      </c>
      <c r="AR2346" t="s">
        <v>53</v>
      </c>
      <c r="AS2346">
        <v>0</v>
      </c>
      <c r="AT2346">
        <v>0</v>
      </c>
      <c r="AW2346" t="s">
        <v>58</v>
      </c>
      <c r="AX2346">
        <v>20</v>
      </c>
      <c r="AY2346" s="1">
        <v>31048</v>
      </c>
      <c r="AZ2346" s="1">
        <v>31048</v>
      </c>
      <c r="BA2346" s="1">
        <v>31048</v>
      </c>
      <c r="BB2346" s="1">
        <v>38353</v>
      </c>
      <c r="BC2346" t="s">
        <v>51</v>
      </c>
      <c r="BE2346" t="s">
        <v>54</v>
      </c>
      <c r="BF2346">
        <v>2</v>
      </c>
      <c r="BG2346">
        <v>0</v>
      </c>
      <c r="BH2346" t="s">
        <v>53</v>
      </c>
      <c r="BK2346" t="s">
        <v>59</v>
      </c>
      <c r="BL2346">
        <v>14000</v>
      </c>
      <c r="BM2346" s="1">
        <v>44104</v>
      </c>
      <c r="BN2346" s="1">
        <v>44104</v>
      </c>
      <c r="BO2346" s="1">
        <v>44104</v>
      </c>
      <c r="BP2346" s="1">
        <v>45269</v>
      </c>
      <c r="BQ2346" t="s">
        <v>51</v>
      </c>
      <c r="BS2346" t="s">
        <v>60</v>
      </c>
      <c r="BT2346" t="s">
        <v>54</v>
      </c>
      <c r="BU2346" t="s">
        <v>61</v>
      </c>
      <c r="BV2346" t="s">
        <v>62</v>
      </c>
      <c r="BX2346">
        <v>24</v>
      </c>
      <c r="BY2346">
        <v>0</v>
      </c>
      <c r="BZ2346">
        <v>0</v>
      </c>
      <c r="CX2346" t="s">
        <v>674</v>
      </c>
      <c r="CY2346">
        <v>0</v>
      </c>
      <c r="CZ2346" s="1">
        <v>44320</v>
      </c>
      <c r="DA2346" s="1">
        <v>44320</v>
      </c>
      <c r="DB2346" s="1">
        <v>44320</v>
      </c>
      <c r="DC2346" s="1">
        <v>44320</v>
      </c>
      <c r="DD2346" t="s">
        <v>51</v>
      </c>
      <c r="DF2346" t="s">
        <v>54</v>
      </c>
      <c r="DG2346">
        <v>0</v>
      </c>
      <c r="DH2346">
        <v>0</v>
      </c>
    </row>
    <row r="2347" spans="1:112" x14ac:dyDescent="0.2">
      <c r="A2347" t="s">
        <v>1012</v>
      </c>
      <c r="B2347" t="s">
        <v>1013</v>
      </c>
      <c r="C2347" t="s">
        <v>1052</v>
      </c>
      <c r="D2347" t="s">
        <v>1084</v>
      </c>
      <c r="F2347" t="str">
        <f>"251906"</f>
        <v>251906</v>
      </c>
      <c r="G2347" t="s">
        <v>49</v>
      </c>
      <c r="H2347">
        <v>13</v>
      </c>
      <c r="K2347" t="s">
        <v>51</v>
      </c>
      <c r="L2347" t="s">
        <v>52</v>
      </c>
      <c r="M2347">
        <v>131800.5</v>
      </c>
      <c r="N2347">
        <v>474414.62</v>
      </c>
      <c r="O2347" t="s">
        <v>53</v>
      </c>
      <c r="P2347" t="s">
        <v>54</v>
      </c>
      <c r="Q2347" t="s">
        <v>55</v>
      </c>
      <c r="T2347" t="s">
        <v>100</v>
      </c>
      <c r="U2347">
        <v>40</v>
      </c>
      <c r="V2347" s="1">
        <v>31048</v>
      </c>
      <c r="W2347" s="1">
        <v>31048</v>
      </c>
      <c r="X2347" s="1">
        <v>31048</v>
      </c>
      <c r="Y2347" s="1">
        <v>45658</v>
      </c>
      <c r="Z2347" t="s">
        <v>51</v>
      </c>
      <c r="AB2347" t="s">
        <v>54</v>
      </c>
      <c r="AC2347">
        <v>1</v>
      </c>
      <c r="AE2347" t="s">
        <v>1081</v>
      </c>
      <c r="AF2347">
        <v>20</v>
      </c>
      <c r="AG2347" s="1">
        <v>31048</v>
      </c>
      <c r="AH2347" s="1">
        <v>31048</v>
      </c>
      <c r="AI2347" s="1">
        <v>31048</v>
      </c>
      <c r="AJ2347" s="1">
        <v>38353</v>
      </c>
      <c r="AK2347" t="s">
        <v>51</v>
      </c>
      <c r="AN2347">
        <v>0</v>
      </c>
      <c r="AO2347" t="s">
        <v>54</v>
      </c>
      <c r="AP2347" t="s">
        <v>53</v>
      </c>
      <c r="AQ2347">
        <v>0</v>
      </c>
      <c r="AR2347" t="s">
        <v>53</v>
      </c>
      <c r="AS2347">
        <v>0</v>
      </c>
      <c r="AT2347">
        <v>0</v>
      </c>
      <c r="AW2347" t="s">
        <v>58</v>
      </c>
      <c r="AX2347">
        <v>20</v>
      </c>
      <c r="AY2347" s="1">
        <v>31048</v>
      </c>
      <c r="AZ2347" s="1">
        <v>31048</v>
      </c>
      <c r="BA2347" s="1">
        <v>31048</v>
      </c>
      <c r="BB2347" s="1">
        <v>38353</v>
      </c>
      <c r="BC2347" t="s">
        <v>51</v>
      </c>
      <c r="BE2347" t="s">
        <v>54</v>
      </c>
      <c r="BF2347">
        <v>2</v>
      </c>
      <c r="BG2347">
        <v>0</v>
      </c>
      <c r="BH2347" t="s">
        <v>53</v>
      </c>
      <c r="BK2347" t="s">
        <v>59</v>
      </c>
      <c r="BL2347">
        <v>14000</v>
      </c>
      <c r="BM2347" s="1">
        <v>44104</v>
      </c>
      <c r="BN2347" s="1">
        <v>44104</v>
      </c>
      <c r="BO2347" s="1">
        <v>44104</v>
      </c>
      <c r="BP2347" s="1">
        <v>45269</v>
      </c>
      <c r="BQ2347" t="s">
        <v>51</v>
      </c>
      <c r="BS2347" t="s">
        <v>60</v>
      </c>
      <c r="BT2347" t="s">
        <v>54</v>
      </c>
      <c r="BU2347" t="s">
        <v>61</v>
      </c>
      <c r="BV2347" t="s">
        <v>62</v>
      </c>
      <c r="BX2347">
        <v>24</v>
      </c>
      <c r="BY2347">
        <v>0</v>
      </c>
      <c r="BZ2347">
        <v>0</v>
      </c>
      <c r="CX2347" t="s">
        <v>674</v>
      </c>
      <c r="CY2347">
        <v>0</v>
      </c>
      <c r="CZ2347" s="1">
        <v>44320</v>
      </c>
      <c r="DA2347" s="1">
        <v>44320</v>
      </c>
      <c r="DB2347" s="1">
        <v>44320</v>
      </c>
      <c r="DC2347" s="1">
        <v>44320</v>
      </c>
      <c r="DD2347" t="s">
        <v>51</v>
      </c>
      <c r="DF2347" t="s">
        <v>54</v>
      </c>
      <c r="DG2347">
        <v>0</v>
      </c>
      <c r="DH2347">
        <v>0</v>
      </c>
    </row>
    <row r="2348" spans="1:112" x14ac:dyDescent="0.2">
      <c r="A2348" t="s">
        <v>1012</v>
      </c>
      <c r="B2348" t="s">
        <v>1013</v>
      </c>
      <c r="C2348" t="s">
        <v>1052</v>
      </c>
      <c r="D2348" t="s">
        <v>1085</v>
      </c>
      <c r="F2348" t="str">
        <f>"251907"</f>
        <v>251907</v>
      </c>
      <c r="G2348" t="s">
        <v>49</v>
      </c>
      <c r="K2348" t="s">
        <v>51</v>
      </c>
      <c r="L2348" t="s">
        <v>52</v>
      </c>
      <c r="M2348">
        <v>131800.08799999999</v>
      </c>
      <c r="N2348">
        <v>474445.674</v>
      </c>
      <c r="O2348" t="s">
        <v>53</v>
      </c>
      <c r="P2348" t="s">
        <v>54</v>
      </c>
      <c r="Q2348" t="s">
        <v>55</v>
      </c>
      <c r="T2348" t="s">
        <v>100</v>
      </c>
      <c r="U2348">
        <v>40</v>
      </c>
      <c r="V2348" s="1">
        <v>31048</v>
      </c>
      <c r="W2348" s="1">
        <v>31048</v>
      </c>
      <c r="X2348" s="1">
        <v>31048</v>
      </c>
      <c r="Y2348" s="1">
        <v>45658</v>
      </c>
      <c r="Z2348" t="s">
        <v>51</v>
      </c>
      <c r="AB2348" t="s">
        <v>54</v>
      </c>
      <c r="AC2348">
        <v>1</v>
      </c>
      <c r="AE2348" t="s">
        <v>1081</v>
      </c>
      <c r="AF2348">
        <v>20</v>
      </c>
      <c r="AG2348" s="1">
        <v>31048</v>
      </c>
      <c r="AH2348" s="1">
        <v>31048</v>
      </c>
      <c r="AI2348" s="1">
        <v>31048</v>
      </c>
      <c r="AJ2348" s="1">
        <v>38353</v>
      </c>
      <c r="AK2348" t="s">
        <v>51</v>
      </c>
      <c r="AN2348">
        <v>0</v>
      </c>
      <c r="AO2348" t="s">
        <v>54</v>
      </c>
      <c r="AP2348" t="s">
        <v>53</v>
      </c>
      <c r="AQ2348">
        <v>0</v>
      </c>
      <c r="AR2348" t="s">
        <v>53</v>
      </c>
      <c r="AS2348">
        <v>0</v>
      </c>
      <c r="AT2348">
        <v>0</v>
      </c>
      <c r="AW2348" t="s">
        <v>161</v>
      </c>
      <c r="AX2348">
        <v>50</v>
      </c>
      <c r="AY2348" s="1">
        <v>31048</v>
      </c>
      <c r="AZ2348" s="1">
        <v>31048</v>
      </c>
      <c r="BA2348" s="1">
        <v>31048</v>
      </c>
      <c r="BB2348" s="1">
        <v>49310</v>
      </c>
      <c r="BC2348" t="s">
        <v>51</v>
      </c>
      <c r="BE2348" t="s">
        <v>54</v>
      </c>
      <c r="BF2348">
        <v>0</v>
      </c>
      <c r="BG2348">
        <v>0</v>
      </c>
      <c r="BH2348" t="s">
        <v>53</v>
      </c>
      <c r="BK2348" t="s">
        <v>59</v>
      </c>
      <c r="BL2348">
        <v>14000</v>
      </c>
      <c r="BM2348" s="1">
        <v>44104</v>
      </c>
      <c r="BN2348" s="1">
        <v>44104</v>
      </c>
      <c r="BO2348" s="1">
        <v>44104</v>
      </c>
      <c r="BP2348" s="1">
        <v>45269</v>
      </c>
      <c r="BQ2348" t="s">
        <v>51</v>
      </c>
      <c r="BS2348" t="s">
        <v>60</v>
      </c>
      <c r="BT2348" t="s">
        <v>54</v>
      </c>
      <c r="BU2348" t="s">
        <v>61</v>
      </c>
      <c r="BV2348" t="s">
        <v>62</v>
      </c>
      <c r="BX2348">
        <v>24</v>
      </c>
      <c r="BY2348">
        <v>0</v>
      </c>
      <c r="BZ2348">
        <v>0</v>
      </c>
      <c r="CX2348" t="s">
        <v>674</v>
      </c>
      <c r="CY2348">
        <v>0</v>
      </c>
      <c r="CZ2348" s="1">
        <v>44320</v>
      </c>
      <c r="DA2348" s="1">
        <v>44320</v>
      </c>
      <c r="DB2348" s="1">
        <v>44320</v>
      </c>
      <c r="DC2348" s="1">
        <v>44320</v>
      </c>
      <c r="DD2348" t="s">
        <v>51</v>
      </c>
      <c r="DF2348" t="s">
        <v>54</v>
      </c>
      <c r="DG2348">
        <v>0</v>
      </c>
      <c r="DH2348">
        <v>0</v>
      </c>
    </row>
    <row r="2349" spans="1:112" x14ac:dyDescent="0.2">
      <c r="A2349" t="s">
        <v>1012</v>
      </c>
      <c r="B2349" t="s">
        <v>1013</v>
      </c>
      <c r="C2349" t="s">
        <v>1052</v>
      </c>
      <c r="D2349" t="s">
        <v>1084</v>
      </c>
      <c r="F2349" t="str">
        <f>"251908"</f>
        <v>251908</v>
      </c>
      <c r="G2349" t="s">
        <v>49</v>
      </c>
      <c r="H2349">
        <v>5</v>
      </c>
      <c r="K2349" t="s">
        <v>51</v>
      </c>
      <c r="L2349" t="s">
        <v>52</v>
      </c>
      <c r="M2349">
        <v>131772.82</v>
      </c>
      <c r="N2349">
        <v>474415.18</v>
      </c>
      <c r="O2349" t="s">
        <v>53</v>
      </c>
      <c r="P2349" t="s">
        <v>54</v>
      </c>
      <c r="Q2349" t="s">
        <v>55</v>
      </c>
      <c r="T2349" t="s">
        <v>100</v>
      </c>
      <c r="U2349">
        <v>40</v>
      </c>
      <c r="V2349" s="1">
        <v>31048</v>
      </c>
      <c r="W2349" s="1">
        <v>31048</v>
      </c>
      <c r="X2349" s="1">
        <v>31048</v>
      </c>
      <c r="Y2349" s="1">
        <v>45658</v>
      </c>
      <c r="Z2349" t="s">
        <v>51</v>
      </c>
      <c r="AB2349" t="s">
        <v>54</v>
      </c>
      <c r="AC2349">
        <v>1</v>
      </c>
      <c r="AE2349" t="s">
        <v>1081</v>
      </c>
      <c r="AF2349">
        <v>20</v>
      </c>
      <c r="AG2349" s="1">
        <v>31048</v>
      </c>
      <c r="AH2349" s="1">
        <v>31048</v>
      </c>
      <c r="AI2349" s="1">
        <v>31048</v>
      </c>
      <c r="AJ2349" s="1">
        <v>38353</v>
      </c>
      <c r="AK2349" t="s">
        <v>51</v>
      </c>
      <c r="AN2349">
        <v>0</v>
      </c>
      <c r="AO2349" t="s">
        <v>54</v>
      </c>
      <c r="AP2349" t="s">
        <v>53</v>
      </c>
      <c r="AQ2349">
        <v>0</v>
      </c>
      <c r="AR2349" t="s">
        <v>53</v>
      </c>
      <c r="AS2349">
        <v>0</v>
      </c>
      <c r="AT2349">
        <v>0</v>
      </c>
      <c r="AW2349" t="s">
        <v>58</v>
      </c>
      <c r="AX2349">
        <v>20</v>
      </c>
      <c r="AY2349" s="1">
        <v>31048</v>
      </c>
      <c r="AZ2349" s="1">
        <v>31048</v>
      </c>
      <c r="BA2349" s="1">
        <v>31048</v>
      </c>
      <c r="BB2349" s="1">
        <v>38353</v>
      </c>
      <c r="BC2349" t="s">
        <v>51</v>
      </c>
      <c r="BE2349" t="s">
        <v>54</v>
      </c>
      <c r="BF2349">
        <v>2</v>
      </c>
      <c r="BG2349">
        <v>0</v>
      </c>
      <c r="BH2349" t="s">
        <v>53</v>
      </c>
      <c r="BK2349" t="s">
        <v>59</v>
      </c>
      <c r="BL2349">
        <v>14000</v>
      </c>
      <c r="BM2349" s="1">
        <v>44104</v>
      </c>
      <c r="BN2349" s="1">
        <v>44104</v>
      </c>
      <c r="BO2349" s="1">
        <v>44104</v>
      </c>
      <c r="BP2349" s="1">
        <v>45269</v>
      </c>
      <c r="BQ2349" t="s">
        <v>51</v>
      </c>
      <c r="BS2349" t="s">
        <v>60</v>
      </c>
      <c r="BT2349" t="s">
        <v>54</v>
      </c>
      <c r="BU2349" t="s">
        <v>61</v>
      </c>
      <c r="BV2349" t="s">
        <v>62</v>
      </c>
      <c r="BX2349">
        <v>24</v>
      </c>
      <c r="BY2349">
        <v>0</v>
      </c>
      <c r="BZ2349">
        <v>0</v>
      </c>
      <c r="CX2349" t="s">
        <v>674</v>
      </c>
      <c r="CY2349">
        <v>0</v>
      </c>
      <c r="CZ2349" s="1">
        <v>44320</v>
      </c>
      <c r="DA2349" s="1">
        <v>44320</v>
      </c>
      <c r="DB2349" s="1">
        <v>44320</v>
      </c>
      <c r="DC2349" s="1">
        <v>44320</v>
      </c>
      <c r="DD2349" t="s">
        <v>51</v>
      </c>
      <c r="DF2349" t="s">
        <v>54</v>
      </c>
      <c r="DG2349">
        <v>0</v>
      </c>
      <c r="DH2349">
        <v>0</v>
      </c>
    </row>
    <row r="2350" spans="1:112" x14ac:dyDescent="0.2">
      <c r="A2350" t="s">
        <v>1012</v>
      </c>
      <c r="B2350" t="s">
        <v>1013</v>
      </c>
      <c r="C2350" t="s">
        <v>1052</v>
      </c>
      <c r="D2350" t="s">
        <v>1084</v>
      </c>
      <c r="F2350" t="str">
        <f>"251909"</f>
        <v>251909</v>
      </c>
      <c r="G2350" t="s">
        <v>49</v>
      </c>
      <c r="H2350">
        <v>2</v>
      </c>
      <c r="K2350" t="s">
        <v>51</v>
      </c>
      <c r="L2350" t="s">
        <v>52</v>
      </c>
      <c r="M2350">
        <v>131755.14000000001</v>
      </c>
      <c r="N2350">
        <v>474414.66</v>
      </c>
      <c r="O2350" t="s">
        <v>53</v>
      </c>
      <c r="P2350" t="s">
        <v>54</v>
      </c>
      <c r="Q2350" t="s">
        <v>55</v>
      </c>
      <c r="T2350" t="s">
        <v>100</v>
      </c>
      <c r="U2350">
        <v>40</v>
      </c>
      <c r="V2350" s="1">
        <v>31048</v>
      </c>
      <c r="W2350" s="1">
        <v>31048</v>
      </c>
      <c r="X2350" s="1">
        <v>31048</v>
      </c>
      <c r="Y2350" s="1">
        <v>45658</v>
      </c>
      <c r="Z2350" t="s">
        <v>51</v>
      </c>
      <c r="AB2350" t="s">
        <v>54</v>
      </c>
      <c r="AC2350">
        <v>1</v>
      </c>
      <c r="AE2350" t="s">
        <v>1081</v>
      </c>
      <c r="AF2350">
        <v>20</v>
      </c>
      <c r="AG2350" s="1">
        <v>31048</v>
      </c>
      <c r="AH2350" s="1">
        <v>31048</v>
      </c>
      <c r="AI2350" s="1">
        <v>31048</v>
      </c>
      <c r="AJ2350" s="1">
        <v>38353</v>
      </c>
      <c r="AK2350" t="s">
        <v>51</v>
      </c>
      <c r="AN2350">
        <v>0</v>
      </c>
      <c r="AO2350" t="s">
        <v>54</v>
      </c>
      <c r="AP2350" t="s">
        <v>53</v>
      </c>
      <c r="AQ2350">
        <v>0</v>
      </c>
      <c r="AR2350" t="s">
        <v>53</v>
      </c>
      <c r="AS2350">
        <v>0</v>
      </c>
      <c r="AT2350">
        <v>0</v>
      </c>
      <c r="AW2350" t="s">
        <v>58</v>
      </c>
      <c r="AX2350">
        <v>20</v>
      </c>
      <c r="AY2350" s="1">
        <v>31048</v>
      </c>
      <c r="AZ2350" s="1">
        <v>31048</v>
      </c>
      <c r="BA2350" s="1">
        <v>31048</v>
      </c>
      <c r="BB2350" s="1">
        <v>38353</v>
      </c>
      <c r="BC2350" t="s">
        <v>51</v>
      </c>
      <c r="BE2350" t="s">
        <v>54</v>
      </c>
      <c r="BF2350">
        <v>2</v>
      </c>
      <c r="BG2350">
        <v>0</v>
      </c>
      <c r="BH2350" t="s">
        <v>53</v>
      </c>
      <c r="BK2350" t="s">
        <v>59</v>
      </c>
      <c r="BL2350">
        <v>14000</v>
      </c>
      <c r="BM2350" s="1">
        <v>44104</v>
      </c>
      <c r="BN2350" s="1">
        <v>44104</v>
      </c>
      <c r="BO2350" s="1">
        <v>44104</v>
      </c>
      <c r="BP2350" s="1">
        <v>45269</v>
      </c>
      <c r="BQ2350" t="s">
        <v>51</v>
      </c>
      <c r="BS2350" t="s">
        <v>60</v>
      </c>
      <c r="BT2350" t="s">
        <v>54</v>
      </c>
      <c r="BU2350" t="s">
        <v>61</v>
      </c>
      <c r="BV2350" t="s">
        <v>62</v>
      </c>
      <c r="BX2350">
        <v>24</v>
      </c>
      <c r="BY2350">
        <v>0</v>
      </c>
      <c r="BZ2350">
        <v>0</v>
      </c>
      <c r="CX2350" t="s">
        <v>674</v>
      </c>
      <c r="CY2350">
        <v>0</v>
      </c>
      <c r="CZ2350" s="1">
        <v>44320</v>
      </c>
      <c r="DA2350" s="1">
        <v>44320</v>
      </c>
      <c r="DB2350" s="1">
        <v>44320</v>
      </c>
      <c r="DC2350" s="1">
        <v>44320</v>
      </c>
      <c r="DD2350" t="s">
        <v>51</v>
      </c>
      <c r="DF2350" t="s">
        <v>54</v>
      </c>
      <c r="DG2350">
        <v>0</v>
      </c>
      <c r="DH2350">
        <v>0</v>
      </c>
    </row>
    <row r="2351" spans="1:112" x14ac:dyDescent="0.2">
      <c r="A2351" t="s">
        <v>1012</v>
      </c>
      <c r="B2351" t="s">
        <v>1013</v>
      </c>
      <c r="C2351" t="s">
        <v>1052</v>
      </c>
      <c r="D2351" t="s">
        <v>1084</v>
      </c>
      <c r="F2351" t="str">
        <f>"251910"</f>
        <v>251910</v>
      </c>
      <c r="G2351" t="s">
        <v>49</v>
      </c>
      <c r="H2351">
        <v>36</v>
      </c>
      <c r="K2351" t="s">
        <v>51</v>
      </c>
      <c r="L2351" t="s">
        <v>52</v>
      </c>
      <c r="M2351">
        <v>131737.43</v>
      </c>
      <c r="N2351">
        <v>474409.58</v>
      </c>
      <c r="O2351" t="s">
        <v>53</v>
      </c>
      <c r="P2351" t="s">
        <v>54</v>
      </c>
      <c r="Q2351" t="s">
        <v>55</v>
      </c>
      <c r="T2351" t="s">
        <v>100</v>
      </c>
      <c r="U2351">
        <v>40</v>
      </c>
      <c r="V2351" s="1">
        <v>31048</v>
      </c>
      <c r="W2351" s="1">
        <v>31048</v>
      </c>
      <c r="X2351" s="1">
        <v>31048</v>
      </c>
      <c r="Y2351" s="1">
        <v>45658</v>
      </c>
      <c r="Z2351" t="s">
        <v>51</v>
      </c>
      <c r="AB2351" t="s">
        <v>54</v>
      </c>
      <c r="AC2351">
        <v>1</v>
      </c>
      <c r="AE2351" t="s">
        <v>1081</v>
      </c>
      <c r="AF2351">
        <v>20</v>
      </c>
      <c r="AG2351" s="1">
        <v>31048</v>
      </c>
      <c r="AH2351" s="1">
        <v>31048</v>
      </c>
      <c r="AI2351" s="1">
        <v>31048</v>
      </c>
      <c r="AJ2351" s="1">
        <v>38353</v>
      </c>
      <c r="AK2351" t="s">
        <v>51</v>
      </c>
      <c r="AN2351">
        <v>0</v>
      </c>
      <c r="AO2351" t="s">
        <v>54</v>
      </c>
      <c r="AP2351" t="s">
        <v>53</v>
      </c>
      <c r="AQ2351">
        <v>0</v>
      </c>
      <c r="AR2351" t="s">
        <v>53</v>
      </c>
      <c r="AS2351">
        <v>0</v>
      </c>
      <c r="AT2351">
        <v>0</v>
      </c>
      <c r="AW2351" t="s">
        <v>58</v>
      </c>
      <c r="AX2351">
        <v>20</v>
      </c>
      <c r="AY2351" s="1">
        <v>31048</v>
      </c>
      <c r="AZ2351" s="1">
        <v>31048</v>
      </c>
      <c r="BA2351" s="1">
        <v>31048</v>
      </c>
      <c r="BB2351" s="1">
        <v>38353</v>
      </c>
      <c r="BC2351" t="s">
        <v>51</v>
      </c>
      <c r="BE2351" t="s">
        <v>54</v>
      </c>
      <c r="BF2351">
        <v>2</v>
      </c>
      <c r="BG2351">
        <v>0</v>
      </c>
      <c r="BH2351" t="s">
        <v>53</v>
      </c>
      <c r="BK2351" t="s">
        <v>59</v>
      </c>
      <c r="BL2351">
        <v>14000</v>
      </c>
      <c r="BM2351" s="1">
        <v>44104</v>
      </c>
      <c r="BN2351" s="1">
        <v>44104</v>
      </c>
      <c r="BO2351" s="1">
        <v>44104</v>
      </c>
      <c r="BP2351" s="1">
        <v>45269</v>
      </c>
      <c r="BQ2351" t="s">
        <v>51</v>
      </c>
      <c r="BS2351" t="s">
        <v>60</v>
      </c>
      <c r="BT2351" t="s">
        <v>54</v>
      </c>
      <c r="BU2351" t="s">
        <v>61</v>
      </c>
      <c r="BV2351" t="s">
        <v>62</v>
      </c>
      <c r="BX2351">
        <v>24</v>
      </c>
      <c r="BY2351">
        <v>0</v>
      </c>
      <c r="BZ2351">
        <v>0</v>
      </c>
      <c r="CX2351" t="s">
        <v>674</v>
      </c>
      <c r="CY2351">
        <v>0</v>
      </c>
      <c r="CZ2351" s="1">
        <v>44320</v>
      </c>
      <c r="DA2351" s="1">
        <v>44320</v>
      </c>
      <c r="DB2351" s="1">
        <v>44320</v>
      </c>
      <c r="DC2351" s="1">
        <v>44320</v>
      </c>
      <c r="DD2351" t="s">
        <v>51</v>
      </c>
      <c r="DF2351" t="s">
        <v>54</v>
      </c>
      <c r="DG2351">
        <v>0</v>
      </c>
      <c r="DH2351">
        <v>0</v>
      </c>
    </row>
    <row r="2352" spans="1:112" x14ac:dyDescent="0.2">
      <c r="A2352" t="s">
        <v>1012</v>
      </c>
      <c r="B2352" t="s">
        <v>1013</v>
      </c>
      <c r="C2352" t="s">
        <v>1052</v>
      </c>
      <c r="D2352" t="s">
        <v>1085</v>
      </c>
      <c r="F2352" t="str">
        <f>"251911"</f>
        <v>251911</v>
      </c>
      <c r="G2352" t="s">
        <v>49</v>
      </c>
      <c r="K2352" t="s">
        <v>51</v>
      </c>
      <c r="L2352" t="s">
        <v>52</v>
      </c>
      <c r="M2352">
        <v>131767.67800000001</v>
      </c>
      <c r="N2352">
        <v>474478.55499999999</v>
      </c>
      <c r="O2352" t="s">
        <v>53</v>
      </c>
      <c r="P2352" t="s">
        <v>54</v>
      </c>
      <c r="Q2352" t="s">
        <v>55</v>
      </c>
      <c r="T2352" t="s">
        <v>100</v>
      </c>
      <c r="U2352">
        <v>40</v>
      </c>
      <c r="V2352" s="1">
        <v>30682</v>
      </c>
      <c r="W2352" s="1">
        <v>30682</v>
      </c>
      <c r="X2352" s="1">
        <v>30682</v>
      </c>
      <c r="Y2352" s="1">
        <v>45292</v>
      </c>
      <c r="Z2352" t="s">
        <v>51</v>
      </c>
      <c r="AB2352" t="s">
        <v>54</v>
      </c>
      <c r="AC2352">
        <v>1</v>
      </c>
      <c r="AE2352" t="s">
        <v>1081</v>
      </c>
      <c r="AF2352">
        <v>20</v>
      </c>
      <c r="AG2352" s="1">
        <v>30682</v>
      </c>
      <c r="AH2352" s="1">
        <v>30682</v>
      </c>
      <c r="AI2352" s="1">
        <v>30682</v>
      </c>
      <c r="AJ2352" s="1">
        <v>37987</v>
      </c>
      <c r="AK2352" t="s">
        <v>51</v>
      </c>
      <c r="AN2352">
        <v>0</v>
      </c>
      <c r="AO2352" t="s">
        <v>54</v>
      </c>
      <c r="AP2352" t="s">
        <v>53</v>
      </c>
      <c r="AQ2352">
        <v>0</v>
      </c>
      <c r="AR2352" t="s">
        <v>53</v>
      </c>
      <c r="AS2352">
        <v>0</v>
      </c>
      <c r="AT2352">
        <v>0</v>
      </c>
      <c r="AW2352" t="s">
        <v>58</v>
      </c>
      <c r="AX2352">
        <v>20</v>
      </c>
      <c r="AY2352" s="1">
        <v>43759</v>
      </c>
      <c r="AZ2352" s="1">
        <v>43759</v>
      </c>
      <c r="BA2352" s="1">
        <v>43759</v>
      </c>
      <c r="BB2352" s="1">
        <v>51064</v>
      </c>
      <c r="BC2352" t="s">
        <v>51</v>
      </c>
      <c r="BE2352" t="s">
        <v>54</v>
      </c>
      <c r="BF2352">
        <v>2</v>
      </c>
      <c r="BG2352">
        <v>0</v>
      </c>
      <c r="BH2352" t="s">
        <v>53</v>
      </c>
      <c r="BK2352" t="s">
        <v>59</v>
      </c>
      <c r="BL2352">
        <v>14000</v>
      </c>
      <c r="BM2352" s="1">
        <v>44104</v>
      </c>
      <c r="BN2352" s="1">
        <v>44104</v>
      </c>
      <c r="BO2352" s="1">
        <v>44104</v>
      </c>
      <c r="BP2352" s="1">
        <v>45269</v>
      </c>
      <c r="BQ2352" t="s">
        <v>51</v>
      </c>
      <c r="BS2352" t="s">
        <v>60</v>
      </c>
      <c r="BT2352" t="s">
        <v>54</v>
      </c>
      <c r="BU2352" t="s">
        <v>61</v>
      </c>
      <c r="BV2352" t="s">
        <v>62</v>
      </c>
      <c r="BX2352">
        <v>24</v>
      </c>
      <c r="BY2352">
        <v>0</v>
      </c>
      <c r="BZ2352">
        <v>0</v>
      </c>
      <c r="CX2352" t="s">
        <v>674</v>
      </c>
      <c r="CY2352">
        <v>0</v>
      </c>
      <c r="CZ2352" s="1">
        <v>44320</v>
      </c>
      <c r="DA2352" s="1">
        <v>44320</v>
      </c>
      <c r="DB2352" s="1">
        <v>44320</v>
      </c>
      <c r="DC2352" s="1">
        <v>44320</v>
      </c>
      <c r="DD2352" t="s">
        <v>51</v>
      </c>
      <c r="DF2352" t="s">
        <v>54</v>
      </c>
      <c r="DG2352">
        <v>0</v>
      </c>
      <c r="DH2352">
        <v>0</v>
      </c>
    </row>
    <row r="2353" spans="1:112" x14ac:dyDescent="0.2">
      <c r="A2353" t="s">
        <v>1012</v>
      </c>
      <c r="B2353" t="s">
        <v>1013</v>
      </c>
      <c r="C2353" t="s">
        <v>1052</v>
      </c>
      <c r="D2353" t="s">
        <v>1085</v>
      </c>
      <c r="F2353" t="str">
        <f>"251912"</f>
        <v>251912</v>
      </c>
      <c r="G2353" t="s">
        <v>49</v>
      </c>
      <c r="K2353" t="s">
        <v>51</v>
      </c>
      <c r="L2353" t="s">
        <v>52</v>
      </c>
      <c r="M2353">
        <v>131770.141</v>
      </c>
      <c r="N2353">
        <v>474511.85600000003</v>
      </c>
      <c r="O2353" t="s">
        <v>53</v>
      </c>
      <c r="P2353" t="s">
        <v>54</v>
      </c>
      <c r="Q2353" t="s">
        <v>55</v>
      </c>
      <c r="T2353" t="s">
        <v>100</v>
      </c>
      <c r="U2353">
        <v>40</v>
      </c>
      <c r="V2353" s="1">
        <v>32143</v>
      </c>
      <c r="W2353" s="1">
        <v>32143</v>
      </c>
      <c r="X2353" s="1">
        <v>32143</v>
      </c>
      <c r="Y2353" s="1">
        <v>46753</v>
      </c>
      <c r="Z2353" t="s">
        <v>51</v>
      </c>
      <c r="AB2353" t="s">
        <v>54</v>
      </c>
      <c r="AC2353">
        <v>1</v>
      </c>
      <c r="AE2353" t="s">
        <v>1081</v>
      </c>
      <c r="AF2353">
        <v>20</v>
      </c>
      <c r="AG2353" s="1">
        <v>32143</v>
      </c>
      <c r="AH2353" s="1">
        <v>32143</v>
      </c>
      <c r="AI2353" s="1">
        <v>32143</v>
      </c>
      <c r="AJ2353" s="1">
        <v>39448</v>
      </c>
      <c r="AK2353" t="s">
        <v>51</v>
      </c>
      <c r="AN2353">
        <v>0</v>
      </c>
      <c r="AO2353" t="s">
        <v>54</v>
      </c>
      <c r="AP2353" t="s">
        <v>53</v>
      </c>
      <c r="AQ2353">
        <v>0</v>
      </c>
      <c r="AR2353" t="s">
        <v>53</v>
      </c>
      <c r="AS2353">
        <v>0</v>
      </c>
      <c r="AT2353">
        <v>0</v>
      </c>
      <c r="AW2353" t="s">
        <v>58</v>
      </c>
      <c r="AX2353">
        <v>20</v>
      </c>
      <c r="AY2353" s="1">
        <v>32143</v>
      </c>
      <c r="AZ2353" s="1">
        <v>32143</v>
      </c>
      <c r="BA2353" s="1">
        <v>32143</v>
      </c>
      <c r="BB2353" s="1">
        <v>39448</v>
      </c>
      <c r="BC2353" t="s">
        <v>51</v>
      </c>
      <c r="BE2353" t="s">
        <v>54</v>
      </c>
      <c r="BF2353">
        <v>2</v>
      </c>
      <c r="BG2353">
        <v>0</v>
      </c>
      <c r="BH2353" t="s">
        <v>53</v>
      </c>
      <c r="BK2353" t="s">
        <v>59</v>
      </c>
      <c r="BL2353">
        <v>14000</v>
      </c>
      <c r="BM2353" s="1">
        <v>44104</v>
      </c>
      <c r="BN2353" s="1">
        <v>44104</v>
      </c>
      <c r="BO2353" s="1">
        <v>44104</v>
      </c>
      <c r="BP2353" s="1">
        <v>45269</v>
      </c>
      <c r="BQ2353" t="s">
        <v>51</v>
      </c>
      <c r="BS2353" t="s">
        <v>60</v>
      </c>
      <c r="BT2353" t="s">
        <v>54</v>
      </c>
      <c r="BU2353" t="s">
        <v>61</v>
      </c>
      <c r="BV2353" t="s">
        <v>62</v>
      </c>
      <c r="BX2353">
        <v>24</v>
      </c>
      <c r="BY2353">
        <v>0</v>
      </c>
      <c r="BZ2353">
        <v>0</v>
      </c>
      <c r="CX2353" t="s">
        <v>674</v>
      </c>
      <c r="CY2353">
        <v>0</v>
      </c>
      <c r="CZ2353" s="1">
        <v>44320</v>
      </c>
      <c r="DA2353" s="1">
        <v>44320</v>
      </c>
      <c r="DB2353" s="1">
        <v>44320</v>
      </c>
      <c r="DC2353" s="1">
        <v>44320</v>
      </c>
      <c r="DD2353" t="s">
        <v>51</v>
      </c>
      <c r="DF2353" t="s">
        <v>54</v>
      </c>
      <c r="DG2353">
        <v>0</v>
      </c>
      <c r="DH2353">
        <v>0</v>
      </c>
    </row>
    <row r="2354" spans="1:112" x14ac:dyDescent="0.2">
      <c r="A2354" t="s">
        <v>1012</v>
      </c>
      <c r="B2354" t="s">
        <v>1013</v>
      </c>
      <c r="C2354" t="s">
        <v>1052</v>
      </c>
      <c r="D2354" t="s">
        <v>1085</v>
      </c>
      <c r="F2354" t="str">
        <f>"251913"</f>
        <v>251913</v>
      </c>
      <c r="G2354" t="s">
        <v>49</v>
      </c>
      <c r="K2354" t="s">
        <v>51</v>
      </c>
      <c r="L2354" t="s">
        <v>52</v>
      </c>
      <c r="M2354">
        <v>131766.23499999999</v>
      </c>
      <c r="N2354">
        <v>474454.53200000001</v>
      </c>
      <c r="O2354" t="s">
        <v>53</v>
      </c>
      <c r="P2354" t="s">
        <v>54</v>
      </c>
      <c r="Q2354" t="s">
        <v>55</v>
      </c>
      <c r="T2354" t="s">
        <v>100</v>
      </c>
      <c r="U2354">
        <v>40</v>
      </c>
      <c r="V2354" s="1">
        <v>31048</v>
      </c>
      <c r="W2354" s="1">
        <v>31048</v>
      </c>
      <c r="X2354" s="1">
        <v>31048</v>
      </c>
      <c r="Y2354" s="1">
        <v>45658</v>
      </c>
      <c r="Z2354" t="s">
        <v>51</v>
      </c>
      <c r="AB2354" t="s">
        <v>54</v>
      </c>
      <c r="AC2354">
        <v>1</v>
      </c>
      <c r="AE2354" t="s">
        <v>1081</v>
      </c>
      <c r="AF2354">
        <v>20</v>
      </c>
      <c r="AG2354" s="1">
        <v>31048</v>
      </c>
      <c r="AH2354" s="1">
        <v>31048</v>
      </c>
      <c r="AI2354" s="1">
        <v>31048</v>
      </c>
      <c r="AJ2354" s="1">
        <v>38353</v>
      </c>
      <c r="AK2354" t="s">
        <v>51</v>
      </c>
      <c r="AN2354">
        <v>0</v>
      </c>
      <c r="AO2354" t="s">
        <v>54</v>
      </c>
      <c r="AP2354" t="s">
        <v>53</v>
      </c>
      <c r="AQ2354">
        <v>0</v>
      </c>
      <c r="AR2354" t="s">
        <v>53</v>
      </c>
      <c r="AS2354">
        <v>0</v>
      </c>
      <c r="AT2354">
        <v>0</v>
      </c>
      <c r="AW2354" t="s">
        <v>58</v>
      </c>
      <c r="AX2354">
        <v>20</v>
      </c>
      <c r="AY2354" s="1">
        <v>31048</v>
      </c>
      <c r="AZ2354" s="1">
        <v>31048</v>
      </c>
      <c r="BA2354" s="1">
        <v>31048</v>
      </c>
      <c r="BB2354" s="1">
        <v>38353</v>
      </c>
      <c r="BC2354" t="s">
        <v>51</v>
      </c>
      <c r="BE2354" t="s">
        <v>54</v>
      </c>
      <c r="BF2354">
        <v>2</v>
      </c>
      <c r="BG2354">
        <v>0</v>
      </c>
      <c r="BH2354" t="s">
        <v>53</v>
      </c>
      <c r="BK2354" t="s">
        <v>59</v>
      </c>
      <c r="BL2354">
        <v>14000</v>
      </c>
      <c r="BM2354" s="1">
        <v>44104</v>
      </c>
      <c r="BN2354" s="1">
        <v>44104</v>
      </c>
      <c r="BO2354" s="1">
        <v>44104</v>
      </c>
      <c r="BP2354" s="1">
        <v>45269</v>
      </c>
      <c r="BQ2354" t="s">
        <v>51</v>
      </c>
      <c r="BS2354" t="s">
        <v>60</v>
      </c>
      <c r="BT2354" t="s">
        <v>54</v>
      </c>
      <c r="BU2354" t="s">
        <v>61</v>
      </c>
      <c r="BV2354" t="s">
        <v>62</v>
      </c>
      <c r="BX2354">
        <v>24</v>
      </c>
      <c r="BY2354">
        <v>0</v>
      </c>
      <c r="BZ2354">
        <v>0</v>
      </c>
      <c r="CX2354" t="s">
        <v>674</v>
      </c>
      <c r="CY2354">
        <v>0</v>
      </c>
      <c r="CZ2354" s="1">
        <v>44320</v>
      </c>
      <c r="DA2354" s="1">
        <v>44320</v>
      </c>
      <c r="DB2354" s="1">
        <v>44320</v>
      </c>
      <c r="DC2354" s="1">
        <v>44320</v>
      </c>
      <c r="DD2354" t="s">
        <v>51</v>
      </c>
      <c r="DF2354" t="s">
        <v>54</v>
      </c>
      <c r="DG2354">
        <v>0</v>
      </c>
      <c r="DH2354">
        <v>0</v>
      </c>
    </row>
    <row r="2355" spans="1:112" x14ac:dyDescent="0.2">
      <c r="A2355" t="s">
        <v>1012</v>
      </c>
      <c r="B2355" t="s">
        <v>1013</v>
      </c>
      <c r="C2355" t="s">
        <v>1052</v>
      </c>
      <c r="D2355" t="s">
        <v>1085</v>
      </c>
      <c r="F2355" t="str">
        <f>"251914"</f>
        <v>251914</v>
      </c>
      <c r="G2355" t="s">
        <v>49</v>
      </c>
      <c r="K2355" t="s">
        <v>51</v>
      </c>
      <c r="L2355" t="s">
        <v>52</v>
      </c>
      <c r="M2355">
        <v>131793.99</v>
      </c>
      <c r="N2355">
        <v>474471.85</v>
      </c>
      <c r="O2355" t="s">
        <v>53</v>
      </c>
      <c r="P2355" t="s">
        <v>54</v>
      </c>
      <c r="Q2355" t="s">
        <v>55</v>
      </c>
      <c r="T2355" t="s">
        <v>100</v>
      </c>
      <c r="U2355">
        <v>40</v>
      </c>
      <c r="V2355" s="1">
        <v>30682</v>
      </c>
      <c r="W2355" s="1">
        <v>30682</v>
      </c>
      <c r="X2355" s="1">
        <v>30682</v>
      </c>
      <c r="Y2355" s="1">
        <v>45292</v>
      </c>
      <c r="Z2355" t="s">
        <v>51</v>
      </c>
      <c r="AB2355" t="s">
        <v>54</v>
      </c>
      <c r="AC2355">
        <v>1</v>
      </c>
      <c r="AE2355" t="s">
        <v>1081</v>
      </c>
      <c r="AF2355">
        <v>20</v>
      </c>
      <c r="AG2355" s="1">
        <v>30682</v>
      </c>
      <c r="AH2355" s="1">
        <v>30682</v>
      </c>
      <c r="AI2355" s="1">
        <v>30682</v>
      </c>
      <c r="AJ2355" s="1">
        <v>37987</v>
      </c>
      <c r="AK2355" t="s">
        <v>51</v>
      </c>
      <c r="AN2355">
        <v>0</v>
      </c>
      <c r="AO2355" t="s">
        <v>54</v>
      </c>
      <c r="AP2355" t="s">
        <v>53</v>
      </c>
      <c r="AQ2355">
        <v>0</v>
      </c>
      <c r="AR2355" t="s">
        <v>53</v>
      </c>
      <c r="AS2355">
        <v>0</v>
      </c>
      <c r="AT2355">
        <v>0</v>
      </c>
      <c r="AW2355" t="s">
        <v>58</v>
      </c>
      <c r="AX2355">
        <v>20</v>
      </c>
      <c r="AY2355" s="1">
        <v>44935</v>
      </c>
      <c r="AZ2355" s="1">
        <v>44935</v>
      </c>
      <c r="BA2355" s="1">
        <v>44935</v>
      </c>
      <c r="BB2355" s="1">
        <v>52240</v>
      </c>
      <c r="BC2355" t="s">
        <v>51</v>
      </c>
      <c r="BE2355" t="s">
        <v>54</v>
      </c>
      <c r="BF2355">
        <v>2</v>
      </c>
      <c r="BG2355">
        <v>0</v>
      </c>
      <c r="BH2355" t="s">
        <v>53</v>
      </c>
      <c r="BK2355" t="s">
        <v>59</v>
      </c>
      <c r="BL2355">
        <v>14000</v>
      </c>
      <c r="BM2355" s="1">
        <v>44935</v>
      </c>
      <c r="BN2355" s="1">
        <v>44935</v>
      </c>
      <c r="BO2355" s="1">
        <v>44935</v>
      </c>
      <c r="BP2355" s="1">
        <v>46102</v>
      </c>
      <c r="BQ2355" t="s">
        <v>51</v>
      </c>
      <c r="BS2355" t="s">
        <v>60</v>
      </c>
      <c r="BT2355" t="s">
        <v>54</v>
      </c>
      <c r="BU2355" t="s">
        <v>61</v>
      </c>
      <c r="BV2355" t="s">
        <v>62</v>
      </c>
      <c r="BX2355">
        <v>24</v>
      </c>
      <c r="BY2355">
        <v>0</v>
      </c>
      <c r="BZ2355">
        <v>0</v>
      </c>
      <c r="CX2355" t="s">
        <v>674</v>
      </c>
      <c r="CY2355">
        <v>0</v>
      </c>
      <c r="CZ2355" s="1">
        <v>44320</v>
      </c>
      <c r="DA2355" s="1">
        <v>44320</v>
      </c>
      <c r="DB2355" s="1">
        <v>44320</v>
      </c>
      <c r="DC2355" s="1">
        <v>44320</v>
      </c>
      <c r="DD2355" t="s">
        <v>51</v>
      </c>
      <c r="DF2355" t="s">
        <v>54</v>
      </c>
      <c r="DG2355">
        <v>0</v>
      </c>
      <c r="DH2355">
        <v>0</v>
      </c>
    </row>
    <row r="2356" spans="1:112" x14ac:dyDescent="0.2">
      <c r="A2356" t="s">
        <v>1012</v>
      </c>
      <c r="B2356" t="s">
        <v>1013</v>
      </c>
      <c r="C2356" t="s">
        <v>1052</v>
      </c>
      <c r="D2356" t="s">
        <v>1085</v>
      </c>
      <c r="F2356" t="str">
        <f>"251915"</f>
        <v>251915</v>
      </c>
      <c r="G2356" t="s">
        <v>49</v>
      </c>
      <c r="K2356" t="s">
        <v>51</v>
      </c>
      <c r="L2356" t="s">
        <v>52</v>
      </c>
      <c r="M2356">
        <v>131819.429</v>
      </c>
      <c r="N2356">
        <v>474471.94300000003</v>
      </c>
      <c r="O2356" t="s">
        <v>53</v>
      </c>
      <c r="P2356" t="s">
        <v>54</v>
      </c>
      <c r="Q2356" t="s">
        <v>55</v>
      </c>
      <c r="T2356" t="s">
        <v>100</v>
      </c>
      <c r="U2356">
        <v>40</v>
      </c>
      <c r="V2356" s="1">
        <v>30682</v>
      </c>
      <c r="W2356" s="1">
        <v>30682</v>
      </c>
      <c r="X2356" s="1">
        <v>30682</v>
      </c>
      <c r="Y2356" s="1">
        <v>45292</v>
      </c>
      <c r="Z2356" t="s">
        <v>51</v>
      </c>
      <c r="AB2356" t="s">
        <v>54</v>
      </c>
      <c r="AC2356">
        <v>1</v>
      </c>
      <c r="AE2356" t="s">
        <v>1081</v>
      </c>
      <c r="AF2356">
        <v>20</v>
      </c>
      <c r="AG2356" s="1">
        <v>30682</v>
      </c>
      <c r="AH2356" s="1">
        <v>30682</v>
      </c>
      <c r="AI2356" s="1">
        <v>30682</v>
      </c>
      <c r="AJ2356" s="1">
        <v>37987</v>
      </c>
      <c r="AK2356" t="s">
        <v>51</v>
      </c>
      <c r="AN2356">
        <v>0</v>
      </c>
      <c r="AO2356" t="s">
        <v>54</v>
      </c>
      <c r="AP2356" t="s">
        <v>53</v>
      </c>
      <c r="AQ2356">
        <v>0</v>
      </c>
      <c r="AR2356" t="s">
        <v>53</v>
      </c>
      <c r="AS2356">
        <v>0</v>
      </c>
      <c r="AT2356">
        <v>0</v>
      </c>
      <c r="AW2356" t="s">
        <v>58</v>
      </c>
      <c r="AX2356">
        <v>20</v>
      </c>
      <c r="AY2356" s="1">
        <v>30682</v>
      </c>
      <c r="AZ2356" s="1">
        <v>30682</v>
      </c>
      <c r="BA2356" s="1">
        <v>30682</v>
      </c>
      <c r="BB2356" s="1">
        <v>37987</v>
      </c>
      <c r="BC2356" t="s">
        <v>51</v>
      </c>
      <c r="BE2356" t="s">
        <v>54</v>
      </c>
      <c r="BF2356">
        <v>2</v>
      </c>
      <c r="BG2356">
        <v>0</v>
      </c>
      <c r="BH2356" t="s">
        <v>53</v>
      </c>
      <c r="BK2356" t="s">
        <v>59</v>
      </c>
      <c r="BL2356">
        <v>14000</v>
      </c>
      <c r="BM2356" s="1">
        <v>44104</v>
      </c>
      <c r="BN2356" s="1">
        <v>44104</v>
      </c>
      <c r="BO2356" s="1">
        <v>44104</v>
      </c>
      <c r="BP2356" s="1">
        <v>45269</v>
      </c>
      <c r="BQ2356" t="s">
        <v>51</v>
      </c>
      <c r="BS2356" t="s">
        <v>60</v>
      </c>
      <c r="BT2356" t="s">
        <v>54</v>
      </c>
      <c r="BU2356" t="s">
        <v>61</v>
      </c>
      <c r="BV2356" t="s">
        <v>62</v>
      </c>
      <c r="BX2356">
        <v>24</v>
      </c>
      <c r="BY2356">
        <v>0</v>
      </c>
      <c r="BZ2356">
        <v>0</v>
      </c>
      <c r="CX2356" t="s">
        <v>674</v>
      </c>
      <c r="CY2356">
        <v>0</v>
      </c>
      <c r="CZ2356" s="1">
        <v>44320</v>
      </c>
      <c r="DA2356" s="1">
        <v>44320</v>
      </c>
      <c r="DB2356" s="1">
        <v>44320</v>
      </c>
      <c r="DC2356" s="1">
        <v>44320</v>
      </c>
      <c r="DD2356" t="s">
        <v>51</v>
      </c>
      <c r="DF2356" t="s">
        <v>54</v>
      </c>
      <c r="DG2356">
        <v>0</v>
      </c>
      <c r="DH2356">
        <v>0</v>
      </c>
    </row>
    <row r="2357" spans="1:112" x14ac:dyDescent="0.2">
      <c r="A2357" t="s">
        <v>1012</v>
      </c>
      <c r="B2357" t="s">
        <v>1013</v>
      </c>
      <c r="C2357" t="s">
        <v>1052</v>
      </c>
      <c r="D2357" t="s">
        <v>1085</v>
      </c>
      <c r="F2357" t="str">
        <f>"251916"</f>
        <v>251916</v>
      </c>
      <c r="G2357" t="s">
        <v>49</v>
      </c>
      <c r="K2357" t="s">
        <v>51</v>
      </c>
      <c r="L2357" t="s">
        <v>52</v>
      </c>
      <c r="M2357">
        <v>131852.99</v>
      </c>
      <c r="N2357">
        <v>474475.52000000002</v>
      </c>
      <c r="O2357" t="s">
        <v>53</v>
      </c>
      <c r="P2357" t="s">
        <v>54</v>
      </c>
      <c r="Q2357" t="s">
        <v>55</v>
      </c>
      <c r="T2357" t="s">
        <v>100</v>
      </c>
      <c r="U2357">
        <v>40</v>
      </c>
      <c r="V2357" s="1">
        <v>30682</v>
      </c>
      <c r="W2357" s="1">
        <v>30682</v>
      </c>
      <c r="X2357" s="1">
        <v>30682</v>
      </c>
      <c r="Y2357" s="1">
        <v>45292</v>
      </c>
      <c r="Z2357" t="s">
        <v>51</v>
      </c>
      <c r="AB2357" t="s">
        <v>54</v>
      </c>
      <c r="AC2357">
        <v>1</v>
      </c>
      <c r="AE2357" t="s">
        <v>1081</v>
      </c>
      <c r="AF2357">
        <v>20</v>
      </c>
      <c r="AG2357" s="1">
        <v>30682</v>
      </c>
      <c r="AH2357" s="1">
        <v>30682</v>
      </c>
      <c r="AI2357" s="1">
        <v>30682</v>
      </c>
      <c r="AJ2357" s="1">
        <v>37987</v>
      </c>
      <c r="AK2357" t="s">
        <v>51</v>
      </c>
      <c r="AN2357">
        <v>0</v>
      </c>
      <c r="AO2357" t="s">
        <v>54</v>
      </c>
      <c r="AP2357" t="s">
        <v>53</v>
      </c>
      <c r="AQ2357">
        <v>0</v>
      </c>
      <c r="AR2357" t="s">
        <v>53</v>
      </c>
      <c r="AS2357">
        <v>0</v>
      </c>
      <c r="AT2357">
        <v>0</v>
      </c>
      <c r="AW2357" t="s">
        <v>58</v>
      </c>
      <c r="AX2357">
        <v>20</v>
      </c>
      <c r="AY2357" s="1">
        <v>44837</v>
      </c>
      <c r="AZ2357" s="1">
        <v>44837</v>
      </c>
      <c r="BA2357" s="1">
        <v>44837</v>
      </c>
      <c r="BB2357" s="1">
        <v>52142</v>
      </c>
      <c r="BC2357" t="s">
        <v>51</v>
      </c>
      <c r="BE2357" t="s">
        <v>54</v>
      </c>
      <c r="BF2357">
        <v>2</v>
      </c>
      <c r="BG2357">
        <v>0</v>
      </c>
      <c r="BH2357" t="s">
        <v>53</v>
      </c>
      <c r="BK2357" t="s">
        <v>59</v>
      </c>
      <c r="BL2357">
        <v>14000</v>
      </c>
      <c r="BM2357" s="1">
        <v>44104</v>
      </c>
      <c r="BN2357" s="1">
        <v>44104</v>
      </c>
      <c r="BO2357" s="1">
        <v>44837</v>
      </c>
      <c r="BP2357" s="1">
        <v>45269</v>
      </c>
      <c r="BQ2357" t="s">
        <v>51</v>
      </c>
      <c r="BS2357" t="s">
        <v>60</v>
      </c>
      <c r="BT2357" t="s">
        <v>54</v>
      </c>
      <c r="BU2357" t="s">
        <v>61</v>
      </c>
      <c r="BV2357" t="s">
        <v>62</v>
      </c>
      <c r="BX2357">
        <v>24</v>
      </c>
      <c r="BY2357">
        <v>0</v>
      </c>
      <c r="BZ2357">
        <v>0</v>
      </c>
      <c r="CX2357" t="s">
        <v>674</v>
      </c>
      <c r="CY2357">
        <v>0</v>
      </c>
      <c r="CZ2357" s="1">
        <v>44320</v>
      </c>
      <c r="DA2357" s="1">
        <v>44320</v>
      </c>
      <c r="DB2357" s="1">
        <v>44320</v>
      </c>
      <c r="DC2357" s="1">
        <v>44320</v>
      </c>
      <c r="DD2357" t="s">
        <v>51</v>
      </c>
      <c r="DF2357" t="s">
        <v>54</v>
      </c>
      <c r="DG2357">
        <v>0</v>
      </c>
      <c r="DH2357">
        <v>0</v>
      </c>
    </row>
    <row r="2358" spans="1:112" x14ac:dyDescent="0.2">
      <c r="A2358" t="s">
        <v>1012</v>
      </c>
      <c r="B2358" t="s">
        <v>1013</v>
      </c>
      <c r="C2358" t="s">
        <v>1052</v>
      </c>
      <c r="D2358" t="s">
        <v>1086</v>
      </c>
      <c r="F2358" t="str">
        <f>"251917"</f>
        <v>251917</v>
      </c>
      <c r="G2358" t="s">
        <v>49</v>
      </c>
      <c r="H2358">
        <v>1</v>
      </c>
      <c r="K2358" t="s">
        <v>51</v>
      </c>
      <c r="L2358" t="s">
        <v>52</v>
      </c>
      <c r="M2358">
        <v>131822.35999999999</v>
      </c>
      <c r="N2358">
        <v>474496.09</v>
      </c>
      <c r="O2358" t="s">
        <v>53</v>
      </c>
      <c r="P2358" t="s">
        <v>54</v>
      </c>
      <c r="Q2358" t="s">
        <v>55</v>
      </c>
      <c r="T2358" t="s">
        <v>100</v>
      </c>
      <c r="U2358">
        <v>40</v>
      </c>
      <c r="V2358" s="1">
        <v>31778</v>
      </c>
      <c r="W2358" s="1">
        <v>31778</v>
      </c>
      <c r="X2358" s="1">
        <v>31778</v>
      </c>
      <c r="Y2358" s="1">
        <v>46388</v>
      </c>
      <c r="Z2358" t="s">
        <v>51</v>
      </c>
      <c r="AB2358" t="s">
        <v>54</v>
      </c>
      <c r="AC2358">
        <v>1</v>
      </c>
      <c r="AE2358" t="s">
        <v>1081</v>
      </c>
      <c r="AF2358">
        <v>20</v>
      </c>
      <c r="AG2358" s="1">
        <v>31778</v>
      </c>
      <c r="AH2358" s="1">
        <v>31778</v>
      </c>
      <c r="AI2358" s="1">
        <v>31778</v>
      </c>
      <c r="AJ2358" s="1">
        <v>39083</v>
      </c>
      <c r="AK2358" t="s">
        <v>51</v>
      </c>
      <c r="AN2358">
        <v>0</v>
      </c>
      <c r="AO2358" t="s">
        <v>54</v>
      </c>
      <c r="AP2358" t="s">
        <v>53</v>
      </c>
      <c r="AQ2358">
        <v>0</v>
      </c>
      <c r="AR2358" t="s">
        <v>53</v>
      </c>
      <c r="AS2358">
        <v>0</v>
      </c>
      <c r="AT2358">
        <v>0</v>
      </c>
      <c r="AW2358" t="s">
        <v>58</v>
      </c>
      <c r="AX2358">
        <v>20</v>
      </c>
      <c r="AY2358" s="1">
        <v>31778</v>
      </c>
      <c r="AZ2358" s="1">
        <v>31778</v>
      </c>
      <c r="BA2358" s="1">
        <v>31778</v>
      </c>
      <c r="BB2358" s="1">
        <v>39083</v>
      </c>
      <c r="BC2358" t="s">
        <v>51</v>
      </c>
      <c r="BE2358" t="s">
        <v>54</v>
      </c>
      <c r="BF2358">
        <v>2</v>
      </c>
      <c r="BG2358">
        <v>0</v>
      </c>
      <c r="BH2358" t="s">
        <v>53</v>
      </c>
      <c r="BK2358" t="s">
        <v>59</v>
      </c>
      <c r="BL2358">
        <v>14000</v>
      </c>
      <c r="BM2358" s="1">
        <v>44104</v>
      </c>
      <c r="BN2358" s="1">
        <v>44104</v>
      </c>
      <c r="BO2358" s="1">
        <v>44104</v>
      </c>
      <c r="BP2358" s="1">
        <v>45269</v>
      </c>
      <c r="BQ2358" t="s">
        <v>51</v>
      </c>
      <c r="BS2358" t="s">
        <v>60</v>
      </c>
      <c r="BT2358" t="s">
        <v>54</v>
      </c>
      <c r="BU2358" t="s">
        <v>61</v>
      </c>
      <c r="BV2358" t="s">
        <v>62</v>
      </c>
      <c r="BX2358">
        <v>24</v>
      </c>
      <c r="BY2358">
        <v>0</v>
      </c>
      <c r="BZ2358">
        <v>0</v>
      </c>
      <c r="CX2358" t="s">
        <v>674</v>
      </c>
      <c r="CY2358">
        <v>0</v>
      </c>
      <c r="CZ2358" s="1">
        <v>44320</v>
      </c>
      <c r="DA2358" s="1">
        <v>44320</v>
      </c>
      <c r="DB2358" s="1">
        <v>44320</v>
      </c>
      <c r="DC2358" s="1">
        <v>44320</v>
      </c>
      <c r="DD2358" t="s">
        <v>51</v>
      </c>
      <c r="DF2358" t="s">
        <v>54</v>
      </c>
      <c r="DG2358">
        <v>0</v>
      </c>
      <c r="DH2358">
        <v>0</v>
      </c>
    </row>
    <row r="2359" spans="1:112" x14ac:dyDescent="0.2">
      <c r="A2359" t="s">
        <v>1012</v>
      </c>
      <c r="B2359" t="s">
        <v>1013</v>
      </c>
      <c r="C2359" t="s">
        <v>1052</v>
      </c>
      <c r="D2359" t="s">
        <v>1086</v>
      </c>
      <c r="F2359" t="str">
        <f>"251918"</f>
        <v>251918</v>
      </c>
      <c r="G2359" t="s">
        <v>49</v>
      </c>
      <c r="H2359">
        <v>7</v>
      </c>
      <c r="K2359" t="s">
        <v>51</v>
      </c>
      <c r="L2359" t="s">
        <v>52</v>
      </c>
      <c r="M2359">
        <v>131821.74</v>
      </c>
      <c r="N2359">
        <v>474518.42</v>
      </c>
      <c r="O2359" t="s">
        <v>53</v>
      </c>
      <c r="P2359" t="s">
        <v>54</v>
      </c>
      <c r="Q2359" t="s">
        <v>55</v>
      </c>
      <c r="T2359" t="s">
        <v>100</v>
      </c>
      <c r="U2359">
        <v>40</v>
      </c>
      <c r="V2359" s="1">
        <v>31778</v>
      </c>
      <c r="W2359" s="1">
        <v>31778</v>
      </c>
      <c r="X2359" s="1">
        <v>31778</v>
      </c>
      <c r="Y2359" s="1">
        <v>46388</v>
      </c>
      <c r="Z2359" t="s">
        <v>51</v>
      </c>
      <c r="AB2359" t="s">
        <v>54</v>
      </c>
      <c r="AC2359">
        <v>1</v>
      </c>
      <c r="AE2359" t="s">
        <v>222</v>
      </c>
      <c r="AF2359">
        <v>20</v>
      </c>
      <c r="AG2359" s="1">
        <v>31778</v>
      </c>
      <c r="AH2359" s="1">
        <v>31778</v>
      </c>
      <c r="AI2359" s="1">
        <v>31778</v>
      </c>
      <c r="AJ2359" s="1">
        <v>39083</v>
      </c>
      <c r="AK2359" t="s">
        <v>51</v>
      </c>
      <c r="AN2359">
        <v>0</v>
      </c>
      <c r="AO2359" t="s">
        <v>54</v>
      </c>
      <c r="AP2359" t="s">
        <v>53</v>
      </c>
      <c r="AQ2359">
        <v>0</v>
      </c>
      <c r="AR2359" t="s">
        <v>53</v>
      </c>
      <c r="AS2359">
        <v>0</v>
      </c>
      <c r="AT2359">
        <v>0</v>
      </c>
      <c r="AW2359" t="s">
        <v>161</v>
      </c>
      <c r="AX2359">
        <v>50</v>
      </c>
      <c r="AY2359" s="1">
        <v>31778</v>
      </c>
      <c r="AZ2359" s="1">
        <v>31778</v>
      </c>
      <c r="BA2359" s="1">
        <v>31778</v>
      </c>
      <c r="BB2359" s="1">
        <v>50041</v>
      </c>
      <c r="BC2359" t="s">
        <v>51</v>
      </c>
      <c r="BE2359" t="s">
        <v>54</v>
      </c>
      <c r="BF2359">
        <v>0</v>
      </c>
      <c r="BG2359">
        <v>0</v>
      </c>
      <c r="BH2359" t="s">
        <v>53</v>
      </c>
      <c r="BK2359" t="s">
        <v>59</v>
      </c>
      <c r="BL2359">
        <v>14000</v>
      </c>
      <c r="BM2359" s="1">
        <v>44104</v>
      </c>
      <c r="BN2359" s="1">
        <v>44104</v>
      </c>
      <c r="BO2359" s="1">
        <v>44104</v>
      </c>
      <c r="BP2359" s="1">
        <v>45269</v>
      </c>
      <c r="BQ2359" t="s">
        <v>51</v>
      </c>
      <c r="BS2359" t="s">
        <v>60</v>
      </c>
      <c r="BT2359" t="s">
        <v>54</v>
      </c>
      <c r="BU2359" t="s">
        <v>61</v>
      </c>
      <c r="BV2359" t="s">
        <v>62</v>
      </c>
      <c r="BX2359">
        <v>24</v>
      </c>
      <c r="BY2359">
        <v>0</v>
      </c>
      <c r="BZ2359">
        <v>0</v>
      </c>
      <c r="CX2359" t="s">
        <v>674</v>
      </c>
      <c r="CY2359">
        <v>0</v>
      </c>
      <c r="CZ2359" s="1">
        <v>44320</v>
      </c>
      <c r="DA2359" s="1">
        <v>44320</v>
      </c>
      <c r="DB2359" s="1">
        <v>44320</v>
      </c>
      <c r="DC2359" s="1">
        <v>44320</v>
      </c>
      <c r="DD2359" t="s">
        <v>51</v>
      </c>
      <c r="DF2359" t="s">
        <v>54</v>
      </c>
      <c r="DG2359">
        <v>0</v>
      </c>
      <c r="DH2359">
        <v>0</v>
      </c>
    </row>
    <row r="2360" spans="1:112" x14ac:dyDescent="0.2">
      <c r="A2360" t="s">
        <v>1012</v>
      </c>
      <c r="B2360" t="s">
        <v>1013</v>
      </c>
      <c r="C2360" t="s">
        <v>1052</v>
      </c>
      <c r="D2360" t="s">
        <v>1087</v>
      </c>
      <c r="F2360" t="str">
        <f>"251919"</f>
        <v>251919</v>
      </c>
      <c r="G2360" t="s">
        <v>49</v>
      </c>
      <c r="K2360" t="s">
        <v>51</v>
      </c>
      <c r="L2360" t="s">
        <v>52</v>
      </c>
      <c r="M2360">
        <v>131816.4</v>
      </c>
      <c r="N2360">
        <v>474542.71</v>
      </c>
      <c r="O2360" t="s">
        <v>53</v>
      </c>
      <c r="P2360" t="s">
        <v>54</v>
      </c>
      <c r="Q2360" t="s">
        <v>55</v>
      </c>
      <c r="T2360" t="s">
        <v>100</v>
      </c>
      <c r="U2360">
        <v>40</v>
      </c>
      <c r="V2360" s="1">
        <v>32143</v>
      </c>
      <c r="W2360" s="1">
        <v>32143</v>
      </c>
      <c r="X2360" s="1">
        <v>32143</v>
      </c>
      <c r="Y2360" s="1">
        <v>46753</v>
      </c>
      <c r="Z2360" t="s">
        <v>51</v>
      </c>
      <c r="AB2360" t="s">
        <v>54</v>
      </c>
      <c r="AC2360">
        <v>1</v>
      </c>
      <c r="AE2360" t="s">
        <v>222</v>
      </c>
      <c r="AF2360">
        <v>20</v>
      </c>
      <c r="AG2360" s="1">
        <v>32143</v>
      </c>
      <c r="AH2360" s="1">
        <v>32143</v>
      </c>
      <c r="AI2360" s="1">
        <v>32143</v>
      </c>
      <c r="AJ2360" s="1">
        <v>39448</v>
      </c>
      <c r="AK2360" t="s">
        <v>51</v>
      </c>
      <c r="AN2360">
        <v>0</v>
      </c>
      <c r="AO2360" t="s">
        <v>54</v>
      </c>
      <c r="AP2360" t="s">
        <v>53</v>
      </c>
      <c r="AQ2360">
        <v>0</v>
      </c>
      <c r="AR2360" t="s">
        <v>53</v>
      </c>
      <c r="AS2360">
        <v>0</v>
      </c>
      <c r="AT2360">
        <v>0</v>
      </c>
      <c r="AW2360" t="s">
        <v>161</v>
      </c>
      <c r="AX2360">
        <v>50</v>
      </c>
      <c r="AY2360" s="1">
        <v>32143</v>
      </c>
      <c r="AZ2360" s="1">
        <v>32143</v>
      </c>
      <c r="BA2360" s="1">
        <v>32143</v>
      </c>
      <c r="BB2360" s="1">
        <v>50406</v>
      </c>
      <c r="BC2360" t="s">
        <v>51</v>
      </c>
      <c r="BE2360" t="s">
        <v>54</v>
      </c>
      <c r="BF2360">
        <v>0</v>
      </c>
      <c r="BG2360">
        <v>0</v>
      </c>
      <c r="BH2360" t="s">
        <v>53</v>
      </c>
      <c r="BK2360" t="s">
        <v>59</v>
      </c>
      <c r="BL2360">
        <v>14000</v>
      </c>
      <c r="BM2360" s="1">
        <v>44103</v>
      </c>
      <c r="BN2360" s="1">
        <v>44103</v>
      </c>
      <c r="BO2360" s="1">
        <v>44103</v>
      </c>
      <c r="BP2360" s="1">
        <v>45268</v>
      </c>
      <c r="BQ2360" t="s">
        <v>51</v>
      </c>
      <c r="BS2360" t="s">
        <v>60</v>
      </c>
      <c r="BT2360" t="s">
        <v>54</v>
      </c>
      <c r="BU2360" t="s">
        <v>61</v>
      </c>
      <c r="BV2360" t="s">
        <v>62</v>
      </c>
      <c r="BX2360">
        <v>24</v>
      </c>
      <c r="BY2360">
        <v>0</v>
      </c>
      <c r="BZ2360">
        <v>0</v>
      </c>
      <c r="CX2360" t="s">
        <v>674</v>
      </c>
      <c r="CY2360">
        <v>0</v>
      </c>
      <c r="CZ2360" s="1">
        <v>44075</v>
      </c>
      <c r="DA2360" s="1">
        <v>44075</v>
      </c>
      <c r="DB2360" s="1">
        <v>44075</v>
      </c>
      <c r="DC2360" s="1">
        <v>44075</v>
      </c>
      <c r="DD2360" t="s">
        <v>51</v>
      </c>
      <c r="DF2360" t="s">
        <v>54</v>
      </c>
      <c r="DG2360">
        <v>0</v>
      </c>
      <c r="DH2360">
        <v>0</v>
      </c>
    </row>
    <row r="2361" spans="1:112" x14ac:dyDescent="0.2">
      <c r="A2361" t="s">
        <v>1012</v>
      </c>
      <c r="B2361" t="s">
        <v>1013</v>
      </c>
      <c r="C2361" t="s">
        <v>1052</v>
      </c>
      <c r="D2361" t="s">
        <v>1087</v>
      </c>
      <c r="F2361" t="str">
        <f>"251920"</f>
        <v>251920</v>
      </c>
      <c r="G2361" t="s">
        <v>49</v>
      </c>
      <c r="K2361" t="s">
        <v>51</v>
      </c>
      <c r="L2361" t="s">
        <v>52</v>
      </c>
      <c r="M2361">
        <v>131790.26</v>
      </c>
      <c r="N2361">
        <v>474549.1</v>
      </c>
      <c r="O2361" t="s">
        <v>53</v>
      </c>
      <c r="P2361" t="s">
        <v>54</v>
      </c>
      <c r="Q2361" t="s">
        <v>55</v>
      </c>
      <c r="T2361" t="s">
        <v>100</v>
      </c>
      <c r="U2361">
        <v>40</v>
      </c>
      <c r="V2361" s="1">
        <v>32143</v>
      </c>
      <c r="W2361" s="1">
        <v>32143</v>
      </c>
      <c r="X2361" s="1">
        <v>32143</v>
      </c>
      <c r="Y2361" s="1">
        <v>46753</v>
      </c>
      <c r="Z2361" t="s">
        <v>51</v>
      </c>
      <c r="AB2361" t="s">
        <v>54</v>
      </c>
      <c r="AC2361">
        <v>1</v>
      </c>
      <c r="AE2361" t="s">
        <v>222</v>
      </c>
      <c r="AF2361">
        <v>20</v>
      </c>
      <c r="AG2361" s="1">
        <v>32143</v>
      </c>
      <c r="AH2361" s="1">
        <v>32143</v>
      </c>
      <c r="AI2361" s="1">
        <v>32143</v>
      </c>
      <c r="AJ2361" s="1">
        <v>39448</v>
      </c>
      <c r="AK2361" t="s">
        <v>51</v>
      </c>
      <c r="AN2361">
        <v>0</v>
      </c>
      <c r="AO2361" t="s">
        <v>54</v>
      </c>
      <c r="AP2361" t="s">
        <v>53</v>
      </c>
      <c r="AQ2361">
        <v>0</v>
      </c>
      <c r="AR2361" t="s">
        <v>53</v>
      </c>
      <c r="AS2361">
        <v>0</v>
      </c>
      <c r="AT2361">
        <v>0</v>
      </c>
      <c r="AW2361" t="s">
        <v>161</v>
      </c>
      <c r="AX2361">
        <v>50</v>
      </c>
      <c r="AY2361" s="1">
        <v>32143</v>
      </c>
      <c r="AZ2361" s="1">
        <v>32143</v>
      </c>
      <c r="BA2361" s="1">
        <v>32143</v>
      </c>
      <c r="BB2361" s="1">
        <v>50406</v>
      </c>
      <c r="BC2361" t="s">
        <v>51</v>
      </c>
      <c r="BE2361" t="s">
        <v>54</v>
      </c>
      <c r="BF2361">
        <v>0</v>
      </c>
      <c r="BG2361">
        <v>0</v>
      </c>
      <c r="BH2361" t="s">
        <v>53</v>
      </c>
      <c r="BK2361" t="s">
        <v>59</v>
      </c>
      <c r="BL2361">
        <v>14000</v>
      </c>
      <c r="BM2361" s="1">
        <v>44103</v>
      </c>
      <c r="BN2361" s="1">
        <v>44103</v>
      </c>
      <c r="BO2361" s="1">
        <v>44103</v>
      </c>
      <c r="BP2361" s="1">
        <v>45268</v>
      </c>
      <c r="BQ2361" t="s">
        <v>51</v>
      </c>
      <c r="BS2361" t="s">
        <v>60</v>
      </c>
      <c r="BT2361" t="s">
        <v>54</v>
      </c>
      <c r="BU2361" t="s">
        <v>61</v>
      </c>
      <c r="BV2361" t="s">
        <v>62</v>
      </c>
      <c r="BX2361">
        <v>24</v>
      </c>
      <c r="BY2361">
        <v>0</v>
      </c>
      <c r="BZ2361">
        <v>0</v>
      </c>
      <c r="CX2361" t="s">
        <v>674</v>
      </c>
      <c r="CY2361">
        <v>0</v>
      </c>
      <c r="CZ2361" s="1">
        <v>44075</v>
      </c>
      <c r="DA2361" s="1">
        <v>44075</v>
      </c>
      <c r="DB2361" s="1">
        <v>44075</v>
      </c>
      <c r="DC2361" s="1">
        <v>44075</v>
      </c>
      <c r="DD2361" t="s">
        <v>51</v>
      </c>
      <c r="DF2361" t="s">
        <v>54</v>
      </c>
      <c r="DG2361">
        <v>0</v>
      </c>
      <c r="DH2361">
        <v>0</v>
      </c>
    </row>
    <row r="2362" spans="1:112" x14ac:dyDescent="0.2">
      <c r="A2362" t="s">
        <v>1012</v>
      </c>
      <c r="B2362" t="s">
        <v>1013</v>
      </c>
      <c r="C2362" t="s">
        <v>1052</v>
      </c>
      <c r="D2362" t="s">
        <v>1087</v>
      </c>
      <c r="F2362" t="str">
        <f>"251921"</f>
        <v>251921</v>
      </c>
      <c r="G2362" t="s">
        <v>49</v>
      </c>
      <c r="K2362" t="s">
        <v>51</v>
      </c>
      <c r="L2362" t="s">
        <v>52</v>
      </c>
      <c r="M2362">
        <v>131763.65</v>
      </c>
      <c r="N2362">
        <v>474548.9</v>
      </c>
      <c r="O2362" t="s">
        <v>53</v>
      </c>
      <c r="P2362" t="s">
        <v>54</v>
      </c>
      <c r="Q2362" t="s">
        <v>55</v>
      </c>
      <c r="T2362" t="s">
        <v>100</v>
      </c>
      <c r="U2362">
        <v>40</v>
      </c>
      <c r="V2362" s="1">
        <v>32143</v>
      </c>
      <c r="W2362" s="1">
        <v>32143</v>
      </c>
      <c r="X2362" s="1">
        <v>32143</v>
      </c>
      <c r="Y2362" s="1">
        <v>46753</v>
      </c>
      <c r="Z2362" t="s">
        <v>51</v>
      </c>
      <c r="AB2362" t="s">
        <v>54</v>
      </c>
      <c r="AC2362">
        <v>1</v>
      </c>
      <c r="AE2362" t="s">
        <v>222</v>
      </c>
      <c r="AF2362">
        <v>20</v>
      </c>
      <c r="AG2362" s="1">
        <v>32143</v>
      </c>
      <c r="AH2362" s="1">
        <v>32143</v>
      </c>
      <c r="AI2362" s="1">
        <v>32143</v>
      </c>
      <c r="AJ2362" s="1">
        <v>39448</v>
      </c>
      <c r="AK2362" t="s">
        <v>51</v>
      </c>
      <c r="AN2362">
        <v>0</v>
      </c>
      <c r="AO2362" t="s">
        <v>54</v>
      </c>
      <c r="AP2362" t="s">
        <v>53</v>
      </c>
      <c r="AQ2362">
        <v>0</v>
      </c>
      <c r="AR2362" t="s">
        <v>53</v>
      </c>
      <c r="AS2362">
        <v>0</v>
      </c>
      <c r="AT2362">
        <v>0</v>
      </c>
      <c r="AW2362" t="s">
        <v>161</v>
      </c>
      <c r="AX2362">
        <v>50</v>
      </c>
      <c r="AY2362" s="1">
        <v>32143</v>
      </c>
      <c r="AZ2362" s="1">
        <v>32143</v>
      </c>
      <c r="BA2362" s="1">
        <v>32143</v>
      </c>
      <c r="BB2362" s="1">
        <v>50406</v>
      </c>
      <c r="BC2362" t="s">
        <v>51</v>
      </c>
      <c r="BE2362" t="s">
        <v>54</v>
      </c>
      <c r="BF2362">
        <v>0</v>
      </c>
      <c r="BG2362">
        <v>0</v>
      </c>
      <c r="BH2362" t="s">
        <v>53</v>
      </c>
      <c r="BK2362" t="s">
        <v>59</v>
      </c>
      <c r="BL2362">
        <v>14000</v>
      </c>
      <c r="BM2362" s="1">
        <v>44103</v>
      </c>
      <c r="BN2362" s="1">
        <v>44103</v>
      </c>
      <c r="BO2362" s="1">
        <v>44103</v>
      </c>
      <c r="BP2362" s="1">
        <v>45268</v>
      </c>
      <c r="BQ2362" t="s">
        <v>51</v>
      </c>
      <c r="BS2362" t="s">
        <v>60</v>
      </c>
      <c r="BT2362" t="s">
        <v>54</v>
      </c>
      <c r="BU2362" t="s">
        <v>61</v>
      </c>
      <c r="BV2362" t="s">
        <v>62</v>
      </c>
      <c r="BX2362">
        <v>24</v>
      </c>
      <c r="BY2362">
        <v>0</v>
      </c>
      <c r="BZ2362">
        <v>0</v>
      </c>
      <c r="CX2362" t="s">
        <v>674</v>
      </c>
      <c r="CY2362">
        <v>0</v>
      </c>
      <c r="CZ2362" s="1">
        <v>44075</v>
      </c>
      <c r="DA2362" s="1">
        <v>44075</v>
      </c>
      <c r="DB2362" s="1">
        <v>44075</v>
      </c>
      <c r="DC2362" s="1">
        <v>44075</v>
      </c>
      <c r="DD2362" t="s">
        <v>51</v>
      </c>
      <c r="DF2362" t="s">
        <v>54</v>
      </c>
      <c r="DG2362">
        <v>0</v>
      </c>
      <c r="DH2362">
        <v>0</v>
      </c>
    </row>
    <row r="2363" spans="1:112" x14ac:dyDescent="0.2">
      <c r="A2363" t="s">
        <v>1012</v>
      </c>
      <c r="B2363" t="s">
        <v>1013</v>
      </c>
      <c r="C2363" t="s">
        <v>1052</v>
      </c>
      <c r="D2363" t="s">
        <v>1088</v>
      </c>
      <c r="F2363" t="str">
        <f>"251922"</f>
        <v>251922</v>
      </c>
      <c r="G2363" t="s">
        <v>49</v>
      </c>
      <c r="H2363">
        <v>1</v>
      </c>
      <c r="K2363" t="s">
        <v>51</v>
      </c>
      <c r="L2363" t="s">
        <v>52</v>
      </c>
      <c r="M2363">
        <v>131800.45000000001</v>
      </c>
      <c r="N2363">
        <v>474566.6</v>
      </c>
      <c r="O2363" t="s">
        <v>53</v>
      </c>
      <c r="P2363" t="s">
        <v>54</v>
      </c>
      <c r="Q2363" t="s">
        <v>55</v>
      </c>
      <c r="T2363" t="s">
        <v>100</v>
      </c>
      <c r="U2363">
        <v>40</v>
      </c>
      <c r="V2363" s="1">
        <v>32509</v>
      </c>
      <c r="W2363" s="1">
        <v>32509</v>
      </c>
      <c r="X2363" s="1">
        <v>32509</v>
      </c>
      <c r="Y2363" s="1">
        <v>47119</v>
      </c>
      <c r="Z2363" t="s">
        <v>51</v>
      </c>
      <c r="AB2363" t="s">
        <v>54</v>
      </c>
      <c r="AC2363">
        <v>1</v>
      </c>
      <c r="AE2363" t="s">
        <v>819</v>
      </c>
      <c r="AF2363">
        <v>20</v>
      </c>
      <c r="AG2363" s="1">
        <v>32690</v>
      </c>
      <c r="AH2363" s="1">
        <v>32690</v>
      </c>
      <c r="AI2363" s="1">
        <v>32690</v>
      </c>
      <c r="AJ2363" s="1">
        <v>39995</v>
      </c>
      <c r="AK2363" t="s">
        <v>51</v>
      </c>
      <c r="AN2363">
        <v>0</v>
      </c>
      <c r="AO2363" t="s">
        <v>54</v>
      </c>
      <c r="AP2363" t="s">
        <v>53</v>
      </c>
      <c r="AQ2363">
        <v>0</v>
      </c>
      <c r="AR2363" t="s">
        <v>53</v>
      </c>
      <c r="AS2363">
        <v>0</v>
      </c>
      <c r="AT2363">
        <v>0</v>
      </c>
      <c r="AW2363" t="s">
        <v>161</v>
      </c>
      <c r="AX2363">
        <v>50</v>
      </c>
      <c r="AY2363" s="1">
        <v>32690</v>
      </c>
      <c r="AZ2363" s="1">
        <v>32690</v>
      </c>
      <c r="BA2363" s="1">
        <v>32690</v>
      </c>
      <c r="BB2363" s="1">
        <v>50952</v>
      </c>
      <c r="BC2363" t="s">
        <v>51</v>
      </c>
      <c r="BE2363" t="s">
        <v>54</v>
      </c>
      <c r="BF2363">
        <v>0</v>
      </c>
      <c r="BG2363">
        <v>0</v>
      </c>
      <c r="BH2363" t="s">
        <v>53</v>
      </c>
      <c r="BK2363" t="s">
        <v>720</v>
      </c>
      <c r="BL2363">
        <v>17000</v>
      </c>
      <c r="BM2363" s="1">
        <v>44103</v>
      </c>
      <c r="BN2363" s="1">
        <v>44103</v>
      </c>
      <c r="BO2363" s="1">
        <v>44103</v>
      </c>
      <c r="BP2363" s="1">
        <v>45539</v>
      </c>
      <c r="BQ2363" t="s">
        <v>51</v>
      </c>
      <c r="BS2363" t="s">
        <v>60</v>
      </c>
      <c r="BT2363" t="s">
        <v>54</v>
      </c>
      <c r="BU2363" t="s">
        <v>721</v>
      </c>
      <c r="BV2363" t="s">
        <v>722</v>
      </c>
      <c r="BX2363">
        <v>18</v>
      </c>
      <c r="BY2363">
        <v>0</v>
      </c>
      <c r="BZ2363">
        <v>0</v>
      </c>
      <c r="CX2363" t="s">
        <v>674</v>
      </c>
      <c r="CY2363">
        <v>0</v>
      </c>
      <c r="CZ2363" s="1">
        <v>43770</v>
      </c>
      <c r="DA2363" s="1">
        <v>43770</v>
      </c>
      <c r="DB2363" s="1">
        <v>43770</v>
      </c>
      <c r="DC2363" s="1">
        <v>43770</v>
      </c>
      <c r="DD2363" t="s">
        <v>51</v>
      </c>
      <c r="DF2363" t="s">
        <v>54</v>
      </c>
      <c r="DG2363">
        <v>0</v>
      </c>
      <c r="DH2363">
        <v>0</v>
      </c>
    </row>
    <row r="2364" spans="1:112" x14ac:dyDescent="0.2">
      <c r="A2364" t="s">
        <v>1012</v>
      </c>
      <c r="B2364" t="s">
        <v>1013</v>
      </c>
      <c r="C2364" t="s">
        <v>1052</v>
      </c>
      <c r="D2364" t="s">
        <v>1088</v>
      </c>
      <c r="F2364" t="str">
        <f>"251923"</f>
        <v>251923</v>
      </c>
      <c r="G2364" t="s">
        <v>49</v>
      </c>
      <c r="H2364">
        <v>9</v>
      </c>
      <c r="K2364" t="s">
        <v>51</v>
      </c>
      <c r="L2364" t="s">
        <v>52</v>
      </c>
      <c r="M2364">
        <v>131816.18</v>
      </c>
      <c r="N2364">
        <v>474593.99</v>
      </c>
      <c r="O2364" t="s">
        <v>53</v>
      </c>
      <c r="P2364" t="s">
        <v>54</v>
      </c>
      <c r="Q2364" t="s">
        <v>55</v>
      </c>
      <c r="T2364" t="s">
        <v>100</v>
      </c>
      <c r="U2364">
        <v>40</v>
      </c>
      <c r="V2364" s="1">
        <v>32509</v>
      </c>
      <c r="W2364" s="1">
        <v>32509</v>
      </c>
      <c r="X2364" s="1">
        <v>32509</v>
      </c>
      <c r="Y2364" s="1">
        <v>47119</v>
      </c>
      <c r="Z2364" t="s">
        <v>51</v>
      </c>
      <c r="AB2364" t="s">
        <v>54</v>
      </c>
      <c r="AC2364">
        <v>1</v>
      </c>
      <c r="AE2364" t="s">
        <v>819</v>
      </c>
      <c r="AF2364">
        <v>20</v>
      </c>
      <c r="AG2364" s="1">
        <v>32690</v>
      </c>
      <c r="AH2364" s="1">
        <v>32690</v>
      </c>
      <c r="AI2364" s="1">
        <v>32690</v>
      </c>
      <c r="AJ2364" s="1">
        <v>39995</v>
      </c>
      <c r="AK2364" t="s">
        <v>51</v>
      </c>
      <c r="AN2364">
        <v>0</v>
      </c>
      <c r="AO2364" t="s">
        <v>54</v>
      </c>
      <c r="AP2364" t="s">
        <v>53</v>
      </c>
      <c r="AQ2364">
        <v>0</v>
      </c>
      <c r="AR2364" t="s">
        <v>53</v>
      </c>
      <c r="AS2364">
        <v>0</v>
      </c>
      <c r="AT2364">
        <v>0</v>
      </c>
      <c r="AW2364" t="s">
        <v>161</v>
      </c>
      <c r="AX2364">
        <v>50</v>
      </c>
      <c r="AY2364" s="1">
        <v>32690</v>
      </c>
      <c r="AZ2364" s="1">
        <v>32690</v>
      </c>
      <c r="BA2364" s="1">
        <v>32690</v>
      </c>
      <c r="BB2364" s="1">
        <v>50952</v>
      </c>
      <c r="BC2364" t="s">
        <v>51</v>
      </c>
      <c r="BE2364" t="s">
        <v>54</v>
      </c>
      <c r="BF2364">
        <v>0</v>
      </c>
      <c r="BG2364">
        <v>0</v>
      </c>
      <c r="BH2364" t="s">
        <v>53</v>
      </c>
      <c r="BK2364" t="s">
        <v>720</v>
      </c>
      <c r="BL2364">
        <v>17000</v>
      </c>
      <c r="BM2364" s="1">
        <v>44606</v>
      </c>
      <c r="BN2364" s="1">
        <v>44606</v>
      </c>
      <c r="BO2364" s="1">
        <v>44606</v>
      </c>
      <c r="BP2364" s="1">
        <v>46048</v>
      </c>
      <c r="BQ2364" t="s">
        <v>51</v>
      </c>
      <c r="BS2364" t="s">
        <v>60</v>
      </c>
      <c r="BT2364" t="s">
        <v>54</v>
      </c>
      <c r="BU2364" t="s">
        <v>721</v>
      </c>
      <c r="BV2364" t="s">
        <v>722</v>
      </c>
      <c r="BX2364">
        <v>18</v>
      </c>
      <c r="BY2364">
        <v>0</v>
      </c>
      <c r="BZ2364">
        <v>0</v>
      </c>
      <c r="CX2364" t="s">
        <v>674</v>
      </c>
      <c r="CY2364">
        <v>0</v>
      </c>
      <c r="CZ2364" s="1">
        <v>32690</v>
      </c>
      <c r="DA2364" s="1">
        <v>32690</v>
      </c>
      <c r="DB2364" s="1">
        <v>32690</v>
      </c>
      <c r="DC2364" s="1">
        <v>32690</v>
      </c>
      <c r="DD2364" t="s">
        <v>51</v>
      </c>
      <c r="DF2364" t="s">
        <v>54</v>
      </c>
      <c r="DG2364">
        <v>0</v>
      </c>
      <c r="DH2364">
        <v>0</v>
      </c>
    </row>
    <row r="2365" spans="1:112" x14ac:dyDescent="0.2">
      <c r="A2365" t="s">
        <v>1012</v>
      </c>
      <c r="B2365" t="s">
        <v>1013</v>
      </c>
      <c r="C2365" t="s">
        <v>1052</v>
      </c>
      <c r="D2365" t="s">
        <v>1088</v>
      </c>
      <c r="F2365" t="str">
        <f>"251924"</f>
        <v>251924</v>
      </c>
      <c r="G2365" t="s">
        <v>49</v>
      </c>
      <c r="H2365">
        <v>17</v>
      </c>
      <c r="K2365" t="s">
        <v>51</v>
      </c>
      <c r="L2365" t="s">
        <v>52</v>
      </c>
      <c r="M2365">
        <v>131821.95000000001</v>
      </c>
      <c r="N2365">
        <v>474629.88</v>
      </c>
      <c r="O2365" t="s">
        <v>53</v>
      </c>
      <c r="P2365" t="s">
        <v>54</v>
      </c>
      <c r="Q2365" t="s">
        <v>55</v>
      </c>
      <c r="T2365" t="s">
        <v>100</v>
      </c>
      <c r="U2365">
        <v>40</v>
      </c>
      <c r="V2365" s="1">
        <v>32509</v>
      </c>
      <c r="W2365" s="1">
        <v>32509</v>
      </c>
      <c r="X2365" s="1">
        <v>32509</v>
      </c>
      <c r="Y2365" s="1">
        <v>47119</v>
      </c>
      <c r="Z2365" t="s">
        <v>51</v>
      </c>
      <c r="AB2365" t="s">
        <v>54</v>
      </c>
      <c r="AC2365">
        <v>1</v>
      </c>
      <c r="AE2365" t="s">
        <v>819</v>
      </c>
      <c r="AF2365">
        <v>20</v>
      </c>
      <c r="AG2365" s="1">
        <v>32690</v>
      </c>
      <c r="AH2365" s="1">
        <v>32690</v>
      </c>
      <c r="AI2365" s="1">
        <v>32690</v>
      </c>
      <c r="AJ2365" s="1">
        <v>39995</v>
      </c>
      <c r="AK2365" t="s">
        <v>51</v>
      </c>
      <c r="AN2365">
        <v>0</v>
      </c>
      <c r="AO2365" t="s">
        <v>54</v>
      </c>
      <c r="AP2365" t="s">
        <v>53</v>
      </c>
      <c r="AQ2365">
        <v>0</v>
      </c>
      <c r="AR2365" t="s">
        <v>53</v>
      </c>
      <c r="AS2365">
        <v>0</v>
      </c>
      <c r="AT2365">
        <v>0</v>
      </c>
      <c r="AW2365" t="s">
        <v>161</v>
      </c>
      <c r="AX2365">
        <v>50</v>
      </c>
      <c r="AY2365" s="1">
        <v>32690</v>
      </c>
      <c r="AZ2365" s="1">
        <v>32690</v>
      </c>
      <c r="BA2365" s="1">
        <v>32690</v>
      </c>
      <c r="BB2365" s="1">
        <v>50952</v>
      </c>
      <c r="BC2365" t="s">
        <v>51</v>
      </c>
      <c r="BE2365" t="s">
        <v>54</v>
      </c>
      <c r="BF2365">
        <v>0</v>
      </c>
      <c r="BG2365">
        <v>0</v>
      </c>
      <c r="BH2365" t="s">
        <v>53</v>
      </c>
      <c r="BK2365" t="s">
        <v>720</v>
      </c>
      <c r="BL2365">
        <v>17000</v>
      </c>
      <c r="BM2365" s="1">
        <v>44103</v>
      </c>
      <c r="BN2365" s="1">
        <v>44103</v>
      </c>
      <c r="BO2365" s="1">
        <v>44103</v>
      </c>
      <c r="BP2365" s="1">
        <v>45539</v>
      </c>
      <c r="BQ2365" t="s">
        <v>51</v>
      </c>
      <c r="BS2365" t="s">
        <v>60</v>
      </c>
      <c r="BT2365" t="s">
        <v>54</v>
      </c>
      <c r="BU2365" t="s">
        <v>721</v>
      </c>
      <c r="BV2365" t="s">
        <v>722</v>
      </c>
      <c r="BX2365">
        <v>18</v>
      </c>
      <c r="BY2365">
        <v>0</v>
      </c>
      <c r="BZ2365">
        <v>0</v>
      </c>
      <c r="CX2365" t="s">
        <v>674</v>
      </c>
      <c r="CY2365">
        <v>0</v>
      </c>
      <c r="CZ2365" s="1">
        <v>32690</v>
      </c>
      <c r="DA2365" s="1">
        <v>32690</v>
      </c>
      <c r="DB2365" s="1">
        <v>32690</v>
      </c>
      <c r="DC2365" s="1">
        <v>32690</v>
      </c>
      <c r="DD2365" t="s">
        <v>51</v>
      </c>
      <c r="DF2365" t="s">
        <v>54</v>
      </c>
      <c r="DG2365">
        <v>0</v>
      </c>
      <c r="DH2365">
        <v>0</v>
      </c>
    </row>
    <row r="2366" spans="1:112" x14ac:dyDescent="0.2">
      <c r="A2366" t="s">
        <v>1012</v>
      </c>
      <c r="B2366" t="s">
        <v>1013</v>
      </c>
      <c r="C2366" t="s">
        <v>1052</v>
      </c>
      <c r="D2366" t="s">
        <v>1088</v>
      </c>
      <c r="F2366" t="str">
        <f>"251925"</f>
        <v>251925</v>
      </c>
      <c r="G2366" t="s">
        <v>49</v>
      </c>
      <c r="H2366">
        <v>23</v>
      </c>
      <c r="K2366" t="s">
        <v>51</v>
      </c>
      <c r="L2366" t="s">
        <v>52</v>
      </c>
      <c r="M2366">
        <v>131817.59</v>
      </c>
      <c r="N2366">
        <v>474664.22</v>
      </c>
      <c r="O2366" t="s">
        <v>53</v>
      </c>
      <c r="P2366" t="s">
        <v>54</v>
      </c>
      <c r="Q2366" t="s">
        <v>55</v>
      </c>
      <c r="T2366" t="s">
        <v>100</v>
      </c>
      <c r="U2366">
        <v>40</v>
      </c>
      <c r="V2366" s="1">
        <v>32509</v>
      </c>
      <c r="W2366" s="1">
        <v>32509</v>
      </c>
      <c r="X2366" s="1">
        <v>32509</v>
      </c>
      <c r="Y2366" s="1">
        <v>47119</v>
      </c>
      <c r="Z2366" t="s">
        <v>51</v>
      </c>
      <c r="AB2366" t="s">
        <v>54</v>
      </c>
      <c r="AC2366">
        <v>1</v>
      </c>
      <c r="AE2366" t="s">
        <v>819</v>
      </c>
      <c r="AF2366">
        <v>20</v>
      </c>
      <c r="AG2366" s="1">
        <v>32690</v>
      </c>
      <c r="AH2366" s="1">
        <v>32690</v>
      </c>
      <c r="AI2366" s="1">
        <v>32690</v>
      </c>
      <c r="AJ2366" s="1">
        <v>39995</v>
      </c>
      <c r="AK2366" t="s">
        <v>51</v>
      </c>
      <c r="AN2366">
        <v>0</v>
      </c>
      <c r="AO2366" t="s">
        <v>54</v>
      </c>
      <c r="AP2366" t="s">
        <v>53</v>
      </c>
      <c r="AQ2366">
        <v>0</v>
      </c>
      <c r="AR2366" t="s">
        <v>53</v>
      </c>
      <c r="AS2366">
        <v>0</v>
      </c>
      <c r="AT2366">
        <v>0</v>
      </c>
      <c r="AW2366" t="s">
        <v>161</v>
      </c>
      <c r="AX2366">
        <v>50</v>
      </c>
      <c r="AY2366" s="1">
        <v>32690</v>
      </c>
      <c r="AZ2366" s="1">
        <v>32690</v>
      </c>
      <c r="BA2366" s="1">
        <v>32690</v>
      </c>
      <c r="BB2366" s="1">
        <v>50952</v>
      </c>
      <c r="BC2366" t="s">
        <v>51</v>
      </c>
      <c r="BE2366" t="s">
        <v>54</v>
      </c>
      <c r="BF2366">
        <v>0</v>
      </c>
      <c r="BG2366">
        <v>0</v>
      </c>
      <c r="BH2366" t="s">
        <v>53</v>
      </c>
      <c r="BK2366" t="s">
        <v>720</v>
      </c>
      <c r="BL2366">
        <v>17000</v>
      </c>
      <c r="BM2366" s="1">
        <v>44103</v>
      </c>
      <c r="BN2366" s="1">
        <v>44103</v>
      </c>
      <c r="BO2366" s="1">
        <v>44103</v>
      </c>
      <c r="BP2366" s="1">
        <v>45539</v>
      </c>
      <c r="BQ2366" t="s">
        <v>51</v>
      </c>
      <c r="BS2366" t="s">
        <v>60</v>
      </c>
      <c r="BT2366" t="s">
        <v>54</v>
      </c>
      <c r="BU2366" t="s">
        <v>721</v>
      </c>
      <c r="BV2366" t="s">
        <v>722</v>
      </c>
      <c r="BX2366">
        <v>18</v>
      </c>
      <c r="BY2366">
        <v>0</v>
      </c>
      <c r="BZ2366">
        <v>0</v>
      </c>
      <c r="CX2366" t="s">
        <v>674</v>
      </c>
      <c r="CY2366">
        <v>0</v>
      </c>
      <c r="CZ2366" s="1">
        <v>32690</v>
      </c>
      <c r="DA2366" s="1">
        <v>32690</v>
      </c>
      <c r="DB2366" s="1">
        <v>32690</v>
      </c>
      <c r="DC2366" s="1">
        <v>32690</v>
      </c>
      <c r="DD2366" t="s">
        <v>51</v>
      </c>
      <c r="DF2366" t="s">
        <v>54</v>
      </c>
      <c r="DG2366">
        <v>0</v>
      </c>
      <c r="DH2366">
        <v>0</v>
      </c>
    </row>
    <row r="2367" spans="1:112" x14ac:dyDescent="0.2">
      <c r="A2367" t="s">
        <v>1012</v>
      </c>
      <c r="B2367" t="s">
        <v>1013</v>
      </c>
      <c r="C2367" t="s">
        <v>1052</v>
      </c>
      <c r="D2367" t="s">
        <v>1088</v>
      </c>
      <c r="F2367" t="str">
        <f>"251926"</f>
        <v>251926</v>
      </c>
      <c r="G2367" t="s">
        <v>49</v>
      </c>
      <c r="H2367">
        <v>27</v>
      </c>
      <c r="K2367" t="s">
        <v>51</v>
      </c>
      <c r="L2367" t="s">
        <v>52</v>
      </c>
      <c r="M2367">
        <v>131820.26</v>
      </c>
      <c r="N2367">
        <v>474691.72</v>
      </c>
      <c r="O2367" t="s">
        <v>53</v>
      </c>
      <c r="P2367" t="s">
        <v>54</v>
      </c>
      <c r="Q2367" t="s">
        <v>55</v>
      </c>
      <c r="T2367" t="s">
        <v>100</v>
      </c>
      <c r="U2367">
        <v>40</v>
      </c>
      <c r="V2367" s="1">
        <v>32509</v>
      </c>
      <c r="W2367" s="1">
        <v>32509</v>
      </c>
      <c r="X2367" s="1">
        <v>32509</v>
      </c>
      <c r="Y2367" s="1">
        <v>47119</v>
      </c>
      <c r="Z2367" t="s">
        <v>51</v>
      </c>
      <c r="AB2367" t="s">
        <v>54</v>
      </c>
      <c r="AC2367">
        <v>1</v>
      </c>
      <c r="AE2367" t="s">
        <v>819</v>
      </c>
      <c r="AF2367">
        <v>20</v>
      </c>
      <c r="AG2367" s="1">
        <v>32690</v>
      </c>
      <c r="AH2367" s="1">
        <v>32690</v>
      </c>
      <c r="AI2367" s="1">
        <v>32690</v>
      </c>
      <c r="AJ2367" s="1">
        <v>39995</v>
      </c>
      <c r="AK2367" t="s">
        <v>51</v>
      </c>
      <c r="AN2367">
        <v>0</v>
      </c>
      <c r="AO2367" t="s">
        <v>54</v>
      </c>
      <c r="AP2367" t="s">
        <v>53</v>
      </c>
      <c r="AQ2367">
        <v>0</v>
      </c>
      <c r="AR2367" t="s">
        <v>53</v>
      </c>
      <c r="AS2367">
        <v>0</v>
      </c>
      <c r="AT2367">
        <v>0</v>
      </c>
      <c r="AW2367" t="s">
        <v>161</v>
      </c>
      <c r="AX2367">
        <v>50</v>
      </c>
      <c r="AY2367" s="1">
        <v>32690</v>
      </c>
      <c r="AZ2367" s="1">
        <v>32690</v>
      </c>
      <c r="BA2367" s="1">
        <v>32690</v>
      </c>
      <c r="BB2367" s="1">
        <v>50952</v>
      </c>
      <c r="BC2367" t="s">
        <v>51</v>
      </c>
      <c r="BE2367" t="s">
        <v>54</v>
      </c>
      <c r="BF2367">
        <v>0</v>
      </c>
      <c r="BG2367">
        <v>0</v>
      </c>
      <c r="BH2367" t="s">
        <v>53</v>
      </c>
      <c r="BK2367" t="s">
        <v>720</v>
      </c>
      <c r="BL2367">
        <v>17000</v>
      </c>
      <c r="BM2367" s="1">
        <v>44103</v>
      </c>
      <c r="BN2367" s="1">
        <v>44103</v>
      </c>
      <c r="BO2367" s="1">
        <v>44103</v>
      </c>
      <c r="BP2367" s="1">
        <v>45539</v>
      </c>
      <c r="BQ2367" t="s">
        <v>51</v>
      </c>
      <c r="BS2367" t="s">
        <v>60</v>
      </c>
      <c r="BT2367" t="s">
        <v>54</v>
      </c>
      <c r="BU2367" t="s">
        <v>721</v>
      </c>
      <c r="BV2367" t="s">
        <v>722</v>
      </c>
      <c r="BX2367">
        <v>18</v>
      </c>
      <c r="BY2367">
        <v>0</v>
      </c>
      <c r="BZ2367">
        <v>0</v>
      </c>
      <c r="CX2367" t="s">
        <v>674</v>
      </c>
      <c r="CY2367">
        <v>0</v>
      </c>
      <c r="CZ2367" s="1">
        <v>32690</v>
      </c>
      <c r="DA2367" s="1">
        <v>32690</v>
      </c>
      <c r="DB2367" s="1">
        <v>32690</v>
      </c>
      <c r="DC2367" s="1">
        <v>32690</v>
      </c>
      <c r="DD2367" t="s">
        <v>51</v>
      </c>
      <c r="DF2367" t="s">
        <v>54</v>
      </c>
      <c r="DG2367">
        <v>0</v>
      </c>
      <c r="DH2367">
        <v>0</v>
      </c>
    </row>
    <row r="2368" spans="1:112" x14ac:dyDescent="0.2">
      <c r="A2368" t="s">
        <v>1012</v>
      </c>
      <c r="B2368" t="s">
        <v>1013</v>
      </c>
      <c r="C2368" t="s">
        <v>1052</v>
      </c>
      <c r="D2368" t="s">
        <v>1088</v>
      </c>
      <c r="F2368" t="str">
        <f>"251927"</f>
        <v>251927</v>
      </c>
      <c r="G2368" t="s">
        <v>49</v>
      </c>
      <c r="K2368" t="s">
        <v>51</v>
      </c>
      <c r="L2368" t="s">
        <v>52</v>
      </c>
      <c r="M2368">
        <v>131828.13</v>
      </c>
      <c r="N2368">
        <v>474720.92</v>
      </c>
      <c r="O2368" t="s">
        <v>53</v>
      </c>
      <c r="P2368" t="s">
        <v>54</v>
      </c>
      <c r="Q2368" t="s">
        <v>55</v>
      </c>
      <c r="T2368" t="s">
        <v>100</v>
      </c>
      <c r="U2368">
        <v>40</v>
      </c>
      <c r="V2368" s="1">
        <v>32143</v>
      </c>
      <c r="W2368" s="1">
        <v>32143</v>
      </c>
      <c r="X2368" s="1">
        <v>32143</v>
      </c>
      <c r="Y2368" s="1">
        <v>46753</v>
      </c>
      <c r="Z2368" t="s">
        <v>51</v>
      </c>
      <c r="AB2368" t="s">
        <v>54</v>
      </c>
      <c r="AC2368">
        <v>1</v>
      </c>
      <c r="AE2368" t="s">
        <v>819</v>
      </c>
      <c r="AF2368">
        <v>20</v>
      </c>
      <c r="AG2368" s="1">
        <v>32143</v>
      </c>
      <c r="AH2368" s="1">
        <v>32143</v>
      </c>
      <c r="AI2368" s="1">
        <v>32143</v>
      </c>
      <c r="AJ2368" s="1">
        <v>39448</v>
      </c>
      <c r="AK2368" t="s">
        <v>51</v>
      </c>
      <c r="AN2368">
        <v>0</v>
      </c>
      <c r="AO2368" t="s">
        <v>54</v>
      </c>
      <c r="AP2368" t="s">
        <v>53</v>
      </c>
      <c r="AQ2368">
        <v>0</v>
      </c>
      <c r="AR2368" t="s">
        <v>53</v>
      </c>
      <c r="AS2368">
        <v>0</v>
      </c>
      <c r="AT2368">
        <v>0</v>
      </c>
      <c r="AW2368" t="s">
        <v>161</v>
      </c>
      <c r="AX2368">
        <v>50</v>
      </c>
      <c r="AY2368" s="1">
        <v>32143</v>
      </c>
      <c r="AZ2368" s="1">
        <v>32143</v>
      </c>
      <c r="BA2368" s="1">
        <v>32143</v>
      </c>
      <c r="BB2368" s="1">
        <v>50406</v>
      </c>
      <c r="BC2368" t="s">
        <v>51</v>
      </c>
      <c r="BE2368" t="s">
        <v>54</v>
      </c>
      <c r="BF2368">
        <v>0</v>
      </c>
      <c r="BG2368">
        <v>0</v>
      </c>
      <c r="BH2368" t="s">
        <v>53</v>
      </c>
      <c r="BK2368" t="s">
        <v>720</v>
      </c>
      <c r="BL2368">
        <v>17000</v>
      </c>
      <c r="BM2368" s="1">
        <v>44284</v>
      </c>
      <c r="BN2368" s="1">
        <v>44284</v>
      </c>
      <c r="BO2368" s="1">
        <v>44284</v>
      </c>
      <c r="BP2368" s="1">
        <v>45720</v>
      </c>
      <c r="BQ2368" t="s">
        <v>51</v>
      </c>
      <c r="BS2368" t="s">
        <v>60</v>
      </c>
      <c r="BT2368" t="s">
        <v>54</v>
      </c>
      <c r="BU2368" t="s">
        <v>721</v>
      </c>
      <c r="BV2368" t="s">
        <v>722</v>
      </c>
      <c r="BX2368">
        <v>18</v>
      </c>
      <c r="BY2368">
        <v>0</v>
      </c>
      <c r="BZ2368">
        <v>0</v>
      </c>
      <c r="CX2368" t="s">
        <v>674</v>
      </c>
      <c r="CY2368">
        <v>0</v>
      </c>
      <c r="CZ2368" s="1">
        <v>32690</v>
      </c>
      <c r="DA2368" s="1">
        <v>32690</v>
      </c>
      <c r="DB2368" s="1">
        <v>32690</v>
      </c>
      <c r="DC2368" s="1">
        <v>32690</v>
      </c>
      <c r="DD2368" t="s">
        <v>51</v>
      </c>
      <c r="DF2368" t="s">
        <v>54</v>
      </c>
      <c r="DG2368">
        <v>0</v>
      </c>
      <c r="DH2368">
        <v>0</v>
      </c>
    </row>
    <row r="2369" spans="1:112" x14ac:dyDescent="0.2">
      <c r="A2369" t="s">
        <v>1012</v>
      </c>
      <c r="B2369" t="s">
        <v>1013</v>
      </c>
      <c r="C2369" t="s">
        <v>1052</v>
      </c>
      <c r="D2369" t="s">
        <v>1088</v>
      </c>
      <c r="F2369" t="str">
        <f>"251928"</f>
        <v>251928</v>
      </c>
      <c r="G2369" t="s">
        <v>49</v>
      </c>
      <c r="H2369">
        <v>28</v>
      </c>
      <c r="K2369" t="s">
        <v>51</v>
      </c>
      <c r="L2369" t="s">
        <v>52</v>
      </c>
      <c r="M2369">
        <v>131798.01</v>
      </c>
      <c r="N2369">
        <v>474721.08</v>
      </c>
      <c r="O2369" t="s">
        <v>53</v>
      </c>
      <c r="P2369" t="s">
        <v>54</v>
      </c>
      <c r="Q2369" t="s">
        <v>55</v>
      </c>
      <c r="T2369" t="s">
        <v>100</v>
      </c>
      <c r="U2369">
        <v>40</v>
      </c>
      <c r="V2369" s="1">
        <v>32143</v>
      </c>
      <c r="W2369" s="1">
        <v>32143</v>
      </c>
      <c r="X2369" s="1">
        <v>32143</v>
      </c>
      <c r="Y2369" s="1">
        <v>46753</v>
      </c>
      <c r="Z2369" t="s">
        <v>51</v>
      </c>
      <c r="AB2369" t="s">
        <v>54</v>
      </c>
      <c r="AC2369">
        <v>1</v>
      </c>
      <c r="AE2369" t="s">
        <v>819</v>
      </c>
      <c r="AF2369">
        <v>20</v>
      </c>
      <c r="AG2369" s="1">
        <v>32143</v>
      </c>
      <c r="AH2369" s="1">
        <v>32143</v>
      </c>
      <c r="AI2369" s="1">
        <v>32143</v>
      </c>
      <c r="AJ2369" s="1">
        <v>39448</v>
      </c>
      <c r="AK2369" t="s">
        <v>51</v>
      </c>
      <c r="AN2369">
        <v>0</v>
      </c>
      <c r="AO2369" t="s">
        <v>54</v>
      </c>
      <c r="AP2369" t="s">
        <v>53</v>
      </c>
      <c r="AQ2369">
        <v>0</v>
      </c>
      <c r="AR2369" t="s">
        <v>53</v>
      </c>
      <c r="AS2369">
        <v>0</v>
      </c>
      <c r="AT2369">
        <v>0</v>
      </c>
      <c r="AW2369" t="s">
        <v>161</v>
      </c>
      <c r="AX2369">
        <v>50</v>
      </c>
      <c r="AY2369" s="1">
        <v>32143</v>
      </c>
      <c r="AZ2369" s="1">
        <v>32143</v>
      </c>
      <c r="BA2369" s="1">
        <v>32143</v>
      </c>
      <c r="BB2369" s="1">
        <v>50406</v>
      </c>
      <c r="BC2369" t="s">
        <v>51</v>
      </c>
      <c r="BE2369" t="s">
        <v>54</v>
      </c>
      <c r="BF2369">
        <v>0</v>
      </c>
      <c r="BG2369">
        <v>0</v>
      </c>
      <c r="BH2369" t="s">
        <v>53</v>
      </c>
      <c r="BK2369" t="s">
        <v>720</v>
      </c>
      <c r="BL2369">
        <v>17000</v>
      </c>
      <c r="BM2369" s="1">
        <v>44103</v>
      </c>
      <c r="BN2369" s="1">
        <v>44103</v>
      </c>
      <c r="BO2369" s="1">
        <v>44103</v>
      </c>
      <c r="BP2369" s="1">
        <v>45539</v>
      </c>
      <c r="BQ2369" t="s">
        <v>51</v>
      </c>
      <c r="BS2369" t="s">
        <v>60</v>
      </c>
      <c r="BT2369" t="s">
        <v>54</v>
      </c>
      <c r="BU2369" t="s">
        <v>721</v>
      </c>
      <c r="BV2369" t="s">
        <v>722</v>
      </c>
      <c r="BX2369">
        <v>18</v>
      </c>
      <c r="BY2369">
        <v>0</v>
      </c>
      <c r="BZ2369">
        <v>0</v>
      </c>
      <c r="CX2369" t="s">
        <v>674</v>
      </c>
      <c r="CY2369">
        <v>0</v>
      </c>
      <c r="CZ2369" s="1">
        <v>32690</v>
      </c>
      <c r="DA2369" s="1">
        <v>32690</v>
      </c>
      <c r="DB2369" s="1">
        <v>32690</v>
      </c>
      <c r="DC2369" s="1">
        <v>32690</v>
      </c>
      <c r="DD2369" t="s">
        <v>51</v>
      </c>
      <c r="DF2369" t="s">
        <v>54</v>
      </c>
      <c r="DG2369">
        <v>0</v>
      </c>
      <c r="DH2369">
        <v>0</v>
      </c>
    </row>
    <row r="2370" spans="1:112" x14ac:dyDescent="0.2">
      <c r="A2370" t="s">
        <v>1012</v>
      </c>
      <c r="B2370" t="s">
        <v>1013</v>
      </c>
      <c r="C2370" t="s">
        <v>1052</v>
      </c>
      <c r="D2370" t="s">
        <v>1088</v>
      </c>
      <c r="F2370" t="str">
        <f>"251929"</f>
        <v>251929</v>
      </c>
      <c r="G2370" t="s">
        <v>49</v>
      </c>
      <c r="H2370">
        <v>30</v>
      </c>
      <c r="K2370" t="s">
        <v>51</v>
      </c>
      <c r="L2370" t="s">
        <v>52</v>
      </c>
      <c r="M2370">
        <v>131773.73000000001</v>
      </c>
      <c r="N2370">
        <v>474720.1</v>
      </c>
      <c r="O2370" t="s">
        <v>53</v>
      </c>
      <c r="P2370" t="s">
        <v>54</v>
      </c>
      <c r="Q2370" t="s">
        <v>55</v>
      </c>
      <c r="T2370" t="s">
        <v>100</v>
      </c>
      <c r="U2370">
        <v>40</v>
      </c>
      <c r="V2370" s="1">
        <v>32143</v>
      </c>
      <c r="W2370" s="1">
        <v>32143</v>
      </c>
      <c r="X2370" s="1">
        <v>32143</v>
      </c>
      <c r="Y2370" s="1">
        <v>46753</v>
      </c>
      <c r="Z2370" t="s">
        <v>51</v>
      </c>
      <c r="AB2370" t="s">
        <v>54</v>
      </c>
      <c r="AC2370">
        <v>1</v>
      </c>
      <c r="AE2370" t="s">
        <v>819</v>
      </c>
      <c r="AF2370">
        <v>20</v>
      </c>
      <c r="AG2370" s="1">
        <v>32143</v>
      </c>
      <c r="AH2370" s="1">
        <v>32143</v>
      </c>
      <c r="AI2370" s="1">
        <v>32143</v>
      </c>
      <c r="AJ2370" s="1">
        <v>39448</v>
      </c>
      <c r="AK2370" t="s">
        <v>51</v>
      </c>
      <c r="AN2370">
        <v>0</v>
      </c>
      <c r="AO2370" t="s">
        <v>54</v>
      </c>
      <c r="AP2370" t="s">
        <v>53</v>
      </c>
      <c r="AQ2370">
        <v>0</v>
      </c>
      <c r="AR2370" t="s">
        <v>53</v>
      </c>
      <c r="AS2370">
        <v>0</v>
      </c>
      <c r="AT2370">
        <v>0</v>
      </c>
      <c r="AW2370" t="s">
        <v>161</v>
      </c>
      <c r="AX2370">
        <v>50</v>
      </c>
      <c r="AY2370" s="1">
        <v>32143</v>
      </c>
      <c r="AZ2370" s="1">
        <v>32143</v>
      </c>
      <c r="BA2370" s="1">
        <v>32143</v>
      </c>
      <c r="BB2370" s="1">
        <v>50406</v>
      </c>
      <c r="BC2370" t="s">
        <v>51</v>
      </c>
      <c r="BE2370" t="s">
        <v>54</v>
      </c>
      <c r="BF2370">
        <v>0</v>
      </c>
      <c r="BG2370">
        <v>0</v>
      </c>
      <c r="BH2370" t="s">
        <v>53</v>
      </c>
      <c r="BK2370" t="s">
        <v>720</v>
      </c>
      <c r="BL2370">
        <v>17000</v>
      </c>
      <c r="BM2370" s="1">
        <v>44103</v>
      </c>
      <c r="BN2370" s="1">
        <v>44103</v>
      </c>
      <c r="BO2370" s="1">
        <v>44103</v>
      </c>
      <c r="BP2370" s="1">
        <v>45539</v>
      </c>
      <c r="BQ2370" t="s">
        <v>51</v>
      </c>
      <c r="BS2370" t="s">
        <v>60</v>
      </c>
      <c r="BT2370" t="s">
        <v>54</v>
      </c>
      <c r="BU2370" t="s">
        <v>721</v>
      </c>
      <c r="BV2370" t="s">
        <v>722</v>
      </c>
      <c r="BX2370">
        <v>18</v>
      </c>
      <c r="BY2370">
        <v>0</v>
      </c>
      <c r="BZ2370">
        <v>0</v>
      </c>
      <c r="CX2370" t="s">
        <v>674</v>
      </c>
      <c r="CY2370">
        <v>0</v>
      </c>
      <c r="CZ2370" s="1">
        <v>32690</v>
      </c>
      <c r="DA2370" s="1">
        <v>32690</v>
      </c>
      <c r="DB2370" s="1">
        <v>32690</v>
      </c>
      <c r="DC2370" s="1">
        <v>32690</v>
      </c>
      <c r="DD2370" t="s">
        <v>51</v>
      </c>
      <c r="DF2370" t="s">
        <v>54</v>
      </c>
      <c r="DG2370">
        <v>0</v>
      </c>
      <c r="DH2370">
        <v>0</v>
      </c>
    </row>
    <row r="2371" spans="1:112" x14ac:dyDescent="0.2">
      <c r="A2371" t="s">
        <v>1012</v>
      </c>
      <c r="B2371" t="s">
        <v>1013</v>
      </c>
      <c r="C2371" t="s">
        <v>1052</v>
      </c>
      <c r="D2371" t="s">
        <v>1088</v>
      </c>
      <c r="F2371" t="str">
        <f>"251931"</f>
        <v>251931</v>
      </c>
      <c r="G2371" t="s">
        <v>49</v>
      </c>
      <c r="H2371" t="s">
        <v>1089</v>
      </c>
      <c r="K2371" t="s">
        <v>51</v>
      </c>
      <c r="L2371" t="s">
        <v>52</v>
      </c>
      <c r="M2371">
        <v>131788.53</v>
      </c>
      <c r="N2371">
        <v>474638.19</v>
      </c>
      <c r="O2371" t="s">
        <v>53</v>
      </c>
      <c r="P2371" t="s">
        <v>54</v>
      </c>
      <c r="Q2371" t="s">
        <v>55</v>
      </c>
      <c r="T2371" t="s">
        <v>100</v>
      </c>
      <c r="U2371">
        <v>40</v>
      </c>
      <c r="V2371" s="1">
        <v>32143</v>
      </c>
      <c r="W2371" s="1">
        <v>32143</v>
      </c>
      <c r="X2371" s="1">
        <v>32143</v>
      </c>
      <c r="Y2371" s="1">
        <v>46753</v>
      </c>
      <c r="Z2371" t="s">
        <v>51</v>
      </c>
      <c r="AB2371" t="s">
        <v>54</v>
      </c>
      <c r="AC2371">
        <v>1</v>
      </c>
      <c r="AE2371" t="s">
        <v>819</v>
      </c>
      <c r="AF2371">
        <v>20</v>
      </c>
      <c r="AG2371" s="1">
        <v>32143</v>
      </c>
      <c r="AH2371" s="1">
        <v>32143</v>
      </c>
      <c r="AI2371" s="1">
        <v>32143</v>
      </c>
      <c r="AJ2371" s="1">
        <v>39448</v>
      </c>
      <c r="AK2371" t="s">
        <v>51</v>
      </c>
      <c r="AN2371">
        <v>0</v>
      </c>
      <c r="AO2371" t="s">
        <v>54</v>
      </c>
      <c r="AP2371" t="s">
        <v>53</v>
      </c>
      <c r="AQ2371">
        <v>0</v>
      </c>
      <c r="AR2371" t="s">
        <v>53</v>
      </c>
      <c r="AS2371">
        <v>0</v>
      </c>
      <c r="AT2371">
        <v>0</v>
      </c>
      <c r="AW2371" t="s">
        <v>161</v>
      </c>
      <c r="AX2371">
        <v>50</v>
      </c>
      <c r="AY2371" s="1">
        <v>32143</v>
      </c>
      <c r="AZ2371" s="1">
        <v>32143</v>
      </c>
      <c r="BA2371" s="1">
        <v>32143</v>
      </c>
      <c r="BB2371" s="1">
        <v>50406</v>
      </c>
      <c r="BC2371" t="s">
        <v>51</v>
      </c>
      <c r="BE2371" t="s">
        <v>54</v>
      </c>
      <c r="BF2371">
        <v>0</v>
      </c>
      <c r="BG2371">
        <v>0</v>
      </c>
      <c r="BH2371" t="s">
        <v>53</v>
      </c>
      <c r="BK2371" t="s">
        <v>720</v>
      </c>
      <c r="BL2371">
        <v>17000</v>
      </c>
      <c r="BM2371" s="1">
        <v>44103</v>
      </c>
      <c r="BN2371" s="1">
        <v>44103</v>
      </c>
      <c r="BO2371" s="1">
        <v>44103</v>
      </c>
      <c r="BP2371" s="1">
        <v>45539</v>
      </c>
      <c r="BQ2371" t="s">
        <v>51</v>
      </c>
      <c r="BS2371" t="s">
        <v>60</v>
      </c>
      <c r="BT2371" t="s">
        <v>54</v>
      </c>
      <c r="BU2371" t="s">
        <v>721</v>
      </c>
      <c r="BV2371" t="s">
        <v>722</v>
      </c>
      <c r="BX2371">
        <v>18</v>
      </c>
      <c r="BY2371">
        <v>0</v>
      </c>
      <c r="BZ2371">
        <v>0</v>
      </c>
      <c r="CX2371" t="s">
        <v>674</v>
      </c>
      <c r="CY2371">
        <v>0</v>
      </c>
      <c r="CZ2371" s="1">
        <v>32690</v>
      </c>
      <c r="DA2371" s="1">
        <v>32690</v>
      </c>
      <c r="DB2371" s="1">
        <v>32690</v>
      </c>
      <c r="DC2371" s="1">
        <v>32690</v>
      </c>
      <c r="DD2371" t="s">
        <v>51</v>
      </c>
      <c r="DF2371" t="s">
        <v>54</v>
      </c>
      <c r="DG2371">
        <v>0</v>
      </c>
      <c r="DH2371">
        <v>0</v>
      </c>
    </row>
    <row r="2372" spans="1:112" x14ac:dyDescent="0.2">
      <c r="A2372" t="s">
        <v>1012</v>
      </c>
      <c r="B2372" t="s">
        <v>1013</v>
      </c>
      <c r="C2372" t="s">
        <v>1052</v>
      </c>
      <c r="D2372" t="s">
        <v>1088</v>
      </c>
      <c r="F2372" t="str">
        <f>"251932"</f>
        <v>251932</v>
      </c>
      <c r="G2372" t="s">
        <v>49</v>
      </c>
      <c r="H2372" t="s">
        <v>591</v>
      </c>
      <c r="K2372" t="s">
        <v>51</v>
      </c>
      <c r="L2372" t="s">
        <v>52</v>
      </c>
      <c r="M2372">
        <v>131793.14000000001</v>
      </c>
      <c r="N2372">
        <v>474679.19</v>
      </c>
      <c r="O2372" t="s">
        <v>53</v>
      </c>
      <c r="P2372" t="s">
        <v>54</v>
      </c>
      <c r="Q2372" t="s">
        <v>55</v>
      </c>
      <c r="T2372" t="s">
        <v>100</v>
      </c>
      <c r="U2372">
        <v>40</v>
      </c>
      <c r="V2372" s="1">
        <v>32143</v>
      </c>
      <c r="W2372" s="1">
        <v>32143</v>
      </c>
      <c r="X2372" s="1">
        <v>32143</v>
      </c>
      <c r="Y2372" s="1">
        <v>46753</v>
      </c>
      <c r="Z2372" t="s">
        <v>51</v>
      </c>
      <c r="AB2372" t="s">
        <v>54</v>
      </c>
      <c r="AC2372">
        <v>1</v>
      </c>
      <c r="AE2372" t="s">
        <v>819</v>
      </c>
      <c r="AF2372">
        <v>20</v>
      </c>
      <c r="AG2372" s="1">
        <v>32143</v>
      </c>
      <c r="AH2372" s="1">
        <v>32143</v>
      </c>
      <c r="AI2372" s="1">
        <v>32143</v>
      </c>
      <c r="AJ2372" s="1">
        <v>39448</v>
      </c>
      <c r="AK2372" t="s">
        <v>51</v>
      </c>
      <c r="AN2372">
        <v>0</v>
      </c>
      <c r="AO2372" t="s">
        <v>54</v>
      </c>
      <c r="AP2372" t="s">
        <v>53</v>
      </c>
      <c r="AQ2372">
        <v>0</v>
      </c>
      <c r="AR2372" t="s">
        <v>53</v>
      </c>
      <c r="AS2372">
        <v>0</v>
      </c>
      <c r="AT2372">
        <v>0</v>
      </c>
      <c r="AW2372" t="s">
        <v>161</v>
      </c>
      <c r="AX2372">
        <v>50</v>
      </c>
      <c r="AY2372" s="1">
        <v>32143</v>
      </c>
      <c r="AZ2372" s="1">
        <v>32143</v>
      </c>
      <c r="BA2372" s="1">
        <v>32143</v>
      </c>
      <c r="BB2372" s="1">
        <v>50406</v>
      </c>
      <c r="BC2372" t="s">
        <v>51</v>
      </c>
      <c r="BE2372" t="s">
        <v>54</v>
      </c>
      <c r="BF2372">
        <v>0</v>
      </c>
      <c r="BG2372">
        <v>0</v>
      </c>
      <c r="BH2372" t="s">
        <v>53</v>
      </c>
      <c r="BK2372" t="s">
        <v>720</v>
      </c>
      <c r="BL2372">
        <v>17000</v>
      </c>
      <c r="BM2372" s="1">
        <v>44103</v>
      </c>
      <c r="BN2372" s="1">
        <v>44103</v>
      </c>
      <c r="BO2372" s="1">
        <v>44103</v>
      </c>
      <c r="BP2372" s="1">
        <v>45539</v>
      </c>
      <c r="BQ2372" t="s">
        <v>51</v>
      </c>
      <c r="BS2372" t="s">
        <v>60</v>
      </c>
      <c r="BT2372" t="s">
        <v>54</v>
      </c>
      <c r="BU2372" t="s">
        <v>721</v>
      </c>
      <c r="BV2372" t="s">
        <v>722</v>
      </c>
      <c r="BX2372">
        <v>18</v>
      </c>
      <c r="BY2372">
        <v>0</v>
      </c>
      <c r="BZ2372">
        <v>0</v>
      </c>
      <c r="CX2372" t="s">
        <v>674</v>
      </c>
      <c r="CY2372">
        <v>0</v>
      </c>
      <c r="CZ2372" s="1">
        <v>32690</v>
      </c>
      <c r="DA2372" s="1">
        <v>32690</v>
      </c>
      <c r="DB2372" s="1">
        <v>32690</v>
      </c>
      <c r="DC2372" s="1">
        <v>32690</v>
      </c>
      <c r="DD2372" t="s">
        <v>51</v>
      </c>
      <c r="DF2372" t="s">
        <v>54</v>
      </c>
      <c r="DG2372">
        <v>0</v>
      </c>
      <c r="DH2372">
        <v>0</v>
      </c>
    </row>
    <row r="2373" spans="1:112" x14ac:dyDescent="0.2">
      <c r="A2373" t="s">
        <v>1012</v>
      </c>
      <c r="B2373" t="s">
        <v>1013</v>
      </c>
      <c r="C2373" t="s">
        <v>1052</v>
      </c>
      <c r="D2373" t="s">
        <v>1090</v>
      </c>
      <c r="F2373" t="str">
        <f>"251933"</f>
        <v>251933</v>
      </c>
      <c r="G2373" t="s">
        <v>49</v>
      </c>
      <c r="H2373">
        <v>1</v>
      </c>
      <c r="K2373" t="s">
        <v>51</v>
      </c>
      <c r="L2373" t="s">
        <v>52</v>
      </c>
      <c r="M2373">
        <v>131667.04999999999</v>
      </c>
      <c r="N2373">
        <v>474438.25</v>
      </c>
      <c r="O2373" t="s">
        <v>53</v>
      </c>
      <c r="P2373" t="s">
        <v>54</v>
      </c>
      <c r="Q2373" t="s">
        <v>55</v>
      </c>
      <c r="T2373" t="s">
        <v>100</v>
      </c>
      <c r="U2373">
        <v>40</v>
      </c>
      <c r="V2373" s="1">
        <v>31778</v>
      </c>
      <c r="W2373" s="1">
        <v>31778</v>
      </c>
      <c r="X2373" s="1">
        <v>31778</v>
      </c>
      <c r="Y2373" s="1">
        <v>46388</v>
      </c>
      <c r="Z2373" t="s">
        <v>51</v>
      </c>
      <c r="AB2373" t="s">
        <v>54</v>
      </c>
      <c r="AC2373">
        <v>1</v>
      </c>
      <c r="AE2373" t="s">
        <v>1081</v>
      </c>
      <c r="AF2373">
        <v>20</v>
      </c>
      <c r="AG2373" s="1">
        <v>31959</v>
      </c>
      <c r="AH2373" s="1">
        <v>31959</v>
      </c>
      <c r="AI2373" s="1">
        <v>31959</v>
      </c>
      <c r="AJ2373" s="1">
        <v>39264</v>
      </c>
      <c r="AK2373" t="s">
        <v>51</v>
      </c>
      <c r="AN2373">
        <v>0</v>
      </c>
      <c r="AO2373" t="s">
        <v>54</v>
      </c>
      <c r="AP2373" t="s">
        <v>53</v>
      </c>
      <c r="AQ2373">
        <v>0</v>
      </c>
      <c r="AR2373" t="s">
        <v>53</v>
      </c>
      <c r="AS2373">
        <v>0</v>
      </c>
      <c r="AT2373">
        <v>0</v>
      </c>
      <c r="AW2373" t="s">
        <v>58</v>
      </c>
      <c r="AX2373">
        <v>20</v>
      </c>
      <c r="AY2373" s="1">
        <v>31959</v>
      </c>
      <c r="AZ2373" s="1">
        <v>31959</v>
      </c>
      <c r="BA2373" s="1">
        <v>31959</v>
      </c>
      <c r="BB2373" s="1">
        <v>39264</v>
      </c>
      <c r="BC2373" t="s">
        <v>51</v>
      </c>
      <c r="BE2373" t="s">
        <v>54</v>
      </c>
      <c r="BF2373">
        <v>2</v>
      </c>
      <c r="BG2373">
        <v>0</v>
      </c>
      <c r="BH2373" t="s">
        <v>53</v>
      </c>
      <c r="BK2373" t="s">
        <v>59</v>
      </c>
      <c r="BL2373">
        <v>14000</v>
      </c>
      <c r="BM2373" s="1">
        <v>44103</v>
      </c>
      <c r="BN2373" s="1">
        <v>44103</v>
      </c>
      <c r="BO2373" s="1">
        <v>44103</v>
      </c>
      <c r="BP2373" s="1">
        <v>45268</v>
      </c>
      <c r="BQ2373" t="s">
        <v>51</v>
      </c>
      <c r="BS2373" t="s">
        <v>60</v>
      </c>
      <c r="BT2373" t="s">
        <v>54</v>
      </c>
      <c r="BU2373" t="s">
        <v>61</v>
      </c>
      <c r="BV2373" t="s">
        <v>62</v>
      </c>
      <c r="BX2373">
        <v>24</v>
      </c>
      <c r="BY2373">
        <v>0</v>
      </c>
      <c r="BZ2373">
        <v>0</v>
      </c>
      <c r="CX2373" t="s">
        <v>674</v>
      </c>
      <c r="CY2373">
        <v>0</v>
      </c>
      <c r="CZ2373" s="1">
        <v>44320</v>
      </c>
      <c r="DA2373" s="1">
        <v>44320</v>
      </c>
      <c r="DB2373" s="1">
        <v>44320</v>
      </c>
      <c r="DC2373" s="1">
        <v>44320</v>
      </c>
      <c r="DD2373" t="s">
        <v>51</v>
      </c>
      <c r="DF2373" t="s">
        <v>54</v>
      </c>
      <c r="DG2373">
        <v>0</v>
      </c>
      <c r="DH2373">
        <v>0</v>
      </c>
    </row>
    <row r="2374" spans="1:112" x14ac:dyDescent="0.2">
      <c r="A2374" t="s">
        <v>1012</v>
      </c>
      <c r="B2374" t="s">
        <v>1013</v>
      </c>
      <c r="C2374" t="s">
        <v>1052</v>
      </c>
      <c r="D2374" t="s">
        <v>1090</v>
      </c>
      <c r="F2374" t="str">
        <f>"251934"</f>
        <v>251934</v>
      </c>
      <c r="G2374" t="s">
        <v>49</v>
      </c>
      <c r="H2374">
        <v>7</v>
      </c>
      <c r="K2374" t="s">
        <v>51</v>
      </c>
      <c r="L2374" t="s">
        <v>52</v>
      </c>
      <c r="M2374">
        <v>131637.5</v>
      </c>
      <c r="N2374">
        <v>474421.13</v>
      </c>
      <c r="O2374" t="s">
        <v>53</v>
      </c>
      <c r="P2374" t="s">
        <v>54</v>
      </c>
      <c r="Q2374" t="s">
        <v>55</v>
      </c>
      <c r="T2374" t="s">
        <v>100</v>
      </c>
      <c r="U2374">
        <v>40</v>
      </c>
      <c r="V2374" s="1">
        <v>31778</v>
      </c>
      <c r="W2374" s="1">
        <v>31778</v>
      </c>
      <c r="X2374" s="1">
        <v>31778</v>
      </c>
      <c r="Y2374" s="1">
        <v>46388</v>
      </c>
      <c r="Z2374" t="s">
        <v>51</v>
      </c>
      <c r="AB2374" t="s">
        <v>54</v>
      </c>
      <c r="AC2374">
        <v>1</v>
      </c>
      <c r="AE2374" t="s">
        <v>1081</v>
      </c>
      <c r="AF2374">
        <v>20</v>
      </c>
      <c r="AG2374" s="1">
        <v>31959</v>
      </c>
      <c r="AH2374" s="1">
        <v>31959</v>
      </c>
      <c r="AI2374" s="1">
        <v>31959</v>
      </c>
      <c r="AJ2374" s="1">
        <v>39264</v>
      </c>
      <c r="AK2374" t="s">
        <v>51</v>
      </c>
      <c r="AN2374">
        <v>0</v>
      </c>
      <c r="AO2374" t="s">
        <v>54</v>
      </c>
      <c r="AP2374" t="s">
        <v>53</v>
      </c>
      <c r="AQ2374">
        <v>0</v>
      </c>
      <c r="AR2374" t="s">
        <v>53</v>
      </c>
      <c r="AS2374">
        <v>0</v>
      </c>
      <c r="AT2374">
        <v>0</v>
      </c>
      <c r="AW2374" t="s">
        <v>58</v>
      </c>
      <c r="AX2374">
        <v>20</v>
      </c>
      <c r="AY2374" s="1">
        <v>31959</v>
      </c>
      <c r="AZ2374" s="1">
        <v>31959</v>
      </c>
      <c r="BA2374" s="1">
        <v>31959</v>
      </c>
      <c r="BB2374" s="1">
        <v>39264</v>
      </c>
      <c r="BC2374" t="s">
        <v>51</v>
      </c>
      <c r="BE2374" t="s">
        <v>54</v>
      </c>
      <c r="BF2374">
        <v>2</v>
      </c>
      <c r="BG2374">
        <v>0</v>
      </c>
      <c r="BH2374" t="s">
        <v>53</v>
      </c>
      <c r="BK2374" t="s">
        <v>59</v>
      </c>
      <c r="BL2374">
        <v>14000</v>
      </c>
      <c r="BM2374" s="1">
        <v>44103</v>
      </c>
      <c r="BN2374" s="1">
        <v>44103</v>
      </c>
      <c r="BO2374" s="1">
        <v>44103</v>
      </c>
      <c r="BP2374" s="1">
        <v>45268</v>
      </c>
      <c r="BQ2374" t="s">
        <v>51</v>
      </c>
      <c r="BS2374" t="s">
        <v>60</v>
      </c>
      <c r="BT2374" t="s">
        <v>54</v>
      </c>
      <c r="BU2374" t="s">
        <v>61</v>
      </c>
      <c r="BV2374" t="s">
        <v>62</v>
      </c>
      <c r="BX2374">
        <v>24</v>
      </c>
      <c r="BY2374">
        <v>0</v>
      </c>
      <c r="BZ2374">
        <v>0</v>
      </c>
      <c r="CX2374" t="s">
        <v>674</v>
      </c>
      <c r="CY2374">
        <v>0</v>
      </c>
      <c r="CZ2374" s="1">
        <v>44320</v>
      </c>
      <c r="DA2374" s="1">
        <v>44320</v>
      </c>
      <c r="DB2374" s="1">
        <v>44320</v>
      </c>
      <c r="DC2374" s="1">
        <v>44320</v>
      </c>
      <c r="DD2374" t="s">
        <v>51</v>
      </c>
      <c r="DF2374" t="s">
        <v>54</v>
      </c>
      <c r="DG2374">
        <v>0</v>
      </c>
      <c r="DH2374">
        <v>0</v>
      </c>
    </row>
    <row r="2375" spans="1:112" x14ac:dyDescent="0.2">
      <c r="A2375" t="s">
        <v>1012</v>
      </c>
      <c r="B2375" t="s">
        <v>1013</v>
      </c>
      <c r="C2375" t="s">
        <v>1052</v>
      </c>
      <c r="D2375" t="s">
        <v>1090</v>
      </c>
      <c r="F2375" t="str">
        <f>"251935"</f>
        <v>251935</v>
      </c>
      <c r="G2375" t="s">
        <v>49</v>
      </c>
      <c r="H2375">
        <v>1</v>
      </c>
      <c r="K2375" t="s">
        <v>51</v>
      </c>
      <c r="L2375" t="s">
        <v>52</v>
      </c>
      <c r="M2375">
        <v>131630.62</v>
      </c>
      <c r="N2375">
        <v>474451.19</v>
      </c>
      <c r="O2375" t="s">
        <v>53</v>
      </c>
      <c r="P2375" t="s">
        <v>54</v>
      </c>
      <c r="Q2375" t="s">
        <v>55</v>
      </c>
      <c r="T2375" t="s">
        <v>100</v>
      </c>
      <c r="U2375">
        <v>40</v>
      </c>
      <c r="V2375" s="1">
        <v>31778</v>
      </c>
      <c r="W2375" s="1">
        <v>31778</v>
      </c>
      <c r="X2375" s="1">
        <v>31778</v>
      </c>
      <c r="Y2375" s="1">
        <v>46388</v>
      </c>
      <c r="Z2375" t="s">
        <v>51</v>
      </c>
      <c r="AB2375" t="s">
        <v>54</v>
      </c>
      <c r="AC2375">
        <v>1</v>
      </c>
      <c r="AE2375" t="s">
        <v>1081</v>
      </c>
      <c r="AF2375">
        <v>20</v>
      </c>
      <c r="AG2375" s="1">
        <v>31959</v>
      </c>
      <c r="AH2375" s="1">
        <v>31959</v>
      </c>
      <c r="AI2375" s="1">
        <v>31959</v>
      </c>
      <c r="AJ2375" s="1">
        <v>39264</v>
      </c>
      <c r="AK2375" t="s">
        <v>51</v>
      </c>
      <c r="AN2375">
        <v>0</v>
      </c>
      <c r="AO2375" t="s">
        <v>54</v>
      </c>
      <c r="AP2375" t="s">
        <v>53</v>
      </c>
      <c r="AQ2375">
        <v>0</v>
      </c>
      <c r="AR2375" t="s">
        <v>53</v>
      </c>
      <c r="AS2375">
        <v>0</v>
      </c>
      <c r="AT2375">
        <v>0</v>
      </c>
      <c r="AW2375" t="s">
        <v>58</v>
      </c>
      <c r="AX2375">
        <v>20</v>
      </c>
      <c r="AY2375" s="1">
        <v>31959</v>
      </c>
      <c r="AZ2375" s="1">
        <v>31959</v>
      </c>
      <c r="BA2375" s="1">
        <v>31959</v>
      </c>
      <c r="BB2375" s="1">
        <v>39264</v>
      </c>
      <c r="BC2375" t="s">
        <v>51</v>
      </c>
      <c r="BE2375" t="s">
        <v>54</v>
      </c>
      <c r="BF2375">
        <v>2</v>
      </c>
      <c r="BG2375">
        <v>0</v>
      </c>
      <c r="BH2375" t="s">
        <v>53</v>
      </c>
      <c r="BK2375" t="s">
        <v>59</v>
      </c>
      <c r="BL2375">
        <v>14000</v>
      </c>
      <c r="BM2375" s="1">
        <v>44103</v>
      </c>
      <c r="BN2375" s="1">
        <v>44103</v>
      </c>
      <c r="BO2375" s="1">
        <v>44103</v>
      </c>
      <c r="BP2375" s="1">
        <v>45268</v>
      </c>
      <c r="BQ2375" t="s">
        <v>51</v>
      </c>
      <c r="BS2375" t="s">
        <v>60</v>
      </c>
      <c r="BT2375" t="s">
        <v>54</v>
      </c>
      <c r="BU2375" t="s">
        <v>61</v>
      </c>
      <c r="BV2375" t="s">
        <v>62</v>
      </c>
      <c r="BX2375">
        <v>24</v>
      </c>
      <c r="BY2375">
        <v>0</v>
      </c>
      <c r="BZ2375">
        <v>0</v>
      </c>
      <c r="CX2375" t="s">
        <v>674</v>
      </c>
      <c r="CY2375">
        <v>0</v>
      </c>
      <c r="CZ2375" s="1">
        <v>44320</v>
      </c>
      <c r="DA2375" s="1">
        <v>44320</v>
      </c>
      <c r="DB2375" s="1">
        <v>44320</v>
      </c>
      <c r="DC2375" s="1">
        <v>44320</v>
      </c>
      <c r="DD2375" t="s">
        <v>51</v>
      </c>
      <c r="DF2375" t="s">
        <v>54</v>
      </c>
      <c r="DG2375">
        <v>0</v>
      </c>
      <c r="DH2375">
        <v>0</v>
      </c>
    </row>
    <row r="2376" spans="1:112" x14ac:dyDescent="0.2">
      <c r="A2376" t="s">
        <v>1012</v>
      </c>
      <c r="B2376" t="s">
        <v>1013</v>
      </c>
      <c r="C2376" t="s">
        <v>1052</v>
      </c>
      <c r="D2376" t="s">
        <v>1090</v>
      </c>
      <c r="F2376" t="str">
        <f>"251936"</f>
        <v>251936</v>
      </c>
      <c r="G2376" t="s">
        <v>49</v>
      </c>
      <c r="H2376">
        <v>1</v>
      </c>
      <c r="K2376" t="s">
        <v>51</v>
      </c>
      <c r="L2376" t="s">
        <v>52</v>
      </c>
      <c r="M2376">
        <v>131651.63</v>
      </c>
      <c r="N2376">
        <v>474446.87</v>
      </c>
      <c r="O2376" t="s">
        <v>53</v>
      </c>
      <c r="P2376" t="s">
        <v>54</v>
      </c>
      <c r="Q2376" t="s">
        <v>55</v>
      </c>
      <c r="T2376" t="s">
        <v>100</v>
      </c>
      <c r="U2376">
        <v>40</v>
      </c>
      <c r="V2376" s="1">
        <v>31778</v>
      </c>
      <c r="W2376" s="1">
        <v>31778</v>
      </c>
      <c r="X2376" s="1">
        <v>31778</v>
      </c>
      <c r="Y2376" s="1">
        <v>46388</v>
      </c>
      <c r="Z2376" t="s">
        <v>51</v>
      </c>
      <c r="AB2376" t="s">
        <v>54</v>
      </c>
      <c r="AC2376">
        <v>1</v>
      </c>
      <c r="AE2376" t="s">
        <v>1081</v>
      </c>
      <c r="AF2376">
        <v>20</v>
      </c>
      <c r="AG2376" s="1">
        <v>31959</v>
      </c>
      <c r="AH2376" s="1">
        <v>31959</v>
      </c>
      <c r="AI2376" s="1">
        <v>31959</v>
      </c>
      <c r="AJ2376" s="1">
        <v>39264</v>
      </c>
      <c r="AK2376" t="s">
        <v>51</v>
      </c>
      <c r="AN2376">
        <v>0</v>
      </c>
      <c r="AO2376" t="s">
        <v>54</v>
      </c>
      <c r="AP2376" t="s">
        <v>53</v>
      </c>
      <c r="AQ2376">
        <v>0</v>
      </c>
      <c r="AR2376" t="s">
        <v>53</v>
      </c>
      <c r="AS2376">
        <v>0</v>
      </c>
      <c r="AT2376">
        <v>0</v>
      </c>
      <c r="AW2376" t="s">
        <v>58</v>
      </c>
      <c r="AX2376">
        <v>20</v>
      </c>
      <c r="AY2376" s="1">
        <v>31959</v>
      </c>
      <c r="AZ2376" s="1">
        <v>31959</v>
      </c>
      <c r="BA2376" s="1">
        <v>31959</v>
      </c>
      <c r="BB2376" s="1">
        <v>39264</v>
      </c>
      <c r="BC2376" t="s">
        <v>51</v>
      </c>
      <c r="BE2376" t="s">
        <v>54</v>
      </c>
      <c r="BF2376">
        <v>2</v>
      </c>
      <c r="BG2376">
        <v>0</v>
      </c>
      <c r="BH2376" t="s">
        <v>53</v>
      </c>
      <c r="BK2376" t="s">
        <v>59</v>
      </c>
      <c r="BL2376">
        <v>14000</v>
      </c>
      <c r="BM2376" s="1">
        <v>44103</v>
      </c>
      <c r="BN2376" s="1">
        <v>44103</v>
      </c>
      <c r="BO2376" s="1">
        <v>44103</v>
      </c>
      <c r="BP2376" s="1">
        <v>45268</v>
      </c>
      <c r="BQ2376" t="s">
        <v>51</v>
      </c>
      <c r="BS2376" t="s">
        <v>60</v>
      </c>
      <c r="BT2376" t="s">
        <v>54</v>
      </c>
      <c r="BU2376" t="s">
        <v>61</v>
      </c>
      <c r="BV2376" t="s">
        <v>62</v>
      </c>
      <c r="BX2376">
        <v>24</v>
      </c>
      <c r="BY2376">
        <v>0</v>
      </c>
      <c r="BZ2376">
        <v>0</v>
      </c>
      <c r="CX2376" t="s">
        <v>674</v>
      </c>
      <c r="CY2376">
        <v>0</v>
      </c>
      <c r="CZ2376" s="1">
        <v>44320</v>
      </c>
      <c r="DA2376" s="1">
        <v>44320</v>
      </c>
      <c r="DB2376" s="1">
        <v>44320</v>
      </c>
      <c r="DC2376" s="1">
        <v>44320</v>
      </c>
      <c r="DD2376" t="s">
        <v>51</v>
      </c>
      <c r="DF2376" t="s">
        <v>54</v>
      </c>
      <c r="DG2376">
        <v>0</v>
      </c>
      <c r="DH2376">
        <v>0</v>
      </c>
    </row>
    <row r="2377" spans="1:112" x14ac:dyDescent="0.2">
      <c r="A2377" t="s">
        <v>1012</v>
      </c>
      <c r="B2377" t="s">
        <v>1013</v>
      </c>
      <c r="C2377" t="s">
        <v>1052</v>
      </c>
      <c r="D2377" t="s">
        <v>1090</v>
      </c>
      <c r="F2377" t="str">
        <f>"251937"</f>
        <v>251937</v>
      </c>
      <c r="G2377" t="s">
        <v>49</v>
      </c>
      <c r="H2377">
        <v>9</v>
      </c>
      <c r="K2377" t="s">
        <v>51</v>
      </c>
      <c r="L2377" t="s">
        <v>52</v>
      </c>
      <c r="M2377">
        <v>131659.13</v>
      </c>
      <c r="N2377">
        <v>474471.31</v>
      </c>
      <c r="O2377" t="s">
        <v>53</v>
      </c>
      <c r="P2377" t="s">
        <v>54</v>
      </c>
      <c r="Q2377" t="s">
        <v>55</v>
      </c>
      <c r="T2377" t="s">
        <v>100</v>
      </c>
      <c r="U2377">
        <v>40</v>
      </c>
      <c r="V2377" s="1">
        <v>31778</v>
      </c>
      <c r="W2377" s="1">
        <v>31778</v>
      </c>
      <c r="X2377" s="1">
        <v>31778</v>
      </c>
      <c r="Y2377" s="1">
        <v>46388</v>
      </c>
      <c r="Z2377" t="s">
        <v>51</v>
      </c>
      <c r="AB2377" t="s">
        <v>54</v>
      </c>
      <c r="AC2377">
        <v>1</v>
      </c>
      <c r="AE2377" t="s">
        <v>222</v>
      </c>
      <c r="AF2377">
        <v>20</v>
      </c>
      <c r="AG2377" s="1">
        <v>31959</v>
      </c>
      <c r="AH2377" s="1">
        <v>31959</v>
      </c>
      <c r="AI2377" s="1">
        <v>31959</v>
      </c>
      <c r="AJ2377" s="1">
        <v>39264</v>
      </c>
      <c r="AK2377" t="s">
        <v>51</v>
      </c>
      <c r="AN2377">
        <v>0</v>
      </c>
      <c r="AO2377" t="s">
        <v>54</v>
      </c>
      <c r="AP2377" t="s">
        <v>53</v>
      </c>
      <c r="AQ2377">
        <v>0</v>
      </c>
      <c r="AR2377" t="s">
        <v>53</v>
      </c>
      <c r="AS2377">
        <v>0</v>
      </c>
      <c r="AT2377">
        <v>0</v>
      </c>
      <c r="AW2377" t="s">
        <v>58</v>
      </c>
      <c r="AX2377">
        <v>20</v>
      </c>
      <c r="AY2377" s="1">
        <v>31959</v>
      </c>
      <c r="AZ2377" s="1">
        <v>31959</v>
      </c>
      <c r="BA2377" s="1">
        <v>31959</v>
      </c>
      <c r="BB2377" s="1">
        <v>39264</v>
      </c>
      <c r="BC2377" t="s">
        <v>51</v>
      </c>
      <c r="BE2377" t="s">
        <v>54</v>
      </c>
      <c r="BF2377">
        <v>2</v>
      </c>
      <c r="BG2377">
        <v>0</v>
      </c>
      <c r="BH2377" t="s">
        <v>53</v>
      </c>
      <c r="BK2377" t="s">
        <v>59</v>
      </c>
      <c r="BL2377">
        <v>14000</v>
      </c>
      <c r="BM2377" s="1">
        <v>44103</v>
      </c>
      <c r="BN2377" s="1">
        <v>44103</v>
      </c>
      <c r="BO2377" s="1">
        <v>44103</v>
      </c>
      <c r="BP2377" s="1">
        <v>45268</v>
      </c>
      <c r="BQ2377" t="s">
        <v>51</v>
      </c>
      <c r="BS2377" t="s">
        <v>60</v>
      </c>
      <c r="BT2377" t="s">
        <v>54</v>
      </c>
      <c r="BU2377" t="s">
        <v>61</v>
      </c>
      <c r="BV2377" t="s">
        <v>62</v>
      </c>
      <c r="BX2377">
        <v>24</v>
      </c>
      <c r="BY2377">
        <v>0</v>
      </c>
      <c r="BZ2377">
        <v>0</v>
      </c>
      <c r="CX2377" t="s">
        <v>674</v>
      </c>
      <c r="CY2377">
        <v>0</v>
      </c>
      <c r="CZ2377" s="1">
        <v>44320</v>
      </c>
      <c r="DA2377" s="1">
        <v>44320</v>
      </c>
      <c r="DB2377" s="1">
        <v>44320</v>
      </c>
      <c r="DC2377" s="1">
        <v>44320</v>
      </c>
      <c r="DD2377" t="s">
        <v>51</v>
      </c>
      <c r="DF2377" t="s">
        <v>54</v>
      </c>
      <c r="DG2377">
        <v>0</v>
      </c>
      <c r="DH2377">
        <v>0</v>
      </c>
    </row>
    <row r="2378" spans="1:112" x14ac:dyDescent="0.2">
      <c r="A2378" t="s">
        <v>1012</v>
      </c>
      <c r="B2378" t="s">
        <v>1013</v>
      </c>
      <c r="C2378" t="s">
        <v>1052</v>
      </c>
      <c r="D2378" t="s">
        <v>1090</v>
      </c>
      <c r="F2378" t="str">
        <f>"251938"</f>
        <v>251938</v>
      </c>
      <c r="G2378" t="s">
        <v>49</v>
      </c>
      <c r="H2378">
        <v>17</v>
      </c>
      <c r="K2378" t="s">
        <v>51</v>
      </c>
      <c r="L2378" t="s">
        <v>52</v>
      </c>
      <c r="M2378">
        <v>131637.6</v>
      </c>
      <c r="N2378">
        <v>474496.04</v>
      </c>
      <c r="O2378" t="s">
        <v>53</v>
      </c>
      <c r="P2378" t="s">
        <v>54</v>
      </c>
      <c r="Q2378" t="s">
        <v>55</v>
      </c>
      <c r="T2378" t="s">
        <v>100</v>
      </c>
      <c r="U2378">
        <v>40</v>
      </c>
      <c r="V2378" s="1">
        <v>31778</v>
      </c>
      <c r="W2378" s="1">
        <v>31778</v>
      </c>
      <c r="X2378" s="1">
        <v>31778</v>
      </c>
      <c r="Y2378" s="1">
        <v>46388</v>
      </c>
      <c r="Z2378" t="s">
        <v>51</v>
      </c>
      <c r="AB2378" t="s">
        <v>54</v>
      </c>
      <c r="AC2378">
        <v>1</v>
      </c>
      <c r="AE2378" t="s">
        <v>1081</v>
      </c>
      <c r="AF2378">
        <v>20</v>
      </c>
      <c r="AG2378" s="1">
        <v>31959</v>
      </c>
      <c r="AH2378" s="1">
        <v>31959</v>
      </c>
      <c r="AI2378" s="1">
        <v>31959</v>
      </c>
      <c r="AJ2378" s="1">
        <v>39264</v>
      </c>
      <c r="AK2378" t="s">
        <v>51</v>
      </c>
      <c r="AN2378">
        <v>0</v>
      </c>
      <c r="AO2378" t="s">
        <v>54</v>
      </c>
      <c r="AP2378" t="s">
        <v>53</v>
      </c>
      <c r="AQ2378">
        <v>0</v>
      </c>
      <c r="AR2378" t="s">
        <v>53</v>
      </c>
      <c r="AS2378">
        <v>0</v>
      </c>
      <c r="AT2378">
        <v>0</v>
      </c>
      <c r="AW2378" t="s">
        <v>58</v>
      </c>
      <c r="AX2378">
        <v>20</v>
      </c>
      <c r="AY2378" s="1">
        <v>31959</v>
      </c>
      <c r="AZ2378" s="1">
        <v>31959</v>
      </c>
      <c r="BA2378" s="1">
        <v>31959</v>
      </c>
      <c r="BB2378" s="1">
        <v>39264</v>
      </c>
      <c r="BC2378" t="s">
        <v>51</v>
      </c>
      <c r="BE2378" t="s">
        <v>54</v>
      </c>
      <c r="BF2378">
        <v>2</v>
      </c>
      <c r="BG2378">
        <v>0</v>
      </c>
      <c r="BH2378" t="s">
        <v>53</v>
      </c>
      <c r="BK2378" t="s">
        <v>59</v>
      </c>
      <c r="BL2378">
        <v>14000</v>
      </c>
      <c r="BM2378" s="1">
        <v>44103</v>
      </c>
      <c r="BN2378" s="1">
        <v>44103</v>
      </c>
      <c r="BO2378" s="1">
        <v>44103</v>
      </c>
      <c r="BP2378" s="1">
        <v>45268</v>
      </c>
      <c r="BQ2378" t="s">
        <v>51</v>
      </c>
      <c r="BS2378" t="s">
        <v>60</v>
      </c>
      <c r="BT2378" t="s">
        <v>54</v>
      </c>
      <c r="BU2378" t="s">
        <v>61</v>
      </c>
      <c r="BV2378" t="s">
        <v>62</v>
      </c>
      <c r="BX2378">
        <v>24</v>
      </c>
      <c r="BY2378">
        <v>0</v>
      </c>
      <c r="BZ2378">
        <v>0</v>
      </c>
      <c r="CX2378" t="s">
        <v>674</v>
      </c>
      <c r="CY2378">
        <v>0</v>
      </c>
      <c r="CZ2378" s="1">
        <v>44320</v>
      </c>
      <c r="DA2378" s="1">
        <v>44320</v>
      </c>
      <c r="DB2378" s="1">
        <v>44320</v>
      </c>
      <c r="DC2378" s="1">
        <v>44320</v>
      </c>
      <c r="DD2378" t="s">
        <v>51</v>
      </c>
      <c r="DF2378" t="s">
        <v>54</v>
      </c>
      <c r="DG2378">
        <v>0</v>
      </c>
      <c r="DH2378">
        <v>0</v>
      </c>
    </row>
    <row r="2379" spans="1:112" x14ac:dyDescent="0.2">
      <c r="A2379" t="s">
        <v>1012</v>
      </c>
      <c r="B2379" t="s">
        <v>1013</v>
      </c>
      <c r="C2379" t="s">
        <v>1052</v>
      </c>
      <c r="D2379" t="s">
        <v>1090</v>
      </c>
      <c r="F2379" t="str">
        <f>"251939"</f>
        <v>251939</v>
      </c>
      <c r="G2379" t="s">
        <v>49</v>
      </c>
      <c r="H2379">
        <v>17</v>
      </c>
      <c r="K2379" t="s">
        <v>51</v>
      </c>
      <c r="L2379" t="s">
        <v>52</v>
      </c>
      <c r="M2379">
        <v>131663.09</v>
      </c>
      <c r="N2379">
        <v>474494.9</v>
      </c>
      <c r="O2379" t="s">
        <v>53</v>
      </c>
      <c r="P2379" t="s">
        <v>54</v>
      </c>
      <c r="Q2379" t="s">
        <v>55</v>
      </c>
      <c r="T2379" t="s">
        <v>100</v>
      </c>
      <c r="U2379">
        <v>40</v>
      </c>
      <c r="V2379" s="1">
        <v>31778</v>
      </c>
      <c r="W2379" s="1">
        <v>31778</v>
      </c>
      <c r="X2379" s="1">
        <v>31778</v>
      </c>
      <c r="Y2379" s="1">
        <v>46388</v>
      </c>
      <c r="Z2379" t="s">
        <v>51</v>
      </c>
      <c r="AB2379" t="s">
        <v>54</v>
      </c>
      <c r="AC2379">
        <v>1</v>
      </c>
      <c r="AE2379" t="s">
        <v>1081</v>
      </c>
      <c r="AF2379">
        <v>20</v>
      </c>
      <c r="AG2379" s="1">
        <v>31959</v>
      </c>
      <c r="AH2379" s="1">
        <v>31959</v>
      </c>
      <c r="AI2379" s="1">
        <v>31959</v>
      </c>
      <c r="AJ2379" s="1">
        <v>39264</v>
      </c>
      <c r="AK2379" t="s">
        <v>51</v>
      </c>
      <c r="AN2379">
        <v>0</v>
      </c>
      <c r="AO2379" t="s">
        <v>54</v>
      </c>
      <c r="AP2379" t="s">
        <v>53</v>
      </c>
      <c r="AQ2379">
        <v>0</v>
      </c>
      <c r="AR2379" t="s">
        <v>53</v>
      </c>
      <c r="AS2379">
        <v>0</v>
      </c>
      <c r="AT2379">
        <v>0</v>
      </c>
      <c r="AW2379" t="s">
        <v>58</v>
      </c>
      <c r="AX2379">
        <v>20</v>
      </c>
      <c r="AY2379" s="1">
        <v>31959</v>
      </c>
      <c r="AZ2379" s="1">
        <v>31959</v>
      </c>
      <c r="BA2379" s="1">
        <v>31959</v>
      </c>
      <c r="BB2379" s="1">
        <v>39264</v>
      </c>
      <c r="BC2379" t="s">
        <v>51</v>
      </c>
      <c r="BE2379" t="s">
        <v>54</v>
      </c>
      <c r="BF2379">
        <v>2</v>
      </c>
      <c r="BG2379">
        <v>0</v>
      </c>
      <c r="BH2379" t="s">
        <v>53</v>
      </c>
      <c r="BK2379" t="s">
        <v>59</v>
      </c>
      <c r="BL2379">
        <v>14000</v>
      </c>
      <c r="BM2379" s="1">
        <v>44103</v>
      </c>
      <c r="BN2379" s="1">
        <v>44103</v>
      </c>
      <c r="BO2379" s="1">
        <v>44103</v>
      </c>
      <c r="BP2379" s="1">
        <v>45268</v>
      </c>
      <c r="BQ2379" t="s">
        <v>51</v>
      </c>
      <c r="BS2379" t="s">
        <v>60</v>
      </c>
      <c r="BT2379" t="s">
        <v>54</v>
      </c>
      <c r="BU2379" t="s">
        <v>61</v>
      </c>
      <c r="BV2379" t="s">
        <v>62</v>
      </c>
      <c r="BX2379">
        <v>24</v>
      </c>
      <c r="BY2379">
        <v>0</v>
      </c>
      <c r="BZ2379">
        <v>0</v>
      </c>
      <c r="CX2379" t="s">
        <v>674</v>
      </c>
      <c r="CY2379">
        <v>0</v>
      </c>
      <c r="CZ2379" s="1">
        <v>44320</v>
      </c>
      <c r="DA2379" s="1">
        <v>44320</v>
      </c>
      <c r="DB2379" s="1">
        <v>44320</v>
      </c>
      <c r="DC2379" s="1">
        <v>44320</v>
      </c>
      <c r="DD2379" t="s">
        <v>51</v>
      </c>
      <c r="DF2379" t="s">
        <v>54</v>
      </c>
      <c r="DG2379">
        <v>0</v>
      </c>
      <c r="DH2379">
        <v>0</v>
      </c>
    </row>
    <row r="2380" spans="1:112" x14ac:dyDescent="0.2">
      <c r="A2380" t="s">
        <v>1012</v>
      </c>
      <c r="B2380" t="s">
        <v>1013</v>
      </c>
      <c r="C2380" t="s">
        <v>1052</v>
      </c>
      <c r="D2380" t="s">
        <v>1090</v>
      </c>
      <c r="F2380" t="str">
        <f>"251940"</f>
        <v>251940</v>
      </c>
      <c r="G2380" t="s">
        <v>49</v>
      </c>
      <c r="H2380">
        <v>27</v>
      </c>
      <c r="K2380" t="s">
        <v>51</v>
      </c>
      <c r="L2380" t="s">
        <v>52</v>
      </c>
      <c r="M2380">
        <v>131669.51999999999</v>
      </c>
      <c r="N2380">
        <v>474519.13</v>
      </c>
      <c r="O2380" t="s">
        <v>53</v>
      </c>
      <c r="P2380" t="s">
        <v>54</v>
      </c>
      <c r="Q2380" t="s">
        <v>55</v>
      </c>
      <c r="T2380" t="s">
        <v>100</v>
      </c>
      <c r="U2380">
        <v>40</v>
      </c>
      <c r="V2380" s="1">
        <v>31778</v>
      </c>
      <c r="W2380" s="1">
        <v>31778</v>
      </c>
      <c r="X2380" s="1">
        <v>31778</v>
      </c>
      <c r="Y2380" s="1">
        <v>46388</v>
      </c>
      <c r="Z2380" t="s">
        <v>51</v>
      </c>
      <c r="AB2380" t="s">
        <v>54</v>
      </c>
      <c r="AC2380">
        <v>1</v>
      </c>
      <c r="AE2380" t="s">
        <v>1081</v>
      </c>
      <c r="AF2380">
        <v>20</v>
      </c>
      <c r="AG2380" s="1">
        <v>31959</v>
      </c>
      <c r="AH2380" s="1">
        <v>31959</v>
      </c>
      <c r="AI2380" s="1">
        <v>31959</v>
      </c>
      <c r="AJ2380" s="1">
        <v>39264</v>
      </c>
      <c r="AK2380" t="s">
        <v>51</v>
      </c>
      <c r="AN2380">
        <v>0</v>
      </c>
      <c r="AO2380" t="s">
        <v>54</v>
      </c>
      <c r="AP2380" t="s">
        <v>53</v>
      </c>
      <c r="AQ2380">
        <v>0</v>
      </c>
      <c r="AR2380" t="s">
        <v>53</v>
      </c>
      <c r="AS2380">
        <v>0</v>
      </c>
      <c r="AT2380">
        <v>0</v>
      </c>
      <c r="AW2380" t="s">
        <v>58</v>
      </c>
      <c r="AX2380">
        <v>20</v>
      </c>
      <c r="AY2380" s="1">
        <v>43423</v>
      </c>
      <c r="AZ2380" s="1">
        <v>43423</v>
      </c>
      <c r="BA2380" s="1">
        <v>43423</v>
      </c>
      <c r="BB2380" s="1">
        <v>50728</v>
      </c>
      <c r="BC2380" t="s">
        <v>51</v>
      </c>
      <c r="BE2380" t="s">
        <v>54</v>
      </c>
      <c r="BF2380">
        <v>2</v>
      </c>
      <c r="BG2380">
        <v>0</v>
      </c>
      <c r="BH2380" t="s">
        <v>53</v>
      </c>
      <c r="BK2380" t="s">
        <v>59</v>
      </c>
      <c r="BL2380">
        <v>14000</v>
      </c>
      <c r="BM2380" s="1">
        <v>44103</v>
      </c>
      <c r="BN2380" s="1">
        <v>44103</v>
      </c>
      <c r="BO2380" s="1">
        <v>44103</v>
      </c>
      <c r="BP2380" s="1">
        <v>45268</v>
      </c>
      <c r="BQ2380" t="s">
        <v>51</v>
      </c>
      <c r="BS2380" t="s">
        <v>60</v>
      </c>
      <c r="BT2380" t="s">
        <v>54</v>
      </c>
      <c r="BU2380" t="s">
        <v>61</v>
      </c>
      <c r="BV2380" t="s">
        <v>62</v>
      </c>
      <c r="BX2380">
        <v>24</v>
      </c>
      <c r="BY2380">
        <v>0</v>
      </c>
      <c r="BZ2380">
        <v>0</v>
      </c>
      <c r="CX2380" t="s">
        <v>674</v>
      </c>
      <c r="CY2380">
        <v>0</v>
      </c>
      <c r="CZ2380" s="1">
        <v>44320</v>
      </c>
      <c r="DA2380" s="1">
        <v>44320</v>
      </c>
      <c r="DB2380" s="1">
        <v>44320</v>
      </c>
      <c r="DC2380" s="1">
        <v>44320</v>
      </c>
      <c r="DD2380" t="s">
        <v>51</v>
      </c>
      <c r="DF2380" t="s">
        <v>54</v>
      </c>
      <c r="DG2380">
        <v>0</v>
      </c>
      <c r="DH2380">
        <v>0</v>
      </c>
    </row>
    <row r="2381" spans="1:112" x14ac:dyDescent="0.2">
      <c r="A2381" t="s">
        <v>1012</v>
      </c>
      <c r="B2381" t="s">
        <v>1013</v>
      </c>
      <c r="C2381" t="s">
        <v>1052</v>
      </c>
      <c r="D2381" t="s">
        <v>1090</v>
      </c>
      <c r="F2381" t="str">
        <f>"251941"</f>
        <v>251941</v>
      </c>
      <c r="G2381" t="s">
        <v>49</v>
      </c>
      <c r="K2381" t="s">
        <v>51</v>
      </c>
      <c r="L2381" t="s">
        <v>52</v>
      </c>
      <c r="M2381">
        <v>131705.80300000001</v>
      </c>
      <c r="N2381">
        <v>474523.03399999999</v>
      </c>
      <c r="O2381" t="s">
        <v>53</v>
      </c>
      <c r="P2381" t="s">
        <v>54</v>
      </c>
      <c r="Q2381" t="s">
        <v>55</v>
      </c>
      <c r="T2381" t="s">
        <v>100</v>
      </c>
      <c r="U2381">
        <v>40</v>
      </c>
      <c r="V2381" s="1">
        <v>31778</v>
      </c>
      <c r="W2381" s="1">
        <v>31778</v>
      </c>
      <c r="X2381" s="1">
        <v>31778</v>
      </c>
      <c r="Y2381" s="1">
        <v>46388</v>
      </c>
      <c r="Z2381" t="s">
        <v>51</v>
      </c>
      <c r="AB2381" t="s">
        <v>54</v>
      </c>
      <c r="AC2381">
        <v>1</v>
      </c>
      <c r="AE2381" t="s">
        <v>1081</v>
      </c>
      <c r="AF2381">
        <v>20</v>
      </c>
      <c r="AG2381" s="1">
        <v>31959</v>
      </c>
      <c r="AH2381" s="1">
        <v>31959</v>
      </c>
      <c r="AI2381" s="1">
        <v>31959</v>
      </c>
      <c r="AJ2381" s="1">
        <v>39264</v>
      </c>
      <c r="AK2381" t="s">
        <v>51</v>
      </c>
      <c r="AN2381">
        <v>0</v>
      </c>
      <c r="AO2381" t="s">
        <v>54</v>
      </c>
      <c r="AP2381" t="s">
        <v>53</v>
      </c>
      <c r="AQ2381">
        <v>0</v>
      </c>
      <c r="AR2381" t="s">
        <v>53</v>
      </c>
      <c r="AS2381">
        <v>0</v>
      </c>
      <c r="AT2381">
        <v>0</v>
      </c>
      <c r="AW2381" t="s">
        <v>58</v>
      </c>
      <c r="AX2381">
        <v>20</v>
      </c>
      <c r="AY2381" s="1">
        <v>31959</v>
      </c>
      <c r="AZ2381" s="1">
        <v>31959</v>
      </c>
      <c r="BA2381" s="1">
        <v>31959</v>
      </c>
      <c r="BB2381" s="1">
        <v>39264</v>
      </c>
      <c r="BC2381" t="s">
        <v>51</v>
      </c>
      <c r="BE2381" t="s">
        <v>54</v>
      </c>
      <c r="BF2381">
        <v>2</v>
      </c>
      <c r="BG2381">
        <v>0</v>
      </c>
      <c r="BH2381" t="s">
        <v>53</v>
      </c>
      <c r="BK2381" t="s">
        <v>59</v>
      </c>
      <c r="BL2381">
        <v>14000</v>
      </c>
      <c r="BM2381" s="1">
        <v>44103</v>
      </c>
      <c r="BN2381" s="1">
        <v>44103</v>
      </c>
      <c r="BO2381" s="1">
        <v>44103</v>
      </c>
      <c r="BP2381" s="1">
        <v>45268</v>
      </c>
      <c r="BQ2381" t="s">
        <v>51</v>
      </c>
      <c r="BS2381" t="s">
        <v>60</v>
      </c>
      <c r="BT2381" t="s">
        <v>54</v>
      </c>
      <c r="BU2381" t="s">
        <v>61</v>
      </c>
      <c r="BV2381" t="s">
        <v>62</v>
      </c>
      <c r="BX2381">
        <v>24</v>
      </c>
      <c r="BY2381">
        <v>0</v>
      </c>
      <c r="BZ2381">
        <v>0</v>
      </c>
      <c r="CX2381" t="s">
        <v>674</v>
      </c>
      <c r="CY2381">
        <v>0</v>
      </c>
      <c r="CZ2381" s="1">
        <v>44320</v>
      </c>
      <c r="DA2381" s="1">
        <v>44320</v>
      </c>
      <c r="DB2381" s="1">
        <v>44320</v>
      </c>
      <c r="DC2381" s="1">
        <v>44320</v>
      </c>
      <c r="DD2381" t="s">
        <v>51</v>
      </c>
      <c r="DF2381" t="s">
        <v>54</v>
      </c>
      <c r="DG2381">
        <v>0</v>
      </c>
      <c r="DH2381">
        <v>0</v>
      </c>
    </row>
    <row r="2382" spans="1:112" x14ac:dyDescent="0.2">
      <c r="A2382" t="s">
        <v>1012</v>
      </c>
      <c r="B2382" t="s">
        <v>1013</v>
      </c>
      <c r="C2382" t="s">
        <v>1052</v>
      </c>
      <c r="D2382" t="s">
        <v>1090</v>
      </c>
      <c r="F2382" t="str">
        <f>"251942"</f>
        <v>251942</v>
      </c>
      <c r="G2382" t="s">
        <v>49</v>
      </c>
      <c r="H2382">
        <v>12</v>
      </c>
      <c r="K2382" t="s">
        <v>51</v>
      </c>
      <c r="L2382" t="s">
        <v>52</v>
      </c>
      <c r="M2382">
        <v>131697.42000000001</v>
      </c>
      <c r="N2382">
        <v>474487.11</v>
      </c>
      <c r="O2382" t="s">
        <v>53</v>
      </c>
      <c r="P2382" t="s">
        <v>54</v>
      </c>
      <c r="Q2382" t="s">
        <v>55</v>
      </c>
      <c r="T2382" t="s">
        <v>100</v>
      </c>
      <c r="U2382">
        <v>40</v>
      </c>
      <c r="V2382" s="1">
        <v>31778</v>
      </c>
      <c r="W2382" s="1">
        <v>31778</v>
      </c>
      <c r="X2382" s="1">
        <v>31778</v>
      </c>
      <c r="Y2382" s="1">
        <v>46388</v>
      </c>
      <c r="Z2382" t="s">
        <v>51</v>
      </c>
      <c r="AB2382" t="s">
        <v>54</v>
      </c>
      <c r="AC2382">
        <v>1</v>
      </c>
      <c r="AE2382" t="s">
        <v>1081</v>
      </c>
      <c r="AF2382">
        <v>20</v>
      </c>
      <c r="AG2382" s="1">
        <v>31959</v>
      </c>
      <c r="AH2382" s="1">
        <v>31959</v>
      </c>
      <c r="AI2382" s="1">
        <v>31959</v>
      </c>
      <c r="AJ2382" s="1">
        <v>39264</v>
      </c>
      <c r="AK2382" t="s">
        <v>51</v>
      </c>
      <c r="AN2382">
        <v>0</v>
      </c>
      <c r="AO2382" t="s">
        <v>54</v>
      </c>
      <c r="AP2382" t="s">
        <v>53</v>
      </c>
      <c r="AQ2382">
        <v>0</v>
      </c>
      <c r="AR2382" t="s">
        <v>53</v>
      </c>
      <c r="AS2382">
        <v>0</v>
      </c>
      <c r="AT2382">
        <v>0</v>
      </c>
      <c r="AW2382" t="s">
        <v>58</v>
      </c>
      <c r="AX2382">
        <v>20</v>
      </c>
      <c r="AY2382" s="1">
        <v>43486</v>
      </c>
      <c r="AZ2382" s="1">
        <v>43486</v>
      </c>
      <c r="BA2382" s="1">
        <v>43486</v>
      </c>
      <c r="BB2382" s="1">
        <v>50791</v>
      </c>
      <c r="BC2382" t="s">
        <v>51</v>
      </c>
      <c r="BE2382" t="s">
        <v>54</v>
      </c>
      <c r="BF2382">
        <v>2</v>
      </c>
      <c r="BG2382">
        <v>0</v>
      </c>
      <c r="BH2382" t="s">
        <v>53</v>
      </c>
      <c r="BK2382" t="s">
        <v>59</v>
      </c>
      <c r="BL2382">
        <v>14000</v>
      </c>
      <c r="BM2382" s="1">
        <v>44103</v>
      </c>
      <c r="BN2382" s="1">
        <v>44103</v>
      </c>
      <c r="BO2382" s="1">
        <v>44103</v>
      </c>
      <c r="BP2382" s="1">
        <v>45268</v>
      </c>
      <c r="BQ2382" t="s">
        <v>51</v>
      </c>
      <c r="BS2382" t="s">
        <v>60</v>
      </c>
      <c r="BT2382" t="s">
        <v>54</v>
      </c>
      <c r="BU2382" t="s">
        <v>61</v>
      </c>
      <c r="BV2382" t="s">
        <v>62</v>
      </c>
      <c r="BX2382">
        <v>24</v>
      </c>
      <c r="BY2382">
        <v>0</v>
      </c>
      <c r="BZ2382">
        <v>0</v>
      </c>
      <c r="CX2382" t="s">
        <v>674</v>
      </c>
      <c r="CY2382">
        <v>0</v>
      </c>
      <c r="CZ2382" s="1">
        <v>44320</v>
      </c>
      <c r="DA2382" s="1">
        <v>44320</v>
      </c>
      <c r="DB2382" s="1">
        <v>44320</v>
      </c>
      <c r="DC2382" s="1">
        <v>44320</v>
      </c>
      <c r="DD2382" t="s">
        <v>51</v>
      </c>
      <c r="DF2382" t="s">
        <v>54</v>
      </c>
      <c r="DG2382">
        <v>0</v>
      </c>
      <c r="DH2382">
        <v>0</v>
      </c>
    </row>
    <row r="2383" spans="1:112" x14ac:dyDescent="0.2">
      <c r="A2383" t="s">
        <v>1012</v>
      </c>
      <c r="B2383" t="s">
        <v>1013</v>
      </c>
      <c r="C2383" t="s">
        <v>1052</v>
      </c>
      <c r="D2383" t="s">
        <v>1090</v>
      </c>
      <c r="F2383" t="str">
        <f>"251943"</f>
        <v>251943</v>
      </c>
      <c r="G2383" t="s">
        <v>49</v>
      </c>
      <c r="H2383">
        <v>2</v>
      </c>
      <c r="K2383" t="s">
        <v>51</v>
      </c>
      <c r="L2383" t="s">
        <v>52</v>
      </c>
      <c r="M2383">
        <v>131691.79999999999</v>
      </c>
      <c r="N2383">
        <v>474457.81</v>
      </c>
      <c r="O2383" t="s">
        <v>53</v>
      </c>
      <c r="P2383" t="s">
        <v>54</v>
      </c>
      <c r="Q2383" t="s">
        <v>55</v>
      </c>
      <c r="T2383" t="s">
        <v>100</v>
      </c>
      <c r="U2383">
        <v>40</v>
      </c>
      <c r="V2383" s="1">
        <v>31778</v>
      </c>
      <c r="W2383" s="1">
        <v>31778</v>
      </c>
      <c r="X2383" s="1">
        <v>31778</v>
      </c>
      <c r="Y2383" s="1">
        <v>46388</v>
      </c>
      <c r="Z2383" t="s">
        <v>51</v>
      </c>
      <c r="AB2383" t="s">
        <v>54</v>
      </c>
      <c r="AC2383">
        <v>1</v>
      </c>
      <c r="AE2383" t="s">
        <v>1081</v>
      </c>
      <c r="AF2383">
        <v>20</v>
      </c>
      <c r="AG2383" s="1">
        <v>31959</v>
      </c>
      <c r="AH2383" s="1">
        <v>31959</v>
      </c>
      <c r="AI2383" s="1">
        <v>31959</v>
      </c>
      <c r="AJ2383" s="1">
        <v>39264</v>
      </c>
      <c r="AK2383" t="s">
        <v>51</v>
      </c>
      <c r="AN2383">
        <v>0</v>
      </c>
      <c r="AO2383" t="s">
        <v>54</v>
      </c>
      <c r="AP2383" t="s">
        <v>53</v>
      </c>
      <c r="AQ2383">
        <v>0</v>
      </c>
      <c r="AR2383" t="s">
        <v>53</v>
      </c>
      <c r="AS2383">
        <v>0</v>
      </c>
      <c r="AT2383">
        <v>0</v>
      </c>
      <c r="AW2383" t="s">
        <v>58</v>
      </c>
      <c r="AX2383">
        <v>20</v>
      </c>
      <c r="AY2383" s="1">
        <v>31959</v>
      </c>
      <c r="AZ2383" s="1">
        <v>31959</v>
      </c>
      <c r="BA2383" s="1">
        <v>31959</v>
      </c>
      <c r="BB2383" s="1">
        <v>39264</v>
      </c>
      <c r="BC2383" t="s">
        <v>51</v>
      </c>
      <c r="BE2383" t="s">
        <v>54</v>
      </c>
      <c r="BF2383">
        <v>2</v>
      </c>
      <c r="BG2383">
        <v>0</v>
      </c>
      <c r="BH2383" t="s">
        <v>53</v>
      </c>
      <c r="BK2383" t="s">
        <v>59</v>
      </c>
      <c r="BL2383">
        <v>14000</v>
      </c>
      <c r="BM2383" s="1">
        <v>44103</v>
      </c>
      <c r="BN2383" s="1">
        <v>44103</v>
      </c>
      <c r="BO2383" s="1">
        <v>44103</v>
      </c>
      <c r="BP2383" s="1">
        <v>45268</v>
      </c>
      <c r="BQ2383" t="s">
        <v>51</v>
      </c>
      <c r="BS2383" t="s">
        <v>60</v>
      </c>
      <c r="BT2383" t="s">
        <v>54</v>
      </c>
      <c r="BU2383" t="s">
        <v>61</v>
      </c>
      <c r="BV2383" t="s">
        <v>62</v>
      </c>
      <c r="BX2383">
        <v>24</v>
      </c>
      <c r="BY2383">
        <v>0</v>
      </c>
      <c r="BZ2383">
        <v>0</v>
      </c>
      <c r="CX2383" t="s">
        <v>674</v>
      </c>
      <c r="CY2383">
        <v>0</v>
      </c>
      <c r="CZ2383" s="1">
        <v>44320</v>
      </c>
      <c r="DA2383" s="1">
        <v>44320</v>
      </c>
      <c r="DB2383" s="1">
        <v>44320</v>
      </c>
      <c r="DC2383" s="1">
        <v>44320</v>
      </c>
      <c r="DD2383" t="s">
        <v>51</v>
      </c>
      <c r="DF2383" t="s">
        <v>54</v>
      </c>
      <c r="DG2383">
        <v>0</v>
      </c>
      <c r="DH2383">
        <v>0</v>
      </c>
    </row>
    <row r="2384" spans="1:112" x14ac:dyDescent="0.2">
      <c r="A2384" t="s">
        <v>1012</v>
      </c>
      <c r="B2384" t="s">
        <v>1013</v>
      </c>
      <c r="C2384" t="s">
        <v>1052</v>
      </c>
      <c r="D2384" t="s">
        <v>1090</v>
      </c>
      <c r="F2384" t="str">
        <f>"251944"</f>
        <v>251944</v>
      </c>
      <c r="G2384" t="s">
        <v>49</v>
      </c>
      <c r="H2384">
        <v>26</v>
      </c>
      <c r="K2384" t="s">
        <v>51</v>
      </c>
      <c r="L2384" t="s">
        <v>52</v>
      </c>
      <c r="M2384">
        <v>131683.47</v>
      </c>
      <c r="N2384">
        <v>474547</v>
      </c>
      <c r="O2384" t="s">
        <v>53</v>
      </c>
      <c r="P2384" t="s">
        <v>54</v>
      </c>
      <c r="Q2384" t="s">
        <v>55</v>
      </c>
      <c r="T2384" t="s">
        <v>100</v>
      </c>
      <c r="U2384">
        <v>40</v>
      </c>
      <c r="V2384" s="1">
        <v>31778</v>
      </c>
      <c r="W2384" s="1">
        <v>31778</v>
      </c>
      <c r="X2384" s="1">
        <v>31778</v>
      </c>
      <c r="Y2384" s="1">
        <v>46388</v>
      </c>
      <c r="Z2384" t="s">
        <v>51</v>
      </c>
      <c r="AB2384" t="s">
        <v>54</v>
      </c>
      <c r="AC2384">
        <v>1</v>
      </c>
      <c r="AE2384" t="s">
        <v>1081</v>
      </c>
      <c r="AF2384">
        <v>20</v>
      </c>
      <c r="AG2384" s="1">
        <v>31959</v>
      </c>
      <c r="AH2384" s="1">
        <v>31959</v>
      </c>
      <c r="AI2384" s="1">
        <v>31959</v>
      </c>
      <c r="AJ2384" s="1">
        <v>39264</v>
      </c>
      <c r="AK2384" t="s">
        <v>51</v>
      </c>
      <c r="AN2384">
        <v>0</v>
      </c>
      <c r="AO2384" t="s">
        <v>54</v>
      </c>
      <c r="AP2384" t="s">
        <v>53</v>
      </c>
      <c r="AQ2384">
        <v>0</v>
      </c>
      <c r="AR2384" t="s">
        <v>53</v>
      </c>
      <c r="AS2384">
        <v>0</v>
      </c>
      <c r="AT2384">
        <v>0</v>
      </c>
      <c r="AW2384" t="s">
        <v>58</v>
      </c>
      <c r="AX2384">
        <v>20</v>
      </c>
      <c r="AY2384" s="1">
        <v>31959</v>
      </c>
      <c r="AZ2384" s="1">
        <v>31959</v>
      </c>
      <c r="BA2384" s="1">
        <v>31959</v>
      </c>
      <c r="BB2384" s="1">
        <v>39264</v>
      </c>
      <c r="BC2384" t="s">
        <v>51</v>
      </c>
      <c r="BE2384" t="s">
        <v>54</v>
      </c>
      <c r="BF2384">
        <v>2</v>
      </c>
      <c r="BG2384">
        <v>0</v>
      </c>
      <c r="BH2384" t="s">
        <v>53</v>
      </c>
      <c r="BK2384" t="s">
        <v>59</v>
      </c>
      <c r="BL2384">
        <v>14000</v>
      </c>
      <c r="BM2384" s="1">
        <v>44103</v>
      </c>
      <c r="BN2384" s="1">
        <v>44103</v>
      </c>
      <c r="BO2384" s="1">
        <v>44103</v>
      </c>
      <c r="BP2384" s="1">
        <v>45268</v>
      </c>
      <c r="BQ2384" t="s">
        <v>51</v>
      </c>
      <c r="BS2384" t="s">
        <v>60</v>
      </c>
      <c r="BT2384" t="s">
        <v>54</v>
      </c>
      <c r="BU2384" t="s">
        <v>61</v>
      </c>
      <c r="BV2384" t="s">
        <v>62</v>
      </c>
      <c r="BX2384">
        <v>24</v>
      </c>
      <c r="BY2384">
        <v>0</v>
      </c>
      <c r="BZ2384">
        <v>0</v>
      </c>
      <c r="CX2384" t="s">
        <v>674</v>
      </c>
      <c r="CY2384">
        <v>0</v>
      </c>
      <c r="CZ2384" s="1">
        <v>44320</v>
      </c>
      <c r="DA2384" s="1">
        <v>44320</v>
      </c>
      <c r="DB2384" s="1">
        <v>44320</v>
      </c>
      <c r="DC2384" s="1">
        <v>44320</v>
      </c>
      <c r="DD2384" t="s">
        <v>51</v>
      </c>
      <c r="DF2384" t="s">
        <v>54</v>
      </c>
      <c r="DG2384">
        <v>0</v>
      </c>
      <c r="DH2384">
        <v>0</v>
      </c>
    </row>
    <row r="2385" spans="1:112" x14ac:dyDescent="0.2">
      <c r="A2385" t="s">
        <v>1012</v>
      </c>
      <c r="B2385" t="s">
        <v>1013</v>
      </c>
      <c r="C2385" t="s">
        <v>1052</v>
      </c>
      <c r="D2385" t="s">
        <v>1090</v>
      </c>
      <c r="F2385" t="str">
        <f>"251945"</f>
        <v>251945</v>
      </c>
      <c r="G2385" t="s">
        <v>49</v>
      </c>
      <c r="K2385" t="s">
        <v>51</v>
      </c>
      <c r="L2385" t="s">
        <v>52</v>
      </c>
      <c r="M2385">
        <v>131705.51999999999</v>
      </c>
      <c r="N2385">
        <v>474549.14</v>
      </c>
      <c r="O2385" t="s">
        <v>53</v>
      </c>
      <c r="P2385" t="s">
        <v>54</v>
      </c>
      <c r="Q2385" t="s">
        <v>55</v>
      </c>
      <c r="T2385" t="s">
        <v>100</v>
      </c>
      <c r="U2385">
        <v>40</v>
      </c>
      <c r="V2385" s="1">
        <v>32143</v>
      </c>
      <c r="W2385" s="1">
        <v>32143</v>
      </c>
      <c r="X2385" s="1">
        <v>32143</v>
      </c>
      <c r="Y2385" s="1">
        <v>46753</v>
      </c>
      <c r="Z2385" t="s">
        <v>51</v>
      </c>
      <c r="AB2385" t="s">
        <v>54</v>
      </c>
      <c r="AC2385">
        <v>1</v>
      </c>
      <c r="AE2385" t="s">
        <v>1081</v>
      </c>
      <c r="AF2385">
        <v>20</v>
      </c>
      <c r="AG2385" s="1">
        <v>32325</v>
      </c>
      <c r="AH2385" s="1">
        <v>32325</v>
      </c>
      <c r="AI2385" s="1">
        <v>32325</v>
      </c>
      <c r="AJ2385" s="1">
        <v>39630</v>
      </c>
      <c r="AK2385" t="s">
        <v>51</v>
      </c>
      <c r="AN2385">
        <v>0</v>
      </c>
      <c r="AO2385" t="s">
        <v>54</v>
      </c>
      <c r="AP2385" t="s">
        <v>53</v>
      </c>
      <c r="AQ2385">
        <v>0</v>
      </c>
      <c r="AR2385" t="s">
        <v>53</v>
      </c>
      <c r="AS2385">
        <v>0</v>
      </c>
      <c r="AT2385">
        <v>0</v>
      </c>
      <c r="AW2385" t="s">
        <v>58</v>
      </c>
      <c r="AX2385">
        <v>20</v>
      </c>
      <c r="AY2385" s="1">
        <v>32325</v>
      </c>
      <c r="AZ2385" s="1">
        <v>32325</v>
      </c>
      <c r="BA2385" s="1">
        <v>32325</v>
      </c>
      <c r="BB2385" s="1">
        <v>39630</v>
      </c>
      <c r="BC2385" t="s">
        <v>51</v>
      </c>
      <c r="BE2385" t="s">
        <v>54</v>
      </c>
      <c r="BF2385">
        <v>2</v>
      </c>
      <c r="BG2385">
        <v>0</v>
      </c>
      <c r="BH2385" t="s">
        <v>53</v>
      </c>
      <c r="BK2385" t="s">
        <v>59</v>
      </c>
      <c r="BL2385">
        <v>14000</v>
      </c>
      <c r="BM2385" s="1">
        <v>44103</v>
      </c>
      <c r="BN2385" s="1">
        <v>44103</v>
      </c>
      <c r="BO2385" s="1">
        <v>44103</v>
      </c>
      <c r="BP2385" s="1">
        <v>45268</v>
      </c>
      <c r="BQ2385" t="s">
        <v>51</v>
      </c>
      <c r="BS2385" t="s">
        <v>60</v>
      </c>
      <c r="BT2385" t="s">
        <v>54</v>
      </c>
      <c r="BU2385" t="s">
        <v>61</v>
      </c>
      <c r="BV2385" t="s">
        <v>62</v>
      </c>
      <c r="BX2385">
        <v>24</v>
      </c>
      <c r="BY2385">
        <v>0</v>
      </c>
      <c r="BZ2385">
        <v>0</v>
      </c>
      <c r="CX2385" t="s">
        <v>674</v>
      </c>
      <c r="CY2385">
        <v>0</v>
      </c>
      <c r="CZ2385" s="1">
        <v>44320</v>
      </c>
      <c r="DA2385" s="1">
        <v>44320</v>
      </c>
      <c r="DB2385" s="1">
        <v>44320</v>
      </c>
      <c r="DC2385" s="1">
        <v>44320</v>
      </c>
      <c r="DD2385" t="s">
        <v>51</v>
      </c>
      <c r="DF2385" t="s">
        <v>54</v>
      </c>
      <c r="DG2385">
        <v>0</v>
      </c>
      <c r="DH2385">
        <v>0</v>
      </c>
    </row>
    <row r="2386" spans="1:112" x14ac:dyDescent="0.2">
      <c r="A2386" t="s">
        <v>1012</v>
      </c>
      <c r="B2386" t="s">
        <v>1013</v>
      </c>
      <c r="C2386" t="s">
        <v>1052</v>
      </c>
      <c r="D2386" t="s">
        <v>1090</v>
      </c>
      <c r="F2386" t="str">
        <f>"251946"</f>
        <v>251946</v>
      </c>
      <c r="G2386" t="s">
        <v>49</v>
      </c>
      <c r="K2386" t="s">
        <v>51</v>
      </c>
      <c r="L2386" t="s">
        <v>52</v>
      </c>
      <c r="M2386">
        <v>131713.55100000001</v>
      </c>
      <c r="N2386">
        <v>474579.31400000001</v>
      </c>
      <c r="O2386" t="s">
        <v>53</v>
      </c>
      <c r="P2386" t="s">
        <v>54</v>
      </c>
      <c r="Q2386" t="s">
        <v>55</v>
      </c>
      <c r="T2386" t="s">
        <v>100</v>
      </c>
      <c r="U2386">
        <v>40</v>
      </c>
      <c r="V2386" s="1">
        <v>32143</v>
      </c>
      <c r="W2386" s="1">
        <v>32143</v>
      </c>
      <c r="X2386" s="1">
        <v>32143</v>
      </c>
      <c r="Y2386" s="1">
        <v>46753</v>
      </c>
      <c r="Z2386" t="s">
        <v>51</v>
      </c>
      <c r="AB2386" t="s">
        <v>54</v>
      </c>
      <c r="AC2386">
        <v>1</v>
      </c>
      <c r="AE2386" t="s">
        <v>819</v>
      </c>
      <c r="AF2386">
        <v>20</v>
      </c>
      <c r="AG2386" s="1">
        <v>32325</v>
      </c>
      <c r="AH2386" s="1">
        <v>32325</v>
      </c>
      <c r="AI2386" s="1">
        <v>32325</v>
      </c>
      <c r="AJ2386" s="1">
        <v>39630</v>
      </c>
      <c r="AK2386" t="s">
        <v>51</v>
      </c>
      <c r="AN2386">
        <v>0</v>
      </c>
      <c r="AO2386" t="s">
        <v>54</v>
      </c>
      <c r="AP2386" t="s">
        <v>53</v>
      </c>
      <c r="AQ2386">
        <v>0</v>
      </c>
      <c r="AR2386" t="s">
        <v>53</v>
      </c>
      <c r="AS2386">
        <v>0</v>
      </c>
      <c r="AT2386">
        <v>0</v>
      </c>
      <c r="AW2386" t="s">
        <v>161</v>
      </c>
      <c r="AX2386">
        <v>50</v>
      </c>
      <c r="AY2386" s="1">
        <v>32325</v>
      </c>
      <c r="AZ2386" s="1">
        <v>32325</v>
      </c>
      <c r="BA2386" s="1">
        <v>32325</v>
      </c>
      <c r="BB2386" s="1">
        <v>50587</v>
      </c>
      <c r="BC2386" t="s">
        <v>51</v>
      </c>
      <c r="BE2386" t="s">
        <v>54</v>
      </c>
      <c r="BF2386">
        <v>0</v>
      </c>
      <c r="BG2386">
        <v>0</v>
      </c>
      <c r="BH2386" t="s">
        <v>53</v>
      </c>
      <c r="BK2386" t="s">
        <v>720</v>
      </c>
      <c r="BL2386">
        <v>17000</v>
      </c>
      <c r="BM2386" s="1">
        <v>44508</v>
      </c>
      <c r="BN2386" s="1">
        <v>44508</v>
      </c>
      <c r="BO2386" s="1">
        <v>44508</v>
      </c>
      <c r="BP2386" s="1">
        <v>45950</v>
      </c>
      <c r="BQ2386" t="s">
        <v>51</v>
      </c>
      <c r="BS2386" t="s">
        <v>60</v>
      </c>
      <c r="BT2386" t="s">
        <v>54</v>
      </c>
      <c r="BU2386" t="s">
        <v>721</v>
      </c>
      <c r="BV2386" t="s">
        <v>722</v>
      </c>
      <c r="BX2386">
        <v>18</v>
      </c>
      <c r="BY2386">
        <v>0</v>
      </c>
      <c r="BZ2386">
        <v>0</v>
      </c>
      <c r="CX2386" t="s">
        <v>674</v>
      </c>
      <c r="CY2386">
        <v>0</v>
      </c>
      <c r="CZ2386" s="1">
        <v>44320</v>
      </c>
      <c r="DA2386" s="1">
        <v>44320</v>
      </c>
      <c r="DB2386" s="1">
        <v>44320</v>
      </c>
      <c r="DC2386" s="1">
        <v>44320</v>
      </c>
      <c r="DD2386" t="s">
        <v>51</v>
      </c>
      <c r="DF2386" t="s">
        <v>54</v>
      </c>
      <c r="DG2386">
        <v>0</v>
      </c>
      <c r="DH2386">
        <v>0</v>
      </c>
    </row>
    <row r="2387" spans="1:112" x14ac:dyDescent="0.2">
      <c r="A2387" t="s">
        <v>1012</v>
      </c>
      <c r="B2387" t="s">
        <v>1013</v>
      </c>
      <c r="C2387" t="s">
        <v>1052</v>
      </c>
      <c r="D2387" t="s">
        <v>1090</v>
      </c>
      <c r="F2387" t="str">
        <f>"251947"</f>
        <v>251947</v>
      </c>
      <c r="G2387" t="s">
        <v>49</v>
      </c>
      <c r="K2387" t="s">
        <v>51</v>
      </c>
      <c r="L2387" t="s">
        <v>52</v>
      </c>
      <c r="M2387">
        <v>131689.95000000001</v>
      </c>
      <c r="N2387">
        <v>474583.01</v>
      </c>
      <c r="O2387" t="s">
        <v>53</v>
      </c>
      <c r="P2387" t="s">
        <v>54</v>
      </c>
      <c r="Q2387" t="s">
        <v>55</v>
      </c>
      <c r="T2387" t="s">
        <v>100</v>
      </c>
      <c r="U2387">
        <v>40</v>
      </c>
      <c r="V2387" s="1">
        <v>32143</v>
      </c>
      <c r="W2387" s="1">
        <v>32143</v>
      </c>
      <c r="X2387" s="1">
        <v>32143</v>
      </c>
      <c r="Y2387" s="1">
        <v>46753</v>
      </c>
      <c r="Z2387" t="s">
        <v>51</v>
      </c>
      <c r="AB2387" t="s">
        <v>54</v>
      </c>
      <c r="AC2387">
        <v>1</v>
      </c>
      <c r="AE2387" t="s">
        <v>819</v>
      </c>
      <c r="AF2387">
        <v>20</v>
      </c>
      <c r="AG2387" s="1">
        <v>32325</v>
      </c>
      <c r="AH2387" s="1">
        <v>32325</v>
      </c>
      <c r="AI2387" s="1">
        <v>32325</v>
      </c>
      <c r="AJ2387" s="1">
        <v>39630</v>
      </c>
      <c r="AK2387" t="s">
        <v>51</v>
      </c>
      <c r="AN2387">
        <v>0</v>
      </c>
      <c r="AO2387" t="s">
        <v>54</v>
      </c>
      <c r="AP2387" t="s">
        <v>53</v>
      </c>
      <c r="AQ2387">
        <v>0</v>
      </c>
      <c r="AR2387" t="s">
        <v>53</v>
      </c>
      <c r="AS2387">
        <v>0</v>
      </c>
      <c r="AT2387">
        <v>0</v>
      </c>
      <c r="AW2387" t="s">
        <v>161</v>
      </c>
      <c r="AX2387">
        <v>50</v>
      </c>
      <c r="AY2387" s="1">
        <v>32325</v>
      </c>
      <c r="AZ2387" s="1">
        <v>32325</v>
      </c>
      <c r="BA2387" s="1">
        <v>32325</v>
      </c>
      <c r="BB2387" s="1">
        <v>50587</v>
      </c>
      <c r="BC2387" t="s">
        <v>51</v>
      </c>
      <c r="BE2387" t="s">
        <v>54</v>
      </c>
      <c r="BF2387">
        <v>0</v>
      </c>
      <c r="BG2387">
        <v>0</v>
      </c>
      <c r="BH2387" t="s">
        <v>53</v>
      </c>
      <c r="BK2387" t="s">
        <v>720</v>
      </c>
      <c r="BL2387">
        <v>17000</v>
      </c>
      <c r="BM2387" s="1">
        <v>44103</v>
      </c>
      <c r="BN2387" s="1">
        <v>44103</v>
      </c>
      <c r="BO2387" s="1">
        <v>44103</v>
      </c>
      <c r="BP2387" s="1">
        <v>45539</v>
      </c>
      <c r="BQ2387" t="s">
        <v>51</v>
      </c>
      <c r="BS2387" t="s">
        <v>60</v>
      </c>
      <c r="BT2387" t="s">
        <v>54</v>
      </c>
      <c r="BU2387" t="s">
        <v>721</v>
      </c>
      <c r="BV2387" t="s">
        <v>722</v>
      </c>
      <c r="BX2387">
        <v>18</v>
      </c>
      <c r="BY2387">
        <v>0</v>
      </c>
      <c r="BZ2387">
        <v>0</v>
      </c>
      <c r="CX2387" t="s">
        <v>674</v>
      </c>
      <c r="CY2387">
        <v>0</v>
      </c>
      <c r="CZ2387" s="1">
        <v>44320</v>
      </c>
      <c r="DA2387" s="1">
        <v>44320</v>
      </c>
      <c r="DB2387" s="1">
        <v>44320</v>
      </c>
      <c r="DC2387" s="1">
        <v>44320</v>
      </c>
      <c r="DD2387" t="s">
        <v>51</v>
      </c>
      <c r="DF2387" t="s">
        <v>54</v>
      </c>
      <c r="DG2387">
        <v>0</v>
      </c>
      <c r="DH2387">
        <v>0</v>
      </c>
    </row>
    <row r="2388" spans="1:112" x14ac:dyDescent="0.2">
      <c r="A2388" t="s">
        <v>1012</v>
      </c>
      <c r="B2388" t="s">
        <v>1013</v>
      </c>
      <c r="C2388" t="s">
        <v>1052</v>
      </c>
      <c r="D2388" t="s">
        <v>1090</v>
      </c>
      <c r="F2388" t="str">
        <f>"251948"</f>
        <v>251948</v>
      </c>
      <c r="G2388" t="s">
        <v>49</v>
      </c>
      <c r="K2388" t="s">
        <v>51</v>
      </c>
      <c r="L2388" t="s">
        <v>52</v>
      </c>
      <c r="M2388">
        <v>131665.334</v>
      </c>
      <c r="N2388">
        <v>474550.57799999998</v>
      </c>
      <c r="O2388" t="s">
        <v>53</v>
      </c>
      <c r="P2388" t="s">
        <v>54</v>
      </c>
      <c r="Q2388" t="s">
        <v>55</v>
      </c>
      <c r="T2388" t="s">
        <v>100</v>
      </c>
      <c r="U2388">
        <v>40</v>
      </c>
      <c r="V2388" s="1">
        <v>32143</v>
      </c>
      <c r="W2388" s="1">
        <v>32143</v>
      </c>
      <c r="X2388" s="1">
        <v>32143</v>
      </c>
      <c r="Y2388" s="1">
        <v>46753</v>
      </c>
      <c r="Z2388" t="s">
        <v>51</v>
      </c>
      <c r="AB2388" t="s">
        <v>54</v>
      </c>
      <c r="AC2388">
        <v>1</v>
      </c>
      <c r="AE2388" t="s">
        <v>819</v>
      </c>
      <c r="AF2388">
        <v>20</v>
      </c>
      <c r="AG2388" s="1">
        <v>32325</v>
      </c>
      <c r="AH2388" s="1">
        <v>32325</v>
      </c>
      <c r="AI2388" s="1">
        <v>32325</v>
      </c>
      <c r="AJ2388" s="1">
        <v>39630</v>
      </c>
      <c r="AK2388" t="s">
        <v>51</v>
      </c>
      <c r="AN2388">
        <v>0</v>
      </c>
      <c r="AO2388" t="s">
        <v>54</v>
      </c>
      <c r="AP2388" t="s">
        <v>53</v>
      </c>
      <c r="AQ2388">
        <v>0</v>
      </c>
      <c r="AR2388" t="s">
        <v>53</v>
      </c>
      <c r="AS2388">
        <v>0</v>
      </c>
      <c r="AT2388">
        <v>0</v>
      </c>
      <c r="AW2388" t="s">
        <v>161</v>
      </c>
      <c r="AX2388">
        <v>50</v>
      </c>
      <c r="AY2388" s="1">
        <v>32325</v>
      </c>
      <c r="AZ2388" s="1">
        <v>32325</v>
      </c>
      <c r="BA2388" s="1">
        <v>32325</v>
      </c>
      <c r="BB2388" s="1">
        <v>50587</v>
      </c>
      <c r="BC2388" t="s">
        <v>51</v>
      </c>
      <c r="BE2388" t="s">
        <v>54</v>
      </c>
      <c r="BF2388">
        <v>0</v>
      </c>
      <c r="BG2388">
        <v>0</v>
      </c>
      <c r="BH2388" t="s">
        <v>53</v>
      </c>
      <c r="BK2388" t="s">
        <v>720</v>
      </c>
      <c r="BL2388">
        <v>17000</v>
      </c>
      <c r="BM2388" s="1">
        <v>44103</v>
      </c>
      <c r="BN2388" s="1">
        <v>44103</v>
      </c>
      <c r="BO2388" s="1">
        <v>44103</v>
      </c>
      <c r="BP2388" s="1">
        <v>45539</v>
      </c>
      <c r="BQ2388" t="s">
        <v>51</v>
      </c>
      <c r="BS2388" t="s">
        <v>60</v>
      </c>
      <c r="BT2388" t="s">
        <v>54</v>
      </c>
      <c r="BU2388" t="s">
        <v>721</v>
      </c>
      <c r="BV2388" t="s">
        <v>722</v>
      </c>
      <c r="BX2388">
        <v>18</v>
      </c>
      <c r="BY2388">
        <v>0</v>
      </c>
      <c r="BZ2388">
        <v>0</v>
      </c>
      <c r="CX2388" t="s">
        <v>674</v>
      </c>
      <c r="CY2388">
        <v>0</v>
      </c>
      <c r="CZ2388" s="1">
        <v>44320</v>
      </c>
      <c r="DA2388" s="1">
        <v>44320</v>
      </c>
      <c r="DB2388" s="1">
        <v>44320</v>
      </c>
      <c r="DC2388" s="1">
        <v>44320</v>
      </c>
      <c r="DD2388" t="s">
        <v>51</v>
      </c>
      <c r="DF2388" t="s">
        <v>54</v>
      </c>
      <c r="DG2388">
        <v>0</v>
      </c>
      <c r="DH2388">
        <v>0</v>
      </c>
    </row>
    <row r="2389" spans="1:112" x14ac:dyDescent="0.2">
      <c r="A2389" t="s">
        <v>1012</v>
      </c>
      <c r="B2389" t="s">
        <v>1013</v>
      </c>
      <c r="C2389" t="s">
        <v>1052</v>
      </c>
      <c r="D2389" t="s">
        <v>1090</v>
      </c>
      <c r="F2389" t="str">
        <f>"251949"</f>
        <v>251949</v>
      </c>
      <c r="G2389" t="s">
        <v>49</v>
      </c>
      <c r="H2389">
        <v>34</v>
      </c>
      <c r="K2389" t="s">
        <v>51</v>
      </c>
      <c r="L2389" t="s">
        <v>52</v>
      </c>
      <c r="M2389">
        <v>131677.94</v>
      </c>
      <c r="N2389">
        <v>474567.69</v>
      </c>
      <c r="O2389" t="s">
        <v>53</v>
      </c>
      <c r="P2389" t="s">
        <v>54</v>
      </c>
      <c r="Q2389" t="s">
        <v>55</v>
      </c>
      <c r="T2389" t="s">
        <v>100</v>
      </c>
      <c r="U2389">
        <v>40</v>
      </c>
      <c r="V2389" s="1">
        <v>32143</v>
      </c>
      <c r="W2389" s="1">
        <v>32143</v>
      </c>
      <c r="X2389" s="1">
        <v>32143</v>
      </c>
      <c r="Y2389" s="1">
        <v>46753</v>
      </c>
      <c r="Z2389" t="s">
        <v>51</v>
      </c>
      <c r="AB2389" t="s">
        <v>54</v>
      </c>
      <c r="AC2389">
        <v>1</v>
      </c>
      <c r="AE2389" t="s">
        <v>819</v>
      </c>
      <c r="AF2389">
        <v>20</v>
      </c>
      <c r="AG2389" s="1">
        <v>32325</v>
      </c>
      <c r="AH2389" s="1">
        <v>32325</v>
      </c>
      <c r="AI2389" s="1">
        <v>32325</v>
      </c>
      <c r="AJ2389" s="1">
        <v>39630</v>
      </c>
      <c r="AK2389" t="s">
        <v>51</v>
      </c>
      <c r="AN2389">
        <v>0</v>
      </c>
      <c r="AO2389" t="s">
        <v>54</v>
      </c>
      <c r="AP2389" t="s">
        <v>53</v>
      </c>
      <c r="AQ2389">
        <v>0</v>
      </c>
      <c r="AR2389" t="s">
        <v>53</v>
      </c>
      <c r="AS2389">
        <v>0</v>
      </c>
      <c r="AT2389">
        <v>0</v>
      </c>
      <c r="AW2389" t="s">
        <v>161</v>
      </c>
      <c r="AX2389">
        <v>50</v>
      </c>
      <c r="AY2389" s="1">
        <v>32325</v>
      </c>
      <c r="AZ2389" s="1">
        <v>32325</v>
      </c>
      <c r="BA2389" s="1">
        <v>32325</v>
      </c>
      <c r="BB2389" s="1">
        <v>50587</v>
      </c>
      <c r="BC2389" t="s">
        <v>51</v>
      </c>
      <c r="BE2389" t="s">
        <v>54</v>
      </c>
      <c r="BF2389">
        <v>0</v>
      </c>
      <c r="BG2389">
        <v>0</v>
      </c>
      <c r="BH2389" t="s">
        <v>53</v>
      </c>
      <c r="BK2389" t="s">
        <v>720</v>
      </c>
      <c r="BL2389">
        <v>17000</v>
      </c>
      <c r="BM2389" s="1">
        <v>44103</v>
      </c>
      <c r="BN2389" s="1">
        <v>44103</v>
      </c>
      <c r="BO2389" s="1">
        <v>44103</v>
      </c>
      <c r="BP2389" s="1">
        <v>45539</v>
      </c>
      <c r="BQ2389" t="s">
        <v>51</v>
      </c>
      <c r="BS2389" t="s">
        <v>60</v>
      </c>
      <c r="BT2389" t="s">
        <v>54</v>
      </c>
      <c r="BU2389" t="s">
        <v>721</v>
      </c>
      <c r="BV2389" t="s">
        <v>722</v>
      </c>
      <c r="BX2389">
        <v>18</v>
      </c>
      <c r="BY2389">
        <v>0</v>
      </c>
      <c r="BZ2389">
        <v>0</v>
      </c>
      <c r="CX2389" t="s">
        <v>674</v>
      </c>
      <c r="CY2389">
        <v>0</v>
      </c>
      <c r="CZ2389" s="1">
        <v>44320</v>
      </c>
      <c r="DA2389" s="1">
        <v>44320</v>
      </c>
      <c r="DB2389" s="1">
        <v>44320</v>
      </c>
      <c r="DC2389" s="1">
        <v>44320</v>
      </c>
      <c r="DD2389" t="s">
        <v>51</v>
      </c>
      <c r="DF2389" t="s">
        <v>54</v>
      </c>
      <c r="DG2389">
        <v>0</v>
      </c>
      <c r="DH2389">
        <v>0</v>
      </c>
    </row>
    <row r="2390" spans="1:112" x14ac:dyDescent="0.2">
      <c r="A2390" t="s">
        <v>1012</v>
      </c>
      <c r="B2390" t="s">
        <v>1013</v>
      </c>
      <c r="C2390" t="s">
        <v>1052</v>
      </c>
      <c r="D2390" t="s">
        <v>1090</v>
      </c>
      <c r="F2390" t="str">
        <f>"251950"</f>
        <v>251950</v>
      </c>
      <c r="G2390" t="s">
        <v>49</v>
      </c>
      <c r="H2390">
        <v>34</v>
      </c>
      <c r="K2390" t="s">
        <v>51</v>
      </c>
      <c r="L2390" t="s">
        <v>52</v>
      </c>
      <c r="M2390">
        <v>131656.6</v>
      </c>
      <c r="N2390">
        <v>474578.01</v>
      </c>
      <c r="O2390" t="s">
        <v>53</v>
      </c>
      <c r="P2390" t="s">
        <v>54</v>
      </c>
      <c r="Q2390" t="s">
        <v>55</v>
      </c>
      <c r="T2390" t="s">
        <v>100</v>
      </c>
      <c r="U2390">
        <v>40</v>
      </c>
      <c r="V2390" s="1">
        <v>32143</v>
      </c>
      <c r="W2390" s="1">
        <v>32143</v>
      </c>
      <c r="X2390" s="1">
        <v>32143</v>
      </c>
      <c r="Y2390" s="1">
        <v>46753</v>
      </c>
      <c r="Z2390" t="s">
        <v>51</v>
      </c>
      <c r="AB2390" t="s">
        <v>54</v>
      </c>
      <c r="AC2390">
        <v>1</v>
      </c>
      <c r="AE2390" t="s">
        <v>819</v>
      </c>
      <c r="AF2390">
        <v>20</v>
      </c>
      <c r="AG2390" s="1">
        <v>32325</v>
      </c>
      <c r="AH2390" s="1">
        <v>32325</v>
      </c>
      <c r="AI2390" s="1">
        <v>32325</v>
      </c>
      <c r="AJ2390" s="1">
        <v>39630</v>
      </c>
      <c r="AK2390" t="s">
        <v>51</v>
      </c>
      <c r="AN2390">
        <v>0</v>
      </c>
      <c r="AO2390" t="s">
        <v>54</v>
      </c>
      <c r="AP2390" t="s">
        <v>53</v>
      </c>
      <c r="AQ2390">
        <v>0</v>
      </c>
      <c r="AR2390" t="s">
        <v>53</v>
      </c>
      <c r="AS2390">
        <v>0</v>
      </c>
      <c r="AT2390">
        <v>0</v>
      </c>
      <c r="AW2390" t="s">
        <v>161</v>
      </c>
      <c r="AX2390">
        <v>50</v>
      </c>
      <c r="AY2390" s="1">
        <v>32325</v>
      </c>
      <c r="AZ2390" s="1">
        <v>32325</v>
      </c>
      <c r="BA2390" s="1">
        <v>32325</v>
      </c>
      <c r="BB2390" s="1">
        <v>50587</v>
      </c>
      <c r="BC2390" t="s">
        <v>51</v>
      </c>
      <c r="BE2390" t="s">
        <v>54</v>
      </c>
      <c r="BF2390">
        <v>0</v>
      </c>
      <c r="BG2390">
        <v>0</v>
      </c>
      <c r="BH2390" t="s">
        <v>53</v>
      </c>
      <c r="BK2390" t="s">
        <v>720</v>
      </c>
      <c r="BL2390">
        <v>17000</v>
      </c>
      <c r="BM2390" s="1">
        <v>44103</v>
      </c>
      <c r="BN2390" s="1">
        <v>44103</v>
      </c>
      <c r="BO2390" s="1">
        <v>44103</v>
      </c>
      <c r="BP2390" s="1">
        <v>45539</v>
      </c>
      <c r="BQ2390" t="s">
        <v>51</v>
      </c>
      <c r="BS2390" t="s">
        <v>60</v>
      </c>
      <c r="BT2390" t="s">
        <v>54</v>
      </c>
      <c r="BU2390" t="s">
        <v>721</v>
      </c>
      <c r="BV2390" t="s">
        <v>722</v>
      </c>
      <c r="BX2390">
        <v>18</v>
      </c>
      <c r="BY2390">
        <v>0</v>
      </c>
      <c r="BZ2390">
        <v>0</v>
      </c>
      <c r="CX2390" t="s">
        <v>674</v>
      </c>
      <c r="CY2390">
        <v>0</v>
      </c>
      <c r="CZ2390" s="1">
        <v>44320</v>
      </c>
      <c r="DA2390" s="1">
        <v>44320</v>
      </c>
      <c r="DB2390" s="1">
        <v>44320</v>
      </c>
      <c r="DC2390" s="1">
        <v>44320</v>
      </c>
      <c r="DD2390" t="s">
        <v>51</v>
      </c>
      <c r="DF2390" t="s">
        <v>54</v>
      </c>
      <c r="DG2390">
        <v>0</v>
      </c>
      <c r="DH2390">
        <v>0</v>
      </c>
    </row>
    <row r="2391" spans="1:112" x14ac:dyDescent="0.2">
      <c r="A2391" t="s">
        <v>1012</v>
      </c>
      <c r="B2391" t="s">
        <v>1013</v>
      </c>
      <c r="C2391" t="s">
        <v>1052</v>
      </c>
      <c r="D2391" t="s">
        <v>1090</v>
      </c>
      <c r="F2391" t="str">
        <f>"251951"</f>
        <v>251951</v>
      </c>
      <c r="G2391" t="s">
        <v>49</v>
      </c>
      <c r="H2391">
        <v>34</v>
      </c>
      <c r="K2391" t="s">
        <v>51</v>
      </c>
      <c r="L2391" t="s">
        <v>52</v>
      </c>
      <c r="M2391">
        <v>131663.45000000001</v>
      </c>
      <c r="N2391">
        <v>474586.55</v>
      </c>
      <c r="O2391" t="s">
        <v>53</v>
      </c>
      <c r="P2391" t="s">
        <v>54</v>
      </c>
      <c r="Q2391" t="s">
        <v>55</v>
      </c>
      <c r="T2391" t="s">
        <v>100</v>
      </c>
      <c r="U2391">
        <v>40</v>
      </c>
      <c r="V2391" s="1">
        <v>32143</v>
      </c>
      <c r="W2391" s="1">
        <v>32143</v>
      </c>
      <c r="X2391" s="1">
        <v>32143</v>
      </c>
      <c r="Y2391" s="1">
        <v>46753</v>
      </c>
      <c r="Z2391" t="s">
        <v>51</v>
      </c>
      <c r="AB2391" t="s">
        <v>54</v>
      </c>
      <c r="AC2391">
        <v>1</v>
      </c>
      <c r="AE2391" t="s">
        <v>819</v>
      </c>
      <c r="AF2391">
        <v>20</v>
      </c>
      <c r="AG2391" s="1">
        <v>32325</v>
      </c>
      <c r="AH2391" s="1">
        <v>32325</v>
      </c>
      <c r="AI2391" s="1">
        <v>32325</v>
      </c>
      <c r="AJ2391" s="1">
        <v>39630</v>
      </c>
      <c r="AK2391" t="s">
        <v>51</v>
      </c>
      <c r="AN2391">
        <v>0</v>
      </c>
      <c r="AO2391" t="s">
        <v>54</v>
      </c>
      <c r="AP2391" t="s">
        <v>53</v>
      </c>
      <c r="AQ2391">
        <v>0</v>
      </c>
      <c r="AR2391" t="s">
        <v>53</v>
      </c>
      <c r="AS2391">
        <v>0</v>
      </c>
      <c r="AT2391">
        <v>0</v>
      </c>
      <c r="AW2391" t="s">
        <v>161</v>
      </c>
      <c r="AX2391">
        <v>50</v>
      </c>
      <c r="AY2391" s="1">
        <v>32325</v>
      </c>
      <c r="AZ2391" s="1">
        <v>32325</v>
      </c>
      <c r="BA2391" s="1">
        <v>32325</v>
      </c>
      <c r="BB2391" s="1">
        <v>50587</v>
      </c>
      <c r="BC2391" t="s">
        <v>51</v>
      </c>
      <c r="BE2391" t="s">
        <v>54</v>
      </c>
      <c r="BF2391">
        <v>0</v>
      </c>
      <c r="BG2391">
        <v>0</v>
      </c>
      <c r="BH2391" t="s">
        <v>53</v>
      </c>
      <c r="BK2391" t="s">
        <v>720</v>
      </c>
      <c r="BL2391">
        <v>17000</v>
      </c>
      <c r="BM2391" s="1">
        <v>44103</v>
      </c>
      <c r="BN2391" s="1">
        <v>44103</v>
      </c>
      <c r="BO2391" s="1">
        <v>44103</v>
      </c>
      <c r="BP2391" s="1">
        <v>45539</v>
      </c>
      <c r="BQ2391" t="s">
        <v>51</v>
      </c>
      <c r="BS2391" t="s">
        <v>60</v>
      </c>
      <c r="BT2391" t="s">
        <v>54</v>
      </c>
      <c r="BU2391" t="s">
        <v>721</v>
      </c>
      <c r="BV2391" t="s">
        <v>722</v>
      </c>
      <c r="BX2391">
        <v>18</v>
      </c>
      <c r="BY2391">
        <v>0</v>
      </c>
      <c r="BZ2391">
        <v>0</v>
      </c>
      <c r="CX2391" t="s">
        <v>674</v>
      </c>
      <c r="CY2391">
        <v>0</v>
      </c>
      <c r="CZ2391" s="1">
        <v>44320</v>
      </c>
      <c r="DA2391" s="1">
        <v>44320</v>
      </c>
      <c r="DB2391" s="1">
        <v>44320</v>
      </c>
      <c r="DC2391" s="1">
        <v>44320</v>
      </c>
      <c r="DD2391" t="s">
        <v>51</v>
      </c>
      <c r="DF2391" t="s">
        <v>54</v>
      </c>
      <c r="DG2391">
        <v>0</v>
      </c>
      <c r="DH2391">
        <v>0</v>
      </c>
    </row>
    <row r="2392" spans="1:112" x14ac:dyDescent="0.2">
      <c r="A2392" t="s">
        <v>1012</v>
      </c>
      <c r="B2392" t="s">
        <v>1013</v>
      </c>
      <c r="C2392" t="s">
        <v>1052</v>
      </c>
      <c r="D2392" t="s">
        <v>1090</v>
      </c>
      <c r="F2392" t="str">
        <f>"251952"</f>
        <v>251952</v>
      </c>
      <c r="G2392" t="s">
        <v>49</v>
      </c>
      <c r="H2392">
        <v>33</v>
      </c>
      <c r="K2392" t="s">
        <v>51</v>
      </c>
      <c r="L2392" t="s">
        <v>52</v>
      </c>
      <c r="M2392">
        <v>131658.78</v>
      </c>
      <c r="N2392">
        <v>474604.13</v>
      </c>
      <c r="O2392" t="s">
        <v>53</v>
      </c>
      <c r="P2392" t="s">
        <v>54</v>
      </c>
      <c r="Q2392" t="s">
        <v>55</v>
      </c>
      <c r="T2392" t="s">
        <v>100</v>
      </c>
      <c r="U2392">
        <v>40</v>
      </c>
      <c r="V2392" s="1">
        <v>32143</v>
      </c>
      <c r="W2392" s="1">
        <v>32143</v>
      </c>
      <c r="X2392" s="1">
        <v>32143</v>
      </c>
      <c r="Y2392" s="1">
        <v>46753</v>
      </c>
      <c r="Z2392" t="s">
        <v>51</v>
      </c>
      <c r="AB2392" t="s">
        <v>54</v>
      </c>
      <c r="AC2392">
        <v>1</v>
      </c>
      <c r="AE2392" t="s">
        <v>819</v>
      </c>
      <c r="AF2392">
        <v>20</v>
      </c>
      <c r="AG2392" s="1">
        <v>35977</v>
      </c>
      <c r="AH2392" s="1">
        <v>35977</v>
      </c>
      <c r="AI2392" s="1">
        <v>35977</v>
      </c>
      <c r="AJ2392" s="1">
        <v>43282</v>
      </c>
      <c r="AK2392" t="s">
        <v>51</v>
      </c>
      <c r="AN2392">
        <v>0</v>
      </c>
      <c r="AO2392" t="s">
        <v>54</v>
      </c>
      <c r="AP2392" t="s">
        <v>53</v>
      </c>
      <c r="AQ2392">
        <v>0</v>
      </c>
      <c r="AR2392" t="s">
        <v>53</v>
      </c>
      <c r="AS2392">
        <v>0</v>
      </c>
      <c r="AT2392">
        <v>0</v>
      </c>
      <c r="AW2392" t="s">
        <v>161</v>
      </c>
      <c r="AX2392">
        <v>50</v>
      </c>
      <c r="AY2392" s="1">
        <v>35977</v>
      </c>
      <c r="AZ2392" s="1">
        <v>35977</v>
      </c>
      <c r="BA2392" s="1">
        <v>35977</v>
      </c>
      <c r="BB2392" s="1">
        <v>54240</v>
      </c>
      <c r="BC2392" t="s">
        <v>51</v>
      </c>
      <c r="BE2392" t="s">
        <v>54</v>
      </c>
      <c r="BF2392">
        <v>0</v>
      </c>
      <c r="BG2392">
        <v>0</v>
      </c>
      <c r="BH2392" t="s">
        <v>53</v>
      </c>
      <c r="BK2392" t="s">
        <v>720</v>
      </c>
      <c r="BL2392">
        <v>17000</v>
      </c>
      <c r="BM2392" s="1">
        <v>44103</v>
      </c>
      <c r="BN2392" s="1">
        <v>44103</v>
      </c>
      <c r="BO2392" s="1">
        <v>44103</v>
      </c>
      <c r="BP2392" s="1">
        <v>45539</v>
      </c>
      <c r="BQ2392" t="s">
        <v>51</v>
      </c>
      <c r="BS2392" t="s">
        <v>60</v>
      </c>
      <c r="BT2392" t="s">
        <v>54</v>
      </c>
      <c r="BU2392" t="s">
        <v>721</v>
      </c>
      <c r="BV2392" t="s">
        <v>722</v>
      </c>
      <c r="BX2392">
        <v>18</v>
      </c>
      <c r="BY2392">
        <v>0</v>
      </c>
      <c r="BZ2392">
        <v>0</v>
      </c>
      <c r="CX2392" t="s">
        <v>674</v>
      </c>
      <c r="CY2392">
        <v>0</v>
      </c>
      <c r="CZ2392" s="1">
        <v>44320</v>
      </c>
      <c r="DA2392" s="1">
        <v>44320</v>
      </c>
      <c r="DB2392" s="1">
        <v>44320</v>
      </c>
      <c r="DC2392" s="1">
        <v>44320</v>
      </c>
      <c r="DD2392" t="s">
        <v>51</v>
      </c>
      <c r="DF2392" t="s">
        <v>54</v>
      </c>
      <c r="DG2392">
        <v>0</v>
      </c>
      <c r="DH2392">
        <v>0</v>
      </c>
    </row>
    <row r="2393" spans="1:112" x14ac:dyDescent="0.2">
      <c r="A2393" t="s">
        <v>1012</v>
      </c>
      <c r="B2393" t="s">
        <v>1013</v>
      </c>
      <c r="C2393" t="s">
        <v>1052</v>
      </c>
      <c r="D2393" t="s">
        <v>1090</v>
      </c>
      <c r="F2393" t="str">
        <f>"251953"</f>
        <v>251953</v>
      </c>
      <c r="G2393" t="s">
        <v>49</v>
      </c>
      <c r="H2393">
        <v>35</v>
      </c>
      <c r="K2393" t="s">
        <v>51</v>
      </c>
      <c r="L2393" t="s">
        <v>52</v>
      </c>
      <c r="M2393">
        <v>131672.59</v>
      </c>
      <c r="N2393">
        <v>474615.18</v>
      </c>
      <c r="O2393" t="s">
        <v>53</v>
      </c>
      <c r="P2393" t="s">
        <v>54</v>
      </c>
      <c r="Q2393" t="s">
        <v>55</v>
      </c>
      <c r="T2393" t="s">
        <v>100</v>
      </c>
      <c r="U2393">
        <v>40</v>
      </c>
      <c r="V2393" s="1">
        <v>32143</v>
      </c>
      <c r="W2393" s="1">
        <v>32143</v>
      </c>
      <c r="X2393" s="1">
        <v>32143</v>
      </c>
      <c r="Y2393" s="1">
        <v>46753</v>
      </c>
      <c r="Z2393" t="s">
        <v>51</v>
      </c>
      <c r="AB2393" t="s">
        <v>54</v>
      </c>
      <c r="AC2393">
        <v>1</v>
      </c>
      <c r="AE2393" t="s">
        <v>819</v>
      </c>
      <c r="AF2393">
        <v>20</v>
      </c>
      <c r="AG2393" s="1">
        <v>32325</v>
      </c>
      <c r="AH2393" s="1">
        <v>32325</v>
      </c>
      <c r="AI2393" s="1">
        <v>32325</v>
      </c>
      <c r="AJ2393" s="1">
        <v>39630</v>
      </c>
      <c r="AK2393" t="s">
        <v>51</v>
      </c>
      <c r="AN2393">
        <v>0</v>
      </c>
      <c r="AO2393" t="s">
        <v>54</v>
      </c>
      <c r="AP2393" t="s">
        <v>53</v>
      </c>
      <c r="AQ2393">
        <v>0</v>
      </c>
      <c r="AR2393" t="s">
        <v>53</v>
      </c>
      <c r="AS2393">
        <v>0</v>
      </c>
      <c r="AT2393">
        <v>0</v>
      </c>
      <c r="AW2393" t="s">
        <v>161</v>
      </c>
      <c r="AX2393">
        <v>50</v>
      </c>
      <c r="AY2393" s="1">
        <v>32325</v>
      </c>
      <c r="AZ2393" s="1">
        <v>32325</v>
      </c>
      <c r="BA2393" s="1">
        <v>32325</v>
      </c>
      <c r="BB2393" s="1">
        <v>50587</v>
      </c>
      <c r="BC2393" t="s">
        <v>51</v>
      </c>
      <c r="BE2393" t="s">
        <v>54</v>
      </c>
      <c r="BF2393">
        <v>0</v>
      </c>
      <c r="BG2393">
        <v>0</v>
      </c>
      <c r="BH2393" t="s">
        <v>53</v>
      </c>
      <c r="BK2393" t="s">
        <v>720</v>
      </c>
      <c r="BL2393">
        <v>17000</v>
      </c>
      <c r="BM2393" s="1">
        <v>45005</v>
      </c>
      <c r="BN2393" s="1">
        <v>45005</v>
      </c>
      <c r="BO2393" s="1">
        <v>45005</v>
      </c>
      <c r="BP2393" s="1">
        <v>46442</v>
      </c>
      <c r="BQ2393" t="s">
        <v>51</v>
      </c>
      <c r="BS2393" t="s">
        <v>60</v>
      </c>
      <c r="BT2393" t="s">
        <v>54</v>
      </c>
      <c r="BU2393" t="s">
        <v>721</v>
      </c>
      <c r="BV2393" t="s">
        <v>722</v>
      </c>
      <c r="BX2393">
        <v>18</v>
      </c>
      <c r="BY2393">
        <v>0</v>
      </c>
      <c r="BZ2393">
        <v>0</v>
      </c>
      <c r="CX2393" t="s">
        <v>674</v>
      </c>
      <c r="CY2393">
        <v>0</v>
      </c>
      <c r="CZ2393" s="1">
        <v>44320</v>
      </c>
      <c r="DA2393" s="1">
        <v>44320</v>
      </c>
      <c r="DB2393" s="1">
        <v>44320</v>
      </c>
      <c r="DC2393" s="1">
        <v>44320</v>
      </c>
      <c r="DD2393" t="s">
        <v>51</v>
      </c>
      <c r="DF2393" t="s">
        <v>54</v>
      </c>
      <c r="DG2393">
        <v>0</v>
      </c>
      <c r="DH2393">
        <v>0</v>
      </c>
    </row>
    <row r="2394" spans="1:112" x14ac:dyDescent="0.2">
      <c r="A2394" t="s">
        <v>1012</v>
      </c>
      <c r="B2394" t="s">
        <v>1013</v>
      </c>
      <c r="C2394" t="s">
        <v>1052</v>
      </c>
      <c r="D2394" t="s">
        <v>1090</v>
      </c>
      <c r="F2394" t="str">
        <f>"251954"</f>
        <v>251954</v>
      </c>
      <c r="G2394" t="s">
        <v>49</v>
      </c>
      <c r="H2394">
        <v>35</v>
      </c>
      <c r="K2394" t="s">
        <v>51</v>
      </c>
      <c r="L2394" t="s">
        <v>52</v>
      </c>
      <c r="M2394">
        <v>131696.35999999999</v>
      </c>
      <c r="N2394">
        <v>474611.88</v>
      </c>
      <c r="O2394" t="s">
        <v>53</v>
      </c>
      <c r="P2394" t="s">
        <v>54</v>
      </c>
      <c r="Q2394" t="s">
        <v>55</v>
      </c>
      <c r="T2394" t="s">
        <v>100</v>
      </c>
      <c r="U2394">
        <v>40</v>
      </c>
      <c r="V2394" s="1">
        <v>32143</v>
      </c>
      <c r="W2394" s="1">
        <v>32143</v>
      </c>
      <c r="X2394" s="1">
        <v>32143</v>
      </c>
      <c r="Y2394" s="1">
        <v>46753</v>
      </c>
      <c r="Z2394" t="s">
        <v>51</v>
      </c>
      <c r="AB2394" t="s">
        <v>54</v>
      </c>
      <c r="AC2394">
        <v>1</v>
      </c>
      <c r="AE2394" t="s">
        <v>819</v>
      </c>
      <c r="AF2394">
        <v>20</v>
      </c>
      <c r="AG2394" s="1">
        <v>32325</v>
      </c>
      <c r="AH2394" s="1">
        <v>32325</v>
      </c>
      <c r="AI2394" s="1">
        <v>32325</v>
      </c>
      <c r="AJ2394" s="1">
        <v>39630</v>
      </c>
      <c r="AK2394" t="s">
        <v>51</v>
      </c>
      <c r="AN2394">
        <v>0</v>
      </c>
      <c r="AO2394" t="s">
        <v>54</v>
      </c>
      <c r="AP2394" t="s">
        <v>53</v>
      </c>
      <c r="AQ2394">
        <v>0</v>
      </c>
      <c r="AR2394" t="s">
        <v>53</v>
      </c>
      <c r="AS2394">
        <v>0</v>
      </c>
      <c r="AT2394">
        <v>0</v>
      </c>
      <c r="AW2394" t="s">
        <v>333</v>
      </c>
      <c r="AX2394">
        <v>0</v>
      </c>
      <c r="AY2394" s="1">
        <v>43633</v>
      </c>
      <c r="AZ2394" s="1">
        <v>43633</v>
      </c>
      <c r="BA2394" s="1">
        <v>43633</v>
      </c>
      <c r="BB2394" s="1">
        <v>43633</v>
      </c>
      <c r="BC2394" t="s">
        <v>51</v>
      </c>
      <c r="BE2394" t="s">
        <v>54</v>
      </c>
      <c r="BF2394">
        <v>0</v>
      </c>
      <c r="BG2394">
        <v>0</v>
      </c>
      <c r="BH2394" t="s">
        <v>53</v>
      </c>
      <c r="BK2394" t="s">
        <v>720</v>
      </c>
      <c r="BL2394">
        <v>17000</v>
      </c>
      <c r="BM2394" s="1">
        <v>44103</v>
      </c>
      <c r="BN2394" s="1">
        <v>44103</v>
      </c>
      <c r="BO2394" s="1">
        <v>44103</v>
      </c>
      <c r="BP2394" s="1">
        <v>45539</v>
      </c>
      <c r="BQ2394" t="s">
        <v>51</v>
      </c>
      <c r="BS2394" t="s">
        <v>60</v>
      </c>
      <c r="BT2394" t="s">
        <v>54</v>
      </c>
      <c r="BU2394" t="s">
        <v>721</v>
      </c>
      <c r="BV2394" t="s">
        <v>722</v>
      </c>
      <c r="BX2394">
        <v>18</v>
      </c>
      <c r="BY2394">
        <v>0</v>
      </c>
      <c r="BZ2394">
        <v>0</v>
      </c>
      <c r="CX2394" t="s">
        <v>674</v>
      </c>
      <c r="CY2394">
        <v>0</v>
      </c>
      <c r="CZ2394" s="1">
        <v>44320</v>
      </c>
      <c r="DA2394" s="1">
        <v>44320</v>
      </c>
      <c r="DB2394" s="1">
        <v>44320</v>
      </c>
      <c r="DC2394" s="1">
        <v>44320</v>
      </c>
      <c r="DD2394" t="s">
        <v>51</v>
      </c>
      <c r="DF2394" t="s">
        <v>54</v>
      </c>
      <c r="DG2394">
        <v>0</v>
      </c>
      <c r="DH2394">
        <v>0</v>
      </c>
    </row>
    <row r="2395" spans="1:112" x14ac:dyDescent="0.2">
      <c r="A2395" t="s">
        <v>1012</v>
      </c>
      <c r="B2395" t="s">
        <v>1013</v>
      </c>
      <c r="C2395" t="s">
        <v>1052</v>
      </c>
      <c r="D2395" t="s">
        <v>1090</v>
      </c>
      <c r="F2395" t="str">
        <f>"251955"</f>
        <v>251955</v>
      </c>
      <c r="G2395" t="s">
        <v>49</v>
      </c>
      <c r="K2395" t="s">
        <v>51</v>
      </c>
      <c r="L2395" t="s">
        <v>52</v>
      </c>
      <c r="M2395">
        <v>131719.75099999999</v>
      </c>
      <c r="N2395">
        <v>474608.27100000001</v>
      </c>
      <c r="O2395" t="s">
        <v>53</v>
      </c>
      <c r="P2395" t="s">
        <v>54</v>
      </c>
      <c r="Q2395" t="s">
        <v>55</v>
      </c>
      <c r="T2395" t="s">
        <v>100</v>
      </c>
      <c r="U2395">
        <v>40</v>
      </c>
      <c r="V2395" s="1">
        <v>32143</v>
      </c>
      <c r="W2395" s="1">
        <v>32143</v>
      </c>
      <c r="X2395" s="1">
        <v>32143</v>
      </c>
      <c r="Y2395" s="1">
        <v>46753</v>
      </c>
      <c r="Z2395" t="s">
        <v>51</v>
      </c>
      <c r="AB2395" t="s">
        <v>54</v>
      </c>
      <c r="AC2395">
        <v>1</v>
      </c>
      <c r="AE2395" t="s">
        <v>819</v>
      </c>
      <c r="AF2395">
        <v>20</v>
      </c>
      <c r="AG2395" s="1">
        <v>32325</v>
      </c>
      <c r="AH2395" s="1">
        <v>32325</v>
      </c>
      <c r="AI2395" s="1">
        <v>32325</v>
      </c>
      <c r="AJ2395" s="1">
        <v>39630</v>
      </c>
      <c r="AK2395" t="s">
        <v>51</v>
      </c>
      <c r="AN2395">
        <v>0</v>
      </c>
      <c r="AO2395" t="s">
        <v>54</v>
      </c>
      <c r="AP2395" t="s">
        <v>53</v>
      </c>
      <c r="AQ2395">
        <v>0</v>
      </c>
      <c r="AR2395" t="s">
        <v>53</v>
      </c>
      <c r="AS2395">
        <v>0</v>
      </c>
      <c r="AT2395">
        <v>0</v>
      </c>
      <c r="AW2395" t="s">
        <v>161</v>
      </c>
      <c r="AX2395">
        <v>50</v>
      </c>
      <c r="AY2395" s="1">
        <v>32325</v>
      </c>
      <c r="AZ2395" s="1">
        <v>32325</v>
      </c>
      <c r="BA2395" s="1">
        <v>32325</v>
      </c>
      <c r="BB2395" s="1">
        <v>50587</v>
      </c>
      <c r="BC2395" t="s">
        <v>51</v>
      </c>
      <c r="BE2395" t="s">
        <v>54</v>
      </c>
      <c r="BF2395">
        <v>0</v>
      </c>
      <c r="BG2395">
        <v>0</v>
      </c>
      <c r="BH2395" t="s">
        <v>53</v>
      </c>
      <c r="BK2395" t="s">
        <v>720</v>
      </c>
      <c r="BL2395">
        <v>17000</v>
      </c>
      <c r="BM2395" s="1">
        <v>44103</v>
      </c>
      <c r="BN2395" s="1">
        <v>44103</v>
      </c>
      <c r="BO2395" s="1">
        <v>44103</v>
      </c>
      <c r="BP2395" s="1">
        <v>45539</v>
      </c>
      <c r="BQ2395" t="s">
        <v>51</v>
      </c>
      <c r="BS2395" t="s">
        <v>60</v>
      </c>
      <c r="BT2395" t="s">
        <v>54</v>
      </c>
      <c r="BU2395" t="s">
        <v>721</v>
      </c>
      <c r="BV2395" t="s">
        <v>722</v>
      </c>
      <c r="BX2395">
        <v>18</v>
      </c>
      <c r="BY2395">
        <v>0</v>
      </c>
      <c r="BZ2395">
        <v>0</v>
      </c>
      <c r="CX2395" t="s">
        <v>674</v>
      </c>
      <c r="CY2395">
        <v>0</v>
      </c>
      <c r="CZ2395" s="1">
        <v>44320</v>
      </c>
      <c r="DA2395" s="1">
        <v>44320</v>
      </c>
      <c r="DB2395" s="1">
        <v>44320</v>
      </c>
      <c r="DC2395" s="1">
        <v>44320</v>
      </c>
      <c r="DD2395" t="s">
        <v>51</v>
      </c>
      <c r="DF2395" t="s">
        <v>54</v>
      </c>
      <c r="DG2395">
        <v>0</v>
      </c>
      <c r="DH2395">
        <v>0</v>
      </c>
    </row>
    <row r="2396" spans="1:112" x14ac:dyDescent="0.2">
      <c r="A2396" t="s">
        <v>1012</v>
      </c>
      <c r="B2396" t="s">
        <v>1013</v>
      </c>
      <c r="C2396" t="s">
        <v>1052</v>
      </c>
      <c r="D2396" t="s">
        <v>1090</v>
      </c>
      <c r="F2396" t="str">
        <f>"251956"</f>
        <v>251956</v>
      </c>
      <c r="G2396" t="s">
        <v>49</v>
      </c>
      <c r="K2396" t="s">
        <v>51</v>
      </c>
      <c r="L2396" t="s">
        <v>52</v>
      </c>
      <c r="M2396">
        <v>131725.476</v>
      </c>
      <c r="N2396">
        <v>474638.19799999997</v>
      </c>
      <c r="O2396" t="s">
        <v>53</v>
      </c>
      <c r="P2396" t="s">
        <v>54</v>
      </c>
      <c r="Q2396" t="s">
        <v>55</v>
      </c>
      <c r="T2396" t="s">
        <v>100</v>
      </c>
      <c r="U2396">
        <v>40</v>
      </c>
      <c r="V2396" s="1">
        <v>32143</v>
      </c>
      <c r="W2396" s="1">
        <v>32143</v>
      </c>
      <c r="X2396" s="1">
        <v>32143</v>
      </c>
      <c r="Y2396" s="1">
        <v>46753</v>
      </c>
      <c r="Z2396" t="s">
        <v>51</v>
      </c>
      <c r="AB2396" t="s">
        <v>54</v>
      </c>
      <c r="AC2396">
        <v>1</v>
      </c>
      <c r="AE2396" t="s">
        <v>819</v>
      </c>
      <c r="AF2396">
        <v>20</v>
      </c>
      <c r="AG2396" s="1">
        <v>32325</v>
      </c>
      <c r="AH2396" s="1">
        <v>32325</v>
      </c>
      <c r="AI2396" s="1">
        <v>32325</v>
      </c>
      <c r="AJ2396" s="1">
        <v>39630</v>
      </c>
      <c r="AK2396" t="s">
        <v>51</v>
      </c>
      <c r="AN2396">
        <v>0</v>
      </c>
      <c r="AO2396" t="s">
        <v>54</v>
      </c>
      <c r="AP2396" t="s">
        <v>53</v>
      </c>
      <c r="AQ2396">
        <v>0</v>
      </c>
      <c r="AR2396" t="s">
        <v>53</v>
      </c>
      <c r="AS2396">
        <v>0</v>
      </c>
      <c r="AT2396">
        <v>0</v>
      </c>
      <c r="AW2396" t="s">
        <v>161</v>
      </c>
      <c r="AX2396">
        <v>50</v>
      </c>
      <c r="AY2396" s="1">
        <v>32325</v>
      </c>
      <c r="AZ2396" s="1">
        <v>32325</v>
      </c>
      <c r="BA2396" s="1">
        <v>32325</v>
      </c>
      <c r="BB2396" s="1">
        <v>50587</v>
      </c>
      <c r="BC2396" t="s">
        <v>51</v>
      </c>
      <c r="BE2396" t="s">
        <v>54</v>
      </c>
      <c r="BF2396">
        <v>0</v>
      </c>
      <c r="BG2396">
        <v>0</v>
      </c>
      <c r="BH2396" t="s">
        <v>53</v>
      </c>
      <c r="BK2396" t="s">
        <v>720</v>
      </c>
      <c r="BL2396">
        <v>17000</v>
      </c>
      <c r="BM2396" s="1">
        <v>44551</v>
      </c>
      <c r="BN2396" s="1">
        <v>44551</v>
      </c>
      <c r="BO2396" s="1">
        <v>44551</v>
      </c>
      <c r="BP2396" s="1">
        <v>45993</v>
      </c>
      <c r="BQ2396" t="s">
        <v>51</v>
      </c>
      <c r="BS2396" t="s">
        <v>60</v>
      </c>
      <c r="BT2396" t="s">
        <v>54</v>
      </c>
      <c r="BU2396" t="s">
        <v>721</v>
      </c>
      <c r="BV2396" t="s">
        <v>722</v>
      </c>
      <c r="BX2396">
        <v>18</v>
      </c>
      <c r="BY2396">
        <v>0</v>
      </c>
      <c r="BZ2396">
        <v>0</v>
      </c>
      <c r="CX2396" t="s">
        <v>674</v>
      </c>
      <c r="CY2396">
        <v>0</v>
      </c>
      <c r="CZ2396" s="1">
        <v>44320</v>
      </c>
      <c r="DA2396" s="1">
        <v>44320</v>
      </c>
      <c r="DB2396" s="1">
        <v>44320</v>
      </c>
      <c r="DC2396" s="1">
        <v>44320</v>
      </c>
      <c r="DD2396" t="s">
        <v>51</v>
      </c>
      <c r="DF2396" t="s">
        <v>54</v>
      </c>
      <c r="DG2396">
        <v>0</v>
      </c>
      <c r="DH2396">
        <v>0</v>
      </c>
    </row>
    <row r="2397" spans="1:112" x14ac:dyDescent="0.2">
      <c r="A2397" t="s">
        <v>1012</v>
      </c>
      <c r="B2397" t="s">
        <v>1013</v>
      </c>
      <c r="C2397" t="s">
        <v>1052</v>
      </c>
      <c r="D2397" t="s">
        <v>1090</v>
      </c>
      <c r="F2397" t="str">
        <f>"251957"</f>
        <v>251957</v>
      </c>
      <c r="G2397" t="s">
        <v>49</v>
      </c>
      <c r="H2397">
        <v>56</v>
      </c>
      <c r="K2397" t="s">
        <v>51</v>
      </c>
      <c r="L2397" t="s">
        <v>52</v>
      </c>
      <c r="M2397">
        <v>131702.39000000001</v>
      </c>
      <c r="N2397">
        <v>474643.31</v>
      </c>
      <c r="O2397" t="s">
        <v>53</v>
      </c>
      <c r="P2397" t="s">
        <v>54</v>
      </c>
      <c r="Q2397" t="s">
        <v>55</v>
      </c>
      <c r="T2397" t="s">
        <v>100</v>
      </c>
      <c r="U2397">
        <v>40</v>
      </c>
      <c r="V2397" s="1">
        <v>32143</v>
      </c>
      <c r="W2397" s="1">
        <v>32143</v>
      </c>
      <c r="X2397" s="1">
        <v>32143</v>
      </c>
      <c r="Y2397" s="1">
        <v>46753</v>
      </c>
      <c r="Z2397" t="s">
        <v>51</v>
      </c>
      <c r="AB2397" t="s">
        <v>54</v>
      </c>
      <c r="AC2397">
        <v>1</v>
      </c>
      <c r="AE2397" t="s">
        <v>819</v>
      </c>
      <c r="AF2397">
        <v>20</v>
      </c>
      <c r="AG2397" s="1">
        <v>32325</v>
      </c>
      <c r="AH2397" s="1">
        <v>32325</v>
      </c>
      <c r="AI2397" s="1">
        <v>32325</v>
      </c>
      <c r="AJ2397" s="1">
        <v>39630</v>
      </c>
      <c r="AK2397" t="s">
        <v>51</v>
      </c>
      <c r="AN2397">
        <v>0</v>
      </c>
      <c r="AO2397" t="s">
        <v>54</v>
      </c>
      <c r="AP2397" t="s">
        <v>53</v>
      </c>
      <c r="AQ2397">
        <v>0</v>
      </c>
      <c r="AR2397" t="s">
        <v>53</v>
      </c>
      <c r="AS2397">
        <v>0</v>
      </c>
      <c r="AT2397">
        <v>0</v>
      </c>
      <c r="AW2397" t="s">
        <v>333</v>
      </c>
      <c r="AX2397">
        <v>0</v>
      </c>
      <c r="AY2397" s="1">
        <v>44522</v>
      </c>
      <c r="AZ2397" s="1">
        <v>44522</v>
      </c>
      <c r="BA2397" s="1">
        <v>44522</v>
      </c>
      <c r="BB2397" s="1">
        <v>44522</v>
      </c>
      <c r="BC2397" t="s">
        <v>51</v>
      </c>
      <c r="BE2397" t="s">
        <v>54</v>
      </c>
      <c r="BF2397">
        <v>0</v>
      </c>
      <c r="BG2397">
        <v>0</v>
      </c>
      <c r="BH2397" t="s">
        <v>53</v>
      </c>
      <c r="BK2397" t="s">
        <v>720</v>
      </c>
      <c r="BL2397">
        <v>17000</v>
      </c>
      <c r="BM2397" s="1">
        <v>44522</v>
      </c>
      <c r="BN2397" s="1">
        <v>44522</v>
      </c>
      <c r="BO2397" s="1">
        <v>44522</v>
      </c>
      <c r="BP2397" s="1">
        <v>45963</v>
      </c>
      <c r="BQ2397" t="s">
        <v>51</v>
      </c>
      <c r="BS2397" t="s">
        <v>60</v>
      </c>
      <c r="BT2397" t="s">
        <v>54</v>
      </c>
      <c r="BU2397" t="s">
        <v>721</v>
      </c>
      <c r="BV2397" t="s">
        <v>722</v>
      </c>
      <c r="BX2397">
        <v>18</v>
      </c>
      <c r="BY2397">
        <v>0</v>
      </c>
      <c r="BZ2397">
        <v>0</v>
      </c>
      <c r="CX2397" t="s">
        <v>674</v>
      </c>
      <c r="CY2397">
        <v>0</v>
      </c>
      <c r="CZ2397" s="1">
        <v>44320</v>
      </c>
      <c r="DA2397" s="1">
        <v>44320</v>
      </c>
      <c r="DB2397" s="1">
        <v>44320</v>
      </c>
      <c r="DC2397" s="1">
        <v>44320</v>
      </c>
      <c r="DD2397" t="s">
        <v>51</v>
      </c>
      <c r="DF2397" t="s">
        <v>54</v>
      </c>
      <c r="DG2397">
        <v>0</v>
      </c>
      <c r="DH2397">
        <v>0</v>
      </c>
    </row>
    <row r="2398" spans="1:112" x14ac:dyDescent="0.2">
      <c r="A2398" t="s">
        <v>1012</v>
      </c>
      <c r="B2398" t="s">
        <v>1013</v>
      </c>
      <c r="C2398" t="s">
        <v>1052</v>
      </c>
      <c r="D2398" t="s">
        <v>1090</v>
      </c>
      <c r="F2398" t="str">
        <f>"251958"</f>
        <v>251958</v>
      </c>
      <c r="G2398" t="s">
        <v>49</v>
      </c>
      <c r="H2398">
        <v>41</v>
      </c>
      <c r="K2398" t="s">
        <v>51</v>
      </c>
      <c r="L2398" t="s">
        <v>52</v>
      </c>
      <c r="M2398">
        <v>131664.91</v>
      </c>
      <c r="N2398">
        <v>474638.06</v>
      </c>
      <c r="O2398" t="s">
        <v>53</v>
      </c>
      <c r="P2398" t="s">
        <v>54</v>
      </c>
      <c r="Q2398" t="s">
        <v>55</v>
      </c>
      <c r="T2398" t="s">
        <v>100</v>
      </c>
      <c r="U2398">
        <v>40</v>
      </c>
      <c r="V2398" s="1">
        <v>32143</v>
      </c>
      <c r="W2398" s="1">
        <v>32143</v>
      </c>
      <c r="X2398" s="1">
        <v>32143</v>
      </c>
      <c r="Y2398" s="1">
        <v>46753</v>
      </c>
      <c r="Z2398" t="s">
        <v>51</v>
      </c>
      <c r="AB2398" t="s">
        <v>54</v>
      </c>
      <c r="AC2398">
        <v>1</v>
      </c>
      <c r="AE2398" t="s">
        <v>819</v>
      </c>
      <c r="AF2398">
        <v>20</v>
      </c>
      <c r="AG2398" s="1">
        <v>32325</v>
      </c>
      <c r="AH2398" s="1">
        <v>32325</v>
      </c>
      <c r="AI2398" s="1">
        <v>32325</v>
      </c>
      <c r="AJ2398" s="1">
        <v>39630</v>
      </c>
      <c r="AK2398" t="s">
        <v>51</v>
      </c>
      <c r="AN2398">
        <v>0</v>
      </c>
      <c r="AO2398" t="s">
        <v>54</v>
      </c>
      <c r="AP2398" t="s">
        <v>53</v>
      </c>
      <c r="AQ2398">
        <v>0</v>
      </c>
      <c r="AR2398" t="s">
        <v>53</v>
      </c>
      <c r="AS2398">
        <v>0</v>
      </c>
      <c r="AT2398">
        <v>0</v>
      </c>
      <c r="AW2398" t="s">
        <v>161</v>
      </c>
      <c r="AX2398">
        <v>50</v>
      </c>
      <c r="AY2398" s="1">
        <v>32325</v>
      </c>
      <c r="AZ2398" s="1">
        <v>32325</v>
      </c>
      <c r="BA2398" s="1">
        <v>32325</v>
      </c>
      <c r="BB2398" s="1">
        <v>50587</v>
      </c>
      <c r="BC2398" t="s">
        <v>51</v>
      </c>
      <c r="BE2398" t="s">
        <v>54</v>
      </c>
      <c r="BF2398">
        <v>0</v>
      </c>
      <c r="BG2398">
        <v>0</v>
      </c>
      <c r="BH2398" t="s">
        <v>53</v>
      </c>
      <c r="BK2398" t="s">
        <v>720</v>
      </c>
      <c r="BL2398">
        <v>17000</v>
      </c>
      <c r="BM2398" s="1">
        <v>44543</v>
      </c>
      <c r="BN2398" s="1">
        <v>44543</v>
      </c>
      <c r="BO2398" s="1">
        <v>44543</v>
      </c>
      <c r="BP2398" s="1">
        <v>45985</v>
      </c>
      <c r="BQ2398" t="s">
        <v>51</v>
      </c>
      <c r="BS2398" t="s">
        <v>60</v>
      </c>
      <c r="BT2398" t="s">
        <v>54</v>
      </c>
      <c r="BU2398" t="s">
        <v>721</v>
      </c>
      <c r="BV2398" t="s">
        <v>722</v>
      </c>
      <c r="BX2398">
        <v>18</v>
      </c>
      <c r="BY2398">
        <v>0</v>
      </c>
      <c r="BZ2398">
        <v>0</v>
      </c>
      <c r="CX2398" t="s">
        <v>674</v>
      </c>
      <c r="CY2398">
        <v>0</v>
      </c>
      <c r="CZ2398" s="1">
        <v>44543</v>
      </c>
      <c r="DA2398" s="1">
        <v>44543</v>
      </c>
      <c r="DB2398" s="1">
        <v>44543</v>
      </c>
      <c r="DC2398" s="1">
        <v>44543</v>
      </c>
      <c r="DD2398" t="s">
        <v>51</v>
      </c>
      <c r="DF2398" t="s">
        <v>54</v>
      </c>
      <c r="DG2398">
        <v>0</v>
      </c>
      <c r="DH2398">
        <v>0</v>
      </c>
    </row>
    <row r="2399" spans="1:112" x14ac:dyDescent="0.2">
      <c r="A2399" t="s">
        <v>1012</v>
      </c>
      <c r="B2399" t="s">
        <v>1013</v>
      </c>
      <c r="C2399" t="s">
        <v>1052</v>
      </c>
      <c r="D2399" t="s">
        <v>1090</v>
      </c>
      <c r="F2399" t="str">
        <f>"251959"</f>
        <v>251959</v>
      </c>
      <c r="G2399" t="s">
        <v>49</v>
      </c>
      <c r="H2399">
        <v>51</v>
      </c>
      <c r="K2399" t="s">
        <v>51</v>
      </c>
      <c r="L2399" t="s">
        <v>52</v>
      </c>
      <c r="M2399">
        <v>131668.59</v>
      </c>
      <c r="N2399">
        <v>474660.82</v>
      </c>
      <c r="O2399" t="s">
        <v>53</v>
      </c>
      <c r="P2399" t="s">
        <v>54</v>
      </c>
      <c r="Q2399" t="s">
        <v>55</v>
      </c>
      <c r="T2399" t="s">
        <v>100</v>
      </c>
      <c r="U2399">
        <v>40</v>
      </c>
      <c r="V2399" s="1">
        <v>32143</v>
      </c>
      <c r="W2399" s="1">
        <v>32143</v>
      </c>
      <c r="X2399" s="1">
        <v>32143</v>
      </c>
      <c r="Y2399" s="1">
        <v>46753</v>
      </c>
      <c r="Z2399" t="s">
        <v>51</v>
      </c>
      <c r="AB2399" t="s">
        <v>54</v>
      </c>
      <c r="AC2399">
        <v>1</v>
      </c>
      <c r="AE2399" t="s">
        <v>819</v>
      </c>
      <c r="AF2399">
        <v>20</v>
      </c>
      <c r="AG2399" s="1">
        <v>32325</v>
      </c>
      <c r="AH2399" s="1">
        <v>32325</v>
      </c>
      <c r="AI2399" s="1">
        <v>32325</v>
      </c>
      <c r="AJ2399" s="1">
        <v>39630</v>
      </c>
      <c r="AK2399" t="s">
        <v>51</v>
      </c>
      <c r="AN2399">
        <v>0</v>
      </c>
      <c r="AO2399" t="s">
        <v>54</v>
      </c>
      <c r="AP2399" t="s">
        <v>53</v>
      </c>
      <c r="AQ2399">
        <v>0</v>
      </c>
      <c r="AR2399" t="s">
        <v>53</v>
      </c>
      <c r="AS2399">
        <v>0</v>
      </c>
      <c r="AT2399">
        <v>0</v>
      </c>
      <c r="AW2399" t="s">
        <v>161</v>
      </c>
      <c r="AX2399">
        <v>50</v>
      </c>
      <c r="AY2399" s="1">
        <v>32325</v>
      </c>
      <c r="AZ2399" s="1">
        <v>32325</v>
      </c>
      <c r="BA2399" s="1">
        <v>32325</v>
      </c>
      <c r="BB2399" s="1">
        <v>50587</v>
      </c>
      <c r="BC2399" t="s">
        <v>51</v>
      </c>
      <c r="BE2399" t="s">
        <v>54</v>
      </c>
      <c r="BF2399">
        <v>0</v>
      </c>
      <c r="BG2399">
        <v>0</v>
      </c>
      <c r="BH2399" t="s">
        <v>53</v>
      </c>
      <c r="BK2399" t="s">
        <v>720</v>
      </c>
      <c r="BL2399">
        <v>17000</v>
      </c>
      <c r="BM2399" s="1">
        <v>44543</v>
      </c>
      <c r="BN2399" s="1">
        <v>44543</v>
      </c>
      <c r="BO2399" s="1">
        <v>44543</v>
      </c>
      <c r="BP2399" s="1">
        <v>45985</v>
      </c>
      <c r="BQ2399" t="s">
        <v>51</v>
      </c>
      <c r="BS2399" t="s">
        <v>60</v>
      </c>
      <c r="BT2399" t="s">
        <v>54</v>
      </c>
      <c r="BU2399" t="s">
        <v>721</v>
      </c>
      <c r="BV2399" t="s">
        <v>722</v>
      </c>
      <c r="BX2399">
        <v>18</v>
      </c>
      <c r="BY2399">
        <v>0</v>
      </c>
      <c r="BZ2399">
        <v>0</v>
      </c>
      <c r="CX2399" t="s">
        <v>674</v>
      </c>
      <c r="CY2399">
        <v>0</v>
      </c>
      <c r="CZ2399" s="1">
        <v>44320</v>
      </c>
      <c r="DA2399" s="1">
        <v>44320</v>
      </c>
      <c r="DB2399" s="1">
        <v>44320</v>
      </c>
      <c r="DC2399" s="1">
        <v>44320</v>
      </c>
      <c r="DD2399" t="s">
        <v>51</v>
      </c>
      <c r="DF2399" t="s">
        <v>54</v>
      </c>
      <c r="DG2399">
        <v>0</v>
      </c>
      <c r="DH2399">
        <v>0</v>
      </c>
    </row>
    <row r="2400" spans="1:112" x14ac:dyDescent="0.2">
      <c r="A2400" t="s">
        <v>1012</v>
      </c>
      <c r="B2400" t="s">
        <v>1013</v>
      </c>
      <c r="C2400" t="s">
        <v>1052</v>
      </c>
      <c r="D2400" t="s">
        <v>1090</v>
      </c>
      <c r="F2400" t="str">
        <f>"251960"</f>
        <v>251960</v>
      </c>
      <c r="G2400" t="s">
        <v>49</v>
      </c>
      <c r="H2400">
        <v>63</v>
      </c>
      <c r="K2400" t="s">
        <v>51</v>
      </c>
      <c r="L2400" t="s">
        <v>52</v>
      </c>
      <c r="M2400">
        <v>131679.28</v>
      </c>
      <c r="N2400">
        <v>474672.27</v>
      </c>
      <c r="O2400" t="s">
        <v>53</v>
      </c>
      <c r="P2400" t="s">
        <v>54</v>
      </c>
      <c r="Q2400" t="s">
        <v>55</v>
      </c>
      <c r="T2400" t="s">
        <v>100</v>
      </c>
      <c r="U2400">
        <v>40</v>
      </c>
      <c r="V2400" s="1">
        <v>32143</v>
      </c>
      <c r="W2400" s="1">
        <v>32143</v>
      </c>
      <c r="X2400" s="1">
        <v>32143</v>
      </c>
      <c r="Y2400" s="1">
        <v>46753</v>
      </c>
      <c r="Z2400" t="s">
        <v>51</v>
      </c>
      <c r="AB2400" t="s">
        <v>54</v>
      </c>
      <c r="AC2400">
        <v>1</v>
      </c>
      <c r="AE2400" t="s">
        <v>819</v>
      </c>
      <c r="AF2400">
        <v>20</v>
      </c>
      <c r="AG2400" s="1">
        <v>32325</v>
      </c>
      <c r="AH2400" s="1">
        <v>32325</v>
      </c>
      <c r="AI2400" s="1">
        <v>32325</v>
      </c>
      <c r="AJ2400" s="1">
        <v>39630</v>
      </c>
      <c r="AK2400" t="s">
        <v>51</v>
      </c>
      <c r="AN2400">
        <v>0</v>
      </c>
      <c r="AO2400" t="s">
        <v>54</v>
      </c>
      <c r="AP2400" t="s">
        <v>53</v>
      </c>
      <c r="AQ2400">
        <v>0</v>
      </c>
      <c r="AR2400" t="s">
        <v>53</v>
      </c>
      <c r="AS2400">
        <v>0</v>
      </c>
      <c r="AT2400">
        <v>0</v>
      </c>
      <c r="AW2400" t="s">
        <v>161</v>
      </c>
      <c r="AX2400">
        <v>50</v>
      </c>
      <c r="AY2400" s="1">
        <v>32325</v>
      </c>
      <c r="AZ2400" s="1">
        <v>32325</v>
      </c>
      <c r="BA2400" s="1">
        <v>32325</v>
      </c>
      <c r="BB2400" s="1">
        <v>50587</v>
      </c>
      <c r="BC2400" t="s">
        <v>51</v>
      </c>
      <c r="BE2400" t="s">
        <v>54</v>
      </c>
      <c r="BF2400">
        <v>0</v>
      </c>
      <c r="BG2400">
        <v>0</v>
      </c>
      <c r="BH2400" t="s">
        <v>53</v>
      </c>
      <c r="BK2400" t="s">
        <v>720</v>
      </c>
      <c r="BL2400">
        <v>17000</v>
      </c>
      <c r="BM2400" s="1">
        <v>44103</v>
      </c>
      <c r="BN2400" s="1">
        <v>44103</v>
      </c>
      <c r="BO2400" s="1">
        <v>44103</v>
      </c>
      <c r="BP2400" s="1">
        <v>45539</v>
      </c>
      <c r="BQ2400" t="s">
        <v>51</v>
      </c>
      <c r="BS2400" t="s">
        <v>60</v>
      </c>
      <c r="BT2400" t="s">
        <v>54</v>
      </c>
      <c r="BU2400" t="s">
        <v>721</v>
      </c>
      <c r="BV2400" t="s">
        <v>722</v>
      </c>
      <c r="BX2400">
        <v>18</v>
      </c>
      <c r="BY2400">
        <v>0</v>
      </c>
      <c r="BZ2400">
        <v>0</v>
      </c>
      <c r="CX2400" t="s">
        <v>674</v>
      </c>
      <c r="CY2400">
        <v>0</v>
      </c>
      <c r="CZ2400" s="1">
        <v>44320</v>
      </c>
      <c r="DA2400" s="1">
        <v>44320</v>
      </c>
      <c r="DB2400" s="1">
        <v>44320</v>
      </c>
      <c r="DC2400" s="1">
        <v>44320</v>
      </c>
      <c r="DD2400" t="s">
        <v>51</v>
      </c>
      <c r="DF2400" t="s">
        <v>54</v>
      </c>
      <c r="DG2400">
        <v>0</v>
      </c>
      <c r="DH2400">
        <v>0</v>
      </c>
    </row>
    <row r="2401" spans="1:112" x14ac:dyDescent="0.2">
      <c r="A2401" t="s">
        <v>1012</v>
      </c>
      <c r="B2401" t="s">
        <v>1013</v>
      </c>
      <c r="C2401" t="s">
        <v>1052</v>
      </c>
      <c r="D2401" t="s">
        <v>1090</v>
      </c>
      <c r="F2401" t="str">
        <f>"251961"</f>
        <v>251961</v>
      </c>
      <c r="G2401" t="s">
        <v>49</v>
      </c>
      <c r="H2401">
        <v>48</v>
      </c>
      <c r="K2401" t="s">
        <v>51</v>
      </c>
      <c r="L2401" t="s">
        <v>52</v>
      </c>
      <c r="M2401">
        <v>131686.10999999999</v>
      </c>
      <c r="N2401">
        <v>474646.69</v>
      </c>
      <c r="O2401" t="s">
        <v>53</v>
      </c>
      <c r="P2401" t="s">
        <v>54</v>
      </c>
      <c r="Q2401" t="s">
        <v>55</v>
      </c>
      <c r="T2401" t="s">
        <v>100</v>
      </c>
      <c r="U2401">
        <v>40</v>
      </c>
      <c r="V2401" s="1">
        <v>32143</v>
      </c>
      <c r="W2401" s="1">
        <v>32143</v>
      </c>
      <c r="X2401" s="1">
        <v>32143</v>
      </c>
      <c r="Y2401" s="1">
        <v>46753</v>
      </c>
      <c r="Z2401" t="s">
        <v>51</v>
      </c>
      <c r="AB2401" t="s">
        <v>54</v>
      </c>
      <c r="AC2401">
        <v>1</v>
      </c>
      <c r="AE2401" t="s">
        <v>819</v>
      </c>
      <c r="AF2401">
        <v>20</v>
      </c>
      <c r="AG2401" s="1">
        <v>32325</v>
      </c>
      <c r="AH2401" s="1">
        <v>32325</v>
      </c>
      <c r="AI2401" s="1">
        <v>32325</v>
      </c>
      <c r="AJ2401" s="1">
        <v>39630</v>
      </c>
      <c r="AK2401" t="s">
        <v>51</v>
      </c>
      <c r="AN2401">
        <v>0</v>
      </c>
      <c r="AO2401" t="s">
        <v>54</v>
      </c>
      <c r="AP2401" t="s">
        <v>53</v>
      </c>
      <c r="AQ2401">
        <v>0</v>
      </c>
      <c r="AR2401" t="s">
        <v>53</v>
      </c>
      <c r="AS2401">
        <v>0</v>
      </c>
      <c r="AT2401">
        <v>0</v>
      </c>
      <c r="AW2401" t="s">
        <v>161</v>
      </c>
      <c r="AX2401">
        <v>50</v>
      </c>
      <c r="AY2401" s="1">
        <v>32325</v>
      </c>
      <c r="AZ2401" s="1">
        <v>32325</v>
      </c>
      <c r="BA2401" s="1">
        <v>32325</v>
      </c>
      <c r="BB2401" s="1">
        <v>50587</v>
      </c>
      <c r="BC2401" t="s">
        <v>51</v>
      </c>
      <c r="BE2401" t="s">
        <v>54</v>
      </c>
      <c r="BF2401">
        <v>0</v>
      </c>
      <c r="BG2401">
        <v>0</v>
      </c>
      <c r="BH2401" t="s">
        <v>53</v>
      </c>
      <c r="BK2401" t="s">
        <v>720</v>
      </c>
      <c r="BL2401">
        <v>17000</v>
      </c>
      <c r="BM2401" s="1">
        <v>44719</v>
      </c>
      <c r="BN2401" s="1">
        <v>44719</v>
      </c>
      <c r="BO2401" s="1">
        <v>44719</v>
      </c>
      <c r="BP2401" s="1">
        <v>46143</v>
      </c>
      <c r="BQ2401" t="s">
        <v>51</v>
      </c>
      <c r="BS2401" t="s">
        <v>60</v>
      </c>
      <c r="BT2401" t="s">
        <v>54</v>
      </c>
      <c r="BU2401" t="s">
        <v>721</v>
      </c>
      <c r="BV2401" t="s">
        <v>722</v>
      </c>
      <c r="BX2401">
        <v>18</v>
      </c>
      <c r="BY2401">
        <v>0</v>
      </c>
      <c r="BZ2401">
        <v>0</v>
      </c>
      <c r="CX2401" t="s">
        <v>674</v>
      </c>
      <c r="CY2401">
        <v>0</v>
      </c>
      <c r="CZ2401" s="1">
        <v>44320</v>
      </c>
      <c r="DA2401" s="1">
        <v>44320</v>
      </c>
      <c r="DB2401" s="1">
        <v>44320</v>
      </c>
      <c r="DC2401" s="1">
        <v>44320</v>
      </c>
      <c r="DD2401" t="s">
        <v>51</v>
      </c>
      <c r="DF2401" t="s">
        <v>54</v>
      </c>
      <c r="DG2401">
        <v>0</v>
      </c>
      <c r="DH2401">
        <v>0</v>
      </c>
    </row>
    <row r="2402" spans="1:112" x14ac:dyDescent="0.2">
      <c r="A2402" t="s">
        <v>1012</v>
      </c>
      <c r="B2402" t="s">
        <v>1013</v>
      </c>
      <c r="C2402" t="s">
        <v>1052</v>
      </c>
      <c r="D2402" t="s">
        <v>1090</v>
      </c>
      <c r="F2402" t="str">
        <f>"251962"</f>
        <v>251962</v>
      </c>
      <c r="G2402" t="s">
        <v>49</v>
      </c>
      <c r="H2402">
        <v>72</v>
      </c>
      <c r="K2402" t="s">
        <v>51</v>
      </c>
      <c r="L2402" t="s">
        <v>52</v>
      </c>
      <c r="M2402">
        <v>131701.32</v>
      </c>
      <c r="N2402">
        <v>474670.36</v>
      </c>
      <c r="O2402" t="s">
        <v>53</v>
      </c>
      <c r="P2402" t="s">
        <v>54</v>
      </c>
      <c r="Q2402" t="s">
        <v>55</v>
      </c>
      <c r="T2402" t="s">
        <v>100</v>
      </c>
      <c r="U2402">
        <v>40</v>
      </c>
      <c r="V2402" s="1">
        <v>32143</v>
      </c>
      <c r="W2402" s="1">
        <v>32143</v>
      </c>
      <c r="X2402" s="1">
        <v>32143</v>
      </c>
      <c r="Y2402" s="1">
        <v>46753</v>
      </c>
      <c r="Z2402" t="s">
        <v>51</v>
      </c>
      <c r="AB2402" t="s">
        <v>54</v>
      </c>
      <c r="AC2402">
        <v>1</v>
      </c>
      <c r="AE2402" t="s">
        <v>819</v>
      </c>
      <c r="AF2402">
        <v>20</v>
      </c>
      <c r="AG2402" s="1">
        <v>32325</v>
      </c>
      <c r="AH2402" s="1">
        <v>32325</v>
      </c>
      <c r="AI2402" s="1">
        <v>32325</v>
      </c>
      <c r="AJ2402" s="1">
        <v>39630</v>
      </c>
      <c r="AK2402" t="s">
        <v>51</v>
      </c>
      <c r="AN2402">
        <v>0</v>
      </c>
      <c r="AO2402" t="s">
        <v>54</v>
      </c>
      <c r="AP2402" t="s">
        <v>53</v>
      </c>
      <c r="AQ2402">
        <v>0</v>
      </c>
      <c r="AR2402" t="s">
        <v>53</v>
      </c>
      <c r="AS2402">
        <v>0</v>
      </c>
      <c r="AT2402">
        <v>0</v>
      </c>
      <c r="AW2402" t="s">
        <v>333</v>
      </c>
      <c r="AX2402">
        <v>0</v>
      </c>
      <c r="AY2402" s="1">
        <v>32325</v>
      </c>
      <c r="AZ2402" s="1">
        <v>32325</v>
      </c>
      <c r="BA2402" s="1">
        <v>32325</v>
      </c>
      <c r="BB2402" s="1">
        <v>32325</v>
      </c>
      <c r="BC2402" t="s">
        <v>51</v>
      </c>
      <c r="BE2402" t="s">
        <v>54</v>
      </c>
      <c r="BF2402">
        <v>0</v>
      </c>
      <c r="BG2402">
        <v>0</v>
      </c>
      <c r="BH2402" t="s">
        <v>53</v>
      </c>
      <c r="BK2402" t="s">
        <v>720</v>
      </c>
      <c r="BL2402">
        <v>17000</v>
      </c>
      <c r="BM2402" s="1">
        <v>44103</v>
      </c>
      <c r="BN2402" s="1">
        <v>44103</v>
      </c>
      <c r="BO2402" s="1">
        <v>44103</v>
      </c>
      <c r="BP2402" s="1">
        <v>45539</v>
      </c>
      <c r="BQ2402" t="s">
        <v>51</v>
      </c>
      <c r="BS2402" t="s">
        <v>60</v>
      </c>
      <c r="BT2402" t="s">
        <v>54</v>
      </c>
      <c r="BU2402" t="s">
        <v>721</v>
      </c>
      <c r="BV2402" t="s">
        <v>722</v>
      </c>
      <c r="BX2402">
        <v>18</v>
      </c>
      <c r="BY2402">
        <v>0</v>
      </c>
      <c r="BZ2402">
        <v>0</v>
      </c>
      <c r="CX2402" t="s">
        <v>674</v>
      </c>
      <c r="CY2402">
        <v>0</v>
      </c>
      <c r="CZ2402" s="1">
        <v>44320</v>
      </c>
      <c r="DA2402" s="1">
        <v>44320</v>
      </c>
      <c r="DB2402" s="1">
        <v>44320</v>
      </c>
      <c r="DC2402" s="1">
        <v>44320</v>
      </c>
      <c r="DD2402" t="s">
        <v>51</v>
      </c>
      <c r="DF2402" t="s">
        <v>54</v>
      </c>
      <c r="DG2402">
        <v>0</v>
      </c>
      <c r="DH2402">
        <v>0</v>
      </c>
    </row>
    <row r="2403" spans="1:112" x14ac:dyDescent="0.2">
      <c r="A2403" t="s">
        <v>1012</v>
      </c>
      <c r="B2403" t="s">
        <v>1013</v>
      </c>
      <c r="C2403" t="s">
        <v>1052</v>
      </c>
      <c r="D2403" t="s">
        <v>1090</v>
      </c>
      <c r="F2403" t="str">
        <f>"251963"</f>
        <v>251963</v>
      </c>
      <c r="G2403" t="s">
        <v>49</v>
      </c>
      <c r="H2403">
        <v>76</v>
      </c>
      <c r="K2403" t="s">
        <v>51</v>
      </c>
      <c r="L2403" t="s">
        <v>52</v>
      </c>
      <c r="M2403">
        <v>131706.75</v>
      </c>
      <c r="N2403">
        <v>474691.96</v>
      </c>
      <c r="O2403" t="s">
        <v>53</v>
      </c>
      <c r="P2403" t="s">
        <v>54</v>
      </c>
      <c r="Q2403" t="s">
        <v>55</v>
      </c>
      <c r="T2403" t="s">
        <v>100</v>
      </c>
      <c r="U2403">
        <v>40</v>
      </c>
      <c r="V2403" s="1">
        <v>32143</v>
      </c>
      <c r="W2403" s="1">
        <v>32143</v>
      </c>
      <c r="X2403" s="1">
        <v>32143</v>
      </c>
      <c r="Y2403" s="1">
        <v>46753</v>
      </c>
      <c r="Z2403" t="s">
        <v>51</v>
      </c>
      <c r="AB2403" t="s">
        <v>54</v>
      </c>
      <c r="AC2403">
        <v>1</v>
      </c>
      <c r="AE2403" t="s">
        <v>819</v>
      </c>
      <c r="AF2403">
        <v>20</v>
      </c>
      <c r="AG2403" s="1">
        <v>32325</v>
      </c>
      <c r="AH2403" s="1">
        <v>32325</v>
      </c>
      <c r="AI2403" s="1">
        <v>32325</v>
      </c>
      <c r="AJ2403" s="1">
        <v>39630</v>
      </c>
      <c r="AK2403" t="s">
        <v>51</v>
      </c>
      <c r="AN2403">
        <v>0</v>
      </c>
      <c r="AO2403" t="s">
        <v>54</v>
      </c>
      <c r="AP2403" t="s">
        <v>53</v>
      </c>
      <c r="AQ2403">
        <v>0</v>
      </c>
      <c r="AR2403" t="s">
        <v>53</v>
      </c>
      <c r="AS2403">
        <v>0</v>
      </c>
      <c r="AT2403">
        <v>0</v>
      </c>
      <c r="AW2403" t="s">
        <v>161</v>
      </c>
      <c r="AX2403">
        <v>50</v>
      </c>
      <c r="AY2403" s="1">
        <v>32325</v>
      </c>
      <c r="AZ2403" s="1">
        <v>32325</v>
      </c>
      <c r="BA2403" s="1">
        <v>32325</v>
      </c>
      <c r="BB2403" s="1">
        <v>50587</v>
      </c>
      <c r="BC2403" t="s">
        <v>51</v>
      </c>
      <c r="BE2403" t="s">
        <v>54</v>
      </c>
      <c r="BF2403">
        <v>0</v>
      </c>
      <c r="BG2403">
        <v>0</v>
      </c>
      <c r="BH2403" t="s">
        <v>53</v>
      </c>
      <c r="BK2403" t="s">
        <v>720</v>
      </c>
      <c r="BL2403">
        <v>17000</v>
      </c>
      <c r="BM2403" s="1">
        <v>44522</v>
      </c>
      <c r="BN2403" s="1">
        <v>44522</v>
      </c>
      <c r="BO2403" s="1">
        <v>44522</v>
      </c>
      <c r="BP2403" s="1">
        <v>45963</v>
      </c>
      <c r="BQ2403" t="s">
        <v>51</v>
      </c>
      <c r="BS2403" t="s">
        <v>60</v>
      </c>
      <c r="BT2403" t="s">
        <v>54</v>
      </c>
      <c r="BU2403" t="s">
        <v>721</v>
      </c>
      <c r="BV2403" t="s">
        <v>722</v>
      </c>
      <c r="BX2403">
        <v>18</v>
      </c>
      <c r="BY2403">
        <v>0</v>
      </c>
      <c r="BZ2403">
        <v>0</v>
      </c>
      <c r="CX2403" t="s">
        <v>674</v>
      </c>
      <c r="CY2403">
        <v>0</v>
      </c>
      <c r="CZ2403" s="1">
        <v>44320</v>
      </c>
      <c r="DA2403" s="1">
        <v>44320</v>
      </c>
      <c r="DB2403" s="1">
        <v>44320</v>
      </c>
      <c r="DC2403" s="1">
        <v>44320</v>
      </c>
      <c r="DD2403" t="s">
        <v>51</v>
      </c>
      <c r="DF2403" t="s">
        <v>54</v>
      </c>
      <c r="DG2403">
        <v>0</v>
      </c>
      <c r="DH2403">
        <v>0</v>
      </c>
    </row>
    <row r="2404" spans="1:112" x14ac:dyDescent="0.2">
      <c r="A2404" t="s">
        <v>1012</v>
      </c>
      <c r="B2404" t="s">
        <v>1013</v>
      </c>
      <c r="C2404" t="s">
        <v>1052</v>
      </c>
      <c r="D2404" t="s">
        <v>1090</v>
      </c>
      <c r="F2404" t="str">
        <f>"251965"</f>
        <v>251965</v>
      </c>
      <c r="G2404" t="s">
        <v>49</v>
      </c>
      <c r="H2404">
        <v>61</v>
      </c>
      <c r="K2404" t="s">
        <v>51</v>
      </c>
      <c r="L2404" t="s">
        <v>52</v>
      </c>
      <c r="M2404">
        <v>131678.23000000001</v>
      </c>
      <c r="N2404">
        <v>474699.63</v>
      </c>
      <c r="O2404" t="s">
        <v>53</v>
      </c>
      <c r="P2404" t="s">
        <v>54</v>
      </c>
      <c r="Q2404" t="s">
        <v>55</v>
      </c>
      <c r="T2404" t="s">
        <v>100</v>
      </c>
      <c r="U2404">
        <v>40</v>
      </c>
      <c r="V2404" s="1">
        <v>32143</v>
      </c>
      <c r="W2404" s="1">
        <v>32143</v>
      </c>
      <c r="X2404" s="1">
        <v>32143</v>
      </c>
      <c r="Y2404" s="1">
        <v>46753</v>
      </c>
      <c r="Z2404" t="s">
        <v>51</v>
      </c>
      <c r="AB2404" t="s">
        <v>54</v>
      </c>
      <c r="AC2404">
        <v>1</v>
      </c>
      <c r="AE2404" t="s">
        <v>819</v>
      </c>
      <c r="AF2404">
        <v>20</v>
      </c>
      <c r="AG2404" s="1">
        <v>32325</v>
      </c>
      <c r="AH2404" s="1">
        <v>32325</v>
      </c>
      <c r="AI2404" s="1">
        <v>32325</v>
      </c>
      <c r="AJ2404" s="1">
        <v>39630</v>
      </c>
      <c r="AK2404" t="s">
        <v>51</v>
      </c>
      <c r="AN2404">
        <v>0</v>
      </c>
      <c r="AO2404" t="s">
        <v>54</v>
      </c>
      <c r="AP2404" t="s">
        <v>53</v>
      </c>
      <c r="AQ2404">
        <v>0</v>
      </c>
      <c r="AR2404" t="s">
        <v>53</v>
      </c>
      <c r="AS2404">
        <v>0</v>
      </c>
      <c r="AT2404">
        <v>0</v>
      </c>
      <c r="AW2404" t="s">
        <v>161</v>
      </c>
      <c r="AX2404">
        <v>50</v>
      </c>
      <c r="AY2404" s="1">
        <v>32325</v>
      </c>
      <c r="AZ2404" s="1">
        <v>32325</v>
      </c>
      <c r="BA2404" s="1">
        <v>32325</v>
      </c>
      <c r="BB2404" s="1">
        <v>50587</v>
      </c>
      <c r="BC2404" t="s">
        <v>51</v>
      </c>
      <c r="BE2404" t="s">
        <v>54</v>
      </c>
      <c r="BF2404">
        <v>0</v>
      </c>
      <c r="BG2404">
        <v>0</v>
      </c>
      <c r="BH2404" t="s">
        <v>53</v>
      </c>
      <c r="BK2404" t="s">
        <v>720</v>
      </c>
      <c r="BL2404">
        <v>17000</v>
      </c>
      <c r="BM2404" s="1">
        <v>44103</v>
      </c>
      <c r="BN2404" s="1">
        <v>44103</v>
      </c>
      <c r="BO2404" s="1">
        <v>44103</v>
      </c>
      <c r="BP2404" s="1">
        <v>45539</v>
      </c>
      <c r="BQ2404" t="s">
        <v>51</v>
      </c>
      <c r="BS2404" t="s">
        <v>60</v>
      </c>
      <c r="BT2404" t="s">
        <v>54</v>
      </c>
      <c r="BU2404" t="s">
        <v>721</v>
      </c>
      <c r="BV2404" t="s">
        <v>722</v>
      </c>
      <c r="BX2404">
        <v>18</v>
      </c>
      <c r="BY2404">
        <v>0</v>
      </c>
      <c r="BZ2404">
        <v>0</v>
      </c>
      <c r="CX2404" t="s">
        <v>674</v>
      </c>
      <c r="CY2404">
        <v>0</v>
      </c>
      <c r="CZ2404" s="1">
        <v>44320</v>
      </c>
      <c r="DA2404" s="1">
        <v>44320</v>
      </c>
      <c r="DB2404" s="1">
        <v>44320</v>
      </c>
      <c r="DC2404" s="1">
        <v>44320</v>
      </c>
      <c r="DD2404" t="s">
        <v>51</v>
      </c>
      <c r="DF2404" t="s">
        <v>54</v>
      </c>
      <c r="DG2404">
        <v>0</v>
      </c>
      <c r="DH2404">
        <v>0</v>
      </c>
    </row>
    <row r="2405" spans="1:112" x14ac:dyDescent="0.2">
      <c r="A2405" t="s">
        <v>1012</v>
      </c>
      <c r="B2405" t="s">
        <v>1013</v>
      </c>
      <c r="C2405" t="s">
        <v>1052</v>
      </c>
      <c r="D2405" t="s">
        <v>1090</v>
      </c>
      <c r="F2405" t="str">
        <f>"251966"</f>
        <v>251966</v>
      </c>
      <c r="G2405" t="s">
        <v>49</v>
      </c>
      <c r="K2405" t="s">
        <v>51</v>
      </c>
      <c r="L2405" t="s">
        <v>52</v>
      </c>
      <c r="M2405">
        <v>131648.67000000001</v>
      </c>
      <c r="N2405">
        <v>474705.21</v>
      </c>
      <c r="O2405" t="s">
        <v>53</v>
      </c>
      <c r="P2405" t="s">
        <v>54</v>
      </c>
      <c r="Q2405" t="s">
        <v>55</v>
      </c>
      <c r="T2405" t="s">
        <v>100</v>
      </c>
      <c r="U2405">
        <v>40</v>
      </c>
      <c r="V2405" s="1">
        <v>32143</v>
      </c>
      <c r="W2405" s="1">
        <v>32143</v>
      </c>
      <c r="X2405" s="1">
        <v>32143</v>
      </c>
      <c r="Y2405" s="1">
        <v>46753</v>
      </c>
      <c r="Z2405" t="s">
        <v>51</v>
      </c>
      <c r="AB2405" t="s">
        <v>54</v>
      </c>
      <c r="AC2405">
        <v>1</v>
      </c>
      <c r="AE2405" t="s">
        <v>819</v>
      </c>
      <c r="AF2405">
        <v>20</v>
      </c>
      <c r="AG2405" s="1">
        <v>32325</v>
      </c>
      <c r="AH2405" s="1">
        <v>32325</v>
      </c>
      <c r="AI2405" s="1">
        <v>32325</v>
      </c>
      <c r="AJ2405" s="1">
        <v>39630</v>
      </c>
      <c r="AK2405" t="s">
        <v>51</v>
      </c>
      <c r="AN2405">
        <v>0</v>
      </c>
      <c r="AO2405" t="s">
        <v>54</v>
      </c>
      <c r="AP2405" t="s">
        <v>53</v>
      </c>
      <c r="AQ2405">
        <v>0</v>
      </c>
      <c r="AR2405" t="s">
        <v>53</v>
      </c>
      <c r="AS2405">
        <v>0</v>
      </c>
      <c r="AT2405">
        <v>0</v>
      </c>
      <c r="AW2405" t="s">
        <v>161</v>
      </c>
      <c r="AX2405">
        <v>50</v>
      </c>
      <c r="AY2405" s="1">
        <v>32325</v>
      </c>
      <c r="AZ2405" s="1">
        <v>32325</v>
      </c>
      <c r="BA2405" s="1">
        <v>32325</v>
      </c>
      <c r="BB2405" s="1">
        <v>50587</v>
      </c>
      <c r="BC2405" t="s">
        <v>51</v>
      </c>
      <c r="BE2405" t="s">
        <v>54</v>
      </c>
      <c r="BF2405">
        <v>0</v>
      </c>
      <c r="BG2405">
        <v>0</v>
      </c>
      <c r="BH2405" t="s">
        <v>53</v>
      </c>
      <c r="BK2405" t="s">
        <v>720</v>
      </c>
      <c r="BL2405">
        <v>17000</v>
      </c>
      <c r="BM2405" s="1">
        <v>44103</v>
      </c>
      <c r="BN2405" s="1">
        <v>44103</v>
      </c>
      <c r="BO2405" s="1">
        <v>44103</v>
      </c>
      <c r="BP2405" s="1">
        <v>45539</v>
      </c>
      <c r="BQ2405" t="s">
        <v>51</v>
      </c>
      <c r="BS2405" t="s">
        <v>60</v>
      </c>
      <c r="BT2405" t="s">
        <v>54</v>
      </c>
      <c r="BU2405" t="s">
        <v>721</v>
      </c>
      <c r="BV2405" t="s">
        <v>722</v>
      </c>
      <c r="BX2405">
        <v>18</v>
      </c>
      <c r="BY2405">
        <v>0</v>
      </c>
      <c r="BZ2405">
        <v>0</v>
      </c>
      <c r="CX2405" t="s">
        <v>674</v>
      </c>
      <c r="CY2405">
        <v>0</v>
      </c>
      <c r="CZ2405" s="1">
        <v>44320</v>
      </c>
      <c r="DA2405" s="1">
        <v>44320</v>
      </c>
      <c r="DB2405" s="1">
        <v>44320</v>
      </c>
      <c r="DC2405" s="1">
        <v>44320</v>
      </c>
      <c r="DD2405" t="s">
        <v>51</v>
      </c>
      <c r="DF2405" t="s">
        <v>54</v>
      </c>
      <c r="DG2405">
        <v>0</v>
      </c>
      <c r="DH2405">
        <v>0</v>
      </c>
    </row>
    <row r="2406" spans="1:112" x14ac:dyDescent="0.2">
      <c r="A2406" t="s">
        <v>1012</v>
      </c>
      <c r="B2406" t="s">
        <v>1013</v>
      </c>
      <c r="C2406" t="s">
        <v>1052</v>
      </c>
      <c r="D2406" t="s">
        <v>1090</v>
      </c>
      <c r="F2406" t="str">
        <f>"251967"</f>
        <v>251967</v>
      </c>
      <c r="G2406" t="s">
        <v>49</v>
      </c>
      <c r="K2406" t="s">
        <v>51</v>
      </c>
      <c r="L2406" t="s">
        <v>52</v>
      </c>
      <c r="M2406">
        <v>131644.85</v>
      </c>
      <c r="N2406">
        <v>474677.79</v>
      </c>
      <c r="O2406" t="s">
        <v>53</v>
      </c>
      <c r="P2406" t="s">
        <v>54</v>
      </c>
      <c r="Q2406" t="s">
        <v>55</v>
      </c>
      <c r="T2406" t="s">
        <v>100</v>
      </c>
      <c r="U2406">
        <v>40</v>
      </c>
      <c r="V2406" s="1">
        <v>32143</v>
      </c>
      <c r="W2406" s="1">
        <v>32143</v>
      </c>
      <c r="X2406" s="1">
        <v>32143</v>
      </c>
      <c r="Y2406" s="1">
        <v>46753</v>
      </c>
      <c r="Z2406" t="s">
        <v>51</v>
      </c>
      <c r="AB2406" t="s">
        <v>54</v>
      </c>
      <c r="AC2406">
        <v>1</v>
      </c>
      <c r="AE2406" t="s">
        <v>819</v>
      </c>
      <c r="AF2406">
        <v>20</v>
      </c>
      <c r="AG2406" s="1">
        <v>32325</v>
      </c>
      <c r="AH2406" s="1">
        <v>32325</v>
      </c>
      <c r="AI2406" s="1">
        <v>32325</v>
      </c>
      <c r="AJ2406" s="1">
        <v>39630</v>
      </c>
      <c r="AK2406" t="s">
        <v>51</v>
      </c>
      <c r="AN2406">
        <v>0</v>
      </c>
      <c r="AO2406" t="s">
        <v>54</v>
      </c>
      <c r="AP2406" t="s">
        <v>53</v>
      </c>
      <c r="AQ2406">
        <v>0</v>
      </c>
      <c r="AR2406" t="s">
        <v>53</v>
      </c>
      <c r="AS2406">
        <v>0</v>
      </c>
      <c r="AT2406">
        <v>0</v>
      </c>
      <c r="AW2406" t="s">
        <v>161</v>
      </c>
      <c r="AX2406">
        <v>50</v>
      </c>
      <c r="AY2406" s="1">
        <v>32325</v>
      </c>
      <c r="AZ2406" s="1">
        <v>32325</v>
      </c>
      <c r="BA2406" s="1">
        <v>32325</v>
      </c>
      <c r="BB2406" s="1">
        <v>50587</v>
      </c>
      <c r="BC2406" t="s">
        <v>51</v>
      </c>
      <c r="BE2406" t="s">
        <v>54</v>
      </c>
      <c r="BF2406">
        <v>0</v>
      </c>
      <c r="BG2406">
        <v>0</v>
      </c>
      <c r="BH2406" t="s">
        <v>53</v>
      </c>
      <c r="BK2406" t="s">
        <v>720</v>
      </c>
      <c r="BL2406">
        <v>17000</v>
      </c>
      <c r="BM2406" s="1">
        <v>44103</v>
      </c>
      <c r="BN2406" s="1">
        <v>44103</v>
      </c>
      <c r="BO2406" s="1">
        <v>44103</v>
      </c>
      <c r="BP2406" s="1">
        <v>45539</v>
      </c>
      <c r="BQ2406" t="s">
        <v>51</v>
      </c>
      <c r="BS2406" t="s">
        <v>60</v>
      </c>
      <c r="BT2406" t="s">
        <v>54</v>
      </c>
      <c r="BU2406" t="s">
        <v>721</v>
      </c>
      <c r="BV2406" t="s">
        <v>722</v>
      </c>
      <c r="BX2406">
        <v>18</v>
      </c>
      <c r="BY2406">
        <v>0</v>
      </c>
      <c r="BZ2406">
        <v>0</v>
      </c>
      <c r="CX2406" t="s">
        <v>674</v>
      </c>
      <c r="CY2406">
        <v>0</v>
      </c>
      <c r="CZ2406" s="1">
        <v>44320</v>
      </c>
      <c r="DA2406" s="1">
        <v>44320</v>
      </c>
      <c r="DB2406" s="1">
        <v>44320</v>
      </c>
      <c r="DC2406" s="1">
        <v>44320</v>
      </c>
      <c r="DD2406" t="s">
        <v>51</v>
      </c>
      <c r="DF2406" t="s">
        <v>54</v>
      </c>
      <c r="DG2406">
        <v>0</v>
      </c>
      <c r="DH2406">
        <v>0</v>
      </c>
    </row>
    <row r="2407" spans="1:112" x14ac:dyDescent="0.2">
      <c r="A2407" t="s">
        <v>1012</v>
      </c>
      <c r="B2407" t="s">
        <v>1013</v>
      </c>
      <c r="C2407" t="s">
        <v>1052</v>
      </c>
      <c r="D2407" t="s">
        <v>1090</v>
      </c>
      <c r="F2407" t="str">
        <f>"251968"</f>
        <v>251968</v>
      </c>
      <c r="G2407" t="s">
        <v>49</v>
      </c>
      <c r="K2407" t="s">
        <v>51</v>
      </c>
      <c r="L2407" t="s">
        <v>52</v>
      </c>
      <c r="M2407">
        <v>131638.60399999999</v>
      </c>
      <c r="N2407">
        <v>474637.97600000002</v>
      </c>
      <c r="O2407" t="s">
        <v>53</v>
      </c>
      <c r="P2407" t="s">
        <v>54</v>
      </c>
      <c r="Q2407" t="s">
        <v>55</v>
      </c>
      <c r="T2407" t="s">
        <v>100</v>
      </c>
      <c r="U2407">
        <v>40</v>
      </c>
      <c r="V2407" s="1">
        <v>32143</v>
      </c>
      <c r="W2407" s="1">
        <v>32143</v>
      </c>
      <c r="X2407" s="1">
        <v>32143</v>
      </c>
      <c r="Y2407" s="1">
        <v>46753</v>
      </c>
      <c r="Z2407" t="s">
        <v>51</v>
      </c>
      <c r="AB2407" t="s">
        <v>54</v>
      </c>
      <c r="AC2407">
        <v>1</v>
      </c>
      <c r="AE2407" t="s">
        <v>819</v>
      </c>
      <c r="AF2407">
        <v>20</v>
      </c>
      <c r="AG2407" s="1">
        <v>32325</v>
      </c>
      <c r="AH2407" s="1">
        <v>32325</v>
      </c>
      <c r="AI2407" s="1">
        <v>32325</v>
      </c>
      <c r="AJ2407" s="1">
        <v>39630</v>
      </c>
      <c r="AK2407" t="s">
        <v>51</v>
      </c>
      <c r="AN2407">
        <v>0</v>
      </c>
      <c r="AO2407" t="s">
        <v>54</v>
      </c>
      <c r="AP2407" t="s">
        <v>53</v>
      </c>
      <c r="AQ2407">
        <v>0</v>
      </c>
      <c r="AR2407" t="s">
        <v>53</v>
      </c>
      <c r="AS2407">
        <v>0</v>
      </c>
      <c r="AT2407">
        <v>0</v>
      </c>
      <c r="AW2407" t="s">
        <v>161</v>
      </c>
      <c r="AX2407">
        <v>50</v>
      </c>
      <c r="AY2407" s="1">
        <v>32325</v>
      </c>
      <c r="AZ2407" s="1">
        <v>32325</v>
      </c>
      <c r="BA2407" s="1">
        <v>32325</v>
      </c>
      <c r="BB2407" s="1">
        <v>50587</v>
      </c>
      <c r="BC2407" t="s">
        <v>51</v>
      </c>
      <c r="BE2407" t="s">
        <v>54</v>
      </c>
      <c r="BF2407">
        <v>0</v>
      </c>
      <c r="BG2407">
        <v>0</v>
      </c>
      <c r="BH2407" t="s">
        <v>53</v>
      </c>
      <c r="BK2407" t="s">
        <v>720</v>
      </c>
      <c r="BL2407">
        <v>17000</v>
      </c>
      <c r="BM2407" s="1">
        <v>44103</v>
      </c>
      <c r="BN2407" s="1">
        <v>44103</v>
      </c>
      <c r="BO2407" s="1">
        <v>44103</v>
      </c>
      <c r="BP2407" s="1">
        <v>45539</v>
      </c>
      <c r="BQ2407" t="s">
        <v>51</v>
      </c>
      <c r="BS2407" t="s">
        <v>60</v>
      </c>
      <c r="BT2407" t="s">
        <v>54</v>
      </c>
      <c r="BU2407" t="s">
        <v>721</v>
      </c>
      <c r="BV2407" t="s">
        <v>722</v>
      </c>
      <c r="BX2407">
        <v>18</v>
      </c>
      <c r="BY2407">
        <v>0</v>
      </c>
      <c r="BZ2407">
        <v>0</v>
      </c>
      <c r="CX2407" t="s">
        <v>674</v>
      </c>
      <c r="CY2407">
        <v>0</v>
      </c>
      <c r="CZ2407" s="1">
        <v>44320</v>
      </c>
      <c r="DA2407" s="1">
        <v>44320</v>
      </c>
      <c r="DB2407" s="1">
        <v>44320</v>
      </c>
      <c r="DC2407" s="1">
        <v>44320</v>
      </c>
      <c r="DD2407" t="s">
        <v>51</v>
      </c>
      <c r="DF2407" t="s">
        <v>54</v>
      </c>
      <c r="DG2407">
        <v>0</v>
      </c>
      <c r="DH2407">
        <v>0</v>
      </c>
    </row>
    <row r="2408" spans="1:112" x14ac:dyDescent="0.2">
      <c r="A2408" t="s">
        <v>1012</v>
      </c>
      <c r="B2408" t="s">
        <v>1013</v>
      </c>
      <c r="C2408" t="s">
        <v>1052</v>
      </c>
      <c r="D2408" t="s">
        <v>1090</v>
      </c>
      <c r="F2408" t="str">
        <f>"251969"</f>
        <v>251969</v>
      </c>
      <c r="G2408" t="s">
        <v>49</v>
      </c>
      <c r="K2408" t="s">
        <v>51</v>
      </c>
      <c r="L2408" t="s">
        <v>52</v>
      </c>
      <c r="M2408">
        <v>131633.609</v>
      </c>
      <c r="N2408">
        <v>474604.03399999999</v>
      </c>
      <c r="O2408" t="s">
        <v>53</v>
      </c>
      <c r="P2408" t="s">
        <v>54</v>
      </c>
      <c r="Q2408" t="s">
        <v>55</v>
      </c>
      <c r="T2408" t="s">
        <v>100</v>
      </c>
      <c r="U2408">
        <v>40</v>
      </c>
      <c r="V2408" s="1">
        <v>32143</v>
      </c>
      <c r="W2408" s="1">
        <v>32143</v>
      </c>
      <c r="X2408" s="1">
        <v>32143</v>
      </c>
      <c r="Y2408" s="1">
        <v>46753</v>
      </c>
      <c r="Z2408" t="s">
        <v>51</v>
      </c>
      <c r="AB2408" t="s">
        <v>54</v>
      </c>
      <c r="AC2408">
        <v>1</v>
      </c>
      <c r="AE2408" t="s">
        <v>819</v>
      </c>
      <c r="AF2408">
        <v>20</v>
      </c>
      <c r="AG2408" s="1">
        <v>32325</v>
      </c>
      <c r="AH2408" s="1">
        <v>32325</v>
      </c>
      <c r="AI2408" s="1">
        <v>32325</v>
      </c>
      <c r="AJ2408" s="1">
        <v>39630</v>
      </c>
      <c r="AK2408" t="s">
        <v>51</v>
      </c>
      <c r="AN2408">
        <v>0</v>
      </c>
      <c r="AO2408" t="s">
        <v>54</v>
      </c>
      <c r="AP2408" t="s">
        <v>53</v>
      </c>
      <c r="AQ2408">
        <v>0</v>
      </c>
      <c r="AR2408" t="s">
        <v>53</v>
      </c>
      <c r="AS2408">
        <v>0</v>
      </c>
      <c r="AT2408">
        <v>0</v>
      </c>
      <c r="AW2408" t="s">
        <v>161</v>
      </c>
      <c r="AX2408">
        <v>50</v>
      </c>
      <c r="AY2408" s="1">
        <v>32325</v>
      </c>
      <c r="AZ2408" s="1">
        <v>32325</v>
      </c>
      <c r="BA2408" s="1">
        <v>32325</v>
      </c>
      <c r="BB2408" s="1">
        <v>50587</v>
      </c>
      <c r="BC2408" t="s">
        <v>51</v>
      </c>
      <c r="BE2408" t="s">
        <v>54</v>
      </c>
      <c r="BF2408">
        <v>0</v>
      </c>
      <c r="BG2408">
        <v>0</v>
      </c>
      <c r="BH2408" t="s">
        <v>53</v>
      </c>
      <c r="BK2408" t="s">
        <v>720</v>
      </c>
      <c r="BL2408">
        <v>17000</v>
      </c>
      <c r="BM2408" s="1">
        <v>44103</v>
      </c>
      <c r="BN2408" s="1">
        <v>44103</v>
      </c>
      <c r="BO2408" s="1">
        <v>44103</v>
      </c>
      <c r="BP2408" s="1">
        <v>45539</v>
      </c>
      <c r="BQ2408" t="s">
        <v>51</v>
      </c>
      <c r="BS2408" t="s">
        <v>60</v>
      </c>
      <c r="BT2408" t="s">
        <v>54</v>
      </c>
      <c r="BU2408" t="s">
        <v>721</v>
      </c>
      <c r="BV2408" t="s">
        <v>722</v>
      </c>
      <c r="BX2408">
        <v>18</v>
      </c>
      <c r="BY2408">
        <v>0</v>
      </c>
      <c r="BZ2408">
        <v>0</v>
      </c>
      <c r="CX2408" t="s">
        <v>674</v>
      </c>
      <c r="CY2408">
        <v>0</v>
      </c>
      <c r="CZ2408" s="1">
        <v>44320</v>
      </c>
      <c r="DA2408" s="1">
        <v>44320</v>
      </c>
      <c r="DB2408" s="1">
        <v>44320</v>
      </c>
      <c r="DC2408" s="1">
        <v>44320</v>
      </c>
      <c r="DD2408" t="s">
        <v>51</v>
      </c>
      <c r="DF2408" t="s">
        <v>54</v>
      </c>
      <c r="DG2408">
        <v>0</v>
      </c>
      <c r="DH2408">
        <v>0</v>
      </c>
    </row>
    <row r="2409" spans="1:112" x14ac:dyDescent="0.2">
      <c r="A2409" t="s">
        <v>1012</v>
      </c>
      <c r="B2409" t="s">
        <v>1013</v>
      </c>
      <c r="C2409" t="s">
        <v>1052</v>
      </c>
      <c r="D2409" t="s">
        <v>1091</v>
      </c>
      <c r="F2409" t="str">
        <f>"251970"</f>
        <v>251970</v>
      </c>
      <c r="G2409" t="s">
        <v>49</v>
      </c>
      <c r="K2409" t="s">
        <v>51</v>
      </c>
      <c r="L2409" t="s">
        <v>52</v>
      </c>
      <c r="M2409">
        <v>131722.6</v>
      </c>
      <c r="N2409">
        <v>474753.58</v>
      </c>
      <c r="O2409" t="s">
        <v>53</v>
      </c>
      <c r="P2409" t="s">
        <v>54</v>
      </c>
      <c r="Q2409" t="s">
        <v>55</v>
      </c>
      <c r="T2409" t="s">
        <v>100</v>
      </c>
      <c r="U2409">
        <v>40</v>
      </c>
      <c r="V2409" s="1">
        <v>32143</v>
      </c>
      <c r="W2409" s="1">
        <v>32143</v>
      </c>
      <c r="X2409" s="1">
        <v>32143</v>
      </c>
      <c r="Y2409" s="1">
        <v>46753</v>
      </c>
      <c r="Z2409" t="s">
        <v>51</v>
      </c>
      <c r="AB2409" t="s">
        <v>54</v>
      </c>
      <c r="AC2409">
        <v>1</v>
      </c>
      <c r="AE2409" t="s">
        <v>819</v>
      </c>
      <c r="AF2409">
        <v>20</v>
      </c>
      <c r="AG2409" s="1">
        <v>32143</v>
      </c>
      <c r="AH2409" s="1">
        <v>32143</v>
      </c>
      <c r="AI2409" s="1">
        <v>32143</v>
      </c>
      <c r="AJ2409" s="1">
        <v>39448</v>
      </c>
      <c r="AK2409" t="s">
        <v>51</v>
      </c>
      <c r="AN2409">
        <v>0</v>
      </c>
      <c r="AO2409" t="s">
        <v>54</v>
      </c>
      <c r="AP2409" t="s">
        <v>53</v>
      </c>
      <c r="AQ2409">
        <v>0</v>
      </c>
      <c r="AR2409" t="s">
        <v>53</v>
      </c>
      <c r="AS2409">
        <v>0</v>
      </c>
      <c r="AT2409">
        <v>0</v>
      </c>
      <c r="AW2409" t="s">
        <v>161</v>
      </c>
      <c r="AX2409">
        <v>50</v>
      </c>
      <c r="AY2409" s="1">
        <v>32143</v>
      </c>
      <c r="AZ2409" s="1">
        <v>32143</v>
      </c>
      <c r="BA2409" s="1">
        <v>32143</v>
      </c>
      <c r="BB2409" s="1">
        <v>50406</v>
      </c>
      <c r="BC2409" t="s">
        <v>51</v>
      </c>
      <c r="BE2409" t="s">
        <v>54</v>
      </c>
      <c r="BF2409">
        <v>0</v>
      </c>
      <c r="BG2409">
        <v>0</v>
      </c>
      <c r="BH2409" t="s">
        <v>53</v>
      </c>
      <c r="BK2409" t="s">
        <v>720</v>
      </c>
      <c r="BL2409">
        <v>17000</v>
      </c>
      <c r="BM2409" s="1">
        <v>44103</v>
      </c>
      <c r="BN2409" s="1">
        <v>44103</v>
      </c>
      <c r="BO2409" s="1">
        <v>44103</v>
      </c>
      <c r="BP2409" s="1">
        <v>45539</v>
      </c>
      <c r="BQ2409" t="s">
        <v>51</v>
      </c>
      <c r="BS2409" t="s">
        <v>60</v>
      </c>
      <c r="BT2409" t="s">
        <v>54</v>
      </c>
      <c r="BU2409" t="s">
        <v>721</v>
      </c>
      <c r="BV2409" t="s">
        <v>722</v>
      </c>
      <c r="BX2409">
        <v>18</v>
      </c>
      <c r="BY2409">
        <v>0</v>
      </c>
      <c r="BZ2409">
        <v>0</v>
      </c>
      <c r="CX2409" t="s">
        <v>674</v>
      </c>
      <c r="CY2409">
        <v>0</v>
      </c>
      <c r="CZ2409" s="1">
        <v>44075</v>
      </c>
      <c r="DA2409" s="1">
        <v>44075</v>
      </c>
      <c r="DB2409" s="1">
        <v>44075</v>
      </c>
      <c r="DC2409" s="1">
        <v>44075</v>
      </c>
      <c r="DD2409" t="s">
        <v>51</v>
      </c>
      <c r="DF2409" t="s">
        <v>54</v>
      </c>
      <c r="DG2409">
        <v>0</v>
      </c>
      <c r="DH2409">
        <v>0</v>
      </c>
    </row>
    <row r="2410" spans="1:112" x14ac:dyDescent="0.2">
      <c r="A2410" t="s">
        <v>1012</v>
      </c>
      <c r="B2410" t="s">
        <v>1013</v>
      </c>
      <c r="C2410" t="s">
        <v>1052</v>
      </c>
      <c r="D2410" t="s">
        <v>1091</v>
      </c>
      <c r="F2410" t="str">
        <f>"251971"</f>
        <v>251971</v>
      </c>
      <c r="G2410" t="s">
        <v>49</v>
      </c>
      <c r="H2410">
        <v>13</v>
      </c>
      <c r="K2410" t="s">
        <v>51</v>
      </c>
      <c r="L2410" t="s">
        <v>52</v>
      </c>
      <c r="M2410">
        <v>131727.4</v>
      </c>
      <c r="N2410">
        <v>474780.46</v>
      </c>
      <c r="O2410" t="s">
        <v>53</v>
      </c>
      <c r="P2410" t="s">
        <v>54</v>
      </c>
      <c r="Q2410" t="s">
        <v>55</v>
      </c>
      <c r="T2410" t="s">
        <v>100</v>
      </c>
      <c r="U2410">
        <v>40</v>
      </c>
      <c r="V2410" s="1">
        <v>32143</v>
      </c>
      <c r="W2410" s="1">
        <v>32143</v>
      </c>
      <c r="X2410" s="1">
        <v>32143</v>
      </c>
      <c r="Y2410" s="1">
        <v>46753</v>
      </c>
      <c r="Z2410" t="s">
        <v>51</v>
      </c>
      <c r="AB2410" t="s">
        <v>54</v>
      </c>
      <c r="AC2410">
        <v>1</v>
      </c>
      <c r="AE2410" t="s">
        <v>819</v>
      </c>
      <c r="AF2410">
        <v>20</v>
      </c>
      <c r="AG2410" s="1">
        <v>32143</v>
      </c>
      <c r="AH2410" s="1">
        <v>32143</v>
      </c>
      <c r="AI2410" s="1">
        <v>32143</v>
      </c>
      <c r="AJ2410" s="1">
        <v>39448</v>
      </c>
      <c r="AK2410" t="s">
        <v>51</v>
      </c>
      <c r="AN2410">
        <v>0</v>
      </c>
      <c r="AO2410" t="s">
        <v>54</v>
      </c>
      <c r="AP2410" t="s">
        <v>53</v>
      </c>
      <c r="AQ2410">
        <v>0</v>
      </c>
      <c r="AR2410" t="s">
        <v>53</v>
      </c>
      <c r="AS2410">
        <v>0</v>
      </c>
      <c r="AT2410">
        <v>0</v>
      </c>
      <c r="AW2410" t="s">
        <v>333</v>
      </c>
      <c r="AX2410">
        <v>0</v>
      </c>
      <c r="AY2410" s="1">
        <v>45013</v>
      </c>
      <c r="AZ2410" s="1">
        <v>45013</v>
      </c>
      <c r="BA2410" s="1">
        <v>45013</v>
      </c>
      <c r="BB2410" s="1">
        <v>45013</v>
      </c>
      <c r="BC2410" t="s">
        <v>51</v>
      </c>
      <c r="BE2410" t="s">
        <v>54</v>
      </c>
      <c r="BF2410">
        <v>0</v>
      </c>
      <c r="BG2410">
        <v>0</v>
      </c>
      <c r="BH2410" t="s">
        <v>53</v>
      </c>
      <c r="BK2410" t="s">
        <v>720</v>
      </c>
      <c r="BL2410">
        <v>17000</v>
      </c>
      <c r="BM2410" s="1">
        <v>45013</v>
      </c>
      <c r="BN2410" s="1">
        <v>45013</v>
      </c>
      <c r="BO2410" s="1">
        <v>45013</v>
      </c>
      <c r="BP2410" s="1">
        <v>46449</v>
      </c>
      <c r="BQ2410" t="s">
        <v>51</v>
      </c>
      <c r="BS2410" t="s">
        <v>60</v>
      </c>
      <c r="BT2410" t="s">
        <v>54</v>
      </c>
      <c r="BU2410" t="s">
        <v>721</v>
      </c>
      <c r="BV2410" t="s">
        <v>722</v>
      </c>
      <c r="BX2410">
        <v>18</v>
      </c>
      <c r="BY2410">
        <v>0</v>
      </c>
      <c r="BZ2410">
        <v>0</v>
      </c>
      <c r="CX2410" t="s">
        <v>674</v>
      </c>
      <c r="CY2410">
        <v>0</v>
      </c>
      <c r="CZ2410" s="1">
        <v>44075</v>
      </c>
      <c r="DA2410" s="1">
        <v>44075</v>
      </c>
      <c r="DB2410" s="1">
        <v>44075</v>
      </c>
      <c r="DC2410" s="1">
        <v>44075</v>
      </c>
      <c r="DD2410" t="s">
        <v>51</v>
      </c>
      <c r="DF2410" t="s">
        <v>54</v>
      </c>
      <c r="DG2410">
        <v>0</v>
      </c>
      <c r="DH2410">
        <v>0</v>
      </c>
    </row>
    <row r="2411" spans="1:112" x14ac:dyDescent="0.2">
      <c r="A2411" t="s">
        <v>1012</v>
      </c>
      <c r="B2411" t="s">
        <v>1013</v>
      </c>
      <c r="C2411" t="s">
        <v>1052</v>
      </c>
      <c r="D2411" t="s">
        <v>1091</v>
      </c>
      <c r="F2411" t="str">
        <f>"251972"</f>
        <v>251972</v>
      </c>
      <c r="G2411" t="s">
        <v>49</v>
      </c>
      <c r="H2411">
        <v>17</v>
      </c>
      <c r="K2411" t="s">
        <v>51</v>
      </c>
      <c r="L2411" t="s">
        <v>52</v>
      </c>
      <c r="M2411">
        <v>131717.88</v>
      </c>
      <c r="N2411">
        <v>474797.04</v>
      </c>
      <c r="O2411" t="s">
        <v>53</v>
      </c>
      <c r="P2411" t="s">
        <v>54</v>
      </c>
      <c r="Q2411" t="s">
        <v>55</v>
      </c>
      <c r="T2411" t="s">
        <v>100</v>
      </c>
      <c r="U2411">
        <v>40</v>
      </c>
      <c r="V2411" s="1">
        <v>32143</v>
      </c>
      <c r="W2411" s="1">
        <v>32143</v>
      </c>
      <c r="X2411" s="1">
        <v>32143</v>
      </c>
      <c r="Y2411" s="1">
        <v>46753</v>
      </c>
      <c r="Z2411" t="s">
        <v>51</v>
      </c>
      <c r="AB2411" t="s">
        <v>54</v>
      </c>
      <c r="AC2411">
        <v>1</v>
      </c>
      <c r="AE2411" t="s">
        <v>819</v>
      </c>
      <c r="AF2411">
        <v>20</v>
      </c>
      <c r="AG2411" s="1">
        <v>32143</v>
      </c>
      <c r="AH2411" s="1">
        <v>32143</v>
      </c>
      <c r="AI2411" s="1">
        <v>32143</v>
      </c>
      <c r="AJ2411" s="1">
        <v>39448</v>
      </c>
      <c r="AK2411" t="s">
        <v>51</v>
      </c>
      <c r="AN2411">
        <v>0</v>
      </c>
      <c r="AO2411" t="s">
        <v>54</v>
      </c>
      <c r="AP2411" t="s">
        <v>53</v>
      </c>
      <c r="AQ2411">
        <v>0</v>
      </c>
      <c r="AR2411" t="s">
        <v>53</v>
      </c>
      <c r="AS2411">
        <v>0</v>
      </c>
      <c r="AT2411">
        <v>0</v>
      </c>
      <c r="AW2411" t="s">
        <v>161</v>
      </c>
      <c r="AX2411">
        <v>50</v>
      </c>
      <c r="AY2411" s="1">
        <v>32143</v>
      </c>
      <c r="AZ2411" s="1">
        <v>32143</v>
      </c>
      <c r="BA2411" s="1">
        <v>32143</v>
      </c>
      <c r="BB2411" s="1">
        <v>50406</v>
      </c>
      <c r="BC2411" t="s">
        <v>51</v>
      </c>
      <c r="BE2411" t="s">
        <v>54</v>
      </c>
      <c r="BF2411">
        <v>0</v>
      </c>
      <c r="BG2411">
        <v>0</v>
      </c>
      <c r="BH2411" t="s">
        <v>53</v>
      </c>
      <c r="BK2411" t="s">
        <v>720</v>
      </c>
      <c r="BL2411">
        <v>17000</v>
      </c>
      <c r="BM2411" s="1">
        <v>44103</v>
      </c>
      <c r="BN2411" s="1">
        <v>44103</v>
      </c>
      <c r="BO2411" s="1">
        <v>44103</v>
      </c>
      <c r="BP2411" s="1">
        <v>45539</v>
      </c>
      <c r="BQ2411" t="s">
        <v>51</v>
      </c>
      <c r="BS2411" t="s">
        <v>60</v>
      </c>
      <c r="BT2411" t="s">
        <v>54</v>
      </c>
      <c r="BU2411" t="s">
        <v>721</v>
      </c>
      <c r="BV2411" t="s">
        <v>722</v>
      </c>
      <c r="BX2411">
        <v>18</v>
      </c>
      <c r="BY2411">
        <v>0</v>
      </c>
      <c r="BZ2411">
        <v>0</v>
      </c>
      <c r="CX2411" t="s">
        <v>674</v>
      </c>
      <c r="CY2411">
        <v>0</v>
      </c>
      <c r="CZ2411" s="1">
        <v>44075</v>
      </c>
      <c r="DA2411" s="1">
        <v>44075</v>
      </c>
      <c r="DB2411" s="1">
        <v>44075</v>
      </c>
      <c r="DC2411" s="1">
        <v>44075</v>
      </c>
      <c r="DD2411" t="s">
        <v>51</v>
      </c>
      <c r="DF2411" t="s">
        <v>54</v>
      </c>
      <c r="DG2411">
        <v>0</v>
      </c>
      <c r="DH2411">
        <v>0</v>
      </c>
    </row>
    <row r="2412" spans="1:112" x14ac:dyDescent="0.2">
      <c r="A2412" t="s">
        <v>1012</v>
      </c>
      <c r="B2412" t="s">
        <v>1013</v>
      </c>
      <c r="C2412" t="s">
        <v>1052</v>
      </c>
      <c r="D2412" t="s">
        <v>1091</v>
      </c>
      <c r="F2412" t="str">
        <f>"251973"</f>
        <v>251973</v>
      </c>
      <c r="G2412" t="s">
        <v>49</v>
      </c>
      <c r="H2412">
        <v>29</v>
      </c>
      <c r="K2412" t="s">
        <v>51</v>
      </c>
      <c r="L2412" t="s">
        <v>52</v>
      </c>
      <c r="M2412">
        <v>131742.56</v>
      </c>
      <c r="N2412">
        <v>474791.41</v>
      </c>
      <c r="O2412" t="s">
        <v>53</v>
      </c>
      <c r="P2412" t="s">
        <v>54</v>
      </c>
      <c r="Q2412" t="s">
        <v>55</v>
      </c>
      <c r="T2412" t="s">
        <v>100</v>
      </c>
      <c r="U2412">
        <v>40</v>
      </c>
      <c r="V2412" s="1">
        <v>32143</v>
      </c>
      <c r="W2412" s="1">
        <v>32143</v>
      </c>
      <c r="X2412" s="1">
        <v>32143</v>
      </c>
      <c r="Y2412" s="1">
        <v>46753</v>
      </c>
      <c r="Z2412" t="s">
        <v>51</v>
      </c>
      <c r="AB2412" t="s">
        <v>54</v>
      </c>
      <c r="AC2412">
        <v>1</v>
      </c>
      <c r="AE2412" t="s">
        <v>819</v>
      </c>
      <c r="AF2412">
        <v>20</v>
      </c>
      <c r="AG2412" s="1">
        <v>32143</v>
      </c>
      <c r="AH2412" s="1">
        <v>32143</v>
      </c>
      <c r="AI2412" s="1">
        <v>32143</v>
      </c>
      <c r="AJ2412" s="1">
        <v>39448</v>
      </c>
      <c r="AK2412" t="s">
        <v>51</v>
      </c>
      <c r="AN2412">
        <v>0</v>
      </c>
      <c r="AO2412" t="s">
        <v>54</v>
      </c>
      <c r="AP2412" t="s">
        <v>53</v>
      </c>
      <c r="AQ2412">
        <v>0</v>
      </c>
      <c r="AR2412" t="s">
        <v>53</v>
      </c>
      <c r="AS2412">
        <v>0</v>
      </c>
      <c r="AT2412">
        <v>0</v>
      </c>
      <c r="AW2412" t="s">
        <v>161</v>
      </c>
      <c r="AX2412">
        <v>50</v>
      </c>
      <c r="AY2412" s="1">
        <v>32143</v>
      </c>
      <c r="AZ2412" s="1">
        <v>32143</v>
      </c>
      <c r="BA2412" s="1">
        <v>32143</v>
      </c>
      <c r="BB2412" s="1">
        <v>50406</v>
      </c>
      <c r="BC2412" t="s">
        <v>51</v>
      </c>
      <c r="BE2412" t="s">
        <v>54</v>
      </c>
      <c r="BF2412">
        <v>0</v>
      </c>
      <c r="BG2412">
        <v>0</v>
      </c>
      <c r="BH2412" t="s">
        <v>53</v>
      </c>
      <c r="BK2412" t="s">
        <v>720</v>
      </c>
      <c r="BL2412">
        <v>17000</v>
      </c>
      <c r="BM2412" s="1">
        <v>44103</v>
      </c>
      <c r="BN2412" s="1">
        <v>44103</v>
      </c>
      <c r="BO2412" s="1">
        <v>44103</v>
      </c>
      <c r="BP2412" s="1">
        <v>45539</v>
      </c>
      <c r="BQ2412" t="s">
        <v>51</v>
      </c>
      <c r="BS2412" t="s">
        <v>60</v>
      </c>
      <c r="BT2412" t="s">
        <v>54</v>
      </c>
      <c r="BU2412" t="s">
        <v>721</v>
      </c>
      <c r="BV2412" t="s">
        <v>722</v>
      </c>
      <c r="BX2412">
        <v>18</v>
      </c>
      <c r="BY2412">
        <v>0</v>
      </c>
      <c r="BZ2412">
        <v>0</v>
      </c>
      <c r="CX2412" t="s">
        <v>674</v>
      </c>
      <c r="CY2412">
        <v>0</v>
      </c>
      <c r="CZ2412" s="1">
        <v>44075</v>
      </c>
      <c r="DA2412" s="1">
        <v>44075</v>
      </c>
      <c r="DB2412" s="1">
        <v>44075</v>
      </c>
      <c r="DC2412" s="1">
        <v>44075</v>
      </c>
      <c r="DD2412" t="s">
        <v>51</v>
      </c>
      <c r="DF2412" t="s">
        <v>54</v>
      </c>
      <c r="DG2412">
        <v>0</v>
      </c>
      <c r="DH2412">
        <v>0</v>
      </c>
    </row>
    <row r="2413" spans="1:112" x14ac:dyDescent="0.2">
      <c r="A2413" t="s">
        <v>1012</v>
      </c>
      <c r="B2413" t="s">
        <v>1013</v>
      </c>
      <c r="C2413" t="s">
        <v>1052</v>
      </c>
      <c r="D2413" t="s">
        <v>1091</v>
      </c>
      <c r="F2413" t="str">
        <f>"251974"</f>
        <v>251974</v>
      </c>
      <c r="G2413" t="s">
        <v>49</v>
      </c>
      <c r="H2413">
        <v>37</v>
      </c>
      <c r="K2413" t="s">
        <v>51</v>
      </c>
      <c r="L2413" t="s">
        <v>52</v>
      </c>
      <c r="M2413">
        <v>131766.16</v>
      </c>
      <c r="N2413">
        <v>474787.14</v>
      </c>
      <c r="O2413" t="s">
        <v>53</v>
      </c>
      <c r="P2413" t="s">
        <v>54</v>
      </c>
      <c r="Q2413" t="s">
        <v>55</v>
      </c>
      <c r="T2413" t="s">
        <v>100</v>
      </c>
      <c r="U2413">
        <v>40</v>
      </c>
      <c r="V2413" s="1">
        <v>32143</v>
      </c>
      <c r="W2413" s="1">
        <v>32143</v>
      </c>
      <c r="X2413" s="1">
        <v>32143</v>
      </c>
      <c r="Y2413" s="1">
        <v>46753</v>
      </c>
      <c r="Z2413" t="s">
        <v>51</v>
      </c>
      <c r="AB2413" t="s">
        <v>54</v>
      </c>
      <c r="AC2413">
        <v>1</v>
      </c>
      <c r="AE2413" t="s">
        <v>819</v>
      </c>
      <c r="AF2413">
        <v>20</v>
      </c>
      <c r="AG2413" s="1">
        <v>32143</v>
      </c>
      <c r="AH2413" s="1">
        <v>32143</v>
      </c>
      <c r="AI2413" s="1">
        <v>32143</v>
      </c>
      <c r="AJ2413" s="1">
        <v>39448</v>
      </c>
      <c r="AK2413" t="s">
        <v>51</v>
      </c>
      <c r="AN2413">
        <v>0</v>
      </c>
      <c r="AO2413" t="s">
        <v>54</v>
      </c>
      <c r="AP2413" t="s">
        <v>53</v>
      </c>
      <c r="AQ2413">
        <v>0</v>
      </c>
      <c r="AR2413" t="s">
        <v>53</v>
      </c>
      <c r="AS2413">
        <v>0</v>
      </c>
      <c r="AT2413">
        <v>0</v>
      </c>
      <c r="AW2413" t="s">
        <v>161</v>
      </c>
      <c r="AX2413">
        <v>50</v>
      </c>
      <c r="AY2413" s="1">
        <v>32143</v>
      </c>
      <c r="AZ2413" s="1">
        <v>32143</v>
      </c>
      <c r="BA2413" s="1">
        <v>32143</v>
      </c>
      <c r="BB2413" s="1">
        <v>50406</v>
      </c>
      <c r="BC2413" t="s">
        <v>51</v>
      </c>
      <c r="BE2413" t="s">
        <v>54</v>
      </c>
      <c r="BF2413">
        <v>0</v>
      </c>
      <c r="BG2413">
        <v>0</v>
      </c>
      <c r="BH2413" t="s">
        <v>53</v>
      </c>
      <c r="BK2413" t="s">
        <v>720</v>
      </c>
      <c r="BL2413">
        <v>17000</v>
      </c>
      <c r="BM2413" s="1">
        <v>44264</v>
      </c>
      <c r="BN2413" s="1">
        <v>44264</v>
      </c>
      <c r="BO2413" s="1">
        <v>44264</v>
      </c>
      <c r="BP2413" s="1">
        <v>45704</v>
      </c>
      <c r="BQ2413" t="s">
        <v>51</v>
      </c>
      <c r="BS2413" t="s">
        <v>60</v>
      </c>
      <c r="BT2413" t="s">
        <v>54</v>
      </c>
      <c r="BU2413" t="s">
        <v>721</v>
      </c>
      <c r="BV2413" t="s">
        <v>722</v>
      </c>
      <c r="BX2413">
        <v>18</v>
      </c>
      <c r="BY2413">
        <v>0</v>
      </c>
      <c r="BZ2413">
        <v>0</v>
      </c>
      <c r="CX2413" t="s">
        <v>674</v>
      </c>
      <c r="CY2413">
        <v>0</v>
      </c>
      <c r="CZ2413" s="1">
        <v>44075</v>
      </c>
      <c r="DA2413" s="1">
        <v>44075</v>
      </c>
      <c r="DB2413" s="1">
        <v>44075</v>
      </c>
      <c r="DC2413" s="1">
        <v>44075</v>
      </c>
      <c r="DD2413" t="s">
        <v>51</v>
      </c>
      <c r="DF2413" t="s">
        <v>54</v>
      </c>
      <c r="DG2413">
        <v>0</v>
      </c>
      <c r="DH2413">
        <v>0</v>
      </c>
    </row>
    <row r="2414" spans="1:112" x14ac:dyDescent="0.2">
      <c r="A2414" t="s">
        <v>1012</v>
      </c>
      <c r="B2414" t="s">
        <v>1013</v>
      </c>
      <c r="C2414" t="s">
        <v>1052</v>
      </c>
      <c r="D2414" t="s">
        <v>1091</v>
      </c>
      <c r="F2414" t="str">
        <f>"251975"</f>
        <v>251975</v>
      </c>
      <c r="G2414" t="s">
        <v>49</v>
      </c>
      <c r="H2414">
        <v>45</v>
      </c>
      <c r="K2414" t="s">
        <v>51</v>
      </c>
      <c r="L2414" t="s">
        <v>52</v>
      </c>
      <c r="M2414">
        <v>131790.39000000001</v>
      </c>
      <c r="N2414">
        <v>474789.05</v>
      </c>
      <c r="O2414" t="s">
        <v>53</v>
      </c>
      <c r="P2414" t="s">
        <v>54</v>
      </c>
      <c r="Q2414" t="s">
        <v>55</v>
      </c>
      <c r="T2414" t="s">
        <v>100</v>
      </c>
      <c r="U2414">
        <v>40</v>
      </c>
      <c r="V2414" s="1">
        <v>32143</v>
      </c>
      <c r="W2414" s="1">
        <v>32143</v>
      </c>
      <c r="X2414" s="1">
        <v>32143</v>
      </c>
      <c r="Y2414" s="1">
        <v>46753</v>
      </c>
      <c r="Z2414" t="s">
        <v>51</v>
      </c>
      <c r="AB2414" t="s">
        <v>54</v>
      </c>
      <c r="AC2414">
        <v>1</v>
      </c>
      <c r="AE2414" t="s">
        <v>819</v>
      </c>
      <c r="AF2414">
        <v>20</v>
      </c>
      <c r="AG2414" s="1">
        <v>32143</v>
      </c>
      <c r="AH2414" s="1">
        <v>32143</v>
      </c>
      <c r="AI2414" s="1">
        <v>32143</v>
      </c>
      <c r="AJ2414" s="1">
        <v>39448</v>
      </c>
      <c r="AK2414" t="s">
        <v>51</v>
      </c>
      <c r="AN2414">
        <v>0</v>
      </c>
      <c r="AO2414" t="s">
        <v>54</v>
      </c>
      <c r="AP2414" t="s">
        <v>53</v>
      </c>
      <c r="AQ2414">
        <v>0</v>
      </c>
      <c r="AR2414" t="s">
        <v>53</v>
      </c>
      <c r="AS2414">
        <v>0</v>
      </c>
      <c r="AT2414">
        <v>0</v>
      </c>
      <c r="AW2414" t="s">
        <v>161</v>
      </c>
      <c r="AX2414">
        <v>50</v>
      </c>
      <c r="AY2414" s="1">
        <v>32143</v>
      </c>
      <c r="AZ2414" s="1">
        <v>32143</v>
      </c>
      <c r="BA2414" s="1">
        <v>32143</v>
      </c>
      <c r="BB2414" s="1">
        <v>50406</v>
      </c>
      <c r="BC2414" t="s">
        <v>51</v>
      </c>
      <c r="BE2414" t="s">
        <v>54</v>
      </c>
      <c r="BF2414">
        <v>0</v>
      </c>
      <c r="BG2414">
        <v>0</v>
      </c>
      <c r="BH2414" t="s">
        <v>53</v>
      </c>
      <c r="BK2414" t="s">
        <v>720</v>
      </c>
      <c r="BL2414">
        <v>17000</v>
      </c>
      <c r="BM2414" s="1">
        <v>44103</v>
      </c>
      <c r="BN2414" s="1">
        <v>44103</v>
      </c>
      <c r="BO2414" s="1">
        <v>44103</v>
      </c>
      <c r="BP2414" s="1">
        <v>45539</v>
      </c>
      <c r="BQ2414" t="s">
        <v>51</v>
      </c>
      <c r="BS2414" t="s">
        <v>60</v>
      </c>
      <c r="BT2414" t="s">
        <v>54</v>
      </c>
      <c r="BU2414" t="s">
        <v>721</v>
      </c>
      <c r="BV2414" t="s">
        <v>722</v>
      </c>
      <c r="BX2414">
        <v>18</v>
      </c>
      <c r="BY2414">
        <v>0</v>
      </c>
      <c r="BZ2414">
        <v>0</v>
      </c>
      <c r="CX2414" t="s">
        <v>674</v>
      </c>
      <c r="CY2414">
        <v>0</v>
      </c>
      <c r="CZ2414" s="1">
        <v>44075</v>
      </c>
      <c r="DA2414" s="1">
        <v>44075</v>
      </c>
      <c r="DB2414" s="1">
        <v>44075</v>
      </c>
      <c r="DC2414" s="1">
        <v>44075</v>
      </c>
      <c r="DD2414" t="s">
        <v>51</v>
      </c>
      <c r="DF2414" t="s">
        <v>54</v>
      </c>
      <c r="DG2414">
        <v>0</v>
      </c>
      <c r="DH2414">
        <v>0</v>
      </c>
    </row>
    <row r="2415" spans="1:112" x14ac:dyDescent="0.2">
      <c r="A2415" t="s">
        <v>1012</v>
      </c>
      <c r="B2415" t="s">
        <v>1013</v>
      </c>
      <c r="C2415" t="s">
        <v>1052</v>
      </c>
      <c r="D2415" t="s">
        <v>1091</v>
      </c>
      <c r="F2415" t="str">
        <f>"251976"</f>
        <v>251976</v>
      </c>
      <c r="G2415" t="s">
        <v>49</v>
      </c>
      <c r="H2415">
        <v>22</v>
      </c>
      <c r="K2415" t="s">
        <v>51</v>
      </c>
      <c r="L2415" t="s">
        <v>52</v>
      </c>
      <c r="M2415">
        <v>131816.19</v>
      </c>
      <c r="N2415">
        <v>474779.62</v>
      </c>
      <c r="O2415" t="s">
        <v>53</v>
      </c>
      <c r="P2415" t="s">
        <v>54</v>
      </c>
      <c r="Q2415" t="s">
        <v>55</v>
      </c>
      <c r="T2415" t="s">
        <v>100</v>
      </c>
      <c r="U2415">
        <v>40</v>
      </c>
      <c r="V2415" s="1">
        <v>32143</v>
      </c>
      <c r="W2415" s="1">
        <v>32143</v>
      </c>
      <c r="X2415" s="1">
        <v>32143</v>
      </c>
      <c r="Y2415" s="1">
        <v>46753</v>
      </c>
      <c r="Z2415" t="s">
        <v>51</v>
      </c>
      <c r="AB2415" t="s">
        <v>54</v>
      </c>
      <c r="AC2415">
        <v>1</v>
      </c>
      <c r="AE2415" t="s">
        <v>819</v>
      </c>
      <c r="AF2415">
        <v>20</v>
      </c>
      <c r="AG2415" s="1">
        <v>32143</v>
      </c>
      <c r="AH2415" s="1">
        <v>32143</v>
      </c>
      <c r="AI2415" s="1">
        <v>32143</v>
      </c>
      <c r="AJ2415" s="1">
        <v>39448</v>
      </c>
      <c r="AK2415" t="s">
        <v>51</v>
      </c>
      <c r="AN2415">
        <v>0</v>
      </c>
      <c r="AO2415" t="s">
        <v>54</v>
      </c>
      <c r="AP2415" t="s">
        <v>53</v>
      </c>
      <c r="AQ2415">
        <v>0</v>
      </c>
      <c r="AR2415" t="s">
        <v>53</v>
      </c>
      <c r="AS2415">
        <v>0</v>
      </c>
      <c r="AT2415">
        <v>0</v>
      </c>
      <c r="AW2415" t="s">
        <v>161</v>
      </c>
      <c r="AX2415">
        <v>50</v>
      </c>
      <c r="AY2415" s="1">
        <v>32143</v>
      </c>
      <c r="AZ2415" s="1">
        <v>32143</v>
      </c>
      <c r="BA2415" s="1">
        <v>32143</v>
      </c>
      <c r="BB2415" s="1">
        <v>50406</v>
      </c>
      <c r="BC2415" t="s">
        <v>51</v>
      </c>
      <c r="BE2415" t="s">
        <v>54</v>
      </c>
      <c r="BF2415">
        <v>0</v>
      </c>
      <c r="BG2415">
        <v>0</v>
      </c>
      <c r="BH2415" t="s">
        <v>53</v>
      </c>
      <c r="BK2415" t="s">
        <v>720</v>
      </c>
      <c r="BL2415">
        <v>17000</v>
      </c>
      <c r="BM2415" s="1">
        <v>44103</v>
      </c>
      <c r="BN2415" s="1">
        <v>44103</v>
      </c>
      <c r="BO2415" s="1">
        <v>44103</v>
      </c>
      <c r="BP2415" s="1">
        <v>45539</v>
      </c>
      <c r="BQ2415" t="s">
        <v>51</v>
      </c>
      <c r="BS2415" t="s">
        <v>60</v>
      </c>
      <c r="BT2415" t="s">
        <v>54</v>
      </c>
      <c r="BU2415" t="s">
        <v>721</v>
      </c>
      <c r="BV2415" t="s">
        <v>722</v>
      </c>
      <c r="BX2415">
        <v>18</v>
      </c>
      <c r="BY2415">
        <v>0</v>
      </c>
      <c r="BZ2415">
        <v>0</v>
      </c>
      <c r="CX2415" t="s">
        <v>674</v>
      </c>
      <c r="CY2415">
        <v>0</v>
      </c>
      <c r="CZ2415" s="1">
        <v>44075</v>
      </c>
      <c r="DA2415" s="1">
        <v>44075</v>
      </c>
      <c r="DB2415" s="1">
        <v>44075</v>
      </c>
      <c r="DC2415" s="1">
        <v>44075</v>
      </c>
      <c r="DD2415" t="s">
        <v>51</v>
      </c>
      <c r="DF2415" t="s">
        <v>54</v>
      </c>
      <c r="DG2415">
        <v>0</v>
      </c>
      <c r="DH2415">
        <v>0</v>
      </c>
    </row>
    <row r="2416" spans="1:112" x14ac:dyDescent="0.2">
      <c r="A2416" t="s">
        <v>1012</v>
      </c>
      <c r="B2416" t="s">
        <v>1013</v>
      </c>
      <c r="C2416" t="s">
        <v>1052</v>
      </c>
      <c r="D2416" t="s">
        <v>1091</v>
      </c>
      <c r="F2416" t="str">
        <f>"251977"</f>
        <v>251977</v>
      </c>
      <c r="G2416" t="s">
        <v>49</v>
      </c>
      <c r="H2416">
        <v>34</v>
      </c>
      <c r="K2416" t="s">
        <v>51</v>
      </c>
      <c r="L2416" t="s">
        <v>52</v>
      </c>
      <c r="M2416">
        <v>131834.62</v>
      </c>
      <c r="N2416">
        <v>474783.82</v>
      </c>
      <c r="O2416" t="s">
        <v>53</v>
      </c>
      <c r="P2416" t="s">
        <v>54</v>
      </c>
      <c r="Q2416" t="s">
        <v>55</v>
      </c>
      <c r="T2416" t="s">
        <v>100</v>
      </c>
      <c r="U2416">
        <v>40</v>
      </c>
      <c r="V2416" s="1">
        <v>32143</v>
      </c>
      <c r="W2416" s="1">
        <v>32143</v>
      </c>
      <c r="X2416" s="1">
        <v>32143</v>
      </c>
      <c r="Y2416" s="1">
        <v>46753</v>
      </c>
      <c r="Z2416" t="s">
        <v>51</v>
      </c>
      <c r="AB2416" t="s">
        <v>54</v>
      </c>
      <c r="AC2416">
        <v>1</v>
      </c>
      <c r="AE2416" t="s">
        <v>819</v>
      </c>
      <c r="AF2416">
        <v>20</v>
      </c>
      <c r="AG2416" s="1">
        <v>32143</v>
      </c>
      <c r="AH2416" s="1">
        <v>32143</v>
      </c>
      <c r="AI2416" s="1">
        <v>32143</v>
      </c>
      <c r="AJ2416" s="1">
        <v>39448</v>
      </c>
      <c r="AK2416" t="s">
        <v>51</v>
      </c>
      <c r="AN2416">
        <v>0</v>
      </c>
      <c r="AO2416" t="s">
        <v>54</v>
      </c>
      <c r="AP2416" t="s">
        <v>53</v>
      </c>
      <c r="AQ2416">
        <v>0</v>
      </c>
      <c r="AR2416" t="s">
        <v>53</v>
      </c>
      <c r="AS2416">
        <v>0</v>
      </c>
      <c r="AT2416">
        <v>0</v>
      </c>
      <c r="AW2416" t="s">
        <v>161</v>
      </c>
      <c r="AX2416">
        <v>50</v>
      </c>
      <c r="AY2416" s="1">
        <v>32143</v>
      </c>
      <c r="AZ2416" s="1">
        <v>32143</v>
      </c>
      <c r="BA2416" s="1">
        <v>32143</v>
      </c>
      <c r="BB2416" s="1">
        <v>50406</v>
      </c>
      <c r="BC2416" t="s">
        <v>51</v>
      </c>
      <c r="BE2416" t="s">
        <v>54</v>
      </c>
      <c r="BF2416">
        <v>0</v>
      </c>
      <c r="BG2416">
        <v>0</v>
      </c>
      <c r="BH2416" t="s">
        <v>53</v>
      </c>
      <c r="BK2416" t="s">
        <v>720</v>
      </c>
      <c r="BL2416">
        <v>17000</v>
      </c>
      <c r="BM2416" s="1">
        <v>44865</v>
      </c>
      <c r="BN2416" s="1">
        <v>44865</v>
      </c>
      <c r="BO2416" s="1">
        <v>44865</v>
      </c>
      <c r="BP2416" s="1">
        <v>46306</v>
      </c>
      <c r="BQ2416" t="s">
        <v>51</v>
      </c>
      <c r="BS2416" t="s">
        <v>60</v>
      </c>
      <c r="BT2416" t="s">
        <v>54</v>
      </c>
      <c r="BU2416" t="s">
        <v>721</v>
      </c>
      <c r="BV2416" t="s">
        <v>722</v>
      </c>
      <c r="BX2416">
        <v>18</v>
      </c>
      <c r="BY2416">
        <v>0</v>
      </c>
      <c r="BZ2416">
        <v>0</v>
      </c>
      <c r="CX2416" t="s">
        <v>674</v>
      </c>
      <c r="CY2416">
        <v>0</v>
      </c>
      <c r="CZ2416" s="1">
        <v>44075</v>
      </c>
      <c r="DA2416" s="1">
        <v>44075</v>
      </c>
      <c r="DB2416" s="1">
        <v>44075</v>
      </c>
      <c r="DC2416" s="1">
        <v>44075</v>
      </c>
      <c r="DD2416" t="s">
        <v>51</v>
      </c>
      <c r="DF2416" t="s">
        <v>54</v>
      </c>
      <c r="DG2416">
        <v>0</v>
      </c>
      <c r="DH2416">
        <v>0</v>
      </c>
    </row>
    <row r="2417" spans="1:112" x14ac:dyDescent="0.2">
      <c r="A2417" t="s">
        <v>1012</v>
      </c>
      <c r="B2417" t="s">
        <v>1013</v>
      </c>
      <c r="C2417" t="s">
        <v>1052</v>
      </c>
      <c r="D2417" t="s">
        <v>1091</v>
      </c>
      <c r="F2417" t="str">
        <f>"251978"</f>
        <v>251978</v>
      </c>
      <c r="G2417" t="s">
        <v>49</v>
      </c>
      <c r="H2417">
        <v>28</v>
      </c>
      <c r="K2417" t="s">
        <v>51</v>
      </c>
      <c r="L2417" t="s">
        <v>52</v>
      </c>
      <c r="M2417">
        <v>131828.25</v>
      </c>
      <c r="N2417">
        <v>474750.44</v>
      </c>
      <c r="O2417" t="s">
        <v>53</v>
      </c>
      <c r="P2417" t="s">
        <v>54</v>
      </c>
      <c r="Q2417" t="s">
        <v>55</v>
      </c>
      <c r="T2417" t="s">
        <v>100</v>
      </c>
      <c r="U2417">
        <v>40</v>
      </c>
      <c r="V2417" s="1">
        <v>32143</v>
      </c>
      <c r="W2417" s="1">
        <v>32143</v>
      </c>
      <c r="X2417" s="1">
        <v>32143</v>
      </c>
      <c r="Y2417" s="1">
        <v>46753</v>
      </c>
      <c r="Z2417" t="s">
        <v>51</v>
      </c>
      <c r="AB2417" t="s">
        <v>54</v>
      </c>
      <c r="AC2417">
        <v>1</v>
      </c>
      <c r="AE2417" t="s">
        <v>819</v>
      </c>
      <c r="AF2417">
        <v>20</v>
      </c>
      <c r="AG2417" s="1">
        <v>32143</v>
      </c>
      <c r="AH2417" s="1">
        <v>32143</v>
      </c>
      <c r="AI2417" s="1">
        <v>32143</v>
      </c>
      <c r="AJ2417" s="1">
        <v>39448</v>
      </c>
      <c r="AK2417" t="s">
        <v>51</v>
      </c>
      <c r="AN2417">
        <v>0</v>
      </c>
      <c r="AO2417" t="s">
        <v>54</v>
      </c>
      <c r="AP2417" t="s">
        <v>53</v>
      </c>
      <c r="AQ2417">
        <v>0</v>
      </c>
      <c r="AR2417" t="s">
        <v>53</v>
      </c>
      <c r="AS2417">
        <v>0</v>
      </c>
      <c r="AT2417">
        <v>0</v>
      </c>
      <c r="AW2417" t="s">
        <v>161</v>
      </c>
      <c r="AX2417">
        <v>50</v>
      </c>
      <c r="AY2417" s="1">
        <v>32143</v>
      </c>
      <c r="AZ2417" s="1">
        <v>32143</v>
      </c>
      <c r="BA2417" s="1">
        <v>32143</v>
      </c>
      <c r="BB2417" s="1">
        <v>50406</v>
      </c>
      <c r="BC2417" t="s">
        <v>51</v>
      </c>
      <c r="BE2417" t="s">
        <v>54</v>
      </c>
      <c r="BF2417">
        <v>0</v>
      </c>
      <c r="BG2417">
        <v>0</v>
      </c>
      <c r="BH2417" t="s">
        <v>53</v>
      </c>
      <c r="BK2417" t="s">
        <v>720</v>
      </c>
      <c r="BL2417">
        <v>17000</v>
      </c>
      <c r="BM2417" s="1">
        <v>45061</v>
      </c>
      <c r="BN2417" s="1">
        <v>45061</v>
      </c>
      <c r="BO2417" s="1">
        <v>45061</v>
      </c>
      <c r="BP2417" s="1">
        <v>46490</v>
      </c>
      <c r="BQ2417" t="s">
        <v>51</v>
      </c>
      <c r="BS2417" t="s">
        <v>60</v>
      </c>
      <c r="BT2417" t="s">
        <v>54</v>
      </c>
      <c r="BU2417" t="s">
        <v>721</v>
      </c>
      <c r="BV2417" t="s">
        <v>722</v>
      </c>
      <c r="BX2417">
        <v>18</v>
      </c>
      <c r="BY2417">
        <v>0</v>
      </c>
      <c r="BZ2417">
        <v>0</v>
      </c>
      <c r="CX2417" t="s">
        <v>674</v>
      </c>
      <c r="CY2417">
        <v>0</v>
      </c>
      <c r="CZ2417" s="1">
        <v>44075</v>
      </c>
      <c r="DA2417" s="1">
        <v>44075</v>
      </c>
      <c r="DB2417" s="1">
        <v>44075</v>
      </c>
      <c r="DC2417" s="1">
        <v>44075</v>
      </c>
      <c r="DD2417" t="s">
        <v>51</v>
      </c>
      <c r="DF2417" t="s">
        <v>54</v>
      </c>
      <c r="DG2417">
        <v>0</v>
      </c>
      <c r="DH2417">
        <v>0</v>
      </c>
    </row>
    <row r="2418" spans="1:112" x14ac:dyDescent="0.2">
      <c r="A2418" t="s">
        <v>1012</v>
      </c>
      <c r="B2418" t="s">
        <v>1013</v>
      </c>
      <c r="C2418" t="s">
        <v>1052</v>
      </c>
      <c r="D2418" t="s">
        <v>1091</v>
      </c>
      <c r="F2418" t="str">
        <f>"251979"</f>
        <v>251979</v>
      </c>
      <c r="G2418" t="s">
        <v>49</v>
      </c>
      <c r="H2418">
        <v>42</v>
      </c>
      <c r="K2418" t="s">
        <v>51</v>
      </c>
      <c r="L2418" t="s">
        <v>52</v>
      </c>
      <c r="M2418">
        <v>131822.48000000001</v>
      </c>
      <c r="N2418">
        <v>474817.88</v>
      </c>
      <c r="O2418" t="s">
        <v>53</v>
      </c>
      <c r="P2418" t="s">
        <v>54</v>
      </c>
      <c r="Q2418" t="s">
        <v>55</v>
      </c>
      <c r="T2418" t="s">
        <v>100</v>
      </c>
      <c r="U2418">
        <v>40</v>
      </c>
      <c r="V2418" s="1">
        <v>32143</v>
      </c>
      <c r="W2418" s="1">
        <v>32143</v>
      </c>
      <c r="X2418" s="1">
        <v>32143</v>
      </c>
      <c r="Y2418" s="1">
        <v>46753</v>
      </c>
      <c r="Z2418" t="s">
        <v>51</v>
      </c>
      <c r="AB2418" t="s">
        <v>54</v>
      </c>
      <c r="AC2418">
        <v>1</v>
      </c>
      <c r="AE2418" t="s">
        <v>819</v>
      </c>
      <c r="AF2418">
        <v>20</v>
      </c>
      <c r="AG2418" s="1">
        <v>32143</v>
      </c>
      <c r="AH2418" s="1">
        <v>32143</v>
      </c>
      <c r="AI2418" s="1">
        <v>32143</v>
      </c>
      <c r="AJ2418" s="1">
        <v>39448</v>
      </c>
      <c r="AK2418" t="s">
        <v>51</v>
      </c>
      <c r="AN2418">
        <v>0</v>
      </c>
      <c r="AO2418" t="s">
        <v>54</v>
      </c>
      <c r="AP2418" t="s">
        <v>53</v>
      </c>
      <c r="AQ2418">
        <v>0</v>
      </c>
      <c r="AR2418" t="s">
        <v>53</v>
      </c>
      <c r="AS2418">
        <v>0</v>
      </c>
      <c r="AT2418">
        <v>0</v>
      </c>
      <c r="AW2418" t="s">
        <v>161</v>
      </c>
      <c r="AX2418">
        <v>50</v>
      </c>
      <c r="AY2418" s="1">
        <v>32143</v>
      </c>
      <c r="AZ2418" s="1">
        <v>32143</v>
      </c>
      <c r="BA2418" s="1">
        <v>32143</v>
      </c>
      <c r="BB2418" s="1">
        <v>50406</v>
      </c>
      <c r="BC2418" t="s">
        <v>51</v>
      </c>
      <c r="BE2418" t="s">
        <v>54</v>
      </c>
      <c r="BF2418">
        <v>0</v>
      </c>
      <c r="BG2418">
        <v>0</v>
      </c>
      <c r="BH2418" t="s">
        <v>53</v>
      </c>
      <c r="BK2418" t="s">
        <v>720</v>
      </c>
      <c r="BL2418">
        <v>17000</v>
      </c>
      <c r="BM2418" s="1">
        <v>44103</v>
      </c>
      <c r="BN2418" s="1">
        <v>44103</v>
      </c>
      <c r="BO2418" s="1">
        <v>44103</v>
      </c>
      <c r="BP2418" s="1">
        <v>45539</v>
      </c>
      <c r="BQ2418" t="s">
        <v>51</v>
      </c>
      <c r="BS2418" t="s">
        <v>60</v>
      </c>
      <c r="BT2418" t="s">
        <v>54</v>
      </c>
      <c r="BU2418" t="s">
        <v>721</v>
      </c>
      <c r="BV2418" t="s">
        <v>722</v>
      </c>
      <c r="BX2418">
        <v>18</v>
      </c>
      <c r="BY2418">
        <v>0</v>
      </c>
      <c r="BZ2418">
        <v>0</v>
      </c>
      <c r="CX2418" t="s">
        <v>674</v>
      </c>
      <c r="CY2418">
        <v>0</v>
      </c>
      <c r="CZ2418" s="1">
        <v>44075</v>
      </c>
      <c r="DA2418" s="1">
        <v>44075</v>
      </c>
      <c r="DB2418" s="1">
        <v>44075</v>
      </c>
      <c r="DC2418" s="1">
        <v>44075</v>
      </c>
      <c r="DD2418" t="s">
        <v>51</v>
      </c>
      <c r="DF2418" t="s">
        <v>54</v>
      </c>
      <c r="DG2418">
        <v>0</v>
      </c>
      <c r="DH2418">
        <v>0</v>
      </c>
    </row>
    <row r="2419" spans="1:112" x14ac:dyDescent="0.2">
      <c r="A2419" t="s">
        <v>1012</v>
      </c>
      <c r="B2419" t="s">
        <v>1013</v>
      </c>
      <c r="C2419" t="s">
        <v>1052</v>
      </c>
      <c r="D2419" t="s">
        <v>1091</v>
      </c>
      <c r="F2419" t="str">
        <f>"251980"</f>
        <v>251980</v>
      </c>
      <c r="G2419" t="s">
        <v>49</v>
      </c>
      <c r="H2419">
        <v>46</v>
      </c>
      <c r="K2419" t="s">
        <v>51</v>
      </c>
      <c r="L2419" t="s">
        <v>52</v>
      </c>
      <c r="M2419">
        <v>131828.10999999999</v>
      </c>
      <c r="N2419">
        <v>474842.19</v>
      </c>
      <c r="O2419" t="s">
        <v>53</v>
      </c>
      <c r="P2419" t="s">
        <v>54</v>
      </c>
      <c r="Q2419" t="s">
        <v>55</v>
      </c>
      <c r="T2419" t="s">
        <v>100</v>
      </c>
      <c r="U2419">
        <v>40</v>
      </c>
      <c r="V2419" s="1">
        <v>32143</v>
      </c>
      <c r="W2419" s="1">
        <v>32143</v>
      </c>
      <c r="X2419" s="1">
        <v>32143</v>
      </c>
      <c r="Y2419" s="1">
        <v>46753</v>
      </c>
      <c r="Z2419" t="s">
        <v>51</v>
      </c>
      <c r="AB2419" t="s">
        <v>54</v>
      </c>
      <c r="AC2419">
        <v>1</v>
      </c>
      <c r="AE2419" t="s">
        <v>819</v>
      </c>
      <c r="AF2419">
        <v>20</v>
      </c>
      <c r="AG2419" s="1">
        <v>32143</v>
      </c>
      <c r="AH2419" s="1">
        <v>32143</v>
      </c>
      <c r="AI2419" s="1">
        <v>32143</v>
      </c>
      <c r="AJ2419" s="1">
        <v>39448</v>
      </c>
      <c r="AK2419" t="s">
        <v>51</v>
      </c>
      <c r="AN2419">
        <v>0</v>
      </c>
      <c r="AO2419" t="s">
        <v>54</v>
      </c>
      <c r="AP2419" t="s">
        <v>53</v>
      </c>
      <c r="AQ2419">
        <v>0</v>
      </c>
      <c r="AR2419" t="s">
        <v>53</v>
      </c>
      <c r="AS2419">
        <v>0</v>
      </c>
      <c r="AT2419">
        <v>0</v>
      </c>
      <c r="AW2419" t="s">
        <v>161</v>
      </c>
      <c r="AX2419">
        <v>50</v>
      </c>
      <c r="AY2419" s="1">
        <v>32143</v>
      </c>
      <c r="AZ2419" s="1">
        <v>32143</v>
      </c>
      <c r="BA2419" s="1">
        <v>32143</v>
      </c>
      <c r="BB2419" s="1">
        <v>50406</v>
      </c>
      <c r="BC2419" t="s">
        <v>51</v>
      </c>
      <c r="BE2419" t="s">
        <v>54</v>
      </c>
      <c r="BF2419">
        <v>0</v>
      </c>
      <c r="BG2419">
        <v>0</v>
      </c>
      <c r="BH2419" t="s">
        <v>53</v>
      </c>
      <c r="BK2419" t="s">
        <v>720</v>
      </c>
      <c r="BL2419">
        <v>17000</v>
      </c>
      <c r="BM2419" s="1">
        <v>45054</v>
      </c>
      <c r="BN2419" s="1">
        <v>45054</v>
      </c>
      <c r="BO2419" s="1">
        <v>45054</v>
      </c>
      <c r="BP2419" s="1">
        <v>46484</v>
      </c>
      <c r="BQ2419" t="s">
        <v>51</v>
      </c>
      <c r="BS2419" t="s">
        <v>60</v>
      </c>
      <c r="BT2419" t="s">
        <v>54</v>
      </c>
      <c r="BU2419" t="s">
        <v>721</v>
      </c>
      <c r="BV2419" t="s">
        <v>722</v>
      </c>
      <c r="BX2419">
        <v>18</v>
      </c>
      <c r="BY2419">
        <v>0</v>
      </c>
      <c r="BZ2419">
        <v>0</v>
      </c>
      <c r="CX2419" t="s">
        <v>674</v>
      </c>
      <c r="CY2419">
        <v>0</v>
      </c>
      <c r="CZ2419" s="1">
        <v>44075</v>
      </c>
      <c r="DA2419" s="1">
        <v>44075</v>
      </c>
      <c r="DB2419" s="1">
        <v>44075</v>
      </c>
      <c r="DC2419" s="1">
        <v>44075</v>
      </c>
      <c r="DD2419" t="s">
        <v>51</v>
      </c>
      <c r="DF2419" t="s">
        <v>54</v>
      </c>
      <c r="DG2419">
        <v>0</v>
      </c>
      <c r="DH2419">
        <v>0</v>
      </c>
    </row>
    <row r="2420" spans="1:112" x14ac:dyDescent="0.2">
      <c r="A2420" t="s">
        <v>1012</v>
      </c>
      <c r="B2420" t="s">
        <v>1013</v>
      </c>
      <c r="C2420" t="s">
        <v>1052</v>
      </c>
      <c r="D2420" t="s">
        <v>1092</v>
      </c>
      <c r="F2420" t="str">
        <f>"251981"</f>
        <v>251981</v>
      </c>
      <c r="G2420" t="s">
        <v>49</v>
      </c>
      <c r="K2420" t="s">
        <v>51</v>
      </c>
      <c r="L2420" t="s">
        <v>52</v>
      </c>
      <c r="M2420">
        <v>131672.57</v>
      </c>
      <c r="N2420">
        <v>474850.94</v>
      </c>
      <c r="O2420" t="s">
        <v>53</v>
      </c>
      <c r="P2420" t="s">
        <v>54</v>
      </c>
      <c r="Q2420" t="s">
        <v>55</v>
      </c>
      <c r="T2420" t="s">
        <v>81</v>
      </c>
      <c r="U2420">
        <v>40</v>
      </c>
      <c r="V2420" s="1">
        <v>32143</v>
      </c>
      <c r="W2420" s="1">
        <v>32143</v>
      </c>
      <c r="X2420" s="1">
        <v>32143</v>
      </c>
      <c r="Y2420" s="1">
        <v>46753</v>
      </c>
      <c r="Z2420" t="s">
        <v>51</v>
      </c>
      <c r="AB2420" t="s">
        <v>54</v>
      </c>
      <c r="AC2420">
        <v>1</v>
      </c>
      <c r="AE2420" t="s">
        <v>57</v>
      </c>
      <c r="AF2420">
        <v>20</v>
      </c>
      <c r="AG2420" s="1">
        <v>32143</v>
      </c>
      <c r="AH2420" s="1">
        <v>32143</v>
      </c>
      <c r="AI2420" s="1">
        <v>32143</v>
      </c>
      <c r="AJ2420" s="1">
        <v>39448</v>
      </c>
      <c r="AK2420" t="s">
        <v>51</v>
      </c>
      <c r="AN2420">
        <v>0</v>
      </c>
      <c r="AO2420" t="s">
        <v>54</v>
      </c>
      <c r="AP2420" t="s">
        <v>53</v>
      </c>
      <c r="AQ2420">
        <v>0</v>
      </c>
      <c r="AR2420" t="s">
        <v>53</v>
      </c>
      <c r="AS2420">
        <v>0</v>
      </c>
      <c r="AT2420">
        <v>0</v>
      </c>
      <c r="AW2420" t="s">
        <v>58</v>
      </c>
      <c r="AX2420">
        <v>20</v>
      </c>
      <c r="AY2420" s="1">
        <v>32143</v>
      </c>
      <c r="AZ2420" s="1">
        <v>32143</v>
      </c>
      <c r="BA2420" s="1">
        <v>32143</v>
      </c>
      <c r="BB2420" s="1">
        <v>39448</v>
      </c>
      <c r="BC2420" t="s">
        <v>51</v>
      </c>
      <c r="BE2420" t="s">
        <v>54</v>
      </c>
      <c r="BF2420">
        <v>2</v>
      </c>
      <c r="BG2420">
        <v>0</v>
      </c>
      <c r="BH2420" t="s">
        <v>53</v>
      </c>
      <c r="BK2420" t="s">
        <v>739</v>
      </c>
      <c r="BL2420">
        <v>10000</v>
      </c>
      <c r="BM2420" s="1">
        <v>44084</v>
      </c>
      <c r="BN2420" s="1">
        <v>44084</v>
      </c>
      <c r="BO2420" s="1">
        <v>44084</v>
      </c>
      <c r="BP2420" s="1">
        <v>44909</v>
      </c>
      <c r="BQ2420" t="s">
        <v>51</v>
      </c>
      <c r="BS2420" t="s">
        <v>60</v>
      </c>
      <c r="BT2420" t="s">
        <v>54</v>
      </c>
      <c r="BU2420" t="s">
        <v>740</v>
      </c>
      <c r="BV2420" t="s">
        <v>741</v>
      </c>
      <c r="BX2420">
        <v>20</v>
      </c>
      <c r="BY2420">
        <v>0</v>
      </c>
      <c r="BZ2420">
        <v>0</v>
      </c>
      <c r="CX2420" t="s">
        <v>674</v>
      </c>
      <c r="CY2420">
        <v>0</v>
      </c>
      <c r="CZ2420" s="1">
        <v>43344</v>
      </c>
      <c r="DA2420" s="1">
        <v>43344</v>
      </c>
      <c r="DB2420" s="1">
        <v>43344</v>
      </c>
      <c r="DC2420" s="1">
        <v>43344</v>
      </c>
      <c r="DD2420" t="s">
        <v>51</v>
      </c>
      <c r="DF2420" t="s">
        <v>54</v>
      </c>
      <c r="DG2420">
        <v>0</v>
      </c>
      <c r="DH2420">
        <v>0</v>
      </c>
    </row>
    <row r="2421" spans="1:112" x14ac:dyDescent="0.2">
      <c r="A2421" t="s">
        <v>1012</v>
      </c>
      <c r="B2421" t="s">
        <v>1013</v>
      </c>
      <c r="C2421" t="s">
        <v>1052</v>
      </c>
      <c r="D2421" t="s">
        <v>1092</v>
      </c>
      <c r="F2421" t="str">
        <f>"251982"</f>
        <v>251982</v>
      </c>
      <c r="G2421" t="s">
        <v>49</v>
      </c>
      <c r="K2421" t="s">
        <v>51</v>
      </c>
      <c r="L2421" t="s">
        <v>52</v>
      </c>
      <c r="M2421">
        <v>131696.78</v>
      </c>
      <c r="N2421">
        <v>474854.53</v>
      </c>
      <c r="O2421" t="s">
        <v>53</v>
      </c>
      <c r="P2421" t="s">
        <v>54</v>
      </c>
      <c r="Q2421" t="s">
        <v>55</v>
      </c>
      <c r="T2421" t="s">
        <v>81</v>
      </c>
      <c r="U2421">
        <v>40</v>
      </c>
      <c r="V2421" s="1">
        <v>32143</v>
      </c>
      <c r="W2421" s="1">
        <v>32143</v>
      </c>
      <c r="X2421" s="1">
        <v>32143</v>
      </c>
      <c r="Y2421" s="1">
        <v>46753</v>
      </c>
      <c r="Z2421" t="s">
        <v>51</v>
      </c>
      <c r="AB2421" t="s">
        <v>54</v>
      </c>
      <c r="AC2421">
        <v>1</v>
      </c>
      <c r="AE2421" t="s">
        <v>57</v>
      </c>
      <c r="AF2421">
        <v>20</v>
      </c>
      <c r="AG2421" s="1">
        <v>32143</v>
      </c>
      <c r="AH2421" s="1">
        <v>32143</v>
      </c>
      <c r="AI2421" s="1">
        <v>32143</v>
      </c>
      <c r="AJ2421" s="1">
        <v>39448</v>
      </c>
      <c r="AK2421" t="s">
        <v>51</v>
      </c>
      <c r="AN2421">
        <v>0</v>
      </c>
      <c r="AO2421" t="s">
        <v>54</v>
      </c>
      <c r="AP2421" t="s">
        <v>53</v>
      </c>
      <c r="AQ2421">
        <v>0</v>
      </c>
      <c r="AR2421" t="s">
        <v>53</v>
      </c>
      <c r="AS2421">
        <v>0</v>
      </c>
      <c r="AT2421">
        <v>0</v>
      </c>
      <c r="AW2421" t="s">
        <v>58</v>
      </c>
      <c r="AX2421">
        <v>20</v>
      </c>
      <c r="AY2421" s="1">
        <v>32143</v>
      </c>
      <c r="AZ2421" s="1">
        <v>32143</v>
      </c>
      <c r="BA2421" s="1">
        <v>32143</v>
      </c>
      <c r="BB2421" s="1">
        <v>39448</v>
      </c>
      <c r="BC2421" t="s">
        <v>51</v>
      </c>
      <c r="BE2421" t="s">
        <v>54</v>
      </c>
      <c r="BF2421">
        <v>2</v>
      </c>
      <c r="BG2421">
        <v>0</v>
      </c>
      <c r="BH2421" t="s">
        <v>53</v>
      </c>
      <c r="BK2421" t="s">
        <v>59</v>
      </c>
      <c r="BL2421">
        <v>14000</v>
      </c>
      <c r="BM2421" s="1">
        <v>44084</v>
      </c>
      <c r="BN2421" s="1">
        <v>44084</v>
      </c>
      <c r="BO2421" s="1">
        <v>44084</v>
      </c>
      <c r="BP2421" s="1">
        <v>45253</v>
      </c>
      <c r="BQ2421" t="s">
        <v>51</v>
      </c>
      <c r="BS2421" t="s">
        <v>60</v>
      </c>
      <c r="BT2421" t="s">
        <v>54</v>
      </c>
      <c r="BU2421" t="s">
        <v>61</v>
      </c>
      <c r="BV2421" t="s">
        <v>62</v>
      </c>
      <c r="BX2421">
        <v>24</v>
      </c>
      <c r="BY2421">
        <v>0</v>
      </c>
      <c r="BZ2421">
        <v>0</v>
      </c>
      <c r="CX2421" t="s">
        <v>674</v>
      </c>
      <c r="CY2421">
        <v>0</v>
      </c>
      <c r="CZ2421" s="1">
        <v>44075</v>
      </c>
      <c r="DA2421" s="1">
        <v>44075</v>
      </c>
      <c r="DB2421" s="1">
        <v>44075</v>
      </c>
      <c r="DC2421" s="1">
        <v>44075</v>
      </c>
      <c r="DD2421" t="s">
        <v>51</v>
      </c>
      <c r="DF2421" t="s">
        <v>54</v>
      </c>
      <c r="DG2421">
        <v>0</v>
      </c>
      <c r="DH2421">
        <v>0</v>
      </c>
    </row>
    <row r="2422" spans="1:112" x14ac:dyDescent="0.2">
      <c r="A2422" t="s">
        <v>1012</v>
      </c>
      <c r="B2422" t="s">
        <v>1013</v>
      </c>
      <c r="C2422" t="s">
        <v>1052</v>
      </c>
      <c r="D2422" t="s">
        <v>1092</v>
      </c>
      <c r="F2422" t="str">
        <f>"251983"</f>
        <v>251983</v>
      </c>
      <c r="G2422" t="s">
        <v>49</v>
      </c>
      <c r="K2422" t="s">
        <v>51</v>
      </c>
      <c r="L2422" t="s">
        <v>52</v>
      </c>
      <c r="M2422">
        <v>131721.11900000001</v>
      </c>
      <c r="N2422">
        <v>474846.12800000003</v>
      </c>
      <c r="O2422" t="s">
        <v>53</v>
      </c>
      <c r="P2422" t="s">
        <v>54</v>
      </c>
      <c r="Q2422" t="s">
        <v>55</v>
      </c>
      <c r="T2422" t="s">
        <v>100</v>
      </c>
      <c r="U2422">
        <v>40</v>
      </c>
      <c r="V2422" s="1">
        <v>32143</v>
      </c>
      <c r="W2422" s="1">
        <v>32143</v>
      </c>
      <c r="X2422" s="1">
        <v>32143</v>
      </c>
      <c r="Y2422" s="1">
        <v>46753</v>
      </c>
      <c r="Z2422" t="s">
        <v>51</v>
      </c>
      <c r="AB2422" t="s">
        <v>54</v>
      </c>
      <c r="AC2422">
        <v>1</v>
      </c>
      <c r="AE2422" t="s">
        <v>819</v>
      </c>
      <c r="AF2422">
        <v>20</v>
      </c>
      <c r="AG2422" s="1">
        <v>32143</v>
      </c>
      <c r="AH2422" s="1">
        <v>32143</v>
      </c>
      <c r="AI2422" s="1">
        <v>32143</v>
      </c>
      <c r="AJ2422" s="1">
        <v>39448</v>
      </c>
      <c r="AK2422" t="s">
        <v>51</v>
      </c>
      <c r="AN2422">
        <v>0</v>
      </c>
      <c r="AO2422" t="s">
        <v>54</v>
      </c>
      <c r="AP2422" t="s">
        <v>53</v>
      </c>
      <c r="AQ2422">
        <v>0</v>
      </c>
      <c r="AR2422" t="s">
        <v>53</v>
      </c>
      <c r="AS2422">
        <v>0</v>
      </c>
      <c r="AT2422">
        <v>0</v>
      </c>
      <c r="AW2422" t="s">
        <v>161</v>
      </c>
      <c r="AX2422">
        <v>50</v>
      </c>
      <c r="AY2422" s="1">
        <v>32143</v>
      </c>
      <c r="AZ2422" s="1">
        <v>32143</v>
      </c>
      <c r="BA2422" s="1">
        <v>32143</v>
      </c>
      <c r="BB2422" s="1">
        <v>50406</v>
      </c>
      <c r="BC2422" t="s">
        <v>51</v>
      </c>
      <c r="BE2422" t="s">
        <v>54</v>
      </c>
      <c r="BF2422">
        <v>0</v>
      </c>
      <c r="BG2422">
        <v>0</v>
      </c>
      <c r="BH2422" t="s">
        <v>53</v>
      </c>
      <c r="BK2422" t="s">
        <v>59</v>
      </c>
      <c r="BL2422">
        <v>14000</v>
      </c>
      <c r="BM2422" s="1">
        <v>44084</v>
      </c>
      <c r="BN2422" s="1">
        <v>44084</v>
      </c>
      <c r="BO2422" s="1">
        <v>44084</v>
      </c>
      <c r="BP2422" s="1">
        <v>45253</v>
      </c>
      <c r="BQ2422" t="s">
        <v>51</v>
      </c>
      <c r="BS2422" t="s">
        <v>60</v>
      </c>
      <c r="BT2422" t="s">
        <v>54</v>
      </c>
      <c r="BU2422" t="s">
        <v>61</v>
      </c>
      <c r="BV2422" t="s">
        <v>62</v>
      </c>
      <c r="BX2422">
        <v>24</v>
      </c>
      <c r="BY2422">
        <v>0</v>
      </c>
      <c r="BZ2422">
        <v>0</v>
      </c>
      <c r="CX2422" t="s">
        <v>674</v>
      </c>
      <c r="CY2422">
        <v>0</v>
      </c>
      <c r="CZ2422" s="1">
        <v>44075</v>
      </c>
      <c r="DA2422" s="1">
        <v>44075</v>
      </c>
      <c r="DB2422" s="1">
        <v>44075</v>
      </c>
      <c r="DC2422" s="1">
        <v>44075</v>
      </c>
      <c r="DD2422" t="s">
        <v>51</v>
      </c>
      <c r="DF2422" t="s">
        <v>54</v>
      </c>
      <c r="DG2422">
        <v>0</v>
      </c>
      <c r="DH2422">
        <v>0</v>
      </c>
    </row>
    <row r="2423" spans="1:112" x14ac:dyDescent="0.2">
      <c r="A2423" t="s">
        <v>1012</v>
      </c>
      <c r="B2423" t="s">
        <v>1013</v>
      </c>
      <c r="C2423" t="s">
        <v>1052</v>
      </c>
      <c r="D2423" t="s">
        <v>1092</v>
      </c>
      <c r="F2423" t="str">
        <f>"251984"</f>
        <v>251984</v>
      </c>
      <c r="G2423" t="s">
        <v>49</v>
      </c>
      <c r="K2423" t="s">
        <v>51</v>
      </c>
      <c r="L2423" t="s">
        <v>52</v>
      </c>
      <c r="M2423">
        <v>131690.39000000001</v>
      </c>
      <c r="N2423">
        <v>474819.09</v>
      </c>
      <c r="O2423" t="s">
        <v>53</v>
      </c>
      <c r="P2423" t="s">
        <v>54</v>
      </c>
      <c r="Q2423" t="s">
        <v>55</v>
      </c>
      <c r="T2423" t="s">
        <v>100</v>
      </c>
      <c r="U2423">
        <v>40</v>
      </c>
      <c r="V2423" s="1">
        <v>32143</v>
      </c>
      <c r="W2423" s="1">
        <v>32143</v>
      </c>
      <c r="X2423" s="1">
        <v>32143</v>
      </c>
      <c r="Y2423" s="1">
        <v>46753</v>
      </c>
      <c r="Z2423" t="s">
        <v>51</v>
      </c>
      <c r="AB2423" t="s">
        <v>54</v>
      </c>
      <c r="AC2423">
        <v>1</v>
      </c>
      <c r="AE2423" t="s">
        <v>222</v>
      </c>
      <c r="AF2423">
        <v>20</v>
      </c>
      <c r="AG2423" s="1">
        <v>32143</v>
      </c>
      <c r="AH2423" s="1">
        <v>32143</v>
      </c>
      <c r="AI2423" s="1">
        <v>32143</v>
      </c>
      <c r="AJ2423" s="1">
        <v>39448</v>
      </c>
      <c r="AK2423" t="s">
        <v>51</v>
      </c>
      <c r="AN2423">
        <v>0</v>
      </c>
      <c r="AO2423" t="s">
        <v>54</v>
      </c>
      <c r="AP2423" t="s">
        <v>53</v>
      </c>
      <c r="AQ2423">
        <v>0</v>
      </c>
      <c r="AR2423" t="s">
        <v>53</v>
      </c>
      <c r="AS2423">
        <v>0</v>
      </c>
      <c r="AT2423">
        <v>0</v>
      </c>
      <c r="AW2423" t="s">
        <v>58</v>
      </c>
      <c r="AX2423">
        <v>20</v>
      </c>
      <c r="AY2423" s="1">
        <v>32143</v>
      </c>
      <c r="AZ2423" s="1">
        <v>32143</v>
      </c>
      <c r="BA2423" s="1">
        <v>32143</v>
      </c>
      <c r="BB2423" s="1">
        <v>39448</v>
      </c>
      <c r="BC2423" t="s">
        <v>51</v>
      </c>
      <c r="BE2423" t="s">
        <v>54</v>
      </c>
      <c r="BF2423">
        <v>2</v>
      </c>
      <c r="BG2423">
        <v>0</v>
      </c>
      <c r="BH2423" t="s">
        <v>53</v>
      </c>
      <c r="BK2423" t="s">
        <v>59</v>
      </c>
      <c r="BL2423">
        <v>14000</v>
      </c>
      <c r="BM2423" s="1">
        <v>44084</v>
      </c>
      <c r="BN2423" s="1">
        <v>44084</v>
      </c>
      <c r="BO2423" s="1">
        <v>44084</v>
      </c>
      <c r="BP2423" s="1">
        <v>45253</v>
      </c>
      <c r="BQ2423" t="s">
        <v>51</v>
      </c>
      <c r="BS2423" t="s">
        <v>60</v>
      </c>
      <c r="BT2423" t="s">
        <v>54</v>
      </c>
      <c r="BU2423" t="s">
        <v>61</v>
      </c>
      <c r="BV2423" t="s">
        <v>62</v>
      </c>
      <c r="BX2423">
        <v>24</v>
      </c>
      <c r="BY2423">
        <v>0</v>
      </c>
      <c r="BZ2423">
        <v>0</v>
      </c>
      <c r="CX2423" t="s">
        <v>674</v>
      </c>
      <c r="CY2423">
        <v>0</v>
      </c>
      <c r="CZ2423" s="1">
        <v>36770</v>
      </c>
      <c r="DA2423" s="1">
        <v>36770</v>
      </c>
      <c r="DB2423" s="1">
        <v>36770</v>
      </c>
      <c r="DC2423" s="1">
        <v>36770</v>
      </c>
      <c r="DD2423" t="s">
        <v>51</v>
      </c>
      <c r="DF2423" t="s">
        <v>54</v>
      </c>
      <c r="DG2423">
        <v>0</v>
      </c>
      <c r="DH2423">
        <v>0</v>
      </c>
    </row>
    <row r="2424" spans="1:112" x14ac:dyDescent="0.2">
      <c r="A2424" t="s">
        <v>1012</v>
      </c>
      <c r="B2424" t="s">
        <v>1013</v>
      </c>
      <c r="C2424" t="s">
        <v>1052</v>
      </c>
      <c r="D2424" t="s">
        <v>1092</v>
      </c>
      <c r="F2424" t="str">
        <f>"251985"</f>
        <v>251985</v>
      </c>
      <c r="G2424" t="s">
        <v>49</v>
      </c>
      <c r="K2424" t="s">
        <v>51</v>
      </c>
      <c r="L2424" t="s">
        <v>52</v>
      </c>
      <c r="M2424">
        <v>131743.29199999999</v>
      </c>
      <c r="N2424">
        <v>474848.37199999997</v>
      </c>
      <c r="O2424" t="s">
        <v>53</v>
      </c>
      <c r="P2424" t="s">
        <v>54</v>
      </c>
      <c r="Q2424" t="s">
        <v>55</v>
      </c>
      <c r="T2424" t="s">
        <v>469</v>
      </c>
      <c r="U2424">
        <v>40</v>
      </c>
      <c r="V2424" s="1">
        <v>32143</v>
      </c>
      <c r="W2424" s="1">
        <v>32143</v>
      </c>
      <c r="X2424" s="1">
        <v>32143</v>
      </c>
      <c r="Y2424" s="1">
        <v>46753</v>
      </c>
      <c r="Z2424" t="s">
        <v>51</v>
      </c>
      <c r="AB2424" t="s">
        <v>54</v>
      </c>
      <c r="AC2424">
        <v>1</v>
      </c>
      <c r="AE2424" t="s">
        <v>621</v>
      </c>
      <c r="AF2424">
        <v>20</v>
      </c>
      <c r="AG2424" s="1">
        <v>32143</v>
      </c>
      <c r="AH2424" s="1">
        <v>32143</v>
      </c>
      <c r="AI2424" s="1">
        <v>32143</v>
      </c>
      <c r="AJ2424" s="1">
        <v>39448</v>
      </c>
      <c r="AK2424" t="s">
        <v>51</v>
      </c>
      <c r="AN2424">
        <v>0</v>
      </c>
      <c r="AO2424" t="s">
        <v>54</v>
      </c>
      <c r="AP2424" t="s">
        <v>53</v>
      </c>
      <c r="AQ2424">
        <v>0</v>
      </c>
      <c r="AR2424" t="s">
        <v>53</v>
      </c>
      <c r="AS2424">
        <v>0</v>
      </c>
      <c r="AT2424">
        <v>0</v>
      </c>
      <c r="AW2424" t="s">
        <v>58</v>
      </c>
      <c r="AX2424">
        <v>20</v>
      </c>
      <c r="AY2424" s="1">
        <v>32143</v>
      </c>
      <c r="AZ2424" s="1">
        <v>32143</v>
      </c>
      <c r="BA2424" s="1">
        <v>32143</v>
      </c>
      <c r="BB2424" s="1">
        <v>39448</v>
      </c>
      <c r="BC2424" t="s">
        <v>51</v>
      </c>
      <c r="BE2424" t="s">
        <v>54</v>
      </c>
      <c r="BF2424">
        <v>2</v>
      </c>
      <c r="BG2424">
        <v>0</v>
      </c>
      <c r="BH2424" t="s">
        <v>53</v>
      </c>
      <c r="BK2424" t="s">
        <v>739</v>
      </c>
      <c r="BL2424">
        <v>10000</v>
      </c>
      <c r="BM2424" s="1">
        <v>44084</v>
      </c>
      <c r="BN2424" s="1">
        <v>44084</v>
      </c>
      <c r="BO2424" s="1">
        <v>44084</v>
      </c>
      <c r="BP2424" s="1">
        <v>44909</v>
      </c>
      <c r="BQ2424" t="s">
        <v>51</v>
      </c>
      <c r="BS2424" t="s">
        <v>60</v>
      </c>
      <c r="BT2424" t="s">
        <v>54</v>
      </c>
      <c r="BU2424" t="s">
        <v>740</v>
      </c>
      <c r="BV2424" t="s">
        <v>741</v>
      </c>
      <c r="BX2424">
        <v>20</v>
      </c>
      <c r="BY2424">
        <v>0</v>
      </c>
      <c r="BZ2424">
        <v>0</v>
      </c>
    </row>
    <row r="2425" spans="1:112" x14ac:dyDescent="0.2">
      <c r="A2425" t="s">
        <v>1012</v>
      </c>
      <c r="B2425" t="s">
        <v>1013</v>
      </c>
      <c r="C2425" t="s">
        <v>1052</v>
      </c>
      <c r="D2425" t="s">
        <v>1092</v>
      </c>
      <c r="F2425" t="str">
        <f>"251986"</f>
        <v>251986</v>
      </c>
      <c r="G2425" t="s">
        <v>49</v>
      </c>
      <c r="H2425" t="s">
        <v>1036</v>
      </c>
      <c r="K2425" t="s">
        <v>51</v>
      </c>
      <c r="L2425" t="s">
        <v>52</v>
      </c>
      <c r="M2425">
        <v>131765.084</v>
      </c>
      <c r="N2425">
        <v>474839.58600000001</v>
      </c>
      <c r="O2425" t="s">
        <v>53</v>
      </c>
      <c r="P2425" t="s">
        <v>54</v>
      </c>
      <c r="Q2425" t="s">
        <v>55</v>
      </c>
      <c r="T2425" t="s">
        <v>111</v>
      </c>
      <c r="U2425">
        <v>40</v>
      </c>
      <c r="V2425" s="1">
        <v>32143</v>
      </c>
      <c r="W2425" s="1">
        <v>32143</v>
      </c>
      <c r="X2425" s="1">
        <v>32143</v>
      </c>
      <c r="Y2425" s="1">
        <v>46753</v>
      </c>
      <c r="Z2425" t="s">
        <v>51</v>
      </c>
      <c r="AB2425" t="s">
        <v>54</v>
      </c>
      <c r="AE2425" t="s">
        <v>57</v>
      </c>
      <c r="AF2425">
        <v>20</v>
      </c>
      <c r="AG2425" s="1">
        <v>41883</v>
      </c>
      <c r="AH2425" s="1">
        <v>41883</v>
      </c>
      <c r="AI2425" s="1">
        <v>41883</v>
      </c>
      <c r="AJ2425" s="1">
        <v>49188</v>
      </c>
      <c r="AK2425" t="s">
        <v>51</v>
      </c>
      <c r="AN2425">
        <v>0</v>
      </c>
      <c r="AO2425" t="s">
        <v>54</v>
      </c>
      <c r="AP2425" t="s">
        <v>53</v>
      </c>
      <c r="AQ2425">
        <v>0</v>
      </c>
      <c r="AR2425" t="s">
        <v>53</v>
      </c>
      <c r="AS2425">
        <v>0</v>
      </c>
      <c r="AT2425">
        <v>0</v>
      </c>
      <c r="AW2425" t="s">
        <v>58</v>
      </c>
      <c r="AX2425">
        <v>20</v>
      </c>
      <c r="AY2425" s="1">
        <v>41883</v>
      </c>
      <c r="AZ2425" s="1">
        <v>41883</v>
      </c>
      <c r="BA2425" s="1">
        <v>41883</v>
      </c>
      <c r="BB2425" s="1">
        <v>49188</v>
      </c>
      <c r="BC2425" t="s">
        <v>51</v>
      </c>
      <c r="BE2425" t="s">
        <v>54</v>
      </c>
      <c r="BF2425">
        <v>2</v>
      </c>
      <c r="BG2425">
        <v>0</v>
      </c>
      <c r="BH2425" t="s">
        <v>53</v>
      </c>
      <c r="BK2425" t="s">
        <v>59</v>
      </c>
      <c r="BL2425">
        <v>14000</v>
      </c>
      <c r="BM2425" s="1">
        <v>41883</v>
      </c>
      <c r="BN2425" s="1">
        <v>41883</v>
      </c>
      <c r="BO2425" s="1">
        <v>41883</v>
      </c>
      <c r="BP2425" s="1">
        <v>43055</v>
      </c>
      <c r="BQ2425" t="s">
        <v>51</v>
      </c>
      <c r="BS2425" t="s">
        <v>60</v>
      </c>
      <c r="BT2425" t="s">
        <v>54</v>
      </c>
      <c r="BU2425" t="s">
        <v>61</v>
      </c>
      <c r="BV2425" t="s">
        <v>62</v>
      </c>
      <c r="BX2425">
        <v>24</v>
      </c>
      <c r="BY2425">
        <v>0</v>
      </c>
      <c r="BZ2425">
        <v>0</v>
      </c>
      <c r="CX2425" t="s">
        <v>674</v>
      </c>
      <c r="CY2425">
        <v>0</v>
      </c>
      <c r="CZ2425" s="1">
        <v>32387</v>
      </c>
      <c r="DA2425" s="1">
        <v>32387</v>
      </c>
      <c r="DB2425" s="1">
        <v>32387</v>
      </c>
      <c r="DC2425" s="1">
        <v>32387</v>
      </c>
      <c r="DD2425" t="s">
        <v>51</v>
      </c>
      <c r="DF2425" t="s">
        <v>54</v>
      </c>
      <c r="DG2425">
        <v>0</v>
      </c>
      <c r="DH2425">
        <v>0</v>
      </c>
    </row>
    <row r="2426" spans="1:112" x14ac:dyDescent="0.2">
      <c r="A2426" t="s">
        <v>1012</v>
      </c>
      <c r="B2426" t="s">
        <v>1013</v>
      </c>
      <c r="C2426" t="s">
        <v>1052</v>
      </c>
      <c r="D2426" t="s">
        <v>1092</v>
      </c>
      <c r="F2426" t="str">
        <f>"251987"</f>
        <v>251987</v>
      </c>
      <c r="G2426" t="s">
        <v>49</v>
      </c>
      <c r="H2426" t="s">
        <v>1093</v>
      </c>
      <c r="K2426" t="s">
        <v>51</v>
      </c>
      <c r="L2426" t="s">
        <v>52</v>
      </c>
      <c r="M2426">
        <v>131782.07999999999</v>
      </c>
      <c r="N2426">
        <v>474831.92</v>
      </c>
      <c r="O2426" t="s">
        <v>53</v>
      </c>
      <c r="P2426" t="s">
        <v>54</v>
      </c>
      <c r="Q2426" t="s">
        <v>55</v>
      </c>
      <c r="T2426" t="s">
        <v>81</v>
      </c>
      <c r="U2426">
        <v>40</v>
      </c>
      <c r="V2426" s="1">
        <v>32143</v>
      </c>
      <c r="W2426" s="1">
        <v>32143</v>
      </c>
      <c r="X2426" s="1">
        <v>32143</v>
      </c>
      <c r="Y2426" s="1">
        <v>46753</v>
      </c>
      <c r="Z2426" t="s">
        <v>51</v>
      </c>
      <c r="AB2426" t="s">
        <v>54</v>
      </c>
      <c r="AC2426">
        <v>1</v>
      </c>
      <c r="AE2426" t="s">
        <v>57</v>
      </c>
      <c r="AF2426">
        <v>20</v>
      </c>
      <c r="AG2426" s="1">
        <v>32143</v>
      </c>
      <c r="AH2426" s="1">
        <v>32143</v>
      </c>
      <c r="AI2426" s="1">
        <v>32143</v>
      </c>
      <c r="AJ2426" s="1">
        <v>39448</v>
      </c>
      <c r="AK2426" t="s">
        <v>51</v>
      </c>
      <c r="AN2426">
        <v>0</v>
      </c>
      <c r="AO2426" t="s">
        <v>54</v>
      </c>
      <c r="AP2426" t="s">
        <v>53</v>
      </c>
      <c r="AQ2426">
        <v>0</v>
      </c>
      <c r="AR2426" t="s">
        <v>53</v>
      </c>
      <c r="AS2426">
        <v>0</v>
      </c>
      <c r="AT2426">
        <v>0</v>
      </c>
      <c r="AW2426" t="s">
        <v>58</v>
      </c>
      <c r="AX2426">
        <v>20</v>
      </c>
      <c r="AY2426" s="1">
        <v>44075</v>
      </c>
      <c r="AZ2426" s="1">
        <v>44075</v>
      </c>
      <c r="BA2426" s="1">
        <v>44075</v>
      </c>
      <c r="BB2426" s="1">
        <v>51380</v>
      </c>
      <c r="BC2426" t="s">
        <v>51</v>
      </c>
      <c r="BE2426" t="s">
        <v>54</v>
      </c>
      <c r="BF2426">
        <v>2</v>
      </c>
      <c r="BG2426">
        <v>0</v>
      </c>
      <c r="BH2426" t="s">
        <v>53</v>
      </c>
      <c r="BK2426" t="s">
        <v>59</v>
      </c>
      <c r="BL2426">
        <v>14000</v>
      </c>
      <c r="BM2426" s="1">
        <v>44075</v>
      </c>
      <c r="BN2426" s="1">
        <v>44075</v>
      </c>
      <c r="BO2426" s="1">
        <v>44075</v>
      </c>
      <c r="BP2426" s="1">
        <v>45247</v>
      </c>
      <c r="BQ2426" t="s">
        <v>51</v>
      </c>
      <c r="BS2426" t="s">
        <v>60</v>
      </c>
      <c r="BT2426" t="s">
        <v>54</v>
      </c>
      <c r="BU2426" t="s">
        <v>61</v>
      </c>
      <c r="BV2426" t="s">
        <v>62</v>
      </c>
      <c r="BX2426">
        <v>24</v>
      </c>
      <c r="BY2426">
        <v>0</v>
      </c>
      <c r="BZ2426">
        <v>0</v>
      </c>
      <c r="CX2426" t="s">
        <v>674</v>
      </c>
      <c r="CY2426">
        <v>0</v>
      </c>
      <c r="CZ2426" s="1">
        <v>44075</v>
      </c>
      <c r="DA2426" s="1">
        <v>44075</v>
      </c>
      <c r="DB2426" s="1">
        <v>44075</v>
      </c>
      <c r="DC2426" s="1">
        <v>44075</v>
      </c>
      <c r="DD2426" t="s">
        <v>51</v>
      </c>
      <c r="DF2426" t="s">
        <v>54</v>
      </c>
      <c r="DG2426">
        <v>0</v>
      </c>
      <c r="DH2426">
        <v>0</v>
      </c>
    </row>
    <row r="2427" spans="1:112" x14ac:dyDescent="0.2">
      <c r="A2427" t="s">
        <v>1012</v>
      </c>
      <c r="B2427" t="s">
        <v>1013</v>
      </c>
      <c r="C2427" t="s">
        <v>1052</v>
      </c>
      <c r="D2427" t="s">
        <v>1092</v>
      </c>
      <c r="F2427" t="str">
        <f>"251987"</f>
        <v>251987</v>
      </c>
      <c r="G2427" t="s">
        <v>49</v>
      </c>
      <c r="H2427" t="s">
        <v>1093</v>
      </c>
      <c r="K2427" t="s">
        <v>51</v>
      </c>
      <c r="L2427" t="s">
        <v>52</v>
      </c>
      <c r="M2427">
        <v>131782.07999999999</v>
      </c>
      <c r="N2427">
        <v>474831.92</v>
      </c>
      <c r="O2427" t="s">
        <v>53</v>
      </c>
      <c r="P2427" t="s">
        <v>54</v>
      </c>
      <c r="Q2427" t="s">
        <v>55</v>
      </c>
      <c r="T2427" t="s">
        <v>81</v>
      </c>
      <c r="U2427">
        <v>40</v>
      </c>
      <c r="V2427" s="1">
        <v>32143</v>
      </c>
      <c r="W2427" s="1">
        <v>32143</v>
      </c>
      <c r="X2427" s="1">
        <v>32143</v>
      </c>
      <c r="Y2427" s="1">
        <v>46753</v>
      </c>
      <c r="Z2427" t="s">
        <v>51</v>
      </c>
      <c r="AB2427" t="s">
        <v>54</v>
      </c>
      <c r="AE2427" t="s">
        <v>57</v>
      </c>
      <c r="AF2427">
        <v>20</v>
      </c>
      <c r="AG2427" s="1">
        <v>44075</v>
      </c>
      <c r="AH2427" s="1">
        <v>44075</v>
      </c>
      <c r="AI2427" s="1">
        <v>44075</v>
      </c>
      <c r="AJ2427" s="1">
        <v>51380</v>
      </c>
      <c r="AK2427" t="s">
        <v>51</v>
      </c>
      <c r="AN2427">
        <v>0</v>
      </c>
      <c r="AO2427" t="s">
        <v>54</v>
      </c>
      <c r="AP2427" t="s">
        <v>53</v>
      </c>
      <c r="AQ2427">
        <v>0</v>
      </c>
      <c r="AR2427" t="s">
        <v>53</v>
      </c>
      <c r="AS2427">
        <v>0</v>
      </c>
      <c r="AT2427">
        <v>0</v>
      </c>
      <c r="AW2427" t="s">
        <v>58</v>
      </c>
      <c r="AX2427">
        <v>20</v>
      </c>
      <c r="AY2427" s="1">
        <v>44075</v>
      </c>
      <c r="AZ2427" s="1">
        <v>44075</v>
      </c>
      <c r="BA2427" s="1">
        <v>44075</v>
      </c>
      <c r="BB2427" s="1">
        <v>51380</v>
      </c>
      <c r="BC2427" t="s">
        <v>51</v>
      </c>
      <c r="BE2427" t="s">
        <v>54</v>
      </c>
      <c r="BF2427">
        <v>2</v>
      </c>
      <c r="BG2427">
        <v>0</v>
      </c>
      <c r="BH2427" t="s">
        <v>53</v>
      </c>
      <c r="BK2427" t="s">
        <v>59</v>
      </c>
      <c r="BL2427">
        <v>14000</v>
      </c>
      <c r="BM2427" s="1">
        <v>44075</v>
      </c>
      <c r="BN2427" s="1">
        <v>44075</v>
      </c>
      <c r="BO2427" s="1">
        <v>44075</v>
      </c>
      <c r="BP2427" s="1">
        <v>45247</v>
      </c>
      <c r="BQ2427" t="s">
        <v>51</v>
      </c>
      <c r="BS2427" t="s">
        <v>60</v>
      </c>
      <c r="BT2427" t="s">
        <v>54</v>
      </c>
      <c r="BU2427" t="s">
        <v>61</v>
      </c>
      <c r="BV2427" t="s">
        <v>62</v>
      </c>
      <c r="BX2427">
        <v>24</v>
      </c>
      <c r="BY2427">
        <v>0</v>
      </c>
      <c r="BZ2427">
        <v>0</v>
      </c>
      <c r="CX2427" t="s">
        <v>674</v>
      </c>
      <c r="CY2427">
        <v>0</v>
      </c>
      <c r="CZ2427" s="1">
        <v>44075</v>
      </c>
      <c r="DA2427" s="1">
        <v>44075</v>
      </c>
      <c r="DB2427" s="1">
        <v>44075</v>
      </c>
      <c r="DC2427" s="1">
        <v>44075</v>
      </c>
      <c r="DD2427" t="s">
        <v>51</v>
      </c>
      <c r="DF2427" t="s">
        <v>54</v>
      </c>
      <c r="DG2427">
        <v>0</v>
      </c>
      <c r="DH2427">
        <v>0</v>
      </c>
    </row>
    <row r="2428" spans="1:112" x14ac:dyDescent="0.2">
      <c r="A2428" t="s">
        <v>1012</v>
      </c>
      <c r="B2428" t="s">
        <v>1013</v>
      </c>
      <c r="C2428" t="s">
        <v>1052</v>
      </c>
      <c r="D2428" t="s">
        <v>1092</v>
      </c>
      <c r="F2428" t="str">
        <f>"251988"</f>
        <v>251988</v>
      </c>
      <c r="G2428" t="s">
        <v>49</v>
      </c>
      <c r="H2428" t="s">
        <v>1093</v>
      </c>
      <c r="K2428" t="s">
        <v>51</v>
      </c>
      <c r="L2428" t="s">
        <v>52</v>
      </c>
      <c r="M2428">
        <v>131801.59</v>
      </c>
      <c r="N2428">
        <v>474834.25</v>
      </c>
      <c r="O2428" t="s">
        <v>53</v>
      </c>
      <c r="P2428" t="s">
        <v>54</v>
      </c>
      <c r="Q2428" t="s">
        <v>55</v>
      </c>
      <c r="T2428" t="s">
        <v>81</v>
      </c>
      <c r="U2428">
        <v>40</v>
      </c>
      <c r="V2428" s="1">
        <v>32143</v>
      </c>
      <c r="W2428" s="1">
        <v>32143</v>
      </c>
      <c r="X2428" s="1">
        <v>32143</v>
      </c>
      <c r="Y2428" s="1">
        <v>46753</v>
      </c>
      <c r="Z2428" t="s">
        <v>51</v>
      </c>
      <c r="AB2428" t="s">
        <v>54</v>
      </c>
      <c r="AC2428">
        <v>1</v>
      </c>
      <c r="AE2428" t="s">
        <v>57</v>
      </c>
      <c r="AF2428">
        <v>20</v>
      </c>
      <c r="AG2428" s="1">
        <v>32143</v>
      </c>
      <c r="AH2428" s="1">
        <v>32143</v>
      </c>
      <c r="AI2428" s="1">
        <v>32143</v>
      </c>
      <c r="AJ2428" s="1">
        <v>39448</v>
      </c>
      <c r="AK2428" t="s">
        <v>51</v>
      </c>
      <c r="AN2428">
        <v>0</v>
      </c>
      <c r="AO2428" t="s">
        <v>54</v>
      </c>
      <c r="AP2428" t="s">
        <v>53</v>
      </c>
      <c r="AQ2428">
        <v>0</v>
      </c>
      <c r="AR2428" t="s">
        <v>53</v>
      </c>
      <c r="AS2428">
        <v>0</v>
      </c>
      <c r="AT2428">
        <v>0</v>
      </c>
      <c r="AW2428" t="s">
        <v>58</v>
      </c>
      <c r="AX2428">
        <v>20</v>
      </c>
      <c r="AY2428" s="1">
        <v>32143</v>
      </c>
      <c r="AZ2428" s="1">
        <v>32143</v>
      </c>
      <c r="BA2428" s="1">
        <v>32143</v>
      </c>
      <c r="BB2428" s="1">
        <v>39448</v>
      </c>
      <c r="BC2428" t="s">
        <v>51</v>
      </c>
      <c r="BE2428" t="s">
        <v>54</v>
      </c>
      <c r="BF2428">
        <v>2</v>
      </c>
      <c r="BG2428">
        <v>0</v>
      </c>
      <c r="BH2428" t="s">
        <v>53</v>
      </c>
      <c r="BI2428">
        <v>1</v>
      </c>
      <c r="BK2428" t="s">
        <v>59</v>
      </c>
      <c r="BL2428">
        <v>14000</v>
      </c>
      <c r="BM2428" s="1">
        <v>44084</v>
      </c>
      <c r="BN2428" s="1">
        <v>44084</v>
      </c>
      <c r="BO2428" s="1">
        <v>44084</v>
      </c>
      <c r="BP2428" s="1">
        <v>45253</v>
      </c>
      <c r="BQ2428" t="s">
        <v>51</v>
      </c>
      <c r="BS2428" t="s">
        <v>60</v>
      </c>
      <c r="BT2428" t="s">
        <v>54</v>
      </c>
      <c r="BU2428" t="s">
        <v>61</v>
      </c>
      <c r="BV2428" t="s">
        <v>62</v>
      </c>
      <c r="BX2428">
        <v>24</v>
      </c>
      <c r="BY2428">
        <v>0</v>
      </c>
      <c r="BZ2428">
        <v>0</v>
      </c>
      <c r="CX2428" t="s">
        <v>674</v>
      </c>
      <c r="CY2428">
        <v>0</v>
      </c>
      <c r="CZ2428" s="1">
        <v>32143</v>
      </c>
      <c r="DA2428" s="1">
        <v>32143</v>
      </c>
      <c r="DB2428" s="1">
        <v>32143</v>
      </c>
      <c r="DC2428" s="1">
        <v>32143</v>
      </c>
      <c r="DD2428" t="s">
        <v>51</v>
      </c>
      <c r="DF2428" t="s">
        <v>54</v>
      </c>
      <c r="DG2428">
        <v>0</v>
      </c>
      <c r="DH2428">
        <v>0</v>
      </c>
    </row>
    <row r="2429" spans="1:112" x14ac:dyDescent="0.2">
      <c r="A2429" t="s">
        <v>1012</v>
      </c>
      <c r="B2429" t="s">
        <v>1013</v>
      </c>
      <c r="C2429" t="s">
        <v>1052</v>
      </c>
      <c r="D2429" t="s">
        <v>1092</v>
      </c>
      <c r="F2429" t="str">
        <f>"251988"</f>
        <v>251988</v>
      </c>
      <c r="G2429" t="s">
        <v>49</v>
      </c>
      <c r="H2429" t="s">
        <v>1093</v>
      </c>
      <c r="K2429" t="s">
        <v>51</v>
      </c>
      <c r="L2429" t="s">
        <v>52</v>
      </c>
      <c r="M2429">
        <v>131801.59</v>
      </c>
      <c r="N2429">
        <v>474834.25</v>
      </c>
      <c r="O2429" t="s">
        <v>53</v>
      </c>
      <c r="P2429" t="s">
        <v>54</v>
      </c>
      <c r="Q2429" t="s">
        <v>55</v>
      </c>
      <c r="T2429" t="s">
        <v>81</v>
      </c>
      <c r="U2429">
        <v>40</v>
      </c>
      <c r="V2429" s="1">
        <v>32143</v>
      </c>
      <c r="W2429" s="1">
        <v>32143</v>
      </c>
      <c r="X2429" s="1">
        <v>32143</v>
      </c>
      <c r="Y2429" s="1">
        <v>46753</v>
      </c>
      <c r="Z2429" t="s">
        <v>51</v>
      </c>
      <c r="AB2429" t="s">
        <v>54</v>
      </c>
      <c r="AE2429" t="s">
        <v>57</v>
      </c>
      <c r="AF2429">
        <v>20</v>
      </c>
      <c r="AG2429" s="1">
        <v>37987</v>
      </c>
      <c r="AH2429" s="1">
        <v>37987</v>
      </c>
      <c r="AI2429" s="1">
        <v>37987</v>
      </c>
      <c r="AJ2429" s="1">
        <v>45292</v>
      </c>
      <c r="AK2429" t="s">
        <v>51</v>
      </c>
      <c r="AN2429">
        <v>0</v>
      </c>
      <c r="AO2429" t="s">
        <v>54</v>
      </c>
      <c r="AP2429" t="s">
        <v>53</v>
      </c>
      <c r="AQ2429">
        <v>0</v>
      </c>
      <c r="AR2429" t="s">
        <v>53</v>
      </c>
      <c r="AS2429">
        <v>0</v>
      </c>
      <c r="AT2429">
        <v>0</v>
      </c>
      <c r="AW2429" t="s">
        <v>58</v>
      </c>
      <c r="AX2429">
        <v>20</v>
      </c>
      <c r="AY2429" s="1">
        <v>37987</v>
      </c>
      <c r="AZ2429" s="1">
        <v>37987</v>
      </c>
      <c r="BA2429" s="1">
        <v>37987</v>
      </c>
      <c r="BB2429" s="1">
        <v>45292</v>
      </c>
      <c r="BC2429" t="s">
        <v>51</v>
      </c>
      <c r="BE2429" t="s">
        <v>54</v>
      </c>
      <c r="BF2429">
        <v>2</v>
      </c>
      <c r="BG2429">
        <v>0</v>
      </c>
      <c r="BH2429" t="s">
        <v>53</v>
      </c>
      <c r="BK2429" t="s">
        <v>59</v>
      </c>
      <c r="BL2429">
        <v>14000</v>
      </c>
      <c r="BM2429" s="1">
        <v>37987</v>
      </c>
      <c r="BN2429" s="1">
        <v>37987</v>
      </c>
      <c r="BO2429" s="1">
        <v>37987</v>
      </c>
      <c r="BP2429" s="1">
        <v>39151</v>
      </c>
      <c r="BQ2429" t="s">
        <v>51</v>
      </c>
      <c r="BS2429" t="s">
        <v>60</v>
      </c>
      <c r="BT2429" t="s">
        <v>54</v>
      </c>
      <c r="BU2429" t="s">
        <v>61</v>
      </c>
      <c r="BV2429" t="s">
        <v>62</v>
      </c>
      <c r="BX2429">
        <v>24</v>
      </c>
      <c r="BY2429">
        <v>0</v>
      </c>
      <c r="BZ2429">
        <v>0</v>
      </c>
      <c r="CX2429" t="s">
        <v>674</v>
      </c>
      <c r="CY2429">
        <v>0</v>
      </c>
      <c r="CZ2429" s="1">
        <v>32143</v>
      </c>
      <c r="DA2429" s="1">
        <v>32143</v>
      </c>
      <c r="DB2429" s="1">
        <v>32143</v>
      </c>
      <c r="DC2429" s="1">
        <v>32143</v>
      </c>
      <c r="DD2429" t="s">
        <v>51</v>
      </c>
      <c r="DF2429" t="s">
        <v>54</v>
      </c>
      <c r="DG2429">
        <v>0</v>
      </c>
      <c r="DH2429">
        <v>0</v>
      </c>
    </row>
    <row r="2430" spans="1:112" x14ac:dyDescent="0.2">
      <c r="A2430" t="s">
        <v>1012</v>
      </c>
      <c r="B2430" t="s">
        <v>1013</v>
      </c>
      <c r="C2430" t="s">
        <v>1052</v>
      </c>
      <c r="D2430" t="s">
        <v>1092</v>
      </c>
      <c r="F2430" t="str">
        <f>"251989"</f>
        <v>251989</v>
      </c>
      <c r="G2430" t="s">
        <v>49</v>
      </c>
      <c r="K2430" t="s">
        <v>51</v>
      </c>
      <c r="L2430" t="s">
        <v>52</v>
      </c>
      <c r="M2430">
        <v>131780.97</v>
      </c>
      <c r="N2430">
        <v>474854.82</v>
      </c>
      <c r="O2430" t="s">
        <v>53</v>
      </c>
      <c r="P2430" t="s">
        <v>54</v>
      </c>
      <c r="Q2430" t="s">
        <v>55</v>
      </c>
      <c r="T2430" t="s">
        <v>81</v>
      </c>
      <c r="U2430">
        <v>40</v>
      </c>
      <c r="V2430" s="1">
        <v>32143</v>
      </c>
      <c r="W2430" s="1">
        <v>32143</v>
      </c>
      <c r="X2430" s="1">
        <v>32143</v>
      </c>
      <c r="Y2430" s="1">
        <v>46753</v>
      </c>
      <c r="Z2430" t="s">
        <v>51</v>
      </c>
      <c r="AB2430" t="s">
        <v>54</v>
      </c>
      <c r="AC2430">
        <v>1</v>
      </c>
      <c r="AE2430" t="s">
        <v>57</v>
      </c>
      <c r="AF2430">
        <v>20</v>
      </c>
      <c r="AG2430" s="1">
        <v>32143</v>
      </c>
      <c r="AH2430" s="1">
        <v>32143</v>
      </c>
      <c r="AI2430" s="1">
        <v>32143</v>
      </c>
      <c r="AJ2430" s="1">
        <v>39448</v>
      </c>
      <c r="AK2430" t="s">
        <v>51</v>
      </c>
      <c r="AN2430">
        <v>0</v>
      </c>
      <c r="AO2430" t="s">
        <v>54</v>
      </c>
      <c r="AP2430" t="s">
        <v>53</v>
      </c>
      <c r="AQ2430">
        <v>0</v>
      </c>
      <c r="AR2430" t="s">
        <v>53</v>
      </c>
      <c r="AS2430">
        <v>0</v>
      </c>
      <c r="AT2430">
        <v>0</v>
      </c>
      <c r="AW2430" t="s">
        <v>58</v>
      </c>
      <c r="AX2430">
        <v>20</v>
      </c>
      <c r="AY2430" s="1">
        <v>32143</v>
      </c>
      <c r="AZ2430" s="1">
        <v>32143</v>
      </c>
      <c r="BA2430" s="1">
        <v>32143</v>
      </c>
      <c r="BB2430" s="1">
        <v>39448</v>
      </c>
      <c r="BC2430" t="s">
        <v>51</v>
      </c>
      <c r="BE2430" t="s">
        <v>54</v>
      </c>
      <c r="BF2430">
        <v>2</v>
      </c>
      <c r="BG2430">
        <v>0</v>
      </c>
      <c r="BH2430" t="s">
        <v>53</v>
      </c>
      <c r="BI2430">
        <v>1</v>
      </c>
      <c r="BK2430" t="s">
        <v>59</v>
      </c>
      <c r="BL2430">
        <v>14000</v>
      </c>
      <c r="BM2430" s="1">
        <v>44084</v>
      </c>
      <c r="BN2430" s="1">
        <v>44084</v>
      </c>
      <c r="BO2430" s="1">
        <v>44084</v>
      </c>
      <c r="BP2430" s="1">
        <v>45253</v>
      </c>
      <c r="BQ2430" t="s">
        <v>51</v>
      </c>
      <c r="BS2430" t="s">
        <v>60</v>
      </c>
      <c r="BT2430" t="s">
        <v>54</v>
      </c>
      <c r="BU2430" t="s">
        <v>61</v>
      </c>
      <c r="BV2430" t="s">
        <v>62</v>
      </c>
      <c r="BX2430">
        <v>24</v>
      </c>
      <c r="BY2430">
        <v>0</v>
      </c>
      <c r="BZ2430">
        <v>0</v>
      </c>
      <c r="CX2430" t="s">
        <v>674</v>
      </c>
      <c r="CY2430">
        <v>0</v>
      </c>
      <c r="CZ2430" s="1">
        <v>32143</v>
      </c>
      <c r="DA2430" s="1">
        <v>32143</v>
      </c>
      <c r="DB2430" s="1">
        <v>32143</v>
      </c>
      <c r="DC2430" s="1">
        <v>32143</v>
      </c>
      <c r="DD2430" t="s">
        <v>51</v>
      </c>
      <c r="DF2430" t="s">
        <v>54</v>
      </c>
      <c r="DG2430">
        <v>0</v>
      </c>
      <c r="DH2430">
        <v>0</v>
      </c>
    </row>
    <row r="2431" spans="1:112" x14ac:dyDescent="0.2">
      <c r="A2431" t="s">
        <v>1012</v>
      </c>
      <c r="B2431" t="s">
        <v>1013</v>
      </c>
      <c r="C2431" t="s">
        <v>1052</v>
      </c>
      <c r="D2431" t="s">
        <v>1092</v>
      </c>
      <c r="F2431" t="str">
        <f>"251990"</f>
        <v>251990</v>
      </c>
      <c r="G2431" t="s">
        <v>49</v>
      </c>
      <c r="K2431" t="s">
        <v>51</v>
      </c>
      <c r="L2431" t="s">
        <v>52</v>
      </c>
      <c r="M2431">
        <v>131758.93</v>
      </c>
      <c r="N2431">
        <v>474870.48</v>
      </c>
      <c r="O2431" t="s">
        <v>53</v>
      </c>
      <c r="P2431" t="s">
        <v>54</v>
      </c>
      <c r="Q2431" t="s">
        <v>55</v>
      </c>
      <c r="T2431" t="s">
        <v>81</v>
      </c>
      <c r="U2431">
        <v>40</v>
      </c>
      <c r="V2431" s="1">
        <v>32143</v>
      </c>
      <c r="W2431" s="1">
        <v>32143</v>
      </c>
      <c r="X2431" s="1">
        <v>32143</v>
      </c>
      <c r="Y2431" s="1">
        <v>46753</v>
      </c>
      <c r="Z2431" t="s">
        <v>51</v>
      </c>
      <c r="AB2431" t="s">
        <v>54</v>
      </c>
      <c r="AC2431">
        <v>1</v>
      </c>
      <c r="AE2431" t="s">
        <v>57</v>
      </c>
      <c r="AF2431">
        <v>20</v>
      </c>
      <c r="AG2431" s="1">
        <v>32143</v>
      </c>
      <c r="AH2431" s="1">
        <v>32143</v>
      </c>
      <c r="AI2431" s="1">
        <v>32143</v>
      </c>
      <c r="AJ2431" s="1">
        <v>39448</v>
      </c>
      <c r="AK2431" t="s">
        <v>51</v>
      </c>
      <c r="AN2431">
        <v>0</v>
      </c>
      <c r="AO2431" t="s">
        <v>54</v>
      </c>
      <c r="AP2431" t="s">
        <v>53</v>
      </c>
      <c r="AQ2431">
        <v>0</v>
      </c>
      <c r="AR2431" t="s">
        <v>53</v>
      </c>
      <c r="AS2431">
        <v>0</v>
      </c>
      <c r="AT2431">
        <v>0</v>
      </c>
      <c r="AW2431" t="s">
        <v>58</v>
      </c>
      <c r="AX2431">
        <v>20</v>
      </c>
      <c r="AY2431" s="1">
        <v>32143</v>
      </c>
      <c r="AZ2431" s="1">
        <v>32143</v>
      </c>
      <c r="BA2431" s="1">
        <v>32143</v>
      </c>
      <c r="BB2431" s="1">
        <v>39448</v>
      </c>
      <c r="BC2431" t="s">
        <v>51</v>
      </c>
      <c r="BE2431" t="s">
        <v>54</v>
      </c>
      <c r="BF2431">
        <v>2</v>
      </c>
      <c r="BG2431">
        <v>0</v>
      </c>
      <c r="BH2431" t="s">
        <v>53</v>
      </c>
      <c r="BK2431" t="s">
        <v>59</v>
      </c>
      <c r="BL2431">
        <v>14000</v>
      </c>
      <c r="BM2431" s="1">
        <v>44084</v>
      </c>
      <c r="BN2431" s="1">
        <v>44084</v>
      </c>
      <c r="BO2431" s="1">
        <v>44084</v>
      </c>
      <c r="BP2431" s="1">
        <v>45253</v>
      </c>
      <c r="BQ2431" t="s">
        <v>51</v>
      </c>
      <c r="BS2431" t="s">
        <v>60</v>
      </c>
      <c r="BT2431" t="s">
        <v>54</v>
      </c>
      <c r="BU2431" t="s">
        <v>61</v>
      </c>
      <c r="BV2431" t="s">
        <v>62</v>
      </c>
      <c r="BX2431">
        <v>24</v>
      </c>
      <c r="BY2431">
        <v>0</v>
      </c>
      <c r="BZ2431">
        <v>0</v>
      </c>
      <c r="CX2431" t="s">
        <v>674</v>
      </c>
      <c r="CY2431">
        <v>0</v>
      </c>
      <c r="CZ2431" s="1">
        <v>32143</v>
      </c>
      <c r="DA2431" s="1">
        <v>32143</v>
      </c>
      <c r="DB2431" s="1">
        <v>32143</v>
      </c>
      <c r="DC2431" s="1">
        <v>32143</v>
      </c>
      <c r="DD2431" t="s">
        <v>51</v>
      </c>
      <c r="DF2431" t="s">
        <v>54</v>
      </c>
      <c r="DG2431">
        <v>0</v>
      </c>
      <c r="DH2431">
        <v>0</v>
      </c>
    </row>
    <row r="2432" spans="1:112" x14ac:dyDescent="0.2">
      <c r="A2432" t="s">
        <v>1012</v>
      </c>
      <c r="B2432" t="s">
        <v>1013</v>
      </c>
      <c r="C2432" t="s">
        <v>1052</v>
      </c>
      <c r="D2432" t="s">
        <v>1092</v>
      </c>
      <c r="F2432" t="str">
        <f>"251991"</f>
        <v>251991</v>
      </c>
      <c r="G2432" t="s">
        <v>49</v>
      </c>
      <c r="K2432" t="s">
        <v>51</v>
      </c>
      <c r="L2432" t="s">
        <v>52</v>
      </c>
      <c r="M2432">
        <v>131775.035</v>
      </c>
      <c r="N2432">
        <v>474887.34899999999</v>
      </c>
      <c r="O2432" t="s">
        <v>53</v>
      </c>
      <c r="P2432" t="s">
        <v>54</v>
      </c>
      <c r="Q2432" t="s">
        <v>55</v>
      </c>
      <c r="T2432" t="s">
        <v>81</v>
      </c>
      <c r="U2432">
        <v>40</v>
      </c>
      <c r="V2432" s="1">
        <v>32143</v>
      </c>
      <c r="W2432" s="1">
        <v>32143</v>
      </c>
      <c r="X2432" s="1">
        <v>32143</v>
      </c>
      <c r="Y2432" s="1">
        <v>46753</v>
      </c>
      <c r="Z2432" t="s">
        <v>51</v>
      </c>
      <c r="AB2432" t="s">
        <v>54</v>
      </c>
      <c r="AC2432">
        <v>1</v>
      </c>
      <c r="AE2432" t="s">
        <v>57</v>
      </c>
      <c r="AF2432">
        <v>20</v>
      </c>
      <c r="AG2432" s="1">
        <v>32143</v>
      </c>
      <c r="AH2432" s="1">
        <v>32143</v>
      </c>
      <c r="AI2432" s="1">
        <v>32143</v>
      </c>
      <c r="AJ2432" s="1">
        <v>39448</v>
      </c>
      <c r="AK2432" t="s">
        <v>51</v>
      </c>
      <c r="AN2432">
        <v>0</v>
      </c>
      <c r="AO2432" t="s">
        <v>54</v>
      </c>
      <c r="AP2432" t="s">
        <v>53</v>
      </c>
      <c r="AQ2432">
        <v>0</v>
      </c>
      <c r="AR2432" t="s">
        <v>53</v>
      </c>
      <c r="AS2432">
        <v>0</v>
      </c>
      <c r="AT2432">
        <v>0</v>
      </c>
      <c r="AW2432" t="s">
        <v>58</v>
      </c>
      <c r="AX2432">
        <v>20</v>
      </c>
      <c r="AY2432" s="1">
        <v>32143</v>
      </c>
      <c r="AZ2432" s="1">
        <v>32143</v>
      </c>
      <c r="BA2432" s="1">
        <v>32143</v>
      </c>
      <c r="BB2432" s="1">
        <v>39448</v>
      </c>
      <c r="BC2432" t="s">
        <v>51</v>
      </c>
      <c r="BE2432" t="s">
        <v>54</v>
      </c>
      <c r="BF2432">
        <v>2</v>
      </c>
      <c r="BG2432">
        <v>0</v>
      </c>
      <c r="BH2432" t="s">
        <v>53</v>
      </c>
      <c r="BK2432" t="s">
        <v>59</v>
      </c>
      <c r="BL2432">
        <v>14000</v>
      </c>
      <c r="BM2432" s="1">
        <v>44084</v>
      </c>
      <c r="BN2432" s="1">
        <v>44084</v>
      </c>
      <c r="BO2432" s="1">
        <v>44084</v>
      </c>
      <c r="BP2432" s="1">
        <v>45253</v>
      </c>
      <c r="BQ2432" t="s">
        <v>51</v>
      </c>
      <c r="BS2432" t="s">
        <v>60</v>
      </c>
      <c r="BT2432" t="s">
        <v>54</v>
      </c>
      <c r="BU2432" t="s">
        <v>61</v>
      </c>
      <c r="BV2432" t="s">
        <v>62</v>
      </c>
      <c r="BX2432">
        <v>24</v>
      </c>
      <c r="BY2432">
        <v>0</v>
      </c>
      <c r="BZ2432">
        <v>0</v>
      </c>
      <c r="CX2432" t="s">
        <v>674</v>
      </c>
      <c r="CY2432">
        <v>0</v>
      </c>
      <c r="CZ2432" s="1">
        <v>32143</v>
      </c>
      <c r="DA2432" s="1">
        <v>32143</v>
      </c>
      <c r="DB2432" s="1">
        <v>32143</v>
      </c>
      <c r="DC2432" s="1">
        <v>32143</v>
      </c>
      <c r="DD2432" t="s">
        <v>51</v>
      </c>
      <c r="DF2432" t="s">
        <v>54</v>
      </c>
      <c r="DG2432">
        <v>0</v>
      </c>
      <c r="DH2432">
        <v>0</v>
      </c>
    </row>
    <row r="2433" spans="1:112" x14ac:dyDescent="0.2">
      <c r="A2433" t="s">
        <v>1012</v>
      </c>
      <c r="B2433" t="s">
        <v>1013</v>
      </c>
      <c r="C2433" t="s">
        <v>1014</v>
      </c>
      <c r="D2433" t="s">
        <v>1094</v>
      </c>
      <c r="F2433" t="str">
        <f>"251994"</f>
        <v>251994</v>
      </c>
      <c r="G2433" t="s">
        <v>49</v>
      </c>
      <c r="K2433" t="s">
        <v>51</v>
      </c>
      <c r="L2433" t="s">
        <v>52</v>
      </c>
      <c r="M2433">
        <v>131648.166</v>
      </c>
      <c r="N2433">
        <v>475069.29800000001</v>
      </c>
      <c r="O2433" t="s">
        <v>53</v>
      </c>
      <c r="P2433" t="s">
        <v>54</v>
      </c>
      <c r="Q2433" t="s">
        <v>55</v>
      </c>
      <c r="T2433" t="s">
        <v>466</v>
      </c>
      <c r="U2433">
        <v>40</v>
      </c>
      <c r="V2433" s="1">
        <v>42917</v>
      </c>
      <c r="W2433" s="1">
        <v>42917</v>
      </c>
      <c r="X2433" s="1">
        <v>42917</v>
      </c>
      <c r="Y2433" s="1">
        <v>57527</v>
      </c>
      <c r="Z2433" t="s">
        <v>51</v>
      </c>
      <c r="AB2433" t="s">
        <v>54</v>
      </c>
      <c r="AC2433">
        <v>1</v>
      </c>
      <c r="AE2433" t="s">
        <v>613</v>
      </c>
      <c r="AF2433">
        <v>20</v>
      </c>
      <c r="AG2433" s="1">
        <v>42917</v>
      </c>
      <c r="AH2433" s="1">
        <v>42917</v>
      </c>
      <c r="AI2433" s="1">
        <v>42917</v>
      </c>
      <c r="AJ2433" s="1">
        <v>50222</v>
      </c>
      <c r="AK2433" t="s">
        <v>51</v>
      </c>
      <c r="AN2433">
        <v>0</v>
      </c>
      <c r="AO2433" t="s">
        <v>54</v>
      </c>
      <c r="AP2433" t="s">
        <v>53</v>
      </c>
      <c r="AQ2433">
        <v>0</v>
      </c>
      <c r="AR2433" t="s">
        <v>53</v>
      </c>
      <c r="AS2433">
        <v>0</v>
      </c>
      <c r="AT2433">
        <v>0</v>
      </c>
      <c r="BH2433" t="s">
        <v>53</v>
      </c>
    </row>
    <row r="2434" spans="1:112" x14ac:dyDescent="0.2">
      <c r="A2434" t="s">
        <v>1012</v>
      </c>
      <c r="B2434" t="s">
        <v>1013</v>
      </c>
      <c r="C2434" t="s">
        <v>1014</v>
      </c>
      <c r="D2434" t="s">
        <v>1072</v>
      </c>
      <c r="F2434" t="str">
        <f>"252001"</f>
        <v>252001</v>
      </c>
      <c r="G2434" t="s">
        <v>49</v>
      </c>
      <c r="K2434" t="s">
        <v>51</v>
      </c>
      <c r="L2434" t="s">
        <v>52</v>
      </c>
      <c r="M2434">
        <v>131617.14000000001</v>
      </c>
      <c r="N2434">
        <v>474965.59700000001</v>
      </c>
      <c r="O2434" t="s">
        <v>53</v>
      </c>
      <c r="P2434" t="s">
        <v>54</v>
      </c>
      <c r="Q2434" t="s">
        <v>55</v>
      </c>
      <c r="T2434" t="s">
        <v>241</v>
      </c>
      <c r="U2434">
        <v>40</v>
      </c>
      <c r="V2434" s="1">
        <v>34700</v>
      </c>
      <c r="W2434" s="1">
        <v>34700</v>
      </c>
      <c r="X2434" s="1">
        <v>34700</v>
      </c>
      <c r="Y2434" s="1">
        <v>49310</v>
      </c>
      <c r="Z2434" t="s">
        <v>51</v>
      </c>
      <c r="AB2434" t="s">
        <v>54</v>
      </c>
      <c r="AC2434">
        <v>1</v>
      </c>
      <c r="AE2434" t="s">
        <v>222</v>
      </c>
      <c r="AF2434">
        <v>20</v>
      </c>
      <c r="AG2434" s="1">
        <v>34700</v>
      </c>
      <c r="AH2434" s="1">
        <v>34700</v>
      </c>
      <c r="AI2434" s="1">
        <v>34700</v>
      </c>
      <c r="AJ2434" s="1">
        <v>42005</v>
      </c>
      <c r="AK2434" t="s">
        <v>51</v>
      </c>
      <c r="AN2434">
        <v>0</v>
      </c>
      <c r="AO2434" t="s">
        <v>54</v>
      </c>
      <c r="AP2434" t="s">
        <v>53</v>
      </c>
      <c r="AQ2434">
        <v>0</v>
      </c>
      <c r="AR2434" t="s">
        <v>53</v>
      </c>
      <c r="AS2434">
        <v>0</v>
      </c>
      <c r="AT2434">
        <v>0</v>
      </c>
      <c r="AW2434" t="s">
        <v>58</v>
      </c>
      <c r="AX2434">
        <v>20</v>
      </c>
      <c r="AY2434" s="1">
        <v>34700</v>
      </c>
      <c r="AZ2434" s="1">
        <v>34700</v>
      </c>
      <c r="BA2434" s="1">
        <v>34700</v>
      </c>
      <c r="BB2434" s="1">
        <v>42005</v>
      </c>
      <c r="BC2434" t="s">
        <v>51</v>
      </c>
      <c r="BE2434" t="s">
        <v>54</v>
      </c>
      <c r="BF2434">
        <v>2</v>
      </c>
      <c r="BG2434">
        <v>0</v>
      </c>
      <c r="BH2434" t="s">
        <v>53</v>
      </c>
      <c r="BK2434" t="s">
        <v>720</v>
      </c>
      <c r="BL2434">
        <v>17000</v>
      </c>
      <c r="BM2434" s="1">
        <v>44314</v>
      </c>
      <c r="BN2434" s="1">
        <v>44314</v>
      </c>
      <c r="BO2434" s="1">
        <v>44314</v>
      </c>
      <c r="BP2434" s="1">
        <v>45746</v>
      </c>
      <c r="BQ2434" t="s">
        <v>51</v>
      </c>
      <c r="BS2434" t="s">
        <v>60</v>
      </c>
      <c r="BT2434" t="s">
        <v>54</v>
      </c>
      <c r="BU2434" t="s">
        <v>721</v>
      </c>
      <c r="BV2434" t="s">
        <v>722</v>
      </c>
      <c r="BX2434">
        <v>18</v>
      </c>
      <c r="BY2434">
        <v>0</v>
      </c>
      <c r="BZ2434">
        <v>0</v>
      </c>
    </row>
    <row r="2435" spans="1:112" x14ac:dyDescent="0.2">
      <c r="A2435" t="s">
        <v>1012</v>
      </c>
      <c r="B2435" t="s">
        <v>1013</v>
      </c>
      <c r="C2435" t="s">
        <v>1014</v>
      </c>
      <c r="D2435" t="s">
        <v>1072</v>
      </c>
      <c r="F2435" t="str">
        <f>"252002"</f>
        <v>252002</v>
      </c>
      <c r="G2435" t="s">
        <v>49</v>
      </c>
      <c r="K2435" t="s">
        <v>51</v>
      </c>
      <c r="L2435" t="s">
        <v>52</v>
      </c>
      <c r="M2435">
        <v>131610.93</v>
      </c>
      <c r="N2435">
        <v>474925.63</v>
      </c>
      <c r="O2435" t="s">
        <v>53</v>
      </c>
      <c r="P2435" t="s">
        <v>54</v>
      </c>
      <c r="Q2435" t="s">
        <v>55</v>
      </c>
      <c r="T2435" t="s">
        <v>241</v>
      </c>
      <c r="U2435">
        <v>40</v>
      </c>
      <c r="V2435" s="1">
        <v>34700</v>
      </c>
      <c r="W2435" s="1">
        <v>34700</v>
      </c>
      <c r="X2435" s="1">
        <v>34700</v>
      </c>
      <c r="Y2435" s="1">
        <v>49310</v>
      </c>
      <c r="Z2435" t="s">
        <v>51</v>
      </c>
      <c r="AB2435" t="s">
        <v>54</v>
      </c>
      <c r="AC2435">
        <v>1</v>
      </c>
      <c r="AE2435" t="s">
        <v>222</v>
      </c>
      <c r="AF2435">
        <v>20</v>
      </c>
      <c r="AG2435" s="1">
        <v>34700</v>
      </c>
      <c r="AH2435" s="1">
        <v>34700</v>
      </c>
      <c r="AI2435" s="1">
        <v>34700</v>
      </c>
      <c r="AJ2435" s="1">
        <v>42005</v>
      </c>
      <c r="AK2435" t="s">
        <v>51</v>
      </c>
      <c r="AN2435">
        <v>0</v>
      </c>
      <c r="AO2435" t="s">
        <v>54</v>
      </c>
      <c r="AP2435" t="s">
        <v>53</v>
      </c>
      <c r="AQ2435">
        <v>0</v>
      </c>
      <c r="AR2435" t="s">
        <v>53</v>
      </c>
      <c r="AS2435">
        <v>0</v>
      </c>
      <c r="AT2435">
        <v>0</v>
      </c>
      <c r="AW2435" t="s">
        <v>58</v>
      </c>
      <c r="AX2435">
        <v>20</v>
      </c>
      <c r="AY2435" s="1">
        <v>34700</v>
      </c>
      <c r="AZ2435" s="1">
        <v>34700</v>
      </c>
      <c r="BA2435" s="1">
        <v>34700</v>
      </c>
      <c r="BB2435" s="1">
        <v>42005</v>
      </c>
      <c r="BC2435" t="s">
        <v>51</v>
      </c>
      <c r="BE2435" t="s">
        <v>54</v>
      </c>
      <c r="BF2435">
        <v>2</v>
      </c>
      <c r="BG2435">
        <v>0</v>
      </c>
      <c r="BH2435" t="s">
        <v>53</v>
      </c>
      <c r="BK2435" t="s">
        <v>720</v>
      </c>
      <c r="BL2435">
        <v>17000</v>
      </c>
      <c r="BM2435" s="1">
        <v>44314</v>
      </c>
      <c r="BN2435" s="1">
        <v>44314</v>
      </c>
      <c r="BO2435" s="1">
        <v>44314</v>
      </c>
      <c r="BP2435" s="1">
        <v>45746</v>
      </c>
      <c r="BQ2435" t="s">
        <v>51</v>
      </c>
      <c r="BS2435" t="s">
        <v>60</v>
      </c>
      <c r="BT2435" t="s">
        <v>54</v>
      </c>
      <c r="BU2435" t="s">
        <v>721</v>
      </c>
      <c r="BV2435" t="s">
        <v>722</v>
      </c>
      <c r="BX2435">
        <v>18</v>
      </c>
      <c r="BY2435">
        <v>0</v>
      </c>
      <c r="BZ2435">
        <v>0</v>
      </c>
    </row>
    <row r="2436" spans="1:112" x14ac:dyDescent="0.2">
      <c r="A2436" t="s">
        <v>1012</v>
      </c>
      <c r="B2436" t="s">
        <v>1013</v>
      </c>
      <c r="C2436" t="s">
        <v>1014</v>
      </c>
      <c r="D2436" t="s">
        <v>1072</v>
      </c>
      <c r="F2436" t="str">
        <f>"252003"</f>
        <v>252003</v>
      </c>
      <c r="G2436" t="s">
        <v>49</v>
      </c>
      <c r="K2436" t="s">
        <v>51</v>
      </c>
      <c r="L2436" t="s">
        <v>52</v>
      </c>
      <c r="M2436">
        <v>131604.54</v>
      </c>
      <c r="N2436">
        <v>474877</v>
      </c>
      <c r="O2436" t="s">
        <v>53</v>
      </c>
      <c r="P2436" t="s">
        <v>54</v>
      </c>
      <c r="Q2436" t="s">
        <v>55</v>
      </c>
      <c r="T2436" t="s">
        <v>241</v>
      </c>
      <c r="U2436">
        <v>40</v>
      </c>
      <c r="V2436" s="1">
        <v>34700</v>
      </c>
      <c r="W2436" s="1">
        <v>34700</v>
      </c>
      <c r="X2436" s="1">
        <v>34700</v>
      </c>
      <c r="Y2436" s="1">
        <v>49310</v>
      </c>
      <c r="Z2436" t="s">
        <v>51</v>
      </c>
      <c r="AB2436" t="s">
        <v>54</v>
      </c>
      <c r="AC2436">
        <v>1</v>
      </c>
      <c r="AE2436" t="s">
        <v>222</v>
      </c>
      <c r="AF2436">
        <v>20</v>
      </c>
      <c r="AG2436" s="1">
        <v>34700</v>
      </c>
      <c r="AH2436" s="1">
        <v>34700</v>
      </c>
      <c r="AI2436" s="1">
        <v>34700</v>
      </c>
      <c r="AJ2436" s="1">
        <v>42005</v>
      </c>
      <c r="AK2436" t="s">
        <v>51</v>
      </c>
      <c r="AN2436">
        <v>0</v>
      </c>
      <c r="AO2436" t="s">
        <v>54</v>
      </c>
      <c r="AP2436" t="s">
        <v>53</v>
      </c>
      <c r="AQ2436">
        <v>0</v>
      </c>
      <c r="AR2436" t="s">
        <v>53</v>
      </c>
      <c r="AS2436">
        <v>0</v>
      </c>
      <c r="AT2436">
        <v>0</v>
      </c>
      <c r="AW2436" t="s">
        <v>58</v>
      </c>
      <c r="AX2436">
        <v>20</v>
      </c>
      <c r="AY2436" s="1">
        <v>34700</v>
      </c>
      <c r="AZ2436" s="1">
        <v>34700</v>
      </c>
      <c r="BA2436" s="1">
        <v>34700</v>
      </c>
      <c r="BB2436" s="1">
        <v>42005</v>
      </c>
      <c r="BC2436" t="s">
        <v>51</v>
      </c>
      <c r="BE2436" t="s">
        <v>54</v>
      </c>
      <c r="BF2436">
        <v>2</v>
      </c>
      <c r="BG2436">
        <v>0</v>
      </c>
      <c r="BH2436" t="s">
        <v>53</v>
      </c>
      <c r="BK2436" t="s">
        <v>720</v>
      </c>
      <c r="BL2436">
        <v>17000</v>
      </c>
      <c r="BM2436" s="1">
        <v>44314</v>
      </c>
      <c r="BN2436" s="1">
        <v>44314</v>
      </c>
      <c r="BO2436" s="1">
        <v>44314</v>
      </c>
      <c r="BP2436" s="1">
        <v>45746</v>
      </c>
      <c r="BQ2436" t="s">
        <v>51</v>
      </c>
      <c r="BS2436" t="s">
        <v>60</v>
      </c>
      <c r="BT2436" t="s">
        <v>54</v>
      </c>
      <c r="BU2436" t="s">
        <v>721</v>
      </c>
      <c r="BV2436" t="s">
        <v>722</v>
      </c>
      <c r="BX2436">
        <v>18</v>
      </c>
      <c r="BY2436">
        <v>0</v>
      </c>
      <c r="BZ2436">
        <v>0</v>
      </c>
    </row>
    <row r="2437" spans="1:112" x14ac:dyDescent="0.2">
      <c r="A2437" t="s">
        <v>1012</v>
      </c>
      <c r="B2437" t="s">
        <v>1013</v>
      </c>
      <c r="C2437" t="s">
        <v>1014</v>
      </c>
      <c r="D2437" t="s">
        <v>1072</v>
      </c>
      <c r="F2437" t="str">
        <f>"252004"</f>
        <v>252004</v>
      </c>
      <c r="G2437" t="s">
        <v>49</v>
      </c>
      <c r="K2437" t="s">
        <v>51</v>
      </c>
      <c r="L2437" t="s">
        <v>52</v>
      </c>
      <c r="M2437">
        <v>131596.25700000001</v>
      </c>
      <c r="N2437">
        <v>474830.25900000002</v>
      </c>
      <c r="O2437" t="s">
        <v>53</v>
      </c>
      <c r="P2437" t="s">
        <v>54</v>
      </c>
      <c r="Q2437" t="s">
        <v>55</v>
      </c>
      <c r="T2437" t="s">
        <v>100</v>
      </c>
      <c r="U2437">
        <v>40</v>
      </c>
      <c r="V2437" s="1">
        <v>44704</v>
      </c>
      <c r="W2437" s="1">
        <v>44704</v>
      </c>
      <c r="X2437" s="1">
        <v>44704</v>
      </c>
      <c r="Y2437" s="1">
        <v>59314</v>
      </c>
      <c r="Z2437" t="s">
        <v>51</v>
      </c>
      <c r="AB2437" t="s">
        <v>54</v>
      </c>
      <c r="AC2437">
        <v>1</v>
      </c>
      <c r="AE2437" t="s">
        <v>222</v>
      </c>
      <c r="AF2437">
        <v>20</v>
      </c>
      <c r="AG2437" s="1">
        <v>34700</v>
      </c>
      <c r="AH2437" s="1">
        <v>34700</v>
      </c>
      <c r="AI2437" s="1">
        <v>44704</v>
      </c>
      <c r="AJ2437" s="1">
        <v>42005</v>
      </c>
      <c r="AK2437" t="s">
        <v>51</v>
      </c>
      <c r="AN2437">
        <v>0</v>
      </c>
      <c r="AO2437" t="s">
        <v>54</v>
      </c>
      <c r="AP2437" t="s">
        <v>53</v>
      </c>
      <c r="AQ2437">
        <v>0</v>
      </c>
      <c r="AR2437" t="s">
        <v>53</v>
      </c>
      <c r="AS2437">
        <v>0</v>
      </c>
      <c r="AT2437">
        <v>0</v>
      </c>
      <c r="AW2437" t="s">
        <v>58</v>
      </c>
      <c r="AX2437">
        <v>20</v>
      </c>
      <c r="AY2437" s="1">
        <v>34700</v>
      </c>
      <c r="AZ2437" s="1">
        <v>34700</v>
      </c>
      <c r="BA2437" s="1">
        <v>44704</v>
      </c>
      <c r="BB2437" s="1">
        <v>42005</v>
      </c>
      <c r="BC2437" t="s">
        <v>51</v>
      </c>
      <c r="BE2437" t="s">
        <v>54</v>
      </c>
      <c r="BF2437">
        <v>2</v>
      </c>
      <c r="BG2437">
        <v>0</v>
      </c>
      <c r="BH2437" t="s">
        <v>53</v>
      </c>
      <c r="BK2437" t="s">
        <v>720</v>
      </c>
      <c r="BL2437">
        <v>17000</v>
      </c>
      <c r="BM2437" s="1">
        <v>44314</v>
      </c>
      <c r="BN2437" s="1">
        <v>44314</v>
      </c>
      <c r="BO2437" s="1">
        <v>44704</v>
      </c>
      <c r="BP2437" s="1">
        <v>45746</v>
      </c>
      <c r="BQ2437" t="s">
        <v>51</v>
      </c>
      <c r="BS2437" t="s">
        <v>60</v>
      </c>
      <c r="BT2437" t="s">
        <v>54</v>
      </c>
      <c r="BU2437" t="s">
        <v>721</v>
      </c>
      <c r="BV2437" t="s">
        <v>722</v>
      </c>
      <c r="BX2437">
        <v>18</v>
      </c>
      <c r="BY2437">
        <v>0</v>
      </c>
      <c r="BZ2437">
        <v>0</v>
      </c>
    </row>
    <row r="2438" spans="1:112" x14ac:dyDescent="0.2">
      <c r="A2438" t="s">
        <v>1012</v>
      </c>
      <c r="B2438" t="s">
        <v>1013</v>
      </c>
      <c r="C2438" t="s">
        <v>1014</v>
      </c>
      <c r="D2438" t="s">
        <v>1072</v>
      </c>
      <c r="F2438" t="str">
        <f>"252005"</f>
        <v>252005</v>
      </c>
      <c r="G2438" t="s">
        <v>49</v>
      </c>
      <c r="K2438" t="s">
        <v>51</v>
      </c>
      <c r="L2438" t="s">
        <v>52</v>
      </c>
      <c r="M2438">
        <v>131592.35999999999</v>
      </c>
      <c r="N2438">
        <v>474792.16</v>
      </c>
      <c r="O2438" t="s">
        <v>53</v>
      </c>
      <c r="P2438" t="s">
        <v>54</v>
      </c>
      <c r="Q2438" t="s">
        <v>55</v>
      </c>
      <c r="T2438" t="s">
        <v>241</v>
      </c>
      <c r="U2438">
        <v>40</v>
      </c>
      <c r="V2438" s="1">
        <v>34700</v>
      </c>
      <c r="W2438" s="1">
        <v>34700</v>
      </c>
      <c r="X2438" s="1">
        <v>34700</v>
      </c>
      <c r="Y2438" s="1">
        <v>49310</v>
      </c>
      <c r="Z2438" t="s">
        <v>51</v>
      </c>
      <c r="AB2438" t="s">
        <v>54</v>
      </c>
      <c r="AC2438">
        <v>1</v>
      </c>
      <c r="AE2438" t="s">
        <v>222</v>
      </c>
      <c r="AF2438">
        <v>20</v>
      </c>
      <c r="AG2438" s="1">
        <v>34700</v>
      </c>
      <c r="AH2438" s="1">
        <v>34700</v>
      </c>
      <c r="AI2438" s="1">
        <v>34700</v>
      </c>
      <c r="AJ2438" s="1">
        <v>42005</v>
      </c>
      <c r="AK2438" t="s">
        <v>51</v>
      </c>
      <c r="AN2438">
        <v>0</v>
      </c>
      <c r="AO2438" t="s">
        <v>54</v>
      </c>
      <c r="AP2438" t="s">
        <v>53</v>
      </c>
      <c r="AQ2438">
        <v>0</v>
      </c>
      <c r="AR2438" t="s">
        <v>53</v>
      </c>
      <c r="AS2438">
        <v>0</v>
      </c>
      <c r="AT2438">
        <v>0</v>
      </c>
      <c r="AW2438" t="s">
        <v>58</v>
      </c>
      <c r="AX2438">
        <v>20</v>
      </c>
      <c r="AY2438" s="1">
        <v>34700</v>
      </c>
      <c r="AZ2438" s="1">
        <v>34700</v>
      </c>
      <c r="BA2438" s="1">
        <v>34700</v>
      </c>
      <c r="BB2438" s="1">
        <v>42005</v>
      </c>
      <c r="BC2438" t="s">
        <v>51</v>
      </c>
      <c r="BE2438" t="s">
        <v>54</v>
      </c>
      <c r="BF2438">
        <v>2</v>
      </c>
      <c r="BG2438">
        <v>0</v>
      </c>
      <c r="BH2438" t="s">
        <v>53</v>
      </c>
      <c r="BK2438" t="s">
        <v>720</v>
      </c>
      <c r="BL2438">
        <v>17000</v>
      </c>
      <c r="BM2438" s="1">
        <v>44314</v>
      </c>
      <c r="BN2438" s="1">
        <v>44314</v>
      </c>
      <c r="BO2438" s="1">
        <v>44314</v>
      </c>
      <c r="BP2438" s="1">
        <v>45746</v>
      </c>
      <c r="BQ2438" t="s">
        <v>51</v>
      </c>
      <c r="BS2438" t="s">
        <v>60</v>
      </c>
      <c r="BT2438" t="s">
        <v>54</v>
      </c>
      <c r="BU2438" t="s">
        <v>721</v>
      </c>
      <c r="BV2438" t="s">
        <v>722</v>
      </c>
      <c r="BX2438">
        <v>18</v>
      </c>
      <c r="BY2438">
        <v>0</v>
      </c>
      <c r="BZ2438">
        <v>0</v>
      </c>
    </row>
    <row r="2439" spans="1:112" x14ac:dyDescent="0.2">
      <c r="A2439" t="s">
        <v>1012</v>
      </c>
      <c r="B2439" t="s">
        <v>1013</v>
      </c>
      <c r="C2439" t="s">
        <v>1014</v>
      </c>
      <c r="D2439" t="s">
        <v>1072</v>
      </c>
      <c r="F2439" t="str">
        <f>"252006"</f>
        <v>252006</v>
      </c>
      <c r="G2439" t="s">
        <v>49</v>
      </c>
      <c r="K2439" t="s">
        <v>51</v>
      </c>
      <c r="L2439" t="s">
        <v>52</v>
      </c>
      <c r="M2439">
        <v>131585.65700000001</v>
      </c>
      <c r="N2439">
        <v>474765.60399999999</v>
      </c>
      <c r="O2439" t="s">
        <v>53</v>
      </c>
      <c r="P2439" t="s">
        <v>54</v>
      </c>
      <c r="Q2439" t="s">
        <v>55</v>
      </c>
      <c r="T2439" t="s">
        <v>241</v>
      </c>
      <c r="U2439">
        <v>40</v>
      </c>
      <c r="V2439" s="1">
        <v>34700</v>
      </c>
      <c r="W2439" s="1">
        <v>34700</v>
      </c>
      <c r="X2439" s="1">
        <v>34700</v>
      </c>
      <c r="Y2439" s="1">
        <v>49310</v>
      </c>
      <c r="Z2439" t="s">
        <v>51</v>
      </c>
      <c r="AB2439" t="s">
        <v>54</v>
      </c>
      <c r="AC2439">
        <v>1</v>
      </c>
      <c r="AE2439" t="s">
        <v>222</v>
      </c>
      <c r="AF2439">
        <v>20</v>
      </c>
      <c r="AG2439" s="1">
        <v>34700</v>
      </c>
      <c r="AH2439" s="1">
        <v>34700</v>
      </c>
      <c r="AI2439" s="1">
        <v>34700</v>
      </c>
      <c r="AJ2439" s="1">
        <v>42005</v>
      </c>
      <c r="AK2439" t="s">
        <v>51</v>
      </c>
      <c r="AN2439">
        <v>0</v>
      </c>
      <c r="AO2439" t="s">
        <v>54</v>
      </c>
      <c r="AP2439" t="s">
        <v>53</v>
      </c>
      <c r="AQ2439">
        <v>0</v>
      </c>
      <c r="AR2439" t="s">
        <v>53</v>
      </c>
      <c r="AS2439">
        <v>0</v>
      </c>
      <c r="AT2439">
        <v>0</v>
      </c>
      <c r="AW2439" t="s">
        <v>58</v>
      </c>
      <c r="AX2439">
        <v>20</v>
      </c>
      <c r="AY2439" s="1">
        <v>34700</v>
      </c>
      <c r="AZ2439" s="1">
        <v>34700</v>
      </c>
      <c r="BA2439" s="1">
        <v>34700</v>
      </c>
      <c r="BB2439" s="1">
        <v>42005</v>
      </c>
      <c r="BC2439" t="s">
        <v>51</v>
      </c>
      <c r="BE2439" t="s">
        <v>54</v>
      </c>
      <c r="BF2439">
        <v>2</v>
      </c>
      <c r="BG2439">
        <v>0</v>
      </c>
      <c r="BH2439" t="s">
        <v>53</v>
      </c>
      <c r="BK2439" t="s">
        <v>59</v>
      </c>
      <c r="BL2439">
        <v>14000</v>
      </c>
      <c r="BM2439" s="1">
        <v>44314</v>
      </c>
      <c r="BN2439" s="1">
        <v>44314</v>
      </c>
      <c r="BO2439" s="1">
        <v>44314</v>
      </c>
      <c r="BP2439" s="1">
        <v>45537</v>
      </c>
      <c r="BQ2439" t="s">
        <v>51</v>
      </c>
      <c r="BS2439" t="s">
        <v>60</v>
      </c>
      <c r="BT2439" t="s">
        <v>54</v>
      </c>
      <c r="BU2439" t="s">
        <v>61</v>
      </c>
      <c r="BV2439" t="s">
        <v>62</v>
      </c>
      <c r="BX2439">
        <v>24</v>
      </c>
      <c r="BY2439">
        <v>0</v>
      </c>
      <c r="BZ2439">
        <v>0</v>
      </c>
    </row>
    <row r="2440" spans="1:112" x14ac:dyDescent="0.2">
      <c r="A2440" t="s">
        <v>1012</v>
      </c>
      <c r="B2440" t="s">
        <v>1013</v>
      </c>
      <c r="C2440" t="s">
        <v>1014</v>
      </c>
      <c r="D2440" t="s">
        <v>1072</v>
      </c>
      <c r="F2440" t="str">
        <f>"252007"</f>
        <v>252007</v>
      </c>
      <c r="G2440" t="s">
        <v>49</v>
      </c>
      <c r="K2440" t="s">
        <v>51</v>
      </c>
      <c r="L2440" t="s">
        <v>52</v>
      </c>
      <c r="M2440">
        <v>131554.14199999999</v>
      </c>
      <c r="N2440">
        <v>474769.40700000001</v>
      </c>
      <c r="O2440" t="s">
        <v>53</v>
      </c>
      <c r="P2440" t="s">
        <v>54</v>
      </c>
      <c r="Q2440" t="s">
        <v>55</v>
      </c>
      <c r="T2440" t="s">
        <v>241</v>
      </c>
      <c r="U2440">
        <v>40</v>
      </c>
      <c r="V2440" s="1">
        <v>32143</v>
      </c>
      <c r="W2440" s="1">
        <v>32143</v>
      </c>
      <c r="X2440" s="1">
        <v>32143</v>
      </c>
      <c r="Y2440" s="1">
        <v>46753</v>
      </c>
      <c r="Z2440" t="s">
        <v>51</v>
      </c>
      <c r="AB2440" t="s">
        <v>54</v>
      </c>
      <c r="AC2440">
        <v>1</v>
      </c>
      <c r="AE2440" t="s">
        <v>222</v>
      </c>
      <c r="AF2440">
        <v>20</v>
      </c>
      <c r="AG2440" s="1">
        <v>32143</v>
      </c>
      <c r="AH2440" s="1">
        <v>32143</v>
      </c>
      <c r="AI2440" s="1">
        <v>32143</v>
      </c>
      <c r="AJ2440" s="1">
        <v>39448</v>
      </c>
      <c r="AK2440" t="s">
        <v>51</v>
      </c>
      <c r="AN2440">
        <v>0</v>
      </c>
      <c r="AO2440" t="s">
        <v>54</v>
      </c>
      <c r="AP2440" t="s">
        <v>53</v>
      </c>
      <c r="AQ2440">
        <v>0</v>
      </c>
      <c r="AR2440" t="s">
        <v>53</v>
      </c>
      <c r="AS2440">
        <v>0</v>
      </c>
      <c r="AT2440">
        <v>0</v>
      </c>
      <c r="AW2440" t="s">
        <v>58</v>
      </c>
      <c r="AX2440">
        <v>20</v>
      </c>
      <c r="AY2440" s="1">
        <v>32143</v>
      </c>
      <c r="AZ2440" s="1">
        <v>32143</v>
      </c>
      <c r="BA2440" s="1">
        <v>32143</v>
      </c>
      <c r="BB2440" s="1">
        <v>39448</v>
      </c>
      <c r="BC2440" t="s">
        <v>51</v>
      </c>
      <c r="BE2440" t="s">
        <v>54</v>
      </c>
      <c r="BF2440">
        <v>2</v>
      </c>
      <c r="BG2440">
        <v>0</v>
      </c>
      <c r="BH2440" t="s">
        <v>53</v>
      </c>
      <c r="BK2440" t="s">
        <v>720</v>
      </c>
      <c r="BL2440">
        <v>17000</v>
      </c>
      <c r="BM2440" s="1">
        <v>44314</v>
      </c>
      <c r="BN2440" s="1">
        <v>44314</v>
      </c>
      <c r="BO2440" s="1">
        <v>44314</v>
      </c>
      <c r="BP2440" s="1">
        <v>45746</v>
      </c>
      <c r="BQ2440" t="s">
        <v>51</v>
      </c>
      <c r="BS2440" t="s">
        <v>60</v>
      </c>
      <c r="BT2440" t="s">
        <v>54</v>
      </c>
      <c r="BU2440" t="s">
        <v>721</v>
      </c>
      <c r="BV2440" t="s">
        <v>722</v>
      </c>
      <c r="BX2440">
        <v>18</v>
      </c>
      <c r="BY2440">
        <v>0</v>
      </c>
      <c r="BZ2440">
        <v>0</v>
      </c>
    </row>
    <row r="2441" spans="1:112" x14ac:dyDescent="0.2">
      <c r="A2441" t="s">
        <v>1012</v>
      </c>
      <c r="B2441" t="s">
        <v>1013</v>
      </c>
      <c r="C2441" t="s">
        <v>1014</v>
      </c>
      <c r="D2441" t="s">
        <v>1072</v>
      </c>
      <c r="F2441" t="str">
        <f>"252008"</f>
        <v>252008</v>
      </c>
      <c r="G2441" t="s">
        <v>49</v>
      </c>
      <c r="K2441" t="s">
        <v>51</v>
      </c>
      <c r="L2441" t="s">
        <v>52</v>
      </c>
      <c r="M2441">
        <v>131526.296</v>
      </c>
      <c r="N2441">
        <v>474773.24099999998</v>
      </c>
      <c r="O2441" t="s">
        <v>53</v>
      </c>
      <c r="P2441" t="s">
        <v>54</v>
      </c>
      <c r="Q2441" t="s">
        <v>55</v>
      </c>
      <c r="T2441" t="s">
        <v>241</v>
      </c>
      <c r="U2441">
        <v>40</v>
      </c>
      <c r="V2441" s="1">
        <v>32143</v>
      </c>
      <c r="W2441" s="1">
        <v>32143</v>
      </c>
      <c r="X2441" s="1">
        <v>32143</v>
      </c>
      <c r="Y2441" s="1">
        <v>46753</v>
      </c>
      <c r="Z2441" t="s">
        <v>51</v>
      </c>
      <c r="AB2441" t="s">
        <v>54</v>
      </c>
      <c r="AC2441">
        <v>1</v>
      </c>
      <c r="AE2441" t="s">
        <v>222</v>
      </c>
      <c r="AF2441">
        <v>20</v>
      </c>
      <c r="AG2441" s="1">
        <v>32143</v>
      </c>
      <c r="AH2441" s="1">
        <v>32143</v>
      </c>
      <c r="AI2441" s="1">
        <v>32143</v>
      </c>
      <c r="AJ2441" s="1">
        <v>39448</v>
      </c>
      <c r="AK2441" t="s">
        <v>51</v>
      </c>
      <c r="AN2441">
        <v>0</v>
      </c>
      <c r="AO2441" t="s">
        <v>54</v>
      </c>
      <c r="AP2441" t="s">
        <v>53</v>
      </c>
      <c r="AQ2441">
        <v>0</v>
      </c>
      <c r="AR2441" t="s">
        <v>53</v>
      </c>
      <c r="AS2441">
        <v>0</v>
      </c>
      <c r="AT2441">
        <v>0</v>
      </c>
      <c r="AW2441" t="s">
        <v>58</v>
      </c>
      <c r="AX2441">
        <v>20</v>
      </c>
      <c r="AY2441" s="1">
        <v>32143</v>
      </c>
      <c r="AZ2441" s="1">
        <v>32143</v>
      </c>
      <c r="BA2441" s="1">
        <v>32143</v>
      </c>
      <c r="BB2441" s="1">
        <v>39448</v>
      </c>
      <c r="BC2441" t="s">
        <v>51</v>
      </c>
      <c r="BE2441" t="s">
        <v>54</v>
      </c>
      <c r="BF2441">
        <v>2</v>
      </c>
      <c r="BG2441">
        <v>0</v>
      </c>
      <c r="BH2441" t="s">
        <v>53</v>
      </c>
      <c r="BK2441" t="s">
        <v>720</v>
      </c>
      <c r="BL2441">
        <v>17000</v>
      </c>
      <c r="BM2441" s="1">
        <v>44314</v>
      </c>
      <c r="BN2441" s="1">
        <v>44314</v>
      </c>
      <c r="BO2441" s="1">
        <v>44314</v>
      </c>
      <c r="BP2441" s="1">
        <v>45746</v>
      </c>
      <c r="BQ2441" t="s">
        <v>51</v>
      </c>
      <c r="BS2441" t="s">
        <v>60</v>
      </c>
      <c r="BT2441" t="s">
        <v>54</v>
      </c>
      <c r="BU2441" t="s">
        <v>721</v>
      </c>
      <c r="BV2441" t="s">
        <v>722</v>
      </c>
      <c r="BX2441">
        <v>18</v>
      </c>
      <c r="BY2441">
        <v>0</v>
      </c>
      <c r="BZ2441">
        <v>0</v>
      </c>
    </row>
    <row r="2442" spans="1:112" x14ac:dyDescent="0.2">
      <c r="A2442" t="s">
        <v>1012</v>
      </c>
      <c r="B2442" t="s">
        <v>1013</v>
      </c>
      <c r="C2442" t="s">
        <v>1014</v>
      </c>
      <c r="D2442" t="s">
        <v>1072</v>
      </c>
      <c r="F2442" t="str">
        <f>"252009"</f>
        <v>252009</v>
      </c>
      <c r="G2442" t="s">
        <v>49</v>
      </c>
      <c r="K2442" t="s">
        <v>51</v>
      </c>
      <c r="L2442" t="s">
        <v>52</v>
      </c>
      <c r="M2442">
        <v>131498.20000000001</v>
      </c>
      <c r="N2442">
        <v>474776.76</v>
      </c>
      <c r="O2442" t="s">
        <v>53</v>
      </c>
      <c r="P2442" t="s">
        <v>54</v>
      </c>
      <c r="Q2442" t="s">
        <v>55</v>
      </c>
      <c r="T2442" t="s">
        <v>241</v>
      </c>
      <c r="U2442">
        <v>40</v>
      </c>
      <c r="V2442" s="1">
        <v>32143</v>
      </c>
      <c r="W2442" s="1">
        <v>32143</v>
      </c>
      <c r="X2442" s="1">
        <v>32143</v>
      </c>
      <c r="Y2442" s="1">
        <v>46753</v>
      </c>
      <c r="Z2442" t="s">
        <v>51</v>
      </c>
      <c r="AB2442" t="s">
        <v>54</v>
      </c>
      <c r="AC2442">
        <v>1</v>
      </c>
      <c r="AE2442" t="s">
        <v>222</v>
      </c>
      <c r="AF2442">
        <v>20</v>
      </c>
      <c r="AG2442" s="1">
        <v>32143</v>
      </c>
      <c r="AH2442" s="1">
        <v>32143</v>
      </c>
      <c r="AI2442" s="1">
        <v>32143</v>
      </c>
      <c r="AJ2442" s="1">
        <v>39448</v>
      </c>
      <c r="AK2442" t="s">
        <v>51</v>
      </c>
      <c r="AN2442">
        <v>0</v>
      </c>
      <c r="AO2442" t="s">
        <v>54</v>
      </c>
      <c r="AP2442" t="s">
        <v>53</v>
      </c>
      <c r="AQ2442">
        <v>0</v>
      </c>
      <c r="AR2442" t="s">
        <v>53</v>
      </c>
      <c r="AS2442">
        <v>0</v>
      </c>
      <c r="AT2442">
        <v>0</v>
      </c>
      <c r="AW2442" t="s">
        <v>58</v>
      </c>
      <c r="AX2442">
        <v>20</v>
      </c>
      <c r="AY2442" s="1">
        <v>32143</v>
      </c>
      <c r="AZ2442" s="1">
        <v>32143</v>
      </c>
      <c r="BA2442" s="1">
        <v>32143</v>
      </c>
      <c r="BB2442" s="1">
        <v>39448</v>
      </c>
      <c r="BC2442" t="s">
        <v>51</v>
      </c>
      <c r="BE2442" t="s">
        <v>54</v>
      </c>
      <c r="BF2442">
        <v>2</v>
      </c>
      <c r="BG2442">
        <v>0</v>
      </c>
      <c r="BH2442" t="s">
        <v>53</v>
      </c>
      <c r="BK2442" t="s">
        <v>65</v>
      </c>
      <c r="BL2442">
        <v>14000</v>
      </c>
      <c r="BM2442" s="1">
        <v>41456</v>
      </c>
      <c r="BN2442" s="1">
        <v>41456</v>
      </c>
      <c r="BO2442" s="1">
        <v>41456</v>
      </c>
      <c r="BP2442" s="1">
        <v>42656</v>
      </c>
      <c r="BQ2442" t="s">
        <v>51</v>
      </c>
      <c r="BS2442" t="s">
        <v>60</v>
      </c>
      <c r="BT2442" t="s">
        <v>54</v>
      </c>
      <c r="BU2442" t="s">
        <v>61</v>
      </c>
      <c r="BV2442" t="s">
        <v>62</v>
      </c>
      <c r="BX2442">
        <v>36</v>
      </c>
      <c r="BY2442">
        <v>0</v>
      </c>
      <c r="BZ2442">
        <v>0</v>
      </c>
    </row>
    <row r="2443" spans="1:112" x14ac:dyDescent="0.2">
      <c r="A2443" t="s">
        <v>1012</v>
      </c>
      <c r="B2443" t="s">
        <v>1013</v>
      </c>
      <c r="C2443" t="s">
        <v>1014</v>
      </c>
      <c r="D2443" t="s">
        <v>1072</v>
      </c>
      <c r="F2443" t="str">
        <f>"252010"</f>
        <v>252010</v>
      </c>
      <c r="G2443" t="s">
        <v>49</v>
      </c>
      <c r="K2443" t="s">
        <v>51</v>
      </c>
      <c r="L2443" t="s">
        <v>52</v>
      </c>
      <c r="M2443">
        <v>131469.89000000001</v>
      </c>
      <c r="N2443">
        <v>474781.13</v>
      </c>
      <c r="O2443" t="s">
        <v>53</v>
      </c>
      <c r="P2443" t="s">
        <v>54</v>
      </c>
      <c r="Q2443" t="s">
        <v>55</v>
      </c>
      <c r="T2443" t="s">
        <v>241</v>
      </c>
      <c r="U2443">
        <v>40</v>
      </c>
      <c r="V2443" s="1">
        <v>32143</v>
      </c>
      <c r="W2443" s="1">
        <v>32143</v>
      </c>
      <c r="X2443" s="1">
        <v>32143</v>
      </c>
      <c r="Y2443" s="1">
        <v>46753</v>
      </c>
      <c r="Z2443" t="s">
        <v>51</v>
      </c>
      <c r="AB2443" t="s">
        <v>54</v>
      </c>
      <c r="AC2443">
        <v>1</v>
      </c>
      <c r="AE2443" t="s">
        <v>222</v>
      </c>
      <c r="AF2443">
        <v>20</v>
      </c>
      <c r="AG2443" s="1">
        <v>32143</v>
      </c>
      <c r="AH2443" s="1">
        <v>32143</v>
      </c>
      <c r="AI2443" s="1">
        <v>32143</v>
      </c>
      <c r="AJ2443" s="1">
        <v>39448</v>
      </c>
      <c r="AK2443" t="s">
        <v>51</v>
      </c>
      <c r="AN2443">
        <v>0</v>
      </c>
      <c r="AO2443" t="s">
        <v>54</v>
      </c>
      <c r="AP2443" t="s">
        <v>53</v>
      </c>
      <c r="AQ2443">
        <v>0</v>
      </c>
      <c r="AR2443" t="s">
        <v>53</v>
      </c>
      <c r="AS2443">
        <v>0</v>
      </c>
      <c r="AT2443">
        <v>0</v>
      </c>
      <c r="AW2443" t="s">
        <v>58</v>
      </c>
      <c r="AX2443">
        <v>20</v>
      </c>
      <c r="AY2443" s="1">
        <v>32143</v>
      </c>
      <c r="AZ2443" s="1">
        <v>32143</v>
      </c>
      <c r="BA2443" s="1">
        <v>32143</v>
      </c>
      <c r="BB2443" s="1">
        <v>39448</v>
      </c>
      <c r="BC2443" t="s">
        <v>51</v>
      </c>
      <c r="BE2443" t="s">
        <v>54</v>
      </c>
      <c r="BF2443">
        <v>2</v>
      </c>
      <c r="BG2443">
        <v>0</v>
      </c>
      <c r="BH2443" t="s">
        <v>53</v>
      </c>
      <c r="BK2443" t="s">
        <v>65</v>
      </c>
      <c r="BL2443">
        <v>14000</v>
      </c>
      <c r="BM2443" s="1">
        <v>44320</v>
      </c>
      <c r="BN2443" s="1">
        <v>44320</v>
      </c>
      <c r="BO2443" s="1">
        <v>44320</v>
      </c>
      <c r="BP2443" s="1">
        <v>45542</v>
      </c>
      <c r="BQ2443" t="s">
        <v>51</v>
      </c>
      <c r="BS2443" t="s">
        <v>60</v>
      </c>
      <c r="BT2443" t="s">
        <v>54</v>
      </c>
      <c r="BU2443" t="s">
        <v>61</v>
      </c>
      <c r="BV2443" t="s">
        <v>62</v>
      </c>
      <c r="BX2443">
        <v>36</v>
      </c>
      <c r="BY2443">
        <v>0</v>
      </c>
      <c r="BZ2443">
        <v>0</v>
      </c>
    </row>
    <row r="2444" spans="1:112" x14ac:dyDescent="0.2">
      <c r="A2444" t="s">
        <v>1012</v>
      </c>
      <c r="B2444" t="s">
        <v>1013</v>
      </c>
      <c r="C2444" t="s">
        <v>1014</v>
      </c>
      <c r="D2444" t="s">
        <v>1072</v>
      </c>
      <c r="F2444" t="str">
        <f>"252011"</f>
        <v>252011</v>
      </c>
      <c r="G2444" t="s">
        <v>49</v>
      </c>
      <c r="K2444" t="s">
        <v>51</v>
      </c>
      <c r="L2444" t="s">
        <v>52</v>
      </c>
      <c r="M2444">
        <v>131440.70000000001</v>
      </c>
      <c r="N2444">
        <v>474782.03</v>
      </c>
      <c r="O2444" t="s">
        <v>53</v>
      </c>
      <c r="P2444" t="s">
        <v>54</v>
      </c>
      <c r="Q2444" t="s">
        <v>55</v>
      </c>
      <c r="T2444" t="s">
        <v>241</v>
      </c>
      <c r="U2444">
        <v>40</v>
      </c>
      <c r="V2444" s="1">
        <v>32143</v>
      </c>
      <c r="W2444" s="1">
        <v>32143</v>
      </c>
      <c r="X2444" s="1">
        <v>32143</v>
      </c>
      <c r="Y2444" s="1">
        <v>46753</v>
      </c>
      <c r="Z2444" t="s">
        <v>51</v>
      </c>
      <c r="AB2444" t="s">
        <v>54</v>
      </c>
      <c r="AC2444">
        <v>1</v>
      </c>
      <c r="AE2444" t="s">
        <v>222</v>
      </c>
      <c r="AF2444">
        <v>20</v>
      </c>
      <c r="AG2444" s="1">
        <v>32143</v>
      </c>
      <c r="AH2444" s="1">
        <v>32143</v>
      </c>
      <c r="AI2444" s="1">
        <v>32143</v>
      </c>
      <c r="AJ2444" s="1">
        <v>39448</v>
      </c>
      <c r="AK2444" t="s">
        <v>51</v>
      </c>
      <c r="AN2444">
        <v>0</v>
      </c>
      <c r="AO2444" t="s">
        <v>54</v>
      </c>
      <c r="AP2444" t="s">
        <v>53</v>
      </c>
      <c r="AQ2444">
        <v>0</v>
      </c>
      <c r="AR2444" t="s">
        <v>53</v>
      </c>
      <c r="AS2444">
        <v>0</v>
      </c>
      <c r="AT2444">
        <v>0</v>
      </c>
      <c r="AW2444" t="s">
        <v>58</v>
      </c>
      <c r="AX2444">
        <v>20</v>
      </c>
      <c r="AY2444" s="1">
        <v>32143</v>
      </c>
      <c r="AZ2444" s="1">
        <v>32143</v>
      </c>
      <c r="BA2444" s="1">
        <v>32143</v>
      </c>
      <c r="BB2444" s="1">
        <v>39448</v>
      </c>
      <c r="BC2444" t="s">
        <v>51</v>
      </c>
      <c r="BE2444" t="s">
        <v>54</v>
      </c>
      <c r="BF2444">
        <v>2</v>
      </c>
      <c r="BG2444">
        <v>0</v>
      </c>
      <c r="BH2444" t="s">
        <v>53</v>
      </c>
      <c r="BK2444" t="s">
        <v>720</v>
      </c>
      <c r="BL2444">
        <v>17000</v>
      </c>
      <c r="BM2444" s="1">
        <v>44314</v>
      </c>
      <c r="BN2444" s="1">
        <v>44314</v>
      </c>
      <c r="BO2444" s="1">
        <v>44314</v>
      </c>
      <c r="BP2444" s="1">
        <v>45746</v>
      </c>
      <c r="BQ2444" t="s">
        <v>51</v>
      </c>
      <c r="BS2444" t="s">
        <v>60</v>
      </c>
      <c r="BT2444" t="s">
        <v>54</v>
      </c>
      <c r="BU2444" t="s">
        <v>721</v>
      </c>
      <c r="BV2444" t="s">
        <v>722</v>
      </c>
      <c r="BX2444">
        <v>18</v>
      </c>
      <c r="BY2444">
        <v>0</v>
      </c>
      <c r="BZ2444">
        <v>0</v>
      </c>
    </row>
    <row r="2445" spans="1:112" x14ac:dyDescent="0.2">
      <c r="A2445" t="s">
        <v>1012</v>
      </c>
      <c r="B2445" t="s">
        <v>1013</v>
      </c>
      <c r="C2445" t="s">
        <v>1014</v>
      </c>
      <c r="D2445" t="s">
        <v>1072</v>
      </c>
      <c r="F2445" t="str">
        <f>"252012"</f>
        <v>252012</v>
      </c>
      <c r="G2445" t="s">
        <v>49</v>
      </c>
      <c r="K2445" t="s">
        <v>51</v>
      </c>
      <c r="L2445" t="s">
        <v>52</v>
      </c>
      <c r="M2445">
        <v>131458.16899999999</v>
      </c>
      <c r="N2445">
        <v>474756.87800000003</v>
      </c>
      <c r="O2445" t="s">
        <v>53</v>
      </c>
      <c r="P2445" t="s">
        <v>54</v>
      </c>
      <c r="Q2445" t="s">
        <v>55</v>
      </c>
      <c r="T2445" t="s">
        <v>241</v>
      </c>
      <c r="U2445">
        <v>40</v>
      </c>
      <c r="V2445" s="1">
        <v>32143</v>
      </c>
      <c r="W2445" s="1">
        <v>32143</v>
      </c>
      <c r="X2445" s="1">
        <v>32143</v>
      </c>
      <c r="Y2445" s="1">
        <v>46753</v>
      </c>
      <c r="Z2445" t="s">
        <v>51</v>
      </c>
      <c r="AB2445" t="s">
        <v>54</v>
      </c>
      <c r="AC2445">
        <v>1</v>
      </c>
      <c r="AE2445" t="s">
        <v>222</v>
      </c>
      <c r="AF2445">
        <v>20</v>
      </c>
      <c r="AG2445" s="1">
        <v>32143</v>
      </c>
      <c r="AH2445" s="1">
        <v>32143</v>
      </c>
      <c r="AI2445" s="1">
        <v>32143</v>
      </c>
      <c r="AJ2445" s="1">
        <v>39448</v>
      </c>
      <c r="AK2445" t="s">
        <v>51</v>
      </c>
      <c r="AN2445">
        <v>0</v>
      </c>
      <c r="AO2445" t="s">
        <v>54</v>
      </c>
      <c r="AP2445" t="s">
        <v>53</v>
      </c>
      <c r="AQ2445">
        <v>0</v>
      </c>
      <c r="AR2445" t="s">
        <v>53</v>
      </c>
      <c r="AS2445">
        <v>0</v>
      </c>
      <c r="AT2445">
        <v>0</v>
      </c>
      <c r="AW2445" t="s">
        <v>58</v>
      </c>
      <c r="AX2445">
        <v>20</v>
      </c>
      <c r="AY2445" s="1">
        <v>32143</v>
      </c>
      <c r="AZ2445" s="1">
        <v>32143</v>
      </c>
      <c r="BA2445" s="1">
        <v>32143</v>
      </c>
      <c r="BB2445" s="1">
        <v>39448</v>
      </c>
      <c r="BC2445" t="s">
        <v>51</v>
      </c>
      <c r="BE2445" t="s">
        <v>54</v>
      </c>
      <c r="BF2445">
        <v>2</v>
      </c>
      <c r="BG2445">
        <v>0</v>
      </c>
      <c r="BH2445" t="s">
        <v>53</v>
      </c>
      <c r="BK2445" t="s">
        <v>65</v>
      </c>
      <c r="BL2445">
        <v>14000</v>
      </c>
      <c r="BM2445" s="1">
        <v>44320</v>
      </c>
      <c r="BN2445" s="1">
        <v>44320</v>
      </c>
      <c r="BO2445" s="1">
        <v>44320</v>
      </c>
      <c r="BP2445" s="1">
        <v>45542</v>
      </c>
      <c r="BQ2445" t="s">
        <v>51</v>
      </c>
      <c r="BS2445" t="s">
        <v>60</v>
      </c>
      <c r="BT2445" t="s">
        <v>54</v>
      </c>
      <c r="BU2445" t="s">
        <v>61</v>
      </c>
      <c r="BV2445" t="s">
        <v>62</v>
      </c>
      <c r="BX2445">
        <v>36</v>
      </c>
      <c r="BY2445">
        <v>0</v>
      </c>
      <c r="BZ2445">
        <v>0</v>
      </c>
    </row>
    <row r="2446" spans="1:112" x14ac:dyDescent="0.2">
      <c r="A2446" t="s">
        <v>1012</v>
      </c>
      <c r="B2446" t="s">
        <v>1013</v>
      </c>
      <c r="C2446" t="s">
        <v>1014</v>
      </c>
      <c r="D2446" t="s">
        <v>1072</v>
      </c>
      <c r="F2446" t="str">
        <f>"252013"</f>
        <v>252013</v>
      </c>
      <c r="G2446" t="s">
        <v>49</v>
      </c>
      <c r="K2446" t="s">
        <v>51</v>
      </c>
      <c r="L2446" t="s">
        <v>52</v>
      </c>
      <c r="M2446">
        <v>131484.98000000001</v>
      </c>
      <c r="N2446">
        <v>474764.45</v>
      </c>
      <c r="O2446" t="s">
        <v>53</v>
      </c>
      <c r="P2446" t="s">
        <v>54</v>
      </c>
      <c r="Q2446" t="s">
        <v>55</v>
      </c>
      <c r="T2446" t="s">
        <v>241</v>
      </c>
      <c r="U2446">
        <v>40</v>
      </c>
      <c r="V2446" s="1">
        <v>32143</v>
      </c>
      <c r="W2446" s="1">
        <v>32143</v>
      </c>
      <c r="X2446" s="1">
        <v>32143</v>
      </c>
      <c r="Y2446" s="1">
        <v>46753</v>
      </c>
      <c r="Z2446" t="s">
        <v>51</v>
      </c>
      <c r="AB2446" t="s">
        <v>54</v>
      </c>
      <c r="AC2446">
        <v>1</v>
      </c>
      <c r="AE2446" t="s">
        <v>222</v>
      </c>
      <c r="AF2446">
        <v>20</v>
      </c>
      <c r="AG2446" s="1">
        <v>32143</v>
      </c>
      <c r="AH2446" s="1">
        <v>32143</v>
      </c>
      <c r="AI2446" s="1">
        <v>32143</v>
      </c>
      <c r="AJ2446" s="1">
        <v>39448</v>
      </c>
      <c r="AK2446" t="s">
        <v>51</v>
      </c>
      <c r="AN2446">
        <v>0</v>
      </c>
      <c r="AO2446" t="s">
        <v>54</v>
      </c>
      <c r="AP2446" t="s">
        <v>53</v>
      </c>
      <c r="AQ2446">
        <v>0</v>
      </c>
      <c r="AR2446" t="s">
        <v>53</v>
      </c>
      <c r="AS2446">
        <v>0</v>
      </c>
      <c r="AT2446">
        <v>0</v>
      </c>
      <c r="AW2446" t="s">
        <v>58</v>
      </c>
      <c r="AX2446">
        <v>20</v>
      </c>
      <c r="AY2446" s="1">
        <v>32143</v>
      </c>
      <c r="AZ2446" s="1">
        <v>32143</v>
      </c>
      <c r="BA2446" s="1">
        <v>32143</v>
      </c>
      <c r="BB2446" s="1">
        <v>39448</v>
      </c>
      <c r="BC2446" t="s">
        <v>51</v>
      </c>
      <c r="BE2446" t="s">
        <v>54</v>
      </c>
      <c r="BF2446">
        <v>2</v>
      </c>
      <c r="BG2446">
        <v>0</v>
      </c>
      <c r="BH2446" t="s">
        <v>53</v>
      </c>
      <c r="BK2446" t="s">
        <v>65</v>
      </c>
      <c r="BL2446">
        <v>14000</v>
      </c>
      <c r="BM2446" s="1">
        <v>44320</v>
      </c>
      <c r="BN2446" s="1">
        <v>44320</v>
      </c>
      <c r="BO2446" s="1">
        <v>44320</v>
      </c>
      <c r="BP2446" s="1">
        <v>45542</v>
      </c>
      <c r="BQ2446" t="s">
        <v>51</v>
      </c>
      <c r="BS2446" t="s">
        <v>60</v>
      </c>
      <c r="BT2446" t="s">
        <v>54</v>
      </c>
      <c r="BU2446" t="s">
        <v>61</v>
      </c>
      <c r="BV2446" t="s">
        <v>62</v>
      </c>
      <c r="BX2446">
        <v>36</v>
      </c>
      <c r="BY2446">
        <v>0</v>
      </c>
      <c r="BZ2446">
        <v>0</v>
      </c>
    </row>
    <row r="2447" spans="1:112" x14ac:dyDescent="0.2">
      <c r="A2447" t="s">
        <v>1012</v>
      </c>
      <c r="B2447" t="s">
        <v>1013</v>
      </c>
      <c r="C2447" t="s">
        <v>1014</v>
      </c>
      <c r="D2447" t="s">
        <v>1072</v>
      </c>
      <c r="F2447" t="str">
        <f>"252014"</f>
        <v>252014</v>
      </c>
      <c r="G2447" t="s">
        <v>49</v>
      </c>
      <c r="K2447" t="s">
        <v>51</v>
      </c>
      <c r="L2447" t="s">
        <v>52</v>
      </c>
      <c r="M2447">
        <v>131583.59</v>
      </c>
      <c r="N2447">
        <v>474734.49</v>
      </c>
      <c r="O2447" t="s">
        <v>53</v>
      </c>
      <c r="P2447" t="s">
        <v>54</v>
      </c>
      <c r="Q2447" t="s">
        <v>55</v>
      </c>
      <c r="T2447" t="s">
        <v>1095</v>
      </c>
      <c r="U2447">
        <v>40</v>
      </c>
      <c r="V2447" s="1">
        <v>34700</v>
      </c>
      <c r="W2447" s="1">
        <v>34700</v>
      </c>
      <c r="X2447" s="1">
        <v>34700</v>
      </c>
      <c r="Y2447" s="1">
        <v>49310</v>
      </c>
      <c r="Z2447" t="s">
        <v>51</v>
      </c>
      <c r="AB2447" t="s">
        <v>54</v>
      </c>
      <c r="AC2447">
        <v>1</v>
      </c>
      <c r="AE2447" t="s">
        <v>222</v>
      </c>
      <c r="AF2447">
        <v>20</v>
      </c>
      <c r="AG2447" s="1">
        <v>34700</v>
      </c>
      <c r="AH2447" s="1">
        <v>34700</v>
      </c>
      <c r="AI2447" s="1">
        <v>34700</v>
      </c>
      <c r="AJ2447" s="1">
        <v>42005</v>
      </c>
      <c r="AK2447" t="s">
        <v>51</v>
      </c>
      <c r="AN2447">
        <v>0</v>
      </c>
      <c r="AO2447" t="s">
        <v>54</v>
      </c>
      <c r="AP2447" t="s">
        <v>53</v>
      </c>
      <c r="AQ2447">
        <v>0</v>
      </c>
      <c r="AR2447" t="s">
        <v>53</v>
      </c>
      <c r="AS2447">
        <v>0</v>
      </c>
      <c r="AT2447">
        <v>0</v>
      </c>
      <c r="AW2447" t="s">
        <v>58</v>
      </c>
      <c r="AX2447">
        <v>20</v>
      </c>
      <c r="AY2447" s="1">
        <v>34700</v>
      </c>
      <c r="AZ2447" s="1">
        <v>34700</v>
      </c>
      <c r="BA2447" s="1">
        <v>34700</v>
      </c>
      <c r="BB2447" s="1">
        <v>42005</v>
      </c>
      <c r="BC2447" t="s">
        <v>51</v>
      </c>
      <c r="BE2447" t="s">
        <v>54</v>
      </c>
      <c r="BF2447">
        <v>2</v>
      </c>
      <c r="BG2447">
        <v>0</v>
      </c>
      <c r="BH2447" t="s">
        <v>53</v>
      </c>
      <c r="BK2447" t="s">
        <v>720</v>
      </c>
      <c r="BL2447">
        <v>17000</v>
      </c>
      <c r="BM2447" s="1">
        <v>44314</v>
      </c>
      <c r="BN2447" s="1">
        <v>44314</v>
      </c>
      <c r="BO2447" s="1">
        <v>44314</v>
      </c>
      <c r="BP2447" s="1">
        <v>45746</v>
      </c>
      <c r="BQ2447" t="s">
        <v>51</v>
      </c>
      <c r="BS2447" t="s">
        <v>60</v>
      </c>
      <c r="BT2447" t="s">
        <v>54</v>
      </c>
      <c r="BU2447" t="s">
        <v>721</v>
      </c>
      <c r="BV2447" t="s">
        <v>722</v>
      </c>
      <c r="BX2447">
        <v>18</v>
      </c>
      <c r="BY2447">
        <v>0</v>
      </c>
      <c r="BZ2447">
        <v>0</v>
      </c>
    </row>
    <row r="2448" spans="1:112" x14ac:dyDescent="0.2">
      <c r="A2448" t="s">
        <v>1012</v>
      </c>
      <c r="B2448" t="s">
        <v>1013</v>
      </c>
      <c r="C2448" t="s">
        <v>1014</v>
      </c>
      <c r="D2448" t="s">
        <v>1072</v>
      </c>
      <c r="F2448" t="str">
        <f>"252015"</f>
        <v>252015</v>
      </c>
      <c r="G2448" t="s">
        <v>49</v>
      </c>
      <c r="K2448" t="s">
        <v>51</v>
      </c>
      <c r="L2448" t="s">
        <v>52</v>
      </c>
      <c r="M2448">
        <v>131580.20000000001</v>
      </c>
      <c r="N2448">
        <v>474703.53</v>
      </c>
      <c r="O2448" t="s">
        <v>53</v>
      </c>
      <c r="P2448" t="s">
        <v>54</v>
      </c>
      <c r="Q2448" t="s">
        <v>55</v>
      </c>
      <c r="T2448" t="s">
        <v>100</v>
      </c>
      <c r="U2448">
        <v>40</v>
      </c>
      <c r="V2448" s="1">
        <v>34700</v>
      </c>
      <c r="W2448" s="1">
        <v>34700</v>
      </c>
      <c r="X2448" s="1">
        <v>34700</v>
      </c>
      <c r="Y2448" s="1">
        <v>49310</v>
      </c>
      <c r="Z2448" t="s">
        <v>51</v>
      </c>
      <c r="AB2448" t="s">
        <v>54</v>
      </c>
      <c r="AC2448">
        <v>1</v>
      </c>
      <c r="AE2448" t="s">
        <v>819</v>
      </c>
      <c r="AF2448">
        <v>20</v>
      </c>
      <c r="AG2448" s="1">
        <v>34700</v>
      </c>
      <c r="AH2448" s="1">
        <v>34700</v>
      </c>
      <c r="AI2448" s="1">
        <v>34700</v>
      </c>
      <c r="AJ2448" s="1">
        <v>42005</v>
      </c>
      <c r="AK2448" t="s">
        <v>51</v>
      </c>
      <c r="AN2448">
        <v>0</v>
      </c>
      <c r="AO2448" t="s">
        <v>54</v>
      </c>
      <c r="AP2448" t="s">
        <v>53</v>
      </c>
      <c r="AQ2448">
        <v>0</v>
      </c>
      <c r="AR2448" t="s">
        <v>53</v>
      </c>
      <c r="AS2448">
        <v>0</v>
      </c>
      <c r="AT2448">
        <v>0</v>
      </c>
      <c r="AW2448" t="s">
        <v>161</v>
      </c>
      <c r="AX2448">
        <v>50</v>
      </c>
      <c r="AY2448" s="1">
        <v>34700</v>
      </c>
      <c r="AZ2448" s="1">
        <v>34700</v>
      </c>
      <c r="BA2448" s="1">
        <v>34700</v>
      </c>
      <c r="BB2448" s="1">
        <v>52963</v>
      </c>
      <c r="BC2448" t="s">
        <v>51</v>
      </c>
      <c r="BE2448" t="s">
        <v>54</v>
      </c>
      <c r="BF2448">
        <v>0</v>
      </c>
      <c r="BG2448">
        <v>0</v>
      </c>
      <c r="BH2448" t="s">
        <v>53</v>
      </c>
      <c r="BK2448" t="s">
        <v>720</v>
      </c>
      <c r="BL2448">
        <v>17000</v>
      </c>
      <c r="BM2448" s="1">
        <v>44949</v>
      </c>
      <c r="BN2448" s="1">
        <v>44949</v>
      </c>
      <c r="BO2448" s="1">
        <v>44949</v>
      </c>
      <c r="BP2448" s="1">
        <v>46392</v>
      </c>
      <c r="BQ2448" t="s">
        <v>51</v>
      </c>
      <c r="BS2448" t="s">
        <v>60</v>
      </c>
      <c r="BT2448" t="s">
        <v>54</v>
      </c>
      <c r="BU2448" t="s">
        <v>721</v>
      </c>
      <c r="BV2448" t="s">
        <v>722</v>
      </c>
      <c r="BX2448">
        <v>18</v>
      </c>
      <c r="BY2448">
        <v>0</v>
      </c>
      <c r="BZ2448">
        <v>0</v>
      </c>
      <c r="CX2448" t="s">
        <v>674</v>
      </c>
      <c r="CY2448">
        <v>0</v>
      </c>
      <c r="CZ2448" s="1">
        <v>44320</v>
      </c>
      <c r="DA2448" s="1">
        <v>44320</v>
      </c>
      <c r="DB2448" s="1">
        <v>44320</v>
      </c>
      <c r="DC2448" s="1">
        <v>44320</v>
      </c>
      <c r="DD2448" t="s">
        <v>51</v>
      </c>
      <c r="DF2448" t="s">
        <v>54</v>
      </c>
      <c r="DG2448">
        <v>0</v>
      </c>
      <c r="DH2448">
        <v>0</v>
      </c>
    </row>
    <row r="2449" spans="1:112" x14ac:dyDescent="0.2">
      <c r="A2449" t="s">
        <v>1012</v>
      </c>
      <c r="B2449" t="s">
        <v>1013</v>
      </c>
      <c r="C2449" t="s">
        <v>1014</v>
      </c>
      <c r="D2449" t="s">
        <v>1072</v>
      </c>
      <c r="F2449" t="str">
        <f>"252016"</f>
        <v>252016</v>
      </c>
      <c r="G2449" t="s">
        <v>49</v>
      </c>
      <c r="K2449" t="s">
        <v>51</v>
      </c>
      <c r="L2449" t="s">
        <v>52</v>
      </c>
      <c r="M2449">
        <v>131574.26</v>
      </c>
      <c r="N2449">
        <v>474674.94</v>
      </c>
      <c r="O2449" t="s">
        <v>53</v>
      </c>
      <c r="P2449" t="s">
        <v>54</v>
      </c>
      <c r="Q2449" t="s">
        <v>55</v>
      </c>
      <c r="T2449" t="s">
        <v>100</v>
      </c>
      <c r="U2449">
        <v>40</v>
      </c>
      <c r="V2449" s="1">
        <v>34700</v>
      </c>
      <c r="W2449" s="1">
        <v>34700</v>
      </c>
      <c r="X2449" s="1">
        <v>34700</v>
      </c>
      <c r="Y2449" s="1">
        <v>49310</v>
      </c>
      <c r="Z2449" t="s">
        <v>51</v>
      </c>
      <c r="AB2449" t="s">
        <v>54</v>
      </c>
      <c r="AC2449">
        <v>1</v>
      </c>
      <c r="AE2449" t="s">
        <v>819</v>
      </c>
      <c r="AF2449">
        <v>20</v>
      </c>
      <c r="AG2449" s="1">
        <v>34700</v>
      </c>
      <c r="AH2449" s="1">
        <v>34700</v>
      </c>
      <c r="AI2449" s="1">
        <v>34700</v>
      </c>
      <c r="AJ2449" s="1">
        <v>42005</v>
      </c>
      <c r="AK2449" t="s">
        <v>51</v>
      </c>
      <c r="AN2449">
        <v>0</v>
      </c>
      <c r="AO2449" t="s">
        <v>54</v>
      </c>
      <c r="AP2449" t="s">
        <v>53</v>
      </c>
      <c r="AQ2449">
        <v>0</v>
      </c>
      <c r="AR2449" t="s">
        <v>53</v>
      </c>
      <c r="AS2449">
        <v>0</v>
      </c>
      <c r="AT2449">
        <v>0</v>
      </c>
      <c r="AW2449" t="s">
        <v>161</v>
      </c>
      <c r="AX2449">
        <v>50</v>
      </c>
      <c r="AY2449" s="1">
        <v>34700</v>
      </c>
      <c r="AZ2449" s="1">
        <v>34700</v>
      </c>
      <c r="BA2449" s="1">
        <v>34700</v>
      </c>
      <c r="BB2449" s="1">
        <v>52963</v>
      </c>
      <c r="BC2449" t="s">
        <v>51</v>
      </c>
      <c r="BE2449" t="s">
        <v>54</v>
      </c>
      <c r="BF2449">
        <v>0</v>
      </c>
      <c r="BG2449">
        <v>0</v>
      </c>
      <c r="BH2449" t="s">
        <v>53</v>
      </c>
      <c r="BK2449" t="s">
        <v>720</v>
      </c>
      <c r="BL2449">
        <v>17000</v>
      </c>
      <c r="BM2449" s="1">
        <v>44125</v>
      </c>
      <c r="BN2449" s="1">
        <v>44125</v>
      </c>
      <c r="BO2449" s="1">
        <v>44125</v>
      </c>
      <c r="BP2449" s="1">
        <v>45564</v>
      </c>
      <c r="BQ2449" t="s">
        <v>51</v>
      </c>
      <c r="BS2449" t="s">
        <v>60</v>
      </c>
      <c r="BT2449" t="s">
        <v>54</v>
      </c>
      <c r="BU2449" t="s">
        <v>721</v>
      </c>
      <c r="BV2449" t="s">
        <v>722</v>
      </c>
      <c r="BX2449">
        <v>18</v>
      </c>
      <c r="BY2449">
        <v>0</v>
      </c>
      <c r="BZ2449">
        <v>0</v>
      </c>
      <c r="CX2449" t="s">
        <v>674</v>
      </c>
      <c r="CY2449">
        <v>0</v>
      </c>
      <c r="CZ2449" s="1">
        <v>44320</v>
      </c>
      <c r="DA2449" s="1">
        <v>44320</v>
      </c>
      <c r="DB2449" s="1">
        <v>44320</v>
      </c>
      <c r="DC2449" s="1">
        <v>44320</v>
      </c>
      <c r="DD2449" t="s">
        <v>51</v>
      </c>
      <c r="DF2449" t="s">
        <v>54</v>
      </c>
      <c r="DG2449">
        <v>0</v>
      </c>
      <c r="DH2449">
        <v>0</v>
      </c>
    </row>
    <row r="2450" spans="1:112" x14ac:dyDescent="0.2">
      <c r="A2450" t="s">
        <v>1012</v>
      </c>
      <c r="B2450" t="s">
        <v>1013</v>
      </c>
      <c r="C2450" t="s">
        <v>1014</v>
      </c>
      <c r="D2450" t="s">
        <v>1072</v>
      </c>
      <c r="F2450" t="str">
        <f>"252017"</f>
        <v>252017</v>
      </c>
      <c r="G2450" t="s">
        <v>49</v>
      </c>
      <c r="K2450" t="s">
        <v>51</v>
      </c>
      <c r="L2450" t="s">
        <v>52</v>
      </c>
      <c r="M2450">
        <v>131569.54999999999</v>
      </c>
      <c r="N2450">
        <v>474608.23700000002</v>
      </c>
      <c r="O2450" t="s">
        <v>53</v>
      </c>
      <c r="P2450" t="s">
        <v>54</v>
      </c>
      <c r="Q2450" t="s">
        <v>55</v>
      </c>
      <c r="T2450" t="s">
        <v>100</v>
      </c>
      <c r="U2450">
        <v>40</v>
      </c>
      <c r="V2450" s="1">
        <v>34700</v>
      </c>
      <c r="W2450" s="1">
        <v>34700</v>
      </c>
      <c r="X2450" s="1">
        <v>34700</v>
      </c>
      <c r="Y2450" s="1">
        <v>49310</v>
      </c>
      <c r="Z2450" t="s">
        <v>51</v>
      </c>
      <c r="AB2450" t="s">
        <v>54</v>
      </c>
      <c r="AC2450">
        <v>1</v>
      </c>
      <c r="AE2450" t="s">
        <v>819</v>
      </c>
      <c r="AF2450">
        <v>20</v>
      </c>
      <c r="AG2450" s="1">
        <v>34700</v>
      </c>
      <c r="AH2450" s="1">
        <v>34700</v>
      </c>
      <c r="AI2450" s="1">
        <v>34700</v>
      </c>
      <c r="AJ2450" s="1">
        <v>42005</v>
      </c>
      <c r="AK2450" t="s">
        <v>51</v>
      </c>
      <c r="AN2450">
        <v>0</v>
      </c>
      <c r="AO2450" t="s">
        <v>54</v>
      </c>
      <c r="AP2450" t="s">
        <v>53</v>
      </c>
      <c r="AQ2450">
        <v>0</v>
      </c>
      <c r="AR2450" t="s">
        <v>53</v>
      </c>
      <c r="AS2450">
        <v>0</v>
      </c>
      <c r="AT2450">
        <v>0</v>
      </c>
      <c r="AW2450" t="s">
        <v>161</v>
      </c>
      <c r="AX2450">
        <v>50</v>
      </c>
      <c r="AY2450" s="1">
        <v>34700</v>
      </c>
      <c r="AZ2450" s="1">
        <v>34700</v>
      </c>
      <c r="BA2450" s="1">
        <v>34700</v>
      </c>
      <c r="BB2450" s="1">
        <v>52963</v>
      </c>
      <c r="BC2450" t="s">
        <v>51</v>
      </c>
      <c r="BE2450" t="s">
        <v>54</v>
      </c>
      <c r="BF2450">
        <v>0</v>
      </c>
      <c r="BG2450">
        <v>0</v>
      </c>
      <c r="BH2450" t="s">
        <v>53</v>
      </c>
      <c r="BK2450" t="s">
        <v>720</v>
      </c>
      <c r="BL2450">
        <v>17000</v>
      </c>
      <c r="BM2450" s="1">
        <v>44125</v>
      </c>
      <c r="BN2450" s="1">
        <v>44125</v>
      </c>
      <c r="BO2450" s="1">
        <v>44125</v>
      </c>
      <c r="BP2450" s="1">
        <v>45564</v>
      </c>
      <c r="BQ2450" t="s">
        <v>51</v>
      </c>
      <c r="BS2450" t="s">
        <v>60</v>
      </c>
      <c r="BT2450" t="s">
        <v>54</v>
      </c>
      <c r="BU2450" t="s">
        <v>721</v>
      </c>
      <c r="BV2450" t="s">
        <v>722</v>
      </c>
      <c r="BX2450">
        <v>18</v>
      </c>
      <c r="BY2450">
        <v>0</v>
      </c>
      <c r="BZ2450">
        <v>0</v>
      </c>
      <c r="CX2450" t="s">
        <v>674</v>
      </c>
      <c r="CY2450">
        <v>0</v>
      </c>
      <c r="CZ2450" s="1">
        <v>44320</v>
      </c>
      <c r="DA2450" s="1">
        <v>44320</v>
      </c>
      <c r="DB2450" s="1">
        <v>44320</v>
      </c>
      <c r="DC2450" s="1">
        <v>44320</v>
      </c>
      <c r="DD2450" t="s">
        <v>51</v>
      </c>
      <c r="DF2450" t="s">
        <v>54</v>
      </c>
      <c r="DG2450">
        <v>0</v>
      </c>
      <c r="DH2450">
        <v>0</v>
      </c>
    </row>
    <row r="2451" spans="1:112" x14ac:dyDescent="0.2">
      <c r="A2451" t="s">
        <v>1012</v>
      </c>
      <c r="B2451" t="s">
        <v>1013</v>
      </c>
      <c r="C2451" t="s">
        <v>1014</v>
      </c>
      <c r="D2451" t="s">
        <v>1072</v>
      </c>
      <c r="F2451" t="str">
        <f>"252018"</f>
        <v>252018</v>
      </c>
      <c r="G2451" t="s">
        <v>49</v>
      </c>
      <c r="K2451" t="s">
        <v>51</v>
      </c>
      <c r="L2451" t="s">
        <v>52</v>
      </c>
      <c r="M2451">
        <v>131559.85999999999</v>
      </c>
      <c r="N2451">
        <v>474547</v>
      </c>
      <c r="O2451" t="s">
        <v>53</v>
      </c>
      <c r="P2451" t="s">
        <v>54</v>
      </c>
      <c r="Q2451" t="s">
        <v>55</v>
      </c>
      <c r="T2451" t="s">
        <v>100</v>
      </c>
      <c r="U2451">
        <v>40</v>
      </c>
      <c r="V2451" s="1">
        <v>34700</v>
      </c>
      <c r="W2451" s="1">
        <v>34700</v>
      </c>
      <c r="X2451" s="1">
        <v>34700</v>
      </c>
      <c r="Y2451" s="1">
        <v>49310</v>
      </c>
      <c r="Z2451" t="s">
        <v>51</v>
      </c>
      <c r="AB2451" t="s">
        <v>54</v>
      </c>
      <c r="AC2451">
        <v>1</v>
      </c>
      <c r="AE2451" t="s">
        <v>222</v>
      </c>
      <c r="AF2451">
        <v>20</v>
      </c>
      <c r="AG2451" s="1">
        <v>34700</v>
      </c>
      <c r="AH2451" s="1">
        <v>34700</v>
      </c>
      <c r="AI2451" s="1">
        <v>34700</v>
      </c>
      <c r="AJ2451" s="1">
        <v>42005</v>
      </c>
      <c r="AK2451" t="s">
        <v>51</v>
      </c>
      <c r="AN2451">
        <v>0</v>
      </c>
      <c r="AO2451" t="s">
        <v>54</v>
      </c>
      <c r="AP2451" t="s">
        <v>53</v>
      </c>
      <c r="AQ2451">
        <v>0</v>
      </c>
      <c r="AR2451" t="s">
        <v>53</v>
      </c>
      <c r="AS2451">
        <v>0</v>
      </c>
      <c r="AT2451">
        <v>0</v>
      </c>
      <c r="AW2451" t="s">
        <v>58</v>
      </c>
      <c r="AX2451">
        <v>20</v>
      </c>
      <c r="AY2451" s="1">
        <v>34700</v>
      </c>
      <c r="AZ2451" s="1">
        <v>34700</v>
      </c>
      <c r="BA2451" s="1">
        <v>34700</v>
      </c>
      <c r="BB2451" s="1">
        <v>42005</v>
      </c>
      <c r="BC2451" t="s">
        <v>51</v>
      </c>
      <c r="BE2451" t="s">
        <v>54</v>
      </c>
      <c r="BF2451">
        <v>2</v>
      </c>
      <c r="BG2451">
        <v>0</v>
      </c>
      <c r="BH2451" t="s">
        <v>53</v>
      </c>
      <c r="BK2451" t="s">
        <v>59</v>
      </c>
      <c r="BL2451">
        <v>14000</v>
      </c>
      <c r="BM2451" s="1">
        <v>44320</v>
      </c>
      <c r="BN2451" s="1">
        <v>44320</v>
      </c>
      <c r="BO2451" s="1">
        <v>44320</v>
      </c>
      <c r="BP2451" s="1">
        <v>45542</v>
      </c>
      <c r="BQ2451" t="s">
        <v>51</v>
      </c>
      <c r="BS2451" t="s">
        <v>60</v>
      </c>
      <c r="BT2451" t="s">
        <v>54</v>
      </c>
      <c r="BU2451" t="s">
        <v>61</v>
      </c>
      <c r="BV2451" t="s">
        <v>62</v>
      </c>
      <c r="BX2451">
        <v>24</v>
      </c>
      <c r="BY2451">
        <v>0</v>
      </c>
      <c r="BZ2451">
        <v>0</v>
      </c>
      <c r="CX2451" t="s">
        <v>360</v>
      </c>
      <c r="CY2451">
        <v>40</v>
      </c>
      <c r="CZ2451" s="1">
        <v>44320</v>
      </c>
      <c r="DA2451" s="1">
        <v>44320</v>
      </c>
      <c r="DB2451" s="1">
        <v>44320</v>
      </c>
      <c r="DC2451" s="1">
        <v>58930</v>
      </c>
      <c r="DD2451" t="s">
        <v>51</v>
      </c>
      <c r="DF2451" t="s">
        <v>54</v>
      </c>
      <c r="DG2451">
        <v>0</v>
      </c>
      <c r="DH2451">
        <v>0</v>
      </c>
    </row>
    <row r="2452" spans="1:112" x14ac:dyDescent="0.2">
      <c r="A2452" t="s">
        <v>1012</v>
      </c>
      <c r="B2452" t="s">
        <v>1013</v>
      </c>
      <c r="C2452" t="s">
        <v>1014</v>
      </c>
      <c r="D2452" t="s">
        <v>1072</v>
      </c>
      <c r="F2452" t="str">
        <f>"252019"</f>
        <v>252019</v>
      </c>
      <c r="G2452" t="s">
        <v>49</v>
      </c>
      <c r="K2452" t="s">
        <v>51</v>
      </c>
      <c r="L2452" t="s">
        <v>52</v>
      </c>
      <c r="M2452">
        <v>131551.12</v>
      </c>
      <c r="N2452">
        <v>474491.9</v>
      </c>
      <c r="O2452" t="s">
        <v>53</v>
      </c>
      <c r="P2452" t="s">
        <v>54</v>
      </c>
      <c r="Q2452" t="s">
        <v>55</v>
      </c>
      <c r="T2452" t="s">
        <v>100</v>
      </c>
      <c r="U2452">
        <v>40</v>
      </c>
      <c r="V2452" s="1">
        <v>34700</v>
      </c>
      <c r="W2452" s="1">
        <v>34700</v>
      </c>
      <c r="X2452" s="1">
        <v>34700</v>
      </c>
      <c r="Y2452" s="1">
        <v>49310</v>
      </c>
      <c r="Z2452" t="s">
        <v>51</v>
      </c>
      <c r="AB2452" t="s">
        <v>54</v>
      </c>
      <c r="AC2452">
        <v>1</v>
      </c>
      <c r="AE2452" t="s">
        <v>819</v>
      </c>
      <c r="AF2452">
        <v>20</v>
      </c>
      <c r="AG2452" s="1">
        <v>34700</v>
      </c>
      <c r="AH2452" s="1">
        <v>34700</v>
      </c>
      <c r="AI2452" s="1">
        <v>34700</v>
      </c>
      <c r="AJ2452" s="1">
        <v>42005</v>
      </c>
      <c r="AK2452" t="s">
        <v>51</v>
      </c>
      <c r="AN2452">
        <v>0</v>
      </c>
      <c r="AO2452" t="s">
        <v>54</v>
      </c>
      <c r="AP2452" t="s">
        <v>53</v>
      </c>
      <c r="AQ2452">
        <v>0</v>
      </c>
      <c r="AR2452" t="s">
        <v>53</v>
      </c>
      <c r="AS2452">
        <v>0</v>
      </c>
      <c r="AT2452">
        <v>0</v>
      </c>
      <c r="AW2452" t="s">
        <v>161</v>
      </c>
      <c r="AX2452">
        <v>50</v>
      </c>
      <c r="AY2452" s="1">
        <v>34700</v>
      </c>
      <c r="AZ2452" s="1">
        <v>34700</v>
      </c>
      <c r="BA2452" s="1">
        <v>34700</v>
      </c>
      <c r="BB2452" s="1">
        <v>52963</v>
      </c>
      <c r="BC2452" t="s">
        <v>51</v>
      </c>
      <c r="BE2452" t="s">
        <v>54</v>
      </c>
      <c r="BF2452">
        <v>0</v>
      </c>
      <c r="BG2452">
        <v>0</v>
      </c>
      <c r="BH2452" t="s">
        <v>53</v>
      </c>
      <c r="BI2452">
        <v>2</v>
      </c>
      <c r="BK2452" t="s">
        <v>720</v>
      </c>
      <c r="BL2452">
        <v>17000</v>
      </c>
      <c r="BM2452" s="1">
        <v>44949</v>
      </c>
      <c r="BN2452" s="1">
        <v>44949</v>
      </c>
      <c r="BO2452" s="1">
        <v>44949</v>
      </c>
      <c r="BP2452" s="1">
        <v>46392</v>
      </c>
      <c r="BQ2452" t="s">
        <v>51</v>
      </c>
      <c r="BS2452" t="s">
        <v>60</v>
      </c>
      <c r="BT2452" t="s">
        <v>54</v>
      </c>
      <c r="BU2452" t="s">
        <v>721</v>
      </c>
      <c r="BV2452" t="s">
        <v>722</v>
      </c>
      <c r="BX2452">
        <v>18</v>
      </c>
      <c r="BY2452">
        <v>0</v>
      </c>
      <c r="BZ2452">
        <v>0</v>
      </c>
      <c r="CX2452" t="s">
        <v>674</v>
      </c>
      <c r="CY2452">
        <v>0</v>
      </c>
      <c r="CZ2452" s="1">
        <v>44320</v>
      </c>
      <c r="DA2452" s="1">
        <v>44320</v>
      </c>
      <c r="DB2452" s="1">
        <v>44320</v>
      </c>
      <c r="DC2452" s="1">
        <v>44320</v>
      </c>
      <c r="DD2452" t="s">
        <v>51</v>
      </c>
      <c r="DF2452" t="s">
        <v>54</v>
      </c>
      <c r="DG2452">
        <v>0</v>
      </c>
      <c r="DH2452">
        <v>0</v>
      </c>
    </row>
    <row r="2453" spans="1:112" x14ac:dyDescent="0.2">
      <c r="A2453" t="s">
        <v>1012</v>
      </c>
      <c r="B2453" t="s">
        <v>1013</v>
      </c>
      <c r="C2453" t="s">
        <v>1014</v>
      </c>
      <c r="D2453" t="s">
        <v>1072</v>
      </c>
      <c r="F2453" t="str">
        <f>"252020"</f>
        <v>252020</v>
      </c>
      <c r="G2453" t="s">
        <v>49</v>
      </c>
      <c r="K2453" t="s">
        <v>51</v>
      </c>
      <c r="L2453" t="s">
        <v>52</v>
      </c>
      <c r="M2453">
        <v>131541.19</v>
      </c>
      <c r="N2453">
        <v>474431.49</v>
      </c>
      <c r="O2453" t="s">
        <v>53</v>
      </c>
      <c r="P2453" t="s">
        <v>54</v>
      </c>
      <c r="Q2453" t="s">
        <v>55</v>
      </c>
      <c r="T2453" t="s">
        <v>100</v>
      </c>
      <c r="U2453">
        <v>40</v>
      </c>
      <c r="V2453" s="1">
        <v>34700</v>
      </c>
      <c r="W2453" s="1">
        <v>34700</v>
      </c>
      <c r="X2453" s="1">
        <v>34700</v>
      </c>
      <c r="Y2453" s="1">
        <v>49310</v>
      </c>
      <c r="Z2453" t="s">
        <v>51</v>
      </c>
      <c r="AB2453" t="s">
        <v>54</v>
      </c>
      <c r="AC2453">
        <v>1</v>
      </c>
      <c r="AE2453" t="s">
        <v>819</v>
      </c>
      <c r="AF2453">
        <v>20</v>
      </c>
      <c r="AG2453" s="1">
        <v>34700</v>
      </c>
      <c r="AH2453" s="1">
        <v>34700</v>
      </c>
      <c r="AI2453" s="1">
        <v>34700</v>
      </c>
      <c r="AJ2453" s="1">
        <v>42005</v>
      </c>
      <c r="AK2453" t="s">
        <v>51</v>
      </c>
      <c r="AN2453">
        <v>0</v>
      </c>
      <c r="AO2453" t="s">
        <v>54</v>
      </c>
      <c r="AP2453" t="s">
        <v>53</v>
      </c>
      <c r="AQ2453">
        <v>0</v>
      </c>
      <c r="AR2453" t="s">
        <v>53</v>
      </c>
      <c r="AS2453">
        <v>0</v>
      </c>
      <c r="AT2453">
        <v>0</v>
      </c>
      <c r="AW2453" t="s">
        <v>161</v>
      </c>
      <c r="AX2453">
        <v>50</v>
      </c>
      <c r="AY2453" s="1">
        <v>34700</v>
      </c>
      <c r="AZ2453" s="1">
        <v>34700</v>
      </c>
      <c r="BA2453" s="1">
        <v>34700</v>
      </c>
      <c r="BB2453" s="1">
        <v>52963</v>
      </c>
      <c r="BC2453" t="s">
        <v>51</v>
      </c>
      <c r="BE2453" t="s">
        <v>54</v>
      </c>
      <c r="BF2453">
        <v>0</v>
      </c>
      <c r="BG2453">
        <v>0</v>
      </c>
      <c r="BH2453" t="s">
        <v>53</v>
      </c>
      <c r="BI2453">
        <v>1</v>
      </c>
      <c r="BK2453" t="s">
        <v>720</v>
      </c>
      <c r="BL2453">
        <v>17000</v>
      </c>
      <c r="BM2453" s="1">
        <v>44125</v>
      </c>
      <c r="BN2453" s="1">
        <v>44125</v>
      </c>
      <c r="BO2453" s="1">
        <v>44125</v>
      </c>
      <c r="BP2453" s="1">
        <v>45564</v>
      </c>
      <c r="BQ2453" t="s">
        <v>51</v>
      </c>
      <c r="BS2453" t="s">
        <v>60</v>
      </c>
      <c r="BT2453" t="s">
        <v>54</v>
      </c>
      <c r="BU2453" t="s">
        <v>721</v>
      </c>
      <c r="BV2453" t="s">
        <v>722</v>
      </c>
      <c r="BX2453">
        <v>18</v>
      </c>
      <c r="BY2453">
        <v>0</v>
      </c>
      <c r="BZ2453">
        <v>0</v>
      </c>
      <c r="CX2453" t="s">
        <v>674</v>
      </c>
      <c r="CY2453">
        <v>0</v>
      </c>
      <c r="CZ2453" s="1">
        <v>44320</v>
      </c>
      <c r="DA2453" s="1">
        <v>44320</v>
      </c>
      <c r="DB2453" s="1">
        <v>44320</v>
      </c>
      <c r="DC2453" s="1">
        <v>44320</v>
      </c>
      <c r="DD2453" t="s">
        <v>51</v>
      </c>
      <c r="DF2453" t="s">
        <v>54</v>
      </c>
      <c r="DG2453">
        <v>0</v>
      </c>
      <c r="DH2453">
        <v>0</v>
      </c>
    </row>
    <row r="2454" spans="1:112" x14ac:dyDescent="0.2">
      <c r="A2454" t="s">
        <v>1012</v>
      </c>
      <c r="B2454" t="s">
        <v>1013</v>
      </c>
      <c r="C2454" t="s">
        <v>1014</v>
      </c>
      <c r="D2454" t="s">
        <v>1072</v>
      </c>
      <c r="F2454" t="str">
        <f>"252021"</f>
        <v>252021</v>
      </c>
      <c r="G2454" t="s">
        <v>49</v>
      </c>
      <c r="K2454" t="s">
        <v>51</v>
      </c>
      <c r="L2454" t="s">
        <v>52</v>
      </c>
      <c r="M2454">
        <v>131529.30499999999</v>
      </c>
      <c r="N2454">
        <v>474372.87400000001</v>
      </c>
      <c r="O2454" t="s">
        <v>53</v>
      </c>
      <c r="P2454" t="s">
        <v>54</v>
      </c>
      <c r="Q2454" t="s">
        <v>55</v>
      </c>
      <c r="T2454" t="s">
        <v>100</v>
      </c>
      <c r="U2454">
        <v>40</v>
      </c>
      <c r="V2454" s="1">
        <v>34700</v>
      </c>
      <c r="W2454" s="1">
        <v>34700</v>
      </c>
      <c r="X2454" s="1">
        <v>34700</v>
      </c>
      <c r="Y2454" s="1">
        <v>49310</v>
      </c>
      <c r="Z2454" t="s">
        <v>51</v>
      </c>
      <c r="AB2454" t="s">
        <v>54</v>
      </c>
      <c r="AC2454">
        <v>1</v>
      </c>
      <c r="AE2454" t="s">
        <v>222</v>
      </c>
      <c r="AF2454">
        <v>20</v>
      </c>
      <c r="AG2454" s="1">
        <v>34700</v>
      </c>
      <c r="AH2454" s="1">
        <v>34700</v>
      </c>
      <c r="AI2454" s="1">
        <v>34700</v>
      </c>
      <c r="AJ2454" s="1">
        <v>42005</v>
      </c>
      <c r="AK2454" t="s">
        <v>51</v>
      </c>
      <c r="AN2454">
        <v>0</v>
      </c>
      <c r="AO2454" t="s">
        <v>54</v>
      </c>
      <c r="AP2454" t="s">
        <v>53</v>
      </c>
      <c r="AQ2454">
        <v>0</v>
      </c>
      <c r="AR2454" t="s">
        <v>53</v>
      </c>
      <c r="AS2454">
        <v>0</v>
      </c>
      <c r="AT2454">
        <v>0</v>
      </c>
      <c r="AW2454" t="s">
        <v>58</v>
      </c>
      <c r="AX2454">
        <v>20</v>
      </c>
      <c r="AY2454" s="1">
        <v>34700</v>
      </c>
      <c r="AZ2454" s="1">
        <v>34700</v>
      </c>
      <c r="BA2454" s="1">
        <v>34700</v>
      </c>
      <c r="BB2454" s="1">
        <v>42005</v>
      </c>
      <c r="BC2454" t="s">
        <v>51</v>
      </c>
      <c r="BE2454" t="s">
        <v>54</v>
      </c>
      <c r="BF2454">
        <v>2</v>
      </c>
      <c r="BG2454">
        <v>0</v>
      </c>
      <c r="BH2454" t="s">
        <v>53</v>
      </c>
      <c r="BK2454" t="s">
        <v>59</v>
      </c>
      <c r="BL2454">
        <v>14000</v>
      </c>
      <c r="BM2454" s="1">
        <v>42917</v>
      </c>
      <c r="BN2454" s="1">
        <v>42917</v>
      </c>
      <c r="BO2454" s="1">
        <v>42917</v>
      </c>
      <c r="BP2454" s="1">
        <v>44117</v>
      </c>
      <c r="BQ2454" t="s">
        <v>51</v>
      </c>
      <c r="BS2454" t="s">
        <v>60</v>
      </c>
      <c r="BT2454" t="s">
        <v>54</v>
      </c>
      <c r="BU2454" t="s">
        <v>61</v>
      </c>
      <c r="BV2454" t="s">
        <v>62</v>
      </c>
      <c r="BX2454">
        <v>24</v>
      </c>
      <c r="BY2454">
        <v>0</v>
      </c>
      <c r="BZ2454">
        <v>0</v>
      </c>
      <c r="CX2454" t="s">
        <v>674</v>
      </c>
      <c r="CY2454">
        <v>0</v>
      </c>
      <c r="CZ2454" s="1">
        <v>44320</v>
      </c>
      <c r="DA2454" s="1">
        <v>44320</v>
      </c>
      <c r="DB2454" s="1">
        <v>44320</v>
      </c>
      <c r="DC2454" s="1">
        <v>44320</v>
      </c>
      <c r="DD2454" t="s">
        <v>51</v>
      </c>
      <c r="DF2454" t="s">
        <v>54</v>
      </c>
      <c r="DG2454">
        <v>0</v>
      </c>
      <c r="DH2454">
        <v>0</v>
      </c>
    </row>
    <row r="2455" spans="1:112" x14ac:dyDescent="0.2">
      <c r="A2455" t="s">
        <v>1012</v>
      </c>
      <c r="B2455" t="s">
        <v>1013</v>
      </c>
      <c r="C2455" t="s">
        <v>1014</v>
      </c>
      <c r="D2455" t="s">
        <v>1096</v>
      </c>
      <c r="F2455" t="str">
        <f>"253366"</f>
        <v>253366</v>
      </c>
      <c r="G2455" t="s">
        <v>49</v>
      </c>
      <c r="K2455" t="s">
        <v>51</v>
      </c>
      <c r="L2455" t="s">
        <v>52</v>
      </c>
      <c r="M2455">
        <v>131621.25</v>
      </c>
      <c r="N2455">
        <v>474911.55</v>
      </c>
      <c r="O2455" t="s">
        <v>53</v>
      </c>
      <c r="P2455" t="s">
        <v>54</v>
      </c>
      <c r="Q2455" t="s">
        <v>55</v>
      </c>
      <c r="T2455" t="s">
        <v>1054</v>
      </c>
      <c r="U2455">
        <v>40</v>
      </c>
      <c r="V2455" s="1">
        <v>28126</v>
      </c>
      <c r="W2455" s="1">
        <v>28126</v>
      </c>
      <c r="X2455" s="1">
        <v>28126</v>
      </c>
      <c r="Y2455" s="1">
        <v>42736</v>
      </c>
      <c r="Z2455" t="s">
        <v>51</v>
      </c>
      <c r="AB2455" t="s">
        <v>54</v>
      </c>
      <c r="AC2455">
        <v>1</v>
      </c>
      <c r="AE2455" t="s">
        <v>91</v>
      </c>
      <c r="AF2455">
        <v>20</v>
      </c>
      <c r="AG2455" s="1">
        <v>34700</v>
      </c>
      <c r="AH2455" s="1">
        <v>34700</v>
      </c>
      <c r="AI2455" s="1">
        <v>34700</v>
      </c>
      <c r="AJ2455" s="1">
        <v>42005</v>
      </c>
      <c r="AK2455" t="s">
        <v>51</v>
      </c>
      <c r="AN2455">
        <v>0</v>
      </c>
      <c r="AO2455" t="s">
        <v>54</v>
      </c>
      <c r="AP2455" t="s">
        <v>53</v>
      </c>
      <c r="AQ2455">
        <v>0</v>
      </c>
      <c r="AR2455" t="s">
        <v>53</v>
      </c>
      <c r="AS2455">
        <v>0</v>
      </c>
      <c r="AT2455">
        <v>0</v>
      </c>
      <c r="AW2455" t="s">
        <v>58</v>
      </c>
      <c r="AX2455">
        <v>20</v>
      </c>
      <c r="AY2455" s="1">
        <v>34700</v>
      </c>
      <c r="AZ2455" s="1">
        <v>34700</v>
      </c>
      <c r="BA2455" s="1">
        <v>34700</v>
      </c>
      <c r="BB2455" s="1">
        <v>42005</v>
      </c>
      <c r="BC2455" t="s">
        <v>51</v>
      </c>
      <c r="BE2455" t="s">
        <v>54</v>
      </c>
      <c r="BF2455">
        <v>2</v>
      </c>
      <c r="BG2455">
        <v>0</v>
      </c>
      <c r="BH2455" t="s">
        <v>53</v>
      </c>
      <c r="BK2455" t="s">
        <v>92</v>
      </c>
      <c r="BL2455">
        <v>14000</v>
      </c>
      <c r="BM2455" s="1">
        <v>44110</v>
      </c>
      <c r="BN2455" s="1">
        <v>44110</v>
      </c>
      <c r="BO2455" s="1">
        <v>44110</v>
      </c>
      <c r="BP2455" s="1">
        <v>45272</v>
      </c>
      <c r="BQ2455" t="s">
        <v>51</v>
      </c>
      <c r="BS2455" t="s">
        <v>60</v>
      </c>
      <c r="BT2455" t="s">
        <v>54</v>
      </c>
      <c r="BU2455" t="s">
        <v>61</v>
      </c>
      <c r="BV2455" t="s">
        <v>62</v>
      </c>
      <c r="BX2455">
        <v>55</v>
      </c>
      <c r="BY2455">
        <v>0</v>
      </c>
      <c r="BZ2455">
        <v>0</v>
      </c>
      <c r="CX2455" t="s">
        <v>674</v>
      </c>
      <c r="CY2455">
        <v>0</v>
      </c>
      <c r="CZ2455" s="1">
        <v>44320</v>
      </c>
      <c r="DA2455" s="1">
        <v>44320</v>
      </c>
      <c r="DB2455" s="1">
        <v>44320</v>
      </c>
      <c r="DC2455" s="1">
        <v>44320</v>
      </c>
      <c r="DD2455" t="s">
        <v>51</v>
      </c>
      <c r="DF2455" t="s">
        <v>54</v>
      </c>
      <c r="DG2455">
        <v>0</v>
      </c>
      <c r="DH2455">
        <v>0</v>
      </c>
    </row>
    <row r="2456" spans="1:112" x14ac:dyDescent="0.2">
      <c r="A2456" t="s">
        <v>1012</v>
      </c>
      <c r="B2456" t="s">
        <v>1013</v>
      </c>
      <c r="C2456" t="s">
        <v>1014</v>
      </c>
      <c r="D2456" t="s">
        <v>1096</v>
      </c>
      <c r="F2456" t="str">
        <f>"252026"</f>
        <v>252026</v>
      </c>
      <c r="G2456" t="s">
        <v>49</v>
      </c>
      <c r="K2456" t="s">
        <v>51</v>
      </c>
      <c r="L2456" t="s">
        <v>52</v>
      </c>
      <c r="M2456">
        <v>131626.99</v>
      </c>
      <c r="N2456">
        <v>474882.52</v>
      </c>
      <c r="O2456" t="s">
        <v>53</v>
      </c>
      <c r="P2456" t="s">
        <v>54</v>
      </c>
      <c r="Q2456" t="s">
        <v>55</v>
      </c>
      <c r="T2456" t="s">
        <v>1054</v>
      </c>
      <c r="U2456">
        <v>40</v>
      </c>
      <c r="V2456" s="1">
        <v>28126</v>
      </c>
      <c r="W2456" s="1">
        <v>28126</v>
      </c>
      <c r="X2456" s="1">
        <v>28126</v>
      </c>
      <c r="Y2456" s="1">
        <v>42736</v>
      </c>
      <c r="Z2456" t="s">
        <v>51</v>
      </c>
      <c r="AB2456" t="s">
        <v>54</v>
      </c>
      <c r="AC2456">
        <v>1</v>
      </c>
      <c r="AE2456" t="s">
        <v>91</v>
      </c>
      <c r="AF2456">
        <v>20</v>
      </c>
      <c r="AG2456" s="1">
        <v>34700</v>
      </c>
      <c r="AH2456" s="1">
        <v>34700</v>
      </c>
      <c r="AI2456" s="1">
        <v>34700</v>
      </c>
      <c r="AJ2456" s="1">
        <v>42005</v>
      </c>
      <c r="AK2456" t="s">
        <v>51</v>
      </c>
      <c r="AN2456">
        <v>0</v>
      </c>
      <c r="AO2456" t="s">
        <v>54</v>
      </c>
      <c r="AP2456" t="s">
        <v>53</v>
      </c>
      <c r="AQ2456">
        <v>0</v>
      </c>
      <c r="AR2456" t="s">
        <v>53</v>
      </c>
      <c r="AS2456">
        <v>0</v>
      </c>
      <c r="AT2456">
        <v>0</v>
      </c>
      <c r="AW2456" t="s">
        <v>58</v>
      </c>
      <c r="AX2456">
        <v>20</v>
      </c>
      <c r="AY2456" s="1">
        <v>34700</v>
      </c>
      <c r="AZ2456" s="1">
        <v>34700</v>
      </c>
      <c r="BA2456" s="1">
        <v>34700</v>
      </c>
      <c r="BB2456" s="1">
        <v>42005</v>
      </c>
      <c r="BC2456" t="s">
        <v>51</v>
      </c>
      <c r="BE2456" t="s">
        <v>54</v>
      </c>
      <c r="BF2456">
        <v>2</v>
      </c>
      <c r="BG2456">
        <v>0</v>
      </c>
      <c r="BH2456" t="s">
        <v>53</v>
      </c>
      <c r="BK2456" t="s">
        <v>92</v>
      </c>
      <c r="BL2456">
        <v>14000</v>
      </c>
      <c r="BM2456" s="1">
        <v>44110</v>
      </c>
      <c r="BN2456" s="1">
        <v>44110</v>
      </c>
      <c r="BO2456" s="1">
        <v>44110</v>
      </c>
      <c r="BP2456" s="1">
        <v>45272</v>
      </c>
      <c r="BQ2456" t="s">
        <v>51</v>
      </c>
      <c r="BS2456" t="s">
        <v>60</v>
      </c>
      <c r="BT2456" t="s">
        <v>54</v>
      </c>
      <c r="BU2456" t="s">
        <v>61</v>
      </c>
      <c r="BV2456" t="s">
        <v>62</v>
      </c>
      <c r="BX2456">
        <v>55</v>
      </c>
      <c r="BY2456">
        <v>0</v>
      </c>
      <c r="BZ2456">
        <v>0</v>
      </c>
      <c r="CX2456" t="s">
        <v>674</v>
      </c>
      <c r="CY2456">
        <v>0</v>
      </c>
      <c r="CZ2456" s="1">
        <v>44320</v>
      </c>
      <c r="DA2456" s="1">
        <v>44320</v>
      </c>
      <c r="DB2456" s="1">
        <v>44320</v>
      </c>
      <c r="DC2456" s="1">
        <v>44320</v>
      </c>
      <c r="DD2456" t="s">
        <v>51</v>
      </c>
      <c r="DF2456" t="s">
        <v>54</v>
      </c>
      <c r="DG2456">
        <v>0</v>
      </c>
      <c r="DH2456">
        <v>0</v>
      </c>
    </row>
    <row r="2457" spans="1:112" x14ac:dyDescent="0.2">
      <c r="A2457" t="s">
        <v>1012</v>
      </c>
      <c r="B2457" t="s">
        <v>1013</v>
      </c>
      <c r="C2457" t="s">
        <v>1014</v>
      </c>
      <c r="D2457" t="s">
        <v>1096</v>
      </c>
      <c r="F2457" t="str">
        <f>"252028"</f>
        <v>252028</v>
      </c>
      <c r="G2457" t="s">
        <v>49</v>
      </c>
      <c r="H2457" t="s">
        <v>290</v>
      </c>
      <c r="K2457" t="s">
        <v>51</v>
      </c>
      <c r="L2457" t="s">
        <v>52</v>
      </c>
      <c r="M2457">
        <v>131612.57999999999</v>
      </c>
      <c r="N2457">
        <v>474857.03</v>
      </c>
      <c r="O2457" t="s">
        <v>53</v>
      </c>
      <c r="P2457" t="s">
        <v>54</v>
      </c>
      <c r="Q2457" t="s">
        <v>55</v>
      </c>
      <c r="T2457" t="s">
        <v>1054</v>
      </c>
      <c r="U2457">
        <v>40</v>
      </c>
      <c r="V2457" s="1">
        <v>28126</v>
      </c>
      <c r="W2457" s="1">
        <v>28126</v>
      </c>
      <c r="X2457" s="1">
        <v>28126</v>
      </c>
      <c r="Y2457" s="1">
        <v>42736</v>
      </c>
      <c r="Z2457" t="s">
        <v>51</v>
      </c>
      <c r="AB2457" t="s">
        <v>54</v>
      </c>
      <c r="AC2457">
        <v>1</v>
      </c>
      <c r="AE2457" t="s">
        <v>91</v>
      </c>
      <c r="AF2457">
        <v>20</v>
      </c>
      <c r="AG2457" s="1">
        <v>34700</v>
      </c>
      <c r="AH2457" s="1">
        <v>34700</v>
      </c>
      <c r="AI2457" s="1">
        <v>34700</v>
      </c>
      <c r="AJ2457" s="1">
        <v>42005</v>
      </c>
      <c r="AK2457" t="s">
        <v>51</v>
      </c>
      <c r="AN2457">
        <v>0</v>
      </c>
      <c r="AO2457" t="s">
        <v>54</v>
      </c>
      <c r="AP2457" t="s">
        <v>53</v>
      </c>
      <c r="AQ2457">
        <v>0</v>
      </c>
      <c r="AR2457" t="s">
        <v>53</v>
      </c>
      <c r="AS2457">
        <v>0</v>
      </c>
      <c r="AT2457">
        <v>0</v>
      </c>
      <c r="AW2457" t="s">
        <v>58</v>
      </c>
      <c r="AX2457">
        <v>20</v>
      </c>
      <c r="AY2457" s="1">
        <v>34700</v>
      </c>
      <c r="AZ2457" s="1">
        <v>34700</v>
      </c>
      <c r="BA2457" s="1">
        <v>34700</v>
      </c>
      <c r="BB2457" s="1">
        <v>42005</v>
      </c>
      <c r="BC2457" t="s">
        <v>51</v>
      </c>
      <c r="BE2457" t="s">
        <v>54</v>
      </c>
      <c r="BF2457">
        <v>2</v>
      </c>
      <c r="BG2457">
        <v>0</v>
      </c>
      <c r="BH2457" t="s">
        <v>53</v>
      </c>
      <c r="BK2457" t="s">
        <v>92</v>
      </c>
      <c r="BL2457">
        <v>14000</v>
      </c>
      <c r="BM2457" s="1">
        <v>44110</v>
      </c>
      <c r="BN2457" s="1">
        <v>44110</v>
      </c>
      <c r="BO2457" s="1">
        <v>44110</v>
      </c>
      <c r="BP2457" s="1">
        <v>45272</v>
      </c>
      <c r="BQ2457" t="s">
        <v>51</v>
      </c>
      <c r="BS2457" t="s">
        <v>60</v>
      </c>
      <c r="BT2457" t="s">
        <v>54</v>
      </c>
      <c r="BU2457" t="s">
        <v>61</v>
      </c>
      <c r="BV2457" t="s">
        <v>62</v>
      </c>
      <c r="BX2457">
        <v>55</v>
      </c>
      <c r="BY2457">
        <v>0</v>
      </c>
      <c r="BZ2457">
        <v>0</v>
      </c>
      <c r="CX2457" t="s">
        <v>674</v>
      </c>
      <c r="CY2457">
        <v>0</v>
      </c>
      <c r="CZ2457" s="1">
        <v>44320</v>
      </c>
      <c r="DA2457" s="1">
        <v>44320</v>
      </c>
      <c r="DB2457" s="1">
        <v>44320</v>
      </c>
      <c r="DC2457" s="1">
        <v>44320</v>
      </c>
      <c r="DD2457" t="s">
        <v>51</v>
      </c>
      <c r="DF2457" t="s">
        <v>54</v>
      </c>
      <c r="DG2457">
        <v>0</v>
      </c>
      <c r="DH2457">
        <v>0</v>
      </c>
    </row>
    <row r="2458" spans="1:112" x14ac:dyDescent="0.2">
      <c r="A2458" t="s">
        <v>1012</v>
      </c>
      <c r="B2458" t="s">
        <v>1013</v>
      </c>
      <c r="C2458" t="s">
        <v>1014</v>
      </c>
      <c r="D2458" t="s">
        <v>1096</v>
      </c>
      <c r="F2458" t="str">
        <f>"252029"</f>
        <v>252029</v>
      </c>
      <c r="G2458" t="s">
        <v>49</v>
      </c>
      <c r="H2458" t="s">
        <v>107</v>
      </c>
      <c r="K2458" t="s">
        <v>51</v>
      </c>
      <c r="L2458" t="s">
        <v>52</v>
      </c>
      <c r="M2458">
        <v>131618.88</v>
      </c>
      <c r="N2458">
        <v>474826.33</v>
      </c>
      <c r="O2458" t="s">
        <v>53</v>
      </c>
      <c r="P2458" t="s">
        <v>54</v>
      </c>
      <c r="Q2458" t="s">
        <v>55</v>
      </c>
      <c r="T2458" t="s">
        <v>1054</v>
      </c>
      <c r="U2458">
        <v>40</v>
      </c>
      <c r="V2458" s="1">
        <v>28126</v>
      </c>
      <c r="W2458" s="1">
        <v>28126</v>
      </c>
      <c r="X2458" s="1">
        <v>28126</v>
      </c>
      <c r="Y2458" s="1">
        <v>42736</v>
      </c>
      <c r="Z2458" t="s">
        <v>51</v>
      </c>
      <c r="AB2458" t="s">
        <v>54</v>
      </c>
      <c r="AC2458">
        <v>1</v>
      </c>
      <c r="AE2458" t="s">
        <v>91</v>
      </c>
      <c r="AF2458">
        <v>20</v>
      </c>
      <c r="AG2458" s="1">
        <v>34700</v>
      </c>
      <c r="AH2458" s="1">
        <v>34700</v>
      </c>
      <c r="AI2458" s="1">
        <v>34700</v>
      </c>
      <c r="AJ2458" s="1">
        <v>42005</v>
      </c>
      <c r="AK2458" t="s">
        <v>51</v>
      </c>
      <c r="AN2458">
        <v>0</v>
      </c>
      <c r="AO2458" t="s">
        <v>54</v>
      </c>
      <c r="AP2458" t="s">
        <v>53</v>
      </c>
      <c r="AQ2458">
        <v>0</v>
      </c>
      <c r="AR2458" t="s">
        <v>53</v>
      </c>
      <c r="AS2458">
        <v>0</v>
      </c>
      <c r="AT2458">
        <v>0</v>
      </c>
      <c r="AW2458" t="s">
        <v>58</v>
      </c>
      <c r="AX2458">
        <v>20</v>
      </c>
      <c r="AY2458" s="1">
        <v>34700</v>
      </c>
      <c r="AZ2458" s="1">
        <v>34700</v>
      </c>
      <c r="BA2458" s="1">
        <v>34700</v>
      </c>
      <c r="BB2458" s="1">
        <v>42005</v>
      </c>
      <c r="BC2458" t="s">
        <v>51</v>
      </c>
      <c r="BE2458" t="s">
        <v>54</v>
      </c>
      <c r="BF2458">
        <v>2</v>
      </c>
      <c r="BG2458">
        <v>0</v>
      </c>
      <c r="BH2458" t="s">
        <v>53</v>
      </c>
      <c r="BK2458" t="s">
        <v>92</v>
      </c>
      <c r="BL2458">
        <v>14000</v>
      </c>
      <c r="BM2458" s="1">
        <v>44110</v>
      </c>
      <c r="BN2458" s="1">
        <v>44110</v>
      </c>
      <c r="BO2458" s="1">
        <v>44110</v>
      </c>
      <c r="BP2458" s="1">
        <v>45272</v>
      </c>
      <c r="BQ2458" t="s">
        <v>51</v>
      </c>
      <c r="BS2458" t="s">
        <v>60</v>
      </c>
      <c r="BT2458" t="s">
        <v>54</v>
      </c>
      <c r="BU2458" t="s">
        <v>61</v>
      </c>
      <c r="BV2458" t="s">
        <v>62</v>
      </c>
      <c r="BX2458">
        <v>55</v>
      </c>
      <c r="BY2458">
        <v>0</v>
      </c>
      <c r="BZ2458">
        <v>0</v>
      </c>
      <c r="CX2458" t="s">
        <v>674</v>
      </c>
      <c r="CY2458">
        <v>0</v>
      </c>
      <c r="CZ2458" s="1">
        <v>44320</v>
      </c>
      <c r="DA2458" s="1">
        <v>44320</v>
      </c>
      <c r="DB2458" s="1">
        <v>44320</v>
      </c>
      <c r="DC2458" s="1">
        <v>44320</v>
      </c>
      <c r="DD2458" t="s">
        <v>51</v>
      </c>
      <c r="DF2458" t="s">
        <v>54</v>
      </c>
      <c r="DG2458">
        <v>0</v>
      </c>
      <c r="DH2458">
        <v>0</v>
      </c>
    </row>
    <row r="2459" spans="1:112" x14ac:dyDescent="0.2">
      <c r="A2459" t="s">
        <v>1012</v>
      </c>
      <c r="B2459" t="s">
        <v>1013</v>
      </c>
      <c r="C2459" t="s">
        <v>1014</v>
      </c>
      <c r="D2459" t="s">
        <v>1096</v>
      </c>
      <c r="F2459" t="str">
        <f>"252030"</f>
        <v>252030</v>
      </c>
      <c r="G2459" t="s">
        <v>49</v>
      </c>
      <c r="H2459" t="s">
        <v>484</v>
      </c>
      <c r="K2459" t="s">
        <v>51</v>
      </c>
      <c r="L2459" t="s">
        <v>52</v>
      </c>
      <c r="M2459">
        <v>131604.82999999999</v>
      </c>
      <c r="N2459">
        <v>474799.35</v>
      </c>
      <c r="O2459" t="s">
        <v>53</v>
      </c>
      <c r="P2459" t="s">
        <v>54</v>
      </c>
      <c r="Q2459" t="s">
        <v>55</v>
      </c>
      <c r="T2459" t="s">
        <v>1054</v>
      </c>
      <c r="U2459">
        <v>40</v>
      </c>
      <c r="V2459" s="1">
        <v>28126</v>
      </c>
      <c r="W2459" s="1">
        <v>28126</v>
      </c>
      <c r="X2459" s="1">
        <v>28126</v>
      </c>
      <c r="Y2459" s="1">
        <v>42736</v>
      </c>
      <c r="Z2459" t="s">
        <v>51</v>
      </c>
      <c r="AB2459" t="s">
        <v>54</v>
      </c>
      <c r="AC2459">
        <v>1</v>
      </c>
      <c r="AE2459" t="s">
        <v>91</v>
      </c>
      <c r="AF2459">
        <v>20</v>
      </c>
      <c r="AG2459" s="1">
        <v>34700</v>
      </c>
      <c r="AH2459" s="1">
        <v>34700</v>
      </c>
      <c r="AI2459" s="1">
        <v>34700</v>
      </c>
      <c r="AJ2459" s="1">
        <v>42005</v>
      </c>
      <c r="AK2459" t="s">
        <v>51</v>
      </c>
      <c r="AN2459">
        <v>0</v>
      </c>
      <c r="AO2459" t="s">
        <v>54</v>
      </c>
      <c r="AP2459" t="s">
        <v>53</v>
      </c>
      <c r="AQ2459">
        <v>0</v>
      </c>
      <c r="AR2459" t="s">
        <v>53</v>
      </c>
      <c r="AS2459">
        <v>0</v>
      </c>
      <c r="AT2459">
        <v>0</v>
      </c>
      <c r="AW2459" t="s">
        <v>58</v>
      </c>
      <c r="AX2459">
        <v>20</v>
      </c>
      <c r="AY2459" s="1">
        <v>34700</v>
      </c>
      <c r="AZ2459" s="1">
        <v>34700</v>
      </c>
      <c r="BA2459" s="1">
        <v>34700</v>
      </c>
      <c r="BB2459" s="1">
        <v>42005</v>
      </c>
      <c r="BC2459" t="s">
        <v>51</v>
      </c>
      <c r="BE2459" t="s">
        <v>54</v>
      </c>
      <c r="BF2459">
        <v>2</v>
      </c>
      <c r="BG2459">
        <v>0</v>
      </c>
      <c r="BH2459" t="s">
        <v>53</v>
      </c>
      <c r="BK2459" t="s">
        <v>92</v>
      </c>
      <c r="BL2459">
        <v>14000</v>
      </c>
      <c r="BM2459" s="1">
        <v>44110</v>
      </c>
      <c r="BN2459" s="1">
        <v>44110</v>
      </c>
      <c r="BO2459" s="1">
        <v>44110</v>
      </c>
      <c r="BP2459" s="1">
        <v>45272</v>
      </c>
      <c r="BQ2459" t="s">
        <v>51</v>
      </c>
      <c r="BS2459" t="s">
        <v>60</v>
      </c>
      <c r="BT2459" t="s">
        <v>54</v>
      </c>
      <c r="BU2459" t="s">
        <v>61</v>
      </c>
      <c r="BV2459" t="s">
        <v>62</v>
      </c>
      <c r="BX2459">
        <v>55</v>
      </c>
      <c r="BY2459">
        <v>0</v>
      </c>
      <c r="BZ2459">
        <v>0</v>
      </c>
      <c r="CX2459" t="s">
        <v>674</v>
      </c>
      <c r="CY2459">
        <v>0</v>
      </c>
      <c r="CZ2459" s="1">
        <v>44320</v>
      </c>
      <c r="DA2459" s="1">
        <v>44320</v>
      </c>
      <c r="DB2459" s="1">
        <v>44320</v>
      </c>
      <c r="DC2459" s="1">
        <v>44320</v>
      </c>
      <c r="DD2459" t="s">
        <v>51</v>
      </c>
      <c r="DF2459" t="s">
        <v>54</v>
      </c>
      <c r="DG2459">
        <v>0</v>
      </c>
      <c r="DH2459">
        <v>0</v>
      </c>
    </row>
    <row r="2460" spans="1:112" x14ac:dyDescent="0.2">
      <c r="A2460" t="s">
        <v>1012</v>
      </c>
      <c r="B2460" t="s">
        <v>1013</v>
      </c>
      <c r="C2460" t="s">
        <v>1014</v>
      </c>
      <c r="D2460" t="s">
        <v>1071</v>
      </c>
      <c r="F2460" t="str">
        <f>"252031"</f>
        <v>252031</v>
      </c>
      <c r="G2460" t="s">
        <v>49</v>
      </c>
      <c r="H2460" t="s">
        <v>129</v>
      </c>
      <c r="K2460" t="s">
        <v>51</v>
      </c>
      <c r="L2460" t="s">
        <v>52</v>
      </c>
      <c r="M2460">
        <v>131621.01999999999</v>
      </c>
      <c r="N2460">
        <v>474789.42</v>
      </c>
      <c r="O2460" t="s">
        <v>53</v>
      </c>
      <c r="P2460" t="s">
        <v>54</v>
      </c>
      <c r="Q2460" t="s">
        <v>55</v>
      </c>
      <c r="T2460" t="s">
        <v>111</v>
      </c>
      <c r="U2460">
        <v>40</v>
      </c>
      <c r="V2460" s="1">
        <v>25569</v>
      </c>
      <c r="W2460" s="1">
        <v>25569</v>
      </c>
      <c r="X2460" s="1">
        <v>25569</v>
      </c>
      <c r="Y2460" s="1">
        <v>40179</v>
      </c>
      <c r="Z2460" t="s">
        <v>51</v>
      </c>
      <c r="AB2460" t="s">
        <v>54</v>
      </c>
      <c r="AC2460">
        <v>1</v>
      </c>
      <c r="AE2460" t="s">
        <v>84</v>
      </c>
      <c r="AF2460">
        <v>20</v>
      </c>
      <c r="AG2460" s="1">
        <v>32874</v>
      </c>
      <c r="AH2460" s="1">
        <v>32874</v>
      </c>
      <c r="AI2460" s="1">
        <v>32874</v>
      </c>
      <c r="AJ2460" s="1">
        <v>40179</v>
      </c>
      <c r="AK2460" t="s">
        <v>51</v>
      </c>
      <c r="AN2460">
        <v>0</v>
      </c>
      <c r="AO2460" t="s">
        <v>54</v>
      </c>
      <c r="AP2460" t="s">
        <v>53</v>
      </c>
      <c r="AQ2460">
        <v>0</v>
      </c>
      <c r="AR2460" t="s">
        <v>53</v>
      </c>
      <c r="AS2460">
        <v>0</v>
      </c>
      <c r="AT2460">
        <v>0</v>
      </c>
      <c r="AW2460" t="s">
        <v>58</v>
      </c>
      <c r="AX2460">
        <v>20</v>
      </c>
      <c r="AY2460" s="1">
        <v>32874</v>
      </c>
      <c r="AZ2460" s="1">
        <v>32874</v>
      </c>
      <c r="BA2460" s="1">
        <v>32874</v>
      </c>
      <c r="BB2460" s="1">
        <v>40179</v>
      </c>
      <c r="BC2460" t="s">
        <v>51</v>
      </c>
      <c r="BE2460" t="s">
        <v>54</v>
      </c>
      <c r="BF2460">
        <v>2</v>
      </c>
      <c r="BG2460">
        <v>0</v>
      </c>
      <c r="BH2460" t="s">
        <v>53</v>
      </c>
      <c r="BK2460" t="s">
        <v>59</v>
      </c>
      <c r="BL2460">
        <v>14000</v>
      </c>
      <c r="BM2460" s="1">
        <v>44110</v>
      </c>
      <c r="BN2460" s="1">
        <v>44110</v>
      </c>
      <c r="BO2460" s="1">
        <v>44110</v>
      </c>
      <c r="BP2460" s="1">
        <v>45272</v>
      </c>
      <c r="BQ2460" t="s">
        <v>51</v>
      </c>
      <c r="BS2460" t="s">
        <v>60</v>
      </c>
      <c r="BT2460" t="s">
        <v>54</v>
      </c>
      <c r="BU2460" t="s">
        <v>61</v>
      </c>
      <c r="BV2460" t="s">
        <v>62</v>
      </c>
      <c r="BX2460">
        <v>24</v>
      </c>
      <c r="BY2460">
        <v>0</v>
      </c>
      <c r="BZ2460">
        <v>0</v>
      </c>
      <c r="CX2460" t="s">
        <v>360</v>
      </c>
      <c r="CY2460">
        <v>40</v>
      </c>
      <c r="CZ2460" s="1">
        <v>44320</v>
      </c>
      <c r="DA2460" s="1">
        <v>44320</v>
      </c>
      <c r="DB2460" s="1">
        <v>44320</v>
      </c>
      <c r="DC2460" s="1">
        <v>58930</v>
      </c>
      <c r="DD2460" t="s">
        <v>51</v>
      </c>
      <c r="DF2460" t="s">
        <v>54</v>
      </c>
      <c r="DG2460">
        <v>0</v>
      </c>
      <c r="DH2460">
        <v>0</v>
      </c>
    </row>
    <row r="2461" spans="1:112" x14ac:dyDescent="0.2">
      <c r="A2461" t="s">
        <v>1012</v>
      </c>
      <c r="B2461" t="s">
        <v>1013</v>
      </c>
      <c r="C2461" t="s">
        <v>1014</v>
      </c>
      <c r="D2461" t="s">
        <v>1096</v>
      </c>
      <c r="F2461" t="str">
        <f>"252032"</f>
        <v>252032</v>
      </c>
      <c r="G2461" t="s">
        <v>49</v>
      </c>
      <c r="H2461" t="s">
        <v>1097</v>
      </c>
      <c r="K2461" t="s">
        <v>51</v>
      </c>
      <c r="L2461" t="s">
        <v>52</v>
      </c>
      <c r="M2461">
        <v>131600.72</v>
      </c>
      <c r="N2461">
        <v>474770.57</v>
      </c>
      <c r="O2461" t="s">
        <v>53</v>
      </c>
      <c r="P2461" t="s">
        <v>54</v>
      </c>
      <c r="Q2461" t="s">
        <v>55</v>
      </c>
      <c r="T2461" t="s">
        <v>1054</v>
      </c>
      <c r="U2461">
        <v>40</v>
      </c>
      <c r="V2461" s="1">
        <v>28126</v>
      </c>
      <c r="W2461" s="1">
        <v>28126</v>
      </c>
      <c r="X2461" s="1">
        <v>28126</v>
      </c>
      <c r="Y2461" s="1">
        <v>42736</v>
      </c>
      <c r="Z2461" t="s">
        <v>51</v>
      </c>
      <c r="AB2461" t="s">
        <v>54</v>
      </c>
      <c r="AC2461">
        <v>1</v>
      </c>
      <c r="AE2461" t="s">
        <v>91</v>
      </c>
      <c r="AF2461">
        <v>20</v>
      </c>
      <c r="AG2461" s="1">
        <v>34700</v>
      </c>
      <c r="AH2461" s="1">
        <v>34700</v>
      </c>
      <c r="AI2461" s="1">
        <v>34700</v>
      </c>
      <c r="AJ2461" s="1">
        <v>42005</v>
      </c>
      <c r="AK2461" t="s">
        <v>51</v>
      </c>
      <c r="AN2461">
        <v>0</v>
      </c>
      <c r="AO2461" t="s">
        <v>54</v>
      </c>
      <c r="AP2461" t="s">
        <v>53</v>
      </c>
      <c r="AQ2461">
        <v>0</v>
      </c>
      <c r="AR2461" t="s">
        <v>53</v>
      </c>
      <c r="AS2461">
        <v>0</v>
      </c>
      <c r="AT2461">
        <v>0</v>
      </c>
      <c r="AW2461" t="s">
        <v>58</v>
      </c>
      <c r="AX2461">
        <v>20</v>
      </c>
      <c r="AY2461" s="1">
        <v>44949</v>
      </c>
      <c r="AZ2461" s="1">
        <v>44949</v>
      </c>
      <c r="BA2461" s="1">
        <v>44949</v>
      </c>
      <c r="BB2461" s="1">
        <v>52254</v>
      </c>
      <c r="BC2461" t="s">
        <v>51</v>
      </c>
      <c r="BE2461" t="s">
        <v>54</v>
      </c>
      <c r="BF2461">
        <v>2</v>
      </c>
      <c r="BG2461">
        <v>0</v>
      </c>
      <c r="BH2461" t="s">
        <v>53</v>
      </c>
      <c r="BK2461" t="s">
        <v>92</v>
      </c>
      <c r="BL2461">
        <v>14000</v>
      </c>
      <c r="BM2461" s="1">
        <v>44110</v>
      </c>
      <c r="BN2461" s="1">
        <v>44110</v>
      </c>
      <c r="BO2461" s="1">
        <v>44949</v>
      </c>
      <c r="BP2461" s="1">
        <v>45272</v>
      </c>
      <c r="BQ2461" t="s">
        <v>51</v>
      </c>
      <c r="BS2461" t="s">
        <v>60</v>
      </c>
      <c r="BT2461" t="s">
        <v>54</v>
      </c>
      <c r="BU2461" t="s">
        <v>61</v>
      </c>
      <c r="BV2461" t="s">
        <v>62</v>
      </c>
      <c r="BX2461">
        <v>55</v>
      </c>
      <c r="BY2461">
        <v>0</v>
      </c>
      <c r="BZ2461">
        <v>0</v>
      </c>
      <c r="CX2461" t="s">
        <v>674</v>
      </c>
      <c r="CY2461">
        <v>0</v>
      </c>
      <c r="CZ2461" s="1">
        <v>44320</v>
      </c>
      <c r="DA2461" s="1">
        <v>44320</v>
      </c>
      <c r="DB2461" s="1">
        <v>44320</v>
      </c>
      <c r="DC2461" s="1">
        <v>44320</v>
      </c>
      <c r="DD2461" t="s">
        <v>51</v>
      </c>
      <c r="DF2461" t="s">
        <v>54</v>
      </c>
      <c r="DG2461">
        <v>0</v>
      </c>
      <c r="DH2461">
        <v>0</v>
      </c>
    </row>
    <row r="2462" spans="1:112" x14ac:dyDescent="0.2">
      <c r="A2462" t="s">
        <v>1012</v>
      </c>
      <c r="B2462" t="s">
        <v>1013</v>
      </c>
      <c r="C2462" t="s">
        <v>1014</v>
      </c>
      <c r="D2462" t="s">
        <v>1096</v>
      </c>
      <c r="F2462" t="str">
        <f>"252033"</f>
        <v>252033</v>
      </c>
      <c r="G2462" t="s">
        <v>49</v>
      </c>
      <c r="H2462" t="s">
        <v>1098</v>
      </c>
      <c r="K2462" t="s">
        <v>51</v>
      </c>
      <c r="L2462" t="s">
        <v>52</v>
      </c>
      <c r="M2462">
        <v>131606.22</v>
      </c>
      <c r="N2462">
        <v>474740.45</v>
      </c>
      <c r="O2462" t="s">
        <v>53</v>
      </c>
      <c r="P2462" t="s">
        <v>54</v>
      </c>
      <c r="Q2462" t="s">
        <v>55</v>
      </c>
      <c r="T2462" t="s">
        <v>1054</v>
      </c>
      <c r="U2462">
        <v>40</v>
      </c>
      <c r="V2462" s="1">
        <v>28126</v>
      </c>
      <c r="W2462" s="1">
        <v>28126</v>
      </c>
      <c r="X2462" s="1">
        <v>28126</v>
      </c>
      <c r="Y2462" s="1">
        <v>42736</v>
      </c>
      <c r="Z2462" t="s">
        <v>51</v>
      </c>
      <c r="AB2462" t="s">
        <v>54</v>
      </c>
      <c r="AC2462">
        <v>1</v>
      </c>
      <c r="AE2462" t="s">
        <v>91</v>
      </c>
      <c r="AF2462">
        <v>20</v>
      </c>
      <c r="AG2462" s="1">
        <v>34700</v>
      </c>
      <c r="AH2462" s="1">
        <v>34700</v>
      </c>
      <c r="AI2462" s="1">
        <v>34700</v>
      </c>
      <c r="AJ2462" s="1">
        <v>42005</v>
      </c>
      <c r="AK2462" t="s">
        <v>51</v>
      </c>
      <c r="AN2462">
        <v>0</v>
      </c>
      <c r="AO2462" t="s">
        <v>54</v>
      </c>
      <c r="AP2462" t="s">
        <v>53</v>
      </c>
      <c r="AQ2462">
        <v>0</v>
      </c>
      <c r="AR2462" t="s">
        <v>53</v>
      </c>
      <c r="AS2462">
        <v>0</v>
      </c>
      <c r="AT2462">
        <v>0</v>
      </c>
      <c r="AW2462" t="s">
        <v>58</v>
      </c>
      <c r="AX2462">
        <v>20</v>
      </c>
      <c r="AY2462" s="1">
        <v>34700</v>
      </c>
      <c r="AZ2462" s="1">
        <v>34700</v>
      </c>
      <c r="BA2462" s="1">
        <v>34700</v>
      </c>
      <c r="BB2462" s="1">
        <v>42005</v>
      </c>
      <c r="BC2462" t="s">
        <v>51</v>
      </c>
      <c r="BE2462" t="s">
        <v>54</v>
      </c>
      <c r="BF2462">
        <v>2</v>
      </c>
      <c r="BG2462">
        <v>0</v>
      </c>
      <c r="BH2462" t="s">
        <v>53</v>
      </c>
      <c r="BK2462" t="s">
        <v>92</v>
      </c>
      <c r="BL2462">
        <v>14000</v>
      </c>
      <c r="BM2462" s="1">
        <v>44110</v>
      </c>
      <c r="BN2462" s="1">
        <v>44110</v>
      </c>
      <c r="BO2462" s="1">
        <v>44110</v>
      </c>
      <c r="BP2462" s="1">
        <v>45272</v>
      </c>
      <c r="BQ2462" t="s">
        <v>51</v>
      </c>
      <c r="BS2462" t="s">
        <v>60</v>
      </c>
      <c r="BT2462" t="s">
        <v>54</v>
      </c>
      <c r="BU2462" t="s">
        <v>61</v>
      </c>
      <c r="BV2462" t="s">
        <v>62</v>
      </c>
      <c r="BX2462">
        <v>55</v>
      </c>
      <c r="BY2462">
        <v>0</v>
      </c>
      <c r="BZ2462">
        <v>0</v>
      </c>
      <c r="CX2462" t="s">
        <v>674</v>
      </c>
      <c r="CY2462">
        <v>0</v>
      </c>
      <c r="CZ2462" s="1">
        <v>44320</v>
      </c>
      <c r="DA2462" s="1">
        <v>44320</v>
      </c>
      <c r="DB2462" s="1">
        <v>44320</v>
      </c>
      <c r="DC2462" s="1">
        <v>44320</v>
      </c>
      <c r="DD2462" t="s">
        <v>51</v>
      </c>
      <c r="DF2462" t="s">
        <v>54</v>
      </c>
      <c r="DG2462">
        <v>0</v>
      </c>
      <c r="DH2462">
        <v>0</v>
      </c>
    </row>
    <row r="2463" spans="1:112" x14ac:dyDescent="0.2">
      <c r="A2463" t="s">
        <v>1012</v>
      </c>
      <c r="B2463" t="s">
        <v>1013</v>
      </c>
      <c r="C2463" t="s">
        <v>1014</v>
      </c>
      <c r="D2463" t="s">
        <v>1096</v>
      </c>
      <c r="F2463" t="str">
        <f>"252034"</f>
        <v>252034</v>
      </c>
      <c r="G2463" t="s">
        <v>49</v>
      </c>
      <c r="H2463" t="s">
        <v>208</v>
      </c>
      <c r="K2463" t="s">
        <v>51</v>
      </c>
      <c r="L2463" t="s">
        <v>52</v>
      </c>
      <c r="M2463">
        <v>131592.88</v>
      </c>
      <c r="N2463">
        <v>474712.96</v>
      </c>
      <c r="O2463" t="s">
        <v>53</v>
      </c>
      <c r="P2463" t="s">
        <v>54</v>
      </c>
      <c r="Q2463" t="s">
        <v>55</v>
      </c>
      <c r="T2463" t="s">
        <v>1054</v>
      </c>
      <c r="U2463">
        <v>40</v>
      </c>
      <c r="V2463" s="1">
        <v>28126</v>
      </c>
      <c r="W2463" s="1">
        <v>28126</v>
      </c>
      <c r="X2463" s="1">
        <v>28126</v>
      </c>
      <c r="Y2463" s="1">
        <v>42736</v>
      </c>
      <c r="Z2463" t="s">
        <v>51</v>
      </c>
      <c r="AB2463" t="s">
        <v>54</v>
      </c>
      <c r="AC2463">
        <v>1</v>
      </c>
      <c r="AE2463" t="s">
        <v>91</v>
      </c>
      <c r="AF2463">
        <v>20</v>
      </c>
      <c r="AG2463" s="1">
        <v>34700</v>
      </c>
      <c r="AH2463" s="1">
        <v>34700</v>
      </c>
      <c r="AI2463" s="1">
        <v>34700</v>
      </c>
      <c r="AJ2463" s="1">
        <v>42005</v>
      </c>
      <c r="AK2463" t="s">
        <v>51</v>
      </c>
      <c r="AN2463">
        <v>0</v>
      </c>
      <c r="AO2463" t="s">
        <v>54</v>
      </c>
      <c r="AP2463" t="s">
        <v>53</v>
      </c>
      <c r="AQ2463">
        <v>0</v>
      </c>
      <c r="AR2463" t="s">
        <v>53</v>
      </c>
      <c r="AS2463">
        <v>0</v>
      </c>
      <c r="AT2463">
        <v>0</v>
      </c>
      <c r="AW2463" t="s">
        <v>58</v>
      </c>
      <c r="AX2463">
        <v>20</v>
      </c>
      <c r="AY2463" s="1">
        <v>34700</v>
      </c>
      <c r="AZ2463" s="1">
        <v>34700</v>
      </c>
      <c r="BA2463" s="1">
        <v>34700</v>
      </c>
      <c r="BB2463" s="1">
        <v>42005</v>
      </c>
      <c r="BC2463" t="s">
        <v>51</v>
      </c>
      <c r="BE2463" t="s">
        <v>54</v>
      </c>
      <c r="BF2463">
        <v>2</v>
      </c>
      <c r="BG2463">
        <v>0</v>
      </c>
      <c r="BH2463" t="s">
        <v>53</v>
      </c>
      <c r="BK2463" t="s">
        <v>92</v>
      </c>
      <c r="BL2463">
        <v>14000</v>
      </c>
      <c r="BM2463" s="1">
        <v>44110</v>
      </c>
      <c r="BN2463" s="1">
        <v>44110</v>
      </c>
      <c r="BO2463" s="1">
        <v>44110</v>
      </c>
      <c r="BP2463" s="1">
        <v>45272</v>
      </c>
      <c r="BQ2463" t="s">
        <v>51</v>
      </c>
      <c r="BS2463" t="s">
        <v>60</v>
      </c>
      <c r="BT2463" t="s">
        <v>54</v>
      </c>
      <c r="BU2463" t="s">
        <v>61</v>
      </c>
      <c r="BV2463" t="s">
        <v>62</v>
      </c>
      <c r="BX2463">
        <v>55</v>
      </c>
      <c r="BY2463">
        <v>0</v>
      </c>
      <c r="BZ2463">
        <v>0</v>
      </c>
      <c r="CX2463" t="s">
        <v>674</v>
      </c>
      <c r="CY2463">
        <v>0</v>
      </c>
      <c r="CZ2463" s="1">
        <v>44320</v>
      </c>
      <c r="DA2463" s="1">
        <v>44320</v>
      </c>
      <c r="DB2463" s="1">
        <v>44320</v>
      </c>
      <c r="DC2463" s="1">
        <v>44320</v>
      </c>
      <c r="DD2463" t="s">
        <v>51</v>
      </c>
      <c r="DF2463" t="s">
        <v>54</v>
      </c>
      <c r="DG2463">
        <v>0</v>
      </c>
      <c r="DH2463">
        <v>0</v>
      </c>
    </row>
    <row r="2464" spans="1:112" x14ac:dyDescent="0.2">
      <c r="A2464" t="s">
        <v>1012</v>
      </c>
      <c r="B2464" t="s">
        <v>1013</v>
      </c>
      <c r="C2464" t="s">
        <v>1014</v>
      </c>
      <c r="D2464" t="s">
        <v>1096</v>
      </c>
      <c r="F2464" t="str">
        <f>"252035"</f>
        <v>252035</v>
      </c>
      <c r="G2464" t="s">
        <v>49</v>
      </c>
      <c r="H2464" t="s">
        <v>598</v>
      </c>
      <c r="K2464" t="s">
        <v>51</v>
      </c>
      <c r="L2464" t="s">
        <v>52</v>
      </c>
      <c r="M2464">
        <v>131600.21</v>
      </c>
      <c r="N2464">
        <v>474682.96</v>
      </c>
      <c r="O2464" t="s">
        <v>53</v>
      </c>
      <c r="P2464" t="s">
        <v>54</v>
      </c>
      <c r="Q2464" t="s">
        <v>55</v>
      </c>
      <c r="T2464" t="s">
        <v>1054</v>
      </c>
      <c r="U2464">
        <v>40</v>
      </c>
      <c r="V2464" s="1">
        <v>28126</v>
      </c>
      <c r="W2464" s="1">
        <v>28126</v>
      </c>
      <c r="X2464" s="1">
        <v>28126</v>
      </c>
      <c r="Y2464" s="1">
        <v>42736</v>
      </c>
      <c r="Z2464" t="s">
        <v>51</v>
      </c>
      <c r="AB2464" t="s">
        <v>54</v>
      </c>
      <c r="AC2464">
        <v>1</v>
      </c>
      <c r="AE2464" t="s">
        <v>91</v>
      </c>
      <c r="AF2464">
        <v>20</v>
      </c>
      <c r="AG2464" s="1">
        <v>34700</v>
      </c>
      <c r="AH2464" s="1">
        <v>34700</v>
      </c>
      <c r="AI2464" s="1">
        <v>34700</v>
      </c>
      <c r="AJ2464" s="1">
        <v>42005</v>
      </c>
      <c r="AK2464" t="s">
        <v>51</v>
      </c>
      <c r="AN2464">
        <v>0</v>
      </c>
      <c r="AO2464" t="s">
        <v>54</v>
      </c>
      <c r="AP2464" t="s">
        <v>53</v>
      </c>
      <c r="AQ2464">
        <v>0</v>
      </c>
      <c r="AR2464" t="s">
        <v>53</v>
      </c>
      <c r="AS2464">
        <v>0</v>
      </c>
      <c r="AT2464">
        <v>0</v>
      </c>
      <c r="AW2464" t="s">
        <v>58</v>
      </c>
      <c r="AX2464">
        <v>20</v>
      </c>
      <c r="AY2464" s="1">
        <v>34700</v>
      </c>
      <c r="AZ2464" s="1">
        <v>34700</v>
      </c>
      <c r="BA2464" s="1">
        <v>34700</v>
      </c>
      <c r="BB2464" s="1">
        <v>42005</v>
      </c>
      <c r="BC2464" t="s">
        <v>51</v>
      </c>
      <c r="BE2464" t="s">
        <v>54</v>
      </c>
      <c r="BF2464">
        <v>2</v>
      </c>
      <c r="BG2464">
        <v>0</v>
      </c>
      <c r="BH2464" t="s">
        <v>53</v>
      </c>
      <c r="BK2464" t="s">
        <v>92</v>
      </c>
      <c r="BL2464">
        <v>14000</v>
      </c>
      <c r="BM2464" s="1">
        <v>44110</v>
      </c>
      <c r="BN2464" s="1">
        <v>44110</v>
      </c>
      <c r="BO2464" s="1">
        <v>44110</v>
      </c>
      <c r="BP2464" s="1">
        <v>45272</v>
      </c>
      <c r="BQ2464" t="s">
        <v>51</v>
      </c>
      <c r="BS2464" t="s">
        <v>60</v>
      </c>
      <c r="BT2464" t="s">
        <v>54</v>
      </c>
      <c r="BU2464" t="s">
        <v>61</v>
      </c>
      <c r="BV2464" t="s">
        <v>62</v>
      </c>
      <c r="BX2464">
        <v>55</v>
      </c>
      <c r="BY2464">
        <v>0</v>
      </c>
      <c r="BZ2464">
        <v>0</v>
      </c>
      <c r="CX2464" t="s">
        <v>674</v>
      </c>
      <c r="CY2464">
        <v>0</v>
      </c>
      <c r="CZ2464" s="1">
        <v>44320</v>
      </c>
      <c r="DA2464" s="1">
        <v>44320</v>
      </c>
      <c r="DB2464" s="1">
        <v>44320</v>
      </c>
      <c r="DC2464" s="1">
        <v>44320</v>
      </c>
      <c r="DD2464" t="s">
        <v>51</v>
      </c>
      <c r="DF2464" t="s">
        <v>54</v>
      </c>
      <c r="DG2464">
        <v>0</v>
      </c>
      <c r="DH2464">
        <v>0</v>
      </c>
    </row>
    <row r="2465" spans="1:112" x14ac:dyDescent="0.2">
      <c r="A2465" t="s">
        <v>1012</v>
      </c>
      <c r="B2465" t="s">
        <v>1013</v>
      </c>
      <c r="C2465" t="s">
        <v>1014</v>
      </c>
      <c r="D2465" t="s">
        <v>1096</v>
      </c>
      <c r="F2465" t="str">
        <f>"252037"</f>
        <v>252037</v>
      </c>
      <c r="G2465" t="s">
        <v>49</v>
      </c>
      <c r="K2465" t="s">
        <v>51</v>
      </c>
      <c r="L2465" t="s">
        <v>52</v>
      </c>
      <c r="M2465">
        <v>131589.88</v>
      </c>
      <c r="N2465">
        <v>474626.26</v>
      </c>
      <c r="O2465" t="s">
        <v>53</v>
      </c>
      <c r="P2465" t="s">
        <v>54</v>
      </c>
      <c r="Q2465" t="s">
        <v>55</v>
      </c>
      <c r="T2465" t="s">
        <v>1054</v>
      </c>
      <c r="U2465">
        <v>40</v>
      </c>
      <c r="V2465" s="1">
        <v>28126</v>
      </c>
      <c r="W2465" s="1">
        <v>28126</v>
      </c>
      <c r="X2465" s="1">
        <v>28126</v>
      </c>
      <c r="Y2465" s="1">
        <v>42736</v>
      </c>
      <c r="Z2465" t="s">
        <v>51</v>
      </c>
      <c r="AB2465" t="s">
        <v>54</v>
      </c>
      <c r="AC2465">
        <v>1</v>
      </c>
      <c r="AE2465" t="s">
        <v>91</v>
      </c>
      <c r="AF2465">
        <v>20</v>
      </c>
      <c r="AG2465" s="1">
        <v>34700</v>
      </c>
      <c r="AH2465" s="1">
        <v>34700</v>
      </c>
      <c r="AI2465" s="1">
        <v>34700</v>
      </c>
      <c r="AJ2465" s="1">
        <v>42005</v>
      </c>
      <c r="AK2465" t="s">
        <v>51</v>
      </c>
      <c r="AN2465">
        <v>0</v>
      </c>
      <c r="AO2465" t="s">
        <v>54</v>
      </c>
      <c r="AP2465" t="s">
        <v>53</v>
      </c>
      <c r="AQ2465">
        <v>0</v>
      </c>
      <c r="AR2465" t="s">
        <v>53</v>
      </c>
      <c r="AS2465">
        <v>0</v>
      </c>
      <c r="AT2465">
        <v>0</v>
      </c>
      <c r="AW2465" t="s">
        <v>58</v>
      </c>
      <c r="AX2465">
        <v>20</v>
      </c>
      <c r="AY2465" s="1">
        <v>34700</v>
      </c>
      <c r="AZ2465" s="1">
        <v>34700</v>
      </c>
      <c r="BA2465" s="1">
        <v>34700</v>
      </c>
      <c r="BB2465" s="1">
        <v>42005</v>
      </c>
      <c r="BC2465" t="s">
        <v>51</v>
      </c>
      <c r="BE2465" t="s">
        <v>54</v>
      </c>
      <c r="BF2465">
        <v>2</v>
      </c>
      <c r="BG2465">
        <v>0</v>
      </c>
      <c r="BH2465" t="s">
        <v>53</v>
      </c>
      <c r="BK2465" t="s">
        <v>92</v>
      </c>
      <c r="BL2465">
        <v>14000</v>
      </c>
      <c r="BM2465" s="1">
        <v>44110</v>
      </c>
      <c r="BN2465" s="1">
        <v>44110</v>
      </c>
      <c r="BO2465" s="1">
        <v>44110</v>
      </c>
      <c r="BP2465" s="1">
        <v>45272</v>
      </c>
      <c r="BQ2465" t="s">
        <v>51</v>
      </c>
      <c r="BS2465" t="s">
        <v>60</v>
      </c>
      <c r="BT2465" t="s">
        <v>54</v>
      </c>
      <c r="BU2465" t="s">
        <v>61</v>
      </c>
      <c r="BV2465" t="s">
        <v>62</v>
      </c>
      <c r="BX2465">
        <v>55</v>
      </c>
      <c r="BY2465">
        <v>0</v>
      </c>
      <c r="BZ2465">
        <v>0</v>
      </c>
      <c r="CX2465" t="s">
        <v>674</v>
      </c>
      <c r="CY2465">
        <v>0</v>
      </c>
      <c r="CZ2465" s="1">
        <v>44320</v>
      </c>
      <c r="DA2465" s="1">
        <v>44320</v>
      </c>
      <c r="DB2465" s="1">
        <v>44320</v>
      </c>
      <c r="DC2465" s="1">
        <v>44320</v>
      </c>
      <c r="DD2465" t="s">
        <v>51</v>
      </c>
      <c r="DF2465" t="s">
        <v>54</v>
      </c>
      <c r="DG2465">
        <v>0</v>
      </c>
      <c r="DH2465">
        <v>0</v>
      </c>
    </row>
    <row r="2466" spans="1:112" x14ac:dyDescent="0.2">
      <c r="A2466" t="s">
        <v>1012</v>
      </c>
      <c r="B2466" t="s">
        <v>1013</v>
      </c>
      <c r="C2466" t="s">
        <v>1014</v>
      </c>
      <c r="D2466" t="s">
        <v>1096</v>
      </c>
      <c r="F2466" t="str">
        <f>"252039"</f>
        <v>252039</v>
      </c>
      <c r="G2466" t="s">
        <v>49</v>
      </c>
      <c r="K2466" t="s">
        <v>51</v>
      </c>
      <c r="L2466" t="s">
        <v>52</v>
      </c>
      <c r="M2466">
        <v>131576.09</v>
      </c>
      <c r="N2466">
        <v>474598.88</v>
      </c>
      <c r="O2466" t="s">
        <v>53</v>
      </c>
      <c r="P2466" t="s">
        <v>54</v>
      </c>
      <c r="Q2466" t="s">
        <v>55</v>
      </c>
      <c r="T2466" t="s">
        <v>1054</v>
      </c>
      <c r="U2466">
        <v>40</v>
      </c>
      <c r="V2466" s="1">
        <v>28126</v>
      </c>
      <c r="W2466" s="1">
        <v>28126</v>
      </c>
      <c r="X2466" s="1">
        <v>28126</v>
      </c>
      <c r="Y2466" s="1">
        <v>42736</v>
      </c>
      <c r="Z2466" t="s">
        <v>51</v>
      </c>
      <c r="AB2466" t="s">
        <v>54</v>
      </c>
      <c r="AC2466">
        <v>1</v>
      </c>
      <c r="AE2466" t="s">
        <v>91</v>
      </c>
      <c r="AF2466">
        <v>20</v>
      </c>
      <c r="AG2466" s="1">
        <v>34700</v>
      </c>
      <c r="AH2466" s="1">
        <v>34700</v>
      </c>
      <c r="AI2466" s="1">
        <v>34700</v>
      </c>
      <c r="AJ2466" s="1">
        <v>42005</v>
      </c>
      <c r="AK2466" t="s">
        <v>51</v>
      </c>
      <c r="AN2466">
        <v>0</v>
      </c>
      <c r="AO2466" t="s">
        <v>54</v>
      </c>
      <c r="AP2466" t="s">
        <v>53</v>
      </c>
      <c r="AQ2466">
        <v>0</v>
      </c>
      <c r="AR2466" t="s">
        <v>53</v>
      </c>
      <c r="AS2466">
        <v>0</v>
      </c>
      <c r="AT2466">
        <v>0</v>
      </c>
      <c r="AW2466" t="s">
        <v>58</v>
      </c>
      <c r="AX2466">
        <v>20</v>
      </c>
      <c r="AY2466" s="1">
        <v>34700</v>
      </c>
      <c r="AZ2466" s="1">
        <v>34700</v>
      </c>
      <c r="BA2466" s="1">
        <v>34700</v>
      </c>
      <c r="BB2466" s="1">
        <v>42005</v>
      </c>
      <c r="BC2466" t="s">
        <v>51</v>
      </c>
      <c r="BE2466" t="s">
        <v>54</v>
      </c>
      <c r="BF2466">
        <v>2</v>
      </c>
      <c r="BG2466">
        <v>0</v>
      </c>
      <c r="BH2466" t="s">
        <v>53</v>
      </c>
      <c r="BK2466" t="s">
        <v>92</v>
      </c>
      <c r="BL2466">
        <v>14000</v>
      </c>
      <c r="BM2466" s="1">
        <v>44110</v>
      </c>
      <c r="BN2466" s="1">
        <v>44110</v>
      </c>
      <c r="BO2466" s="1">
        <v>44110</v>
      </c>
      <c r="BP2466" s="1">
        <v>45272</v>
      </c>
      <c r="BQ2466" t="s">
        <v>51</v>
      </c>
      <c r="BS2466" t="s">
        <v>60</v>
      </c>
      <c r="BT2466" t="s">
        <v>54</v>
      </c>
      <c r="BU2466" t="s">
        <v>61</v>
      </c>
      <c r="BV2466" t="s">
        <v>62</v>
      </c>
      <c r="BX2466">
        <v>55</v>
      </c>
      <c r="BY2466">
        <v>0</v>
      </c>
      <c r="BZ2466">
        <v>0</v>
      </c>
      <c r="CX2466" t="s">
        <v>674</v>
      </c>
      <c r="CY2466">
        <v>0</v>
      </c>
      <c r="CZ2466" s="1">
        <v>44320</v>
      </c>
      <c r="DA2466" s="1">
        <v>44320</v>
      </c>
      <c r="DB2466" s="1">
        <v>44320</v>
      </c>
      <c r="DC2466" s="1">
        <v>44320</v>
      </c>
      <c r="DD2466" t="s">
        <v>51</v>
      </c>
      <c r="DF2466" t="s">
        <v>54</v>
      </c>
      <c r="DG2466">
        <v>0</v>
      </c>
      <c r="DH2466">
        <v>0</v>
      </c>
    </row>
    <row r="2467" spans="1:112" x14ac:dyDescent="0.2">
      <c r="A2467" t="s">
        <v>1012</v>
      </c>
      <c r="B2467" t="s">
        <v>1013</v>
      </c>
      <c r="C2467" t="s">
        <v>1014</v>
      </c>
      <c r="D2467" t="s">
        <v>1096</v>
      </c>
      <c r="F2467" t="str">
        <f>"252040"</f>
        <v>252040</v>
      </c>
      <c r="G2467" t="s">
        <v>49</v>
      </c>
      <c r="H2467" t="s">
        <v>1099</v>
      </c>
      <c r="K2467" t="s">
        <v>51</v>
      </c>
      <c r="L2467" t="s">
        <v>52</v>
      </c>
      <c r="M2467">
        <v>131581.54999999999</v>
      </c>
      <c r="N2467">
        <v>474569.85</v>
      </c>
      <c r="O2467" t="s">
        <v>53</v>
      </c>
      <c r="P2467" t="s">
        <v>54</v>
      </c>
      <c r="Q2467" t="s">
        <v>55</v>
      </c>
      <c r="T2467" t="s">
        <v>1054</v>
      </c>
      <c r="U2467">
        <v>40</v>
      </c>
      <c r="V2467" s="1">
        <v>28126</v>
      </c>
      <c r="W2467" s="1">
        <v>28126</v>
      </c>
      <c r="X2467" s="1">
        <v>28126</v>
      </c>
      <c r="Y2467" s="1">
        <v>42736</v>
      </c>
      <c r="Z2467" t="s">
        <v>51</v>
      </c>
      <c r="AB2467" t="s">
        <v>54</v>
      </c>
      <c r="AC2467">
        <v>1</v>
      </c>
      <c r="AE2467" t="s">
        <v>91</v>
      </c>
      <c r="AF2467">
        <v>20</v>
      </c>
      <c r="AG2467" s="1">
        <v>34700</v>
      </c>
      <c r="AH2467" s="1">
        <v>34700</v>
      </c>
      <c r="AI2467" s="1">
        <v>34700</v>
      </c>
      <c r="AJ2467" s="1">
        <v>42005</v>
      </c>
      <c r="AK2467" t="s">
        <v>51</v>
      </c>
      <c r="AN2467">
        <v>0</v>
      </c>
      <c r="AO2467" t="s">
        <v>54</v>
      </c>
      <c r="AP2467" t="s">
        <v>53</v>
      </c>
      <c r="AQ2467">
        <v>0</v>
      </c>
      <c r="AR2467" t="s">
        <v>53</v>
      </c>
      <c r="AS2467">
        <v>0</v>
      </c>
      <c r="AT2467">
        <v>0</v>
      </c>
      <c r="AW2467" t="s">
        <v>58</v>
      </c>
      <c r="AX2467">
        <v>20</v>
      </c>
      <c r="AY2467" s="1">
        <v>34700</v>
      </c>
      <c r="AZ2467" s="1">
        <v>34700</v>
      </c>
      <c r="BA2467" s="1">
        <v>34700</v>
      </c>
      <c r="BB2467" s="1">
        <v>42005</v>
      </c>
      <c r="BC2467" t="s">
        <v>51</v>
      </c>
      <c r="BE2467" t="s">
        <v>54</v>
      </c>
      <c r="BF2467">
        <v>2</v>
      </c>
      <c r="BG2467">
        <v>0</v>
      </c>
      <c r="BH2467" t="s">
        <v>53</v>
      </c>
      <c r="BK2467" t="s">
        <v>92</v>
      </c>
      <c r="BL2467">
        <v>14000</v>
      </c>
      <c r="BM2467" s="1">
        <v>44110</v>
      </c>
      <c r="BN2467" s="1">
        <v>44110</v>
      </c>
      <c r="BO2467" s="1">
        <v>44110</v>
      </c>
      <c r="BP2467" s="1">
        <v>45272</v>
      </c>
      <c r="BQ2467" t="s">
        <v>51</v>
      </c>
      <c r="BS2467" t="s">
        <v>60</v>
      </c>
      <c r="BT2467" t="s">
        <v>54</v>
      </c>
      <c r="BU2467" t="s">
        <v>61</v>
      </c>
      <c r="BV2467" t="s">
        <v>62</v>
      </c>
      <c r="BX2467">
        <v>55</v>
      </c>
      <c r="BY2467">
        <v>0</v>
      </c>
      <c r="BZ2467">
        <v>0</v>
      </c>
      <c r="CX2467" t="s">
        <v>674</v>
      </c>
      <c r="CY2467">
        <v>0</v>
      </c>
      <c r="CZ2467" s="1">
        <v>44320</v>
      </c>
      <c r="DA2467" s="1">
        <v>44320</v>
      </c>
      <c r="DB2467" s="1">
        <v>44320</v>
      </c>
      <c r="DC2467" s="1">
        <v>44320</v>
      </c>
      <c r="DD2467" t="s">
        <v>51</v>
      </c>
      <c r="DF2467" t="s">
        <v>54</v>
      </c>
      <c r="DG2467">
        <v>0</v>
      </c>
      <c r="DH2467">
        <v>0</v>
      </c>
    </row>
    <row r="2468" spans="1:112" x14ac:dyDescent="0.2">
      <c r="A2468" t="s">
        <v>1012</v>
      </c>
      <c r="B2468" t="s">
        <v>1013</v>
      </c>
      <c r="C2468" t="s">
        <v>1014</v>
      </c>
      <c r="D2468" t="s">
        <v>1096</v>
      </c>
      <c r="F2468" t="str">
        <f>"252041"</f>
        <v>252041</v>
      </c>
      <c r="G2468" t="s">
        <v>49</v>
      </c>
      <c r="H2468" t="s">
        <v>201</v>
      </c>
      <c r="K2468" t="s">
        <v>51</v>
      </c>
      <c r="L2468" t="s">
        <v>52</v>
      </c>
      <c r="M2468">
        <v>131568.37</v>
      </c>
      <c r="N2468">
        <v>474544.65</v>
      </c>
      <c r="O2468" t="s">
        <v>53</v>
      </c>
      <c r="P2468" t="s">
        <v>54</v>
      </c>
      <c r="Q2468" t="s">
        <v>55</v>
      </c>
      <c r="T2468" t="s">
        <v>1054</v>
      </c>
      <c r="U2468">
        <v>40</v>
      </c>
      <c r="V2468" s="1">
        <v>28126</v>
      </c>
      <c r="W2468" s="1">
        <v>28126</v>
      </c>
      <c r="X2468" s="1">
        <v>28126</v>
      </c>
      <c r="Y2468" s="1">
        <v>42736</v>
      </c>
      <c r="Z2468" t="s">
        <v>51</v>
      </c>
      <c r="AB2468" t="s">
        <v>54</v>
      </c>
      <c r="AC2468">
        <v>1</v>
      </c>
      <c r="AE2468" t="s">
        <v>91</v>
      </c>
      <c r="AF2468">
        <v>20</v>
      </c>
      <c r="AG2468" s="1">
        <v>34700</v>
      </c>
      <c r="AH2468" s="1">
        <v>34700</v>
      </c>
      <c r="AI2468" s="1">
        <v>34700</v>
      </c>
      <c r="AJ2468" s="1">
        <v>42005</v>
      </c>
      <c r="AK2468" t="s">
        <v>51</v>
      </c>
      <c r="AN2468">
        <v>0</v>
      </c>
      <c r="AO2468" t="s">
        <v>54</v>
      </c>
      <c r="AP2468" t="s">
        <v>53</v>
      </c>
      <c r="AQ2468">
        <v>0</v>
      </c>
      <c r="AR2468" t="s">
        <v>53</v>
      </c>
      <c r="AS2468">
        <v>0</v>
      </c>
      <c r="AT2468">
        <v>0</v>
      </c>
      <c r="AW2468" t="s">
        <v>58</v>
      </c>
      <c r="AX2468">
        <v>20</v>
      </c>
      <c r="AY2468" s="1">
        <v>34700</v>
      </c>
      <c r="AZ2468" s="1">
        <v>34700</v>
      </c>
      <c r="BA2468" s="1">
        <v>34700</v>
      </c>
      <c r="BB2468" s="1">
        <v>42005</v>
      </c>
      <c r="BC2468" t="s">
        <v>51</v>
      </c>
      <c r="BE2468" t="s">
        <v>54</v>
      </c>
      <c r="BF2468">
        <v>2</v>
      </c>
      <c r="BG2468">
        <v>0</v>
      </c>
      <c r="BH2468" t="s">
        <v>53</v>
      </c>
      <c r="BK2468" t="s">
        <v>92</v>
      </c>
      <c r="BL2468">
        <v>14000</v>
      </c>
      <c r="BM2468" s="1">
        <v>44110</v>
      </c>
      <c r="BN2468" s="1">
        <v>44110</v>
      </c>
      <c r="BO2468" s="1">
        <v>44110</v>
      </c>
      <c r="BP2468" s="1">
        <v>45272</v>
      </c>
      <c r="BQ2468" t="s">
        <v>51</v>
      </c>
      <c r="BS2468" t="s">
        <v>60</v>
      </c>
      <c r="BT2468" t="s">
        <v>54</v>
      </c>
      <c r="BU2468" t="s">
        <v>61</v>
      </c>
      <c r="BV2468" t="s">
        <v>62</v>
      </c>
      <c r="BX2468">
        <v>55</v>
      </c>
      <c r="BY2468">
        <v>0</v>
      </c>
      <c r="BZ2468">
        <v>0</v>
      </c>
      <c r="CX2468" t="s">
        <v>674</v>
      </c>
      <c r="CY2468">
        <v>0</v>
      </c>
      <c r="CZ2468" s="1">
        <v>44320</v>
      </c>
      <c r="DA2468" s="1">
        <v>44320</v>
      </c>
      <c r="DB2468" s="1">
        <v>44320</v>
      </c>
      <c r="DC2468" s="1">
        <v>44320</v>
      </c>
      <c r="DD2468" t="s">
        <v>51</v>
      </c>
      <c r="DF2468" t="s">
        <v>54</v>
      </c>
      <c r="DG2468">
        <v>0</v>
      </c>
      <c r="DH2468">
        <v>0</v>
      </c>
    </row>
    <row r="2469" spans="1:112" x14ac:dyDescent="0.2">
      <c r="A2469" t="s">
        <v>1012</v>
      </c>
      <c r="B2469" t="s">
        <v>1013</v>
      </c>
      <c r="C2469" t="s">
        <v>1014</v>
      </c>
      <c r="D2469" t="s">
        <v>1096</v>
      </c>
      <c r="F2469" t="str">
        <f>"252042"</f>
        <v>252042</v>
      </c>
      <c r="G2469" t="s">
        <v>49</v>
      </c>
      <c r="H2469" t="s">
        <v>1100</v>
      </c>
      <c r="K2469" t="s">
        <v>51</v>
      </c>
      <c r="L2469" t="s">
        <v>52</v>
      </c>
      <c r="M2469">
        <v>131573.67000000001</v>
      </c>
      <c r="N2469">
        <v>474516.25</v>
      </c>
      <c r="O2469" t="s">
        <v>53</v>
      </c>
      <c r="P2469" t="s">
        <v>54</v>
      </c>
      <c r="Q2469" t="s">
        <v>55</v>
      </c>
      <c r="T2469" t="s">
        <v>1054</v>
      </c>
      <c r="U2469">
        <v>40</v>
      </c>
      <c r="V2469" s="1">
        <v>28126</v>
      </c>
      <c r="W2469" s="1">
        <v>28126</v>
      </c>
      <c r="X2469" s="1">
        <v>28126</v>
      </c>
      <c r="Y2469" s="1">
        <v>42736</v>
      </c>
      <c r="Z2469" t="s">
        <v>51</v>
      </c>
      <c r="AB2469" t="s">
        <v>54</v>
      </c>
      <c r="AC2469">
        <v>1</v>
      </c>
      <c r="AE2469" t="s">
        <v>91</v>
      </c>
      <c r="AF2469">
        <v>20</v>
      </c>
      <c r="AG2469" s="1">
        <v>34700</v>
      </c>
      <c r="AH2469" s="1">
        <v>34700</v>
      </c>
      <c r="AI2469" s="1">
        <v>34700</v>
      </c>
      <c r="AJ2469" s="1">
        <v>42005</v>
      </c>
      <c r="AK2469" t="s">
        <v>51</v>
      </c>
      <c r="AN2469">
        <v>0</v>
      </c>
      <c r="AO2469" t="s">
        <v>54</v>
      </c>
      <c r="AP2469" t="s">
        <v>53</v>
      </c>
      <c r="AQ2469">
        <v>0</v>
      </c>
      <c r="AR2469" t="s">
        <v>53</v>
      </c>
      <c r="AS2469">
        <v>0</v>
      </c>
      <c r="AT2469">
        <v>0</v>
      </c>
      <c r="AW2469" t="s">
        <v>58</v>
      </c>
      <c r="AX2469">
        <v>20</v>
      </c>
      <c r="AY2469" s="1">
        <v>34700</v>
      </c>
      <c r="AZ2469" s="1">
        <v>34700</v>
      </c>
      <c r="BA2469" s="1">
        <v>34700</v>
      </c>
      <c r="BB2469" s="1">
        <v>42005</v>
      </c>
      <c r="BC2469" t="s">
        <v>51</v>
      </c>
      <c r="BE2469" t="s">
        <v>54</v>
      </c>
      <c r="BF2469">
        <v>2</v>
      </c>
      <c r="BG2469">
        <v>0</v>
      </c>
      <c r="BH2469" t="s">
        <v>53</v>
      </c>
      <c r="BK2469" t="s">
        <v>92</v>
      </c>
      <c r="BL2469">
        <v>14000</v>
      </c>
      <c r="BM2469" s="1">
        <v>44110</v>
      </c>
      <c r="BN2469" s="1">
        <v>44110</v>
      </c>
      <c r="BO2469" s="1">
        <v>44110</v>
      </c>
      <c r="BP2469" s="1">
        <v>45272</v>
      </c>
      <c r="BQ2469" t="s">
        <v>51</v>
      </c>
      <c r="BS2469" t="s">
        <v>60</v>
      </c>
      <c r="BT2469" t="s">
        <v>54</v>
      </c>
      <c r="BU2469" t="s">
        <v>61</v>
      </c>
      <c r="BV2469" t="s">
        <v>62</v>
      </c>
      <c r="BX2469">
        <v>55</v>
      </c>
      <c r="BY2469">
        <v>0</v>
      </c>
      <c r="BZ2469">
        <v>0</v>
      </c>
      <c r="CX2469" t="s">
        <v>674</v>
      </c>
      <c r="CY2469">
        <v>0</v>
      </c>
      <c r="CZ2469" s="1">
        <v>44320</v>
      </c>
      <c r="DA2469" s="1">
        <v>44320</v>
      </c>
      <c r="DB2469" s="1">
        <v>44320</v>
      </c>
      <c r="DC2469" s="1">
        <v>44320</v>
      </c>
      <c r="DD2469" t="s">
        <v>51</v>
      </c>
      <c r="DF2469" t="s">
        <v>54</v>
      </c>
      <c r="DG2469">
        <v>0</v>
      </c>
      <c r="DH2469">
        <v>0</v>
      </c>
    </row>
    <row r="2470" spans="1:112" x14ac:dyDescent="0.2">
      <c r="A2470" t="s">
        <v>1012</v>
      </c>
      <c r="B2470" t="s">
        <v>1013</v>
      </c>
      <c r="C2470" t="s">
        <v>1014</v>
      </c>
      <c r="D2470" t="s">
        <v>1096</v>
      </c>
      <c r="F2470" t="str">
        <f>"252043"</f>
        <v>252043</v>
      </c>
      <c r="G2470" t="s">
        <v>49</v>
      </c>
      <c r="H2470" t="s">
        <v>1101</v>
      </c>
      <c r="K2470" t="s">
        <v>51</v>
      </c>
      <c r="L2470" t="s">
        <v>52</v>
      </c>
      <c r="M2470">
        <v>131560.68</v>
      </c>
      <c r="N2470">
        <v>474492.07</v>
      </c>
      <c r="O2470" t="s">
        <v>53</v>
      </c>
      <c r="P2470" t="s">
        <v>54</v>
      </c>
      <c r="Q2470" t="s">
        <v>55</v>
      </c>
      <c r="T2470" t="s">
        <v>1054</v>
      </c>
      <c r="U2470">
        <v>40</v>
      </c>
      <c r="V2470" s="1">
        <v>28126</v>
      </c>
      <c r="W2470" s="1">
        <v>28126</v>
      </c>
      <c r="X2470" s="1">
        <v>28126</v>
      </c>
      <c r="Y2470" s="1">
        <v>42736</v>
      </c>
      <c r="Z2470" t="s">
        <v>51</v>
      </c>
      <c r="AB2470" t="s">
        <v>54</v>
      </c>
      <c r="AC2470">
        <v>1</v>
      </c>
      <c r="AE2470" t="s">
        <v>91</v>
      </c>
      <c r="AF2470">
        <v>20</v>
      </c>
      <c r="AG2470" s="1">
        <v>34700</v>
      </c>
      <c r="AH2470" s="1">
        <v>34700</v>
      </c>
      <c r="AI2470" s="1">
        <v>34700</v>
      </c>
      <c r="AJ2470" s="1">
        <v>42005</v>
      </c>
      <c r="AK2470" t="s">
        <v>51</v>
      </c>
      <c r="AN2470">
        <v>0</v>
      </c>
      <c r="AO2470" t="s">
        <v>54</v>
      </c>
      <c r="AP2470" t="s">
        <v>53</v>
      </c>
      <c r="AQ2470">
        <v>0</v>
      </c>
      <c r="AR2470" t="s">
        <v>53</v>
      </c>
      <c r="AS2470">
        <v>0</v>
      </c>
      <c r="AT2470">
        <v>0</v>
      </c>
      <c r="AW2470" t="s">
        <v>58</v>
      </c>
      <c r="AX2470">
        <v>20</v>
      </c>
      <c r="AY2470" s="1">
        <v>34700</v>
      </c>
      <c r="AZ2470" s="1">
        <v>34700</v>
      </c>
      <c r="BA2470" s="1">
        <v>34700</v>
      </c>
      <c r="BB2470" s="1">
        <v>42005</v>
      </c>
      <c r="BC2470" t="s">
        <v>51</v>
      </c>
      <c r="BE2470" t="s">
        <v>54</v>
      </c>
      <c r="BF2470">
        <v>2</v>
      </c>
      <c r="BG2470">
        <v>0</v>
      </c>
      <c r="BH2470" t="s">
        <v>53</v>
      </c>
      <c r="BK2470" t="s">
        <v>92</v>
      </c>
      <c r="BL2470">
        <v>14000</v>
      </c>
      <c r="BM2470" s="1">
        <v>44110</v>
      </c>
      <c r="BN2470" s="1">
        <v>44110</v>
      </c>
      <c r="BO2470" s="1">
        <v>44110</v>
      </c>
      <c r="BP2470" s="1">
        <v>45272</v>
      </c>
      <c r="BQ2470" t="s">
        <v>51</v>
      </c>
      <c r="BS2470" t="s">
        <v>60</v>
      </c>
      <c r="BT2470" t="s">
        <v>54</v>
      </c>
      <c r="BU2470" t="s">
        <v>61</v>
      </c>
      <c r="BV2470" t="s">
        <v>62</v>
      </c>
      <c r="BX2470">
        <v>55</v>
      </c>
      <c r="BY2470">
        <v>0</v>
      </c>
      <c r="BZ2470">
        <v>0</v>
      </c>
      <c r="CX2470" t="s">
        <v>674</v>
      </c>
      <c r="CY2470">
        <v>0</v>
      </c>
      <c r="CZ2470" s="1">
        <v>44320</v>
      </c>
      <c r="DA2470" s="1">
        <v>44320</v>
      </c>
      <c r="DB2470" s="1">
        <v>44320</v>
      </c>
      <c r="DC2470" s="1">
        <v>44320</v>
      </c>
      <c r="DD2470" t="s">
        <v>51</v>
      </c>
      <c r="DF2470" t="s">
        <v>54</v>
      </c>
      <c r="DG2470">
        <v>0</v>
      </c>
      <c r="DH2470">
        <v>0</v>
      </c>
    </row>
    <row r="2471" spans="1:112" x14ac:dyDescent="0.2">
      <c r="A2471" t="s">
        <v>1012</v>
      </c>
      <c r="B2471" t="s">
        <v>1013</v>
      </c>
      <c r="C2471" t="s">
        <v>1014</v>
      </c>
      <c r="D2471" t="s">
        <v>1096</v>
      </c>
      <c r="F2471" t="str">
        <f>"252044"</f>
        <v>252044</v>
      </c>
      <c r="G2471" t="s">
        <v>49</v>
      </c>
      <c r="H2471" t="s">
        <v>1102</v>
      </c>
      <c r="K2471" t="s">
        <v>51</v>
      </c>
      <c r="L2471" t="s">
        <v>52</v>
      </c>
      <c r="M2471">
        <v>131566.78</v>
      </c>
      <c r="N2471">
        <v>474464.03</v>
      </c>
      <c r="O2471" t="s">
        <v>53</v>
      </c>
      <c r="P2471" t="s">
        <v>54</v>
      </c>
      <c r="Q2471" t="s">
        <v>55</v>
      </c>
      <c r="T2471" t="s">
        <v>1054</v>
      </c>
      <c r="U2471">
        <v>40</v>
      </c>
      <c r="V2471" s="1">
        <v>28126</v>
      </c>
      <c r="W2471" s="1">
        <v>28126</v>
      </c>
      <c r="X2471" s="1">
        <v>28126</v>
      </c>
      <c r="Y2471" s="1">
        <v>42736</v>
      </c>
      <c r="Z2471" t="s">
        <v>51</v>
      </c>
      <c r="AB2471" t="s">
        <v>54</v>
      </c>
      <c r="AC2471">
        <v>1</v>
      </c>
      <c r="AE2471" t="s">
        <v>91</v>
      </c>
      <c r="AF2471">
        <v>20</v>
      </c>
      <c r="AG2471" s="1">
        <v>34700</v>
      </c>
      <c r="AH2471" s="1">
        <v>34700</v>
      </c>
      <c r="AI2471" s="1">
        <v>34700</v>
      </c>
      <c r="AJ2471" s="1">
        <v>42005</v>
      </c>
      <c r="AK2471" t="s">
        <v>51</v>
      </c>
      <c r="AN2471">
        <v>0</v>
      </c>
      <c r="AO2471" t="s">
        <v>54</v>
      </c>
      <c r="AP2471" t="s">
        <v>53</v>
      </c>
      <c r="AQ2471">
        <v>0</v>
      </c>
      <c r="AR2471" t="s">
        <v>53</v>
      </c>
      <c r="AS2471">
        <v>0</v>
      </c>
      <c r="AT2471">
        <v>0</v>
      </c>
      <c r="AW2471" t="s">
        <v>58</v>
      </c>
      <c r="AX2471">
        <v>20</v>
      </c>
      <c r="AY2471" s="1">
        <v>34700</v>
      </c>
      <c r="AZ2471" s="1">
        <v>34700</v>
      </c>
      <c r="BA2471" s="1">
        <v>34700</v>
      </c>
      <c r="BB2471" s="1">
        <v>42005</v>
      </c>
      <c r="BC2471" t="s">
        <v>51</v>
      </c>
      <c r="BE2471" t="s">
        <v>54</v>
      </c>
      <c r="BF2471">
        <v>2</v>
      </c>
      <c r="BG2471">
        <v>0</v>
      </c>
      <c r="BH2471" t="s">
        <v>53</v>
      </c>
      <c r="BK2471" t="s">
        <v>92</v>
      </c>
      <c r="BL2471">
        <v>14000</v>
      </c>
      <c r="BM2471" s="1">
        <v>44110</v>
      </c>
      <c r="BN2471" s="1">
        <v>44110</v>
      </c>
      <c r="BO2471" s="1">
        <v>44110</v>
      </c>
      <c r="BP2471" s="1">
        <v>45272</v>
      </c>
      <c r="BQ2471" t="s">
        <v>51</v>
      </c>
      <c r="BS2471" t="s">
        <v>60</v>
      </c>
      <c r="BT2471" t="s">
        <v>54</v>
      </c>
      <c r="BU2471" t="s">
        <v>61</v>
      </c>
      <c r="BV2471" t="s">
        <v>62</v>
      </c>
      <c r="BX2471">
        <v>55</v>
      </c>
      <c r="BY2471">
        <v>0</v>
      </c>
      <c r="BZ2471">
        <v>0</v>
      </c>
      <c r="CX2471" t="s">
        <v>674</v>
      </c>
      <c r="CY2471">
        <v>0</v>
      </c>
      <c r="CZ2471" s="1">
        <v>44320</v>
      </c>
      <c r="DA2471" s="1">
        <v>44320</v>
      </c>
      <c r="DB2471" s="1">
        <v>44320</v>
      </c>
      <c r="DC2471" s="1">
        <v>44320</v>
      </c>
      <c r="DD2471" t="s">
        <v>51</v>
      </c>
      <c r="DF2471" t="s">
        <v>54</v>
      </c>
      <c r="DG2471">
        <v>0</v>
      </c>
      <c r="DH2471">
        <v>0</v>
      </c>
    </row>
    <row r="2472" spans="1:112" x14ac:dyDescent="0.2">
      <c r="A2472" t="s">
        <v>1012</v>
      </c>
      <c r="B2472" t="s">
        <v>1013</v>
      </c>
      <c r="C2472" t="s">
        <v>1014</v>
      </c>
      <c r="D2472" t="s">
        <v>1096</v>
      </c>
      <c r="F2472" t="str">
        <f>"252045"</f>
        <v>252045</v>
      </c>
      <c r="G2472" t="s">
        <v>49</v>
      </c>
      <c r="H2472" t="s">
        <v>1103</v>
      </c>
      <c r="K2472" t="s">
        <v>51</v>
      </c>
      <c r="L2472" t="s">
        <v>52</v>
      </c>
      <c r="M2472">
        <v>131552.93</v>
      </c>
      <c r="N2472">
        <v>474440.41</v>
      </c>
      <c r="O2472" t="s">
        <v>53</v>
      </c>
      <c r="P2472" t="s">
        <v>54</v>
      </c>
      <c r="Q2472" t="s">
        <v>55</v>
      </c>
      <c r="T2472" t="s">
        <v>1054</v>
      </c>
      <c r="U2472">
        <v>40</v>
      </c>
      <c r="V2472" s="1">
        <v>28126</v>
      </c>
      <c r="W2472" s="1">
        <v>28126</v>
      </c>
      <c r="X2472" s="1">
        <v>28126</v>
      </c>
      <c r="Y2472" s="1">
        <v>42736</v>
      </c>
      <c r="Z2472" t="s">
        <v>51</v>
      </c>
      <c r="AB2472" t="s">
        <v>54</v>
      </c>
      <c r="AC2472">
        <v>1</v>
      </c>
      <c r="AE2472" t="s">
        <v>91</v>
      </c>
      <c r="AF2472">
        <v>20</v>
      </c>
      <c r="AG2472" s="1">
        <v>34700</v>
      </c>
      <c r="AH2472" s="1">
        <v>34700</v>
      </c>
      <c r="AI2472" s="1">
        <v>34700</v>
      </c>
      <c r="AJ2472" s="1">
        <v>42005</v>
      </c>
      <c r="AK2472" t="s">
        <v>51</v>
      </c>
      <c r="AN2472">
        <v>0</v>
      </c>
      <c r="AO2472" t="s">
        <v>54</v>
      </c>
      <c r="AP2472" t="s">
        <v>53</v>
      </c>
      <c r="AQ2472">
        <v>0</v>
      </c>
      <c r="AR2472" t="s">
        <v>53</v>
      </c>
      <c r="AS2472">
        <v>0</v>
      </c>
      <c r="AT2472">
        <v>0</v>
      </c>
      <c r="AW2472" t="s">
        <v>58</v>
      </c>
      <c r="AX2472">
        <v>20</v>
      </c>
      <c r="AY2472" s="1">
        <v>34700</v>
      </c>
      <c r="AZ2472" s="1">
        <v>34700</v>
      </c>
      <c r="BA2472" s="1">
        <v>34700</v>
      </c>
      <c r="BB2472" s="1">
        <v>42005</v>
      </c>
      <c r="BC2472" t="s">
        <v>51</v>
      </c>
      <c r="BE2472" t="s">
        <v>54</v>
      </c>
      <c r="BF2472">
        <v>2</v>
      </c>
      <c r="BG2472">
        <v>0</v>
      </c>
      <c r="BH2472" t="s">
        <v>53</v>
      </c>
      <c r="BK2472" t="s">
        <v>92</v>
      </c>
      <c r="BL2472">
        <v>14000</v>
      </c>
      <c r="BM2472" s="1">
        <v>44110</v>
      </c>
      <c r="BN2472" s="1">
        <v>44110</v>
      </c>
      <c r="BO2472" s="1">
        <v>44110</v>
      </c>
      <c r="BP2472" s="1">
        <v>45272</v>
      </c>
      <c r="BQ2472" t="s">
        <v>51</v>
      </c>
      <c r="BS2472" t="s">
        <v>60</v>
      </c>
      <c r="BT2472" t="s">
        <v>54</v>
      </c>
      <c r="BU2472" t="s">
        <v>61</v>
      </c>
      <c r="BV2472" t="s">
        <v>62</v>
      </c>
      <c r="BX2472">
        <v>55</v>
      </c>
      <c r="BY2472">
        <v>0</v>
      </c>
      <c r="BZ2472">
        <v>0</v>
      </c>
      <c r="CX2472" t="s">
        <v>674</v>
      </c>
      <c r="CY2472">
        <v>0</v>
      </c>
      <c r="CZ2472" s="1">
        <v>44320</v>
      </c>
      <c r="DA2472" s="1">
        <v>44320</v>
      </c>
      <c r="DB2472" s="1">
        <v>44320</v>
      </c>
      <c r="DC2472" s="1">
        <v>44320</v>
      </c>
      <c r="DD2472" t="s">
        <v>51</v>
      </c>
      <c r="DF2472" t="s">
        <v>54</v>
      </c>
      <c r="DG2472">
        <v>0</v>
      </c>
      <c r="DH2472">
        <v>0</v>
      </c>
    </row>
    <row r="2473" spans="1:112" x14ac:dyDescent="0.2">
      <c r="A2473" t="s">
        <v>1012</v>
      </c>
      <c r="B2473" t="s">
        <v>1013</v>
      </c>
      <c r="C2473" t="s">
        <v>1014</v>
      </c>
      <c r="D2473" t="s">
        <v>1096</v>
      </c>
      <c r="F2473" t="str">
        <f>"252046"</f>
        <v>252046</v>
      </c>
      <c r="G2473" t="s">
        <v>49</v>
      </c>
      <c r="H2473" t="s">
        <v>1104</v>
      </c>
      <c r="K2473" t="s">
        <v>51</v>
      </c>
      <c r="L2473" t="s">
        <v>52</v>
      </c>
      <c r="M2473">
        <v>131563.74</v>
      </c>
      <c r="N2473">
        <v>474412.99</v>
      </c>
      <c r="O2473" t="s">
        <v>53</v>
      </c>
      <c r="P2473" t="s">
        <v>54</v>
      </c>
      <c r="Q2473" t="s">
        <v>55</v>
      </c>
      <c r="T2473" t="s">
        <v>1054</v>
      </c>
      <c r="U2473">
        <v>40</v>
      </c>
      <c r="V2473" s="1">
        <v>28126</v>
      </c>
      <c r="W2473" s="1">
        <v>28126</v>
      </c>
      <c r="X2473" s="1">
        <v>28126</v>
      </c>
      <c r="Y2473" s="1">
        <v>42736</v>
      </c>
      <c r="Z2473" t="s">
        <v>51</v>
      </c>
      <c r="AB2473" t="s">
        <v>54</v>
      </c>
      <c r="AC2473">
        <v>1</v>
      </c>
      <c r="AE2473" t="s">
        <v>91</v>
      </c>
      <c r="AF2473">
        <v>20</v>
      </c>
      <c r="AG2473" s="1">
        <v>34700</v>
      </c>
      <c r="AH2473" s="1">
        <v>34700</v>
      </c>
      <c r="AI2473" s="1">
        <v>34700</v>
      </c>
      <c r="AJ2473" s="1">
        <v>42005</v>
      </c>
      <c r="AK2473" t="s">
        <v>51</v>
      </c>
      <c r="AN2473">
        <v>0</v>
      </c>
      <c r="AO2473" t="s">
        <v>54</v>
      </c>
      <c r="AP2473" t="s">
        <v>53</v>
      </c>
      <c r="AQ2473">
        <v>0</v>
      </c>
      <c r="AR2473" t="s">
        <v>53</v>
      </c>
      <c r="AS2473">
        <v>0</v>
      </c>
      <c r="AT2473">
        <v>0</v>
      </c>
      <c r="AW2473" t="s">
        <v>58</v>
      </c>
      <c r="AX2473">
        <v>20</v>
      </c>
      <c r="AY2473" s="1">
        <v>34700</v>
      </c>
      <c r="AZ2473" s="1">
        <v>34700</v>
      </c>
      <c r="BA2473" s="1">
        <v>34700</v>
      </c>
      <c r="BB2473" s="1">
        <v>42005</v>
      </c>
      <c r="BC2473" t="s">
        <v>51</v>
      </c>
      <c r="BE2473" t="s">
        <v>54</v>
      </c>
      <c r="BF2473">
        <v>2</v>
      </c>
      <c r="BG2473">
        <v>0</v>
      </c>
      <c r="BH2473" t="s">
        <v>53</v>
      </c>
      <c r="BK2473" t="s">
        <v>92</v>
      </c>
      <c r="BL2473">
        <v>14000</v>
      </c>
      <c r="BM2473" s="1">
        <v>44110</v>
      </c>
      <c r="BN2473" s="1">
        <v>44110</v>
      </c>
      <c r="BO2473" s="1">
        <v>44110</v>
      </c>
      <c r="BP2473" s="1">
        <v>45272</v>
      </c>
      <c r="BQ2473" t="s">
        <v>51</v>
      </c>
      <c r="BS2473" t="s">
        <v>60</v>
      </c>
      <c r="BT2473" t="s">
        <v>54</v>
      </c>
      <c r="BU2473" t="s">
        <v>61</v>
      </c>
      <c r="BV2473" t="s">
        <v>62</v>
      </c>
      <c r="BX2473">
        <v>55</v>
      </c>
      <c r="BY2473">
        <v>0</v>
      </c>
      <c r="BZ2473">
        <v>0</v>
      </c>
      <c r="CX2473" t="s">
        <v>674</v>
      </c>
      <c r="CY2473">
        <v>0</v>
      </c>
      <c r="CZ2473" s="1">
        <v>44320</v>
      </c>
      <c r="DA2473" s="1">
        <v>44320</v>
      </c>
      <c r="DB2473" s="1">
        <v>44320</v>
      </c>
      <c r="DC2473" s="1">
        <v>44320</v>
      </c>
      <c r="DD2473" t="s">
        <v>51</v>
      </c>
      <c r="DF2473" t="s">
        <v>54</v>
      </c>
      <c r="DG2473">
        <v>0</v>
      </c>
      <c r="DH2473">
        <v>0</v>
      </c>
    </row>
    <row r="2474" spans="1:112" x14ac:dyDescent="0.2">
      <c r="A2474" t="s">
        <v>1012</v>
      </c>
      <c r="B2474" t="s">
        <v>1013</v>
      </c>
      <c r="C2474" t="s">
        <v>1014</v>
      </c>
      <c r="D2474" t="s">
        <v>1096</v>
      </c>
      <c r="F2474" t="str">
        <f>"252047"</f>
        <v>252047</v>
      </c>
      <c r="G2474" t="s">
        <v>49</v>
      </c>
      <c r="K2474" t="s">
        <v>51</v>
      </c>
      <c r="L2474" t="s">
        <v>52</v>
      </c>
      <c r="M2474">
        <v>131548.68</v>
      </c>
      <c r="N2474">
        <v>474413.7</v>
      </c>
      <c r="O2474" t="s">
        <v>53</v>
      </c>
      <c r="P2474" t="s">
        <v>54</v>
      </c>
      <c r="Q2474" t="s">
        <v>55</v>
      </c>
      <c r="T2474" t="s">
        <v>1054</v>
      </c>
      <c r="U2474">
        <v>40</v>
      </c>
      <c r="V2474" s="1">
        <v>28126</v>
      </c>
      <c r="W2474" s="1">
        <v>28126</v>
      </c>
      <c r="X2474" s="1">
        <v>28126</v>
      </c>
      <c r="Y2474" s="1">
        <v>42736</v>
      </c>
      <c r="Z2474" t="s">
        <v>51</v>
      </c>
      <c r="AB2474" t="s">
        <v>54</v>
      </c>
      <c r="AC2474">
        <v>1</v>
      </c>
      <c r="AE2474" t="s">
        <v>91</v>
      </c>
      <c r="AF2474">
        <v>20</v>
      </c>
      <c r="AG2474" s="1">
        <v>34700</v>
      </c>
      <c r="AH2474" s="1">
        <v>34700</v>
      </c>
      <c r="AI2474" s="1">
        <v>34700</v>
      </c>
      <c r="AJ2474" s="1">
        <v>42005</v>
      </c>
      <c r="AK2474" t="s">
        <v>51</v>
      </c>
      <c r="AN2474">
        <v>0</v>
      </c>
      <c r="AO2474" t="s">
        <v>54</v>
      </c>
      <c r="AP2474" t="s">
        <v>53</v>
      </c>
      <c r="AQ2474">
        <v>0</v>
      </c>
      <c r="AR2474" t="s">
        <v>53</v>
      </c>
      <c r="AS2474">
        <v>0</v>
      </c>
      <c r="AT2474">
        <v>0</v>
      </c>
      <c r="AW2474" t="s">
        <v>58</v>
      </c>
      <c r="AX2474">
        <v>20</v>
      </c>
      <c r="AY2474" s="1">
        <v>34700</v>
      </c>
      <c r="AZ2474" s="1">
        <v>34700</v>
      </c>
      <c r="BA2474" s="1">
        <v>34700</v>
      </c>
      <c r="BB2474" s="1">
        <v>42005</v>
      </c>
      <c r="BC2474" t="s">
        <v>51</v>
      </c>
      <c r="BE2474" t="s">
        <v>54</v>
      </c>
      <c r="BF2474">
        <v>2</v>
      </c>
      <c r="BG2474">
        <v>0</v>
      </c>
      <c r="BH2474" t="s">
        <v>53</v>
      </c>
      <c r="BK2474" t="s">
        <v>92</v>
      </c>
      <c r="BL2474">
        <v>14000</v>
      </c>
      <c r="BM2474" s="1">
        <v>44110</v>
      </c>
      <c r="BN2474" s="1">
        <v>44110</v>
      </c>
      <c r="BO2474" s="1">
        <v>44110</v>
      </c>
      <c r="BP2474" s="1">
        <v>45272</v>
      </c>
      <c r="BQ2474" t="s">
        <v>51</v>
      </c>
      <c r="BS2474" t="s">
        <v>60</v>
      </c>
      <c r="BT2474" t="s">
        <v>54</v>
      </c>
      <c r="BU2474" t="s">
        <v>61</v>
      </c>
      <c r="BV2474" t="s">
        <v>62</v>
      </c>
      <c r="BX2474">
        <v>55</v>
      </c>
      <c r="BY2474">
        <v>0</v>
      </c>
      <c r="BZ2474">
        <v>0</v>
      </c>
      <c r="CX2474" t="s">
        <v>674</v>
      </c>
      <c r="CY2474">
        <v>0</v>
      </c>
      <c r="CZ2474" s="1">
        <v>44320</v>
      </c>
      <c r="DA2474" s="1">
        <v>44320</v>
      </c>
      <c r="DB2474" s="1">
        <v>44320</v>
      </c>
      <c r="DC2474" s="1">
        <v>44320</v>
      </c>
      <c r="DD2474" t="s">
        <v>51</v>
      </c>
      <c r="DF2474" t="s">
        <v>54</v>
      </c>
      <c r="DG2474">
        <v>0</v>
      </c>
      <c r="DH2474">
        <v>0</v>
      </c>
    </row>
    <row r="2475" spans="1:112" x14ac:dyDescent="0.2">
      <c r="A2475" t="s">
        <v>1012</v>
      </c>
      <c r="B2475" t="s">
        <v>1013</v>
      </c>
      <c r="C2475" t="s">
        <v>1014</v>
      </c>
      <c r="D2475" t="s">
        <v>1096</v>
      </c>
      <c r="F2475" t="str">
        <f>"252048"</f>
        <v>252048</v>
      </c>
      <c r="G2475" t="s">
        <v>49</v>
      </c>
      <c r="H2475" t="s">
        <v>138</v>
      </c>
      <c r="I2475" t="s">
        <v>1105</v>
      </c>
      <c r="K2475" t="s">
        <v>51</v>
      </c>
      <c r="L2475" t="s">
        <v>52</v>
      </c>
      <c r="M2475">
        <v>131547.51999999999</v>
      </c>
      <c r="N2475">
        <v>474406.74</v>
      </c>
      <c r="O2475" t="s">
        <v>53</v>
      </c>
      <c r="P2475" t="s">
        <v>54</v>
      </c>
      <c r="Q2475" t="s">
        <v>55</v>
      </c>
      <c r="T2475" t="s">
        <v>81</v>
      </c>
      <c r="U2475">
        <v>40</v>
      </c>
      <c r="V2475" s="1">
        <v>28126</v>
      </c>
      <c r="W2475" s="1">
        <v>28126</v>
      </c>
      <c r="X2475" s="1">
        <v>28126</v>
      </c>
      <c r="Y2475" s="1">
        <v>42736</v>
      </c>
      <c r="Z2475" t="s">
        <v>51</v>
      </c>
      <c r="AB2475" t="s">
        <v>54</v>
      </c>
      <c r="AC2475">
        <v>1</v>
      </c>
      <c r="AE2475" t="s">
        <v>1055</v>
      </c>
      <c r="AF2475">
        <v>20</v>
      </c>
      <c r="AG2475" s="1">
        <v>34700</v>
      </c>
      <c r="AH2475" s="1">
        <v>34700</v>
      </c>
      <c r="AI2475" s="1">
        <v>34700</v>
      </c>
      <c r="AJ2475" s="1">
        <v>42005</v>
      </c>
      <c r="AK2475" t="s">
        <v>51</v>
      </c>
      <c r="AN2475">
        <v>0</v>
      </c>
      <c r="AO2475" t="s">
        <v>54</v>
      </c>
      <c r="AP2475" t="s">
        <v>53</v>
      </c>
      <c r="AQ2475">
        <v>0</v>
      </c>
      <c r="AR2475" t="s">
        <v>53</v>
      </c>
      <c r="AS2475">
        <v>0</v>
      </c>
      <c r="AT2475">
        <v>0</v>
      </c>
      <c r="AW2475" t="s">
        <v>172</v>
      </c>
      <c r="AX2475">
        <v>15</v>
      </c>
      <c r="AY2475" s="1">
        <v>34700</v>
      </c>
      <c r="AZ2475" s="1">
        <v>34700</v>
      </c>
      <c r="BA2475" s="1">
        <v>34700</v>
      </c>
      <c r="BB2475" s="1">
        <v>40179</v>
      </c>
      <c r="BC2475" t="s">
        <v>51</v>
      </c>
      <c r="BE2475" t="s">
        <v>54</v>
      </c>
      <c r="BF2475">
        <v>40</v>
      </c>
      <c r="BG2475">
        <v>0</v>
      </c>
      <c r="BH2475" t="s">
        <v>145</v>
      </c>
      <c r="CC2475" t="s">
        <v>771</v>
      </c>
      <c r="CD2475">
        <v>85000</v>
      </c>
      <c r="CE2475" s="1">
        <v>44320</v>
      </c>
      <c r="CF2475" s="1">
        <v>44320</v>
      </c>
      <c r="CG2475" s="1">
        <v>44320</v>
      </c>
      <c r="CH2475" s="1">
        <v>51513</v>
      </c>
      <c r="CI2475" t="s">
        <v>51</v>
      </c>
      <c r="CK2475" t="s">
        <v>78</v>
      </c>
      <c r="CM2475" t="s">
        <v>54</v>
      </c>
      <c r="CN2475" t="s">
        <v>174</v>
      </c>
      <c r="CO2475" t="s">
        <v>86</v>
      </c>
      <c r="CR2475">
        <v>40</v>
      </c>
      <c r="CS2475">
        <v>0</v>
      </c>
      <c r="CT2475">
        <v>0</v>
      </c>
      <c r="CU2475">
        <v>0</v>
      </c>
      <c r="CX2475" t="s">
        <v>360</v>
      </c>
      <c r="CY2475">
        <v>40</v>
      </c>
      <c r="CZ2475" s="1">
        <v>44320</v>
      </c>
      <c r="DA2475" s="1">
        <v>44320</v>
      </c>
      <c r="DB2475" s="1">
        <v>44320</v>
      </c>
      <c r="DC2475" s="1">
        <v>58930</v>
      </c>
      <c r="DD2475" t="s">
        <v>51</v>
      </c>
      <c r="DF2475" t="s">
        <v>54</v>
      </c>
      <c r="DG2475">
        <v>0</v>
      </c>
      <c r="DH2475">
        <v>0</v>
      </c>
    </row>
    <row r="2476" spans="1:112" x14ac:dyDescent="0.2">
      <c r="A2476" t="s">
        <v>1012</v>
      </c>
      <c r="B2476" t="s">
        <v>1013</v>
      </c>
      <c r="C2476" t="s">
        <v>1052</v>
      </c>
      <c r="D2476" t="s">
        <v>1096</v>
      </c>
      <c r="F2476" t="str">
        <f>"252049"</f>
        <v>252049</v>
      </c>
      <c r="G2476" t="s">
        <v>49</v>
      </c>
      <c r="H2476" t="s">
        <v>138</v>
      </c>
      <c r="K2476" t="s">
        <v>51</v>
      </c>
      <c r="L2476" t="s">
        <v>52</v>
      </c>
      <c r="M2476">
        <v>131550.07</v>
      </c>
      <c r="N2476">
        <v>474380.28</v>
      </c>
      <c r="O2476" t="s">
        <v>53</v>
      </c>
      <c r="P2476" t="s">
        <v>54</v>
      </c>
      <c r="Q2476" t="s">
        <v>55</v>
      </c>
      <c r="T2476" t="s">
        <v>1054</v>
      </c>
      <c r="U2476">
        <v>40</v>
      </c>
      <c r="V2476" s="1">
        <v>28126</v>
      </c>
      <c r="W2476" s="1">
        <v>28126</v>
      </c>
      <c r="X2476" s="1">
        <v>28126</v>
      </c>
      <c r="Y2476" s="1">
        <v>42736</v>
      </c>
      <c r="Z2476" t="s">
        <v>51</v>
      </c>
      <c r="AB2476" t="s">
        <v>54</v>
      </c>
      <c r="AC2476">
        <v>1</v>
      </c>
      <c r="AE2476" t="s">
        <v>91</v>
      </c>
      <c r="AF2476">
        <v>20</v>
      </c>
      <c r="AG2476" s="1">
        <v>34700</v>
      </c>
      <c r="AH2476" s="1">
        <v>34700</v>
      </c>
      <c r="AI2476" s="1">
        <v>34700</v>
      </c>
      <c r="AJ2476" s="1">
        <v>42005</v>
      </c>
      <c r="AK2476" t="s">
        <v>51</v>
      </c>
      <c r="AN2476">
        <v>0</v>
      </c>
      <c r="AO2476" t="s">
        <v>54</v>
      </c>
      <c r="AP2476" t="s">
        <v>53</v>
      </c>
      <c r="AQ2476">
        <v>0</v>
      </c>
      <c r="AR2476" t="s">
        <v>53</v>
      </c>
      <c r="AS2476">
        <v>0</v>
      </c>
      <c r="AT2476">
        <v>0</v>
      </c>
      <c r="AW2476" t="s">
        <v>58</v>
      </c>
      <c r="AX2476">
        <v>20</v>
      </c>
      <c r="AY2476" s="1">
        <v>34700</v>
      </c>
      <c r="AZ2476" s="1">
        <v>34700</v>
      </c>
      <c r="BA2476" s="1">
        <v>34700</v>
      </c>
      <c r="BB2476" s="1">
        <v>42005</v>
      </c>
      <c r="BC2476" t="s">
        <v>51</v>
      </c>
      <c r="BE2476" t="s">
        <v>54</v>
      </c>
      <c r="BF2476">
        <v>2</v>
      </c>
      <c r="BG2476">
        <v>0</v>
      </c>
      <c r="BH2476" t="s">
        <v>53</v>
      </c>
      <c r="BK2476" t="s">
        <v>92</v>
      </c>
      <c r="BL2476">
        <v>14000</v>
      </c>
      <c r="BM2476" s="1">
        <v>44110</v>
      </c>
      <c r="BN2476" s="1">
        <v>44110</v>
      </c>
      <c r="BO2476" s="1">
        <v>44110</v>
      </c>
      <c r="BP2476" s="1">
        <v>45272</v>
      </c>
      <c r="BQ2476" t="s">
        <v>51</v>
      </c>
      <c r="BS2476" t="s">
        <v>60</v>
      </c>
      <c r="BT2476" t="s">
        <v>54</v>
      </c>
      <c r="BU2476" t="s">
        <v>61</v>
      </c>
      <c r="BV2476" t="s">
        <v>62</v>
      </c>
      <c r="BX2476">
        <v>55</v>
      </c>
      <c r="BY2476">
        <v>0</v>
      </c>
      <c r="BZ2476">
        <v>0</v>
      </c>
      <c r="CX2476" t="s">
        <v>674</v>
      </c>
      <c r="CY2476">
        <v>0</v>
      </c>
      <c r="CZ2476" s="1">
        <v>44320</v>
      </c>
      <c r="DA2476" s="1">
        <v>44320</v>
      </c>
      <c r="DB2476" s="1">
        <v>44320</v>
      </c>
      <c r="DC2476" s="1">
        <v>44320</v>
      </c>
      <c r="DD2476" t="s">
        <v>51</v>
      </c>
      <c r="DF2476" t="s">
        <v>54</v>
      </c>
      <c r="DG2476">
        <v>0</v>
      </c>
      <c r="DH2476">
        <v>0</v>
      </c>
    </row>
    <row r="2477" spans="1:112" x14ac:dyDescent="0.2">
      <c r="A2477" t="s">
        <v>1012</v>
      </c>
      <c r="B2477" t="s">
        <v>1013</v>
      </c>
      <c r="C2477" t="s">
        <v>1014</v>
      </c>
      <c r="D2477" t="s">
        <v>1096</v>
      </c>
      <c r="F2477" t="str">
        <f>"252050"</f>
        <v>252050</v>
      </c>
      <c r="G2477" t="s">
        <v>49</v>
      </c>
      <c r="H2477" t="s">
        <v>138</v>
      </c>
      <c r="K2477" t="s">
        <v>51</v>
      </c>
      <c r="L2477" t="s">
        <v>52</v>
      </c>
      <c r="M2477">
        <v>131556.32</v>
      </c>
      <c r="N2477">
        <v>474364.84</v>
      </c>
      <c r="O2477" t="s">
        <v>53</v>
      </c>
      <c r="P2477" t="s">
        <v>54</v>
      </c>
      <c r="Q2477" t="s">
        <v>55</v>
      </c>
      <c r="T2477" t="s">
        <v>1054</v>
      </c>
      <c r="U2477">
        <v>40</v>
      </c>
      <c r="V2477" s="1">
        <v>28126</v>
      </c>
      <c r="W2477" s="1">
        <v>28126</v>
      </c>
      <c r="X2477" s="1">
        <v>28126</v>
      </c>
      <c r="Y2477" s="1">
        <v>42736</v>
      </c>
      <c r="Z2477" t="s">
        <v>51</v>
      </c>
      <c r="AB2477" t="s">
        <v>54</v>
      </c>
      <c r="AC2477">
        <v>1</v>
      </c>
      <c r="AE2477" t="s">
        <v>91</v>
      </c>
      <c r="AF2477">
        <v>20</v>
      </c>
      <c r="AG2477" s="1">
        <v>34700</v>
      </c>
      <c r="AH2477" s="1">
        <v>34700</v>
      </c>
      <c r="AI2477" s="1">
        <v>34700</v>
      </c>
      <c r="AJ2477" s="1">
        <v>42005</v>
      </c>
      <c r="AK2477" t="s">
        <v>51</v>
      </c>
      <c r="AN2477">
        <v>0</v>
      </c>
      <c r="AO2477" t="s">
        <v>54</v>
      </c>
      <c r="AP2477" t="s">
        <v>53</v>
      </c>
      <c r="AQ2477">
        <v>0</v>
      </c>
      <c r="AR2477" t="s">
        <v>53</v>
      </c>
      <c r="AS2477">
        <v>0</v>
      </c>
      <c r="AT2477">
        <v>0</v>
      </c>
      <c r="AW2477" t="s">
        <v>58</v>
      </c>
      <c r="AX2477">
        <v>20</v>
      </c>
      <c r="AY2477" s="1">
        <v>34700</v>
      </c>
      <c r="AZ2477" s="1">
        <v>34700</v>
      </c>
      <c r="BA2477" s="1">
        <v>34700</v>
      </c>
      <c r="BB2477" s="1">
        <v>42005</v>
      </c>
      <c r="BC2477" t="s">
        <v>51</v>
      </c>
      <c r="BE2477" t="s">
        <v>54</v>
      </c>
      <c r="BF2477">
        <v>2</v>
      </c>
      <c r="BG2477">
        <v>0</v>
      </c>
      <c r="BH2477" t="s">
        <v>53</v>
      </c>
      <c r="BK2477" t="s">
        <v>92</v>
      </c>
      <c r="BL2477">
        <v>14000</v>
      </c>
      <c r="BM2477" s="1">
        <v>44110</v>
      </c>
      <c r="BN2477" s="1">
        <v>44110</v>
      </c>
      <c r="BO2477" s="1">
        <v>44110</v>
      </c>
      <c r="BP2477" s="1">
        <v>45272</v>
      </c>
      <c r="BQ2477" t="s">
        <v>51</v>
      </c>
      <c r="BS2477" t="s">
        <v>60</v>
      </c>
      <c r="BT2477" t="s">
        <v>54</v>
      </c>
      <c r="BU2477" t="s">
        <v>61</v>
      </c>
      <c r="BV2477" t="s">
        <v>62</v>
      </c>
      <c r="BX2477">
        <v>55</v>
      </c>
      <c r="BY2477">
        <v>0</v>
      </c>
      <c r="BZ2477">
        <v>0</v>
      </c>
      <c r="CX2477" t="s">
        <v>674</v>
      </c>
      <c r="CY2477">
        <v>0</v>
      </c>
      <c r="CZ2477" s="1">
        <v>44320</v>
      </c>
      <c r="DA2477" s="1">
        <v>44320</v>
      </c>
      <c r="DB2477" s="1">
        <v>44320</v>
      </c>
      <c r="DC2477" s="1">
        <v>44320</v>
      </c>
      <c r="DD2477" t="s">
        <v>51</v>
      </c>
      <c r="DF2477" t="s">
        <v>54</v>
      </c>
      <c r="DG2477">
        <v>0</v>
      </c>
      <c r="DH2477">
        <v>0</v>
      </c>
    </row>
    <row r="2478" spans="1:112" x14ac:dyDescent="0.2">
      <c r="A2478" t="s">
        <v>1012</v>
      </c>
      <c r="B2478" t="s">
        <v>1013</v>
      </c>
      <c r="C2478" t="s">
        <v>1052</v>
      </c>
      <c r="D2478" t="s">
        <v>1096</v>
      </c>
      <c r="F2478" t="str">
        <f>"252051"</f>
        <v>252051</v>
      </c>
      <c r="G2478" t="s">
        <v>49</v>
      </c>
      <c r="H2478" t="s">
        <v>138</v>
      </c>
      <c r="K2478" t="s">
        <v>51</v>
      </c>
      <c r="L2478" t="s">
        <v>52</v>
      </c>
      <c r="M2478">
        <v>131570.45000000001</v>
      </c>
      <c r="N2478">
        <v>474363.63</v>
      </c>
      <c r="O2478" t="s">
        <v>53</v>
      </c>
      <c r="P2478" t="s">
        <v>54</v>
      </c>
      <c r="Q2478" t="s">
        <v>55</v>
      </c>
      <c r="T2478" t="s">
        <v>1054</v>
      </c>
      <c r="U2478">
        <v>40</v>
      </c>
      <c r="V2478" s="1">
        <v>28126</v>
      </c>
      <c r="W2478" s="1">
        <v>28126</v>
      </c>
      <c r="X2478" s="1">
        <v>28126</v>
      </c>
      <c r="Y2478" s="1">
        <v>42736</v>
      </c>
      <c r="Z2478" t="s">
        <v>51</v>
      </c>
      <c r="AB2478" t="s">
        <v>54</v>
      </c>
      <c r="AC2478">
        <v>1</v>
      </c>
      <c r="AE2478" t="s">
        <v>91</v>
      </c>
      <c r="AF2478">
        <v>20</v>
      </c>
      <c r="AG2478" s="1">
        <v>34700</v>
      </c>
      <c r="AH2478" s="1">
        <v>34700</v>
      </c>
      <c r="AI2478" s="1">
        <v>34700</v>
      </c>
      <c r="AJ2478" s="1">
        <v>42005</v>
      </c>
      <c r="AK2478" t="s">
        <v>51</v>
      </c>
      <c r="AN2478">
        <v>0</v>
      </c>
      <c r="AO2478" t="s">
        <v>54</v>
      </c>
      <c r="AP2478" t="s">
        <v>53</v>
      </c>
      <c r="AQ2478">
        <v>0</v>
      </c>
      <c r="AR2478" t="s">
        <v>53</v>
      </c>
      <c r="AS2478">
        <v>0</v>
      </c>
      <c r="AT2478">
        <v>0</v>
      </c>
      <c r="AW2478" t="s">
        <v>58</v>
      </c>
      <c r="AX2478">
        <v>20</v>
      </c>
      <c r="AY2478" s="1">
        <v>34700</v>
      </c>
      <c r="AZ2478" s="1">
        <v>34700</v>
      </c>
      <c r="BA2478" s="1">
        <v>34700</v>
      </c>
      <c r="BB2478" s="1">
        <v>42005</v>
      </c>
      <c r="BC2478" t="s">
        <v>51</v>
      </c>
      <c r="BE2478" t="s">
        <v>54</v>
      </c>
      <c r="BF2478">
        <v>2</v>
      </c>
      <c r="BG2478">
        <v>0</v>
      </c>
      <c r="BH2478" t="s">
        <v>53</v>
      </c>
      <c r="BK2478" t="s">
        <v>92</v>
      </c>
      <c r="BL2478">
        <v>14000</v>
      </c>
      <c r="BM2478" s="1">
        <v>44110</v>
      </c>
      <c r="BN2478" s="1">
        <v>44110</v>
      </c>
      <c r="BO2478" s="1">
        <v>44110</v>
      </c>
      <c r="BP2478" s="1">
        <v>45272</v>
      </c>
      <c r="BQ2478" t="s">
        <v>51</v>
      </c>
      <c r="BS2478" t="s">
        <v>60</v>
      </c>
      <c r="BT2478" t="s">
        <v>54</v>
      </c>
      <c r="BU2478" t="s">
        <v>61</v>
      </c>
      <c r="BV2478" t="s">
        <v>62</v>
      </c>
      <c r="BX2478">
        <v>55</v>
      </c>
      <c r="BY2478">
        <v>0</v>
      </c>
      <c r="BZ2478">
        <v>0</v>
      </c>
      <c r="CX2478" t="s">
        <v>674</v>
      </c>
      <c r="CY2478">
        <v>0</v>
      </c>
      <c r="CZ2478" s="1">
        <v>44320</v>
      </c>
      <c r="DA2478" s="1">
        <v>44320</v>
      </c>
      <c r="DB2478" s="1">
        <v>44320</v>
      </c>
      <c r="DC2478" s="1">
        <v>44320</v>
      </c>
      <c r="DD2478" t="s">
        <v>51</v>
      </c>
      <c r="DF2478" t="s">
        <v>54</v>
      </c>
      <c r="DG2478">
        <v>0</v>
      </c>
      <c r="DH2478">
        <v>0</v>
      </c>
    </row>
    <row r="2479" spans="1:112" x14ac:dyDescent="0.2">
      <c r="A2479" t="s">
        <v>1012</v>
      </c>
      <c r="B2479" t="s">
        <v>1013</v>
      </c>
      <c r="C2479" t="s">
        <v>1052</v>
      </c>
      <c r="D2479" t="s">
        <v>1096</v>
      </c>
      <c r="F2479" t="str">
        <f>"252052"</f>
        <v>252052</v>
      </c>
      <c r="G2479" t="s">
        <v>49</v>
      </c>
      <c r="K2479" t="s">
        <v>51</v>
      </c>
      <c r="L2479" t="s">
        <v>52</v>
      </c>
      <c r="M2479">
        <v>131669.31</v>
      </c>
      <c r="N2479">
        <v>475197.95</v>
      </c>
      <c r="O2479" t="s">
        <v>53</v>
      </c>
      <c r="P2479" t="s">
        <v>54</v>
      </c>
      <c r="Q2479" t="s">
        <v>55</v>
      </c>
      <c r="T2479" t="s">
        <v>1076</v>
      </c>
      <c r="U2479">
        <v>30</v>
      </c>
      <c r="V2479" s="1">
        <v>28126</v>
      </c>
      <c r="W2479" s="1">
        <v>28126</v>
      </c>
      <c r="X2479" s="1">
        <v>28126</v>
      </c>
      <c r="Y2479" s="1">
        <v>39083</v>
      </c>
      <c r="Z2479" t="s">
        <v>51</v>
      </c>
      <c r="AB2479" t="s">
        <v>54</v>
      </c>
      <c r="AC2479">
        <v>1</v>
      </c>
      <c r="AE2479" t="s">
        <v>934</v>
      </c>
      <c r="AF2479">
        <v>20</v>
      </c>
      <c r="AG2479" s="1">
        <v>34700</v>
      </c>
      <c r="AH2479" s="1">
        <v>34700</v>
      </c>
      <c r="AI2479" s="1">
        <v>34700</v>
      </c>
      <c r="AJ2479" s="1">
        <v>42005</v>
      </c>
      <c r="AK2479" t="s">
        <v>51</v>
      </c>
      <c r="AN2479">
        <v>0</v>
      </c>
      <c r="AO2479" t="s">
        <v>54</v>
      </c>
      <c r="AP2479" t="s">
        <v>53</v>
      </c>
      <c r="AQ2479">
        <v>0</v>
      </c>
      <c r="AR2479" t="s">
        <v>53</v>
      </c>
      <c r="AS2479">
        <v>0</v>
      </c>
      <c r="AT2479">
        <v>0</v>
      </c>
      <c r="AW2479" t="s">
        <v>172</v>
      </c>
      <c r="AX2479">
        <v>15</v>
      </c>
      <c r="AY2479" s="1">
        <v>44320</v>
      </c>
      <c r="AZ2479" s="1">
        <v>44320</v>
      </c>
      <c r="BA2479" s="1">
        <v>44320</v>
      </c>
      <c r="BB2479" s="1">
        <v>49799</v>
      </c>
      <c r="BC2479" t="s">
        <v>51</v>
      </c>
      <c r="BE2479" t="s">
        <v>54</v>
      </c>
      <c r="BF2479">
        <v>40</v>
      </c>
      <c r="BG2479">
        <v>0</v>
      </c>
      <c r="BH2479" t="s">
        <v>145</v>
      </c>
      <c r="CC2479" t="s">
        <v>850</v>
      </c>
      <c r="CD2479">
        <v>1</v>
      </c>
      <c r="CE2479" s="1">
        <v>44320</v>
      </c>
      <c r="CF2479" s="1">
        <v>44320</v>
      </c>
      <c r="CG2479" s="1">
        <v>44320</v>
      </c>
      <c r="CH2479" s="1">
        <v>51513</v>
      </c>
      <c r="CI2479" t="s">
        <v>51</v>
      </c>
      <c r="CK2479" t="s">
        <v>78</v>
      </c>
      <c r="CM2479" t="s">
        <v>54</v>
      </c>
      <c r="CN2479" t="s">
        <v>174</v>
      </c>
      <c r="CO2479" t="s">
        <v>86</v>
      </c>
      <c r="CR2479">
        <v>18</v>
      </c>
      <c r="CS2479">
        <v>0</v>
      </c>
      <c r="CT2479">
        <v>0</v>
      </c>
      <c r="CU2479">
        <v>0</v>
      </c>
      <c r="CX2479" t="s">
        <v>360</v>
      </c>
      <c r="CY2479">
        <v>40</v>
      </c>
      <c r="CZ2479" s="1">
        <v>44320</v>
      </c>
      <c r="DA2479" s="1">
        <v>44320</v>
      </c>
      <c r="DB2479" s="1">
        <v>44320</v>
      </c>
      <c r="DC2479" s="1">
        <v>58930</v>
      </c>
      <c r="DD2479" t="s">
        <v>51</v>
      </c>
      <c r="DF2479" t="s">
        <v>54</v>
      </c>
      <c r="DG2479">
        <v>0</v>
      </c>
      <c r="DH2479">
        <v>0</v>
      </c>
    </row>
    <row r="2480" spans="1:112" x14ac:dyDescent="0.2">
      <c r="A2480" t="s">
        <v>1012</v>
      </c>
      <c r="B2480" t="s">
        <v>1013</v>
      </c>
      <c r="C2480" t="s">
        <v>1019</v>
      </c>
      <c r="D2480" t="s">
        <v>1020</v>
      </c>
      <c r="F2480" t="str">
        <f>"252053"</f>
        <v>252053</v>
      </c>
      <c r="G2480" t="s">
        <v>49</v>
      </c>
      <c r="K2480" t="s">
        <v>51</v>
      </c>
      <c r="L2480" t="s">
        <v>52</v>
      </c>
      <c r="M2480">
        <v>131685.01</v>
      </c>
      <c r="N2480">
        <v>475237.55</v>
      </c>
      <c r="O2480" t="s">
        <v>53</v>
      </c>
      <c r="P2480" t="s">
        <v>54</v>
      </c>
      <c r="Q2480" t="s">
        <v>55</v>
      </c>
      <c r="T2480" t="s">
        <v>1106</v>
      </c>
      <c r="U2480">
        <v>40</v>
      </c>
      <c r="V2480" s="1">
        <v>40544</v>
      </c>
      <c r="W2480" s="1">
        <v>40544</v>
      </c>
      <c r="X2480" s="1">
        <v>40544</v>
      </c>
      <c r="Y2480" s="1">
        <v>55154</v>
      </c>
      <c r="Z2480" t="s">
        <v>51</v>
      </c>
      <c r="AB2480" t="s">
        <v>54</v>
      </c>
      <c r="AC2480">
        <v>1</v>
      </c>
      <c r="AE2480" t="s">
        <v>934</v>
      </c>
      <c r="AF2480">
        <v>20</v>
      </c>
      <c r="AG2480" s="1">
        <v>40544</v>
      </c>
      <c r="AH2480" s="1">
        <v>40544</v>
      </c>
      <c r="AI2480" s="1">
        <v>40544</v>
      </c>
      <c r="AJ2480" s="1">
        <v>47849</v>
      </c>
      <c r="AK2480" t="s">
        <v>51</v>
      </c>
      <c r="AN2480">
        <v>0</v>
      </c>
      <c r="AO2480" t="s">
        <v>54</v>
      </c>
      <c r="AP2480" t="s">
        <v>53</v>
      </c>
      <c r="AQ2480">
        <v>0</v>
      </c>
      <c r="AR2480" t="s">
        <v>53</v>
      </c>
      <c r="AS2480">
        <v>0</v>
      </c>
      <c r="AT2480">
        <v>0</v>
      </c>
      <c r="AW2480" t="s">
        <v>79</v>
      </c>
      <c r="AX2480">
        <v>20</v>
      </c>
      <c r="AY2480" s="1">
        <v>40544</v>
      </c>
      <c r="AZ2480" s="1">
        <v>40544</v>
      </c>
      <c r="BA2480" s="1">
        <v>40544</v>
      </c>
      <c r="BB2480" s="1">
        <v>47849</v>
      </c>
      <c r="BC2480" t="s">
        <v>51</v>
      </c>
      <c r="BE2480" t="s">
        <v>54</v>
      </c>
      <c r="BF2480">
        <v>5</v>
      </c>
      <c r="BG2480">
        <v>0</v>
      </c>
      <c r="BH2480" t="s">
        <v>53</v>
      </c>
      <c r="BK2480" t="s">
        <v>59</v>
      </c>
      <c r="BL2480">
        <v>14000</v>
      </c>
      <c r="BM2480" s="1">
        <v>42917</v>
      </c>
      <c r="BN2480" s="1">
        <v>42917</v>
      </c>
      <c r="BO2480" s="1">
        <v>42917</v>
      </c>
      <c r="BP2480" s="1">
        <v>44117</v>
      </c>
      <c r="BQ2480" t="s">
        <v>51</v>
      </c>
      <c r="BS2480" t="s">
        <v>60</v>
      </c>
      <c r="BT2480" t="s">
        <v>54</v>
      </c>
      <c r="BU2480" t="s">
        <v>61</v>
      </c>
      <c r="BV2480" t="s">
        <v>62</v>
      </c>
      <c r="BX2480">
        <v>24</v>
      </c>
      <c r="BY2480">
        <v>0</v>
      </c>
      <c r="BZ2480">
        <v>0</v>
      </c>
    </row>
    <row r="2481" spans="1:112" x14ac:dyDescent="0.2">
      <c r="A2481" t="s">
        <v>1012</v>
      </c>
      <c r="B2481" t="s">
        <v>1013</v>
      </c>
      <c r="C2481" t="s">
        <v>1052</v>
      </c>
      <c r="D2481" t="s">
        <v>1096</v>
      </c>
      <c r="F2481" t="str">
        <f>"252054"</f>
        <v>252054</v>
      </c>
      <c r="G2481" t="s">
        <v>49</v>
      </c>
      <c r="K2481" t="s">
        <v>51</v>
      </c>
      <c r="L2481" t="s">
        <v>52</v>
      </c>
      <c r="M2481">
        <v>131570.43</v>
      </c>
      <c r="N2481">
        <v>474377.59</v>
      </c>
      <c r="O2481" t="s">
        <v>53</v>
      </c>
      <c r="P2481" t="s">
        <v>54</v>
      </c>
      <c r="Q2481" t="s">
        <v>55</v>
      </c>
      <c r="T2481" t="s">
        <v>1106</v>
      </c>
      <c r="U2481">
        <v>40</v>
      </c>
      <c r="V2481" s="1">
        <v>28126</v>
      </c>
      <c r="W2481" s="1">
        <v>28126</v>
      </c>
      <c r="X2481" s="1">
        <v>28126</v>
      </c>
      <c r="Y2481" s="1">
        <v>42736</v>
      </c>
      <c r="Z2481" t="s">
        <v>51</v>
      </c>
      <c r="AB2481" t="s">
        <v>54</v>
      </c>
      <c r="AC2481">
        <v>1</v>
      </c>
      <c r="AE2481" t="s">
        <v>934</v>
      </c>
      <c r="AF2481">
        <v>20</v>
      </c>
      <c r="AG2481" s="1">
        <v>34700</v>
      </c>
      <c r="AH2481" s="1">
        <v>34700</v>
      </c>
      <c r="AI2481" s="1">
        <v>34700</v>
      </c>
      <c r="AJ2481" s="1">
        <v>42005</v>
      </c>
      <c r="AK2481" t="s">
        <v>51</v>
      </c>
      <c r="AN2481">
        <v>0</v>
      </c>
      <c r="AO2481" t="s">
        <v>54</v>
      </c>
      <c r="AP2481" t="s">
        <v>53</v>
      </c>
      <c r="AQ2481">
        <v>0</v>
      </c>
      <c r="AR2481" t="s">
        <v>53</v>
      </c>
      <c r="AS2481">
        <v>0</v>
      </c>
      <c r="AT2481">
        <v>0</v>
      </c>
      <c r="AW2481" t="s">
        <v>79</v>
      </c>
      <c r="AX2481">
        <v>20</v>
      </c>
      <c r="AY2481" s="1">
        <v>34700</v>
      </c>
      <c r="AZ2481" s="1">
        <v>34700</v>
      </c>
      <c r="BA2481" s="1">
        <v>34700</v>
      </c>
      <c r="BB2481" s="1">
        <v>42005</v>
      </c>
      <c r="BC2481" t="s">
        <v>51</v>
      </c>
      <c r="BE2481" t="s">
        <v>54</v>
      </c>
      <c r="BF2481">
        <v>5</v>
      </c>
      <c r="BG2481">
        <v>0</v>
      </c>
      <c r="BH2481" t="s">
        <v>53</v>
      </c>
      <c r="BK2481" t="s">
        <v>92</v>
      </c>
      <c r="BL2481">
        <v>14000</v>
      </c>
      <c r="BM2481" s="1">
        <v>42917</v>
      </c>
      <c r="BN2481" s="1">
        <v>42917</v>
      </c>
      <c r="BO2481" s="1">
        <v>42917</v>
      </c>
      <c r="BP2481" s="1">
        <v>44117</v>
      </c>
      <c r="BQ2481" t="s">
        <v>51</v>
      </c>
      <c r="BS2481" t="s">
        <v>60</v>
      </c>
      <c r="BT2481" t="s">
        <v>54</v>
      </c>
      <c r="BU2481" t="s">
        <v>61</v>
      </c>
      <c r="BV2481" t="s">
        <v>62</v>
      </c>
      <c r="BX2481">
        <v>55</v>
      </c>
      <c r="BY2481">
        <v>0</v>
      </c>
      <c r="BZ2481">
        <v>0</v>
      </c>
    </row>
    <row r="2482" spans="1:112" x14ac:dyDescent="0.2">
      <c r="A2482" t="s">
        <v>1012</v>
      </c>
      <c r="B2482" t="s">
        <v>1013</v>
      </c>
      <c r="C2482" t="s">
        <v>1014</v>
      </c>
      <c r="D2482" t="s">
        <v>1020</v>
      </c>
      <c r="F2482" t="str">
        <f>"252055"</f>
        <v>252055</v>
      </c>
      <c r="G2482" t="s">
        <v>49</v>
      </c>
      <c r="K2482" t="s">
        <v>51</v>
      </c>
      <c r="L2482" t="s">
        <v>52</v>
      </c>
      <c r="M2482">
        <v>131676.99</v>
      </c>
      <c r="N2482">
        <v>475259.12300000002</v>
      </c>
      <c r="O2482" t="s">
        <v>53</v>
      </c>
      <c r="P2482" t="s">
        <v>54</v>
      </c>
      <c r="Q2482" t="s">
        <v>55</v>
      </c>
      <c r="T2482" t="s">
        <v>1076</v>
      </c>
      <c r="U2482">
        <v>30</v>
      </c>
      <c r="V2482" s="1">
        <v>40544</v>
      </c>
      <c r="W2482" s="1">
        <v>40544</v>
      </c>
      <c r="X2482" s="1">
        <v>40544</v>
      </c>
      <c r="Y2482" s="1">
        <v>51502</v>
      </c>
      <c r="Z2482" t="s">
        <v>51</v>
      </c>
      <c r="AB2482" t="s">
        <v>54</v>
      </c>
      <c r="AC2482">
        <v>1</v>
      </c>
      <c r="AE2482" t="s">
        <v>934</v>
      </c>
      <c r="AF2482">
        <v>20</v>
      </c>
      <c r="AG2482" s="1">
        <v>40544</v>
      </c>
      <c r="AH2482" s="1">
        <v>40544</v>
      </c>
      <c r="AI2482" s="1">
        <v>40544</v>
      </c>
      <c r="AJ2482" s="1">
        <v>47849</v>
      </c>
      <c r="AK2482" t="s">
        <v>51</v>
      </c>
      <c r="AN2482">
        <v>0</v>
      </c>
      <c r="AO2482" t="s">
        <v>54</v>
      </c>
      <c r="AP2482" t="s">
        <v>53</v>
      </c>
      <c r="AQ2482">
        <v>0</v>
      </c>
      <c r="AR2482" t="s">
        <v>53</v>
      </c>
      <c r="AS2482">
        <v>0</v>
      </c>
      <c r="AT2482">
        <v>0</v>
      </c>
      <c r="AW2482" t="s">
        <v>172</v>
      </c>
      <c r="AX2482">
        <v>15</v>
      </c>
      <c r="AY2482" s="1">
        <v>42917</v>
      </c>
      <c r="AZ2482" s="1">
        <v>42917</v>
      </c>
      <c r="BA2482" s="1">
        <v>42917</v>
      </c>
      <c r="BB2482" s="1">
        <v>48396</v>
      </c>
      <c r="BC2482" t="s">
        <v>51</v>
      </c>
      <c r="BE2482" t="s">
        <v>54</v>
      </c>
      <c r="BF2482">
        <v>40</v>
      </c>
      <c r="BG2482">
        <v>0</v>
      </c>
      <c r="BH2482" t="s">
        <v>145</v>
      </c>
      <c r="CC2482" t="s">
        <v>850</v>
      </c>
      <c r="CD2482">
        <v>1</v>
      </c>
      <c r="CE2482" s="1">
        <v>42917</v>
      </c>
      <c r="CF2482" s="1">
        <v>42917</v>
      </c>
      <c r="CG2482" s="1">
        <v>42917</v>
      </c>
      <c r="CH2482" s="1">
        <v>50079</v>
      </c>
      <c r="CI2482" t="s">
        <v>51</v>
      </c>
      <c r="CK2482" t="s">
        <v>78</v>
      </c>
      <c r="CM2482" t="s">
        <v>54</v>
      </c>
      <c r="CN2482" t="s">
        <v>174</v>
      </c>
      <c r="CO2482" t="s">
        <v>86</v>
      </c>
      <c r="CR2482">
        <v>18</v>
      </c>
      <c r="CS2482">
        <v>0</v>
      </c>
      <c r="CT2482">
        <v>0</v>
      </c>
      <c r="CU2482">
        <v>0</v>
      </c>
      <c r="CX2482" t="s">
        <v>360</v>
      </c>
      <c r="CY2482">
        <v>40</v>
      </c>
      <c r="CZ2482" s="1">
        <v>42917</v>
      </c>
      <c r="DA2482" s="1">
        <v>42917</v>
      </c>
      <c r="DB2482" s="1">
        <v>42917</v>
      </c>
      <c r="DC2482" s="1">
        <v>57527</v>
      </c>
      <c r="DD2482" t="s">
        <v>51</v>
      </c>
      <c r="DF2482" t="s">
        <v>54</v>
      </c>
      <c r="DG2482">
        <v>0</v>
      </c>
      <c r="DH2482">
        <v>0</v>
      </c>
    </row>
    <row r="2483" spans="1:112" x14ac:dyDescent="0.2">
      <c r="A2483" t="s">
        <v>1012</v>
      </c>
      <c r="B2483" t="s">
        <v>1013</v>
      </c>
      <c r="C2483" t="s">
        <v>1019</v>
      </c>
      <c r="D2483" t="s">
        <v>1020</v>
      </c>
      <c r="F2483" t="str">
        <f>"252056"</f>
        <v>252056</v>
      </c>
      <c r="G2483" t="s">
        <v>49</v>
      </c>
      <c r="K2483" t="s">
        <v>51</v>
      </c>
      <c r="L2483" t="s">
        <v>52</v>
      </c>
      <c r="M2483">
        <v>131689.125</v>
      </c>
      <c r="N2483">
        <v>475280.41800000001</v>
      </c>
      <c r="O2483" t="s">
        <v>53</v>
      </c>
      <c r="P2483" t="s">
        <v>54</v>
      </c>
      <c r="Q2483" t="s">
        <v>55</v>
      </c>
      <c r="T2483" t="s">
        <v>1076</v>
      </c>
      <c r="U2483">
        <v>30</v>
      </c>
      <c r="V2483" s="1">
        <v>40544</v>
      </c>
      <c r="W2483" s="1">
        <v>40544</v>
      </c>
      <c r="X2483" s="1">
        <v>40544</v>
      </c>
      <c r="Y2483" s="1">
        <v>51502</v>
      </c>
      <c r="Z2483" t="s">
        <v>51</v>
      </c>
      <c r="AB2483" t="s">
        <v>54</v>
      </c>
      <c r="AC2483">
        <v>1</v>
      </c>
      <c r="AE2483" t="s">
        <v>934</v>
      </c>
      <c r="AF2483">
        <v>20</v>
      </c>
      <c r="AG2483" s="1">
        <v>40544</v>
      </c>
      <c r="AH2483" s="1">
        <v>40544</v>
      </c>
      <c r="AI2483" s="1">
        <v>40544</v>
      </c>
      <c r="AJ2483" s="1">
        <v>47849</v>
      </c>
      <c r="AK2483" t="s">
        <v>51</v>
      </c>
      <c r="AN2483">
        <v>0</v>
      </c>
      <c r="AO2483" t="s">
        <v>54</v>
      </c>
      <c r="AP2483" t="s">
        <v>53</v>
      </c>
      <c r="AQ2483">
        <v>0</v>
      </c>
      <c r="AR2483" t="s">
        <v>53</v>
      </c>
      <c r="AS2483">
        <v>0</v>
      </c>
      <c r="AT2483">
        <v>0</v>
      </c>
      <c r="AW2483" t="s">
        <v>172</v>
      </c>
      <c r="AX2483">
        <v>15</v>
      </c>
      <c r="AY2483" s="1">
        <v>42917</v>
      </c>
      <c r="AZ2483" s="1">
        <v>42917</v>
      </c>
      <c r="BA2483" s="1">
        <v>42917</v>
      </c>
      <c r="BB2483" s="1">
        <v>48396</v>
      </c>
      <c r="BC2483" t="s">
        <v>51</v>
      </c>
      <c r="BE2483" t="s">
        <v>54</v>
      </c>
      <c r="BF2483">
        <v>40</v>
      </c>
      <c r="BG2483">
        <v>0</v>
      </c>
      <c r="BH2483" t="s">
        <v>145</v>
      </c>
      <c r="CC2483" t="s">
        <v>850</v>
      </c>
      <c r="CD2483">
        <v>1</v>
      </c>
      <c r="CE2483" s="1">
        <v>42917</v>
      </c>
      <c r="CF2483" s="1">
        <v>42917</v>
      </c>
      <c r="CG2483" s="1">
        <v>42917</v>
      </c>
      <c r="CH2483" s="1">
        <v>50079</v>
      </c>
      <c r="CI2483" t="s">
        <v>51</v>
      </c>
      <c r="CK2483" t="s">
        <v>78</v>
      </c>
      <c r="CM2483" t="s">
        <v>54</v>
      </c>
      <c r="CN2483" t="s">
        <v>174</v>
      </c>
      <c r="CO2483" t="s">
        <v>86</v>
      </c>
      <c r="CR2483">
        <v>18</v>
      </c>
      <c r="CS2483">
        <v>0</v>
      </c>
      <c r="CT2483">
        <v>0</v>
      </c>
      <c r="CU2483">
        <v>0</v>
      </c>
      <c r="CX2483" t="s">
        <v>360</v>
      </c>
      <c r="CY2483">
        <v>40</v>
      </c>
      <c r="CZ2483" s="1">
        <v>42917</v>
      </c>
      <c r="DA2483" s="1">
        <v>42917</v>
      </c>
      <c r="DB2483" s="1">
        <v>42917</v>
      </c>
      <c r="DC2483" s="1">
        <v>57527</v>
      </c>
      <c r="DD2483" t="s">
        <v>51</v>
      </c>
      <c r="DF2483" t="s">
        <v>54</v>
      </c>
      <c r="DG2483">
        <v>0</v>
      </c>
      <c r="DH2483">
        <v>0</v>
      </c>
    </row>
    <row r="2484" spans="1:112" x14ac:dyDescent="0.2">
      <c r="A2484" t="s">
        <v>1012</v>
      </c>
      <c r="B2484" t="s">
        <v>1013</v>
      </c>
      <c r="C2484" t="s">
        <v>1014</v>
      </c>
      <c r="D2484" t="s">
        <v>1020</v>
      </c>
      <c r="F2484" t="str">
        <f>"252057"</f>
        <v>252057</v>
      </c>
      <c r="G2484" t="s">
        <v>49</v>
      </c>
      <c r="K2484" t="s">
        <v>51</v>
      </c>
      <c r="L2484" t="s">
        <v>52</v>
      </c>
      <c r="M2484">
        <v>131683.375</v>
      </c>
      <c r="N2484">
        <v>475303.07299999997</v>
      </c>
      <c r="O2484" t="s">
        <v>53</v>
      </c>
      <c r="P2484" t="s">
        <v>54</v>
      </c>
      <c r="Q2484" t="s">
        <v>55</v>
      </c>
      <c r="T2484" t="s">
        <v>1076</v>
      </c>
      <c r="U2484">
        <v>30</v>
      </c>
      <c r="V2484" s="1">
        <v>40544</v>
      </c>
      <c r="W2484" s="1">
        <v>40544</v>
      </c>
      <c r="X2484" s="1">
        <v>40544</v>
      </c>
      <c r="Y2484" s="1">
        <v>51502</v>
      </c>
      <c r="Z2484" t="s">
        <v>51</v>
      </c>
      <c r="AB2484" t="s">
        <v>54</v>
      </c>
      <c r="AC2484">
        <v>1</v>
      </c>
      <c r="AE2484" t="s">
        <v>934</v>
      </c>
      <c r="AF2484">
        <v>20</v>
      </c>
      <c r="AG2484" s="1">
        <v>40544</v>
      </c>
      <c r="AH2484" s="1">
        <v>40544</v>
      </c>
      <c r="AI2484" s="1">
        <v>40544</v>
      </c>
      <c r="AJ2484" s="1">
        <v>47849</v>
      </c>
      <c r="AK2484" t="s">
        <v>51</v>
      </c>
      <c r="AN2484">
        <v>0</v>
      </c>
      <c r="AO2484" t="s">
        <v>54</v>
      </c>
      <c r="AP2484" t="s">
        <v>53</v>
      </c>
      <c r="AQ2484">
        <v>0</v>
      </c>
      <c r="AR2484" t="s">
        <v>53</v>
      </c>
      <c r="AS2484">
        <v>0</v>
      </c>
      <c r="AT2484">
        <v>0</v>
      </c>
      <c r="AW2484" t="s">
        <v>172</v>
      </c>
      <c r="AX2484">
        <v>15</v>
      </c>
      <c r="AY2484" s="1">
        <v>44075</v>
      </c>
      <c r="AZ2484" s="1">
        <v>44075</v>
      </c>
      <c r="BA2484" s="1">
        <v>44075</v>
      </c>
      <c r="BB2484" s="1">
        <v>49553</v>
      </c>
      <c r="BC2484" t="s">
        <v>51</v>
      </c>
      <c r="BE2484" t="s">
        <v>54</v>
      </c>
      <c r="BF2484">
        <v>40</v>
      </c>
      <c r="BG2484">
        <v>0</v>
      </c>
      <c r="BH2484" t="s">
        <v>145</v>
      </c>
      <c r="CC2484" t="s">
        <v>850</v>
      </c>
      <c r="CD2484">
        <v>1</v>
      </c>
      <c r="CE2484" s="1">
        <v>44075</v>
      </c>
      <c r="CF2484" s="1">
        <v>44075</v>
      </c>
      <c r="CG2484" s="1">
        <v>44075</v>
      </c>
      <c r="CH2484" s="1">
        <v>51215</v>
      </c>
      <c r="CI2484" t="s">
        <v>51</v>
      </c>
      <c r="CK2484" t="s">
        <v>78</v>
      </c>
      <c r="CM2484" t="s">
        <v>54</v>
      </c>
      <c r="CN2484" t="s">
        <v>174</v>
      </c>
      <c r="CO2484" t="s">
        <v>86</v>
      </c>
      <c r="CR2484">
        <v>18</v>
      </c>
      <c r="CS2484">
        <v>0</v>
      </c>
      <c r="CT2484">
        <v>0</v>
      </c>
      <c r="CU2484">
        <v>0</v>
      </c>
      <c r="CX2484" t="s">
        <v>360</v>
      </c>
      <c r="CY2484">
        <v>40</v>
      </c>
      <c r="CZ2484" s="1">
        <v>44075</v>
      </c>
      <c r="DA2484" s="1">
        <v>44075</v>
      </c>
      <c r="DB2484" s="1">
        <v>44075</v>
      </c>
      <c r="DC2484" s="1">
        <v>58685</v>
      </c>
      <c r="DD2484" t="s">
        <v>51</v>
      </c>
      <c r="DF2484" t="s">
        <v>54</v>
      </c>
      <c r="DG2484">
        <v>0</v>
      </c>
      <c r="DH2484">
        <v>0</v>
      </c>
    </row>
    <row r="2485" spans="1:112" x14ac:dyDescent="0.2">
      <c r="A2485" t="s">
        <v>1012</v>
      </c>
      <c r="B2485" t="s">
        <v>1013</v>
      </c>
      <c r="C2485" t="s">
        <v>1019</v>
      </c>
      <c r="D2485" t="s">
        <v>1020</v>
      </c>
      <c r="F2485" t="str">
        <f>"252058"</f>
        <v>252058</v>
      </c>
      <c r="G2485" t="s">
        <v>49</v>
      </c>
      <c r="K2485" t="s">
        <v>51</v>
      </c>
      <c r="L2485" t="s">
        <v>52</v>
      </c>
      <c r="M2485">
        <v>131695.19200000001</v>
      </c>
      <c r="N2485">
        <v>475324.19199999998</v>
      </c>
      <c r="O2485" t="s">
        <v>53</v>
      </c>
      <c r="P2485" t="s">
        <v>54</v>
      </c>
      <c r="Q2485" t="s">
        <v>55</v>
      </c>
      <c r="T2485" t="s">
        <v>1076</v>
      </c>
      <c r="U2485">
        <v>30</v>
      </c>
      <c r="V2485" s="1">
        <v>40544</v>
      </c>
      <c r="W2485" s="1">
        <v>40544</v>
      </c>
      <c r="X2485" s="1">
        <v>40544</v>
      </c>
      <c r="Y2485" s="1">
        <v>51502</v>
      </c>
      <c r="Z2485" t="s">
        <v>51</v>
      </c>
      <c r="AB2485" t="s">
        <v>54</v>
      </c>
      <c r="AC2485">
        <v>1</v>
      </c>
      <c r="AE2485" t="s">
        <v>934</v>
      </c>
      <c r="AF2485">
        <v>20</v>
      </c>
      <c r="AG2485" s="1">
        <v>40544</v>
      </c>
      <c r="AH2485" s="1">
        <v>40544</v>
      </c>
      <c r="AI2485" s="1">
        <v>40544</v>
      </c>
      <c r="AJ2485" s="1">
        <v>47849</v>
      </c>
      <c r="AK2485" t="s">
        <v>51</v>
      </c>
      <c r="AN2485">
        <v>0</v>
      </c>
      <c r="AO2485" t="s">
        <v>54</v>
      </c>
      <c r="AP2485" t="s">
        <v>53</v>
      </c>
      <c r="AQ2485">
        <v>0</v>
      </c>
      <c r="AR2485" t="s">
        <v>53</v>
      </c>
      <c r="AS2485">
        <v>0</v>
      </c>
      <c r="AT2485">
        <v>0</v>
      </c>
      <c r="AW2485" t="s">
        <v>172</v>
      </c>
      <c r="AX2485">
        <v>15</v>
      </c>
      <c r="AY2485" s="1">
        <v>43101</v>
      </c>
      <c r="AZ2485" s="1">
        <v>43101</v>
      </c>
      <c r="BA2485" s="1">
        <v>43101</v>
      </c>
      <c r="BB2485" s="1">
        <v>48580</v>
      </c>
      <c r="BC2485" t="s">
        <v>51</v>
      </c>
      <c r="BE2485" t="s">
        <v>54</v>
      </c>
      <c r="BF2485">
        <v>40</v>
      </c>
      <c r="BG2485">
        <v>0</v>
      </c>
      <c r="BH2485" t="s">
        <v>145</v>
      </c>
      <c r="CC2485" t="s">
        <v>850</v>
      </c>
      <c r="CD2485">
        <v>1</v>
      </c>
      <c r="CE2485" s="1">
        <v>43101</v>
      </c>
      <c r="CF2485" s="1">
        <v>43101</v>
      </c>
      <c r="CG2485" s="1">
        <v>43101</v>
      </c>
      <c r="CH2485" s="1">
        <v>50730</v>
      </c>
      <c r="CI2485" t="s">
        <v>51</v>
      </c>
      <c r="CK2485" t="s">
        <v>78</v>
      </c>
      <c r="CM2485" t="s">
        <v>54</v>
      </c>
      <c r="CN2485" t="s">
        <v>174</v>
      </c>
      <c r="CO2485" t="s">
        <v>86</v>
      </c>
      <c r="CR2485">
        <v>18</v>
      </c>
      <c r="CS2485">
        <v>0</v>
      </c>
      <c r="CT2485">
        <v>0</v>
      </c>
      <c r="CU2485">
        <v>0</v>
      </c>
      <c r="CX2485" t="s">
        <v>360</v>
      </c>
      <c r="CY2485">
        <v>40</v>
      </c>
      <c r="CZ2485" s="1">
        <v>43101</v>
      </c>
      <c r="DA2485" s="1">
        <v>43101</v>
      </c>
      <c r="DB2485" s="1">
        <v>43101</v>
      </c>
      <c r="DC2485" s="1">
        <v>57711</v>
      </c>
      <c r="DD2485" t="s">
        <v>51</v>
      </c>
      <c r="DF2485" t="s">
        <v>54</v>
      </c>
      <c r="DG2485">
        <v>0</v>
      </c>
      <c r="DH2485">
        <v>0</v>
      </c>
    </row>
    <row r="2486" spans="1:112" x14ac:dyDescent="0.2">
      <c r="A2486" t="s">
        <v>1012</v>
      </c>
      <c r="B2486" t="s">
        <v>1013</v>
      </c>
      <c r="C2486" t="s">
        <v>1014</v>
      </c>
      <c r="D2486" t="s">
        <v>1020</v>
      </c>
      <c r="F2486" t="str">
        <f>"252059"</f>
        <v>252059</v>
      </c>
      <c r="G2486" t="s">
        <v>49</v>
      </c>
      <c r="K2486" t="s">
        <v>51</v>
      </c>
      <c r="L2486" t="s">
        <v>52</v>
      </c>
      <c r="M2486">
        <v>131696.53</v>
      </c>
      <c r="N2486">
        <v>475340.01</v>
      </c>
      <c r="O2486" t="s">
        <v>53</v>
      </c>
      <c r="P2486" t="s">
        <v>54</v>
      </c>
      <c r="Q2486" t="s">
        <v>55</v>
      </c>
      <c r="T2486" t="s">
        <v>1076</v>
      </c>
      <c r="U2486">
        <v>30</v>
      </c>
      <c r="V2486" s="1">
        <v>40544</v>
      </c>
      <c r="W2486" s="1">
        <v>40544</v>
      </c>
      <c r="X2486" s="1">
        <v>40544</v>
      </c>
      <c r="Y2486" s="1">
        <v>51502</v>
      </c>
      <c r="Z2486" t="s">
        <v>51</v>
      </c>
      <c r="AB2486" t="s">
        <v>54</v>
      </c>
      <c r="AC2486">
        <v>1</v>
      </c>
      <c r="AE2486" t="s">
        <v>934</v>
      </c>
      <c r="AF2486">
        <v>20</v>
      </c>
      <c r="AG2486" s="1">
        <v>40544</v>
      </c>
      <c r="AH2486" s="1">
        <v>40544</v>
      </c>
      <c r="AI2486" s="1">
        <v>40544</v>
      </c>
      <c r="AJ2486" s="1">
        <v>47849</v>
      </c>
      <c r="AK2486" t="s">
        <v>51</v>
      </c>
      <c r="AN2486">
        <v>0</v>
      </c>
      <c r="AO2486" t="s">
        <v>54</v>
      </c>
      <c r="AP2486" t="s">
        <v>53</v>
      </c>
      <c r="AQ2486">
        <v>0</v>
      </c>
      <c r="AR2486" t="s">
        <v>53</v>
      </c>
      <c r="AS2486">
        <v>0</v>
      </c>
      <c r="AT2486">
        <v>0</v>
      </c>
      <c r="AW2486" t="s">
        <v>172</v>
      </c>
      <c r="AX2486">
        <v>15</v>
      </c>
      <c r="AY2486" s="1">
        <v>42917</v>
      </c>
      <c r="AZ2486" s="1">
        <v>42917</v>
      </c>
      <c r="BA2486" s="1">
        <v>42917</v>
      </c>
      <c r="BB2486" s="1">
        <v>48396</v>
      </c>
      <c r="BC2486" t="s">
        <v>51</v>
      </c>
      <c r="BE2486" t="s">
        <v>54</v>
      </c>
      <c r="BF2486">
        <v>40</v>
      </c>
      <c r="BG2486">
        <v>0</v>
      </c>
      <c r="BH2486" t="s">
        <v>145</v>
      </c>
      <c r="CC2486" t="s">
        <v>850</v>
      </c>
      <c r="CD2486">
        <v>1</v>
      </c>
      <c r="CE2486" s="1">
        <v>42917</v>
      </c>
      <c r="CF2486" s="1">
        <v>42917</v>
      </c>
      <c r="CG2486" s="1">
        <v>42917</v>
      </c>
      <c r="CH2486" s="1">
        <v>50504</v>
      </c>
      <c r="CI2486" t="s">
        <v>51</v>
      </c>
      <c r="CK2486" t="s">
        <v>78</v>
      </c>
      <c r="CM2486" t="s">
        <v>54</v>
      </c>
      <c r="CN2486" t="s">
        <v>174</v>
      </c>
      <c r="CO2486" t="s">
        <v>86</v>
      </c>
      <c r="CR2486">
        <v>18</v>
      </c>
      <c r="CS2486">
        <v>0</v>
      </c>
      <c r="CT2486">
        <v>0</v>
      </c>
      <c r="CU2486">
        <v>0</v>
      </c>
      <c r="CX2486" t="s">
        <v>360</v>
      </c>
      <c r="CY2486">
        <v>40</v>
      </c>
      <c r="CZ2486" s="1">
        <v>42917</v>
      </c>
      <c r="DA2486" s="1">
        <v>42917</v>
      </c>
      <c r="DB2486" s="1">
        <v>42917</v>
      </c>
      <c r="DC2486" s="1">
        <v>57527</v>
      </c>
      <c r="DD2486" t="s">
        <v>51</v>
      </c>
      <c r="DF2486" t="s">
        <v>54</v>
      </c>
      <c r="DG2486">
        <v>0</v>
      </c>
      <c r="DH2486">
        <v>0</v>
      </c>
    </row>
    <row r="2487" spans="1:112" x14ac:dyDescent="0.2">
      <c r="A2487" t="s">
        <v>1012</v>
      </c>
      <c r="B2487" t="s">
        <v>1013</v>
      </c>
      <c r="C2487" t="s">
        <v>1019</v>
      </c>
      <c r="D2487" t="s">
        <v>1020</v>
      </c>
      <c r="F2487" t="str">
        <f>"252060"</f>
        <v>252060</v>
      </c>
      <c r="G2487" t="s">
        <v>49</v>
      </c>
      <c r="K2487" t="s">
        <v>51</v>
      </c>
      <c r="L2487" t="s">
        <v>52</v>
      </c>
      <c r="M2487">
        <v>131700.43</v>
      </c>
      <c r="N2487">
        <v>475368.97</v>
      </c>
      <c r="O2487" t="s">
        <v>53</v>
      </c>
      <c r="P2487" t="s">
        <v>54</v>
      </c>
      <c r="Q2487" t="s">
        <v>55</v>
      </c>
      <c r="T2487" t="s">
        <v>1076</v>
      </c>
      <c r="U2487">
        <v>30</v>
      </c>
      <c r="V2487" s="1">
        <v>40544</v>
      </c>
      <c r="W2487" s="1">
        <v>40544</v>
      </c>
      <c r="X2487" s="1">
        <v>40544</v>
      </c>
      <c r="Y2487" s="1">
        <v>51502</v>
      </c>
      <c r="Z2487" t="s">
        <v>51</v>
      </c>
      <c r="AB2487" t="s">
        <v>54</v>
      </c>
      <c r="AC2487">
        <v>1</v>
      </c>
      <c r="AE2487" t="s">
        <v>934</v>
      </c>
      <c r="AF2487">
        <v>20</v>
      </c>
      <c r="AG2487" s="1">
        <v>40544</v>
      </c>
      <c r="AH2487" s="1">
        <v>40544</v>
      </c>
      <c r="AI2487" s="1">
        <v>40544</v>
      </c>
      <c r="AJ2487" s="1">
        <v>47849</v>
      </c>
      <c r="AK2487" t="s">
        <v>51</v>
      </c>
      <c r="AN2487">
        <v>0</v>
      </c>
      <c r="AO2487" t="s">
        <v>54</v>
      </c>
      <c r="AP2487" t="s">
        <v>53</v>
      </c>
      <c r="AQ2487">
        <v>0</v>
      </c>
      <c r="AR2487" t="s">
        <v>53</v>
      </c>
      <c r="AS2487">
        <v>0</v>
      </c>
      <c r="AT2487">
        <v>0</v>
      </c>
      <c r="AW2487" t="s">
        <v>172</v>
      </c>
      <c r="AX2487">
        <v>15</v>
      </c>
      <c r="AY2487" s="1">
        <v>43040</v>
      </c>
      <c r="AZ2487" s="1">
        <v>43040</v>
      </c>
      <c r="BA2487" s="1">
        <v>43040</v>
      </c>
      <c r="BB2487" s="1">
        <v>48519</v>
      </c>
      <c r="BC2487" t="s">
        <v>51</v>
      </c>
      <c r="BE2487" t="s">
        <v>54</v>
      </c>
      <c r="BF2487">
        <v>40</v>
      </c>
      <c r="BG2487">
        <v>0</v>
      </c>
      <c r="BH2487" t="s">
        <v>145</v>
      </c>
      <c r="CC2487" t="s">
        <v>850</v>
      </c>
      <c r="CD2487">
        <v>1</v>
      </c>
      <c r="CE2487" s="1">
        <v>43040</v>
      </c>
      <c r="CF2487" s="1">
        <v>43040</v>
      </c>
      <c r="CG2487" s="1">
        <v>43040</v>
      </c>
      <c r="CH2487" s="1">
        <v>50207</v>
      </c>
      <c r="CI2487" t="s">
        <v>51</v>
      </c>
      <c r="CK2487" t="s">
        <v>78</v>
      </c>
      <c r="CM2487" t="s">
        <v>54</v>
      </c>
      <c r="CN2487" t="s">
        <v>174</v>
      </c>
      <c r="CO2487" t="s">
        <v>86</v>
      </c>
      <c r="CR2487">
        <v>18</v>
      </c>
      <c r="CS2487">
        <v>0</v>
      </c>
      <c r="CT2487">
        <v>0</v>
      </c>
      <c r="CU2487">
        <v>0</v>
      </c>
      <c r="CX2487" t="s">
        <v>360</v>
      </c>
      <c r="CY2487">
        <v>40</v>
      </c>
      <c r="CZ2487" s="1">
        <v>43040</v>
      </c>
      <c r="DA2487" s="1">
        <v>43040</v>
      </c>
      <c r="DB2487" s="1">
        <v>43040</v>
      </c>
      <c r="DC2487" s="1">
        <v>57650</v>
      </c>
      <c r="DD2487" t="s">
        <v>51</v>
      </c>
      <c r="DF2487" t="s">
        <v>54</v>
      </c>
      <c r="DG2487">
        <v>0</v>
      </c>
      <c r="DH2487">
        <v>0</v>
      </c>
    </row>
    <row r="2488" spans="1:112" x14ac:dyDescent="0.2">
      <c r="A2488" t="s">
        <v>1012</v>
      </c>
      <c r="B2488" t="s">
        <v>1013</v>
      </c>
      <c r="C2488" t="s">
        <v>1014</v>
      </c>
      <c r="D2488" t="s">
        <v>1020</v>
      </c>
      <c r="F2488" t="str">
        <f>"252061"</f>
        <v>252061</v>
      </c>
      <c r="G2488" t="s">
        <v>49</v>
      </c>
      <c r="K2488" t="s">
        <v>51</v>
      </c>
      <c r="L2488" t="s">
        <v>52</v>
      </c>
      <c r="M2488">
        <v>131696.79999999999</v>
      </c>
      <c r="N2488">
        <v>475392.46</v>
      </c>
      <c r="O2488" t="s">
        <v>53</v>
      </c>
      <c r="P2488" t="s">
        <v>54</v>
      </c>
      <c r="Q2488" t="s">
        <v>55</v>
      </c>
      <c r="T2488" t="s">
        <v>1076</v>
      </c>
      <c r="U2488">
        <v>30</v>
      </c>
      <c r="V2488" s="1">
        <v>40544</v>
      </c>
      <c r="W2488" s="1">
        <v>40544</v>
      </c>
      <c r="X2488" s="1">
        <v>40544</v>
      </c>
      <c r="Y2488" s="1">
        <v>51502</v>
      </c>
      <c r="Z2488" t="s">
        <v>51</v>
      </c>
      <c r="AB2488" t="s">
        <v>54</v>
      </c>
      <c r="AC2488">
        <v>1</v>
      </c>
      <c r="AE2488" t="s">
        <v>934</v>
      </c>
      <c r="AF2488">
        <v>20</v>
      </c>
      <c r="AG2488" s="1">
        <v>40544</v>
      </c>
      <c r="AH2488" s="1">
        <v>40544</v>
      </c>
      <c r="AI2488" s="1">
        <v>40544</v>
      </c>
      <c r="AJ2488" s="1">
        <v>47849</v>
      </c>
      <c r="AK2488" t="s">
        <v>51</v>
      </c>
      <c r="AN2488">
        <v>0</v>
      </c>
      <c r="AO2488" t="s">
        <v>54</v>
      </c>
      <c r="AP2488" t="s">
        <v>53</v>
      </c>
      <c r="AQ2488">
        <v>0</v>
      </c>
      <c r="AR2488" t="s">
        <v>53</v>
      </c>
      <c r="AS2488">
        <v>0</v>
      </c>
      <c r="AT2488">
        <v>0</v>
      </c>
      <c r="AW2488" t="s">
        <v>172</v>
      </c>
      <c r="AX2488">
        <v>15</v>
      </c>
      <c r="AY2488" s="1">
        <v>43040</v>
      </c>
      <c r="AZ2488" s="1">
        <v>43040</v>
      </c>
      <c r="BA2488" s="1">
        <v>43040</v>
      </c>
      <c r="BB2488" s="1">
        <v>48519</v>
      </c>
      <c r="BC2488" t="s">
        <v>51</v>
      </c>
      <c r="BE2488" t="s">
        <v>54</v>
      </c>
      <c r="BF2488">
        <v>40</v>
      </c>
      <c r="BG2488">
        <v>0</v>
      </c>
      <c r="BH2488" t="s">
        <v>145</v>
      </c>
      <c r="CC2488" t="s">
        <v>850</v>
      </c>
      <c r="CD2488">
        <v>1</v>
      </c>
      <c r="CE2488" s="1">
        <v>43040</v>
      </c>
      <c r="CF2488" s="1">
        <v>43040</v>
      </c>
      <c r="CG2488" s="1">
        <v>43040</v>
      </c>
      <c r="CH2488" s="1">
        <v>50207</v>
      </c>
      <c r="CI2488" t="s">
        <v>51</v>
      </c>
      <c r="CK2488" t="s">
        <v>78</v>
      </c>
      <c r="CM2488" t="s">
        <v>54</v>
      </c>
      <c r="CN2488" t="s">
        <v>174</v>
      </c>
      <c r="CO2488" t="s">
        <v>86</v>
      </c>
      <c r="CR2488">
        <v>18</v>
      </c>
      <c r="CS2488">
        <v>0</v>
      </c>
      <c r="CT2488">
        <v>0</v>
      </c>
      <c r="CU2488">
        <v>0</v>
      </c>
      <c r="CX2488" t="s">
        <v>360</v>
      </c>
      <c r="CY2488">
        <v>40</v>
      </c>
      <c r="CZ2488" s="1">
        <v>43040</v>
      </c>
      <c r="DA2488" s="1">
        <v>43040</v>
      </c>
      <c r="DB2488" s="1">
        <v>43040</v>
      </c>
      <c r="DC2488" s="1">
        <v>57650</v>
      </c>
      <c r="DD2488" t="s">
        <v>51</v>
      </c>
      <c r="DF2488" t="s">
        <v>54</v>
      </c>
      <c r="DG2488">
        <v>0</v>
      </c>
      <c r="DH2488">
        <v>0</v>
      </c>
    </row>
    <row r="2489" spans="1:112" x14ac:dyDescent="0.2">
      <c r="A2489" t="s">
        <v>1012</v>
      </c>
      <c r="B2489" t="s">
        <v>1013</v>
      </c>
      <c r="C2489" t="s">
        <v>1019</v>
      </c>
      <c r="D2489" t="s">
        <v>1020</v>
      </c>
      <c r="F2489" t="str">
        <f>"252062"</f>
        <v>252062</v>
      </c>
      <c r="G2489" t="s">
        <v>49</v>
      </c>
      <c r="H2489">
        <v>9</v>
      </c>
      <c r="K2489" t="s">
        <v>51</v>
      </c>
      <c r="L2489" t="s">
        <v>52</v>
      </c>
      <c r="M2489">
        <v>131708.26999999999</v>
      </c>
      <c r="N2489">
        <v>475414.33</v>
      </c>
      <c r="O2489" t="s">
        <v>53</v>
      </c>
      <c r="P2489" t="s">
        <v>54</v>
      </c>
      <c r="Q2489" t="s">
        <v>55</v>
      </c>
      <c r="T2489" t="s">
        <v>1076</v>
      </c>
      <c r="U2489">
        <v>30</v>
      </c>
      <c r="V2489" s="1">
        <v>40544</v>
      </c>
      <c r="W2489" s="1">
        <v>40544</v>
      </c>
      <c r="X2489" s="1">
        <v>40544</v>
      </c>
      <c r="Y2489" s="1">
        <v>51502</v>
      </c>
      <c r="Z2489" t="s">
        <v>51</v>
      </c>
      <c r="AB2489" t="s">
        <v>54</v>
      </c>
      <c r="AC2489">
        <v>1</v>
      </c>
      <c r="AE2489" t="s">
        <v>934</v>
      </c>
      <c r="AF2489">
        <v>20</v>
      </c>
      <c r="AG2489" s="1">
        <v>40544</v>
      </c>
      <c r="AH2489" s="1">
        <v>40544</v>
      </c>
      <c r="AI2489" s="1">
        <v>40544</v>
      </c>
      <c r="AJ2489" s="1">
        <v>47849</v>
      </c>
      <c r="AK2489" t="s">
        <v>51</v>
      </c>
      <c r="AN2489">
        <v>0</v>
      </c>
      <c r="AO2489" t="s">
        <v>54</v>
      </c>
      <c r="AP2489" t="s">
        <v>53</v>
      </c>
      <c r="AQ2489">
        <v>0</v>
      </c>
      <c r="AR2489" t="s">
        <v>53</v>
      </c>
      <c r="AS2489">
        <v>0</v>
      </c>
      <c r="AT2489">
        <v>0</v>
      </c>
      <c r="AW2489" t="s">
        <v>172</v>
      </c>
      <c r="AX2489">
        <v>15</v>
      </c>
      <c r="AY2489" s="1">
        <v>40544</v>
      </c>
      <c r="AZ2489" s="1">
        <v>40544</v>
      </c>
      <c r="BA2489" s="1">
        <v>40544</v>
      </c>
      <c r="BB2489" s="1">
        <v>46023</v>
      </c>
      <c r="BC2489" t="s">
        <v>51</v>
      </c>
      <c r="BE2489" t="s">
        <v>54</v>
      </c>
      <c r="BF2489">
        <v>40</v>
      </c>
      <c r="BG2489">
        <v>0</v>
      </c>
      <c r="BH2489" t="s">
        <v>145</v>
      </c>
      <c r="CC2489" t="s">
        <v>250</v>
      </c>
      <c r="CD2489">
        <v>100000</v>
      </c>
      <c r="CE2489" s="1">
        <v>43040</v>
      </c>
      <c r="CF2489" s="1">
        <v>43040</v>
      </c>
      <c r="CG2489" s="1">
        <v>43040</v>
      </c>
      <c r="CH2489" s="1">
        <v>51480</v>
      </c>
      <c r="CI2489" t="s">
        <v>51</v>
      </c>
      <c r="CK2489" t="s">
        <v>78</v>
      </c>
      <c r="CM2489" t="s">
        <v>54</v>
      </c>
      <c r="CN2489" t="s">
        <v>174</v>
      </c>
      <c r="CR2489">
        <v>13.2</v>
      </c>
      <c r="CS2489">
        <v>1800</v>
      </c>
      <c r="CT2489">
        <v>0</v>
      </c>
      <c r="CU2489">
        <v>16</v>
      </c>
      <c r="CX2489" t="s">
        <v>360</v>
      </c>
      <c r="CY2489">
        <v>40</v>
      </c>
      <c r="CZ2489" s="1">
        <v>43040</v>
      </c>
      <c r="DA2489" s="1">
        <v>43040</v>
      </c>
      <c r="DB2489" s="1">
        <v>43040</v>
      </c>
      <c r="DC2489" s="1">
        <v>57650</v>
      </c>
      <c r="DD2489" t="s">
        <v>51</v>
      </c>
      <c r="DF2489" t="s">
        <v>54</v>
      </c>
      <c r="DG2489">
        <v>0</v>
      </c>
      <c r="DH2489">
        <v>0</v>
      </c>
    </row>
    <row r="2490" spans="1:112" x14ac:dyDescent="0.2">
      <c r="A2490" t="s">
        <v>1012</v>
      </c>
      <c r="B2490" t="s">
        <v>1013</v>
      </c>
      <c r="C2490" t="s">
        <v>1014</v>
      </c>
      <c r="D2490" t="s">
        <v>1020</v>
      </c>
      <c r="F2490" t="str">
        <f>"252063"</f>
        <v>252063</v>
      </c>
      <c r="G2490" t="s">
        <v>49</v>
      </c>
      <c r="H2490">
        <v>10</v>
      </c>
      <c r="K2490" t="s">
        <v>51</v>
      </c>
      <c r="L2490" t="s">
        <v>52</v>
      </c>
      <c r="M2490">
        <v>131703.13</v>
      </c>
      <c r="N2490">
        <v>475436.83</v>
      </c>
      <c r="O2490" t="s">
        <v>53</v>
      </c>
      <c r="P2490" t="s">
        <v>54</v>
      </c>
      <c r="Q2490" t="s">
        <v>55</v>
      </c>
      <c r="T2490" t="s">
        <v>1076</v>
      </c>
      <c r="U2490">
        <v>30</v>
      </c>
      <c r="V2490" s="1">
        <v>40544</v>
      </c>
      <c r="W2490" s="1">
        <v>40544</v>
      </c>
      <c r="X2490" s="1">
        <v>40544</v>
      </c>
      <c r="Y2490" s="1">
        <v>51502</v>
      </c>
      <c r="Z2490" t="s">
        <v>51</v>
      </c>
      <c r="AB2490" t="s">
        <v>54</v>
      </c>
      <c r="AC2490">
        <v>1</v>
      </c>
      <c r="AE2490" t="s">
        <v>934</v>
      </c>
      <c r="AF2490">
        <v>20</v>
      </c>
      <c r="AG2490" s="1">
        <v>40544</v>
      </c>
      <c r="AH2490" s="1">
        <v>40544</v>
      </c>
      <c r="AI2490" s="1">
        <v>40544</v>
      </c>
      <c r="AJ2490" s="1">
        <v>47849</v>
      </c>
      <c r="AK2490" t="s">
        <v>51</v>
      </c>
      <c r="AN2490">
        <v>0</v>
      </c>
      <c r="AO2490" t="s">
        <v>54</v>
      </c>
      <c r="AP2490" t="s">
        <v>53</v>
      </c>
      <c r="AQ2490">
        <v>0</v>
      </c>
      <c r="AR2490" t="s">
        <v>53</v>
      </c>
      <c r="AS2490">
        <v>0</v>
      </c>
      <c r="AT2490">
        <v>0</v>
      </c>
      <c r="AW2490" t="s">
        <v>172</v>
      </c>
      <c r="AX2490">
        <v>15</v>
      </c>
      <c r="AY2490" s="1">
        <v>44136</v>
      </c>
      <c r="AZ2490" s="1">
        <v>44136</v>
      </c>
      <c r="BA2490" s="1">
        <v>44136</v>
      </c>
      <c r="BB2490" s="1">
        <v>49614</v>
      </c>
      <c r="BC2490" t="s">
        <v>51</v>
      </c>
      <c r="BE2490" t="s">
        <v>54</v>
      </c>
      <c r="BF2490">
        <v>40</v>
      </c>
      <c r="BG2490">
        <v>0</v>
      </c>
      <c r="BH2490" t="s">
        <v>145</v>
      </c>
      <c r="CC2490" t="s">
        <v>850</v>
      </c>
      <c r="CD2490">
        <v>1</v>
      </c>
      <c r="CE2490" s="1">
        <v>44136</v>
      </c>
      <c r="CF2490" s="1">
        <v>44136</v>
      </c>
      <c r="CG2490" s="1">
        <v>44136</v>
      </c>
      <c r="CH2490" s="1">
        <v>51303</v>
      </c>
      <c r="CI2490" t="s">
        <v>51</v>
      </c>
      <c r="CK2490" t="s">
        <v>78</v>
      </c>
      <c r="CM2490" t="s">
        <v>54</v>
      </c>
      <c r="CN2490" t="s">
        <v>174</v>
      </c>
      <c r="CO2490" t="s">
        <v>86</v>
      </c>
      <c r="CR2490">
        <v>18</v>
      </c>
      <c r="CS2490">
        <v>0</v>
      </c>
      <c r="CT2490">
        <v>0</v>
      </c>
      <c r="CU2490">
        <v>0</v>
      </c>
      <c r="CX2490" t="s">
        <v>360</v>
      </c>
      <c r="CY2490">
        <v>40</v>
      </c>
      <c r="CZ2490" s="1">
        <v>44136</v>
      </c>
      <c r="DA2490" s="1">
        <v>44136</v>
      </c>
      <c r="DB2490" s="1">
        <v>44136</v>
      </c>
      <c r="DC2490" s="1">
        <v>58746</v>
      </c>
      <c r="DD2490" t="s">
        <v>51</v>
      </c>
      <c r="DF2490" t="s">
        <v>54</v>
      </c>
      <c r="DG2490">
        <v>0</v>
      </c>
      <c r="DH2490">
        <v>0</v>
      </c>
    </row>
    <row r="2491" spans="1:112" x14ac:dyDescent="0.2">
      <c r="A2491" t="s">
        <v>1012</v>
      </c>
      <c r="B2491" t="s">
        <v>1013</v>
      </c>
      <c r="C2491" t="s">
        <v>1019</v>
      </c>
      <c r="D2491" t="s">
        <v>1020</v>
      </c>
      <c r="F2491" t="str">
        <f>"252064"</f>
        <v>252064</v>
      </c>
      <c r="G2491" t="s">
        <v>49</v>
      </c>
      <c r="H2491">
        <v>13</v>
      </c>
      <c r="K2491" t="s">
        <v>51</v>
      </c>
      <c r="L2491" t="s">
        <v>52</v>
      </c>
      <c r="M2491">
        <v>131714.84</v>
      </c>
      <c r="N2491">
        <v>475457.53</v>
      </c>
      <c r="O2491" t="s">
        <v>53</v>
      </c>
      <c r="P2491" t="s">
        <v>54</v>
      </c>
      <c r="Q2491" t="s">
        <v>55</v>
      </c>
      <c r="T2491" t="s">
        <v>1076</v>
      </c>
      <c r="U2491">
        <v>30</v>
      </c>
      <c r="V2491" s="1">
        <v>40544</v>
      </c>
      <c r="W2491" s="1">
        <v>40544</v>
      </c>
      <c r="X2491" s="1">
        <v>40544</v>
      </c>
      <c r="Y2491" s="1">
        <v>51502</v>
      </c>
      <c r="Z2491" t="s">
        <v>51</v>
      </c>
      <c r="AB2491" t="s">
        <v>54</v>
      </c>
      <c r="AC2491">
        <v>1</v>
      </c>
      <c r="AE2491" t="s">
        <v>934</v>
      </c>
      <c r="AF2491">
        <v>20</v>
      </c>
      <c r="AG2491" s="1">
        <v>40544</v>
      </c>
      <c r="AH2491" s="1">
        <v>40544</v>
      </c>
      <c r="AI2491" s="1">
        <v>40544</v>
      </c>
      <c r="AJ2491" s="1">
        <v>47849</v>
      </c>
      <c r="AK2491" t="s">
        <v>51</v>
      </c>
      <c r="AN2491">
        <v>0</v>
      </c>
      <c r="AO2491" t="s">
        <v>54</v>
      </c>
      <c r="AP2491" t="s">
        <v>53</v>
      </c>
      <c r="AQ2491">
        <v>0</v>
      </c>
      <c r="AR2491" t="s">
        <v>53</v>
      </c>
      <c r="AS2491">
        <v>0</v>
      </c>
      <c r="AT2491">
        <v>0</v>
      </c>
      <c r="AW2491" t="s">
        <v>172</v>
      </c>
      <c r="AX2491">
        <v>15</v>
      </c>
      <c r="AY2491" s="1">
        <v>44136</v>
      </c>
      <c r="AZ2491" s="1">
        <v>44136</v>
      </c>
      <c r="BA2491" s="1">
        <v>44136</v>
      </c>
      <c r="BB2491" s="1">
        <v>49614</v>
      </c>
      <c r="BC2491" t="s">
        <v>51</v>
      </c>
      <c r="BE2491" t="s">
        <v>54</v>
      </c>
      <c r="BF2491">
        <v>40</v>
      </c>
      <c r="BG2491">
        <v>0</v>
      </c>
      <c r="BH2491" t="s">
        <v>145</v>
      </c>
      <c r="CC2491" t="s">
        <v>850</v>
      </c>
      <c r="CD2491">
        <v>1</v>
      </c>
      <c r="CE2491" s="1">
        <v>44136</v>
      </c>
      <c r="CF2491" s="1">
        <v>44136</v>
      </c>
      <c r="CG2491" s="1">
        <v>44136</v>
      </c>
      <c r="CH2491" s="1">
        <v>51303</v>
      </c>
      <c r="CI2491" t="s">
        <v>51</v>
      </c>
      <c r="CK2491" t="s">
        <v>78</v>
      </c>
      <c r="CM2491" t="s">
        <v>54</v>
      </c>
      <c r="CN2491" t="s">
        <v>174</v>
      </c>
      <c r="CO2491" t="s">
        <v>86</v>
      </c>
      <c r="CR2491">
        <v>18</v>
      </c>
      <c r="CS2491">
        <v>0</v>
      </c>
      <c r="CT2491">
        <v>0</v>
      </c>
      <c r="CU2491">
        <v>0</v>
      </c>
      <c r="CX2491" t="s">
        <v>360</v>
      </c>
      <c r="CY2491">
        <v>40</v>
      </c>
      <c r="CZ2491" s="1">
        <v>44136</v>
      </c>
      <c r="DA2491" s="1">
        <v>44136</v>
      </c>
      <c r="DB2491" s="1">
        <v>44136</v>
      </c>
      <c r="DC2491" s="1">
        <v>58746</v>
      </c>
      <c r="DD2491" t="s">
        <v>51</v>
      </c>
      <c r="DF2491" t="s">
        <v>54</v>
      </c>
      <c r="DG2491">
        <v>0</v>
      </c>
      <c r="DH2491">
        <v>0</v>
      </c>
    </row>
    <row r="2492" spans="1:112" x14ac:dyDescent="0.2">
      <c r="A2492" t="s">
        <v>1012</v>
      </c>
      <c r="B2492" t="s">
        <v>1013</v>
      </c>
      <c r="C2492" t="s">
        <v>1014</v>
      </c>
      <c r="D2492" t="s">
        <v>1020</v>
      </c>
      <c r="F2492" t="str">
        <f>"252065"</f>
        <v>252065</v>
      </c>
      <c r="G2492" t="s">
        <v>49</v>
      </c>
      <c r="H2492">
        <v>14</v>
      </c>
      <c r="K2492" t="s">
        <v>51</v>
      </c>
      <c r="L2492" t="s">
        <v>52</v>
      </c>
      <c r="M2492">
        <v>131709.22</v>
      </c>
      <c r="N2492">
        <v>475481.18</v>
      </c>
      <c r="O2492" t="s">
        <v>53</v>
      </c>
      <c r="P2492" t="s">
        <v>54</v>
      </c>
      <c r="Q2492" t="s">
        <v>55</v>
      </c>
      <c r="T2492" t="s">
        <v>1076</v>
      </c>
      <c r="U2492">
        <v>30</v>
      </c>
      <c r="V2492" s="1">
        <v>40544</v>
      </c>
      <c r="W2492" s="1">
        <v>40544</v>
      </c>
      <c r="X2492" s="1">
        <v>40544</v>
      </c>
      <c r="Y2492" s="1">
        <v>51502</v>
      </c>
      <c r="Z2492" t="s">
        <v>51</v>
      </c>
      <c r="AB2492" t="s">
        <v>54</v>
      </c>
      <c r="AC2492">
        <v>1</v>
      </c>
      <c r="AE2492" t="s">
        <v>934</v>
      </c>
      <c r="AF2492">
        <v>20</v>
      </c>
      <c r="AG2492" s="1">
        <v>40544</v>
      </c>
      <c r="AH2492" s="1">
        <v>40544</v>
      </c>
      <c r="AI2492" s="1">
        <v>40544</v>
      </c>
      <c r="AJ2492" s="1">
        <v>47849</v>
      </c>
      <c r="AK2492" t="s">
        <v>51</v>
      </c>
      <c r="AN2492">
        <v>0</v>
      </c>
      <c r="AO2492" t="s">
        <v>54</v>
      </c>
      <c r="AP2492" t="s">
        <v>53</v>
      </c>
      <c r="AQ2492">
        <v>0</v>
      </c>
      <c r="AR2492" t="s">
        <v>53</v>
      </c>
      <c r="AS2492">
        <v>0</v>
      </c>
      <c r="AT2492">
        <v>0</v>
      </c>
      <c r="AW2492" t="s">
        <v>172</v>
      </c>
      <c r="AX2492">
        <v>15</v>
      </c>
      <c r="AY2492" s="1">
        <v>43040</v>
      </c>
      <c r="AZ2492" s="1">
        <v>43040</v>
      </c>
      <c r="BA2492" s="1">
        <v>43040</v>
      </c>
      <c r="BB2492" s="1">
        <v>48519</v>
      </c>
      <c r="BC2492" t="s">
        <v>51</v>
      </c>
      <c r="BE2492" t="s">
        <v>54</v>
      </c>
      <c r="BF2492">
        <v>40</v>
      </c>
      <c r="BG2492">
        <v>0</v>
      </c>
      <c r="BH2492" t="s">
        <v>145</v>
      </c>
      <c r="CC2492" t="s">
        <v>850</v>
      </c>
      <c r="CD2492">
        <v>1</v>
      </c>
      <c r="CE2492" s="1">
        <v>43040</v>
      </c>
      <c r="CF2492" s="1">
        <v>43040</v>
      </c>
      <c r="CG2492" s="1">
        <v>43040</v>
      </c>
      <c r="CH2492" s="1">
        <v>50207</v>
      </c>
      <c r="CI2492" t="s">
        <v>51</v>
      </c>
      <c r="CK2492" t="s">
        <v>78</v>
      </c>
      <c r="CM2492" t="s">
        <v>54</v>
      </c>
      <c r="CN2492" t="s">
        <v>174</v>
      </c>
      <c r="CO2492" t="s">
        <v>86</v>
      </c>
      <c r="CR2492">
        <v>18</v>
      </c>
      <c r="CS2492">
        <v>0</v>
      </c>
      <c r="CT2492">
        <v>0</v>
      </c>
      <c r="CU2492">
        <v>0</v>
      </c>
      <c r="CX2492" t="s">
        <v>360</v>
      </c>
      <c r="CY2492">
        <v>40</v>
      </c>
      <c r="CZ2492" s="1">
        <v>43040</v>
      </c>
      <c r="DA2492" s="1">
        <v>43040</v>
      </c>
      <c r="DB2492" s="1">
        <v>43040</v>
      </c>
      <c r="DC2492" s="1">
        <v>57650</v>
      </c>
      <c r="DD2492" t="s">
        <v>51</v>
      </c>
      <c r="DF2492" t="s">
        <v>54</v>
      </c>
      <c r="DG2492">
        <v>0</v>
      </c>
      <c r="DH2492">
        <v>0</v>
      </c>
    </row>
    <row r="2493" spans="1:112" x14ac:dyDescent="0.2">
      <c r="A2493" t="s">
        <v>1012</v>
      </c>
      <c r="B2493" t="s">
        <v>1013</v>
      </c>
      <c r="C2493" t="s">
        <v>1019</v>
      </c>
      <c r="D2493" t="s">
        <v>1020</v>
      </c>
      <c r="F2493" t="str">
        <f>"252066"</f>
        <v>252066</v>
      </c>
      <c r="G2493" t="s">
        <v>49</v>
      </c>
      <c r="H2493">
        <v>16</v>
      </c>
      <c r="K2493" t="s">
        <v>51</v>
      </c>
      <c r="L2493" t="s">
        <v>52</v>
      </c>
      <c r="M2493">
        <v>131721.43</v>
      </c>
      <c r="N2493">
        <v>475503.47</v>
      </c>
      <c r="O2493" t="s">
        <v>53</v>
      </c>
      <c r="P2493" t="s">
        <v>54</v>
      </c>
      <c r="Q2493" t="s">
        <v>55</v>
      </c>
      <c r="T2493" t="s">
        <v>1076</v>
      </c>
      <c r="U2493">
        <v>30</v>
      </c>
      <c r="V2493" s="1">
        <v>40544</v>
      </c>
      <c r="W2493" s="1">
        <v>40544</v>
      </c>
      <c r="X2493" s="1">
        <v>40544</v>
      </c>
      <c r="Y2493" s="1">
        <v>51502</v>
      </c>
      <c r="Z2493" t="s">
        <v>51</v>
      </c>
      <c r="AB2493" t="s">
        <v>54</v>
      </c>
      <c r="AC2493">
        <v>1</v>
      </c>
      <c r="AE2493" t="s">
        <v>934</v>
      </c>
      <c r="AF2493">
        <v>20</v>
      </c>
      <c r="AG2493" s="1">
        <v>40544</v>
      </c>
      <c r="AH2493" s="1">
        <v>40544</v>
      </c>
      <c r="AI2493" s="1">
        <v>40544</v>
      </c>
      <c r="AJ2493" s="1">
        <v>47849</v>
      </c>
      <c r="AK2493" t="s">
        <v>51</v>
      </c>
      <c r="AN2493">
        <v>0</v>
      </c>
      <c r="AO2493" t="s">
        <v>54</v>
      </c>
      <c r="AP2493" t="s">
        <v>53</v>
      </c>
      <c r="AQ2493">
        <v>0</v>
      </c>
      <c r="AR2493" t="s">
        <v>53</v>
      </c>
      <c r="AS2493">
        <v>0</v>
      </c>
      <c r="AT2493">
        <v>0</v>
      </c>
      <c r="AW2493" t="s">
        <v>172</v>
      </c>
      <c r="AX2493">
        <v>15</v>
      </c>
      <c r="AY2493" s="1">
        <v>44935</v>
      </c>
      <c r="AZ2493" s="1">
        <v>44935</v>
      </c>
      <c r="BA2493" s="1">
        <v>44935</v>
      </c>
      <c r="BB2493" s="1">
        <v>50414</v>
      </c>
      <c r="BC2493" t="s">
        <v>51</v>
      </c>
      <c r="BE2493" t="s">
        <v>54</v>
      </c>
      <c r="BF2493">
        <v>40</v>
      </c>
      <c r="BG2493">
        <v>0</v>
      </c>
      <c r="BH2493" t="s">
        <v>145</v>
      </c>
      <c r="CC2493" t="s">
        <v>850</v>
      </c>
      <c r="CD2493">
        <v>1</v>
      </c>
      <c r="CE2493" s="1">
        <v>43040</v>
      </c>
      <c r="CF2493" s="1">
        <v>43040</v>
      </c>
      <c r="CG2493" s="1">
        <v>44935</v>
      </c>
      <c r="CH2493" s="1">
        <v>43040</v>
      </c>
      <c r="CI2493" t="s">
        <v>51</v>
      </c>
      <c r="CK2493" t="s">
        <v>78</v>
      </c>
      <c r="CM2493" t="s">
        <v>54</v>
      </c>
      <c r="CN2493" t="s">
        <v>174</v>
      </c>
      <c r="CO2493" t="s">
        <v>86</v>
      </c>
      <c r="CR2493">
        <v>18</v>
      </c>
      <c r="CS2493">
        <v>0</v>
      </c>
      <c r="CT2493">
        <v>0</v>
      </c>
      <c r="CU2493">
        <v>0</v>
      </c>
      <c r="CX2493" t="s">
        <v>360</v>
      </c>
      <c r="CY2493">
        <v>40</v>
      </c>
      <c r="CZ2493" s="1">
        <v>43040</v>
      </c>
      <c r="DA2493" s="1">
        <v>43040</v>
      </c>
      <c r="DB2493" s="1">
        <v>43040</v>
      </c>
      <c r="DC2493" s="1">
        <v>57650</v>
      </c>
      <c r="DD2493" t="s">
        <v>51</v>
      </c>
      <c r="DF2493" t="s">
        <v>54</v>
      </c>
      <c r="DG2493">
        <v>0</v>
      </c>
      <c r="DH2493">
        <v>0</v>
      </c>
    </row>
    <row r="2494" spans="1:112" x14ac:dyDescent="0.2">
      <c r="A2494" t="s">
        <v>1012</v>
      </c>
      <c r="B2494" t="s">
        <v>1013</v>
      </c>
      <c r="C2494" t="s">
        <v>1014</v>
      </c>
      <c r="D2494" t="s">
        <v>1020</v>
      </c>
      <c r="F2494" t="str">
        <f>"252067"</f>
        <v>252067</v>
      </c>
      <c r="G2494" t="s">
        <v>49</v>
      </c>
      <c r="H2494">
        <v>16</v>
      </c>
      <c r="K2494" t="s">
        <v>51</v>
      </c>
      <c r="L2494" t="s">
        <v>52</v>
      </c>
      <c r="M2494">
        <v>131715.71</v>
      </c>
      <c r="N2494">
        <v>475525.34</v>
      </c>
      <c r="O2494" t="s">
        <v>53</v>
      </c>
      <c r="P2494" t="s">
        <v>54</v>
      </c>
      <c r="Q2494" t="s">
        <v>55</v>
      </c>
      <c r="T2494" t="s">
        <v>1076</v>
      </c>
      <c r="U2494">
        <v>30</v>
      </c>
      <c r="V2494" s="1">
        <v>40544</v>
      </c>
      <c r="W2494" s="1">
        <v>40544</v>
      </c>
      <c r="X2494" s="1">
        <v>40544</v>
      </c>
      <c r="Y2494" s="1">
        <v>51502</v>
      </c>
      <c r="Z2494" t="s">
        <v>51</v>
      </c>
      <c r="AB2494" t="s">
        <v>54</v>
      </c>
      <c r="AC2494">
        <v>1</v>
      </c>
      <c r="AE2494" t="s">
        <v>934</v>
      </c>
      <c r="AF2494">
        <v>20</v>
      </c>
      <c r="AG2494" s="1">
        <v>40544</v>
      </c>
      <c r="AH2494" s="1">
        <v>40544</v>
      </c>
      <c r="AI2494" s="1">
        <v>40544</v>
      </c>
      <c r="AJ2494" s="1">
        <v>47849</v>
      </c>
      <c r="AK2494" t="s">
        <v>51</v>
      </c>
      <c r="AN2494">
        <v>0</v>
      </c>
      <c r="AO2494" t="s">
        <v>54</v>
      </c>
      <c r="AP2494" t="s">
        <v>53</v>
      </c>
      <c r="AQ2494">
        <v>0</v>
      </c>
      <c r="AR2494" t="s">
        <v>53</v>
      </c>
      <c r="AS2494">
        <v>0</v>
      </c>
      <c r="AT2494">
        <v>0</v>
      </c>
      <c r="AW2494" t="s">
        <v>172</v>
      </c>
      <c r="AX2494">
        <v>15</v>
      </c>
      <c r="AY2494" s="1">
        <v>43040</v>
      </c>
      <c r="AZ2494" s="1">
        <v>43040</v>
      </c>
      <c r="BA2494" s="1">
        <v>43040</v>
      </c>
      <c r="BB2494" s="1">
        <v>48519</v>
      </c>
      <c r="BC2494" t="s">
        <v>51</v>
      </c>
      <c r="BE2494" t="s">
        <v>54</v>
      </c>
      <c r="BF2494">
        <v>40</v>
      </c>
      <c r="BG2494">
        <v>0</v>
      </c>
      <c r="BH2494" t="s">
        <v>145</v>
      </c>
      <c r="CC2494" t="s">
        <v>850</v>
      </c>
      <c r="CD2494">
        <v>1</v>
      </c>
      <c r="CE2494" s="1">
        <v>43040</v>
      </c>
      <c r="CF2494" s="1">
        <v>43040</v>
      </c>
      <c r="CG2494" s="1">
        <v>43040</v>
      </c>
      <c r="CH2494" s="1">
        <v>50207</v>
      </c>
      <c r="CI2494" t="s">
        <v>51</v>
      </c>
      <c r="CK2494" t="s">
        <v>78</v>
      </c>
      <c r="CM2494" t="s">
        <v>54</v>
      </c>
      <c r="CN2494" t="s">
        <v>174</v>
      </c>
      <c r="CO2494" t="s">
        <v>86</v>
      </c>
      <c r="CR2494">
        <v>18</v>
      </c>
      <c r="CS2494">
        <v>0</v>
      </c>
      <c r="CT2494">
        <v>0</v>
      </c>
      <c r="CU2494">
        <v>0</v>
      </c>
      <c r="CX2494" t="s">
        <v>360</v>
      </c>
      <c r="CY2494">
        <v>40</v>
      </c>
      <c r="CZ2494" s="1">
        <v>43040</v>
      </c>
      <c r="DA2494" s="1">
        <v>43040</v>
      </c>
      <c r="DB2494" s="1">
        <v>43040</v>
      </c>
      <c r="DC2494" s="1">
        <v>57650</v>
      </c>
      <c r="DD2494" t="s">
        <v>51</v>
      </c>
      <c r="DF2494" t="s">
        <v>54</v>
      </c>
      <c r="DG2494">
        <v>0</v>
      </c>
      <c r="DH2494">
        <v>0</v>
      </c>
    </row>
    <row r="2495" spans="1:112" x14ac:dyDescent="0.2">
      <c r="A2495" t="s">
        <v>1012</v>
      </c>
      <c r="B2495" t="s">
        <v>1013</v>
      </c>
      <c r="C2495" t="s">
        <v>1014</v>
      </c>
      <c r="D2495" t="s">
        <v>1020</v>
      </c>
      <c r="F2495" t="str">
        <f>"254479"</f>
        <v>254479</v>
      </c>
      <c r="G2495" t="s">
        <v>49</v>
      </c>
      <c r="K2495" t="s">
        <v>51</v>
      </c>
      <c r="L2495" t="s">
        <v>52</v>
      </c>
      <c r="M2495">
        <v>131712.17000000001</v>
      </c>
      <c r="N2495">
        <v>475541.69</v>
      </c>
      <c r="O2495" t="s">
        <v>53</v>
      </c>
      <c r="P2495" t="s">
        <v>54</v>
      </c>
      <c r="Q2495" t="s">
        <v>55</v>
      </c>
      <c r="T2495" t="s">
        <v>170</v>
      </c>
      <c r="U2495">
        <v>40</v>
      </c>
      <c r="V2495" s="1">
        <v>44440</v>
      </c>
      <c r="W2495" s="1">
        <v>44441</v>
      </c>
      <c r="X2495" s="1">
        <v>44441</v>
      </c>
      <c r="Y2495" s="1">
        <v>59051</v>
      </c>
      <c r="Z2495" t="s">
        <v>51</v>
      </c>
      <c r="AB2495" t="s">
        <v>54</v>
      </c>
      <c r="AC2495">
        <v>1</v>
      </c>
      <c r="AE2495" t="s">
        <v>356</v>
      </c>
      <c r="AF2495">
        <v>20</v>
      </c>
      <c r="AG2495" s="1">
        <v>44440</v>
      </c>
      <c r="AH2495" s="1">
        <v>44441</v>
      </c>
      <c r="AI2495" s="1">
        <v>44441</v>
      </c>
      <c r="AJ2495" s="1">
        <v>51746</v>
      </c>
      <c r="AK2495" t="s">
        <v>51</v>
      </c>
      <c r="AN2495">
        <v>0</v>
      </c>
      <c r="AO2495" t="s">
        <v>54</v>
      </c>
      <c r="AP2495" t="s">
        <v>53</v>
      </c>
      <c r="AQ2495">
        <v>0</v>
      </c>
      <c r="AR2495" t="s">
        <v>145</v>
      </c>
      <c r="AS2495">
        <v>0</v>
      </c>
      <c r="AT2495">
        <v>0</v>
      </c>
      <c r="BH2495" t="s">
        <v>53</v>
      </c>
      <c r="CX2495" t="s">
        <v>360</v>
      </c>
      <c r="CY2495">
        <v>40</v>
      </c>
      <c r="CZ2495" s="1">
        <v>44441</v>
      </c>
      <c r="DA2495" s="1">
        <v>44441</v>
      </c>
      <c r="DB2495" s="1">
        <v>44441</v>
      </c>
      <c r="DC2495" s="1">
        <v>59051</v>
      </c>
      <c r="DD2495" t="s">
        <v>51</v>
      </c>
      <c r="DF2495" t="s">
        <v>54</v>
      </c>
      <c r="DG2495">
        <v>0</v>
      </c>
      <c r="DH2495">
        <v>0</v>
      </c>
    </row>
    <row r="2496" spans="1:112" x14ac:dyDescent="0.2">
      <c r="A2496" t="s">
        <v>1012</v>
      </c>
      <c r="B2496" t="s">
        <v>1013</v>
      </c>
      <c r="C2496" t="s">
        <v>1019</v>
      </c>
      <c r="D2496" t="s">
        <v>1020</v>
      </c>
      <c r="F2496" t="str">
        <f>"252069"</f>
        <v>252069</v>
      </c>
      <c r="G2496" t="s">
        <v>49</v>
      </c>
      <c r="H2496">
        <v>17</v>
      </c>
      <c r="K2496" t="s">
        <v>51</v>
      </c>
      <c r="L2496" t="s">
        <v>52</v>
      </c>
      <c r="M2496">
        <v>131728.64000000001</v>
      </c>
      <c r="N2496">
        <v>475545.58</v>
      </c>
      <c r="O2496" t="s">
        <v>53</v>
      </c>
      <c r="P2496" t="s">
        <v>54</v>
      </c>
      <c r="Q2496" t="s">
        <v>55</v>
      </c>
      <c r="T2496" t="s">
        <v>1076</v>
      </c>
      <c r="U2496">
        <v>30</v>
      </c>
      <c r="V2496" s="1">
        <v>40544</v>
      </c>
      <c r="W2496" s="1">
        <v>40544</v>
      </c>
      <c r="X2496" s="1">
        <v>40544</v>
      </c>
      <c r="Y2496" s="1">
        <v>51502</v>
      </c>
      <c r="Z2496" t="s">
        <v>51</v>
      </c>
      <c r="AB2496" t="s">
        <v>54</v>
      </c>
      <c r="AC2496">
        <v>1</v>
      </c>
      <c r="AE2496" t="s">
        <v>934</v>
      </c>
      <c r="AF2496">
        <v>20</v>
      </c>
      <c r="AG2496" s="1">
        <v>40544</v>
      </c>
      <c r="AH2496" s="1">
        <v>40544</v>
      </c>
      <c r="AI2496" s="1">
        <v>40544</v>
      </c>
      <c r="AJ2496" s="1">
        <v>47849</v>
      </c>
      <c r="AK2496" t="s">
        <v>51</v>
      </c>
      <c r="AN2496">
        <v>0</v>
      </c>
      <c r="AO2496" t="s">
        <v>54</v>
      </c>
      <c r="AP2496" t="s">
        <v>53</v>
      </c>
      <c r="AQ2496">
        <v>0</v>
      </c>
      <c r="AR2496" t="s">
        <v>53</v>
      </c>
      <c r="AS2496">
        <v>0</v>
      </c>
      <c r="AT2496">
        <v>0</v>
      </c>
      <c r="AW2496" t="s">
        <v>172</v>
      </c>
      <c r="AX2496">
        <v>15</v>
      </c>
      <c r="AY2496" s="1">
        <v>43040</v>
      </c>
      <c r="AZ2496" s="1">
        <v>43040</v>
      </c>
      <c r="BA2496" s="1">
        <v>43040</v>
      </c>
      <c r="BB2496" s="1">
        <v>48519</v>
      </c>
      <c r="BC2496" t="s">
        <v>51</v>
      </c>
      <c r="BE2496" t="s">
        <v>54</v>
      </c>
      <c r="BF2496">
        <v>40</v>
      </c>
      <c r="BG2496">
        <v>0</v>
      </c>
      <c r="BH2496" t="s">
        <v>145</v>
      </c>
      <c r="CC2496" t="s">
        <v>850</v>
      </c>
      <c r="CD2496">
        <v>1</v>
      </c>
      <c r="CE2496" s="1">
        <v>43040</v>
      </c>
      <c r="CF2496" s="1">
        <v>43040</v>
      </c>
      <c r="CG2496" s="1">
        <v>43040</v>
      </c>
      <c r="CH2496" s="1">
        <v>50207</v>
      </c>
      <c r="CI2496" t="s">
        <v>51</v>
      </c>
      <c r="CK2496" t="s">
        <v>78</v>
      </c>
      <c r="CM2496" t="s">
        <v>54</v>
      </c>
      <c r="CN2496" t="s">
        <v>174</v>
      </c>
      <c r="CO2496" t="s">
        <v>86</v>
      </c>
      <c r="CR2496">
        <v>18</v>
      </c>
      <c r="CS2496">
        <v>0</v>
      </c>
      <c r="CT2496">
        <v>0</v>
      </c>
      <c r="CU2496">
        <v>0</v>
      </c>
      <c r="CX2496" t="s">
        <v>360</v>
      </c>
      <c r="CY2496">
        <v>40</v>
      </c>
      <c r="CZ2496" s="1">
        <v>43040</v>
      </c>
      <c r="DA2496" s="1">
        <v>43040</v>
      </c>
      <c r="DB2496" s="1">
        <v>43040</v>
      </c>
      <c r="DC2496" s="1">
        <v>57650</v>
      </c>
      <c r="DD2496" t="s">
        <v>51</v>
      </c>
      <c r="DF2496" t="s">
        <v>54</v>
      </c>
      <c r="DG2496">
        <v>0</v>
      </c>
      <c r="DH2496">
        <v>0</v>
      </c>
    </row>
    <row r="2497" spans="1:112" x14ac:dyDescent="0.2">
      <c r="A2497" t="s">
        <v>1012</v>
      </c>
      <c r="B2497" t="s">
        <v>1013</v>
      </c>
      <c r="C2497" t="s">
        <v>1014</v>
      </c>
      <c r="D2497" t="s">
        <v>1020</v>
      </c>
      <c r="F2497" t="str">
        <f>"252070"</f>
        <v>252070</v>
      </c>
      <c r="G2497" t="s">
        <v>49</v>
      </c>
      <c r="H2497">
        <v>21</v>
      </c>
      <c r="K2497" t="s">
        <v>51</v>
      </c>
      <c r="L2497" t="s">
        <v>52</v>
      </c>
      <c r="M2497">
        <v>131722.15</v>
      </c>
      <c r="N2497">
        <v>475570.53</v>
      </c>
      <c r="O2497" t="s">
        <v>53</v>
      </c>
      <c r="P2497" t="s">
        <v>54</v>
      </c>
      <c r="Q2497" t="s">
        <v>55</v>
      </c>
      <c r="T2497" t="s">
        <v>1076</v>
      </c>
      <c r="U2497">
        <v>30</v>
      </c>
      <c r="V2497" s="1">
        <v>40544</v>
      </c>
      <c r="W2497" s="1">
        <v>40544</v>
      </c>
      <c r="X2497" s="1">
        <v>40544</v>
      </c>
      <c r="Y2497" s="1">
        <v>51502</v>
      </c>
      <c r="Z2497" t="s">
        <v>51</v>
      </c>
      <c r="AB2497" t="s">
        <v>54</v>
      </c>
      <c r="AC2497">
        <v>1</v>
      </c>
      <c r="AE2497" t="s">
        <v>934</v>
      </c>
      <c r="AF2497">
        <v>20</v>
      </c>
      <c r="AG2497" s="1">
        <v>40544</v>
      </c>
      <c r="AH2497" s="1">
        <v>40544</v>
      </c>
      <c r="AI2497" s="1">
        <v>40544</v>
      </c>
      <c r="AJ2497" s="1">
        <v>47849</v>
      </c>
      <c r="AK2497" t="s">
        <v>51</v>
      </c>
      <c r="AN2497">
        <v>0</v>
      </c>
      <c r="AO2497" t="s">
        <v>54</v>
      </c>
      <c r="AP2497" t="s">
        <v>53</v>
      </c>
      <c r="AQ2497">
        <v>0</v>
      </c>
      <c r="AR2497" t="s">
        <v>53</v>
      </c>
      <c r="AS2497">
        <v>0</v>
      </c>
      <c r="AT2497">
        <v>0</v>
      </c>
      <c r="AW2497" t="s">
        <v>172</v>
      </c>
      <c r="AX2497">
        <v>15</v>
      </c>
      <c r="AY2497" s="1">
        <v>43040</v>
      </c>
      <c r="AZ2497" s="1">
        <v>43040</v>
      </c>
      <c r="BA2497" s="1">
        <v>43040</v>
      </c>
      <c r="BB2497" s="1">
        <v>48519</v>
      </c>
      <c r="BC2497" t="s">
        <v>51</v>
      </c>
      <c r="BE2497" t="s">
        <v>54</v>
      </c>
      <c r="BF2497">
        <v>40</v>
      </c>
      <c r="BG2497">
        <v>0</v>
      </c>
      <c r="BH2497" t="s">
        <v>145</v>
      </c>
      <c r="CC2497" t="s">
        <v>850</v>
      </c>
      <c r="CD2497">
        <v>1</v>
      </c>
      <c r="CE2497" s="1">
        <v>43040</v>
      </c>
      <c r="CF2497" s="1">
        <v>43040</v>
      </c>
      <c r="CG2497" s="1">
        <v>43040</v>
      </c>
      <c r="CH2497" s="1">
        <v>50207</v>
      </c>
      <c r="CI2497" t="s">
        <v>51</v>
      </c>
      <c r="CK2497" t="s">
        <v>78</v>
      </c>
      <c r="CM2497" t="s">
        <v>54</v>
      </c>
      <c r="CN2497" t="s">
        <v>174</v>
      </c>
      <c r="CO2497" t="s">
        <v>86</v>
      </c>
      <c r="CR2497">
        <v>18</v>
      </c>
      <c r="CS2497">
        <v>0</v>
      </c>
      <c r="CT2497">
        <v>0</v>
      </c>
      <c r="CU2497">
        <v>0</v>
      </c>
      <c r="CX2497" t="s">
        <v>360</v>
      </c>
      <c r="CY2497">
        <v>40</v>
      </c>
      <c r="CZ2497" s="1">
        <v>43040</v>
      </c>
      <c r="DA2497" s="1">
        <v>43040</v>
      </c>
      <c r="DB2497" s="1">
        <v>43040</v>
      </c>
      <c r="DC2497" s="1">
        <v>57650</v>
      </c>
      <c r="DD2497" t="s">
        <v>51</v>
      </c>
      <c r="DF2497" t="s">
        <v>54</v>
      </c>
      <c r="DG2497">
        <v>0</v>
      </c>
      <c r="DH2497">
        <v>0</v>
      </c>
    </row>
    <row r="2498" spans="1:112" x14ac:dyDescent="0.2">
      <c r="A2498" t="s">
        <v>1012</v>
      </c>
      <c r="B2498" t="s">
        <v>1013</v>
      </c>
      <c r="C2498" t="s">
        <v>1019</v>
      </c>
      <c r="D2498" t="s">
        <v>1020</v>
      </c>
      <c r="F2498" t="str">
        <f>"252071"</f>
        <v>252071</v>
      </c>
      <c r="G2498" t="s">
        <v>49</v>
      </c>
      <c r="H2498">
        <v>24</v>
      </c>
      <c r="K2498" t="s">
        <v>51</v>
      </c>
      <c r="L2498" t="s">
        <v>52</v>
      </c>
      <c r="M2498">
        <v>131735.76</v>
      </c>
      <c r="N2498">
        <v>475594.83</v>
      </c>
      <c r="O2498" t="s">
        <v>53</v>
      </c>
      <c r="P2498" t="s">
        <v>54</v>
      </c>
      <c r="Q2498" t="s">
        <v>55</v>
      </c>
      <c r="T2498" t="s">
        <v>1076</v>
      </c>
      <c r="U2498">
        <v>30</v>
      </c>
      <c r="V2498" s="1">
        <v>40544</v>
      </c>
      <c r="W2498" s="1">
        <v>40544</v>
      </c>
      <c r="X2498" s="1">
        <v>40544</v>
      </c>
      <c r="Y2498" s="1">
        <v>51502</v>
      </c>
      <c r="Z2498" t="s">
        <v>51</v>
      </c>
      <c r="AB2498" t="s">
        <v>54</v>
      </c>
      <c r="AC2498">
        <v>1</v>
      </c>
      <c r="AE2498" t="s">
        <v>934</v>
      </c>
      <c r="AF2498">
        <v>20</v>
      </c>
      <c r="AG2498" s="1">
        <v>40544</v>
      </c>
      <c r="AH2498" s="1">
        <v>40544</v>
      </c>
      <c r="AI2498" s="1">
        <v>40544</v>
      </c>
      <c r="AJ2498" s="1">
        <v>47849</v>
      </c>
      <c r="AK2498" t="s">
        <v>51</v>
      </c>
      <c r="AN2498">
        <v>0</v>
      </c>
      <c r="AO2498" t="s">
        <v>54</v>
      </c>
      <c r="AP2498" t="s">
        <v>53</v>
      </c>
      <c r="AQ2498">
        <v>0</v>
      </c>
      <c r="AR2498" t="s">
        <v>53</v>
      </c>
      <c r="AS2498">
        <v>0</v>
      </c>
      <c r="AT2498">
        <v>0</v>
      </c>
      <c r="AW2498" t="s">
        <v>172</v>
      </c>
      <c r="AX2498">
        <v>15</v>
      </c>
      <c r="AY2498" s="1">
        <v>43040</v>
      </c>
      <c r="AZ2498" s="1">
        <v>43040</v>
      </c>
      <c r="BA2498" s="1">
        <v>43040</v>
      </c>
      <c r="BB2498" s="1">
        <v>48519</v>
      </c>
      <c r="BC2498" t="s">
        <v>51</v>
      </c>
      <c r="BE2498" t="s">
        <v>54</v>
      </c>
      <c r="BF2498">
        <v>40</v>
      </c>
      <c r="BG2498">
        <v>0</v>
      </c>
      <c r="BH2498" t="s">
        <v>145</v>
      </c>
      <c r="CC2498" t="s">
        <v>850</v>
      </c>
      <c r="CD2498">
        <v>1</v>
      </c>
      <c r="CE2498" s="1">
        <v>43040</v>
      </c>
      <c r="CF2498" s="1">
        <v>43040</v>
      </c>
      <c r="CG2498" s="1">
        <v>43040</v>
      </c>
      <c r="CH2498" s="1">
        <v>50207</v>
      </c>
      <c r="CI2498" t="s">
        <v>51</v>
      </c>
      <c r="CK2498" t="s">
        <v>78</v>
      </c>
      <c r="CM2498" t="s">
        <v>54</v>
      </c>
      <c r="CN2498" t="s">
        <v>174</v>
      </c>
      <c r="CO2498" t="s">
        <v>86</v>
      </c>
      <c r="CR2498">
        <v>18</v>
      </c>
      <c r="CS2498">
        <v>0</v>
      </c>
      <c r="CT2498">
        <v>0</v>
      </c>
      <c r="CU2498">
        <v>0</v>
      </c>
      <c r="CX2498" t="s">
        <v>360</v>
      </c>
      <c r="CY2498">
        <v>40</v>
      </c>
      <c r="CZ2498" s="1">
        <v>43040</v>
      </c>
      <c r="DA2498" s="1">
        <v>43040</v>
      </c>
      <c r="DB2498" s="1">
        <v>43040</v>
      </c>
      <c r="DC2498" s="1">
        <v>57650</v>
      </c>
      <c r="DD2498" t="s">
        <v>51</v>
      </c>
      <c r="DF2498" t="s">
        <v>54</v>
      </c>
      <c r="DG2498">
        <v>0</v>
      </c>
      <c r="DH2498">
        <v>0</v>
      </c>
    </row>
    <row r="2499" spans="1:112" x14ac:dyDescent="0.2">
      <c r="A2499" t="s">
        <v>1012</v>
      </c>
      <c r="B2499" t="s">
        <v>1013</v>
      </c>
      <c r="C2499" t="s">
        <v>1019</v>
      </c>
      <c r="D2499" t="s">
        <v>1020</v>
      </c>
      <c r="F2499" t="str">
        <f>"252072"</f>
        <v>252072</v>
      </c>
      <c r="G2499" t="s">
        <v>49</v>
      </c>
      <c r="H2499">
        <v>26</v>
      </c>
      <c r="K2499" t="s">
        <v>51</v>
      </c>
      <c r="L2499" t="s">
        <v>52</v>
      </c>
      <c r="M2499">
        <v>131738.42000000001</v>
      </c>
      <c r="N2499">
        <v>475614.41</v>
      </c>
      <c r="O2499" t="s">
        <v>53</v>
      </c>
      <c r="P2499" t="s">
        <v>54</v>
      </c>
      <c r="Q2499" t="s">
        <v>55</v>
      </c>
      <c r="T2499" t="s">
        <v>1076</v>
      </c>
      <c r="U2499">
        <v>30</v>
      </c>
      <c r="V2499" s="1">
        <v>40544</v>
      </c>
      <c r="W2499" s="1">
        <v>40544</v>
      </c>
      <c r="X2499" s="1">
        <v>40544</v>
      </c>
      <c r="Y2499" s="1">
        <v>51502</v>
      </c>
      <c r="Z2499" t="s">
        <v>51</v>
      </c>
      <c r="AB2499" t="s">
        <v>54</v>
      </c>
      <c r="AC2499">
        <v>1</v>
      </c>
      <c r="AE2499" t="s">
        <v>934</v>
      </c>
      <c r="AF2499">
        <v>20</v>
      </c>
      <c r="AG2499" s="1">
        <v>40544</v>
      </c>
      <c r="AH2499" s="1">
        <v>40544</v>
      </c>
      <c r="AI2499" s="1">
        <v>40544</v>
      </c>
      <c r="AJ2499" s="1">
        <v>47849</v>
      </c>
      <c r="AK2499" t="s">
        <v>51</v>
      </c>
      <c r="AN2499">
        <v>0</v>
      </c>
      <c r="AO2499" t="s">
        <v>54</v>
      </c>
      <c r="AP2499" t="s">
        <v>53</v>
      </c>
      <c r="AQ2499">
        <v>0</v>
      </c>
      <c r="AR2499" t="s">
        <v>53</v>
      </c>
      <c r="AS2499">
        <v>0</v>
      </c>
      <c r="AT2499">
        <v>0</v>
      </c>
      <c r="AW2499" t="s">
        <v>172</v>
      </c>
      <c r="AX2499">
        <v>15</v>
      </c>
      <c r="AY2499" s="1">
        <v>43040</v>
      </c>
      <c r="AZ2499" s="1">
        <v>43040</v>
      </c>
      <c r="BA2499" s="1">
        <v>43040</v>
      </c>
      <c r="BB2499" s="1">
        <v>48519</v>
      </c>
      <c r="BC2499" t="s">
        <v>51</v>
      </c>
      <c r="BE2499" t="s">
        <v>54</v>
      </c>
      <c r="BF2499">
        <v>40</v>
      </c>
      <c r="BG2499">
        <v>0</v>
      </c>
      <c r="BH2499" t="s">
        <v>145</v>
      </c>
      <c r="CC2499" t="s">
        <v>850</v>
      </c>
      <c r="CD2499">
        <v>1</v>
      </c>
      <c r="CE2499" s="1">
        <v>43040</v>
      </c>
      <c r="CF2499" s="1">
        <v>43040</v>
      </c>
      <c r="CG2499" s="1">
        <v>43040</v>
      </c>
      <c r="CH2499" s="1">
        <v>50207</v>
      </c>
      <c r="CI2499" t="s">
        <v>51</v>
      </c>
      <c r="CK2499" t="s">
        <v>78</v>
      </c>
      <c r="CM2499" t="s">
        <v>54</v>
      </c>
      <c r="CN2499" t="s">
        <v>174</v>
      </c>
      <c r="CO2499" t="s">
        <v>86</v>
      </c>
      <c r="CR2499">
        <v>18</v>
      </c>
      <c r="CS2499">
        <v>0</v>
      </c>
      <c r="CT2499">
        <v>0</v>
      </c>
      <c r="CU2499">
        <v>0</v>
      </c>
      <c r="CX2499" t="s">
        <v>360</v>
      </c>
      <c r="CY2499">
        <v>40</v>
      </c>
      <c r="CZ2499" s="1">
        <v>43040</v>
      </c>
      <c r="DA2499" s="1">
        <v>43040</v>
      </c>
      <c r="DB2499" s="1">
        <v>43040</v>
      </c>
      <c r="DC2499" s="1">
        <v>57650</v>
      </c>
      <c r="DD2499" t="s">
        <v>51</v>
      </c>
      <c r="DF2499" t="s">
        <v>54</v>
      </c>
      <c r="DG2499">
        <v>0</v>
      </c>
      <c r="DH2499">
        <v>0</v>
      </c>
    </row>
    <row r="2500" spans="1:112" x14ac:dyDescent="0.2">
      <c r="A2500" t="s">
        <v>1012</v>
      </c>
      <c r="B2500" t="s">
        <v>1013</v>
      </c>
      <c r="C2500" t="s">
        <v>1019</v>
      </c>
      <c r="D2500" t="s">
        <v>1020</v>
      </c>
      <c r="F2500" t="str">
        <f>"252087"</f>
        <v>252087</v>
      </c>
      <c r="G2500" t="s">
        <v>49</v>
      </c>
      <c r="H2500" t="s">
        <v>1107</v>
      </c>
      <c r="K2500" t="s">
        <v>51</v>
      </c>
      <c r="L2500" t="s">
        <v>52</v>
      </c>
      <c r="M2500">
        <v>131781.47</v>
      </c>
      <c r="N2500">
        <v>475907.26</v>
      </c>
      <c r="O2500" t="s">
        <v>53</v>
      </c>
      <c r="P2500" t="s">
        <v>54</v>
      </c>
      <c r="Q2500" t="s">
        <v>55</v>
      </c>
      <c r="T2500" t="s">
        <v>100</v>
      </c>
      <c r="U2500">
        <v>40</v>
      </c>
      <c r="V2500" s="1">
        <v>41821</v>
      </c>
      <c r="W2500" s="1">
        <v>41821</v>
      </c>
      <c r="X2500" s="1">
        <v>41821</v>
      </c>
      <c r="Y2500" s="1">
        <v>56431</v>
      </c>
      <c r="Z2500" t="s">
        <v>51</v>
      </c>
      <c r="AB2500" t="s">
        <v>54</v>
      </c>
      <c r="AC2500">
        <v>1</v>
      </c>
      <c r="AE2500" t="s">
        <v>222</v>
      </c>
      <c r="AF2500">
        <v>20</v>
      </c>
      <c r="AG2500" s="1">
        <v>41821</v>
      </c>
      <c r="AH2500" s="1">
        <v>41821</v>
      </c>
      <c r="AI2500" s="1">
        <v>41821</v>
      </c>
      <c r="AJ2500" s="1">
        <v>49126</v>
      </c>
      <c r="AK2500" t="s">
        <v>51</v>
      </c>
      <c r="AN2500">
        <v>0</v>
      </c>
      <c r="AO2500" t="s">
        <v>54</v>
      </c>
      <c r="AP2500" t="s">
        <v>53</v>
      </c>
      <c r="AQ2500">
        <v>0</v>
      </c>
      <c r="AR2500" t="s">
        <v>53</v>
      </c>
      <c r="AS2500">
        <v>0</v>
      </c>
      <c r="AT2500">
        <v>0</v>
      </c>
      <c r="AW2500" t="s">
        <v>161</v>
      </c>
      <c r="AX2500">
        <v>50</v>
      </c>
      <c r="AY2500" s="1">
        <v>43040</v>
      </c>
      <c r="AZ2500" s="1">
        <v>43040</v>
      </c>
      <c r="BA2500" s="1">
        <v>43040</v>
      </c>
      <c r="BB2500" s="1">
        <v>61302</v>
      </c>
      <c r="BC2500" t="s">
        <v>51</v>
      </c>
      <c r="BE2500" t="s">
        <v>54</v>
      </c>
      <c r="BF2500">
        <v>0</v>
      </c>
      <c r="BG2500">
        <v>0</v>
      </c>
      <c r="BH2500" t="s">
        <v>53</v>
      </c>
      <c r="BK2500" t="s">
        <v>720</v>
      </c>
      <c r="BL2500">
        <v>17000</v>
      </c>
      <c r="BM2500" s="1">
        <v>43040</v>
      </c>
      <c r="BN2500" s="1">
        <v>43040</v>
      </c>
      <c r="BO2500" s="1">
        <v>43040</v>
      </c>
      <c r="BP2500" s="1">
        <v>44481</v>
      </c>
      <c r="BQ2500" t="s">
        <v>51</v>
      </c>
      <c r="BS2500" t="s">
        <v>60</v>
      </c>
      <c r="BT2500" t="s">
        <v>54</v>
      </c>
      <c r="BU2500" t="s">
        <v>721</v>
      </c>
      <c r="BV2500" t="s">
        <v>722</v>
      </c>
      <c r="BX2500">
        <v>18</v>
      </c>
      <c r="BY2500">
        <v>0</v>
      </c>
      <c r="BZ2500">
        <v>0</v>
      </c>
    </row>
    <row r="2501" spans="1:112" x14ac:dyDescent="0.2">
      <c r="A2501" t="s">
        <v>1012</v>
      </c>
      <c r="B2501" t="s">
        <v>1013</v>
      </c>
      <c r="C2501" t="s">
        <v>1019</v>
      </c>
      <c r="D2501" t="s">
        <v>1020</v>
      </c>
      <c r="F2501" t="str">
        <f>"252088"</f>
        <v>252088</v>
      </c>
      <c r="G2501" t="s">
        <v>49</v>
      </c>
      <c r="K2501" t="s">
        <v>51</v>
      </c>
      <c r="L2501" t="s">
        <v>52</v>
      </c>
      <c r="M2501">
        <v>131788.64499999999</v>
      </c>
      <c r="N2501">
        <v>475934.91899999999</v>
      </c>
      <c r="O2501" t="s">
        <v>53</v>
      </c>
      <c r="P2501" t="s">
        <v>54</v>
      </c>
      <c r="Q2501" t="s">
        <v>55</v>
      </c>
      <c r="T2501" t="s">
        <v>466</v>
      </c>
      <c r="U2501">
        <v>40</v>
      </c>
      <c r="V2501" s="1">
        <v>41821</v>
      </c>
      <c r="W2501" s="1">
        <v>41821</v>
      </c>
      <c r="X2501" s="1">
        <v>41821</v>
      </c>
      <c r="Y2501" s="1">
        <v>56431</v>
      </c>
      <c r="Z2501" t="s">
        <v>51</v>
      </c>
      <c r="AB2501" t="s">
        <v>54</v>
      </c>
      <c r="AC2501">
        <v>1</v>
      </c>
      <c r="AE2501" t="s">
        <v>613</v>
      </c>
      <c r="AF2501">
        <v>20</v>
      </c>
      <c r="AG2501" s="1">
        <v>41821</v>
      </c>
      <c r="AH2501" s="1">
        <v>41821</v>
      </c>
      <c r="AI2501" s="1">
        <v>41821</v>
      </c>
      <c r="AJ2501" s="1">
        <v>49126</v>
      </c>
      <c r="AK2501" t="s">
        <v>51</v>
      </c>
      <c r="AN2501">
        <v>0</v>
      </c>
      <c r="AO2501" t="s">
        <v>54</v>
      </c>
      <c r="AP2501" t="s">
        <v>53</v>
      </c>
      <c r="AQ2501">
        <v>0</v>
      </c>
      <c r="AR2501" t="s">
        <v>53</v>
      </c>
      <c r="AS2501">
        <v>0</v>
      </c>
      <c r="AT2501">
        <v>0</v>
      </c>
      <c r="AW2501" t="s">
        <v>58</v>
      </c>
      <c r="AX2501">
        <v>20</v>
      </c>
      <c r="AY2501" s="1">
        <v>43040</v>
      </c>
      <c r="AZ2501" s="1">
        <v>43040</v>
      </c>
      <c r="BA2501" s="1">
        <v>43040</v>
      </c>
      <c r="BB2501" s="1">
        <v>50345</v>
      </c>
      <c r="BC2501" t="s">
        <v>51</v>
      </c>
      <c r="BE2501" t="s">
        <v>54</v>
      </c>
      <c r="BF2501">
        <v>2</v>
      </c>
      <c r="BG2501">
        <v>0</v>
      </c>
      <c r="BH2501" t="s">
        <v>53</v>
      </c>
      <c r="BK2501" t="s">
        <v>59</v>
      </c>
      <c r="BL2501">
        <v>14000</v>
      </c>
      <c r="BM2501" s="1">
        <v>43040</v>
      </c>
      <c r="BN2501" s="1">
        <v>43040</v>
      </c>
      <c r="BO2501" s="1">
        <v>43040</v>
      </c>
      <c r="BP2501" s="1">
        <v>44200</v>
      </c>
      <c r="BQ2501" t="s">
        <v>51</v>
      </c>
      <c r="BS2501" t="s">
        <v>60</v>
      </c>
      <c r="BT2501" t="s">
        <v>54</v>
      </c>
      <c r="BU2501" t="s">
        <v>61</v>
      </c>
      <c r="BV2501" t="s">
        <v>62</v>
      </c>
      <c r="BX2501">
        <v>24</v>
      </c>
      <c r="BY2501">
        <v>0</v>
      </c>
      <c r="BZ2501">
        <v>0</v>
      </c>
    </row>
    <row r="2502" spans="1:112" x14ac:dyDescent="0.2">
      <c r="A2502" t="s">
        <v>1012</v>
      </c>
      <c r="B2502" t="s">
        <v>1013</v>
      </c>
      <c r="C2502" t="s">
        <v>1014</v>
      </c>
      <c r="D2502" t="s">
        <v>1020</v>
      </c>
      <c r="F2502" t="str">
        <f>"254480"</f>
        <v>254480</v>
      </c>
      <c r="G2502" t="s">
        <v>49</v>
      </c>
      <c r="K2502" t="s">
        <v>51</v>
      </c>
      <c r="L2502" t="s">
        <v>52</v>
      </c>
      <c r="M2502">
        <v>131695.13</v>
      </c>
      <c r="N2502">
        <v>475533.97</v>
      </c>
      <c r="O2502" t="s">
        <v>53</v>
      </c>
      <c r="P2502" t="s">
        <v>54</v>
      </c>
      <c r="Q2502" t="s">
        <v>55</v>
      </c>
      <c r="T2502" t="s">
        <v>170</v>
      </c>
      <c r="U2502">
        <v>40</v>
      </c>
      <c r="V2502" s="1">
        <v>44441</v>
      </c>
      <c r="W2502" s="1">
        <v>44441</v>
      </c>
      <c r="X2502" s="1">
        <v>44441</v>
      </c>
      <c r="Y2502" s="1">
        <v>59051</v>
      </c>
      <c r="Z2502" t="s">
        <v>51</v>
      </c>
      <c r="AB2502" t="s">
        <v>54</v>
      </c>
      <c r="AE2502" t="s">
        <v>356</v>
      </c>
      <c r="AF2502">
        <v>20</v>
      </c>
      <c r="AG2502" s="1">
        <v>44441</v>
      </c>
      <c r="AH2502" s="1">
        <v>44441</v>
      </c>
      <c r="AI2502" s="1">
        <v>44441</v>
      </c>
      <c r="AJ2502" s="1">
        <v>51746</v>
      </c>
      <c r="AK2502" t="s">
        <v>51</v>
      </c>
      <c r="AN2502">
        <v>0</v>
      </c>
      <c r="AO2502" t="s">
        <v>54</v>
      </c>
      <c r="AP2502" t="s">
        <v>53</v>
      </c>
      <c r="AQ2502">
        <v>0</v>
      </c>
      <c r="AR2502" t="s">
        <v>145</v>
      </c>
      <c r="AS2502">
        <v>0</v>
      </c>
      <c r="AT2502">
        <v>0</v>
      </c>
      <c r="CC2502" t="s">
        <v>250</v>
      </c>
      <c r="CD2502">
        <v>100000</v>
      </c>
      <c r="CE2502" s="1">
        <v>44441</v>
      </c>
      <c r="CF2502" s="1">
        <v>44441</v>
      </c>
      <c r="CG2502" s="1">
        <v>44441</v>
      </c>
      <c r="CH2502" s="1">
        <v>53358</v>
      </c>
      <c r="CI2502" t="s">
        <v>51</v>
      </c>
      <c r="CK2502" t="s">
        <v>78</v>
      </c>
      <c r="CM2502" t="s">
        <v>54</v>
      </c>
      <c r="CN2502" t="s">
        <v>174</v>
      </c>
      <c r="CR2502">
        <v>13.2</v>
      </c>
      <c r="CS2502">
        <v>1800</v>
      </c>
      <c r="CT2502">
        <v>0</v>
      </c>
      <c r="CU2502">
        <v>16</v>
      </c>
      <c r="CX2502" t="s">
        <v>360</v>
      </c>
      <c r="CY2502">
        <v>40</v>
      </c>
      <c r="CZ2502" s="1">
        <v>44441</v>
      </c>
      <c r="DA2502" s="1">
        <v>44441</v>
      </c>
      <c r="DB2502" s="1">
        <v>44441</v>
      </c>
      <c r="DC2502" s="1">
        <v>59051</v>
      </c>
      <c r="DD2502" t="s">
        <v>51</v>
      </c>
      <c r="DF2502" t="s">
        <v>54</v>
      </c>
      <c r="DG2502">
        <v>0</v>
      </c>
      <c r="DH2502">
        <v>0</v>
      </c>
    </row>
    <row r="2503" spans="1:112" x14ac:dyDescent="0.2">
      <c r="A2503" t="s">
        <v>1012</v>
      </c>
      <c r="B2503" t="s">
        <v>1013</v>
      </c>
      <c r="C2503" t="s">
        <v>1014</v>
      </c>
      <c r="D2503" t="s">
        <v>1020</v>
      </c>
      <c r="F2503" t="str">
        <f>"254496"</f>
        <v>254496</v>
      </c>
      <c r="G2503" t="s">
        <v>49</v>
      </c>
      <c r="K2503" t="s">
        <v>51</v>
      </c>
      <c r="L2503" t="s">
        <v>52</v>
      </c>
      <c r="M2503">
        <v>131703.182</v>
      </c>
      <c r="N2503">
        <v>475526.35800000001</v>
      </c>
      <c r="O2503" t="s">
        <v>53</v>
      </c>
      <c r="P2503" t="s">
        <v>54</v>
      </c>
      <c r="Q2503" t="s">
        <v>55</v>
      </c>
      <c r="T2503" t="s">
        <v>246</v>
      </c>
      <c r="U2503">
        <v>40</v>
      </c>
      <c r="V2503" s="1">
        <v>44441</v>
      </c>
      <c r="W2503" s="1">
        <v>44441</v>
      </c>
      <c r="X2503" s="1">
        <v>44441</v>
      </c>
      <c r="Y2503" s="1">
        <v>59051</v>
      </c>
      <c r="Z2503" t="s">
        <v>51</v>
      </c>
      <c r="AB2503" t="s">
        <v>54</v>
      </c>
      <c r="AC2503">
        <v>1</v>
      </c>
      <c r="AE2503" t="s">
        <v>1065</v>
      </c>
      <c r="AF2503">
        <v>20</v>
      </c>
      <c r="AG2503" s="1">
        <v>44441</v>
      </c>
      <c r="AH2503" s="1">
        <v>44441</v>
      </c>
      <c r="AI2503" s="1">
        <v>44441</v>
      </c>
      <c r="AJ2503" s="1">
        <v>51746</v>
      </c>
      <c r="AK2503" t="s">
        <v>51</v>
      </c>
      <c r="AN2503">
        <v>0</v>
      </c>
      <c r="AO2503" t="s">
        <v>54</v>
      </c>
      <c r="AP2503" t="s">
        <v>53</v>
      </c>
      <c r="AQ2503">
        <v>0</v>
      </c>
      <c r="AR2503" t="s">
        <v>53</v>
      </c>
      <c r="AS2503">
        <v>0</v>
      </c>
      <c r="AT2503">
        <v>0</v>
      </c>
      <c r="AW2503" t="s">
        <v>172</v>
      </c>
      <c r="AX2503">
        <v>15</v>
      </c>
      <c r="AY2503" s="1">
        <v>44441</v>
      </c>
      <c r="AZ2503" s="1">
        <v>44441</v>
      </c>
      <c r="BA2503" s="1">
        <v>44441</v>
      </c>
      <c r="BB2503" s="1">
        <v>49920</v>
      </c>
      <c r="BC2503" t="s">
        <v>51</v>
      </c>
      <c r="BE2503" t="s">
        <v>54</v>
      </c>
      <c r="BF2503">
        <v>40</v>
      </c>
      <c r="BG2503">
        <v>0</v>
      </c>
      <c r="BH2503" t="s">
        <v>145</v>
      </c>
      <c r="CC2503" t="s">
        <v>244</v>
      </c>
      <c r="CD2503">
        <v>100000</v>
      </c>
      <c r="CE2503" s="1">
        <v>44441</v>
      </c>
      <c r="CF2503" s="1">
        <v>44441</v>
      </c>
      <c r="CG2503" s="1">
        <v>44441</v>
      </c>
      <c r="CH2503" s="1">
        <v>52892</v>
      </c>
      <c r="CI2503" t="s">
        <v>51</v>
      </c>
      <c r="CK2503" t="s">
        <v>78</v>
      </c>
      <c r="CM2503" t="s">
        <v>54</v>
      </c>
      <c r="CN2503" t="s">
        <v>174</v>
      </c>
      <c r="CR2503">
        <v>0</v>
      </c>
      <c r="CS2503">
        <v>2150</v>
      </c>
      <c r="CT2503">
        <v>0</v>
      </c>
      <c r="CU2503">
        <v>16</v>
      </c>
      <c r="CX2503" t="s">
        <v>360</v>
      </c>
      <c r="CY2503">
        <v>40</v>
      </c>
      <c r="CZ2503" s="1">
        <v>44441</v>
      </c>
      <c r="DA2503" s="1">
        <v>44441</v>
      </c>
      <c r="DB2503" s="1">
        <v>44441</v>
      </c>
      <c r="DC2503" s="1">
        <v>59051</v>
      </c>
      <c r="DD2503" t="s">
        <v>51</v>
      </c>
      <c r="DF2503" t="s">
        <v>54</v>
      </c>
      <c r="DG2503">
        <v>0</v>
      </c>
      <c r="DH2503">
        <v>0</v>
      </c>
    </row>
    <row r="2504" spans="1:112" x14ac:dyDescent="0.2">
      <c r="A2504" t="s">
        <v>1012</v>
      </c>
      <c r="B2504" t="s">
        <v>1013</v>
      </c>
      <c r="C2504" t="s">
        <v>1014</v>
      </c>
      <c r="D2504" t="s">
        <v>1108</v>
      </c>
      <c r="F2504" t="str">
        <f>"254495"</f>
        <v>254495</v>
      </c>
      <c r="G2504" t="s">
        <v>49</v>
      </c>
      <c r="K2504" t="s">
        <v>51</v>
      </c>
      <c r="L2504" t="s">
        <v>52</v>
      </c>
      <c r="M2504">
        <v>131693.62100000001</v>
      </c>
      <c r="N2504">
        <v>475460.14</v>
      </c>
      <c r="O2504" t="s">
        <v>53</v>
      </c>
      <c r="P2504" t="s">
        <v>54</v>
      </c>
      <c r="Q2504" t="s">
        <v>55</v>
      </c>
      <c r="T2504" t="s">
        <v>246</v>
      </c>
      <c r="U2504">
        <v>40</v>
      </c>
      <c r="V2504" s="1">
        <v>44441</v>
      </c>
      <c r="W2504" s="1">
        <v>44441</v>
      </c>
      <c r="X2504" s="1">
        <v>44441</v>
      </c>
      <c r="Y2504" s="1">
        <v>59051</v>
      </c>
      <c r="Z2504" t="s">
        <v>51</v>
      </c>
      <c r="AB2504" t="s">
        <v>54</v>
      </c>
      <c r="AC2504">
        <v>1</v>
      </c>
      <c r="AE2504" t="s">
        <v>1065</v>
      </c>
      <c r="AF2504">
        <v>20</v>
      </c>
      <c r="AG2504" s="1">
        <v>44441</v>
      </c>
      <c r="AH2504" s="1">
        <v>44441</v>
      </c>
      <c r="AI2504" s="1">
        <v>44441</v>
      </c>
      <c r="AJ2504" s="1">
        <v>51746</v>
      </c>
      <c r="AK2504" t="s">
        <v>51</v>
      </c>
      <c r="AN2504">
        <v>0</v>
      </c>
      <c r="AO2504" t="s">
        <v>54</v>
      </c>
      <c r="AP2504" t="s">
        <v>53</v>
      </c>
      <c r="AQ2504">
        <v>0</v>
      </c>
      <c r="AR2504" t="s">
        <v>53</v>
      </c>
      <c r="AS2504">
        <v>0</v>
      </c>
      <c r="AT2504">
        <v>0</v>
      </c>
      <c r="AW2504" t="s">
        <v>172</v>
      </c>
      <c r="AX2504">
        <v>15</v>
      </c>
      <c r="AY2504" s="1">
        <v>44441</v>
      </c>
      <c r="AZ2504" s="1">
        <v>44441</v>
      </c>
      <c r="BA2504" s="1">
        <v>44441</v>
      </c>
      <c r="BB2504" s="1">
        <v>49920</v>
      </c>
      <c r="BC2504" t="s">
        <v>51</v>
      </c>
      <c r="BE2504" t="s">
        <v>54</v>
      </c>
      <c r="BF2504">
        <v>40</v>
      </c>
      <c r="BG2504">
        <v>0</v>
      </c>
      <c r="BH2504" t="s">
        <v>145</v>
      </c>
      <c r="CC2504" t="s">
        <v>244</v>
      </c>
      <c r="CD2504">
        <v>100000</v>
      </c>
      <c r="CE2504" s="1">
        <v>44441</v>
      </c>
      <c r="CF2504" s="1">
        <v>44441</v>
      </c>
      <c r="CG2504" s="1">
        <v>44441</v>
      </c>
      <c r="CH2504" s="1">
        <v>52892</v>
      </c>
      <c r="CI2504" t="s">
        <v>51</v>
      </c>
      <c r="CK2504" t="s">
        <v>78</v>
      </c>
      <c r="CM2504" t="s">
        <v>54</v>
      </c>
      <c r="CN2504" t="s">
        <v>174</v>
      </c>
      <c r="CR2504">
        <v>0</v>
      </c>
      <c r="CS2504">
        <v>2150</v>
      </c>
      <c r="CT2504">
        <v>0</v>
      </c>
      <c r="CU2504">
        <v>16</v>
      </c>
      <c r="CX2504" t="s">
        <v>360</v>
      </c>
      <c r="CY2504">
        <v>40</v>
      </c>
      <c r="CZ2504" s="1">
        <v>44441</v>
      </c>
      <c r="DA2504" s="1">
        <v>44441</v>
      </c>
      <c r="DB2504" s="1">
        <v>44441</v>
      </c>
      <c r="DC2504" s="1">
        <v>59051</v>
      </c>
      <c r="DD2504" t="s">
        <v>51</v>
      </c>
      <c r="DF2504" t="s">
        <v>54</v>
      </c>
      <c r="DG2504">
        <v>0</v>
      </c>
      <c r="DH2504">
        <v>0</v>
      </c>
    </row>
    <row r="2505" spans="1:112" x14ac:dyDescent="0.2">
      <c r="A2505" t="s">
        <v>1012</v>
      </c>
      <c r="B2505" t="s">
        <v>1013</v>
      </c>
      <c r="C2505" t="s">
        <v>1019</v>
      </c>
      <c r="D2505" t="s">
        <v>1020</v>
      </c>
      <c r="F2505" t="str">
        <f>"252093"</f>
        <v>252093</v>
      </c>
      <c r="G2505" t="s">
        <v>49</v>
      </c>
      <c r="K2505" t="s">
        <v>51</v>
      </c>
      <c r="L2505" t="s">
        <v>52</v>
      </c>
      <c r="M2505">
        <v>131799.85</v>
      </c>
      <c r="N2505">
        <v>476002.67</v>
      </c>
      <c r="O2505" t="s">
        <v>53</v>
      </c>
      <c r="P2505" t="s">
        <v>54</v>
      </c>
      <c r="Q2505" t="s">
        <v>55</v>
      </c>
      <c r="T2505" t="s">
        <v>660</v>
      </c>
      <c r="U2505">
        <v>40</v>
      </c>
      <c r="V2505" s="1">
        <v>29221</v>
      </c>
      <c r="W2505" s="1">
        <v>29221</v>
      </c>
      <c r="X2505" s="1">
        <v>29221</v>
      </c>
      <c r="Y2505" s="1">
        <v>43831</v>
      </c>
      <c r="Z2505" t="s">
        <v>51</v>
      </c>
      <c r="AB2505" t="s">
        <v>54</v>
      </c>
      <c r="AC2505">
        <v>1</v>
      </c>
      <c r="AE2505" t="s">
        <v>613</v>
      </c>
      <c r="AF2505">
        <v>20</v>
      </c>
      <c r="AG2505" s="1">
        <v>29221</v>
      </c>
      <c r="AH2505" s="1">
        <v>29221</v>
      </c>
      <c r="AI2505" s="1">
        <v>29221</v>
      </c>
      <c r="AJ2505" s="1">
        <v>36526</v>
      </c>
      <c r="AK2505" t="s">
        <v>51</v>
      </c>
      <c r="AN2505">
        <v>0</v>
      </c>
      <c r="AO2505" t="s">
        <v>54</v>
      </c>
      <c r="AP2505" t="s">
        <v>53</v>
      </c>
      <c r="AQ2505">
        <v>0</v>
      </c>
      <c r="AR2505" t="s">
        <v>53</v>
      </c>
      <c r="AS2505">
        <v>0</v>
      </c>
      <c r="AT2505">
        <v>0</v>
      </c>
      <c r="AW2505" t="s">
        <v>58</v>
      </c>
      <c r="AX2505">
        <v>20</v>
      </c>
      <c r="AY2505" s="1">
        <v>29221</v>
      </c>
      <c r="AZ2505" s="1">
        <v>29221</v>
      </c>
      <c r="BA2505" s="1">
        <v>29221</v>
      </c>
      <c r="BB2505" s="1">
        <v>36526</v>
      </c>
      <c r="BC2505" t="s">
        <v>51</v>
      </c>
      <c r="BE2505" t="s">
        <v>54</v>
      </c>
      <c r="BF2505">
        <v>2</v>
      </c>
      <c r="BG2505">
        <v>0</v>
      </c>
      <c r="BH2505" t="s">
        <v>53</v>
      </c>
      <c r="BK2505" t="s">
        <v>59</v>
      </c>
      <c r="BL2505">
        <v>14000</v>
      </c>
      <c r="BM2505" s="1">
        <v>43955</v>
      </c>
      <c r="BN2505" s="1">
        <v>43955</v>
      </c>
      <c r="BO2505" s="1">
        <v>43955</v>
      </c>
      <c r="BP2505" s="1">
        <v>45176</v>
      </c>
      <c r="BQ2505" t="s">
        <v>51</v>
      </c>
      <c r="BS2505" t="s">
        <v>60</v>
      </c>
      <c r="BT2505" t="s">
        <v>54</v>
      </c>
      <c r="BU2505" t="s">
        <v>61</v>
      </c>
      <c r="BV2505" t="s">
        <v>62</v>
      </c>
      <c r="BX2505">
        <v>24</v>
      </c>
      <c r="BY2505">
        <v>0</v>
      </c>
      <c r="BZ2505">
        <v>0</v>
      </c>
    </row>
    <row r="2506" spans="1:112" x14ac:dyDescent="0.2">
      <c r="A2506" t="s">
        <v>1012</v>
      </c>
      <c r="B2506" t="s">
        <v>1013</v>
      </c>
      <c r="C2506" t="s">
        <v>1019</v>
      </c>
      <c r="D2506" t="s">
        <v>1020</v>
      </c>
      <c r="F2506" t="str">
        <f>"252098"</f>
        <v>252098</v>
      </c>
      <c r="G2506" t="s">
        <v>49</v>
      </c>
      <c r="K2506" t="s">
        <v>51</v>
      </c>
      <c r="L2506" t="s">
        <v>52</v>
      </c>
      <c r="M2506">
        <v>131831.774</v>
      </c>
      <c r="N2506">
        <v>476210.946</v>
      </c>
      <c r="O2506" t="s">
        <v>53</v>
      </c>
      <c r="P2506" t="s">
        <v>54</v>
      </c>
      <c r="Q2506" t="s">
        <v>55</v>
      </c>
      <c r="T2506" t="s">
        <v>660</v>
      </c>
      <c r="U2506">
        <v>40</v>
      </c>
      <c r="V2506" s="1">
        <v>29221</v>
      </c>
      <c r="W2506" s="1">
        <v>29221</v>
      </c>
      <c r="X2506" s="1">
        <v>29221</v>
      </c>
      <c r="Y2506" s="1">
        <v>43831</v>
      </c>
      <c r="Z2506" t="s">
        <v>51</v>
      </c>
      <c r="AB2506" t="s">
        <v>54</v>
      </c>
      <c r="AC2506">
        <v>1</v>
      </c>
      <c r="AE2506" t="s">
        <v>613</v>
      </c>
      <c r="AF2506">
        <v>20</v>
      </c>
      <c r="AG2506" s="1">
        <v>29221</v>
      </c>
      <c r="AH2506" s="1">
        <v>29221</v>
      </c>
      <c r="AI2506" s="1">
        <v>29221</v>
      </c>
      <c r="AJ2506" s="1">
        <v>36526</v>
      </c>
      <c r="AK2506" t="s">
        <v>51</v>
      </c>
      <c r="AN2506">
        <v>0</v>
      </c>
      <c r="AO2506" t="s">
        <v>54</v>
      </c>
      <c r="AP2506" t="s">
        <v>53</v>
      </c>
      <c r="AQ2506">
        <v>0</v>
      </c>
      <c r="AR2506" t="s">
        <v>53</v>
      </c>
      <c r="AS2506">
        <v>0</v>
      </c>
      <c r="AT2506">
        <v>0</v>
      </c>
      <c r="AW2506" t="s">
        <v>58</v>
      </c>
      <c r="AX2506">
        <v>20</v>
      </c>
      <c r="AY2506" s="1">
        <v>29221</v>
      </c>
      <c r="AZ2506" s="1">
        <v>29221</v>
      </c>
      <c r="BA2506" s="1">
        <v>29221</v>
      </c>
      <c r="BB2506" s="1">
        <v>36526</v>
      </c>
      <c r="BC2506" t="s">
        <v>51</v>
      </c>
      <c r="BE2506" t="s">
        <v>54</v>
      </c>
      <c r="BF2506">
        <v>2</v>
      </c>
      <c r="BG2506">
        <v>0</v>
      </c>
      <c r="BH2506" t="s">
        <v>53</v>
      </c>
      <c r="BK2506" t="s">
        <v>59</v>
      </c>
      <c r="BL2506">
        <v>14000</v>
      </c>
      <c r="BM2506" s="1">
        <v>44592</v>
      </c>
      <c r="BN2506" s="1">
        <v>44592</v>
      </c>
      <c r="BO2506" s="1">
        <v>44592</v>
      </c>
      <c r="BP2506" s="1">
        <v>45771</v>
      </c>
      <c r="BQ2506" t="s">
        <v>51</v>
      </c>
      <c r="BS2506" t="s">
        <v>60</v>
      </c>
      <c r="BT2506" t="s">
        <v>54</v>
      </c>
      <c r="BU2506" t="s">
        <v>61</v>
      </c>
      <c r="BV2506" t="s">
        <v>62</v>
      </c>
      <c r="BX2506">
        <v>24</v>
      </c>
      <c r="BY2506">
        <v>0</v>
      </c>
      <c r="BZ2506">
        <v>0</v>
      </c>
    </row>
    <row r="2507" spans="1:112" x14ac:dyDescent="0.2">
      <c r="A2507" t="s">
        <v>1012</v>
      </c>
      <c r="B2507" t="s">
        <v>1013</v>
      </c>
      <c r="C2507" t="s">
        <v>1019</v>
      </c>
      <c r="D2507" t="s">
        <v>1020</v>
      </c>
      <c r="F2507" t="str">
        <f>"252099"</f>
        <v>252099</v>
      </c>
      <c r="G2507" t="s">
        <v>49</v>
      </c>
      <c r="K2507" t="s">
        <v>51</v>
      </c>
      <c r="L2507" t="s">
        <v>52</v>
      </c>
      <c r="M2507">
        <v>131837.92199999999</v>
      </c>
      <c r="N2507">
        <v>476247.48700000002</v>
      </c>
      <c r="O2507" t="s">
        <v>53</v>
      </c>
      <c r="P2507" t="s">
        <v>54</v>
      </c>
      <c r="Q2507" t="s">
        <v>55</v>
      </c>
      <c r="T2507" t="s">
        <v>660</v>
      </c>
      <c r="U2507">
        <v>40</v>
      </c>
      <c r="V2507" s="1">
        <v>29221</v>
      </c>
      <c r="W2507" s="1">
        <v>29221</v>
      </c>
      <c r="X2507" s="1">
        <v>29221</v>
      </c>
      <c r="Y2507" s="1">
        <v>43831</v>
      </c>
      <c r="Z2507" t="s">
        <v>51</v>
      </c>
      <c r="AB2507" t="s">
        <v>54</v>
      </c>
      <c r="AC2507">
        <v>1</v>
      </c>
      <c r="AE2507" t="s">
        <v>613</v>
      </c>
      <c r="AF2507">
        <v>20</v>
      </c>
      <c r="AG2507" s="1">
        <v>29221</v>
      </c>
      <c r="AH2507" s="1">
        <v>29221</v>
      </c>
      <c r="AI2507" s="1">
        <v>29221</v>
      </c>
      <c r="AJ2507" s="1">
        <v>36526</v>
      </c>
      <c r="AK2507" t="s">
        <v>51</v>
      </c>
      <c r="AN2507">
        <v>0</v>
      </c>
      <c r="AO2507" t="s">
        <v>54</v>
      </c>
      <c r="AP2507" t="s">
        <v>53</v>
      </c>
      <c r="AQ2507">
        <v>0</v>
      </c>
      <c r="AR2507" t="s">
        <v>53</v>
      </c>
      <c r="AS2507">
        <v>0</v>
      </c>
      <c r="AT2507">
        <v>0</v>
      </c>
      <c r="AW2507" t="s">
        <v>58</v>
      </c>
      <c r="AX2507">
        <v>20</v>
      </c>
      <c r="AY2507" s="1">
        <v>29221</v>
      </c>
      <c r="AZ2507" s="1">
        <v>29221</v>
      </c>
      <c r="BA2507" s="1">
        <v>29221</v>
      </c>
      <c r="BB2507" s="1">
        <v>36526</v>
      </c>
      <c r="BC2507" t="s">
        <v>51</v>
      </c>
      <c r="BE2507" t="s">
        <v>54</v>
      </c>
      <c r="BF2507">
        <v>2</v>
      </c>
      <c r="BG2507">
        <v>0</v>
      </c>
      <c r="BH2507" t="s">
        <v>53</v>
      </c>
      <c r="BK2507" t="s">
        <v>59</v>
      </c>
      <c r="BL2507">
        <v>14000</v>
      </c>
      <c r="BM2507" s="1">
        <v>44578</v>
      </c>
      <c r="BN2507" s="1">
        <v>44578</v>
      </c>
      <c r="BO2507" s="1">
        <v>44578</v>
      </c>
      <c r="BP2507" s="1">
        <v>45749</v>
      </c>
      <c r="BQ2507" t="s">
        <v>51</v>
      </c>
      <c r="BS2507" t="s">
        <v>60</v>
      </c>
      <c r="BT2507" t="s">
        <v>54</v>
      </c>
      <c r="BU2507" t="s">
        <v>61</v>
      </c>
      <c r="BV2507" t="s">
        <v>62</v>
      </c>
      <c r="BX2507">
        <v>24</v>
      </c>
      <c r="BY2507">
        <v>0</v>
      </c>
      <c r="BZ2507">
        <v>0</v>
      </c>
    </row>
    <row r="2508" spans="1:112" x14ac:dyDescent="0.2">
      <c r="A2508" t="s">
        <v>1012</v>
      </c>
      <c r="B2508" t="s">
        <v>1013</v>
      </c>
      <c r="C2508" t="s">
        <v>1019</v>
      </c>
      <c r="D2508" t="s">
        <v>1020</v>
      </c>
      <c r="F2508" t="str">
        <f>"252100"</f>
        <v>252100</v>
      </c>
      <c r="G2508" t="s">
        <v>49</v>
      </c>
      <c r="K2508" t="s">
        <v>51</v>
      </c>
      <c r="L2508" t="s">
        <v>52</v>
      </c>
      <c r="M2508">
        <v>131843.25099999999</v>
      </c>
      <c r="N2508">
        <v>476286.96799999999</v>
      </c>
      <c r="O2508" t="s">
        <v>53</v>
      </c>
      <c r="P2508" t="s">
        <v>54</v>
      </c>
      <c r="Q2508" t="s">
        <v>55</v>
      </c>
      <c r="T2508" t="s">
        <v>660</v>
      </c>
      <c r="U2508">
        <v>40</v>
      </c>
      <c r="V2508" s="1">
        <v>29221</v>
      </c>
      <c r="W2508" s="1">
        <v>29221</v>
      </c>
      <c r="X2508" s="1">
        <v>29221</v>
      </c>
      <c r="Y2508" s="1">
        <v>43831</v>
      </c>
      <c r="Z2508" t="s">
        <v>51</v>
      </c>
      <c r="AB2508" t="s">
        <v>54</v>
      </c>
      <c r="AC2508">
        <v>1</v>
      </c>
      <c r="AE2508" t="s">
        <v>613</v>
      </c>
      <c r="AF2508">
        <v>20</v>
      </c>
      <c r="AG2508" s="1">
        <v>29221</v>
      </c>
      <c r="AH2508" s="1">
        <v>29221</v>
      </c>
      <c r="AI2508" s="1">
        <v>29221</v>
      </c>
      <c r="AJ2508" s="1">
        <v>36526</v>
      </c>
      <c r="AK2508" t="s">
        <v>51</v>
      </c>
      <c r="AN2508">
        <v>0</v>
      </c>
      <c r="AO2508" t="s">
        <v>54</v>
      </c>
      <c r="AP2508" t="s">
        <v>53</v>
      </c>
      <c r="AQ2508">
        <v>0</v>
      </c>
      <c r="AR2508" t="s">
        <v>53</v>
      </c>
      <c r="AS2508">
        <v>0</v>
      </c>
      <c r="AT2508">
        <v>0</v>
      </c>
      <c r="AW2508" t="s">
        <v>58</v>
      </c>
      <c r="AX2508">
        <v>20</v>
      </c>
      <c r="AY2508" s="1">
        <v>29221</v>
      </c>
      <c r="AZ2508" s="1">
        <v>29221</v>
      </c>
      <c r="BA2508" s="1">
        <v>29221</v>
      </c>
      <c r="BB2508" s="1">
        <v>36526</v>
      </c>
      <c r="BC2508" t="s">
        <v>51</v>
      </c>
      <c r="BE2508" t="s">
        <v>54</v>
      </c>
      <c r="BF2508">
        <v>2</v>
      </c>
      <c r="BG2508">
        <v>0</v>
      </c>
      <c r="BH2508" t="s">
        <v>53</v>
      </c>
      <c r="BK2508" t="s">
        <v>59</v>
      </c>
      <c r="BL2508">
        <v>14000</v>
      </c>
      <c r="BM2508" s="1">
        <v>43416</v>
      </c>
      <c r="BN2508" s="1">
        <v>43416</v>
      </c>
      <c r="BO2508" s="1">
        <v>43416</v>
      </c>
      <c r="BP2508" s="1">
        <v>44575</v>
      </c>
      <c r="BQ2508" t="s">
        <v>51</v>
      </c>
      <c r="BS2508" t="s">
        <v>60</v>
      </c>
      <c r="BT2508" t="s">
        <v>54</v>
      </c>
      <c r="BU2508" t="s">
        <v>61</v>
      </c>
      <c r="BV2508" t="s">
        <v>62</v>
      </c>
      <c r="BX2508">
        <v>24</v>
      </c>
      <c r="BY2508">
        <v>0</v>
      </c>
      <c r="BZ2508">
        <v>0</v>
      </c>
    </row>
    <row r="2509" spans="1:112" x14ac:dyDescent="0.2">
      <c r="A2509" t="s">
        <v>1012</v>
      </c>
      <c r="B2509" t="s">
        <v>1013</v>
      </c>
      <c r="C2509" t="s">
        <v>1019</v>
      </c>
      <c r="D2509" t="s">
        <v>1020</v>
      </c>
      <c r="F2509" t="str">
        <f>"252101"</f>
        <v>252101</v>
      </c>
      <c r="G2509" t="s">
        <v>49</v>
      </c>
      <c r="K2509" t="s">
        <v>51</v>
      </c>
      <c r="L2509" t="s">
        <v>52</v>
      </c>
      <c r="M2509">
        <v>131850.003</v>
      </c>
      <c r="N2509">
        <v>476327.77299999999</v>
      </c>
      <c r="O2509" t="s">
        <v>53</v>
      </c>
      <c r="P2509" t="s">
        <v>54</v>
      </c>
      <c r="Q2509" t="s">
        <v>55</v>
      </c>
      <c r="T2509" t="s">
        <v>660</v>
      </c>
      <c r="U2509">
        <v>40</v>
      </c>
      <c r="V2509" s="1">
        <v>29221</v>
      </c>
      <c r="W2509" s="1">
        <v>29221</v>
      </c>
      <c r="X2509" s="1">
        <v>29221</v>
      </c>
      <c r="Y2509" s="1">
        <v>43831</v>
      </c>
      <c r="Z2509" t="s">
        <v>51</v>
      </c>
      <c r="AB2509" t="s">
        <v>54</v>
      </c>
      <c r="AC2509">
        <v>1</v>
      </c>
      <c r="AE2509" t="s">
        <v>613</v>
      </c>
      <c r="AF2509">
        <v>20</v>
      </c>
      <c r="AG2509" s="1">
        <v>29221</v>
      </c>
      <c r="AH2509" s="1">
        <v>29221</v>
      </c>
      <c r="AI2509" s="1">
        <v>29221</v>
      </c>
      <c r="AJ2509" s="1">
        <v>36526</v>
      </c>
      <c r="AK2509" t="s">
        <v>51</v>
      </c>
      <c r="AN2509">
        <v>0</v>
      </c>
      <c r="AO2509" t="s">
        <v>54</v>
      </c>
      <c r="AP2509" t="s">
        <v>53</v>
      </c>
      <c r="AQ2509">
        <v>0</v>
      </c>
      <c r="AR2509" t="s">
        <v>53</v>
      </c>
      <c r="AS2509">
        <v>0</v>
      </c>
      <c r="AT2509">
        <v>0</v>
      </c>
      <c r="AW2509" t="s">
        <v>58</v>
      </c>
      <c r="AX2509">
        <v>20</v>
      </c>
      <c r="AY2509" s="1">
        <v>29221</v>
      </c>
      <c r="AZ2509" s="1">
        <v>29221</v>
      </c>
      <c r="BA2509" s="1">
        <v>29221</v>
      </c>
      <c r="BB2509" s="1">
        <v>36526</v>
      </c>
      <c r="BC2509" t="s">
        <v>51</v>
      </c>
      <c r="BE2509" t="s">
        <v>54</v>
      </c>
      <c r="BF2509">
        <v>2</v>
      </c>
      <c r="BG2509">
        <v>0</v>
      </c>
      <c r="BH2509" t="s">
        <v>53</v>
      </c>
      <c r="BK2509" t="s">
        <v>59</v>
      </c>
      <c r="BL2509">
        <v>14000</v>
      </c>
      <c r="BM2509" s="1">
        <v>45145</v>
      </c>
      <c r="BN2509" s="1">
        <v>45145</v>
      </c>
      <c r="BO2509" s="1">
        <v>45145</v>
      </c>
      <c r="BP2509" s="1">
        <v>46327</v>
      </c>
      <c r="BQ2509" t="s">
        <v>51</v>
      </c>
      <c r="BS2509" t="s">
        <v>60</v>
      </c>
      <c r="BT2509" t="s">
        <v>54</v>
      </c>
      <c r="BU2509" t="s">
        <v>61</v>
      </c>
      <c r="BV2509" t="s">
        <v>62</v>
      </c>
      <c r="BX2509">
        <v>24</v>
      </c>
      <c r="BY2509">
        <v>0</v>
      </c>
      <c r="BZ2509">
        <v>0</v>
      </c>
    </row>
    <row r="2510" spans="1:112" x14ac:dyDescent="0.2">
      <c r="A2510" t="s">
        <v>1012</v>
      </c>
      <c r="B2510" t="s">
        <v>1013</v>
      </c>
      <c r="C2510" t="s">
        <v>1019</v>
      </c>
      <c r="D2510" t="s">
        <v>1020</v>
      </c>
      <c r="F2510" t="str">
        <f>"252102"</f>
        <v>252102</v>
      </c>
      <c r="G2510" t="s">
        <v>49</v>
      </c>
      <c r="K2510" t="s">
        <v>51</v>
      </c>
      <c r="L2510" t="s">
        <v>52</v>
      </c>
      <c r="M2510">
        <v>131856.03700000001</v>
      </c>
      <c r="N2510">
        <v>476366.76199999999</v>
      </c>
      <c r="O2510" t="s">
        <v>53</v>
      </c>
      <c r="P2510" t="s">
        <v>54</v>
      </c>
      <c r="Q2510" t="s">
        <v>55</v>
      </c>
      <c r="T2510" t="s">
        <v>660</v>
      </c>
      <c r="U2510">
        <v>40</v>
      </c>
      <c r="V2510" s="1">
        <v>38534</v>
      </c>
      <c r="W2510" s="1">
        <v>38534</v>
      </c>
      <c r="X2510" s="1">
        <v>38534</v>
      </c>
      <c r="Y2510" s="1">
        <v>53144</v>
      </c>
      <c r="Z2510" t="s">
        <v>51</v>
      </c>
      <c r="AB2510" t="s">
        <v>54</v>
      </c>
      <c r="AC2510">
        <v>1</v>
      </c>
      <c r="AE2510" t="s">
        <v>613</v>
      </c>
      <c r="AF2510">
        <v>20</v>
      </c>
      <c r="AG2510" s="1">
        <v>38534</v>
      </c>
      <c r="AH2510" s="1">
        <v>38534</v>
      </c>
      <c r="AI2510" s="1">
        <v>38534</v>
      </c>
      <c r="AJ2510" s="1">
        <v>45839</v>
      </c>
      <c r="AK2510" t="s">
        <v>51</v>
      </c>
      <c r="AN2510">
        <v>0</v>
      </c>
      <c r="AO2510" t="s">
        <v>54</v>
      </c>
      <c r="AP2510" t="s">
        <v>53</v>
      </c>
      <c r="AQ2510">
        <v>0</v>
      </c>
      <c r="AR2510" t="s">
        <v>53</v>
      </c>
      <c r="AS2510">
        <v>0</v>
      </c>
      <c r="AT2510">
        <v>0</v>
      </c>
      <c r="AW2510" t="s">
        <v>58</v>
      </c>
      <c r="AX2510">
        <v>20</v>
      </c>
      <c r="AY2510" s="1">
        <v>38534</v>
      </c>
      <c r="AZ2510" s="1">
        <v>38534</v>
      </c>
      <c r="BA2510" s="1">
        <v>38534</v>
      </c>
      <c r="BB2510" s="1">
        <v>45839</v>
      </c>
      <c r="BC2510" t="s">
        <v>51</v>
      </c>
      <c r="BE2510" t="s">
        <v>54</v>
      </c>
      <c r="BF2510">
        <v>2</v>
      </c>
      <c r="BG2510">
        <v>0</v>
      </c>
      <c r="BH2510" t="s">
        <v>53</v>
      </c>
      <c r="BK2510" t="s">
        <v>59</v>
      </c>
      <c r="BL2510">
        <v>14000</v>
      </c>
      <c r="BM2510" s="1">
        <v>44551</v>
      </c>
      <c r="BN2510" s="1">
        <v>44551</v>
      </c>
      <c r="BO2510" s="1">
        <v>44551</v>
      </c>
      <c r="BP2510" s="1">
        <v>45712</v>
      </c>
      <c r="BQ2510" t="s">
        <v>51</v>
      </c>
      <c r="BS2510" t="s">
        <v>60</v>
      </c>
      <c r="BT2510" t="s">
        <v>54</v>
      </c>
      <c r="BU2510" t="s">
        <v>61</v>
      </c>
      <c r="BV2510" t="s">
        <v>62</v>
      </c>
      <c r="BX2510">
        <v>24</v>
      </c>
      <c r="BY2510">
        <v>0</v>
      </c>
      <c r="BZ2510">
        <v>0</v>
      </c>
    </row>
    <row r="2511" spans="1:112" x14ac:dyDescent="0.2">
      <c r="A2511" t="s">
        <v>1012</v>
      </c>
      <c r="B2511" t="s">
        <v>1013</v>
      </c>
      <c r="C2511" t="s">
        <v>1019</v>
      </c>
      <c r="D2511" t="s">
        <v>1020</v>
      </c>
      <c r="F2511" t="str">
        <f>"252103"</f>
        <v>252103</v>
      </c>
      <c r="G2511" t="s">
        <v>49</v>
      </c>
      <c r="K2511" t="s">
        <v>51</v>
      </c>
      <c r="L2511" t="s">
        <v>52</v>
      </c>
      <c r="M2511">
        <v>131863.90599999999</v>
      </c>
      <c r="N2511">
        <v>476407.57799999998</v>
      </c>
      <c r="O2511" t="s">
        <v>53</v>
      </c>
      <c r="P2511" t="s">
        <v>54</v>
      </c>
      <c r="Q2511" t="s">
        <v>55</v>
      </c>
      <c r="T2511" t="s">
        <v>660</v>
      </c>
      <c r="U2511">
        <v>40</v>
      </c>
      <c r="V2511" s="1">
        <v>38534</v>
      </c>
      <c r="W2511" s="1">
        <v>38534</v>
      </c>
      <c r="X2511" s="1">
        <v>38534</v>
      </c>
      <c r="Y2511" s="1">
        <v>53144</v>
      </c>
      <c r="Z2511" t="s">
        <v>51</v>
      </c>
      <c r="AB2511" t="s">
        <v>54</v>
      </c>
      <c r="AC2511">
        <v>1</v>
      </c>
      <c r="AE2511" t="s">
        <v>613</v>
      </c>
      <c r="AF2511">
        <v>20</v>
      </c>
      <c r="AG2511" s="1">
        <v>38534</v>
      </c>
      <c r="AH2511" s="1">
        <v>38534</v>
      </c>
      <c r="AI2511" s="1">
        <v>38534</v>
      </c>
      <c r="AJ2511" s="1">
        <v>45839</v>
      </c>
      <c r="AK2511" t="s">
        <v>51</v>
      </c>
      <c r="AN2511">
        <v>0</v>
      </c>
      <c r="AO2511" t="s">
        <v>54</v>
      </c>
      <c r="AP2511" t="s">
        <v>53</v>
      </c>
      <c r="AQ2511">
        <v>0</v>
      </c>
      <c r="AR2511" t="s">
        <v>53</v>
      </c>
      <c r="AS2511">
        <v>0</v>
      </c>
      <c r="AT2511">
        <v>0</v>
      </c>
      <c r="AW2511" t="s">
        <v>58</v>
      </c>
      <c r="AX2511">
        <v>20</v>
      </c>
      <c r="AY2511" s="1">
        <v>44487</v>
      </c>
      <c r="AZ2511" s="1">
        <v>44487</v>
      </c>
      <c r="BA2511" s="1">
        <v>44487</v>
      </c>
      <c r="BB2511" s="1">
        <v>51792</v>
      </c>
      <c r="BC2511" t="s">
        <v>51</v>
      </c>
      <c r="BE2511" t="s">
        <v>54</v>
      </c>
      <c r="BF2511">
        <v>2</v>
      </c>
      <c r="BG2511">
        <v>0</v>
      </c>
      <c r="BH2511" t="s">
        <v>53</v>
      </c>
      <c r="BK2511" t="s">
        <v>59</v>
      </c>
      <c r="BL2511">
        <v>14000</v>
      </c>
      <c r="BM2511" s="1">
        <v>44487</v>
      </c>
      <c r="BN2511" s="1">
        <v>44487</v>
      </c>
      <c r="BO2511" s="1">
        <v>44487</v>
      </c>
      <c r="BP2511" s="1">
        <v>45648</v>
      </c>
      <c r="BQ2511" t="s">
        <v>51</v>
      </c>
      <c r="BS2511" t="s">
        <v>60</v>
      </c>
      <c r="BT2511" t="s">
        <v>54</v>
      </c>
      <c r="BU2511" t="s">
        <v>61</v>
      </c>
      <c r="BV2511" t="s">
        <v>62</v>
      </c>
      <c r="BX2511">
        <v>24</v>
      </c>
      <c r="BY2511">
        <v>0</v>
      </c>
      <c r="BZ2511">
        <v>0</v>
      </c>
    </row>
    <row r="2512" spans="1:112" x14ac:dyDescent="0.2">
      <c r="A2512" t="s">
        <v>1012</v>
      </c>
      <c r="B2512" t="s">
        <v>1013</v>
      </c>
      <c r="C2512" t="s">
        <v>1019</v>
      </c>
      <c r="D2512" t="s">
        <v>1020</v>
      </c>
      <c r="F2512" t="str">
        <f>"252104"</f>
        <v>252104</v>
      </c>
      <c r="G2512" t="s">
        <v>49</v>
      </c>
      <c r="K2512" t="s">
        <v>51</v>
      </c>
      <c r="L2512" t="s">
        <v>52</v>
      </c>
      <c r="M2512">
        <v>131874.489</v>
      </c>
      <c r="N2512">
        <v>476458.033</v>
      </c>
      <c r="O2512" t="s">
        <v>53</v>
      </c>
      <c r="P2512" t="s">
        <v>54</v>
      </c>
      <c r="Q2512" t="s">
        <v>55</v>
      </c>
      <c r="T2512" t="s">
        <v>660</v>
      </c>
      <c r="U2512">
        <v>40</v>
      </c>
      <c r="V2512" s="1">
        <v>29221</v>
      </c>
      <c r="W2512" s="1">
        <v>29221</v>
      </c>
      <c r="X2512" s="1">
        <v>29221</v>
      </c>
      <c r="Y2512" s="1">
        <v>43831</v>
      </c>
      <c r="Z2512" t="s">
        <v>51</v>
      </c>
      <c r="AB2512" t="s">
        <v>54</v>
      </c>
      <c r="AC2512">
        <v>1</v>
      </c>
      <c r="AE2512" t="s">
        <v>613</v>
      </c>
      <c r="AF2512">
        <v>20</v>
      </c>
      <c r="AG2512" s="1">
        <v>29221</v>
      </c>
      <c r="AH2512" s="1">
        <v>29221</v>
      </c>
      <c r="AI2512" s="1">
        <v>29221</v>
      </c>
      <c r="AJ2512" s="1">
        <v>36526</v>
      </c>
      <c r="AK2512" t="s">
        <v>51</v>
      </c>
      <c r="AN2512">
        <v>0</v>
      </c>
      <c r="AO2512" t="s">
        <v>54</v>
      </c>
      <c r="AP2512" t="s">
        <v>53</v>
      </c>
      <c r="AQ2512">
        <v>0</v>
      </c>
      <c r="AR2512" t="s">
        <v>53</v>
      </c>
      <c r="AS2512">
        <v>0</v>
      </c>
      <c r="AT2512">
        <v>0</v>
      </c>
      <c r="AW2512" t="s">
        <v>58</v>
      </c>
      <c r="AX2512">
        <v>20</v>
      </c>
      <c r="AY2512" s="1">
        <v>29221</v>
      </c>
      <c r="AZ2512" s="1">
        <v>29221</v>
      </c>
      <c r="BA2512" s="1">
        <v>29221</v>
      </c>
      <c r="BB2512" s="1">
        <v>36526</v>
      </c>
      <c r="BC2512" t="s">
        <v>51</v>
      </c>
      <c r="BE2512" t="s">
        <v>54</v>
      </c>
      <c r="BF2512">
        <v>2</v>
      </c>
      <c r="BG2512">
        <v>0</v>
      </c>
      <c r="BH2512" t="s">
        <v>53</v>
      </c>
      <c r="BK2512" t="s">
        <v>59</v>
      </c>
      <c r="BL2512">
        <v>14000</v>
      </c>
      <c r="BM2512" s="1">
        <v>43808</v>
      </c>
      <c r="BN2512" s="1">
        <v>43808</v>
      </c>
      <c r="BO2512" s="1">
        <v>43808</v>
      </c>
      <c r="BP2512" s="1">
        <v>44967</v>
      </c>
      <c r="BQ2512" t="s">
        <v>51</v>
      </c>
      <c r="BS2512" t="s">
        <v>60</v>
      </c>
      <c r="BT2512" t="s">
        <v>54</v>
      </c>
      <c r="BU2512" t="s">
        <v>61</v>
      </c>
      <c r="BV2512" t="s">
        <v>62</v>
      </c>
      <c r="BX2512">
        <v>24</v>
      </c>
      <c r="BY2512">
        <v>0</v>
      </c>
      <c r="BZ2512">
        <v>0</v>
      </c>
    </row>
    <row r="2513" spans="1:99" x14ac:dyDescent="0.2">
      <c r="A2513" t="s">
        <v>1012</v>
      </c>
      <c r="B2513" t="s">
        <v>1013</v>
      </c>
      <c r="C2513" t="s">
        <v>1019</v>
      </c>
      <c r="D2513" t="s">
        <v>1020</v>
      </c>
      <c r="F2513" t="str">
        <f>"252105"</f>
        <v>252105</v>
      </c>
      <c r="G2513" t="s">
        <v>49</v>
      </c>
      <c r="K2513" t="s">
        <v>51</v>
      </c>
      <c r="L2513" t="s">
        <v>52</v>
      </c>
      <c r="M2513">
        <v>131873.717</v>
      </c>
      <c r="N2513">
        <v>476489.51299999998</v>
      </c>
      <c r="O2513" t="s">
        <v>53</v>
      </c>
      <c r="P2513" t="s">
        <v>54</v>
      </c>
      <c r="Q2513" t="s">
        <v>55</v>
      </c>
      <c r="T2513" t="s">
        <v>660</v>
      </c>
      <c r="U2513">
        <v>40</v>
      </c>
      <c r="V2513" s="1">
        <v>29221</v>
      </c>
      <c r="W2513" s="1">
        <v>29221</v>
      </c>
      <c r="X2513" s="1">
        <v>29221</v>
      </c>
      <c r="Y2513" s="1">
        <v>43831</v>
      </c>
      <c r="Z2513" t="s">
        <v>51</v>
      </c>
      <c r="AB2513" t="s">
        <v>54</v>
      </c>
      <c r="AC2513">
        <v>1</v>
      </c>
      <c r="AE2513" t="s">
        <v>613</v>
      </c>
      <c r="AF2513">
        <v>20</v>
      </c>
      <c r="AG2513" s="1">
        <v>29221</v>
      </c>
      <c r="AH2513" s="1">
        <v>29221</v>
      </c>
      <c r="AI2513" s="1">
        <v>29221</v>
      </c>
      <c r="AJ2513" s="1">
        <v>36526</v>
      </c>
      <c r="AK2513" t="s">
        <v>51</v>
      </c>
      <c r="AN2513">
        <v>0</v>
      </c>
      <c r="AO2513" t="s">
        <v>54</v>
      </c>
      <c r="AP2513" t="s">
        <v>53</v>
      </c>
      <c r="AQ2513">
        <v>0</v>
      </c>
      <c r="AR2513" t="s">
        <v>53</v>
      </c>
      <c r="AS2513">
        <v>0</v>
      </c>
      <c r="AT2513">
        <v>0</v>
      </c>
      <c r="AW2513" t="s">
        <v>58</v>
      </c>
      <c r="AX2513">
        <v>20</v>
      </c>
      <c r="AY2513" s="1">
        <v>29221</v>
      </c>
      <c r="AZ2513" s="1">
        <v>29221</v>
      </c>
      <c r="BA2513" s="1">
        <v>29221</v>
      </c>
      <c r="BB2513" s="1">
        <v>36526</v>
      </c>
      <c r="BC2513" t="s">
        <v>51</v>
      </c>
      <c r="BE2513" t="s">
        <v>54</v>
      </c>
      <c r="BF2513">
        <v>2</v>
      </c>
      <c r="BG2513">
        <v>0</v>
      </c>
      <c r="BH2513" t="s">
        <v>53</v>
      </c>
      <c r="BK2513" t="s">
        <v>59</v>
      </c>
      <c r="BL2513">
        <v>14000</v>
      </c>
      <c r="BM2513" s="1">
        <v>44200</v>
      </c>
      <c r="BN2513" s="1">
        <v>44200</v>
      </c>
      <c r="BO2513" s="1">
        <v>44200</v>
      </c>
      <c r="BP2513" s="1">
        <v>45365</v>
      </c>
      <c r="BQ2513" t="s">
        <v>51</v>
      </c>
      <c r="BS2513" t="s">
        <v>60</v>
      </c>
      <c r="BT2513" t="s">
        <v>54</v>
      </c>
      <c r="BU2513" t="s">
        <v>61</v>
      </c>
      <c r="BV2513" t="s">
        <v>62</v>
      </c>
      <c r="BX2513">
        <v>24</v>
      </c>
      <c r="BY2513">
        <v>0</v>
      </c>
      <c r="BZ2513">
        <v>0</v>
      </c>
    </row>
    <row r="2514" spans="1:99" x14ac:dyDescent="0.2">
      <c r="A2514" t="s">
        <v>1012</v>
      </c>
      <c r="B2514" t="s">
        <v>1013</v>
      </c>
      <c r="C2514" t="s">
        <v>1019</v>
      </c>
      <c r="D2514" t="s">
        <v>1020</v>
      </c>
      <c r="F2514" t="str">
        <f>"252106"</f>
        <v>252106</v>
      </c>
      <c r="G2514" t="s">
        <v>49</v>
      </c>
      <c r="K2514" t="s">
        <v>51</v>
      </c>
      <c r="L2514" t="s">
        <v>52</v>
      </c>
      <c r="M2514">
        <v>131887.68400000001</v>
      </c>
      <c r="N2514">
        <v>476517.28600000002</v>
      </c>
      <c r="O2514" t="s">
        <v>53</v>
      </c>
      <c r="P2514" t="s">
        <v>54</v>
      </c>
      <c r="Q2514" t="s">
        <v>55</v>
      </c>
      <c r="T2514" t="s">
        <v>660</v>
      </c>
      <c r="U2514">
        <v>40</v>
      </c>
      <c r="V2514" s="1">
        <v>29221</v>
      </c>
      <c r="W2514" s="1">
        <v>29221</v>
      </c>
      <c r="X2514" s="1">
        <v>29221</v>
      </c>
      <c r="Y2514" s="1">
        <v>43831</v>
      </c>
      <c r="Z2514" t="s">
        <v>51</v>
      </c>
      <c r="AB2514" t="s">
        <v>54</v>
      </c>
      <c r="AC2514">
        <v>1</v>
      </c>
      <c r="AE2514" t="s">
        <v>613</v>
      </c>
      <c r="AF2514">
        <v>20</v>
      </c>
      <c r="AG2514" s="1">
        <v>29221</v>
      </c>
      <c r="AH2514" s="1">
        <v>29221</v>
      </c>
      <c r="AI2514" s="1">
        <v>29221</v>
      </c>
      <c r="AJ2514" s="1">
        <v>36526</v>
      </c>
      <c r="AK2514" t="s">
        <v>51</v>
      </c>
      <c r="AN2514">
        <v>0</v>
      </c>
      <c r="AO2514" t="s">
        <v>54</v>
      </c>
      <c r="AP2514" t="s">
        <v>53</v>
      </c>
      <c r="AQ2514">
        <v>0</v>
      </c>
      <c r="AR2514" t="s">
        <v>53</v>
      </c>
      <c r="AS2514">
        <v>0</v>
      </c>
      <c r="AT2514">
        <v>0</v>
      </c>
      <c r="AW2514" t="s">
        <v>58</v>
      </c>
      <c r="AX2514">
        <v>20</v>
      </c>
      <c r="AY2514" s="1">
        <v>29221</v>
      </c>
      <c r="AZ2514" s="1">
        <v>29221</v>
      </c>
      <c r="BA2514" s="1">
        <v>29221</v>
      </c>
      <c r="BB2514" s="1">
        <v>36526</v>
      </c>
      <c r="BC2514" t="s">
        <v>51</v>
      </c>
      <c r="BE2514" t="s">
        <v>54</v>
      </c>
      <c r="BF2514">
        <v>2</v>
      </c>
      <c r="BG2514">
        <v>0</v>
      </c>
      <c r="BH2514" t="s">
        <v>53</v>
      </c>
      <c r="BK2514" t="s">
        <v>59</v>
      </c>
      <c r="BL2514">
        <v>14000</v>
      </c>
      <c r="BM2514" s="1">
        <v>43479</v>
      </c>
      <c r="BN2514" s="1">
        <v>43479</v>
      </c>
      <c r="BO2514" s="1">
        <v>43479</v>
      </c>
      <c r="BP2514" s="1">
        <v>44648</v>
      </c>
      <c r="BQ2514" t="s">
        <v>51</v>
      </c>
      <c r="BS2514" t="s">
        <v>60</v>
      </c>
      <c r="BT2514" t="s">
        <v>54</v>
      </c>
      <c r="BU2514" t="s">
        <v>61</v>
      </c>
      <c r="BV2514" t="s">
        <v>62</v>
      </c>
      <c r="BX2514">
        <v>24</v>
      </c>
      <c r="BY2514">
        <v>0</v>
      </c>
      <c r="BZ2514">
        <v>0</v>
      </c>
    </row>
    <row r="2515" spans="1:99" x14ac:dyDescent="0.2">
      <c r="A2515" t="s">
        <v>1012</v>
      </c>
      <c r="B2515" t="s">
        <v>1013</v>
      </c>
      <c r="C2515" t="s">
        <v>1019</v>
      </c>
      <c r="D2515" t="s">
        <v>1020</v>
      </c>
      <c r="F2515" t="str">
        <f>"252107"</f>
        <v>252107</v>
      </c>
      <c r="G2515" t="s">
        <v>49</v>
      </c>
      <c r="K2515" t="s">
        <v>51</v>
      </c>
      <c r="L2515" t="s">
        <v>52</v>
      </c>
      <c r="M2515">
        <v>131890.56</v>
      </c>
      <c r="N2515">
        <v>476545.01</v>
      </c>
      <c r="O2515" t="s">
        <v>53</v>
      </c>
      <c r="P2515" t="s">
        <v>54</v>
      </c>
      <c r="Q2515" t="s">
        <v>55</v>
      </c>
      <c r="T2515" t="s">
        <v>241</v>
      </c>
      <c r="U2515">
        <v>40</v>
      </c>
      <c r="V2515" s="1">
        <v>31048</v>
      </c>
      <c r="W2515" s="1">
        <v>31048</v>
      </c>
      <c r="X2515" s="1">
        <v>31048</v>
      </c>
      <c r="Y2515" s="1">
        <v>45658</v>
      </c>
      <c r="Z2515" t="s">
        <v>51</v>
      </c>
      <c r="AB2515" t="s">
        <v>54</v>
      </c>
      <c r="AC2515">
        <v>1</v>
      </c>
      <c r="AE2515" t="s">
        <v>222</v>
      </c>
      <c r="AF2515">
        <v>20</v>
      </c>
      <c r="AG2515" s="1">
        <v>31048</v>
      </c>
      <c r="AH2515" s="1">
        <v>31048</v>
      </c>
      <c r="AI2515" s="1">
        <v>31048</v>
      </c>
      <c r="AJ2515" s="1">
        <v>38353</v>
      </c>
      <c r="AK2515" t="s">
        <v>51</v>
      </c>
      <c r="AN2515">
        <v>0</v>
      </c>
      <c r="AO2515" t="s">
        <v>54</v>
      </c>
      <c r="AP2515" t="s">
        <v>53</v>
      </c>
      <c r="AQ2515">
        <v>0</v>
      </c>
      <c r="AR2515" t="s">
        <v>53</v>
      </c>
      <c r="AS2515">
        <v>0</v>
      </c>
      <c r="AT2515">
        <v>0</v>
      </c>
      <c r="AW2515" t="s">
        <v>58</v>
      </c>
      <c r="AX2515">
        <v>20</v>
      </c>
      <c r="AY2515" s="1">
        <v>31048</v>
      </c>
      <c r="AZ2515" s="1">
        <v>31048</v>
      </c>
      <c r="BA2515" s="1">
        <v>31048</v>
      </c>
      <c r="BB2515" s="1">
        <v>38353</v>
      </c>
      <c r="BC2515" t="s">
        <v>51</v>
      </c>
      <c r="BE2515" t="s">
        <v>54</v>
      </c>
      <c r="BF2515">
        <v>2</v>
      </c>
      <c r="BG2515">
        <v>0</v>
      </c>
      <c r="BH2515" t="s">
        <v>53</v>
      </c>
      <c r="BK2515" t="s">
        <v>720</v>
      </c>
      <c r="BL2515">
        <v>17000</v>
      </c>
      <c r="BM2515" s="1">
        <v>44599</v>
      </c>
      <c r="BN2515" s="1">
        <v>44599</v>
      </c>
      <c r="BO2515" s="1">
        <v>44599</v>
      </c>
      <c r="BP2515" s="1">
        <v>46041</v>
      </c>
      <c r="BQ2515" t="s">
        <v>51</v>
      </c>
      <c r="BS2515" t="s">
        <v>60</v>
      </c>
      <c r="BT2515" t="s">
        <v>54</v>
      </c>
      <c r="BU2515" t="s">
        <v>721</v>
      </c>
      <c r="BV2515" t="s">
        <v>722</v>
      </c>
      <c r="BX2515">
        <v>18</v>
      </c>
      <c r="BY2515">
        <v>0</v>
      </c>
      <c r="BZ2515">
        <v>0</v>
      </c>
    </row>
    <row r="2516" spans="1:99" x14ac:dyDescent="0.2">
      <c r="A2516" t="s">
        <v>1012</v>
      </c>
      <c r="B2516" t="s">
        <v>1013</v>
      </c>
      <c r="C2516" t="s">
        <v>1019</v>
      </c>
      <c r="D2516" t="s">
        <v>1020</v>
      </c>
      <c r="F2516" t="str">
        <f>"252108"</f>
        <v>252108</v>
      </c>
      <c r="G2516" t="s">
        <v>49</v>
      </c>
      <c r="K2516" t="s">
        <v>51</v>
      </c>
      <c r="L2516" t="s">
        <v>52</v>
      </c>
      <c r="M2516">
        <v>131891.55799999999</v>
      </c>
      <c r="N2516">
        <v>476570.81699999998</v>
      </c>
      <c r="O2516" t="s">
        <v>53</v>
      </c>
      <c r="P2516" t="s">
        <v>54</v>
      </c>
      <c r="Q2516" t="s">
        <v>55</v>
      </c>
      <c r="T2516" t="s">
        <v>466</v>
      </c>
      <c r="U2516">
        <v>40</v>
      </c>
      <c r="V2516" s="1">
        <v>31048</v>
      </c>
      <c r="W2516" s="1">
        <v>31048</v>
      </c>
      <c r="X2516" s="1">
        <v>31048</v>
      </c>
      <c r="Y2516" s="1">
        <v>45658</v>
      </c>
      <c r="Z2516" t="s">
        <v>51</v>
      </c>
      <c r="AB2516" t="s">
        <v>54</v>
      </c>
      <c r="AC2516">
        <v>1</v>
      </c>
      <c r="AE2516" t="s">
        <v>356</v>
      </c>
      <c r="AF2516">
        <v>20</v>
      </c>
      <c r="AG2516" s="1">
        <v>44075</v>
      </c>
      <c r="AH2516" s="1">
        <v>44075</v>
      </c>
      <c r="AI2516" s="1">
        <v>44075</v>
      </c>
      <c r="AJ2516" s="1">
        <v>51380</v>
      </c>
      <c r="AK2516" t="s">
        <v>51</v>
      </c>
      <c r="AN2516">
        <v>0</v>
      </c>
      <c r="AO2516" t="s">
        <v>54</v>
      </c>
      <c r="AP2516" t="s">
        <v>53</v>
      </c>
      <c r="AQ2516">
        <v>0</v>
      </c>
      <c r="AR2516" t="s">
        <v>145</v>
      </c>
      <c r="AS2516">
        <v>0</v>
      </c>
      <c r="AT2516">
        <v>0</v>
      </c>
      <c r="CC2516" t="s">
        <v>555</v>
      </c>
      <c r="CD2516">
        <v>85000</v>
      </c>
      <c r="CE2516" s="1">
        <v>44075</v>
      </c>
      <c r="CF2516" s="1">
        <v>44075</v>
      </c>
      <c r="CG2516" s="1">
        <v>44075</v>
      </c>
      <c r="CH2516" s="1">
        <v>51663</v>
      </c>
      <c r="CI2516" t="s">
        <v>51</v>
      </c>
      <c r="CK2516" t="s">
        <v>78</v>
      </c>
      <c r="CM2516" t="s">
        <v>54</v>
      </c>
      <c r="CN2516" t="s">
        <v>174</v>
      </c>
      <c r="CO2516" t="s">
        <v>86</v>
      </c>
      <c r="CR2516">
        <v>20</v>
      </c>
      <c r="CS2516">
        <v>0</v>
      </c>
      <c r="CT2516">
        <v>0</v>
      </c>
      <c r="CU2516">
        <v>0</v>
      </c>
    </row>
    <row r="2517" spans="1:99" x14ac:dyDescent="0.2">
      <c r="A2517" t="s">
        <v>1012</v>
      </c>
      <c r="B2517" t="s">
        <v>1013</v>
      </c>
      <c r="C2517" t="s">
        <v>1019</v>
      </c>
      <c r="D2517" t="s">
        <v>1020</v>
      </c>
      <c r="F2517" t="str">
        <f>"252109"</f>
        <v>252109</v>
      </c>
      <c r="G2517" t="s">
        <v>49</v>
      </c>
      <c r="K2517" t="s">
        <v>51</v>
      </c>
      <c r="L2517" t="s">
        <v>52</v>
      </c>
      <c r="M2517">
        <v>131916.549</v>
      </c>
      <c r="N2517">
        <v>476586.93</v>
      </c>
      <c r="O2517" t="s">
        <v>53</v>
      </c>
      <c r="P2517" t="s">
        <v>54</v>
      </c>
      <c r="Q2517" t="s">
        <v>55</v>
      </c>
      <c r="T2517" t="s">
        <v>466</v>
      </c>
      <c r="U2517">
        <v>40</v>
      </c>
      <c r="V2517" s="1">
        <v>31048</v>
      </c>
      <c r="W2517" s="1">
        <v>31048</v>
      </c>
      <c r="X2517" s="1">
        <v>31048</v>
      </c>
      <c r="Y2517" s="1">
        <v>45658</v>
      </c>
      <c r="Z2517" t="s">
        <v>51</v>
      </c>
      <c r="AB2517" t="s">
        <v>54</v>
      </c>
      <c r="AC2517">
        <v>1</v>
      </c>
      <c r="AE2517" t="s">
        <v>356</v>
      </c>
      <c r="AF2517">
        <v>20</v>
      </c>
      <c r="AG2517" s="1">
        <v>44075</v>
      </c>
      <c r="AH2517" s="1">
        <v>44075</v>
      </c>
      <c r="AI2517" s="1">
        <v>44075</v>
      </c>
      <c r="AJ2517" s="1">
        <v>51380</v>
      </c>
      <c r="AK2517" t="s">
        <v>51</v>
      </c>
      <c r="AN2517">
        <v>0</v>
      </c>
      <c r="AO2517" t="s">
        <v>54</v>
      </c>
      <c r="AP2517" t="s">
        <v>53</v>
      </c>
      <c r="AQ2517">
        <v>0</v>
      </c>
      <c r="AR2517" t="s">
        <v>145</v>
      </c>
      <c r="AS2517">
        <v>0</v>
      </c>
      <c r="AT2517">
        <v>0</v>
      </c>
      <c r="CC2517" t="s">
        <v>555</v>
      </c>
      <c r="CD2517">
        <v>85000</v>
      </c>
      <c r="CE2517" s="1">
        <v>44075</v>
      </c>
      <c r="CF2517" s="1">
        <v>44075</v>
      </c>
      <c r="CG2517" s="1">
        <v>44075</v>
      </c>
      <c r="CH2517" s="1">
        <v>51663</v>
      </c>
      <c r="CI2517" t="s">
        <v>51</v>
      </c>
      <c r="CK2517" t="s">
        <v>78</v>
      </c>
      <c r="CM2517" t="s">
        <v>54</v>
      </c>
      <c r="CN2517" t="s">
        <v>174</v>
      </c>
      <c r="CO2517" t="s">
        <v>86</v>
      </c>
      <c r="CR2517">
        <v>20</v>
      </c>
      <c r="CS2517">
        <v>0</v>
      </c>
      <c r="CT2517">
        <v>0</v>
      </c>
      <c r="CU2517">
        <v>0</v>
      </c>
    </row>
    <row r="2518" spans="1:99" x14ac:dyDescent="0.2">
      <c r="A2518" t="s">
        <v>1012</v>
      </c>
      <c r="B2518" t="s">
        <v>1013</v>
      </c>
      <c r="C2518" t="s">
        <v>1019</v>
      </c>
      <c r="D2518" t="s">
        <v>1020</v>
      </c>
      <c r="F2518" t="str">
        <f>"252110"</f>
        <v>252110</v>
      </c>
      <c r="G2518" t="s">
        <v>49</v>
      </c>
      <c r="K2518" t="s">
        <v>51</v>
      </c>
      <c r="L2518" t="s">
        <v>52</v>
      </c>
      <c r="M2518">
        <v>131941.37400000001</v>
      </c>
      <c r="N2518">
        <v>476603.70899999997</v>
      </c>
      <c r="O2518" t="s">
        <v>53</v>
      </c>
      <c r="P2518" t="s">
        <v>54</v>
      </c>
      <c r="Q2518" t="s">
        <v>55</v>
      </c>
      <c r="T2518" t="s">
        <v>466</v>
      </c>
      <c r="U2518">
        <v>40</v>
      </c>
      <c r="V2518" s="1">
        <v>31048</v>
      </c>
      <c r="W2518" s="1">
        <v>31048</v>
      </c>
      <c r="X2518" s="1">
        <v>31048</v>
      </c>
      <c r="Y2518" s="1">
        <v>45658</v>
      </c>
      <c r="Z2518" t="s">
        <v>51</v>
      </c>
      <c r="AB2518" t="s">
        <v>54</v>
      </c>
      <c r="AC2518">
        <v>1</v>
      </c>
      <c r="AE2518" t="s">
        <v>356</v>
      </c>
      <c r="AF2518">
        <v>20</v>
      </c>
      <c r="AG2518" s="1">
        <v>44075</v>
      </c>
      <c r="AH2518" s="1">
        <v>44075</v>
      </c>
      <c r="AI2518" s="1">
        <v>44075</v>
      </c>
      <c r="AJ2518" s="1">
        <v>51380</v>
      </c>
      <c r="AK2518" t="s">
        <v>51</v>
      </c>
      <c r="AN2518">
        <v>0</v>
      </c>
      <c r="AO2518" t="s">
        <v>54</v>
      </c>
      <c r="AP2518" t="s">
        <v>53</v>
      </c>
      <c r="AQ2518">
        <v>0</v>
      </c>
      <c r="AR2518" t="s">
        <v>145</v>
      </c>
      <c r="AS2518">
        <v>0</v>
      </c>
      <c r="AT2518">
        <v>0</v>
      </c>
      <c r="CC2518" t="s">
        <v>555</v>
      </c>
      <c r="CD2518">
        <v>85000</v>
      </c>
      <c r="CE2518" s="1">
        <v>44075</v>
      </c>
      <c r="CF2518" s="1">
        <v>44075</v>
      </c>
      <c r="CG2518" s="1">
        <v>44075</v>
      </c>
      <c r="CH2518" s="1">
        <v>51663</v>
      </c>
      <c r="CI2518" t="s">
        <v>51</v>
      </c>
      <c r="CK2518" t="s">
        <v>78</v>
      </c>
      <c r="CM2518" t="s">
        <v>54</v>
      </c>
      <c r="CN2518" t="s">
        <v>174</v>
      </c>
      <c r="CO2518" t="s">
        <v>86</v>
      </c>
      <c r="CR2518">
        <v>20</v>
      </c>
      <c r="CS2518">
        <v>0</v>
      </c>
      <c r="CT2518">
        <v>0</v>
      </c>
      <c r="CU2518">
        <v>0</v>
      </c>
    </row>
    <row r="2519" spans="1:99" x14ac:dyDescent="0.2">
      <c r="A2519" t="s">
        <v>1012</v>
      </c>
      <c r="B2519" t="s">
        <v>1013</v>
      </c>
      <c r="C2519" t="s">
        <v>1019</v>
      </c>
      <c r="D2519" t="s">
        <v>1020</v>
      </c>
      <c r="F2519" t="str">
        <f>"252111"</f>
        <v>252111</v>
      </c>
      <c r="G2519" t="s">
        <v>49</v>
      </c>
      <c r="K2519" t="s">
        <v>51</v>
      </c>
      <c r="L2519" t="s">
        <v>52</v>
      </c>
      <c r="M2519">
        <v>131966.15100000001</v>
      </c>
      <c r="N2519">
        <v>476620.16800000001</v>
      </c>
      <c r="O2519" t="s">
        <v>53</v>
      </c>
      <c r="P2519" t="s">
        <v>54</v>
      </c>
      <c r="Q2519" t="s">
        <v>55</v>
      </c>
      <c r="T2519" t="s">
        <v>466</v>
      </c>
      <c r="U2519">
        <v>40</v>
      </c>
      <c r="V2519" s="1">
        <v>31048</v>
      </c>
      <c r="W2519" s="1">
        <v>31048</v>
      </c>
      <c r="X2519" s="1">
        <v>31048</v>
      </c>
      <c r="Y2519" s="1">
        <v>45658</v>
      </c>
      <c r="Z2519" t="s">
        <v>51</v>
      </c>
      <c r="AB2519" t="s">
        <v>54</v>
      </c>
      <c r="AC2519">
        <v>1</v>
      </c>
      <c r="AE2519" t="s">
        <v>356</v>
      </c>
      <c r="AF2519">
        <v>20</v>
      </c>
      <c r="AG2519" s="1">
        <v>44075</v>
      </c>
      <c r="AH2519" s="1">
        <v>44075</v>
      </c>
      <c r="AI2519" s="1">
        <v>44075</v>
      </c>
      <c r="AJ2519" s="1">
        <v>51380</v>
      </c>
      <c r="AK2519" t="s">
        <v>51</v>
      </c>
      <c r="AN2519">
        <v>0</v>
      </c>
      <c r="AO2519" t="s">
        <v>54</v>
      </c>
      <c r="AP2519" t="s">
        <v>53</v>
      </c>
      <c r="AQ2519">
        <v>0</v>
      </c>
      <c r="AR2519" t="s">
        <v>145</v>
      </c>
      <c r="AS2519">
        <v>0</v>
      </c>
      <c r="AT2519">
        <v>0</v>
      </c>
      <c r="CC2519" t="s">
        <v>555</v>
      </c>
      <c r="CD2519">
        <v>85000</v>
      </c>
      <c r="CE2519" s="1">
        <v>44075</v>
      </c>
      <c r="CF2519" s="1">
        <v>44075</v>
      </c>
      <c r="CG2519" s="1">
        <v>44075</v>
      </c>
      <c r="CH2519" s="1">
        <v>51663</v>
      </c>
      <c r="CI2519" t="s">
        <v>51</v>
      </c>
      <c r="CK2519" t="s">
        <v>78</v>
      </c>
      <c r="CM2519" t="s">
        <v>54</v>
      </c>
      <c r="CN2519" t="s">
        <v>174</v>
      </c>
      <c r="CO2519" t="s">
        <v>86</v>
      </c>
      <c r="CR2519">
        <v>20</v>
      </c>
      <c r="CS2519">
        <v>0</v>
      </c>
      <c r="CT2519">
        <v>0</v>
      </c>
      <c r="CU2519">
        <v>0</v>
      </c>
    </row>
    <row r="2520" spans="1:99" x14ac:dyDescent="0.2">
      <c r="A2520" t="s">
        <v>1012</v>
      </c>
      <c r="B2520" t="s">
        <v>1013</v>
      </c>
      <c r="C2520" t="s">
        <v>1019</v>
      </c>
      <c r="D2520" t="s">
        <v>1020</v>
      </c>
      <c r="F2520" t="str">
        <f>"252112"</f>
        <v>252112</v>
      </c>
      <c r="G2520" t="s">
        <v>49</v>
      </c>
      <c r="K2520" t="s">
        <v>51</v>
      </c>
      <c r="L2520" t="s">
        <v>52</v>
      </c>
      <c r="M2520">
        <v>131995.06</v>
      </c>
      <c r="N2520">
        <v>476630.22</v>
      </c>
      <c r="O2520" t="s">
        <v>53</v>
      </c>
      <c r="P2520" t="s">
        <v>54</v>
      </c>
      <c r="Q2520" t="s">
        <v>55</v>
      </c>
      <c r="T2520" t="s">
        <v>466</v>
      </c>
      <c r="U2520">
        <v>40</v>
      </c>
      <c r="V2520" s="1">
        <v>31048</v>
      </c>
      <c r="W2520" s="1">
        <v>31048</v>
      </c>
      <c r="X2520" s="1">
        <v>31048</v>
      </c>
      <c r="Y2520" s="1">
        <v>45658</v>
      </c>
      <c r="Z2520" t="s">
        <v>51</v>
      </c>
      <c r="AB2520" t="s">
        <v>54</v>
      </c>
      <c r="AC2520">
        <v>1</v>
      </c>
      <c r="AE2520" t="s">
        <v>356</v>
      </c>
      <c r="AF2520">
        <v>20</v>
      </c>
      <c r="AG2520" s="1">
        <v>44076</v>
      </c>
      <c r="AH2520" s="1">
        <v>44076</v>
      </c>
      <c r="AI2520" s="1">
        <v>44076</v>
      </c>
      <c r="AJ2520" s="1">
        <v>51381</v>
      </c>
      <c r="AK2520" t="s">
        <v>51</v>
      </c>
      <c r="AN2520">
        <v>0</v>
      </c>
      <c r="AO2520" t="s">
        <v>54</v>
      </c>
      <c r="AP2520" t="s">
        <v>53</v>
      </c>
      <c r="AQ2520">
        <v>0</v>
      </c>
      <c r="AR2520" t="s">
        <v>145</v>
      </c>
      <c r="AS2520">
        <v>0</v>
      </c>
      <c r="AT2520">
        <v>0</v>
      </c>
      <c r="CC2520" t="s">
        <v>555</v>
      </c>
      <c r="CD2520">
        <v>85000</v>
      </c>
      <c r="CE2520" s="1">
        <v>44076</v>
      </c>
      <c r="CF2520" s="1">
        <v>44076</v>
      </c>
      <c r="CG2520" s="1">
        <v>44076</v>
      </c>
      <c r="CH2520" s="1">
        <v>51664</v>
      </c>
      <c r="CI2520" t="s">
        <v>51</v>
      </c>
      <c r="CK2520" t="s">
        <v>78</v>
      </c>
      <c r="CM2520" t="s">
        <v>54</v>
      </c>
      <c r="CN2520" t="s">
        <v>174</v>
      </c>
      <c r="CO2520" t="s">
        <v>86</v>
      </c>
      <c r="CR2520">
        <v>20</v>
      </c>
      <c r="CS2520">
        <v>0</v>
      </c>
      <c r="CT2520">
        <v>0</v>
      </c>
      <c r="CU2520">
        <v>0</v>
      </c>
    </row>
    <row r="2521" spans="1:99" x14ac:dyDescent="0.2">
      <c r="A2521" t="s">
        <v>1012</v>
      </c>
      <c r="B2521" t="s">
        <v>1013</v>
      </c>
      <c r="C2521" t="s">
        <v>1019</v>
      </c>
      <c r="D2521" t="s">
        <v>1020</v>
      </c>
      <c r="F2521" t="str">
        <f>"252113"</f>
        <v>252113</v>
      </c>
      <c r="G2521" t="s">
        <v>49</v>
      </c>
      <c r="K2521" t="s">
        <v>51</v>
      </c>
      <c r="L2521" t="s">
        <v>52</v>
      </c>
      <c r="M2521">
        <v>132008.07999999999</v>
      </c>
      <c r="N2521">
        <v>476652.21</v>
      </c>
      <c r="O2521" t="s">
        <v>53</v>
      </c>
      <c r="P2521" t="s">
        <v>54</v>
      </c>
      <c r="Q2521" t="s">
        <v>55</v>
      </c>
      <c r="T2521" t="s">
        <v>81</v>
      </c>
      <c r="U2521">
        <v>40</v>
      </c>
      <c r="V2521" s="1">
        <v>31048</v>
      </c>
      <c r="W2521" s="1">
        <v>31048</v>
      </c>
      <c r="X2521" s="1">
        <v>31048</v>
      </c>
      <c r="Y2521" s="1">
        <v>45658</v>
      </c>
      <c r="Z2521" t="s">
        <v>51</v>
      </c>
      <c r="AB2521" t="s">
        <v>54</v>
      </c>
      <c r="AC2521">
        <v>1</v>
      </c>
      <c r="AE2521" t="s">
        <v>356</v>
      </c>
      <c r="AF2521">
        <v>20</v>
      </c>
      <c r="AG2521" s="1">
        <v>44075</v>
      </c>
      <c r="AH2521" s="1">
        <v>44075</v>
      </c>
      <c r="AI2521" s="1">
        <v>44075</v>
      </c>
      <c r="AJ2521" s="1">
        <v>51380</v>
      </c>
      <c r="AK2521" t="s">
        <v>51</v>
      </c>
      <c r="AN2521">
        <v>0</v>
      </c>
      <c r="AO2521" t="s">
        <v>54</v>
      </c>
      <c r="AP2521" t="s">
        <v>53</v>
      </c>
      <c r="AQ2521">
        <v>0</v>
      </c>
      <c r="AR2521" t="s">
        <v>145</v>
      </c>
      <c r="AS2521">
        <v>0</v>
      </c>
      <c r="AT2521">
        <v>0</v>
      </c>
      <c r="CC2521" t="s">
        <v>555</v>
      </c>
      <c r="CD2521">
        <v>85000</v>
      </c>
      <c r="CE2521" s="1">
        <v>44075</v>
      </c>
      <c r="CF2521" s="1">
        <v>44075</v>
      </c>
      <c r="CG2521" s="1">
        <v>44075</v>
      </c>
      <c r="CH2521" s="1">
        <v>51663</v>
      </c>
      <c r="CI2521" t="s">
        <v>51</v>
      </c>
      <c r="CK2521" t="s">
        <v>78</v>
      </c>
      <c r="CM2521" t="s">
        <v>54</v>
      </c>
      <c r="CN2521" t="s">
        <v>174</v>
      </c>
      <c r="CO2521" t="s">
        <v>86</v>
      </c>
      <c r="CR2521">
        <v>20</v>
      </c>
      <c r="CS2521">
        <v>0</v>
      </c>
      <c r="CT2521">
        <v>0</v>
      </c>
      <c r="CU2521">
        <v>0</v>
      </c>
    </row>
    <row r="2522" spans="1:99" x14ac:dyDescent="0.2">
      <c r="A2522" t="s">
        <v>1012</v>
      </c>
      <c r="B2522" t="s">
        <v>1013</v>
      </c>
      <c r="C2522" t="s">
        <v>1019</v>
      </c>
      <c r="D2522" t="s">
        <v>1020</v>
      </c>
      <c r="F2522" t="str">
        <f>"252114"</f>
        <v>252114</v>
      </c>
      <c r="G2522" t="s">
        <v>49</v>
      </c>
      <c r="K2522" t="s">
        <v>51</v>
      </c>
      <c r="L2522" t="s">
        <v>52</v>
      </c>
      <c r="M2522">
        <v>132032.29999999999</v>
      </c>
      <c r="N2522">
        <v>476663.02</v>
      </c>
      <c r="O2522" t="s">
        <v>53</v>
      </c>
      <c r="P2522" t="s">
        <v>54</v>
      </c>
      <c r="Q2522" t="s">
        <v>55</v>
      </c>
      <c r="T2522" t="s">
        <v>81</v>
      </c>
      <c r="U2522">
        <v>40</v>
      </c>
      <c r="V2522" s="1">
        <v>31048</v>
      </c>
      <c r="W2522" s="1">
        <v>31048</v>
      </c>
      <c r="X2522" s="1">
        <v>31048</v>
      </c>
      <c r="Y2522" s="1">
        <v>45658</v>
      </c>
      <c r="Z2522" t="s">
        <v>51</v>
      </c>
      <c r="AB2522" t="s">
        <v>54</v>
      </c>
      <c r="AC2522">
        <v>1</v>
      </c>
      <c r="AE2522" t="s">
        <v>356</v>
      </c>
      <c r="AF2522">
        <v>20</v>
      </c>
      <c r="AG2522" s="1">
        <v>44076</v>
      </c>
      <c r="AH2522" s="1">
        <v>44076</v>
      </c>
      <c r="AI2522" s="1">
        <v>44076</v>
      </c>
      <c r="AJ2522" s="1">
        <v>51381</v>
      </c>
      <c r="AK2522" t="s">
        <v>51</v>
      </c>
      <c r="AN2522">
        <v>0</v>
      </c>
      <c r="AO2522" t="s">
        <v>54</v>
      </c>
      <c r="AP2522" t="s">
        <v>53</v>
      </c>
      <c r="AQ2522">
        <v>0</v>
      </c>
      <c r="AR2522" t="s">
        <v>145</v>
      </c>
      <c r="AS2522">
        <v>0</v>
      </c>
      <c r="AT2522">
        <v>0</v>
      </c>
      <c r="CC2522" t="s">
        <v>555</v>
      </c>
      <c r="CD2522">
        <v>85000</v>
      </c>
      <c r="CE2522" s="1">
        <v>44076</v>
      </c>
      <c r="CF2522" s="1">
        <v>44076</v>
      </c>
      <c r="CG2522" s="1">
        <v>44076</v>
      </c>
      <c r="CH2522" s="1">
        <v>51664</v>
      </c>
      <c r="CI2522" t="s">
        <v>51</v>
      </c>
      <c r="CK2522" t="s">
        <v>78</v>
      </c>
      <c r="CM2522" t="s">
        <v>54</v>
      </c>
      <c r="CN2522" t="s">
        <v>174</v>
      </c>
      <c r="CO2522" t="s">
        <v>86</v>
      </c>
      <c r="CR2522">
        <v>20</v>
      </c>
      <c r="CS2522">
        <v>0</v>
      </c>
      <c r="CT2522">
        <v>0</v>
      </c>
      <c r="CU2522">
        <v>0</v>
      </c>
    </row>
    <row r="2523" spans="1:99" x14ac:dyDescent="0.2">
      <c r="A2523" t="s">
        <v>1012</v>
      </c>
      <c r="B2523" t="s">
        <v>1013</v>
      </c>
      <c r="C2523" t="s">
        <v>1019</v>
      </c>
      <c r="D2523" t="s">
        <v>1020</v>
      </c>
      <c r="F2523" t="str">
        <f>"252115"</f>
        <v>252115</v>
      </c>
      <c r="G2523" t="s">
        <v>49</v>
      </c>
      <c r="K2523" t="s">
        <v>51</v>
      </c>
      <c r="L2523" t="s">
        <v>52</v>
      </c>
      <c r="M2523">
        <v>132056.56</v>
      </c>
      <c r="N2523">
        <v>476674.66</v>
      </c>
      <c r="O2523" t="s">
        <v>53</v>
      </c>
      <c r="P2523" t="s">
        <v>54</v>
      </c>
      <c r="Q2523" t="s">
        <v>55</v>
      </c>
      <c r="T2523" t="s">
        <v>81</v>
      </c>
      <c r="U2523">
        <v>40</v>
      </c>
      <c r="V2523" s="1">
        <v>31048</v>
      </c>
      <c r="W2523" s="1">
        <v>31048</v>
      </c>
      <c r="X2523" s="1">
        <v>31048</v>
      </c>
      <c r="Y2523" s="1">
        <v>45658</v>
      </c>
      <c r="Z2523" t="s">
        <v>51</v>
      </c>
      <c r="AB2523" t="s">
        <v>54</v>
      </c>
      <c r="AC2523">
        <v>1</v>
      </c>
      <c r="AE2523" t="s">
        <v>356</v>
      </c>
      <c r="AF2523">
        <v>20</v>
      </c>
      <c r="AG2523" s="1">
        <v>44076</v>
      </c>
      <c r="AH2523" s="1">
        <v>44076</v>
      </c>
      <c r="AI2523" s="1">
        <v>44076</v>
      </c>
      <c r="AJ2523" s="1">
        <v>51381</v>
      </c>
      <c r="AK2523" t="s">
        <v>51</v>
      </c>
      <c r="AN2523">
        <v>0</v>
      </c>
      <c r="AO2523" t="s">
        <v>54</v>
      </c>
      <c r="AP2523" t="s">
        <v>53</v>
      </c>
      <c r="AQ2523">
        <v>0</v>
      </c>
      <c r="AR2523" t="s">
        <v>145</v>
      </c>
      <c r="AS2523">
        <v>0</v>
      </c>
      <c r="AT2523">
        <v>0</v>
      </c>
      <c r="CC2523" t="s">
        <v>555</v>
      </c>
      <c r="CD2523">
        <v>85000</v>
      </c>
      <c r="CE2523" s="1">
        <v>44076</v>
      </c>
      <c r="CF2523" s="1">
        <v>44076</v>
      </c>
      <c r="CG2523" s="1">
        <v>44076</v>
      </c>
      <c r="CH2523" s="1">
        <v>51664</v>
      </c>
      <c r="CI2523" t="s">
        <v>51</v>
      </c>
      <c r="CK2523" t="s">
        <v>78</v>
      </c>
      <c r="CM2523" t="s">
        <v>54</v>
      </c>
      <c r="CN2523" t="s">
        <v>174</v>
      </c>
      <c r="CO2523" t="s">
        <v>86</v>
      </c>
      <c r="CR2523">
        <v>20</v>
      </c>
      <c r="CS2523">
        <v>0</v>
      </c>
      <c r="CT2523">
        <v>0</v>
      </c>
      <c r="CU2523">
        <v>0</v>
      </c>
    </row>
    <row r="2524" spans="1:99" x14ac:dyDescent="0.2">
      <c r="A2524" t="s">
        <v>1012</v>
      </c>
      <c r="B2524" t="s">
        <v>1013</v>
      </c>
      <c r="C2524" t="s">
        <v>1019</v>
      </c>
      <c r="D2524" t="s">
        <v>1020</v>
      </c>
      <c r="F2524" t="str">
        <f>"252116"</f>
        <v>252116</v>
      </c>
      <c r="G2524" t="s">
        <v>49</v>
      </c>
      <c r="K2524" t="s">
        <v>51</v>
      </c>
      <c r="L2524" t="s">
        <v>52</v>
      </c>
      <c r="M2524">
        <v>132090.60999999999</v>
      </c>
      <c r="N2524">
        <v>476675.38</v>
      </c>
      <c r="O2524" t="s">
        <v>53</v>
      </c>
      <c r="P2524" t="s">
        <v>54</v>
      </c>
      <c r="Q2524" t="s">
        <v>55</v>
      </c>
      <c r="T2524" t="s">
        <v>81</v>
      </c>
      <c r="U2524">
        <v>40</v>
      </c>
      <c r="V2524" s="1">
        <v>31048</v>
      </c>
      <c r="W2524" s="1">
        <v>31048</v>
      </c>
      <c r="X2524" s="1">
        <v>31048</v>
      </c>
      <c r="Y2524" s="1">
        <v>45658</v>
      </c>
      <c r="Z2524" t="s">
        <v>51</v>
      </c>
      <c r="AB2524" t="s">
        <v>54</v>
      </c>
      <c r="AC2524">
        <v>1</v>
      </c>
      <c r="AE2524" t="s">
        <v>356</v>
      </c>
      <c r="AF2524">
        <v>20</v>
      </c>
      <c r="AG2524" s="1">
        <v>44076</v>
      </c>
      <c r="AH2524" s="1">
        <v>44076</v>
      </c>
      <c r="AI2524" s="1">
        <v>44076</v>
      </c>
      <c r="AJ2524" s="1">
        <v>51381</v>
      </c>
      <c r="AK2524" t="s">
        <v>51</v>
      </c>
      <c r="AN2524">
        <v>0</v>
      </c>
      <c r="AO2524" t="s">
        <v>54</v>
      </c>
      <c r="AP2524" t="s">
        <v>53</v>
      </c>
      <c r="AQ2524">
        <v>0</v>
      </c>
      <c r="AR2524" t="s">
        <v>145</v>
      </c>
      <c r="AS2524">
        <v>0</v>
      </c>
      <c r="AT2524">
        <v>0</v>
      </c>
      <c r="CC2524" t="s">
        <v>555</v>
      </c>
      <c r="CD2524">
        <v>85000</v>
      </c>
      <c r="CE2524" s="1">
        <v>44076</v>
      </c>
      <c r="CF2524" s="1">
        <v>44076</v>
      </c>
      <c r="CG2524" s="1">
        <v>44076</v>
      </c>
      <c r="CH2524" s="1">
        <v>51664</v>
      </c>
      <c r="CI2524" t="s">
        <v>51</v>
      </c>
      <c r="CK2524" t="s">
        <v>78</v>
      </c>
      <c r="CM2524" t="s">
        <v>54</v>
      </c>
      <c r="CN2524" t="s">
        <v>174</v>
      </c>
      <c r="CO2524" t="s">
        <v>86</v>
      </c>
      <c r="CR2524">
        <v>20</v>
      </c>
      <c r="CS2524">
        <v>0</v>
      </c>
      <c r="CT2524">
        <v>0</v>
      </c>
      <c r="CU2524">
        <v>0</v>
      </c>
    </row>
    <row r="2525" spans="1:99" x14ac:dyDescent="0.2">
      <c r="A2525" t="s">
        <v>1012</v>
      </c>
      <c r="B2525" t="s">
        <v>1013</v>
      </c>
      <c r="C2525" t="s">
        <v>1014</v>
      </c>
      <c r="D2525" t="s">
        <v>1020</v>
      </c>
      <c r="F2525" t="str">
        <f>"252118"</f>
        <v>252118</v>
      </c>
      <c r="G2525" t="s">
        <v>49</v>
      </c>
      <c r="K2525" t="s">
        <v>51</v>
      </c>
      <c r="L2525" t="s">
        <v>52</v>
      </c>
      <c r="M2525">
        <v>131759.93</v>
      </c>
      <c r="N2525">
        <v>475958.73</v>
      </c>
      <c r="O2525" t="s">
        <v>53</v>
      </c>
      <c r="P2525" t="s">
        <v>54</v>
      </c>
      <c r="Q2525" t="s">
        <v>55</v>
      </c>
      <c r="T2525" t="s">
        <v>466</v>
      </c>
      <c r="U2525">
        <v>40</v>
      </c>
      <c r="V2525" s="1">
        <v>31048</v>
      </c>
      <c r="W2525" s="1">
        <v>31048</v>
      </c>
      <c r="X2525" s="1">
        <v>31048</v>
      </c>
      <c r="Y2525" s="1">
        <v>45658</v>
      </c>
      <c r="Z2525" t="s">
        <v>51</v>
      </c>
      <c r="AB2525" t="s">
        <v>54</v>
      </c>
      <c r="AC2525">
        <v>1</v>
      </c>
      <c r="AE2525" t="s">
        <v>356</v>
      </c>
      <c r="AF2525">
        <v>20</v>
      </c>
      <c r="AG2525" s="1">
        <v>44075</v>
      </c>
      <c r="AH2525" s="1">
        <v>44075</v>
      </c>
      <c r="AI2525" s="1">
        <v>44075</v>
      </c>
      <c r="AJ2525" s="1">
        <v>51380</v>
      </c>
      <c r="AK2525" t="s">
        <v>51</v>
      </c>
      <c r="AN2525">
        <v>0</v>
      </c>
      <c r="AO2525" t="s">
        <v>54</v>
      </c>
      <c r="AP2525" t="s">
        <v>53</v>
      </c>
      <c r="AQ2525">
        <v>0</v>
      </c>
      <c r="AR2525" t="s">
        <v>145</v>
      </c>
      <c r="AS2525">
        <v>0</v>
      </c>
      <c r="AT2525">
        <v>0</v>
      </c>
      <c r="CC2525" t="s">
        <v>555</v>
      </c>
      <c r="CD2525">
        <v>85000</v>
      </c>
      <c r="CE2525" s="1">
        <v>44075</v>
      </c>
      <c r="CF2525" s="1">
        <v>44075</v>
      </c>
      <c r="CG2525" s="1">
        <v>44075</v>
      </c>
      <c r="CH2525" s="1">
        <v>51663</v>
      </c>
      <c r="CI2525" t="s">
        <v>51</v>
      </c>
      <c r="CK2525" t="s">
        <v>78</v>
      </c>
      <c r="CM2525" t="s">
        <v>54</v>
      </c>
      <c r="CN2525" t="s">
        <v>174</v>
      </c>
      <c r="CO2525" t="s">
        <v>86</v>
      </c>
      <c r="CR2525">
        <v>20</v>
      </c>
      <c r="CS2525">
        <v>0</v>
      </c>
      <c r="CT2525">
        <v>0</v>
      </c>
      <c r="CU2525">
        <v>0</v>
      </c>
    </row>
    <row r="2526" spans="1:99" x14ac:dyDescent="0.2">
      <c r="A2526" t="s">
        <v>1012</v>
      </c>
      <c r="B2526" t="s">
        <v>1013</v>
      </c>
      <c r="C2526" t="s">
        <v>1014</v>
      </c>
      <c r="D2526" t="s">
        <v>1020</v>
      </c>
      <c r="F2526" t="str">
        <f>"252119"</f>
        <v>252119</v>
      </c>
      <c r="G2526" t="s">
        <v>49</v>
      </c>
      <c r="K2526" t="s">
        <v>51</v>
      </c>
      <c r="L2526" t="s">
        <v>52</v>
      </c>
      <c r="M2526">
        <v>131764.231</v>
      </c>
      <c r="N2526">
        <v>475984.39600000001</v>
      </c>
      <c r="O2526" t="s">
        <v>53</v>
      </c>
      <c r="P2526" t="s">
        <v>54</v>
      </c>
      <c r="Q2526" t="s">
        <v>55</v>
      </c>
      <c r="T2526" t="s">
        <v>466</v>
      </c>
      <c r="U2526">
        <v>40</v>
      </c>
      <c r="V2526" s="1">
        <v>31048</v>
      </c>
      <c r="W2526" s="1">
        <v>31048</v>
      </c>
      <c r="X2526" s="1">
        <v>31048</v>
      </c>
      <c r="Y2526" s="1">
        <v>45658</v>
      </c>
      <c r="Z2526" t="s">
        <v>51</v>
      </c>
      <c r="AB2526" t="s">
        <v>54</v>
      </c>
      <c r="AC2526">
        <v>1</v>
      </c>
      <c r="AE2526" t="s">
        <v>356</v>
      </c>
      <c r="AF2526">
        <v>20</v>
      </c>
      <c r="AG2526" s="1">
        <v>44075</v>
      </c>
      <c r="AH2526" s="1">
        <v>44075</v>
      </c>
      <c r="AI2526" s="1">
        <v>44075</v>
      </c>
      <c r="AJ2526" s="1">
        <v>51380</v>
      </c>
      <c r="AK2526" t="s">
        <v>51</v>
      </c>
      <c r="AN2526">
        <v>0</v>
      </c>
      <c r="AO2526" t="s">
        <v>54</v>
      </c>
      <c r="AP2526" t="s">
        <v>53</v>
      </c>
      <c r="AQ2526">
        <v>0</v>
      </c>
      <c r="AR2526" t="s">
        <v>145</v>
      </c>
      <c r="AS2526">
        <v>0</v>
      </c>
      <c r="AT2526">
        <v>0</v>
      </c>
      <c r="CC2526" t="s">
        <v>555</v>
      </c>
      <c r="CD2526">
        <v>85000</v>
      </c>
      <c r="CE2526" s="1">
        <v>44075</v>
      </c>
      <c r="CF2526" s="1">
        <v>44075</v>
      </c>
      <c r="CG2526" s="1">
        <v>44075</v>
      </c>
      <c r="CH2526" s="1">
        <v>51663</v>
      </c>
      <c r="CI2526" t="s">
        <v>51</v>
      </c>
      <c r="CK2526" t="s">
        <v>78</v>
      </c>
      <c r="CM2526" t="s">
        <v>54</v>
      </c>
      <c r="CN2526" t="s">
        <v>174</v>
      </c>
      <c r="CO2526" t="s">
        <v>86</v>
      </c>
      <c r="CR2526">
        <v>20</v>
      </c>
      <c r="CS2526">
        <v>0</v>
      </c>
      <c r="CT2526">
        <v>0</v>
      </c>
      <c r="CU2526">
        <v>0</v>
      </c>
    </row>
    <row r="2527" spans="1:99" x14ac:dyDescent="0.2">
      <c r="A2527" t="s">
        <v>1012</v>
      </c>
      <c r="B2527" t="s">
        <v>1013</v>
      </c>
      <c r="C2527" t="s">
        <v>1014</v>
      </c>
      <c r="D2527" t="s">
        <v>1020</v>
      </c>
      <c r="F2527" t="str">
        <f>"252120"</f>
        <v>252120</v>
      </c>
      <c r="G2527" t="s">
        <v>49</v>
      </c>
      <c r="K2527" t="s">
        <v>51</v>
      </c>
      <c r="L2527" t="s">
        <v>52</v>
      </c>
      <c r="M2527">
        <v>131777.19</v>
      </c>
      <c r="N2527">
        <v>476014.88</v>
      </c>
      <c r="O2527" t="s">
        <v>53</v>
      </c>
      <c r="P2527" t="s">
        <v>54</v>
      </c>
      <c r="Q2527" t="s">
        <v>55</v>
      </c>
      <c r="T2527" t="s">
        <v>466</v>
      </c>
      <c r="U2527">
        <v>40</v>
      </c>
      <c r="V2527" s="1">
        <v>31048</v>
      </c>
      <c r="W2527" s="1">
        <v>31048</v>
      </c>
      <c r="X2527" s="1">
        <v>31048</v>
      </c>
      <c r="Y2527" s="1">
        <v>45658</v>
      </c>
      <c r="Z2527" t="s">
        <v>51</v>
      </c>
      <c r="AB2527" t="s">
        <v>54</v>
      </c>
      <c r="AC2527">
        <v>1</v>
      </c>
      <c r="AE2527" t="s">
        <v>356</v>
      </c>
      <c r="AF2527">
        <v>20</v>
      </c>
      <c r="AG2527" s="1">
        <v>44075</v>
      </c>
      <c r="AH2527" s="1">
        <v>44075</v>
      </c>
      <c r="AI2527" s="1">
        <v>44075</v>
      </c>
      <c r="AJ2527" s="1">
        <v>51380</v>
      </c>
      <c r="AK2527" t="s">
        <v>51</v>
      </c>
      <c r="AN2527">
        <v>0</v>
      </c>
      <c r="AO2527" t="s">
        <v>54</v>
      </c>
      <c r="AP2527" t="s">
        <v>53</v>
      </c>
      <c r="AQ2527">
        <v>0</v>
      </c>
      <c r="AR2527" t="s">
        <v>145</v>
      </c>
      <c r="AS2527">
        <v>0</v>
      </c>
      <c r="AT2527">
        <v>0</v>
      </c>
      <c r="CC2527" t="s">
        <v>555</v>
      </c>
      <c r="CD2527">
        <v>85000</v>
      </c>
      <c r="CE2527" s="1">
        <v>44075</v>
      </c>
      <c r="CF2527" s="1">
        <v>44075</v>
      </c>
      <c r="CG2527" s="1">
        <v>44075</v>
      </c>
      <c r="CH2527" s="1">
        <v>51663</v>
      </c>
      <c r="CI2527" t="s">
        <v>51</v>
      </c>
      <c r="CK2527" t="s">
        <v>78</v>
      </c>
      <c r="CM2527" t="s">
        <v>54</v>
      </c>
      <c r="CN2527" t="s">
        <v>174</v>
      </c>
      <c r="CO2527" t="s">
        <v>86</v>
      </c>
      <c r="CR2527">
        <v>20</v>
      </c>
      <c r="CS2527">
        <v>0</v>
      </c>
      <c r="CT2527">
        <v>0</v>
      </c>
      <c r="CU2527">
        <v>0</v>
      </c>
    </row>
    <row r="2528" spans="1:99" x14ac:dyDescent="0.2">
      <c r="A2528" t="s">
        <v>1012</v>
      </c>
      <c r="B2528" t="s">
        <v>1013</v>
      </c>
      <c r="C2528" t="s">
        <v>1014</v>
      </c>
      <c r="D2528" t="s">
        <v>1020</v>
      </c>
      <c r="F2528" t="str">
        <f>"252124"</f>
        <v>252124</v>
      </c>
      <c r="G2528" t="s">
        <v>49</v>
      </c>
      <c r="K2528" t="s">
        <v>51</v>
      </c>
      <c r="L2528" t="s">
        <v>52</v>
      </c>
      <c r="M2528">
        <v>131797.76699999999</v>
      </c>
      <c r="N2528">
        <v>476151.28700000001</v>
      </c>
      <c r="O2528" t="s">
        <v>53</v>
      </c>
      <c r="P2528" t="s">
        <v>54</v>
      </c>
      <c r="Q2528" t="s">
        <v>55</v>
      </c>
      <c r="T2528" t="s">
        <v>466</v>
      </c>
      <c r="U2528">
        <v>40</v>
      </c>
      <c r="V2528" s="1">
        <v>31048</v>
      </c>
      <c r="W2528" s="1">
        <v>31048</v>
      </c>
      <c r="X2528" s="1">
        <v>31048</v>
      </c>
      <c r="Y2528" s="1">
        <v>45658</v>
      </c>
      <c r="Z2528" t="s">
        <v>51</v>
      </c>
      <c r="AB2528" t="s">
        <v>54</v>
      </c>
      <c r="AC2528">
        <v>1</v>
      </c>
      <c r="AE2528" t="s">
        <v>356</v>
      </c>
      <c r="AF2528">
        <v>20</v>
      </c>
      <c r="AG2528" s="1">
        <v>44076</v>
      </c>
      <c r="AH2528" s="1">
        <v>44076</v>
      </c>
      <c r="AI2528" s="1">
        <v>44076</v>
      </c>
      <c r="AJ2528" s="1">
        <v>51381</v>
      </c>
      <c r="AK2528" t="s">
        <v>51</v>
      </c>
      <c r="AN2528">
        <v>0</v>
      </c>
      <c r="AO2528" t="s">
        <v>54</v>
      </c>
      <c r="AP2528" t="s">
        <v>53</v>
      </c>
      <c r="AQ2528">
        <v>0</v>
      </c>
      <c r="AR2528" t="s">
        <v>145</v>
      </c>
      <c r="AS2528">
        <v>0</v>
      </c>
      <c r="AT2528">
        <v>0</v>
      </c>
      <c r="CC2528" t="s">
        <v>555</v>
      </c>
      <c r="CD2528">
        <v>85000</v>
      </c>
      <c r="CE2528" s="1">
        <v>44076</v>
      </c>
      <c r="CF2528" s="1">
        <v>44076</v>
      </c>
      <c r="CG2528" s="1">
        <v>44076</v>
      </c>
      <c r="CH2528" s="1">
        <v>51664</v>
      </c>
      <c r="CI2528" t="s">
        <v>51</v>
      </c>
      <c r="CK2528" t="s">
        <v>78</v>
      </c>
      <c r="CM2528" t="s">
        <v>54</v>
      </c>
      <c r="CN2528" t="s">
        <v>174</v>
      </c>
      <c r="CO2528" t="s">
        <v>86</v>
      </c>
      <c r="CR2528">
        <v>20</v>
      </c>
      <c r="CS2528">
        <v>0</v>
      </c>
      <c r="CT2528">
        <v>0</v>
      </c>
      <c r="CU2528">
        <v>0</v>
      </c>
    </row>
    <row r="2529" spans="1:99" x14ac:dyDescent="0.2">
      <c r="A2529" t="s">
        <v>1012</v>
      </c>
      <c r="B2529" t="s">
        <v>1013</v>
      </c>
      <c r="C2529" t="s">
        <v>1019</v>
      </c>
      <c r="D2529" t="s">
        <v>1020</v>
      </c>
      <c r="F2529" t="str">
        <f>"252125"</f>
        <v>252125</v>
      </c>
      <c r="G2529" t="s">
        <v>49</v>
      </c>
      <c r="K2529" t="s">
        <v>51</v>
      </c>
      <c r="L2529" t="s">
        <v>52</v>
      </c>
      <c r="M2529">
        <v>131811.01</v>
      </c>
      <c r="N2529">
        <v>476186.24</v>
      </c>
      <c r="O2529" t="s">
        <v>53</v>
      </c>
      <c r="P2529" t="s">
        <v>54</v>
      </c>
      <c r="Q2529" t="s">
        <v>55</v>
      </c>
      <c r="T2529" t="s">
        <v>466</v>
      </c>
      <c r="U2529">
        <v>40</v>
      </c>
      <c r="V2529" s="1">
        <v>29221</v>
      </c>
      <c r="W2529" s="1">
        <v>29221</v>
      </c>
      <c r="X2529" s="1">
        <v>29221</v>
      </c>
      <c r="Y2529" s="1">
        <v>43831</v>
      </c>
      <c r="Z2529" t="s">
        <v>51</v>
      </c>
      <c r="AB2529" t="s">
        <v>54</v>
      </c>
      <c r="AC2529">
        <v>1</v>
      </c>
      <c r="AE2529" t="s">
        <v>356</v>
      </c>
      <c r="AF2529">
        <v>20</v>
      </c>
      <c r="AG2529" s="1">
        <v>44076</v>
      </c>
      <c r="AH2529" s="1">
        <v>44076</v>
      </c>
      <c r="AI2529" s="1">
        <v>44076</v>
      </c>
      <c r="AJ2529" s="1">
        <v>51381</v>
      </c>
      <c r="AK2529" t="s">
        <v>51</v>
      </c>
      <c r="AN2529">
        <v>0</v>
      </c>
      <c r="AO2529" t="s">
        <v>54</v>
      </c>
      <c r="AP2529" t="s">
        <v>53</v>
      </c>
      <c r="AQ2529">
        <v>0</v>
      </c>
      <c r="AR2529" t="s">
        <v>145</v>
      </c>
      <c r="AS2529">
        <v>0</v>
      </c>
      <c r="AT2529">
        <v>0</v>
      </c>
      <c r="CC2529" t="s">
        <v>555</v>
      </c>
      <c r="CD2529">
        <v>85000</v>
      </c>
      <c r="CE2529" s="1">
        <v>44076</v>
      </c>
      <c r="CF2529" s="1">
        <v>44076</v>
      </c>
      <c r="CG2529" s="1">
        <v>44076</v>
      </c>
      <c r="CH2529" s="1">
        <v>51664</v>
      </c>
      <c r="CI2529" t="s">
        <v>51</v>
      </c>
      <c r="CK2529" t="s">
        <v>78</v>
      </c>
      <c r="CM2529" t="s">
        <v>54</v>
      </c>
      <c r="CN2529" t="s">
        <v>174</v>
      </c>
      <c r="CO2529" t="s">
        <v>86</v>
      </c>
      <c r="CR2529">
        <v>20</v>
      </c>
      <c r="CS2529">
        <v>0</v>
      </c>
      <c r="CT2529">
        <v>0</v>
      </c>
      <c r="CU2529">
        <v>0</v>
      </c>
    </row>
    <row r="2530" spans="1:99" x14ac:dyDescent="0.2">
      <c r="A2530" t="s">
        <v>1012</v>
      </c>
      <c r="B2530" t="s">
        <v>1013</v>
      </c>
      <c r="C2530" t="s">
        <v>1014</v>
      </c>
      <c r="D2530" t="s">
        <v>1020</v>
      </c>
      <c r="F2530" t="str">
        <f>"252126"</f>
        <v>252126</v>
      </c>
      <c r="G2530" t="s">
        <v>49</v>
      </c>
      <c r="K2530" t="s">
        <v>51</v>
      </c>
      <c r="L2530" t="s">
        <v>52</v>
      </c>
      <c r="M2530">
        <v>131806.96400000001</v>
      </c>
      <c r="N2530">
        <v>476210.07</v>
      </c>
      <c r="O2530" t="s">
        <v>53</v>
      </c>
      <c r="P2530" t="s">
        <v>54</v>
      </c>
      <c r="Q2530" t="s">
        <v>55</v>
      </c>
      <c r="T2530" t="s">
        <v>466</v>
      </c>
      <c r="U2530">
        <v>40</v>
      </c>
      <c r="V2530" s="1">
        <v>31048</v>
      </c>
      <c r="W2530" s="1">
        <v>31048</v>
      </c>
      <c r="X2530" s="1">
        <v>31048</v>
      </c>
      <c r="Y2530" s="1">
        <v>45658</v>
      </c>
      <c r="Z2530" t="s">
        <v>51</v>
      </c>
      <c r="AB2530" t="s">
        <v>54</v>
      </c>
      <c r="AC2530">
        <v>1</v>
      </c>
      <c r="AE2530" t="s">
        <v>356</v>
      </c>
      <c r="AF2530">
        <v>20</v>
      </c>
      <c r="AG2530" s="1">
        <v>44076</v>
      </c>
      <c r="AH2530" s="1">
        <v>44076</v>
      </c>
      <c r="AI2530" s="1">
        <v>44076</v>
      </c>
      <c r="AJ2530" s="1">
        <v>51381</v>
      </c>
      <c r="AK2530" t="s">
        <v>51</v>
      </c>
      <c r="AN2530">
        <v>0</v>
      </c>
      <c r="AO2530" t="s">
        <v>54</v>
      </c>
      <c r="AP2530" t="s">
        <v>53</v>
      </c>
      <c r="AQ2530">
        <v>0</v>
      </c>
      <c r="AR2530" t="s">
        <v>145</v>
      </c>
      <c r="AS2530">
        <v>0</v>
      </c>
      <c r="AT2530">
        <v>0</v>
      </c>
      <c r="CC2530" t="s">
        <v>555</v>
      </c>
      <c r="CD2530">
        <v>85000</v>
      </c>
      <c r="CE2530" s="1">
        <v>44076</v>
      </c>
      <c r="CF2530" s="1">
        <v>44076</v>
      </c>
      <c r="CG2530" s="1">
        <v>44076</v>
      </c>
      <c r="CH2530" s="1">
        <v>51664</v>
      </c>
      <c r="CI2530" t="s">
        <v>51</v>
      </c>
      <c r="CK2530" t="s">
        <v>78</v>
      </c>
      <c r="CM2530" t="s">
        <v>54</v>
      </c>
      <c r="CN2530" t="s">
        <v>174</v>
      </c>
      <c r="CO2530" t="s">
        <v>86</v>
      </c>
      <c r="CR2530">
        <v>20</v>
      </c>
      <c r="CS2530">
        <v>0</v>
      </c>
      <c r="CT2530">
        <v>0</v>
      </c>
      <c r="CU2530">
        <v>0</v>
      </c>
    </row>
    <row r="2531" spans="1:99" x14ac:dyDescent="0.2">
      <c r="A2531" t="s">
        <v>1012</v>
      </c>
      <c r="B2531" t="s">
        <v>1013</v>
      </c>
      <c r="C2531" t="s">
        <v>1014</v>
      </c>
      <c r="D2531" t="s">
        <v>1020</v>
      </c>
      <c r="F2531" t="str">
        <f>"252127"</f>
        <v>252127</v>
      </c>
      <c r="G2531" t="s">
        <v>49</v>
      </c>
      <c r="K2531" t="s">
        <v>51</v>
      </c>
      <c r="L2531" t="s">
        <v>52</v>
      </c>
      <c r="M2531">
        <v>131803.72700000001</v>
      </c>
      <c r="N2531">
        <v>476243.78700000001</v>
      </c>
      <c r="O2531" t="s">
        <v>53</v>
      </c>
      <c r="P2531" t="s">
        <v>54</v>
      </c>
      <c r="Q2531" t="s">
        <v>55</v>
      </c>
      <c r="T2531" t="s">
        <v>466</v>
      </c>
      <c r="U2531">
        <v>40</v>
      </c>
      <c r="V2531" s="1">
        <v>31048</v>
      </c>
      <c r="W2531" s="1">
        <v>31048</v>
      </c>
      <c r="X2531" s="1">
        <v>31048</v>
      </c>
      <c r="Y2531" s="1">
        <v>45658</v>
      </c>
      <c r="Z2531" t="s">
        <v>51</v>
      </c>
      <c r="AB2531" t="s">
        <v>54</v>
      </c>
      <c r="AC2531">
        <v>1</v>
      </c>
      <c r="AE2531" t="s">
        <v>356</v>
      </c>
      <c r="AF2531">
        <v>20</v>
      </c>
      <c r="AG2531" s="1">
        <v>44075</v>
      </c>
      <c r="AH2531" s="1">
        <v>44075</v>
      </c>
      <c r="AI2531" s="1">
        <v>44075</v>
      </c>
      <c r="AJ2531" s="1">
        <v>51380</v>
      </c>
      <c r="AK2531" t="s">
        <v>51</v>
      </c>
      <c r="AN2531">
        <v>0</v>
      </c>
      <c r="AO2531" t="s">
        <v>54</v>
      </c>
      <c r="AP2531" t="s">
        <v>53</v>
      </c>
      <c r="AQ2531">
        <v>0</v>
      </c>
      <c r="AR2531" t="s">
        <v>145</v>
      </c>
      <c r="AS2531">
        <v>0</v>
      </c>
      <c r="AT2531">
        <v>0</v>
      </c>
      <c r="CC2531" t="s">
        <v>555</v>
      </c>
      <c r="CD2531">
        <v>85000</v>
      </c>
      <c r="CE2531" s="1">
        <v>44075</v>
      </c>
      <c r="CF2531" s="1">
        <v>44075</v>
      </c>
      <c r="CG2531" s="1">
        <v>44075</v>
      </c>
      <c r="CH2531" s="1">
        <v>51663</v>
      </c>
      <c r="CI2531" t="s">
        <v>51</v>
      </c>
      <c r="CK2531" t="s">
        <v>78</v>
      </c>
      <c r="CM2531" t="s">
        <v>54</v>
      </c>
      <c r="CN2531" t="s">
        <v>174</v>
      </c>
      <c r="CO2531" t="s">
        <v>86</v>
      </c>
      <c r="CR2531">
        <v>20</v>
      </c>
      <c r="CS2531">
        <v>0</v>
      </c>
      <c r="CT2531">
        <v>0</v>
      </c>
      <c r="CU2531">
        <v>0</v>
      </c>
    </row>
    <row r="2532" spans="1:99" x14ac:dyDescent="0.2">
      <c r="A2532" t="s">
        <v>1012</v>
      </c>
      <c r="B2532" t="s">
        <v>1013</v>
      </c>
      <c r="C2532" t="s">
        <v>1014</v>
      </c>
      <c r="D2532" t="s">
        <v>1020</v>
      </c>
      <c r="F2532" t="str">
        <f>"252128"</f>
        <v>252128</v>
      </c>
      <c r="G2532" t="s">
        <v>49</v>
      </c>
      <c r="K2532" t="s">
        <v>51</v>
      </c>
      <c r="L2532" t="s">
        <v>52</v>
      </c>
      <c r="M2532">
        <v>131818.128</v>
      </c>
      <c r="N2532">
        <v>476283.66899999999</v>
      </c>
      <c r="O2532" t="s">
        <v>53</v>
      </c>
      <c r="P2532" t="s">
        <v>54</v>
      </c>
      <c r="Q2532" t="s">
        <v>55</v>
      </c>
      <c r="T2532" t="s">
        <v>466</v>
      </c>
      <c r="U2532">
        <v>40</v>
      </c>
      <c r="V2532" s="1">
        <v>31048</v>
      </c>
      <c r="W2532" s="1">
        <v>31048</v>
      </c>
      <c r="X2532" s="1">
        <v>31048</v>
      </c>
      <c r="Y2532" s="1">
        <v>45658</v>
      </c>
      <c r="Z2532" t="s">
        <v>51</v>
      </c>
      <c r="AB2532" t="s">
        <v>54</v>
      </c>
      <c r="AC2532">
        <v>1</v>
      </c>
      <c r="AE2532" t="s">
        <v>356</v>
      </c>
      <c r="AF2532">
        <v>20</v>
      </c>
      <c r="AG2532" s="1">
        <v>44076</v>
      </c>
      <c r="AH2532" s="1">
        <v>44076</v>
      </c>
      <c r="AI2532" s="1">
        <v>44076</v>
      </c>
      <c r="AJ2532" s="1">
        <v>51381</v>
      </c>
      <c r="AK2532" t="s">
        <v>51</v>
      </c>
      <c r="AN2532">
        <v>0</v>
      </c>
      <c r="AO2532" t="s">
        <v>54</v>
      </c>
      <c r="AP2532" t="s">
        <v>53</v>
      </c>
      <c r="AQ2532">
        <v>0</v>
      </c>
      <c r="AR2532" t="s">
        <v>145</v>
      </c>
      <c r="AS2532">
        <v>0</v>
      </c>
      <c r="AT2532">
        <v>0</v>
      </c>
      <c r="CC2532" t="s">
        <v>555</v>
      </c>
      <c r="CD2532">
        <v>85000</v>
      </c>
      <c r="CE2532" s="1">
        <v>44076</v>
      </c>
      <c r="CF2532" s="1">
        <v>44076</v>
      </c>
      <c r="CG2532" s="1">
        <v>44076</v>
      </c>
      <c r="CH2532" s="1">
        <v>51664</v>
      </c>
      <c r="CI2532" t="s">
        <v>51</v>
      </c>
      <c r="CK2532" t="s">
        <v>78</v>
      </c>
      <c r="CM2532" t="s">
        <v>54</v>
      </c>
      <c r="CN2532" t="s">
        <v>174</v>
      </c>
      <c r="CO2532" t="s">
        <v>86</v>
      </c>
      <c r="CR2532">
        <v>20</v>
      </c>
      <c r="CS2532">
        <v>0</v>
      </c>
      <c r="CT2532">
        <v>0</v>
      </c>
      <c r="CU2532">
        <v>0</v>
      </c>
    </row>
    <row r="2533" spans="1:99" x14ac:dyDescent="0.2">
      <c r="A2533" t="s">
        <v>1012</v>
      </c>
      <c r="B2533" t="s">
        <v>1013</v>
      </c>
      <c r="C2533" t="s">
        <v>1014</v>
      </c>
      <c r="D2533" t="s">
        <v>1020</v>
      </c>
      <c r="F2533" t="str">
        <f>"252129"</f>
        <v>252129</v>
      </c>
      <c r="G2533" t="s">
        <v>49</v>
      </c>
      <c r="K2533" t="s">
        <v>51</v>
      </c>
      <c r="L2533" t="s">
        <v>52</v>
      </c>
      <c r="M2533">
        <v>131813.50899999999</v>
      </c>
      <c r="N2533">
        <v>476309.88400000002</v>
      </c>
      <c r="O2533" t="s">
        <v>53</v>
      </c>
      <c r="P2533" t="s">
        <v>54</v>
      </c>
      <c r="Q2533" t="s">
        <v>55</v>
      </c>
      <c r="T2533" t="s">
        <v>466</v>
      </c>
      <c r="U2533">
        <v>40</v>
      </c>
      <c r="V2533" s="1">
        <v>31048</v>
      </c>
      <c r="W2533" s="1">
        <v>31048</v>
      </c>
      <c r="X2533" s="1">
        <v>31048</v>
      </c>
      <c r="Y2533" s="1">
        <v>45658</v>
      </c>
      <c r="Z2533" t="s">
        <v>51</v>
      </c>
      <c r="AB2533" t="s">
        <v>54</v>
      </c>
      <c r="AC2533">
        <v>1</v>
      </c>
      <c r="AE2533" t="s">
        <v>356</v>
      </c>
      <c r="AF2533">
        <v>20</v>
      </c>
      <c r="AG2533" s="1">
        <v>44075</v>
      </c>
      <c r="AH2533" s="1">
        <v>44075</v>
      </c>
      <c r="AI2533" s="1">
        <v>44075</v>
      </c>
      <c r="AJ2533" s="1">
        <v>51380</v>
      </c>
      <c r="AK2533" t="s">
        <v>51</v>
      </c>
      <c r="AN2533">
        <v>0</v>
      </c>
      <c r="AO2533" t="s">
        <v>54</v>
      </c>
      <c r="AP2533" t="s">
        <v>53</v>
      </c>
      <c r="AQ2533">
        <v>0</v>
      </c>
      <c r="AR2533" t="s">
        <v>145</v>
      </c>
      <c r="AS2533">
        <v>0</v>
      </c>
      <c r="AT2533">
        <v>0</v>
      </c>
      <c r="CC2533" t="s">
        <v>555</v>
      </c>
      <c r="CD2533">
        <v>85000</v>
      </c>
      <c r="CE2533" s="1">
        <v>44075</v>
      </c>
      <c r="CF2533" s="1">
        <v>44075</v>
      </c>
      <c r="CG2533" s="1">
        <v>44075</v>
      </c>
      <c r="CH2533" s="1">
        <v>51663</v>
      </c>
      <c r="CI2533" t="s">
        <v>51</v>
      </c>
      <c r="CK2533" t="s">
        <v>78</v>
      </c>
      <c r="CM2533" t="s">
        <v>54</v>
      </c>
      <c r="CN2533" t="s">
        <v>174</v>
      </c>
      <c r="CO2533" t="s">
        <v>86</v>
      </c>
      <c r="CR2533">
        <v>20</v>
      </c>
      <c r="CS2533">
        <v>0</v>
      </c>
      <c r="CT2533">
        <v>0</v>
      </c>
      <c r="CU2533">
        <v>0</v>
      </c>
    </row>
    <row r="2534" spans="1:99" x14ac:dyDescent="0.2">
      <c r="A2534" t="s">
        <v>1012</v>
      </c>
      <c r="B2534" t="s">
        <v>1013</v>
      </c>
      <c r="C2534" t="s">
        <v>1014</v>
      </c>
      <c r="D2534" t="s">
        <v>1020</v>
      </c>
      <c r="F2534" t="str">
        <f>"252131"</f>
        <v>252131</v>
      </c>
      <c r="G2534" t="s">
        <v>49</v>
      </c>
      <c r="K2534" t="s">
        <v>51</v>
      </c>
      <c r="L2534" t="s">
        <v>52</v>
      </c>
      <c r="M2534">
        <v>131824.19</v>
      </c>
      <c r="N2534">
        <v>476378.75</v>
      </c>
      <c r="O2534" t="s">
        <v>53</v>
      </c>
      <c r="P2534" t="s">
        <v>54</v>
      </c>
      <c r="Q2534" t="s">
        <v>55</v>
      </c>
      <c r="T2534" t="s">
        <v>466</v>
      </c>
      <c r="U2534">
        <v>40</v>
      </c>
      <c r="V2534" s="1">
        <v>31048</v>
      </c>
      <c r="W2534" s="1">
        <v>31048</v>
      </c>
      <c r="X2534" s="1">
        <v>31048</v>
      </c>
      <c r="Y2534" s="1">
        <v>45658</v>
      </c>
      <c r="Z2534" t="s">
        <v>51</v>
      </c>
      <c r="AB2534" t="s">
        <v>54</v>
      </c>
      <c r="AC2534">
        <v>1</v>
      </c>
      <c r="AE2534" t="s">
        <v>356</v>
      </c>
      <c r="AF2534">
        <v>20</v>
      </c>
      <c r="AG2534" s="1">
        <v>44075</v>
      </c>
      <c r="AH2534" s="1">
        <v>44075</v>
      </c>
      <c r="AI2534" s="1">
        <v>44075</v>
      </c>
      <c r="AJ2534" s="1">
        <v>51380</v>
      </c>
      <c r="AK2534" t="s">
        <v>51</v>
      </c>
      <c r="AN2534">
        <v>0</v>
      </c>
      <c r="AO2534" t="s">
        <v>54</v>
      </c>
      <c r="AP2534" t="s">
        <v>53</v>
      </c>
      <c r="AQ2534">
        <v>0</v>
      </c>
      <c r="AR2534" t="s">
        <v>145</v>
      </c>
      <c r="AS2534">
        <v>0</v>
      </c>
      <c r="AT2534">
        <v>0</v>
      </c>
      <c r="CC2534" t="s">
        <v>555</v>
      </c>
      <c r="CD2534">
        <v>85000</v>
      </c>
      <c r="CE2534" s="1">
        <v>44075</v>
      </c>
      <c r="CF2534" s="1">
        <v>44075</v>
      </c>
      <c r="CG2534" s="1">
        <v>44075</v>
      </c>
      <c r="CH2534" s="1">
        <v>51663</v>
      </c>
      <c r="CI2534" t="s">
        <v>51</v>
      </c>
      <c r="CK2534" t="s">
        <v>78</v>
      </c>
      <c r="CM2534" t="s">
        <v>54</v>
      </c>
      <c r="CN2534" t="s">
        <v>174</v>
      </c>
      <c r="CO2534" t="s">
        <v>86</v>
      </c>
      <c r="CR2534">
        <v>20</v>
      </c>
      <c r="CS2534">
        <v>0</v>
      </c>
      <c r="CT2534">
        <v>0</v>
      </c>
      <c r="CU2534">
        <v>0</v>
      </c>
    </row>
    <row r="2535" spans="1:99" x14ac:dyDescent="0.2">
      <c r="A2535" t="s">
        <v>1012</v>
      </c>
      <c r="B2535" t="s">
        <v>1013</v>
      </c>
      <c r="C2535" t="s">
        <v>1014</v>
      </c>
      <c r="D2535" t="s">
        <v>1020</v>
      </c>
      <c r="F2535" t="str">
        <f>"252132"</f>
        <v>252132</v>
      </c>
      <c r="G2535" t="s">
        <v>49</v>
      </c>
      <c r="K2535" t="s">
        <v>51</v>
      </c>
      <c r="L2535" t="s">
        <v>52</v>
      </c>
      <c r="M2535">
        <v>131828.91099999999</v>
      </c>
      <c r="N2535">
        <v>476411.44</v>
      </c>
      <c r="O2535" t="s">
        <v>53</v>
      </c>
      <c r="P2535" t="s">
        <v>54</v>
      </c>
      <c r="Q2535" t="s">
        <v>55</v>
      </c>
      <c r="T2535" t="s">
        <v>466</v>
      </c>
      <c r="U2535">
        <v>40</v>
      </c>
      <c r="V2535" s="1">
        <v>31048</v>
      </c>
      <c r="W2535" s="1">
        <v>31048</v>
      </c>
      <c r="X2535" s="1">
        <v>31048</v>
      </c>
      <c r="Y2535" s="1">
        <v>45658</v>
      </c>
      <c r="Z2535" t="s">
        <v>51</v>
      </c>
      <c r="AB2535" t="s">
        <v>54</v>
      </c>
      <c r="AC2535">
        <v>1</v>
      </c>
      <c r="AE2535" t="s">
        <v>356</v>
      </c>
      <c r="AF2535">
        <v>20</v>
      </c>
      <c r="AG2535" s="1">
        <v>44075</v>
      </c>
      <c r="AH2535" s="1">
        <v>44075</v>
      </c>
      <c r="AI2535" s="1">
        <v>44075</v>
      </c>
      <c r="AJ2535" s="1">
        <v>51380</v>
      </c>
      <c r="AK2535" t="s">
        <v>51</v>
      </c>
      <c r="AN2535">
        <v>0</v>
      </c>
      <c r="AO2535" t="s">
        <v>54</v>
      </c>
      <c r="AP2535" t="s">
        <v>53</v>
      </c>
      <c r="AQ2535">
        <v>0</v>
      </c>
      <c r="AR2535" t="s">
        <v>145</v>
      </c>
      <c r="AS2535">
        <v>0</v>
      </c>
      <c r="AT2535">
        <v>0</v>
      </c>
      <c r="CC2535" t="s">
        <v>555</v>
      </c>
      <c r="CD2535">
        <v>85000</v>
      </c>
      <c r="CE2535" s="1">
        <v>44075</v>
      </c>
      <c r="CF2535" s="1">
        <v>44075</v>
      </c>
      <c r="CG2535" s="1">
        <v>44075</v>
      </c>
      <c r="CH2535" s="1">
        <v>51663</v>
      </c>
      <c r="CI2535" t="s">
        <v>51</v>
      </c>
      <c r="CK2535" t="s">
        <v>78</v>
      </c>
      <c r="CM2535" t="s">
        <v>54</v>
      </c>
      <c r="CN2535" t="s">
        <v>174</v>
      </c>
      <c r="CO2535" t="s">
        <v>86</v>
      </c>
      <c r="CR2535">
        <v>20</v>
      </c>
      <c r="CS2535">
        <v>0</v>
      </c>
      <c r="CT2535">
        <v>0</v>
      </c>
      <c r="CU2535">
        <v>0</v>
      </c>
    </row>
    <row r="2536" spans="1:99" x14ac:dyDescent="0.2">
      <c r="A2536" t="s">
        <v>1012</v>
      </c>
      <c r="B2536" t="s">
        <v>1013</v>
      </c>
      <c r="C2536" t="s">
        <v>1014</v>
      </c>
      <c r="D2536" t="s">
        <v>1020</v>
      </c>
      <c r="F2536" t="str">
        <f>"252133"</f>
        <v>252133</v>
      </c>
      <c r="G2536" t="s">
        <v>49</v>
      </c>
      <c r="K2536" t="s">
        <v>51</v>
      </c>
      <c r="L2536" t="s">
        <v>52</v>
      </c>
      <c r="M2536">
        <v>131833.76800000001</v>
      </c>
      <c r="N2536">
        <v>476440.76799999998</v>
      </c>
      <c r="O2536" t="s">
        <v>53</v>
      </c>
      <c r="P2536" t="s">
        <v>54</v>
      </c>
      <c r="Q2536" t="s">
        <v>55</v>
      </c>
      <c r="T2536" t="s">
        <v>466</v>
      </c>
      <c r="U2536">
        <v>40</v>
      </c>
      <c r="V2536" s="1">
        <v>31048</v>
      </c>
      <c r="W2536" s="1">
        <v>31048</v>
      </c>
      <c r="X2536" s="1">
        <v>31048</v>
      </c>
      <c r="Y2536" s="1">
        <v>45658</v>
      </c>
      <c r="Z2536" t="s">
        <v>51</v>
      </c>
      <c r="AB2536" t="s">
        <v>54</v>
      </c>
      <c r="AC2536">
        <v>1</v>
      </c>
      <c r="AE2536" t="s">
        <v>356</v>
      </c>
      <c r="AF2536">
        <v>20</v>
      </c>
      <c r="AG2536" s="1">
        <v>44075</v>
      </c>
      <c r="AH2536" s="1">
        <v>44075</v>
      </c>
      <c r="AI2536" s="1">
        <v>44075</v>
      </c>
      <c r="AJ2536" s="1">
        <v>51380</v>
      </c>
      <c r="AK2536" t="s">
        <v>51</v>
      </c>
      <c r="AN2536">
        <v>0</v>
      </c>
      <c r="AO2536" t="s">
        <v>54</v>
      </c>
      <c r="AP2536" t="s">
        <v>53</v>
      </c>
      <c r="AQ2536">
        <v>0</v>
      </c>
      <c r="AR2536" t="s">
        <v>145</v>
      </c>
      <c r="AS2536">
        <v>0</v>
      </c>
      <c r="AT2536">
        <v>0</v>
      </c>
      <c r="CC2536" t="s">
        <v>555</v>
      </c>
      <c r="CD2536">
        <v>85000</v>
      </c>
      <c r="CE2536" s="1">
        <v>44075</v>
      </c>
      <c r="CF2536" s="1">
        <v>44075</v>
      </c>
      <c r="CG2536" s="1">
        <v>44075</v>
      </c>
      <c r="CH2536" s="1">
        <v>51663</v>
      </c>
      <c r="CI2536" t="s">
        <v>51</v>
      </c>
      <c r="CK2536" t="s">
        <v>78</v>
      </c>
      <c r="CM2536" t="s">
        <v>54</v>
      </c>
      <c r="CN2536" t="s">
        <v>174</v>
      </c>
      <c r="CO2536" t="s">
        <v>86</v>
      </c>
      <c r="CR2536">
        <v>20</v>
      </c>
      <c r="CS2536">
        <v>0</v>
      </c>
      <c r="CT2536">
        <v>0</v>
      </c>
      <c r="CU2536">
        <v>0</v>
      </c>
    </row>
    <row r="2537" spans="1:99" x14ac:dyDescent="0.2">
      <c r="A2537" t="s">
        <v>1012</v>
      </c>
      <c r="B2537" t="s">
        <v>1013</v>
      </c>
      <c r="C2537" t="s">
        <v>1014</v>
      </c>
      <c r="D2537" t="s">
        <v>1020</v>
      </c>
      <c r="F2537" t="str">
        <f>"252134"</f>
        <v>252134</v>
      </c>
      <c r="G2537" t="s">
        <v>49</v>
      </c>
      <c r="K2537" t="s">
        <v>51</v>
      </c>
      <c r="L2537" t="s">
        <v>52</v>
      </c>
      <c r="M2537">
        <v>131837.23000000001</v>
      </c>
      <c r="N2537">
        <v>476464.31800000003</v>
      </c>
      <c r="O2537" t="s">
        <v>53</v>
      </c>
      <c r="P2537" t="s">
        <v>54</v>
      </c>
      <c r="Q2537" t="s">
        <v>55</v>
      </c>
      <c r="T2537" t="s">
        <v>466</v>
      </c>
      <c r="U2537">
        <v>40</v>
      </c>
      <c r="V2537" s="1">
        <v>31048</v>
      </c>
      <c r="W2537" s="1">
        <v>31048</v>
      </c>
      <c r="X2537" s="1">
        <v>31048</v>
      </c>
      <c r="Y2537" s="1">
        <v>45658</v>
      </c>
      <c r="Z2537" t="s">
        <v>51</v>
      </c>
      <c r="AB2537" t="s">
        <v>54</v>
      </c>
      <c r="AC2537">
        <v>1</v>
      </c>
      <c r="AE2537" t="s">
        <v>356</v>
      </c>
      <c r="AF2537">
        <v>20</v>
      </c>
      <c r="AG2537" s="1">
        <v>44075</v>
      </c>
      <c r="AH2537" s="1">
        <v>44075</v>
      </c>
      <c r="AI2537" s="1">
        <v>44075</v>
      </c>
      <c r="AJ2537" s="1">
        <v>51380</v>
      </c>
      <c r="AK2537" t="s">
        <v>51</v>
      </c>
      <c r="AN2537">
        <v>0</v>
      </c>
      <c r="AO2537" t="s">
        <v>54</v>
      </c>
      <c r="AP2537" t="s">
        <v>53</v>
      </c>
      <c r="AQ2537">
        <v>0</v>
      </c>
      <c r="AR2537" t="s">
        <v>145</v>
      </c>
      <c r="AS2537">
        <v>0</v>
      </c>
      <c r="AT2537">
        <v>0</v>
      </c>
      <c r="CC2537" t="s">
        <v>555</v>
      </c>
      <c r="CD2537">
        <v>85000</v>
      </c>
      <c r="CE2537" s="1">
        <v>44075</v>
      </c>
      <c r="CF2537" s="1">
        <v>44075</v>
      </c>
      <c r="CG2537" s="1">
        <v>44075</v>
      </c>
      <c r="CH2537" s="1">
        <v>51663</v>
      </c>
      <c r="CI2537" t="s">
        <v>51</v>
      </c>
      <c r="CK2537" t="s">
        <v>78</v>
      </c>
      <c r="CM2537" t="s">
        <v>54</v>
      </c>
      <c r="CN2537" t="s">
        <v>174</v>
      </c>
      <c r="CO2537" t="s">
        <v>86</v>
      </c>
      <c r="CR2537">
        <v>20</v>
      </c>
      <c r="CS2537">
        <v>0</v>
      </c>
      <c r="CT2537">
        <v>0</v>
      </c>
      <c r="CU2537">
        <v>0</v>
      </c>
    </row>
    <row r="2538" spans="1:99" x14ac:dyDescent="0.2">
      <c r="A2538" t="s">
        <v>1012</v>
      </c>
      <c r="B2538" t="s">
        <v>1013</v>
      </c>
      <c r="C2538" t="s">
        <v>1014</v>
      </c>
      <c r="D2538" t="s">
        <v>1020</v>
      </c>
      <c r="F2538" t="str">
        <f>"252135"</f>
        <v>252135</v>
      </c>
      <c r="G2538" t="s">
        <v>49</v>
      </c>
      <c r="K2538" t="s">
        <v>51</v>
      </c>
      <c r="L2538" t="s">
        <v>52</v>
      </c>
      <c r="M2538">
        <v>131840.929</v>
      </c>
      <c r="N2538">
        <v>476487.12099999998</v>
      </c>
      <c r="O2538" t="s">
        <v>53</v>
      </c>
      <c r="P2538" t="s">
        <v>54</v>
      </c>
      <c r="Q2538" t="s">
        <v>55</v>
      </c>
      <c r="T2538" t="s">
        <v>466</v>
      </c>
      <c r="U2538">
        <v>40</v>
      </c>
      <c r="V2538" s="1">
        <v>31048</v>
      </c>
      <c r="W2538" s="1">
        <v>31048</v>
      </c>
      <c r="X2538" s="1">
        <v>31048</v>
      </c>
      <c r="Y2538" s="1">
        <v>45658</v>
      </c>
      <c r="Z2538" t="s">
        <v>51</v>
      </c>
      <c r="AB2538" t="s">
        <v>54</v>
      </c>
      <c r="AC2538">
        <v>1</v>
      </c>
      <c r="AE2538" t="s">
        <v>356</v>
      </c>
      <c r="AF2538">
        <v>20</v>
      </c>
      <c r="AG2538" s="1">
        <v>44075</v>
      </c>
      <c r="AH2538" s="1">
        <v>44075</v>
      </c>
      <c r="AI2538" s="1">
        <v>44075</v>
      </c>
      <c r="AJ2538" s="1">
        <v>51380</v>
      </c>
      <c r="AK2538" t="s">
        <v>51</v>
      </c>
      <c r="AN2538">
        <v>0</v>
      </c>
      <c r="AO2538" t="s">
        <v>54</v>
      </c>
      <c r="AP2538" t="s">
        <v>53</v>
      </c>
      <c r="AQ2538">
        <v>0</v>
      </c>
      <c r="AR2538" t="s">
        <v>145</v>
      </c>
      <c r="AS2538">
        <v>0</v>
      </c>
      <c r="AT2538">
        <v>0</v>
      </c>
      <c r="CC2538" t="s">
        <v>555</v>
      </c>
      <c r="CD2538">
        <v>85000</v>
      </c>
      <c r="CE2538" s="1">
        <v>44075</v>
      </c>
      <c r="CF2538" s="1">
        <v>44075</v>
      </c>
      <c r="CG2538" s="1">
        <v>44075</v>
      </c>
      <c r="CH2538" s="1">
        <v>51663</v>
      </c>
      <c r="CI2538" t="s">
        <v>51</v>
      </c>
      <c r="CK2538" t="s">
        <v>78</v>
      </c>
      <c r="CM2538" t="s">
        <v>54</v>
      </c>
      <c r="CN2538" t="s">
        <v>174</v>
      </c>
      <c r="CO2538" t="s">
        <v>86</v>
      </c>
      <c r="CR2538">
        <v>20</v>
      </c>
      <c r="CS2538">
        <v>0</v>
      </c>
      <c r="CT2538">
        <v>0</v>
      </c>
      <c r="CU2538">
        <v>0</v>
      </c>
    </row>
    <row r="2539" spans="1:99" x14ac:dyDescent="0.2">
      <c r="A2539" t="s">
        <v>1012</v>
      </c>
      <c r="B2539" t="s">
        <v>1013</v>
      </c>
      <c r="C2539" t="s">
        <v>1014</v>
      </c>
      <c r="D2539" t="s">
        <v>1020</v>
      </c>
      <c r="F2539" t="str">
        <f>"252136"</f>
        <v>252136</v>
      </c>
      <c r="G2539" t="s">
        <v>49</v>
      </c>
      <c r="K2539" t="s">
        <v>51</v>
      </c>
      <c r="L2539" t="s">
        <v>52</v>
      </c>
      <c r="M2539">
        <v>131847.08100000001</v>
      </c>
      <c r="N2539">
        <v>476510.935</v>
      </c>
      <c r="O2539" t="s">
        <v>53</v>
      </c>
      <c r="P2539" t="s">
        <v>54</v>
      </c>
      <c r="Q2539" t="s">
        <v>55</v>
      </c>
      <c r="T2539" t="s">
        <v>466</v>
      </c>
      <c r="U2539">
        <v>40</v>
      </c>
      <c r="V2539" s="1">
        <v>31048</v>
      </c>
      <c r="W2539" s="1">
        <v>31048</v>
      </c>
      <c r="X2539" s="1">
        <v>31048</v>
      </c>
      <c r="Y2539" s="1">
        <v>45658</v>
      </c>
      <c r="Z2539" t="s">
        <v>51</v>
      </c>
      <c r="AB2539" t="s">
        <v>54</v>
      </c>
      <c r="AC2539">
        <v>1</v>
      </c>
      <c r="AE2539" t="s">
        <v>356</v>
      </c>
      <c r="AF2539">
        <v>20</v>
      </c>
      <c r="AG2539" s="1">
        <v>44075</v>
      </c>
      <c r="AH2539" s="1">
        <v>44075</v>
      </c>
      <c r="AI2539" s="1">
        <v>44075</v>
      </c>
      <c r="AJ2539" s="1">
        <v>51380</v>
      </c>
      <c r="AK2539" t="s">
        <v>51</v>
      </c>
      <c r="AN2539">
        <v>0</v>
      </c>
      <c r="AO2539" t="s">
        <v>54</v>
      </c>
      <c r="AP2539" t="s">
        <v>53</v>
      </c>
      <c r="AQ2539">
        <v>0</v>
      </c>
      <c r="AR2539" t="s">
        <v>145</v>
      </c>
      <c r="AS2539">
        <v>0</v>
      </c>
      <c r="AT2539">
        <v>0</v>
      </c>
      <c r="CC2539" t="s">
        <v>555</v>
      </c>
      <c r="CD2539">
        <v>85000</v>
      </c>
      <c r="CE2539" s="1">
        <v>44075</v>
      </c>
      <c r="CF2539" s="1">
        <v>44075</v>
      </c>
      <c r="CG2539" s="1">
        <v>44075</v>
      </c>
      <c r="CH2539" s="1">
        <v>51663</v>
      </c>
      <c r="CI2539" t="s">
        <v>51</v>
      </c>
      <c r="CK2539" t="s">
        <v>78</v>
      </c>
      <c r="CM2539" t="s">
        <v>54</v>
      </c>
      <c r="CN2539" t="s">
        <v>174</v>
      </c>
      <c r="CO2539" t="s">
        <v>86</v>
      </c>
      <c r="CR2539">
        <v>20</v>
      </c>
      <c r="CS2539">
        <v>0</v>
      </c>
      <c r="CT2539">
        <v>0</v>
      </c>
      <c r="CU2539">
        <v>0</v>
      </c>
    </row>
    <row r="2540" spans="1:99" x14ac:dyDescent="0.2">
      <c r="A2540" t="s">
        <v>1012</v>
      </c>
      <c r="B2540" t="s">
        <v>1013</v>
      </c>
      <c r="C2540" t="s">
        <v>1014</v>
      </c>
      <c r="D2540" t="s">
        <v>1020</v>
      </c>
      <c r="F2540" t="str">
        <f>"252137"</f>
        <v>252137</v>
      </c>
      <c r="G2540" t="s">
        <v>49</v>
      </c>
      <c r="K2540" t="s">
        <v>51</v>
      </c>
      <c r="L2540" t="s">
        <v>52</v>
      </c>
      <c r="M2540">
        <v>131847.54999999999</v>
      </c>
      <c r="N2540">
        <v>476529.22</v>
      </c>
      <c r="O2540" t="s">
        <v>53</v>
      </c>
      <c r="P2540" t="s">
        <v>54</v>
      </c>
      <c r="Q2540" t="s">
        <v>55</v>
      </c>
      <c r="T2540" t="s">
        <v>466</v>
      </c>
      <c r="U2540">
        <v>40</v>
      </c>
      <c r="V2540" s="1">
        <v>31048</v>
      </c>
      <c r="W2540" s="1">
        <v>31048</v>
      </c>
      <c r="X2540" s="1">
        <v>31048</v>
      </c>
      <c r="Y2540" s="1">
        <v>45658</v>
      </c>
      <c r="Z2540" t="s">
        <v>51</v>
      </c>
      <c r="AB2540" t="s">
        <v>54</v>
      </c>
      <c r="AC2540">
        <v>1</v>
      </c>
      <c r="AE2540" t="s">
        <v>356</v>
      </c>
      <c r="AF2540">
        <v>20</v>
      </c>
      <c r="AG2540" s="1">
        <v>44075</v>
      </c>
      <c r="AH2540" s="1">
        <v>44075</v>
      </c>
      <c r="AI2540" s="1">
        <v>44075</v>
      </c>
      <c r="AJ2540" s="1">
        <v>51380</v>
      </c>
      <c r="AK2540" t="s">
        <v>51</v>
      </c>
      <c r="AN2540">
        <v>0</v>
      </c>
      <c r="AO2540" t="s">
        <v>54</v>
      </c>
      <c r="AP2540" t="s">
        <v>53</v>
      </c>
      <c r="AQ2540">
        <v>0</v>
      </c>
      <c r="AR2540" t="s">
        <v>145</v>
      </c>
      <c r="AS2540">
        <v>0</v>
      </c>
      <c r="AT2540">
        <v>0</v>
      </c>
      <c r="CC2540" t="s">
        <v>555</v>
      </c>
      <c r="CD2540">
        <v>85000</v>
      </c>
      <c r="CE2540" s="1">
        <v>44075</v>
      </c>
      <c r="CF2540" s="1">
        <v>44075</v>
      </c>
      <c r="CG2540" s="1">
        <v>44075</v>
      </c>
      <c r="CH2540" s="1">
        <v>51663</v>
      </c>
      <c r="CI2540" t="s">
        <v>51</v>
      </c>
      <c r="CK2540" t="s">
        <v>78</v>
      </c>
      <c r="CM2540" t="s">
        <v>54</v>
      </c>
      <c r="CN2540" t="s">
        <v>174</v>
      </c>
      <c r="CO2540" t="s">
        <v>86</v>
      </c>
      <c r="CR2540">
        <v>20</v>
      </c>
      <c r="CS2540">
        <v>0</v>
      </c>
      <c r="CT2540">
        <v>0</v>
      </c>
      <c r="CU2540">
        <v>0</v>
      </c>
    </row>
    <row r="2541" spans="1:99" x14ac:dyDescent="0.2">
      <c r="A2541" t="s">
        <v>1012</v>
      </c>
      <c r="B2541" t="s">
        <v>1013</v>
      </c>
      <c r="C2541" t="s">
        <v>1014</v>
      </c>
      <c r="D2541" t="s">
        <v>1109</v>
      </c>
      <c r="F2541" t="str">
        <f>"252138"</f>
        <v>252138</v>
      </c>
      <c r="G2541" t="s">
        <v>49</v>
      </c>
      <c r="H2541" t="s">
        <v>779</v>
      </c>
      <c r="K2541" t="s">
        <v>51</v>
      </c>
      <c r="L2541" t="s">
        <v>52</v>
      </c>
      <c r="M2541">
        <v>131782.53</v>
      </c>
      <c r="N2541">
        <v>476192.6</v>
      </c>
      <c r="O2541" t="s">
        <v>53</v>
      </c>
      <c r="P2541" t="s">
        <v>54</v>
      </c>
      <c r="Q2541" t="s">
        <v>55</v>
      </c>
      <c r="T2541" t="s">
        <v>466</v>
      </c>
      <c r="U2541">
        <v>40</v>
      </c>
      <c r="V2541" s="1">
        <v>31048</v>
      </c>
      <c r="W2541" s="1">
        <v>31048</v>
      </c>
      <c r="X2541" s="1">
        <v>31048</v>
      </c>
      <c r="Y2541" s="1">
        <v>45658</v>
      </c>
      <c r="Z2541" t="s">
        <v>51</v>
      </c>
      <c r="AB2541" t="s">
        <v>54</v>
      </c>
      <c r="AC2541">
        <v>1</v>
      </c>
      <c r="AE2541" t="s">
        <v>356</v>
      </c>
      <c r="AF2541">
        <v>20</v>
      </c>
      <c r="AG2541" s="1">
        <v>44075</v>
      </c>
      <c r="AH2541" s="1">
        <v>44075</v>
      </c>
      <c r="AI2541" s="1">
        <v>44075</v>
      </c>
      <c r="AJ2541" s="1">
        <v>51380</v>
      </c>
      <c r="AK2541" t="s">
        <v>51</v>
      </c>
      <c r="AN2541">
        <v>0</v>
      </c>
      <c r="AO2541" t="s">
        <v>54</v>
      </c>
      <c r="AP2541" t="s">
        <v>53</v>
      </c>
      <c r="AQ2541">
        <v>0</v>
      </c>
      <c r="AR2541" t="s">
        <v>145</v>
      </c>
      <c r="AS2541">
        <v>0</v>
      </c>
      <c r="AT2541">
        <v>0</v>
      </c>
      <c r="CC2541" t="s">
        <v>555</v>
      </c>
      <c r="CD2541">
        <v>85000</v>
      </c>
      <c r="CE2541" s="1">
        <v>44075</v>
      </c>
      <c r="CF2541" s="1">
        <v>44075</v>
      </c>
      <c r="CG2541" s="1">
        <v>44075</v>
      </c>
      <c r="CH2541" s="1">
        <v>51663</v>
      </c>
      <c r="CI2541" t="s">
        <v>51</v>
      </c>
      <c r="CK2541" t="s">
        <v>78</v>
      </c>
      <c r="CM2541" t="s">
        <v>54</v>
      </c>
      <c r="CN2541" t="s">
        <v>174</v>
      </c>
      <c r="CO2541" t="s">
        <v>86</v>
      </c>
      <c r="CR2541">
        <v>20</v>
      </c>
      <c r="CS2541">
        <v>0</v>
      </c>
      <c r="CT2541">
        <v>0</v>
      </c>
      <c r="CU2541">
        <v>0</v>
      </c>
    </row>
    <row r="2542" spans="1:99" x14ac:dyDescent="0.2">
      <c r="A2542" t="s">
        <v>1012</v>
      </c>
      <c r="B2542" t="s">
        <v>1013</v>
      </c>
      <c r="C2542" t="s">
        <v>1014</v>
      </c>
      <c r="D2542" t="s">
        <v>1109</v>
      </c>
      <c r="F2542" t="str">
        <f>"252139"</f>
        <v>252139</v>
      </c>
      <c r="G2542" t="s">
        <v>49</v>
      </c>
      <c r="H2542" t="s">
        <v>1110</v>
      </c>
      <c r="K2542" t="s">
        <v>51</v>
      </c>
      <c r="L2542" t="s">
        <v>52</v>
      </c>
      <c r="M2542">
        <v>131783.14000000001</v>
      </c>
      <c r="N2542">
        <v>476162.33</v>
      </c>
      <c r="O2542" t="s">
        <v>53</v>
      </c>
      <c r="P2542" t="s">
        <v>54</v>
      </c>
      <c r="Q2542" t="s">
        <v>55</v>
      </c>
      <c r="T2542" t="s">
        <v>466</v>
      </c>
      <c r="U2542">
        <v>40</v>
      </c>
      <c r="V2542" s="1">
        <v>31048</v>
      </c>
      <c r="W2542" s="1">
        <v>31048</v>
      </c>
      <c r="X2542" s="1">
        <v>31048</v>
      </c>
      <c r="Y2542" s="1">
        <v>45658</v>
      </c>
      <c r="Z2542" t="s">
        <v>51</v>
      </c>
      <c r="AB2542" t="s">
        <v>54</v>
      </c>
      <c r="AC2542">
        <v>1</v>
      </c>
      <c r="AE2542" t="s">
        <v>356</v>
      </c>
      <c r="AF2542">
        <v>20</v>
      </c>
      <c r="AG2542" s="1">
        <v>44075</v>
      </c>
      <c r="AH2542" s="1">
        <v>44075</v>
      </c>
      <c r="AI2542" s="1">
        <v>44075</v>
      </c>
      <c r="AJ2542" s="1">
        <v>51380</v>
      </c>
      <c r="AK2542" t="s">
        <v>51</v>
      </c>
      <c r="AN2542">
        <v>0</v>
      </c>
      <c r="AO2542" t="s">
        <v>54</v>
      </c>
      <c r="AP2542" t="s">
        <v>53</v>
      </c>
      <c r="AQ2542">
        <v>0</v>
      </c>
      <c r="AR2542" t="s">
        <v>145</v>
      </c>
      <c r="AS2542">
        <v>0</v>
      </c>
      <c r="AT2542">
        <v>0</v>
      </c>
      <c r="CC2542" t="s">
        <v>555</v>
      </c>
      <c r="CD2542">
        <v>85000</v>
      </c>
      <c r="CE2542" s="1">
        <v>44075</v>
      </c>
      <c r="CF2542" s="1">
        <v>44075</v>
      </c>
      <c r="CG2542" s="1">
        <v>44075</v>
      </c>
      <c r="CH2542" s="1">
        <v>51663</v>
      </c>
      <c r="CI2542" t="s">
        <v>51</v>
      </c>
      <c r="CK2542" t="s">
        <v>78</v>
      </c>
      <c r="CM2542" t="s">
        <v>54</v>
      </c>
      <c r="CN2542" t="s">
        <v>174</v>
      </c>
      <c r="CO2542" t="s">
        <v>86</v>
      </c>
      <c r="CR2542">
        <v>20</v>
      </c>
      <c r="CS2542">
        <v>0</v>
      </c>
      <c r="CT2542">
        <v>0</v>
      </c>
      <c r="CU2542">
        <v>0</v>
      </c>
    </row>
    <row r="2543" spans="1:99" x14ac:dyDescent="0.2">
      <c r="A2543" t="s">
        <v>1012</v>
      </c>
      <c r="B2543" t="s">
        <v>1013</v>
      </c>
      <c r="C2543" t="s">
        <v>1014</v>
      </c>
      <c r="D2543" t="s">
        <v>1109</v>
      </c>
      <c r="F2543" t="str">
        <f>"252140"</f>
        <v>252140</v>
      </c>
      <c r="G2543" t="s">
        <v>49</v>
      </c>
      <c r="H2543" t="s">
        <v>1111</v>
      </c>
      <c r="K2543" t="s">
        <v>51</v>
      </c>
      <c r="L2543" t="s">
        <v>52</v>
      </c>
      <c r="M2543">
        <v>131748.82999999999</v>
      </c>
      <c r="N2543">
        <v>475974.96</v>
      </c>
      <c r="O2543" t="s">
        <v>53</v>
      </c>
      <c r="P2543" t="s">
        <v>54</v>
      </c>
      <c r="Q2543" t="s">
        <v>55</v>
      </c>
      <c r="T2543" t="s">
        <v>466</v>
      </c>
      <c r="U2543">
        <v>40</v>
      </c>
      <c r="V2543" s="1">
        <v>31048</v>
      </c>
      <c r="W2543" s="1">
        <v>31048</v>
      </c>
      <c r="X2543" s="1">
        <v>31048</v>
      </c>
      <c r="Y2543" s="1">
        <v>45658</v>
      </c>
      <c r="Z2543" t="s">
        <v>51</v>
      </c>
      <c r="AB2543" t="s">
        <v>54</v>
      </c>
      <c r="AC2543">
        <v>1</v>
      </c>
      <c r="AE2543" t="s">
        <v>356</v>
      </c>
      <c r="AF2543">
        <v>20</v>
      </c>
      <c r="AG2543" s="1">
        <v>44075</v>
      </c>
      <c r="AH2543" s="1">
        <v>44075</v>
      </c>
      <c r="AI2543" s="1">
        <v>44075</v>
      </c>
      <c r="AJ2543" s="1">
        <v>51380</v>
      </c>
      <c r="AK2543" t="s">
        <v>51</v>
      </c>
      <c r="AN2543">
        <v>0</v>
      </c>
      <c r="AO2543" t="s">
        <v>54</v>
      </c>
      <c r="AP2543" t="s">
        <v>53</v>
      </c>
      <c r="AQ2543">
        <v>0</v>
      </c>
      <c r="AR2543" t="s">
        <v>145</v>
      </c>
      <c r="AS2543">
        <v>0</v>
      </c>
      <c r="AT2543">
        <v>0</v>
      </c>
      <c r="CC2543" t="s">
        <v>555</v>
      </c>
      <c r="CD2543">
        <v>85000</v>
      </c>
      <c r="CE2543" s="1">
        <v>44075</v>
      </c>
      <c r="CF2543" s="1">
        <v>44075</v>
      </c>
      <c r="CG2543" s="1">
        <v>44075</v>
      </c>
      <c r="CH2543" s="1">
        <v>51663</v>
      </c>
      <c r="CI2543" t="s">
        <v>51</v>
      </c>
      <c r="CK2543" t="s">
        <v>78</v>
      </c>
      <c r="CM2543" t="s">
        <v>54</v>
      </c>
      <c r="CN2543" t="s">
        <v>174</v>
      </c>
      <c r="CO2543" t="s">
        <v>86</v>
      </c>
      <c r="CR2543">
        <v>20</v>
      </c>
      <c r="CS2543">
        <v>0</v>
      </c>
      <c r="CT2543">
        <v>0</v>
      </c>
      <c r="CU2543">
        <v>0</v>
      </c>
    </row>
    <row r="2544" spans="1:99" x14ac:dyDescent="0.2">
      <c r="A2544" t="s">
        <v>1012</v>
      </c>
      <c r="B2544" t="s">
        <v>1013</v>
      </c>
      <c r="C2544" t="s">
        <v>1014</v>
      </c>
      <c r="D2544" t="s">
        <v>1109</v>
      </c>
      <c r="F2544" t="str">
        <f>"252141"</f>
        <v>252141</v>
      </c>
      <c r="G2544" t="s">
        <v>49</v>
      </c>
      <c r="K2544" t="s">
        <v>51</v>
      </c>
      <c r="L2544" t="s">
        <v>52</v>
      </c>
      <c r="M2544">
        <v>131743.26500000001</v>
      </c>
      <c r="N2544">
        <v>475943.554</v>
      </c>
      <c r="O2544" t="s">
        <v>53</v>
      </c>
      <c r="P2544" t="s">
        <v>54</v>
      </c>
      <c r="Q2544" t="s">
        <v>55</v>
      </c>
      <c r="T2544" t="s">
        <v>466</v>
      </c>
      <c r="U2544">
        <v>40</v>
      </c>
      <c r="V2544" s="1">
        <v>31048</v>
      </c>
      <c r="W2544" s="1">
        <v>31048</v>
      </c>
      <c r="X2544" s="1">
        <v>31048</v>
      </c>
      <c r="Y2544" s="1">
        <v>45658</v>
      </c>
      <c r="Z2544" t="s">
        <v>51</v>
      </c>
      <c r="AB2544" t="s">
        <v>54</v>
      </c>
      <c r="AC2544">
        <v>1</v>
      </c>
      <c r="AE2544" t="s">
        <v>356</v>
      </c>
      <c r="AF2544">
        <v>20</v>
      </c>
      <c r="AG2544" s="1">
        <v>44075</v>
      </c>
      <c r="AH2544" s="1">
        <v>44075</v>
      </c>
      <c r="AI2544" s="1">
        <v>44075</v>
      </c>
      <c r="AJ2544" s="1">
        <v>51380</v>
      </c>
      <c r="AK2544" t="s">
        <v>51</v>
      </c>
      <c r="AN2544">
        <v>0</v>
      </c>
      <c r="AO2544" t="s">
        <v>54</v>
      </c>
      <c r="AP2544" t="s">
        <v>53</v>
      </c>
      <c r="AQ2544">
        <v>0</v>
      </c>
      <c r="AR2544" t="s">
        <v>145</v>
      </c>
      <c r="AS2544">
        <v>0</v>
      </c>
      <c r="AT2544">
        <v>0</v>
      </c>
      <c r="CC2544" t="s">
        <v>555</v>
      </c>
      <c r="CD2544">
        <v>85000</v>
      </c>
      <c r="CE2544" s="1">
        <v>44075</v>
      </c>
      <c r="CF2544" s="1">
        <v>44075</v>
      </c>
      <c r="CG2544" s="1">
        <v>44075</v>
      </c>
      <c r="CH2544" s="1">
        <v>51663</v>
      </c>
      <c r="CI2544" t="s">
        <v>51</v>
      </c>
      <c r="CK2544" t="s">
        <v>78</v>
      </c>
      <c r="CM2544" t="s">
        <v>54</v>
      </c>
      <c r="CN2544" t="s">
        <v>174</v>
      </c>
      <c r="CO2544" t="s">
        <v>86</v>
      </c>
      <c r="CR2544">
        <v>20</v>
      </c>
      <c r="CS2544">
        <v>0</v>
      </c>
      <c r="CT2544">
        <v>0</v>
      </c>
      <c r="CU2544">
        <v>0</v>
      </c>
    </row>
    <row r="2545" spans="1:112" x14ac:dyDescent="0.2">
      <c r="A2545" t="s">
        <v>1012</v>
      </c>
      <c r="B2545" t="s">
        <v>1013</v>
      </c>
      <c r="C2545" t="s">
        <v>1014</v>
      </c>
      <c r="D2545" t="s">
        <v>1109</v>
      </c>
      <c r="F2545" t="str">
        <f>"252142"</f>
        <v>252142</v>
      </c>
      <c r="G2545" t="s">
        <v>49</v>
      </c>
      <c r="K2545" t="s">
        <v>51</v>
      </c>
      <c r="L2545" t="s">
        <v>52</v>
      </c>
      <c r="M2545">
        <v>131740</v>
      </c>
      <c r="N2545">
        <v>475919.8</v>
      </c>
      <c r="O2545" t="s">
        <v>53</v>
      </c>
      <c r="P2545" t="s">
        <v>54</v>
      </c>
      <c r="Q2545" t="s">
        <v>55</v>
      </c>
      <c r="T2545" t="s">
        <v>466</v>
      </c>
      <c r="U2545">
        <v>40</v>
      </c>
      <c r="V2545" s="1">
        <v>31048</v>
      </c>
      <c r="W2545" s="1">
        <v>31048</v>
      </c>
      <c r="X2545" s="1">
        <v>31048</v>
      </c>
      <c r="Y2545" s="1">
        <v>45658</v>
      </c>
      <c r="Z2545" t="s">
        <v>51</v>
      </c>
      <c r="AB2545" t="s">
        <v>54</v>
      </c>
      <c r="AE2545" t="s">
        <v>356</v>
      </c>
      <c r="AF2545">
        <v>20</v>
      </c>
      <c r="AG2545" s="1">
        <v>43709</v>
      </c>
      <c r="AH2545" s="1">
        <v>43709</v>
      </c>
      <c r="AI2545" s="1">
        <v>43709</v>
      </c>
      <c r="AJ2545" s="1">
        <v>51014</v>
      </c>
      <c r="AK2545" t="s">
        <v>51</v>
      </c>
      <c r="AN2545">
        <v>0</v>
      </c>
      <c r="AO2545" t="s">
        <v>54</v>
      </c>
      <c r="AP2545" t="s">
        <v>53</v>
      </c>
      <c r="AQ2545">
        <v>0</v>
      </c>
      <c r="AR2545" t="s">
        <v>145</v>
      </c>
      <c r="AS2545">
        <v>0</v>
      </c>
      <c r="AT2545">
        <v>0</v>
      </c>
      <c r="AW2545" t="s">
        <v>172</v>
      </c>
      <c r="AX2545">
        <v>15</v>
      </c>
      <c r="AY2545" s="1">
        <v>43709</v>
      </c>
      <c r="AZ2545" s="1">
        <v>43709</v>
      </c>
      <c r="BA2545" s="1">
        <v>43709</v>
      </c>
      <c r="BB2545" s="1">
        <v>49188</v>
      </c>
      <c r="BC2545" t="s">
        <v>51</v>
      </c>
      <c r="BE2545" t="s">
        <v>54</v>
      </c>
      <c r="BF2545">
        <v>40</v>
      </c>
      <c r="BG2545">
        <v>0</v>
      </c>
      <c r="BH2545" t="s">
        <v>145</v>
      </c>
      <c r="CC2545" t="s">
        <v>250</v>
      </c>
      <c r="CD2545">
        <v>100000</v>
      </c>
      <c r="CE2545" s="1">
        <v>43709</v>
      </c>
      <c r="CF2545" s="1">
        <v>43709</v>
      </c>
      <c r="CG2545" s="1">
        <v>43709</v>
      </c>
      <c r="CH2545" s="1">
        <v>52160</v>
      </c>
      <c r="CI2545" t="s">
        <v>51</v>
      </c>
      <c r="CK2545" t="s">
        <v>78</v>
      </c>
      <c r="CM2545" t="s">
        <v>54</v>
      </c>
      <c r="CN2545" t="s">
        <v>174</v>
      </c>
      <c r="CR2545">
        <v>13.2</v>
      </c>
      <c r="CS2545">
        <v>1800</v>
      </c>
      <c r="CT2545">
        <v>0</v>
      </c>
      <c r="CU2545">
        <v>16</v>
      </c>
      <c r="CX2545" t="s">
        <v>674</v>
      </c>
      <c r="CY2545">
        <v>0</v>
      </c>
      <c r="CZ2545" s="1">
        <v>43709</v>
      </c>
      <c r="DA2545" s="1">
        <v>43709</v>
      </c>
      <c r="DB2545" s="1">
        <v>43709</v>
      </c>
      <c r="DC2545" s="1">
        <v>43709</v>
      </c>
      <c r="DD2545" t="s">
        <v>51</v>
      </c>
      <c r="DF2545" t="s">
        <v>54</v>
      </c>
      <c r="DG2545">
        <v>0</v>
      </c>
      <c r="DH2545">
        <v>0</v>
      </c>
    </row>
    <row r="2546" spans="1:112" x14ac:dyDescent="0.2">
      <c r="A2546" t="s">
        <v>1012</v>
      </c>
      <c r="B2546" t="s">
        <v>1013</v>
      </c>
      <c r="C2546" t="s">
        <v>1014</v>
      </c>
      <c r="D2546" t="s">
        <v>1109</v>
      </c>
      <c r="F2546" t="str">
        <f>"252143"</f>
        <v>252143</v>
      </c>
      <c r="G2546" t="s">
        <v>49</v>
      </c>
      <c r="H2546" t="s">
        <v>1046</v>
      </c>
      <c r="K2546" t="s">
        <v>51</v>
      </c>
      <c r="L2546" t="s">
        <v>52</v>
      </c>
      <c r="M2546">
        <v>131720.43</v>
      </c>
      <c r="N2546">
        <v>475790.24400000001</v>
      </c>
      <c r="O2546" t="s">
        <v>53</v>
      </c>
      <c r="P2546" t="s">
        <v>54</v>
      </c>
      <c r="Q2546" t="s">
        <v>55</v>
      </c>
      <c r="T2546" t="s">
        <v>466</v>
      </c>
      <c r="U2546">
        <v>40</v>
      </c>
      <c r="V2546" s="1">
        <v>31048</v>
      </c>
      <c r="W2546" s="1">
        <v>31048</v>
      </c>
      <c r="X2546" s="1">
        <v>31048</v>
      </c>
      <c r="Y2546" s="1">
        <v>45658</v>
      </c>
      <c r="Z2546" t="s">
        <v>51</v>
      </c>
      <c r="AB2546" t="s">
        <v>54</v>
      </c>
      <c r="AC2546">
        <v>1</v>
      </c>
      <c r="AE2546" t="s">
        <v>356</v>
      </c>
      <c r="AF2546">
        <v>20</v>
      </c>
      <c r="AG2546" s="1">
        <v>44075</v>
      </c>
      <c r="AH2546" s="1">
        <v>44075</v>
      </c>
      <c r="AI2546" s="1">
        <v>44075</v>
      </c>
      <c r="AJ2546" s="1">
        <v>51380</v>
      </c>
      <c r="AK2546" t="s">
        <v>51</v>
      </c>
      <c r="AN2546">
        <v>0</v>
      </c>
      <c r="AO2546" t="s">
        <v>54</v>
      </c>
      <c r="AP2546" t="s">
        <v>53</v>
      </c>
      <c r="AQ2546">
        <v>0</v>
      </c>
      <c r="AR2546" t="s">
        <v>145</v>
      </c>
      <c r="AS2546">
        <v>0</v>
      </c>
      <c r="AT2546">
        <v>0</v>
      </c>
      <c r="CC2546" t="s">
        <v>555</v>
      </c>
      <c r="CD2546">
        <v>85000</v>
      </c>
      <c r="CE2546" s="1">
        <v>44075</v>
      </c>
      <c r="CF2546" s="1">
        <v>44075</v>
      </c>
      <c r="CG2546" s="1">
        <v>44075</v>
      </c>
      <c r="CH2546" s="1">
        <v>51663</v>
      </c>
      <c r="CI2546" t="s">
        <v>51</v>
      </c>
      <c r="CK2546" t="s">
        <v>78</v>
      </c>
      <c r="CM2546" t="s">
        <v>54</v>
      </c>
      <c r="CN2546" t="s">
        <v>174</v>
      </c>
      <c r="CO2546" t="s">
        <v>86</v>
      </c>
      <c r="CR2546">
        <v>20</v>
      </c>
      <c r="CS2546">
        <v>0</v>
      </c>
      <c r="CT2546">
        <v>0</v>
      </c>
      <c r="CU2546">
        <v>0</v>
      </c>
    </row>
    <row r="2547" spans="1:112" x14ac:dyDescent="0.2">
      <c r="A2547" t="s">
        <v>1012</v>
      </c>
      <c r="B2547" t="s">
        <v>1013</v>
      </c>
      <c r="C2547" t="s">
        <v>1014</v>
      </c>
      <c r="D2547" t="s">
        <v>1109</v>
      </c>
      <c r="F2547" t="str">
        <f>"252144"</f>
        <v>252144</v>
      </c>
      <c r="G2547" t="s">
        <v>49</v>
      </c>
      <c r="H2547" t="s">
        <v>1112</v>
      </c>
      <c r="K2547" t="s">
        <v>51</v>
      </c>
      <c r="L2547" t="s">
        <v>52</v>
      </c>
      <c r="M2547">
        <v>131705.758</v>
      </c>
      <c r="N2547">
        <v>475688.43699999998</v>
      </c>
      <c r="O2547" t="s">
        <v>53</v>
      </c>
      <c r="P2547" t="s">
        <v>54</v>
      </c>
      <c r="Q2547" t="s">
        <v>55</v>
      </c>
      <c r="T2547" t="s">
        <v>466</v>
      </c>
      <c r="U2547">
        <v>40</v>
      </c>
      <c r="V2547" s="1">
        <v>31048</v>
      </c>
      <c r="W2547" s="1">
        <v>31048</v>
      </c>
      <c r="X2547" s="1">
        <v>31048</v>
      </c>
      <c r="Y2547" s="1">
        <v>45658</v>
      </c>
      <c r="Z2547" t="s">
        <v>51</v>
      </c>
      <c r="AB2547" t="s">
        <v>54</v>
      </c>
      <c r="AC2547">
        <v>1</v>
      </c>
      <c r="AE2547" t="s">
        <v>356</v>
      </c>
      <c r="AF2547">
        <v>20</v>
      </c>
      <c r="AG2547" s="1">
        <v>44075</v>
      </c>
      <c r="AH2547" s="1">
        <v>44075</v>
      </c>
      <c r="AI2547" s="1">
        <v>44075</v>
      </c>
      <c r="AJ2547" s="1">
        <v>51380</v>
      </c>
      <c r="AK2547" t="s">
        <v>51</v>
      </c>
      <c r="AN2547">
        <v>0</v>
      </c>
      <c r="AO2547" t="s">
        <v>54</v>
      </c>
      <c r="AP2547" t="s">
        <v>53</v>
      </c>
      <c r="AQ2547">
        <v>0</v>
      </c>
      <c r="AR2547" t="s">
        <v>145</v>
      </c>
      <c r="AS2547">
        <v>0</v>
      </c>
      <c r="AT2547">
        <v>0</v>
      </c>
      <c r="CC2547" t="s">
        <v>555</v>
      </c>
      <c r="CD2547">
        <v>85000</v>
      </c>
      <c r="CE2547" s="1">
        <v>44075</v>
      </c>
      <c r="CF2547" s="1">
        <v>44075</v>
      </c>
      <c r="CG2547" s="1">
        <v>44075</v>
      </c>
      <c r="CH2547" s="1">
        <v>51663</v>
      </c>
      <c r="CI2547" t="s">
        <v>51</v>
      </c>
      <c r="CK2547" t="s">
        <v>78</v>
      </c>
      <c r="CM2547" t="s">
        <v>54</v>
      </c>
      <c r="CN2547" t="s">
        <v>174</v>
      </c>
      <c r="CO2547" t="s">
        <v>86</v>
      </c>
      <c r="CR2547">
        <v>20</v>
      </c>
      <c r="CS2547">
        <v>0</v>
      </c>
      <c r="CT2547">
        <v>0</v>
      </c>
      <c r="CU2547">
        <v>0</v>
      </c>
    </row>
    <row r="2548" spans="1:112" x14ac:dyDescent="0.2">
      <c r="A2548" t="s">
        <v>1012</v>
      </c>
      <c r="B2548" t="s">
        <v>1013</v>
      </c>
      <c r="C2548" t="s">
        <v>1014</v>
      </c>
      <c r="D2548" t="s">
        <v>1109</v>
      </c>
      <c r="F2548" t="str">
        <f>"254478"</f>
        <v>254478</v>
      </c>
      <c r="G2548" t="s">
        <v>49</v>
      </c>
      <c r="H2548" t="s">
        <v>568</v>
      </c>
      <c r="K2548" t="s">
        <v>51</v>
      </c>
      <c r="L2548" t="s">
        <v>52</v>
      </c>
      <c r="M2548">
        <v>131689.01199999999</v>
      </c>
      <c r="N2548">
        <v>475562.83600000001</v>
      </c>
      <c r="O2548" t="s">
        <v>53</v>
      </c>
      <c r="P2548" t="s">
        <v>54</v>
      </c>
      <c r="Q2548" t="s">
        <v>55</v>
      </c>
      <c r="T2548" t="s">
        <v>170</v>
      </c>
      <c r="U2548">
        <v>40</v>
      </c>
      <c r="V2548" s="1">
        <v>44440</v>
      </c>
      <c r="W2548" s="1">
        <v>44441</v>
      </c>
      <c r="X2548" s="1">
        <v>44441</v>
      </c>
      <c r="Y2548" s="1">
        <v>59051</v>
      </c>
      <c r="Z2548" t="s">
        <v>51</v>
      </c>
      <c r="AB2548" t="s">
        <v>54</v>
      </c>
      <c r="AC2548">
        <v>1</v>
      </c>
      <c r="AE2548" t="s">
        <v>356</v>
      </c>
      <c r="AF2548">
        <v>20</v>
      </c>
      <c r="AG2548" s="1">
        <v>44440</v>
      </c>
      <c r="AH2548" s="1">
        <v>44441</v>
      </c>
      <c r="AI2548" s="1">
        <v>44441</v>
      </c>
      <c r="AJ2548" s="1">
        <v>51746</v>
      </c>
      <c r="AK2548" t="s">
        <v>51</v>
      </c>
      <c r="AN2548">
        <v>0</v>
      </c>
      <c r="AO2548" t="s">
        <v>54</v>
      </c>
      <c r="AP2548" t="s">
        <v>53</v>
      </c>
      <c r="AQ2548">
        <v>0</v>
      </c>
      <c r="AR2548" t="s">
        <v>145</v>
      </c>
      <c r="AS2548">
        <v>0</v>
      </c>
      <c r="AT2548">
        <v>0</v>
      </c>
      <c r="BH2548" t="s">
        <v>53</v>
      </c>
      <c r="CX2548" t="s">
        <v>360</v>
      </c>
      <c r="CY2548">
        <v>40</v>
      </c>
      <c r="CZ2548" s="1">
        <v>44440</v>
      </c>
      <c r="DA2548" s="1">
        <v>44441</v>
      </c>
      <c r="DB2548" s="1">
        <v>44442</v>
      </c>
      <c r="DC2548" s="1">
        <v>59051</v>
      </c>
      <c r="DD2548" t="s">
        <v>51</v>
      </c>
      <c r="DF2548" t="s">
        <v>54</v>
      </c>
      <c r="DG2548">
        <v>0</v>
      </c>
      <c r="DH2548">
        <v>0</v>
      </c>
    </row>
    <row r="2549" spans="1:112" x14ac:dyDescent="0.2">
      <c r="A2549" t="s">
        <v>1012</v>
      </c>
      <c r="B2549" t="s">
        <v>1013</v>
      </c>
      <c r="C2549" t="s">
        <v>1014</v>
      </c>
      <c r="D2549" t="s">
        <v>1109</v>
      </c>
      <c r="F2549" t="str">
        <f>"254481"</f>
        <v>254481</v>
      </c>
      <c r="G2549" t="s">
        <v>49</v>
      </c>
      <c r="K2549" t="s">
        <v>51</v>
      </c>
      <c r="L2549" t="s">
        <v>52</v>
      </c>
      <c r="M2549">
        <v>131682.83199999999</v>
      </c>
      <c r="N2549">
        <v>475527.93400000001</v>
      </c>
      <c r="O2549" t="s">
        <v>53</v>
      </c>
      <c r="P2549" t="s">
        <v>54</v>
      </c>
      <c r="Q2549" t="s">
        <v>55</v>
      </c>
      <c r="T2549" t="s">
        <v>170</v>
      </c>
      <c r="U2549">
        <v>40</v>
      </c>
      <c r="V2549" s="1">
        <v>44441</v>
      </c>
      <c r="W2549" s="1">
        <v>44441</v>
      </c>
      <c r="X2549" s="1">
        <v>44441</v>
      </c>
      <c r="Y2549" s="1">
        <v>59051</v>
      </c>
      <c r="Z2549" t="s">
        <v>51</v>
      </c>
      <c r="AB2549" t="s">
        <v>54</v>
      </c>
      <c r="AE2549" t="s">
        <v>356</v>
      </c>
      <c r="AF2549">
        <v>20</v>
      </c>
      <c r="AG2549" s="1">
        <v>44320</v>
      </c>
      <c r="AH2549" s="1">
        <v>44320</v>
      </c>
      <c r="AI2549" s="1">
        <v>44441</v>
      </c>
      <c r="AJ2549" s="1">
        <v>51625</v>
      </c>
      <c r="AK2549" t="s">
        <v>51</v>
      </c>
      <c r="AN2549">
        <v>0</v>
      </c>
      <c r="AO2549" t="s">
        <v>54</v>
      </c>
      <c r="AP2549" t="s">
        <v>53</v>
      </c>
      <c r="AQ2549">
        <v>0</v>
      </c>
      <c r="AR2549" t="s">
        <v>145</v>
      </c>
      <c r="AS2549">
        <v>0</v>
      </c>
      <c r="AT2549">
        <v>0</v>
      </c>
      <c r="AW2549" t="s">
        <v>172</v>
      </c>
      <c r="AX2549">
        <v>15</v>
      </c>
      <c r="AY2549" s="1">
        <v>44320</v>
      </c>
      <c r="AZ2549" s="1">
        <v>44320</v>
      </c>
      <c r="BA2549" s="1">
        <v>44441</v>
      </c>
      <c r="BB2549" s="1">
        <v>49799</v>
      </c>
      <c r="BC2549" t="s">
        <v>51</v>
      </c>
      <c r="BE2549" t="s">
        <v>54</v>
      </c>
      <c r="BF2549">
        <v>40</v>
      </c>
      <c r="BG2549">
        <v>0</v>
      </c>
      <c r="BH2549" t="s">
        <v>145</v>
      </c>
      <c r="CC2549" t="s">
        <v>250</v>
      </c>
      <c r="CD2549">
        <v>100000</v>
      </c>
      <c r="CE2549" s="1">
        <v>44320</v>
      </c>
      <c r="CF2549" s="1">
        <v>44320</v>
      </c>
      <c r="CG2549" s="1">
        <v>44441</v>
      </c>
      <c r="CH2549" s="1">
        <v>52802</v>
      </c>
      <c r="CI2549" t="s">
        <v>51</v>
      </c>
      <c r="CK2549" t="s">
        <v>78</v>
      </c>
      <c r="CM2549" t="s">
        <v>54</v>
      </c>
      <c r="CN2549" t="s">
        <v>174</v>
      </c>
      <c r="CR2549">
        <v>13.2</v>
      </c>
      <c r="CS2549">
        <v>1800</v>
      </c>
      <c r="CT2549">
        <v>0</v>
      </c>
      <c r="CU2549">
        <v>16</v>
      </c>
      <c r="CX2549" t="s">
        <v>360</v>
      </c>
      <c r="CY2549">
        <v>40</v>
      </c>
      <c r="CZ2549" s="1">
        <v>44441</v>
      </c>
      <c r="DA2549" s="1">
        <v>44441</v>
      </c>
      <c r="DB2549" s="1">
        <v>44441</v>
      </c>
      <c r="DC2549" s="1">
        <v>59051</v>
      </c>
      <c r="DD2549" t="s">
        <v>51</v>
      </c>
      <c r="DF2549" t="s">
        <v>54</v>
      </c>
      <c r="DG2549">
        <v>0</v>
      </c>
      <c r="DH2549">
        <v>0</v>
      </c>
    </row>
    <row r="2550" spans="1:112" x14ac:dyDescent="0.2">
      <c r="A2550" t="s">
        <v>1012</v>
      </c>
      <c r="B2550" t="s">
        <v>1013</v>
      </c>
      <c r="C2550" t="s">
        <v>1014</v>
      </c>
      <c r="D2550" t="s">
        <v>1109</v>
      </c>
      <c r="F2550" t="str">
        <f>"254482"</f>
        <v>254482</v>
      </c>
      <c r="G2550" t="s">
        <v>49</v>
      </c>
      <c r="K2550" t="s">
        <v>51</v>
      </c>
      <c r="L2550" t="s">
        <v>52</v>
      </c>
      <c r="M2550">
        <v>131679.18299999999</v>
      </c>
      <c r="N2550">
        <v>475498.11700000003</v>
      </c>
      <c r="O2550" t="s">
        <v>53</v>
      </c>
      <c r="P2550" t="s">
        <v>54</v>
      </c>
      <c r="Q2550" t="s">
        <v>55</v>
      </c>
      <c r="T2550" t="s">
        <v>170</v>
      </c>
      <c r="U2550">
        <v>40</v>
      </c>
      <c r="V2550" s="1">
        <v>44441</v>
      </c>
      <c r="W2550" s="1">
        <v>44441</v>
      </c>
      <c r="X2550" s="1">
        <v>44441</v>
      </c>
      <c r="Y2550" s="1">
        <v>59051</v>
      </c>
      <c r="Z2550" t="s">
        <v>51</v>
      </c>
      <c r="AB2550" t="s">
        <v>54</v>
      </c>
      <c r="AC2550">
        <v>1</v>
      </c>
      <c r="AE2550" t="s">
        <v>356</v>
      </c>
      <c r="AF2550">
        <v>20</v>
      </c>
      <c r="AG2550" s="1">
        <v>44441</v>
      </c>
      <c r="AH2550" s="1">
        <v>44441</v>
      </c>
      <c r="AI2550" s="1">
        <v>44441</v>
      </c>
      <c r="AJ2550" s="1">
        <v>51746</v>
      </c>
      <c r="AK2550" t="s">
        <v>51</v>
      </c>
      <c r="AN2550">
        <v>0</v>
      </c>
      <c r="AO2550" t="s">
        <v>54</v>
      </c>
      <c r="AP2550" t="s">
        <v>53</v>
      </c>
      <c r="AQ2550">
        <v>0</v>
      </c>
      <c r="AR2550" t="s">
        <v>145</v>
      </c>
      <c r="AS2550">
        <v>0</v>
      </c>
      <c r="AT2550">
        <v>0</v>
      </c>
      <c r="AW2550" t="s">
        <v>172</v>
      </c>
      <c r="AX2550">
        <v>15</v>
      </c>
      <c r="AY2550" s="1">
        <v>44441</v>
      </c>
      <c r="AZ2550" s="1">
        <v>44441</v>
      </c>
      <c r="BA2550" s="1">
        <v>44441</v>
      </c>
      <c r="BB2550" s="1">
        <v>49920</v>
      </c>
      <c r="BC2550" t="s">
        <v>51</v>
      </c>
      <c r="BE2550" t="s">
        <v>54</v>
      </c>
      <c r="BF2550">
        <v>40</v>
      </c>
      <c r="BG2550">
        <v>0</v>
      </c>
      <c r="BH2550" t="s">
        <v>145</v>
      </c>
      <c r="CC2550" t="s">
        <v>250</v>
      </c>
      <c r="CD2550">
        <v>100000</v>
      </c>
      <c r="CE2550" s="1">
        <v>44441</v>
      </c>
      <c r="CF2550" s="1">
        <v>44441</v>
      </c>
      <c r="CG2550" s="1">
        <v>44441</v>
      </c>
      <c r="CH2550" s="1">
        <v>52892</v>
      </c>
      <c r="CI2550" t="s">
        <v>51</v>
      </c>
      <c r="CK2550" t="s">
        <v>78</v>
      </c>
      <c r="CM2550" t="s">
        <v>54</v>
      </c>
      <c r="CN2550" t="s">
        <v>174</v>
      </c>
      <c r="CR2550">
        <v>13.2</v>
      </c>
      <c r="CS2550">
        <v>1800</v>
      </c>
      <c r="CT2550">
        <v>0</v>
      </c>
      <c r="CU2550">
        <v>16</v>
      </c>
    </row>
    <row r="2551" spans="1:112" x14ac:dyDescent="0.2">
      <c r="A2551" t="s">
        <v>1012</v>
      </c>
      <c r="B2551" t="s">
        <v>1013</v>
      </c>
      <c r="C2551" t="s">
        <v>1014</v>
      </c>
      <c r="D2551" t="s">
        <v>1108</v>
      </c>
      <c r="F2551" t="str">
        <f>"254483"</f>
        <v>254483</v>
      </c>
      <c r="G2551" t="s">
        <v>49</v>
      </c>
      <c r="K2551" t="s">
        <v>51</v>
      </c>
      <c r="L2551" t="s">
        <v>52</v>
      </c>
      <c r="M2551">
        <v>131676.19099999999</v>
      </c>
      <c r="N2551">
        <v>475475.51699999999</v>
      </c>
      <c r="O2551" t="s">
        <v>53</v>
      </c>
      <c r="P2551" t="s">
        <v>54</v>
      </c>
      <c r="Q2551" t="s">
        <v>55</v>
      </c>
      <c r="T2551" t="s">
        <v>170</v>
      </c>
      <c r="U2551">
        <v>40</v>
      </c>
      <c r="V2551" s="1">
        <v>44441</v>
      </c>
      <c r="W2551" s="1">
        <v>44441</v>
      </c>
      <c r="X2551" s="1">
        <v>44441</v>
      </c>
      <c r="Y2551" s="1">
        <v>59051</v>
      </c>
      <c r="Z2551" t="s">
        <v>51</v>
      </c>
      <c r="AB2551" t="s">
        <v>54</v>
      </c>
      <c r="AC2551">
        <v>1</v>
      </c>
      <c r="AE2551" t="s">
        <v>356</v>
      </c>
      <c r="AF2551">
        <v>20</v>
      </c>
      <c r="AG2551" s="1">
        <v>44441</v>
      </c>
      <c r="AH2551" s="1">
        <v>44441</v>
      </c>
      <c r="AI2551" s="1">
        <v>44441</v>
      </c>
      <c r="AJ2551" s="1">
        <v>51746</v>
      </c>
      <c r="AK2551" t="s">
        <v>51</v>
      </c>
      <c r="AN2551">
        <v>0</v>
      </c>
      <c r="AO2551" t="s">
        <v>54</v>
      </c>
      <c r="AP2551" t="s">
        <v>53</v>
      </c>
      <c r="AQ2551">
        <v>0</v>
      </c>
      <c r="AR2551" t="s">
        <v>145</v>
      </c>
      <c r="AS2551">
        <v>0</v>
      </c>
      <c r="AT2551">
        <v>0</v>
      </c>
      <c r="AW2551" t="s">
        <v>172</v>
      </c>
      <c r="AX2551">
        <v>15</v>
      </c>
      <c r="AY2551" s="1">
        <v>44441</v>
      </c>
      <c r="AZ2551" s="1">
        <v>44441</v>
      </c>
      <c r="BA2551" s="1">
        <v>44441</v>
      </c>
      <c r="BB2551" s="1">
        <v>49920</v>
      </c>
      <c r="BC2551" t="s">
        <v>51</v>
      </c>
      <c r="BE2551" t="s">
        <v>54</v>
      </c>
      <c r="BF2551">
        <v>40</v>
      </c>
      <c r="BG2551">
        <v>0</v>
      </c>
      <c r="BH2551" t="s">
        <v>145</v>
      </c>
      <c r="CC2551" t="s">
        <v>250</v>
      </c>
      <c r="CD2551">
        <v>100000</v>
      </c>
      <c r="CE2551" s="1">
        <v>44441</v>
      </c>
      <c r="CF2551" s="1">
        <v>44441</v>
      </c>
      <c r="CG2551" s="1">
        <v>44441</v>
      </c>
      <c r="CH2551" s="1">
        <v>52892</v>
      </c>
      <c r="CI2551" t="s">
        <v>51</v>
      </c>
      <c r="CK2551" t="s">
        <v>78</v>
      </c>
      <c r="CM2551" t="s">
        <v>54</v>
      </c>
      <c r="CN2551" t="s">
        <v>174</v>
      </c>
      <c r="CR2551">
        <v>13.2</v>
      </c>
      <c r="CS2551">
        <v>1800</v>
      </c>
      <c r="CT2551">
        <v>0</v>
      </c>
      <c r="CU2551">
        <v>16</v>
      </c>
      <c r="CX2551" t="s">
        <v>360</v>
      </c>
      <c r="CY2551">
        <v>40</v>
      </c>
      <c r="CZ2551" s="1">
        <v>44441</v>
      </c>
      <c r="DA2551" s="1">
        <v>44441</v>
      </c>
      <c r="DB2551" s="1">
        <v>44441</v>
      </c>
      <c r="DC2551" s="1">
        <v>59051</v>
      </c>
      <c r="DD2551" t="s">
        <v>51</v>
      </c>
      <c r="DF2551" t="s">
        <v>54</v>
      </c>
      <c r="DG2551">
        <v>0</v>
      </c>
      <c r="DH2551">
        <v>0</v>
      </c>
    </row>
    <row r="2552" spans="1:112" x14ac:dyDescent="0.2">
      <c r="A2552" t="s">
        <v>1012</v>
      </c>
      <c r="B2552" t="s">
        <v>1013</v>
      </c>
      <c r="C2552" t="s">
        <v>1014</v>
      </c>
      <c r="D2552" t="s">
        <v>1020</v>
      </c>
      <c r="F2552" t="str">
        <f>"252149"</f>
        <v>252149</v>
      </c>
      <c r="G2552" t="s">
        <v>49</v>
      </c>
      <c r="H2552" t="s">
        <v>1113</v>
      </c>
      <c r="K2552" t="s">
        <v>51</v>
      </c>
      <c r="L2552" t="s">
        <v>52</v>
      </c>
      <c r="M2552">
        <v>131759.26999999999</v>
      </c>
      <c r="N2552">
        <v>475928.17</v>
      </c>
      <c r="O2552" t="s">
        <v>53</v>
      </c>
      <c r="P2552" t="s">
        <v>54</v>
      </c>
      <c r="Q2552" t="s">
        <v>55</v>
      </c>
      <c r="T2552" t="s">
        <v>466</v>
      </c>
      <c r="U2552">
        <v>40</v>
      </c>
      <c r="V2552" s="1">
        <v>31048</v>
      </c>
      <c r="W2552" s="1">
        <v>31048</v>
      </c>
      <c r="X2552" s="1">
        <v>31048</v>
      </c>
      <c r="Y2552" s="1">
        <v>45658</v>
      </c>
      <c r="Z2552" t="s">
        <v>51</v>
      </c>
      <c r="AB2552" t="s">
        <v>54</v>
      </c>
      <c r="AC2552">
        <v>1</v>
      </c>
      <c r="AE2552" t="s">
        <v>356</v>
      </c>
      <c r="AF2552">
        <v>20</v>
      </c>
      <c r="AG2552" s="1">
        <v>44075</v>
      </c>
      <c r="AH2552" s="1">
        <v>44075</v>
      </c>
      <c r="AI2552" s="1">
        <v>44075</v>
      </c>
      <c r="AJ2552" s="1">
        <v>51380</v>
      </c>
      <c r="AK2552" t="s">
        <v>51</v>
      </c>
      <c r="AN2552">
        <v>0</v>
      </c>
      <c r="AO2552" t="s">
        <v>54</v>
      </c>
      <c r="AP2552" t="s">
        <v>53</v>
      </c>
      <c r="AQ2552">
        <v>0</v>
      </c>
      <c r="AR2552" t="s">
        <v>145</v>
      </c>
      <c r="AS2552">
        <v>0</v>
      </c>
      <c r="AT2552">
        <v>0</v>
      </c>
      <c r="CC2552" t="s">
        <v>555</v>
      </c>
      <c r="CD2552">
        <v>85000</v>
      </c>
      <c r="CE2552" s="1">
        <v>44075</v>
      </c>
      <c r="CF2552" s="1">
        <v>44075</v>
      </c>
      <c r="CG2552" s="1">
        <v>44075</v>
      </c>
      <c r="CH2552" s="1">
        <v>51663</v>
      </c>
      <c r="CI2552" t="s">
        <v>51</v>
      </c>
      <c r="CK2552" t="s">
        <v>78</v>
      </c>
      <c r="CM2552" t="s">
        <v>54</v>
      </c>
      <c r="CN2552" t="s">
        <v>174</v>
      </c>
      <c r="CO2552" t="s">
        <v>86</v>
      </c>
      <c r="CR2552">
        <v>20</v>
      </c>
      <c r="CS2552">
        <v>0</v>
      </c>
      <c r="CT2552">
        <v>0</v>
      </c>
      <c r="CU2552">
        <v>0</v>
      </c>
      <c r="CX2552" t="s">
        <v>674</v>
      </c>
      <c r="CY2552">
        <v>0</v>
      </c>
      <c r="CZ2552" s="1">
        <v>43423</v>
      </c>
      <c r="DA2552" s="1">
        <v>43423</v>
      </c>
      <c r="DB2552" s="1">
        <v>43423</v>
      </c>
      <c r="DC2552" s="1">
        <v>43423</v>
      </c>
      <c r="DD2552" t="s">
        <v>51</v>
      </c>
      <c r="DF2552" t="s">
        <v>54</v>
      </c>
      <c r="DG2552">
        <v>0</v>
      </c>
      <c r="DH2552">
        <v>0</v>
      </c>
    </row>
    <row r="2553" spans="1:112" x14ac:dyDescent="0.2">
      <c r="A2553" t="s">
        <v>1012</v>
      </c>
      <c r="B2553" t="s">
        <v>1013</v>
      </c>
      <c r="C2553" t="s">
        <v>1014</v>
      </c>
      <c r="D2553" t="s">
        <v>1108</v>
      </c>
      <c r="F2553" t="str">
        <f>"254485"</f>
        <v>254485</v>
      </c>
      <c r="G2553" t="s">
        <v>49</v>
      </c>
      <c r="K2553" t="s">
        <v>51</v>
      </c>
      <c r="L2553" t="s">
        <v>52</v>
      </c>
      <c r="M2553">
        <v>131671.09</v>
      </c>
      <c r="N2553">
        <v>475428.48</v>
      </c>
      <c r="O2553" t="s">
        <v>53</v>
      </c>
      <c r="P2553" t="s">
        <v>54</v>
      </c>
      <c r="Q2553" t="s">
        <v>55</v>
      </c>
      <c r="T2553" t="s">
        <v>170</v>
      </c>
      <c r="U2553">
        <v>40</v>
      </c>
      <c r="V2553" s="1">
        <v>44441</v>
      </c>
      <c r="W2553" s="1">
        <v>44441</v>
      </c>
      <c r="X2553" s="1">
        <v>44441</v>
      </c>
      <c r="Y2553" s="1">
        <v>59051</v>
      </c>
      <c r="Z2553" t="s">
        <v>51</v>
      </c>
      <c r="AB2553" t="s">
        <v>54</v>
      </c>
      <c r="AC2553">
        <v>1</v>
      </c>
      <c r="AE2553" t="s">
        <v>356</v>
      </c>
      <c r="AF2553">
        <v>20</v>
      </c>
      <c r="AG2553" s="1">
        <v>44441</v>
      </c>
      <c r="AH2553" s="1">
        <v>44441</v>
      </c>
      <c r="AI2553" s="1">
        <v>44441</v>
      </c>
      <c r="AJ2553" s="1">
        <v>51746</v>
      </c>
      <c r="AK2553" t="s">
        <v>51</v>
      </c>
      <c r="AN2553">
        <v>0</v>
      </c>
      <c r="AO2553" t="s">
        <v>54</v>
      </c>
      <c r="AP2553" t="s">
        <v>53</v>
      </c>
      <c r="AQ2553">
        <v>0</v>
      </c>
      <c r="AR2553" t="s">
        <v>145</v>
      </c>
      <c r="AS2553">
        <v>0</v>
      </c>
      <c r="AT2553">
        <v>0</v>
      </c>
      <c r="AW2553" t="s">
        <v>172</v>
      </c>
      <c r="AX2553">
        <v>15</v>
      </c>
      <c r="AY2553" s="1">
        <v>44441</v>
      </c>
      <c r="AZ2553" s="1">
        <v>44441</v>
      </c>
      <c r="BA2553" s="1">
        <v>44441</v>
      </c>
      <c r="BB2553" s="1">
        <v>49920</v>
      </c>
      <c r="BC2553" t="s">
        <v>51</v>
      </c>
      <c r="BE2553" t="s">
        <v>54</v>
      </c>
      <c r="BF2553">
        <v>40</v>
      </c>
      <c r="BG2553">
        <v>0</v>
      </c>
      <c r="BH2553" t="s">
        <v>145</v>
      </c>
      <c r="CC2553" t="s">
        <v>250</v>
      </c>
      <c r="CD2553">
        <v>100000</v>
      </c>
      <c r="CE2553" s="1">
        <v>44441</v>
      </c>
      <c r="CF2553" s="1">
        <v>44441</v>
      </c>
      <c r="CG2553" s="1">
        <v>44441</v>
      </c>
      <c r="CH2553" s="1">
        <v>52892</v>
      </c>
      <c r="CI2553" t="s">
        <v>51</v>
      </c>
      <c r="CK2553" t="s">
        <v>78</v>
      </c>
      <c r="CM2553" t="s">
        <v>54</v>
      </c>
      <c r="CN2553" t="s">
        <v>174</v>
      </c>
      <c r="CR2553">
        <v>13.2</v>
      </c>
      <c r="CS2553">
        <v>1800</v>
      </c>
      <c r="CT2553">
        <v>0</v>
      </c>
      <c r="CU2553">
        <v>16</v>
      </c>
      <c r="CX2553" t="s">
        <v>360</v>
      </c>
      <c r="CY2553">
        <v>40</v>
      </c>
      <c r="CZ2553" s="1">
        <v>44441</v>
      </c>
      <c r="DA2553" s="1">
        <v>44441</v>
      </c>
      <c r="DB2553" s="1">
        <v>44441</v>
      </c>
      <c r="DC2553" s="1">
        <v>59051</v>
      </c>
      <c r="DD2553" t="s">
        <v>51</v>
      </c>
      <c r="DF2553" t="s">
        <v>54</v>
      </c>
      <c r="DG2553">
        <v>0</v>
      </c>
      <c r="DH2553">
        <v>0</v>
      </c>
    </row>
    <row r="2554" spans="1:112" x14ac:dyDescent="0.2">
      <c r="A2554" t="s">
        <v>1012</v>
      </c>
      <c r="B2554" t="s">
        <v>1013</v>
      </c>
      <c r="C2554" t="s">
        <v>1014</v>
      </c>
      <c r="D2554" t="s">
        <v>1108</v>
      </c>
      <c r="F2554" t="str">
        <f>"254487"</f>
        <v>254487</v>
      </c>
      <c r="G2554" t="s">
        <v>49</v>
      </c>
      <c r="K2554" t="s">
        <v>51</v>
      </c>
      <c r="L2554" t="s">
        <v>52</v>
      </c>
      <c r="M2554">
        <v>131666.91</v>
      </c>
      <c r="N2554">
        <v>475402.09</v>
      </c>
      <c r="O2554" t="s">
        <v>53</v>
      </c>
      <c r="P2554" t="s">
        <v>54</v>
      </c>
      <c r="Q2554" t="s">
        <v>55</v>
      </c>
      <c r="T2554" t="s">
        <v>170</v>
      </c>
      <c r="U2554">
        <v>40</v>
      </c>
      <c r="V2554" s="1">
        <v>44441</v>
      </c>
      <c r="W2554" s="1">
        <v>44441</v>
      </c>
      <c r="X2554" s="1">
        <v>44441</v>
      </c>
      <c r="Y2554" s="1">
        <v>59051</v>
      </c>
      <c r="Z2554" t="s">
        <v>51</v>
      </c>
      <c r="AB2554" t="s">
        <v>54</v>
      </c>
      <c r="AC2554">
        <v>1</v>
      </c>
      <c r="AE2554" t="s">
        <v>356</v>
      </c>
      <c r="AF2554">
        <v>20</v>
      </c>
      <c r="AG2554" s="1">
        <v>44441</v>
      </c>
      <c r="AH2554" s="1">
        <v>44441</v>
      </c>
      <c r="AI2554" s="1">
        <v>44441</v>
      </c>
      <c r="AJ2554" s="1">
        <v>51746</v>
      </c>
      <c r="AK2554" t="s">
        <v>51</v>
      </c>
      <c r="AN2554">
        <v>0</v>
      </c>
      <c r="AO2554" t="s">
        <v>54</v>
      </c>
      <c r="AP2554" t="s">
        <v>53</v>
      </c>
      <c r="AQ2554">
        <v>0</v>
      </c>
      <c r="AR2554" t="s">
        <v>145</v>
      </c>
      <c r="AS2554">
        <v>0</v>
      </c>
      <c r="AT2554">
        <v>0</v>
      </c>
      <c r="AW2554" t="s">
        <v>172</v>
      </c>
      <c r="AX2554">
        <v>15</v>
      </c>
      <c r="AY2554" s="1">
        <v>44441</v>
      </c>
      <c r="AZ2554" s="1">
        <v>44441</v>
      </c>
      <c r="BA2554" s="1">
        <v>44441</v>
      </c>
      <c r="BB2554" s="1">
        <v>49920</v>
      </c>
      <c r="BC2554" t="s">
        <v>51</v>
      </c>
      <c r="BE2554" t="s">
        <v>54</v>
      </c>
      <c r="BF2554">
        <v>40</v>
      </c>
      <c r="BG2554">
        <v>0</v>
      </c>
      <c r="BH2554" t="s">
        <v>145</v>
      </c>
      <c r="CC2554" t="s">
        <v>250</v>
      </c>
      <c r="CD2554">
        <v>100000</v>
      </c>
      <c r="CE2554" s="1">
        <v>44441</v>
      </c>
      <c r="CF2554" s="1">
        <v>44441</v>
      </c>
      <c r="CG2554" s="1">
        <v>44441</v>
      </c>
      <c r="CH2554" s="1">
        <v>52892</v>
      </c>
      <c r="CI2554" t="s">
        <v>51</v>
      </c>
      <c r="CK2554" t="s">
        <v>78</v>
      </c>
      <c r="CM2554" t="s">
        <v>54</v>
      </c>
      <c r="CN2554" t="s">
        <v>174</v>
      </c>
      <c r="CR2554">
        <v>13.2</v>
      </c>
      <c r="CS2554">
        <v>1800</v>
      </c>
      <c r="CT2554">
        <v>0</v>
      </c>
      <c r="CU2554">
        <v>16</v>
      </c>
      <c r="CX2554" t="s">
        <v>360</v>
      </c>
      <c r="CY2554">
        <v>40</v>
      </c>
      <c r="CZ2554" s="1">
        <v>44441</v>
      </c>
      <c r="DA2554" s="1">
        <v>44441</v>
      </c>
      <c r="DB2554" s="1">
        <v>44441</v>
      </c>
      <c r="DC2554" s="1">
        <v>59051</v>
      </c>
      <c r="DD2554" t="s">
        <v>51</v>
      </c>
      <c r="DF2554" t="s">
        <v>54</v>
      </c>
      <c r="DG2554">
        <v>0</v>
      </c>
      <c r="DH2554">
        <v>0</v>
      </c>
    </row>
    <row r="2555" spans="1:112" x14ac:dyDescent="0.2">
      <c r="A2555" t="s">
        <v>1012</v>
      </c>
      <c r="B2555" t="s">
        <v>1013</v>
      </c>
      <c r="C2555" t="s">
        <v>1014</v>
      </c>
      <c r="D2555" t="s">
        <v>1108</v>
      </c>
      <c r="F2555" t="str">
        <f>"254486"</f>
        <v>254486</v>
      </c>
      <c r="G2555" t="s">
        <v>49</v>
      </c>
      <c r="K2555" t="s">
        <v>51</v>
      </c>
      <c r="L2555" t="s">
        <v>52</v>
      </c>
      <c r="M2555">
        <v>131663.25899999999</v>
      </c>
      <c r="N2555">
        <v>475374.772</v>
      </c>
      <c r="O2555" t="s">
        <v>53</v>
      </c>
      <c r="P2555" t="s">
        <v>54</v>
      </c>
      <c r="Q2555" t="s">
        <v>55</v>
      </c>
      <c r="T2555" t="s">
        <v>170</v>
      </c>
      <c r="U2555">
        <v>40</v>
      </c>
      <c r="V2555" s="1">
        <v>44441</v>
      </c>
      <c r="W2555" s="1">
        <v>44441</v>
      </c>
      <c r="X2555" s="1">
        <v>44441</v>
      </c>
      <c r="Y2555" s="1">
        <v>59051</v>
      </c>
      <c r="Z2555" t="s">
        <v>51</v>
      </c>
      <c r="AB2555" t="s">
        <v>54</v>
      </c>
      <c r="AC2555">
        <v>1</v>
      </c>
      <c r="AE2555" t="s">
        <v>356</v>
      </c>
      <c r="AF2555">
        <v>20</v>
      </c>
      <c r="AG2555" s="1">
        <v>44441</v>
      </c>
      <c r="AH2555" s="1">
        <v>44441</v>
      </c>
      <c r="AI2555" s="1">
        <v>44441</v>
      </c>
      <c r="AJ2555" s="1">
        <v>51746</v>
      </c>
      <c r="AK2555" t="s">
        <v>51</v>
      </c>
      <c r="AN2555">
        <v>0</v>
      </c>
      <c r="AO2555" t="s">
        <v>54</v>
      </c>
      <c r="AP2555" t="s">
        <v>53</v>
      </c>
      <c r="AQ2555">
        <v>0</v>
      </c>
      <c r="AR2555" t="s">
        <v>145</v>
      </c>
      <c r="AS2555">
        <v>0</v>
      </c>
      <c r="AT2555">
        <v>0</v>
      </c>
      <c r="AW2555" t="s">
        <v>172</v>
      </c>
      <c r="AX2555">
        <v>15</v>
      </c>
      <c r="AY2555" s="1">
        <v>44441</v>
      </c>
      <c r="AZ2555" s="1">
        <v>44441</v>
      </c>
      <c r="BA2555" s="1">
        <v>44441</v>
      </c>
      <c r="BB2555" s="1">
        <v>49920</v>
      </c>
      <c r="BC2555" t="s">
        <v>51</v>
      </c>
      <c r="BE2555" t="s">
        <v>54</v>
      </c>
      <c r="BF2555">
        <v>40</v>
      </c>
      <c r="BG2555">
        <v>0</v>
      </c>
      <c r="BH2555" t="s">
        <v>145</v>
      </c>
      <c r="CC2555" t="s">
        <v>250</v>
      </c>
      <c r="CD2555">
        <v>100000</v>
      </c>
      <c r="CE2555" s="1">
        <v>44441</v>
      </c>
      <c r="CF2555" s="1">
        <v>44441</v>
      </c>
      <c r="CG2555" s="1">
        <v>44441</v>
      </c>
      <c r="CH2555" s="1">
        <v>52892</v>
      </c>
      <c r="CI2555" t="s">
        <v>51</v>
      </c>
      <c r="CK2555" t="s">
        <v>78</v>
      </c>
      <c r="CM2555" t="s">
        <v>54</v>
      </c>
      <c r="CN2555" t="s">
        <v>174</v>
      </c>
      <c r="CR2555">
        <v>13.2</v>
      </c>
      <c r="CS2555">
        <v>1800</v>
      </c>
      <c r="CT2555">
        <v>0</v>
      </c>
      <c r="CU2555">
        <v>16</v>
      </c>
      <c r="CX2555" t="s">
        <v>360</v>
      </c>
      <c r="CY2555">
        <v>40</v>
      </c>
      <c r="CZ2555" s="1">
        <v>44441</v>
      </c>
      <c r="DA2555" s="1">
        <v>44441</v>
      </c>
      <c r="DB2555" s="1">
        <v>44441</v>
      </c>
      <c r="DC2555" s="1">
        <v>59051</v>
      </c>
      <c r="DD2555" t="s">
        <v>51</v>
      </c>
      <c r="DF2555" t="s">
        <v>54</v>
      </c>
      <c r="DG2555">
        <v>0</v>
      </c>
      <c r="DH2555">
        <v>0</v>
      </c>
    </row>
    <row r="2556" spans="1:112" x14ac:dyDescent="0.2">
      <c r="A2556" t="s">
        <v>1012</v>
      </c>
      <c r="B2556" t="s">
        <v>1013</v>
      </c>
      <c r="C2556" t="s">
        <v>1014</v>
      </c>
      <c r="D2556" t="s">
        <v>1108</v>
      </c>
      <c r="F2556" t="str">
        <f>"254492"</f>
        <v>254492</v>
      </c>
      <c r="G2556" t="s">
        <v>49</v>
      </c>
      <c r="H2556" t="s">
        <v>1114</v>
      </c>
      <c r="K2556" t="s">
        <v>51</v>
      </c>
      <c r="L2556" t="s">
        <v>52</v>
      </c>
      <c r="M2556">
        <v>131667.95199999999</v>
      </c>
      <c r="N2556">
        <v>475335.22700000001</v>
      </c>
      <c r="O2556" t="s">
        <v>53</v>
      </c>
      <c r="P2556" t="s">
        <v>54</v>
      </c>
      <c r="Q2556" t="s">
        <v>55</v>
      </c>
      <c r="T2556" t="s">
        <v>246</v>
      </c>
      <c r="U2556">
        <v>40</v>
      </c>
      <c r="V2556" s="1">
        <v>44441</v>
      </c>
      <c r="W2556" s="1">
        <v>44441</v>
      </c>
      <c r="X2556" s="1">
        <v>44441</v>
      </c>
      <c r="Y2556" s="1">
        <v>59051</v>
      </c>
      <c r="Z2556" t="s">
        <v>51</v>
      </c>
      <c r="AB2556" t="s">
        <v>54</v>
      </c>
      <c r="AC2556">
        <v>1</v>
      </c>
      <c r="AE2556" t="s">
        <v>1065</v>
      </c>
      <c r="AF2556">
        <v>20</v>
      </c>
      <c r="AG2556" s="1">
        <v>44441</v>
      </c>
      <c r="AH2556" s="1">
        <v>44441</v>
      </c>
      <c r="AI2556" s="1">
        <v>44441</v>
      </c>
      <c r="AJ2556" s="1">
        <v>51746</v>
      </c>
      <c r="AK2556" t="s">
        <v>51</v>
      </c>
      <c r="AN2556">
        <v>0</v>
      </c>
      <c r="AO2556" t="s">
        <v>54</v>
      </c>
      <c r="AP2556" t="s">
        <v>53</v>
      </c>
      <c r="AQ2556">
        <v>0</v>
      </c>
      <c r="AR2556" t="s">
        <v>53</v>
      </c>
      <c r="AS2556">
        <v>0</v>
      </c>
      <c r="AT2556">
        <v>0</v>
      </c>
      <c r="AW2556" t="s">
        <v>172</v>
      </c>
      <c r="AX2556">
        <v>15</v>
      </c>
      <c r="AY2556" s="1">
        <v>44441</v>
      </c>
      <c r="AZ2556" s="1">
        <v>44441</v>
      </c>
      <c r="BA2556" s="1">
        <v>44441</v>
      </c>
      <c r="BB2556" s="1">
        <v>49920</v>
      </c>
      <c r="BC2556" t="s">
        <v>51</v>
      </c>
      <c r="BE2556" t="s">
        <v>54</v>
      </c>
      <c r="BF2556">
        <v>40</v>
      </c>
      <c r="BG2556">
        <v>0</v>
      </c>
      <c r="BH2556" t="s">
        <v>145</v>
      </c>
      <c r="CC2556" t="s">
        <v>244</v>
      </c>
      <c r="CD2556">
        <v>100000</v>
      </c>
      <c r="CE2556" s="1">
        <v>44441</v>
      </c>
      <c r="CF2556" s="1">
        <v>44441</v>
      </c>
      <c r="CG2556" s="1">
        <v>44441</v>
      </c>
      <c r="CH2556" s="1">
        <v>52892</v>
      </c>
      <c r="CI2556" t="s">
        <v>51</v>
      </c>
      <c r="CK2556" t="s">
        <v>78</v>
      </c>
      <c r="CM2556" t="s">
        <v>54</v>
      </c>
      <c r="CN2556" t="s">
        <v>174</v>
      </c>
      <c r="CR2556">
        <v>0</v>
      </c>
      <c r="CS2556">
        <v>2150</v>
      </c>
      <c r="CT2556">
        <v>0</v>
      </c>
      <c r="CU2556">
        <v>16</v>
      </c>
      <c r="CX2556" t="s">
        <v>360</v>
      </c>
      <c r="CY2556">
        <v>40</v>
      </c>
      <c r="CZ2556" s="1">
        <v>44441</v>
      </c>
      <c r="DA2556" s="1">
        <v>44441</v>
      </c>
      <c r="DB2556" s="1">
        <v>44441</v>
      </c>
      <c r="DC2556" s="1">
        <v>59051</v>
      </c>
      <c r="DD2556" t="s">
        <v>51</v>
      </c>
      <c r="DF2556" t="s">
        <v>54</v>
      </c>
      <c r="DG2556">
        <v>0</v>
      </c>
      <c r="DH2556">
        <v>0</v>
      </c>
    </row>
    <row r="2557" spans="1:112" x14ac:dyDescent="0.2">
      <c r="A2557" t="s">
        <v>1012</v>
      </c>
      <c r="B2557" t="s">
        <v>1013</v>
      </c>
      <c r="C2557" t="s">
        <v>1014</v>
      </c>
      <c r="D2557" t="s">
        <v>1108</v>
      </c>
      <c r="F2557" t="str">
        <f>"254491"</f>
        <v>254491</v>
      </c>
      <c r="G2557" t="s">
        <v>49</v>
      </c>
      <c r="H2557" t="s">
        <v>637</v>
      </c>
      <c r="K2557" t="s">
        <v>51</v>
      </c>
      <c r="L2557" t="s">
        <v>52</v>
      </c>
      <c r="M2557">
        <v>131672.79999999999</v>
      </c>
      <c r="N2557">
        <v>475319.61</v>
      </c>
      <c r="O2557" t="s">
        <v>53</v>
      </c>
      <c r="P2557" t="s">
        <v>54</v>
      </c>
      <c r="Q2557" t="s">
        <v>55</v>
      </c>
      <c r="T2557" t="s">
        <v>246</v>
      </c>
      <c r="U2557">
        <v>40</v>
      </c>
      <c r="V2557" s="1">
        <v>44441</v>
      </c>
      <c r="W2557" s="1">
        <v>44441</v>
      </c>
      <c r="X2557" s="1">
        <v>44441</v>
      </c>
      <c r="Y2557" s="1">
        <v>59051</v>
      </c>
      <c r="Z2557" t="s">
        <v>51</v>
      </c>
      <c r="AB2557" t="s">
        <v>54</v>
      </c>
      <c r="AC2557">
        <v>1</v>
      </c>
      <c r="AE2557" t="s">
        <v>1065</v>
      </c>
      <c r="AF2557">
        <v>20</v>
      </c>
      <c r="AG2557" s="1">
        <v>44441</v>
      </c>
      <c r="AH2557" s="1">
        <v>44441</v>
      </c>
      <c r="AI2557" s="1">
        <v>44441</v>
      </c>
      <c r="AJ2557" s="1">
        <v>51746</v>
      </c>
      <c r="AK2557" t="s">
        <v>51</v>
      </c>
      <c r="AN2557">
        <v>0</v>
      </c>
      <c r="AO2557" t="s">
        <v>54</v>
      </c>
      <c r="AP2557" t="s">
        <v>53</v>
      </c>
      <c r="AQ2557">
        <v>0</v>
      </c>
      <c r="AR2557" t="s">
        <v>53</v>
      </c>
      <c r="AS2557">
        <v>0</v>
      </c>
      <c r="AT2557">
        <v>0</v>
      </c>
      <c r="AW2557" t="s">
        <v>172</v>
      </c>
      <c r="AX2557">
        <v>15</v>
      </c>
      <c r="AY2557" s="1">
        <v>44441</v>
      </c>
      <c r="AZ2557" s="1">
        <v>44441</v>
      </c>
      <c r="BA2557" s="1">
        <v>44441</v>
      </c>
      <c r="BB2557" s="1">
        <v>49920</v>
      </c>
      <c r="BC2557" t="s">
        <v>51</v>
      </c>
      <c r="BE2557" t="s">
        <v>54</v>
      </c>
      <c r="BF2557">
        <v>40</v>
      </c>
      <c r="BG2557">
        <v>0</v>
      </c>
      <c r="BH2557" t="s">
        <v>145</v>
      </c>
      <c r="CC2557" t="s">
        <v>244</v>
      </c>
      <c r="CD2557">
        <v>100000</v>
      </c>
      <c r="CE2557" s="1">
        <v>44441</v>
      </c>
      <c r="CF2557" s="1">
        <v>44441</v>
      </c>
      <c r="CG2557" s="1">
        <v>44441</v>
      </c>
      <c r="CH2557" s="1">
        <v>52892</v>
      </c>
      <c r="CI2557" t="s">
        <v>51</v>
      </c>
      <c r="CK2557" t="s">
        <v>78</v>
      </c>
      <c r="CM2557" t="s">
        <v>54</v>
      </c>
      <c r="CN2557" t="s">
        <v>174</v>
      </c>
      <c r="CR2557">
        <v>0</v>
      </c>
      <c r="CS2557">
        <v>2150</v>
      </c>
      <c r="CT2557">
        <v>0</v>
      </c>
      <c r="CU2557">
        <v>16</v>
      </c>
      <c r="CX2557" t="s">
        <v>360</v>
      </c>
      <c r="CY2557">
        <v>40</v>
      </c>
      <c r="CZ2557" s="1">
        <v>44441</v>
      </c>
      <c r="DA2557" s="1">
        <v>44441</v>
      </c>
      <c r="DB2557" s="1">
        <v>44441</v>
      </c>
      <c r="DC2557" s="1">
        <v>59051</v>
      </c>
      <c r="DD2557" t="s">
        <v>51</v>
      </c>
      <c r="DF2557" t="s">
        <v>54</v>
      </c>
      <c r="DG2557">
        <v>0</v>
      </c>
      <c r="DH2557">
        <v>0</v>
      </c>
    </row>
    <row r="2558" spans="1:112" x14ac:dyDescent="0.2">
      <c r="A2558" t="s">
        <v>1012</v>
      </c>
      <c r="B2558" t="s">
        <v>1013</v>
      </c>
      <c r="C2558" t="s">
        <v>1014</v>
      </c>
      <c r="D2558" t="s">
        <v>1108</v>
      </c>
      <c r="F2558" t="str">
        <f>"254488"</f>
        <v>254488</v>
      </c>
      <c r="G2558" t="s">
        <v>49</v>
      </c>
      <c r="K2558" t="s">
        <v>51</v>
      </c>
      <c r="L2558" t="s">
        <v>52</v>
      </c>
      <c r="M2558">
        <v>131656.5</v>
      </c>
      <c r="N2558">
        <v>475324.04</v>
      </c>
      <c r="O2558" t="s">
        <v>53</v>
      </c>
      <c r="P2558" t="s">
        <v>54</v>
      </c>
      <c r="Q2558" t="s">
        <v>55</v>
      </c>
      <c r="T2558" t="s">
        <v>170</v>
      </c>
      <c r="U2558">
        <v>40</v>
      </c>
      <c r="V2558" s="1">
        <v>44441</v>
      </c>
      <c r="W2558" s="1">
        <v>44441</v>
      </c>
      <c r="X2558" s="1">
        <v>44441</v>
      </c>
      <c r="Y2558" s="1">
        <v>59051</v>
      </c>
      <c r="Z2558" t="s">
        <v>51</v>
      </c>
      <c r="AB2558" t="s">
        <v>54</v>
      </c>
      <c r="AC2558">
        <v>1</v>
      </c>
      <c r="AE2558" t="s">
        <v>356</v>
      </c>
      <c r="AF2558">
        <v>20</v>
      </c>
      <c r="AG2558" s="1">
        <v>44441</v>
      </c>
      <c r="AH2558" s="1">
        <v>44441</v>
      </c>
      <c r="AI2558" s="1">
        <v>44441</v>
      </c>
      <c r="AJ2558" s="1">
        <v>51746</v>
      </c>
      <c r="AK2558" t="s">
        <v>51</v>
      </c>
      <c r="AN2558">
        <v>0</v>
      </c>
      <c r="AO2558" t="s">
        <v>54</v>
      </c>
      <c r="AP2558" t="s">
        <v>53</v>
      </c>
      <c r="AQ2558">
        <v>0</v>
      </c>
      <c r="AR2558" t="s">
        <v>145</v>
      </c>
      <c r="AS2558">
        <v>0</v>
      </c>
      <c r="AT2558">
        <v>0</v>
      </c>
      <c r="AW2558" t="s">
        <v>172</v>
      </c>
      <c r="AX2558">
        <v>15</v>
      </c>
      <c r="AY2558" s="1">
        <v>44441</v>
      </c>
      <c r="AZ2558" s="1">
        <v>44441</v>
      </c>
      <c r="BA2558" s="1">
        <v>44441</v>
      </c>
      <c r="BB2558" s="1">
        <v>49920</v>
      </c>
      <c r="BC2558" t="s">
        <v>51</v>
      </c>
      <c r="BE2558" t="s">
        <v>54</v>
      </c>
      <c r="BF2558">
        <v>40</v>
      </c>
      <c r="BG2558">
        <v>0</v>
      </c>
      <c r="BH2558" t="s">
        <v>145</v>
      </c>
      <c r="CC2558" t="s">
        <v>250</v>
      </c>
      <c r="CD2558">
        <v>100000</v>
      </c>
      <c r="CE2558" s="1">
        <v>44441</v>
      </c>
      <c r="CF2558" s="1">
        <v>44441</v>
      </c>
      <c r="CG2558" s="1">
        <v>44441</v>
      </c>
      <c r="CH2558" s="1">
        <v>52892</v>
      </c>
      <c r="CI2558" t="s">
        <v>51</v>
      </c>
      <c r="CK2558" t="s">
        <v>78</v>
      </c>
      <c r="CM2558" t="s">
        <v>54</v>
      </c>
      <c r="CN2558" t="s">
        <v>174</v>
      </c>
      <c r="CR2558">
        <v>13.2</v>
      </c>
      <c r="CS2558">
        <v>1800</v>
      </c>
      <c r="CT2558">
        <v>0</v>
      </c>
      <c r="CU2558">
        <v>16</v>
      </c>
      <c r="CX2558" t="s">
        <v>360</v>
      </c>
      <c r="CY2558">
        <v>40</v>
      </c>
      <c r="CZ2558" s="1">
        <v>44441</v>
      </c>
      <c r="DA2558" s="1">
        <v>44441</v>
      </c>
      <c r="DB2558" s="1">
        <v>44441</v>
      </c>
      <c r="DC2558" s="1">
        <v>59051</v>
      </c>
      <c r="DD2558" t="s">
        <v>51</v>
      </c>
      <c r="DF2558" t="s">
        <v>54</v>
      </c>
      <c r="DG2558">
        <v>0</v>
      </c>
      <c r="DH2558">
        <v>0</v>
      </c>
    </row>
    <row r="2559" spans="1:112" x14ac:dyDescent="0.2">
      <c r="A2559" t="s">
        <v>1012</v>
      </c>
      <c r="B2559" t="s">
        <v>1013</v>
      </c>
      <c r="C2559" t="s">
        <v>1014</v>
      </c>
      <c r="D2559" t="s">
        <v>1108</v>
      </c>
      <c r="F2559" t="str">
        <f>"254489"</f>
        <v>254489</v>
      </c>
      <c r="G2559" t="s">
        <v>49</v>
      </c>
      <c r="K2559" t="s">
        <v>51</v>
      </c>
      <c r="L2559" t="s">
        <v>52</v>
      </c>
      <c r="M2559">
        <v>131652.57500000001</v>
      </c>
      <c r="N2559">
        <v>475296.40899999999</v>
      </c>
      <c r="O2559" t="s">
        <v>53</v>
      </c>
      <c r="P2559" t="s">
        <v>54</v>
      </c>
      <c r="Q2559" t="s">
        <v>55</v>
      </c>
      <c r="T2559" t="s">
        <v>170</v>
      </c>
      <c r="U2559">
        <v>40</v>
      </c>
      <c r="V2559" s="1">
        <v>44441</v>
      </c>
      <c r="W2559" s="1">
        <v>44441</v>
      </c>
      <c r="X2559" s="1">
        <v>44441</v>
      </c>
      <c r="Y2559" s="1">
        <v>59051</v>
      </c>
      <c r="Z2559" t="s">
        <v>51</v>
      </c>
      <c r="AB2559" t="s">
        <v>54</v>
      </c>
      <c r="AC2559">
        <v>1</v>
      </c>
      <c r="AE2559" t="s">
        <v>356</v>
      </c>
      <c r="AF2559">
        <v>20</v>
      </c>
      <c r="AG2559" s="1">
        <v>44441</v>
      </c>
      <c r="AH2559" s="1">
        <v>44441</v>
      </c>
      <c r="AI2559" s="1">
        <v>44441</v>
      </c>
      <c r="AJ2559" s="1">
        <v>51746</v>
      </c>
      <c r="AK2559" t="s">
        <v>51</v>
      </c>
      <c r="AN2559">
        <v>0</v>
      </c>
      <c r="AO2559" t="s">
        <v>54</v>
      </c>
      <c r="AP2559" t="s">
        <v>53</v>
      </c>
      <c r="AQ2559">
        <v>0</v>
      </c>
      <c r="AR2559" t="s">
        <v>145</v>
      </c>
      <c r="AS2559">
        <v>0</v>
      </c>
      <c r="AT2559">
        <v>0</v>
      </c>
      <c r="AW2559" t="s">
        <v>172</v>
      </c>
      <c r="AX2559">
        <v>15</v>
      </c>
      <c r="AY2559" s="1">
        <v>44441</v>
      </c>
      <c r="AZ2559" s="1">
        <v>44441</v>
      </c>
      <c r="BA2559" s="1">
        <v>44441</v>
      </c>
      <c r="BB2559" s="1">
        <v>49920</v>
      </c>
      <c r="BC2559" t="s">
        <v>51</v>
      </c>
      <c r="BE2559" t="s">
        <v>54</v>
      </c>
      <c r="BF2559">
        <v>40</v>
      </c>
      <c r="BG2559">
        <v>0</v>
      </c>
      <c r="BH2559" t="s">
        <v>145</v>
      </c>
      <c r="CC2559" t="s">
        <v>250</v>
      </c>
      <c r="CD2559">
        <v>100000</v>
      </c>
      <c r="CE2559" s="1">
        <v>44441</v>
      </c>
      <c r="CF2559" s="1">
        <v>44441</v>
      </c>
      <c r="CG2559" s="1">
        <v>44441</v>
      </c>
      <c r="CH2559" s="1">
        <v>52892</v>
      </c>
      <c r="CI2559" t="s">
        <v>51</v>
      </c>
      <c r="CK2559" t="s">
        <v>78</v>
      </c>
      <c r="CM2559" t="s">
        <v>54</v>
      </c>
      <c r="CN2559" t="s">
        <v>174</v>
      </c>
      <c r="CR2559">
        <v>13.2</v>
      </c>
      <c r="CS2559">
        <v>1800</v>
      </c>
      <c r="CT2559">
        <v>0</v>
      </c>
      <c r="CU2559">
        <v>16</v>
      </c>
      <c r="CX2559" t="s">
        <v>674</v>
      </c>
      <c r="CY2559">
        <v>0</v>
      </c>
      <c r="CZ2559" s="1">
        <v>44441</v>
      </c>
      <c r="DA2559" s="1">
        <v>44441</v>
      </c>
      <c r="DB2559" s="1">
        <v>44441</v>
      </c>
      <c r="DC2559" s="1">
        <v>44441</v>
      </c>
      <c r="DD2559" t="s">
        <v>51</v>
      </c>
      <c r="DF2559" t="s">
        <v>54</v>
      </c>
      <c r="DG2559">
        <v>0</v>
      </c>
      <c r="DH2559">
        <v>0</v>
      </c>
    </row>
    <row r="2560" spans="1:112" x14ac:dyDescent="0.2">
      <c r="A2560" t="s">
        <v>1012</v>
      </c>
      <c r="B2560" t="s">
        <v>1013</v>
      </c>
      <c r="C2560" t="s">
        <v>1014</v>
      </c>
      <c r="D2560" t="s">
        <v>1108</v>
      </c>
      <c r="F2560" t="str">
        <f>"254045"</f>
        <v>254045</v>
      </c>
      <c r="G2560" t="s">
        <v>49</v>
      </c>
      <c r="K2560" t="s">
        <v>51</v>
      </c>
      <c r="L2560" t="s">
        <v>52</v>
      </c>
      <c r="M2560">
        <v>131633.09</v>
      </c>
      <c r="N2560">
        <v>475118.28</v>
      </c>
      <c r="O2560" t="s">
        <v>53</v>
      </c>
      <c r="P2560" t="s">
        <v>54</v>
      </c>
      <c r="Q2560" t="s">
        <v>55</v>
      </c>
      <c r="S2560" t="s">
        <v>514</v>
      </c>
      <c r="T2560" t="s">
        <v>514</v>
      </c>
      <c r="U2560">
        <v>30</v>
      </c>
      <c r="V2560" s="1">
        <v>43282</v>
      </c>
      <c r="W2560" s="1">
        <v>43282</v>
      </c>
      <c r="X2560" s="1">
        <v>43282</v>
      </c>
      <c r="Y2560" s="1">
        <v>54240</v>
      </c>
      <c r="Z2560" t="s">
        <v>51</v>
      </c>
      <c r="AB2560" t="s">
        <v>54</v>
      </c>
      <c r="AC2560">
        <v>1</v>
      </c>
      <c r="AE2560" t="s">
        <v>515</v>
      </c>
      <c r="AF2560">
        <v>20</v>
      </c>
      <c r="AG2560" s="1">
        <v>43282</v>
      </c>
      <c r="AH2560" s="1">
        <v>43282</v>
      </c>
      <c r="AI2560" s="1">
        <v>43282</v>
      </c>
      <c r="AJ2560" s="1">
        <v>50587</v>
      </c>
      <c r="AK2560" t="s">
        <v>51</v>
      </c>
      <c r="AN2560">
        <v>0</v>
      </c>
      <c r="AO2560" t="s">
        <v>54</v>
      </c>
      <c r="AP2560" t="s">
        <v>53</v>
      </c>
      <c r="AQ2560">
        <v>0</v>
      </c>
      <c r="AR2560" t="s">
        <v>53</v>
      </c>
      <c r="AS2560">
        <v>0</v>
      </c>
      <c r="AT2560">
        <v>0</v>
      </c>
      <c r="CC2560" t="s">
        <v>432</v>
      </c>
      <c r="CD2560">
        <v>85000</v>
      </c>
      <c r="CE2560" s="1">
        <v>43282</v>
      </c>
      <c r="CF2560" s="1">
        <v>43282</v>
      </c>
      <c r="CG2560" s="1">
        <v>43282</v>
      </c>
      <c r="CH2560" s="1">
        <v>50869</v>
      </c>
      <c r="CI2560" t="s">
        <v>51</v>
      </c>
      <c r="CK2560" t="s">
        <v>78</v>
      </c>
      <c r="CM2560" t="s">
        <v>54</v>
      </c>
      <c r="CN2560" t="s">
        <v>174</v>
      </c>
      <c r="CO2560" t="s">
        <v>86</v>
      </c>
      <c r="CR2560">
        <v>24</v>
      </c>
      <c r="CS2560">
        <v>0</v>
      </c>
      <c r="CT2560">
        <v>0</v>
      </c>
      <c r="CU2560">
        <v>0</v>
      </c>
    </row>
    <row r="2561" spans="1:112" x14ac:dyDescent="0.2">
      <c r="A2561" t="s">
        <v>1012</v>
      </c>
      <c r="B2561" t="s">
        <v>1013</v>
      </c>
      <c r="C2561" t="s">
        <v>1014</v>
      </c>
      <c r="D2561" t="s">
        <v>1108</v>
      </c>
      <c r="F2561" t="str">
        <f>"254069"</f>
        <v>254069</v>
      </c>
      <c r="G2561" t="s">
        <v>49</v>
      </c>
      <c r="H2561">
        <v>20</v>
      </c>
      <c r="K2561" t="s">
        <v>51</v>
      </c>
      <c r="L2561" t="s">
        <v>52</v>
      </c>
      <c r="M2561">
        <v>131641.79</v>
      </c>
      <c r="N2561">
        <v>475206.7</v>
      </c>
      <c r="O2561" t="s">
        <v>53</v>
      </c>
      <c r="P2561" t="s">
        <v>54</v>
      </c>
      <c r="Q2561" t="s">
        <v>55</v>
      </c>
      <c r="S2561" t="s">
        <v>514</v>
      </c>
      <c r="T2561" t="s">
        <v>514</v>
      </c>
      <c r="U2561">
        <v>30</v>
      </c>
      <c r="V2561" s="1">
        <v>32874</v>
      </c>
      <c r="W2561" s="1">
        <v>32874</v>
      </c>
      <c r="X2561" s="1">
        <v>32874</v>
      </c>
      <c r="Y2561" s="1">
        <v>43831</v>
      </c>
      <c r="Z2561" t="s">
        <v>51</v>
      </c>
      <c r="AB2561" t="s">
        <v>54</v>
      </c>
      <c r="AC2561">
        <v>1</v>
      </c>
      <c r="AE2561" t="s">
        <v>515</v>
      </c>
      <c r="AF2561">
        <v>20</v>
      </c>
      <c r="AG2561" s="1">
        <v>32874</v>
      </c>
      <c r="AH2561" s="1">
        <v>32874</v>
      </c>
      <c r="AI2561" s="1">
        <v>32874</v>
      </c>
      <c r="AJ2561" s="1">
        <v>40179</v>
      </c>
      <c r="AK2561" t="s">
        <v>51</v>
      </c>
      <c r="AN2561">
        <v>0</v>
      </c>
      <c r="AO2561" t="s">
        <v>54</v>
      </c>
      <c r="AP2561" t="s">
        <v>53</v>
      </c>
      <c r="AQ2561">
        <v>0</v>
      </c>
      <c r="AR2561" t="s">
        <v>53</v>
      </c>
      <c r="AS2561">
        <v>0</v>
      </c>
      <c r="AT2561">
        <v>0</v>
      </c>
      <c r="AW2561" t="s">
        <v>172</v>
      </c>
      <c r="AX2561">
        <v>15</v>
      </c>
      <c r="AY2561" s="1">
        <v>43221</v>
      </c>
      <c r="AZ2561" s="1">
        <v>43221</v>
      </c>
      <c r="BA2561" s="1">
        <v>43221</v>
      </c>
      <c r="BB2561" s="1">
        <v>48700</v>
      </c>
      <c r="BC2561" t="s">
        <v>51</v>
      </c>
      <c r="BE2561" t="s">
        <v>54</v>
      </c>
      <c r="BF2561">
        <v>40</v>
      </c>
      <c r="BG2561">
        <v>0</v>
      </c>
      <c r="BH2561" t="s">
        <v>145</v>
      </c>
      <c r="CC2561" t="s">
        <v>250</v>
      </c>
      <c r="CD2561">
        <v>100000</v>
      </c>
      <c r="CE2561" s="1">
        <v>43221</v>
      </c>
      <c r="CF2561" s="1">
        <v>43221</v>
      </c>
      <c r="CG2561" s="1">
        <v>43221</v>
      </c>
      <c r="CH2561" s="1">
        <v>51703</v>
      </c>
      <c r="CI2561" t="s">
        <v>51</v>
      </c>
      <c r="CK2561" t="s">
        <v>78</v>
      </c>
      <c r="CM2561" t="s">
        <v>54</v>
      </c>
      <c r="CN2561" t="s">
        <v>174</v>
      </c>
      <c r="CR2561">
        <v>13.2</v>
      </c>
      <c r="CS2561">
        <v>1800</v>
      </c>
      <c r="CT2561">
        <v>0</v>
      </c>
      <c r="CU2561">
        <v>16</v>
      </c>
      <c r="CX2561" t="s">
        <v>360</v>
      </c>
      <c r="CY2561">
        <v>40</v>
      </c>
      <c r="CZ2561" s="1">
        <v>43221</v>
      </c>
      <c r="DA2561" s="1">
        <v>43221</v>
      </c>
      <c r="DB2561" s="1">
        <v>43221</v>
      </c>
      <c r="DC2561" s="1">
        <v>57831</v>
      </c>
      <c r="DD2561" t="s">
        <v>51</v>
      </c>
      <c r="DF2561" t="s">
        <v>54</v>
      </c>
      <c r="DG2561">
        <v>0</v>
      </c>
      <c r="DH2561">
        <v>0</v>
      </c>
    </row>
    <row r="2562" spans="1:112" x14ac:dyDescent="0.2">
      <c r="A2562" t="s">
        <v>1012</v>
      </c>
      <c r="B2562" t="s">
        <v>1013</v>
      </c>
      <c r="C2562" t="s">
        <v>1014</v>
      </c>
      <c r="D2562" t="s">
        <v>1108</v>
      </c>
      <c r="F2562" t="str">
        <f>"252163"</f>
        <v>252163</v>
      </c>
      <c r="G2562" t="s">
        <v>49</v>
      </c>
      <c r="H2562">
        <v>14</v>
      </c>
      <c r="K2562" t="s">
        <v>51</v>
      </c>
      <c r="L2562" t="s">
        <v>52</v>
      </c>
      <c r="M2562">
        <v>131644.47</v>
      </c>
      <c r="N2562">
        <v>475243.2</v>
      </c>
      <c r="O2562" t="s">
        <v>53</v>
      </c>
      <c r="P2562" t="s">
        <v>54</v>
      </c>
      <c r="Q2562" t="s">
        <v>55</v>
      </c>
      <c r="S2562" t="s">
        <v>514</v>
      </c>
      <c r="T2562" t="s">
        <v>514</v>
      </c>
      <c r="U2562">
        <v>30</v>
      </c>
      <c r="V2562" s="1">
        <v>42917</v>
      </c>
      <c r="W2562" s="1">
        <v>42917</v>
      </c>
      <c r="X2562" s="1">
        <v>42917</v>
      </c>
      <c r="Y2562" s="1">
        <v>53874</v>
      </c>
      <c r="Z2562" t="s">
        <v>51</v>
      </c>
      <c r="AB2562" t="s">
        <v>54</v>
      </c>
      <c r="AC2562">
        <v>1</v>
      </c>
      <c r="AE2562" t="s">
        <v>515</v>
      </c>
      <c r="AF2562">
        <v>20</v>
      </c>
      <c r="AG2562" s="1">
        <v>42917</v>
      </c>
      <c r="AH2562" s="1">
        <v>42917</v>
      </c>
      <c r="AI2562" s="1">
        <v>42917</v>
      </c>
      <c r="AJ2562" s="1">
        <v>50222</v>
      </c>
      <c r="AK2562" t="s">
        <v>51</v>
      </c>
      <c r="AN2562">
        <v>0</v>
      </c>
      <c r="AO2562" t="s">
        <v>54</v>
      </c>
      <c r="AP2562" t="s">
        <v>53</v>
      </c>
      <c r="AQ2562">
        <v>0</v>
      </c>
      <c r="AR2562" t="s">
        <v>53</v>
      </c>
      <c r="AS2562">
        <v>0</v>
      </c>
      <c r="AT2562">
        <v>0</v>
      </c>
      <c r="AW2562" t="s">
        <v>172</v>
      </c>
      <c r="AX2562">
        <v>15</v>
      </c>
      <c r="AY2562" s="1">
        <v>44320</v>
      </c>
      <c r="AZ2562" s="1">
        <v>44320</v>
      </c>
      <c r="BA2562" s="1">
        <v>44320</v>
      </c>
      <c r="BB2562" s="1">
        <v>49799</v>
      </c>
      <c r="BC2562" t="s">
        <v>51</v>
      </c>
      <c r="BE2562" t="s">
        <v>54</v>
      </c>
      <c r="BF2562">
        <v>40</v>
      </c>
      <c r="BG2562">
        <v>0</v>
      </c>
      <c r="BH2562" t="s">
        <v>145</v>
      </c>
      <c r="CC2562" t="s">
        <v>250</v>
      </c>
      <c r="CD2562">
        <v>100000</v>
      </c>
      <c r="CE2562" s="1">
        <v>44320</v>
      </c>
      <c r="CF2562" s="1">
        <v>44320</v>
      </c>
      <c r="CG2562" s="1">
        <v>44320</v>
      </c>
      <c r="CH2562" s="1">
        <v>52802</v>
      </c>
      <c r="CI2562" t="s">
        <v>51</v>
      </c>
      <c r="CK2562" t="s">
        <v>78</v>
      </c>
      <c r="CM2562" t="s">
        <v>54</v>
      </c>
      <c r="CN2562" t="s">
        <v>174</v>
      </c>
      <c r="CR2562">
        <v>13.2</v>
      </c>
      <c r="CS2562">
        <v>1800</v>
      </c>
      <c r="CT2562">
        <v>0</v>
      </c>
      <c r="CU2562">
        <v>16</v>
      </c>
      <c r="CX2562" t="s">
        <v>360</v>
      </c>
      <c r="CY2562">
        <v>40</v>
      </c>
      <c r="CZ2562" s="1">
        <v>44320</v>
      </c>
      <c r="DA2562" s="1">
        <v>44320</v>
      </c>
      <c r="DB2562" s="1">
        <v>44320</v>
      </c>
      <c r="DC2562" s="1">
        <v>58930</v>
      </c>
      <c r="DD2562" t="s">
        <v>51</v>
      </c>
      <c r="DF2562" t="s">
        <v>54</v>
      </c>
      <c r="DG2562">
        <v>0</v>
      </c>
      <c r="DH2562">
        <v>0</v>
      </c>
    </row>
    <row r="2563" spans="1:112" x14ac:dyDescent="0.2">
      <c r="A2563" t="s">
        <v>1012</v>
      </c>
      <c r="B2563" t="s">
        <v>1013</v>
      </c>
      <c r="C2563" t="s">
        <v>1014</v>
      </c>
      <c r="D2563" t="s">
        <v>1108</v>
      </c>
      <c r="F2563" t="str">
        <f>"254072"</f>
        <v>254072</v>
      </c>
      <c r="G2563" t="s">
        <v>49</v>
      </c>
      <c r="K2563" t="s">
        <v>51</v>
      </c>
      <c r="L2563" t="s">
        <v>52</v>
      </c>
      <c r="M2563">
        <v>131644.60500000001</v>
      </c>
      <c r="N2563">
        <v>475168.73700000002</v>
      </c>
      <c r="O2563" t="s">
        <v>53</v>
      </c>
      <c r="P2563" t="s">
        <v>54</v>
      </c>
      <c r="Q2563" t="s">
        <v>55</v>
      </c>
      <c r="S2563" t="s">
        <v>514</v>
      </c>
      <c r="T2563" t="s">
        <v>514</v>
      </c>
      <c r="U2563">
        <v>30</v>
      </c>
      <c r="V2563" s="1">
        <v>42917</v>
      </c>
      <c r="W2563" s="1">
        <v>42917</v>
      </c>
      <c r="X2563" s="1">
        <v>42917</v>
      </c>
      <c r="Y2563" s="1">
        <v>53874</v>
      </c>
      <c r="Z2563" t="s">
        <v>51</v>
      </c>
      <c r="AB2563" t="s">
        <v>54</v>
      </c>
      <c r="AC2563">
        <v>1</v>
      </c>
      <c r="AE2563" t="s">
        <v>79</v>
      </c>
      <c r="AF2563">
        <v>20</v>
      </c>
      <c r="AG2563" s="1">
        <v>42917</v>
      </c>
      <c r="AH2563" s="1">
        <v>42917</v>
      </c>
      <c r="AI2563" s="1">
        <v>42917</v>
      </c>
      <c r="AJ2563" s="1">
        <v>50222</v>
      </c>
      <c r="AK2563" t="s">
        <v>51</v>
      </c>
      <c r="AN2563">
        <v>0</v>
      </c>
      <c r="AO2563" t="s">
        <v>54</v>
      </c>
      <c r="AP2563" t="s">
        <v>53</v>
      </c>
      <c r="AQ2563">
        <v>0</v>
      </c>
      <c r="AR2563" t="s">
        <v>145</v>
      </c>
      <c r="AS2563">
        <v>0</v>
      </c>
      <c r="AT2563">
        <v>0</v>
      </c>
      <c r="CA2563">
        <v>1</v>
      </c>
      <c r="CC2563" t="s">
        <v>432</v>
      </c>
      <c r="CD2563">
        <v>85000</v>
      </c>
      <c r="CE2563" s="1">
        <v>42917</v>
      </c>
      <c r="CF2563" s="1">
        <v>42917</v>
      </c>
      <c r="CG2563" s="1">
        <v>42917</v>
      </c>
      <c r="CH2563" s="1">
        <v>50504</v>
      </c>
      <c r="CI2563" t="s">
        <v>51</v>
      </c>
      <c r="CK2563" t="s">
        <v>78</v>
      </c>
      <c r="CM2563" t="s">
        <v>54</v>
      </c>
      <c r="CN2563" t="s">
        <v>174</v>
      </c>
      <c r="CO2563" t="s">
        <v>86</v>
      </c>
      <c r="CR2563">
        <v>24</v>
      </c>
      <c r="CS2563">
        <v>0</v>
      </c>
      <c r="CT2563">
        <v>0</v>
      </c>
      <c r="CU2563">
        <v>0</v>
      </c>
    </row>
    <row r="2564" spans="1:112" x14ac:dyDescent="0.2">
      <c r="A2564" t="s">
        <v>1012</v>
      </c>
      <c r="B2564" t="s">
        <v>1013</v>
      </c>
      <c r="C2564" t="s">
        <v>1014</v>
      </c>
      <c r="D2564" t="s">
        <v>1108</v>
      </c>
      <c r="F2564" t="str">
        <f>"254071"</f>
        <v>254071</v>
      </c>
      <c r="G2564" t="s">
        <v>49</v>
      </c>
      <c r="K2564" t="s">
        <v>51</v>
      </c>
      <c r="L2564" t="s">
        <v>52</v>
      </c>
      <c r="M2564">
        <v>131646.25</v>
      </c>
      <c r="N2564">
        <v>475187.99</v>
      </c>
      <c r="O2564" t="s">
        <v>53</v>
      </c>
      <c r="P2564" t="s">
        <v>54</v>
      </c>
      <c r="Q2564" t="s">
        <v>55</v>
      </c>
      <c r="S2564" t="s">
        <v>514</v>
      </c>
      <c r="T2564" t="s">
        <v>514</v>
      </c>
      <c r="U2564">
        <v>30</v>
      </c>
      <c r="V2564" s="1">
        <v>43282</v>
      </c>
      <c r="W2564" s="1">
        <v>43282</v>
      </c>
      <c r="X2564" s="1">
        <v>43282</v>
      </c>
      <c r="Y2564" s="1">
        <v>54240</v>
      </c>
      <c r="Z2564" t="s">
        <v>51</v>
      </c>
      <c r="AB2564" t="s">
        <v>54</v>
      </c>
      <c r="AC2564">
        <v>1</v>
      </c>
      <c r="AE2564" t="s">
        <v>515</v>
      </c>
      <c r="AF2564">
        <v>20</v>
      </c>
      <c r="AG2564" s="1">
        <v>43282</v>
      </c>
      <c r="AH2564" s="1">
        <v>43282</v>
      </c>
      <c r="AI2564" s="1">
        <v>43282</v>
      </c>
      <c r="AJ2564" s="1">
        <v>50587</v>
      </c>
      <c r="AK2564" t="s">
        <v>51</v>
      </c>
      <c r="AN2564">
        <v>0</v>
      </c>
      <c r="AO2564" t="s">
        <v>54</v>
      </c>
      <c r="AP2564" t="s">
        <v>53</v>
      </c>
      <c r="AQ2564">
        <v>0</v>
      </c>
      <c r="AR2564" t="s">
        <v>53</v>
      </c>
      <c r="AS2564">
        <v>0</v>
      </c>
      <c r="AT2564">
        <v>0</v>
      </c>
      <c r="CC2564" t="s">
        <v>432</v>
      </c>
      <c r="CD2564">
        <v>85000</v>
      </c>
      <c r="CE2564" s="1">
        <v>43282</v>
      </c>
      <c r="CF2564" s="1">
        <v>43282</v>
      </c>
      <c r="CG2564" s="1">
        <v>43282</v>
      </c>
      <c r="CH2564" s="1">
        <v>50869</v>
      </c>
      <c r="CI2564" t="s">
        <v>51</v>
      </c>
      <c r="CK2564" t="s">
        <v>78</v>
      </c>
      <c r="CM2564" t="s">
        <v>54</v>
      </c>
      <c r="CN2564" t="s">
        <v>174</v>
      </c>
      <c r="CO2564" t="s">
        <v>86</v>
      </c>
      <c r="CR2564">
        <v>24</v>
      </c>
      <c r="CS2564">
        <v>0</v>
      </c>
      <c r="CT2564">
        <v>0</v>
      </c>
      <c r="CU2564">
        <v>0</v>
      </c>
    </row>
    <row r="2565" spans="1:112" x14ac:dyDescent="0.2">
      <c r="A2565" t="s">
        <v>1012</v>
      </c>
      <c r="B2565" t="s">
        <v>1013</v>
      </c>
      <c r="C2565" t="s">
        <v>1014</v>
      </c>
      <c r="D2565" t="s">
        <v>1108</v>
      </c>
      <c r="F2565" t="str">
        <f>"254046"</f>
        <v>254046</v>
      </c>
      <c r="G2565" t="s">
        <v>49</v>
      </c>
      <c r="H2565" t="s">
        <v>1115</v>
      </c>
      <c r="K2565" t="s">
        <v>51</v>
      </c>
      <c r="L2565" t="s">
        <v>52</v>
      </c>
      <c r="M2565">
        <v>131638.88</v>
      </c>
      <c r="N2565">
        <v>475107.49</v>
      </c>
      <c r="O2565" t="s">
        <v>53</v>
      </c>
      <c r="P2565" t="s">
        <v>54</v>
      </c>
      <c r="Q2565" t="s">
        <v>55</v>
      </c>
      <c r="S2565" t="s">
        <v>514</v>
      </c>
      <c r="T2565" t="s">
        <v>514</v>
      </c>
      <c r="U2565">
        <v>30</v>
      </c>
      <c r="V2565" s="1">
        <v>42917</v>
      </c>
      <c r="W2565" s="1">
        <v>42917</v>
      </c>
      <c r="X2565" s="1">
        <v>42917</v>
      </c>
      <c r="Y2565" s="1">
        <v>53874</v>
      </c>
      <c r="Z2565" t="s">
        <v>51</v>
      </c>
      <c r="AB2565" t="s">
        <v>54</v>
      </c>
      <c r="AC2565">
        <v>1</v>
      </c>
      <c r="AE2565" t="s">
        <v>515</v>
      </c>
      <c r="AF2565">
        <v>20</v>
      </c>
      <c r="AG2565" s="1">
        <v>42917</v>
      </c>
      <c r="AH2565" s="1">
        <v>42917</v>
      </c>
      <c r="AI2565" s="1">
        <v>42917</v>
      </c>
      <c r="AJ2565" s="1">
        <v>50222</v>
      </c>
      <c r="AK2565" t="s">
        <v>51</v>
      </c>
      <c r="AN2565">
        <v>0</v>
      </c>
      <c r="AO2565" t="s">
        <v>54</v>
      </c>
      <c r="AP2565" t="s">
        <v>53</v>
      </c>
      <c r="AQ2565">
        <v>0</v>
      </c>
      <c r="AR2565" t="s">
        <v>53</v>
      </c>
      <c r="AS2565">
        <v>0</v>
      </c>
      <c r="AT2565">
        <v>0</v>
      </c>
      <c r="BH2565" t="s">
        <v>53</v>
      </c>
    </row>
    <row r="2566" spans="1:112" x14ac:dyDescent="0.2">
      <c r="A2566" t="s">
        <v>1012</v>
      </c>
      <c r="B2566" t="s">
        <v>1013</v>
      </c>
      <c r="C2566" t="s">
        <v>1014</v>
      </c>
      <c r="D2566" t="s">
        <v>1108</v>
      </c>
      <c r="F2566" t="str">
        <f>"254074"</f>
        <v>254074</v>
      </c>
      <c r="G2566" t="s">
        <v>49</v>
      </c>
      <c r="K2566" t="s">
        <v>51</v>
      </c>
      <c r="L2566" t="s">
        <v>52</v>
      </c>
      <c r="M2566">
        <v>131657.65900000001</v>
      </c>
      <c r="N2566">
        <v>475191.48499999999</v>
      </c>
      <c r="O2566" t="s">
        <v>53</v>
      </c>
      <c r="P2566" t="s">
        <v>54</v>
      </c>
      <c r="Q2566" t="s">
        <v>55</v>
      </c>
      <c r="T2566" t="s">
        <v>1076</v>
      </c>
      <c r="U2566">
        <v>30</v>
      </c>
      <c r="V2566" s="1">
        <v>43282</v>
      </c>
      <c r="W2566" s="1">
        <v>43282</v>
      </c>
      <c r="X2566" s="1">
        <v>43282</v>
      </c>
      <c r="Y2566" s="1">
        <v>54240</v>
      </c>
      <c r="Z2566" t="s">
        <v>51</v>
      </c>
      <c r="AB2566" t="s">
        <v>54</v>
      </c>
      <c r="AC2566">
        <v>1</v>
      </c>
      <c r="AE2566" t="s">
        <v>934</v>
      </c>
      <c r="AF2566">
        <v>20</v>
      </c>
      <c r="AG2566" s="1">
        <v>43282</v>
      </c>
      <c r="AH2566" s="1">
        <v>43282</v>
      </c>
      <c r="AI2566" s="1">
        <v>43282</v>
      </c>
      <c r="AJ2566" s="1">
        <v>50587</v>
      </c>
      <c r="AK2566" t="s">
        <v>51</v>
      </c>
      <c r="AN2566">
        <v>0</v>
      </c>
      <c r="AO2566" t="s">
        <v>54</v>
      </c>
      <c r="AP2566" t="s">
        <v>53</v>
      </c>
      <c r="AQ2566">
        <v>0</v>
      </c>
      <c r="AR2566" t="s">
        <v>53</v>
      </c>
      <c r="AS2566">
        <v>0</v>
      </c>
      <c r="AT2566">
        <v>0</v>
      </c>
      <c r="AW2566" t="s">
        <v>79</v>
      </c>
      <c r="AX2566">
        <v>20</v>
      </c>
      <c r="AY2566" s="1">
        <v>43282</v>
      </c>
      <c r="AZ2566" s="1">
        <v>43282</v>
      </c>
      <c r="BA2566" s="1">
        <v>43282</v>
      </c>
      <c r="BB2566" s="1">
        <v>50587</v>
      </c>
      <c r="BC2566" t="s">
        <v>51</v>
      </c>
      <c r="BE2566" t="s">
        <v>54</v>
      </c>
      <c r="BF2566">
        <v>5</v>
      </c>
      <c r="BG2566">
        <v>0</v>
      </c>
      <c r="BH2566" t="s">
        <v>53</v>
      </c>
      <c r="BK2566" t="s">
        <v>146</v>
      </c>
      <c r="BL2566">
        <v>14000</v>
      </c>
      <c r="BM2566" s="1">
        <v>43282</v>
      </c>
      <c r="BN2566" s="1">
        <v>43282</v>
      </c>
      <c r="BO2566" s="1">
        <v>43282</v>
      </c>
      <c r="BP2566" s="1">
        <v>44482</v>
      </c>
      <c r="BQ2566" t="s">
        <v>51</v>
      </c>
      <c r="BS2566" t="s">
        <v>60</v>
      </c>
      <c r="BT2566" t="s">
        <v>54</v>
      </c>
      <c r="BU2566" t="s">
        <v>61</v>
      </c>
      <c r="BV2566" t="s">
        <v>62</v>
      </c>
      <c r="BX2566">
        <v>24</v>
      </c>
      <c r="BY2566">
        <v>0</v>
      </c>
      <c r="BZ2566">
        <v>0</v>
      </c>
    </row>
    <row r="2567" spans="1:112" x14ac:dyDescent="0.2">
      <c r="A2567" t="s">
        <v>1012</v>
      </c>
      <c r="B2567" t="s">
        <v>1013</v>
      </c>
      <c r="C2567" t="s">
        <v>1014</v>
      </c>
      <c r="D2567" t="s">
        <v>1108</v>
      </c>
      <c r="F2567" t="str">
        <f>"254067"</f>
        <v>254067</v>
      </c>
      <c r="G2567" t="s">
        <v>49</v>
      </c>
      <c r="H2567">
        <v>24</v>
      </c>
      <c r="K2567" t="s">
        <v>51</v>
      </c>
      <c r="L2567" t="s">
        <v>52</v>
      </c>
      <c r="M2567">
        <v>131662.62</v>
      </c>
      <c r="N2567">
        <v>475238.35</v>
      </c>
      <c r="O2567" t="s">
        <v>53</v>
      </c>
      <c r="P2567" t="s">
        <v>54</v>
      </c>
      <c r="Q2567" t="s">
        <v>55</v>
      </c>
      <c r="T2567" t="s">
        <v>1076</v>
      </c>
      <c r="U2567">
        <v>30</v>
      </c>
      <c r="V2567" s="1">
        <v>43282</v>
      </c>
      <c r="W2567" s="1">
        <v>43282</v>
      </c>
      <c r="X2567" s="1">
        <v>43282</v>
      </c>
      <c r="Y2567" s="1">
        <v>54240</v>
      </c>
      <c r="Z2567" t="s">
        <v>51</v>
      </c>
      <c r="AB2567" t="s">
        <v>54</v>
      </c>
      <c r="AC2567">
        <v>1</v>
      </c>
      <c r="AE2567" t="s">
        <v>934</v>
      </c>
      <c r="AF2567">
        <v>20</v>
      </c>
      <c r="AG2567" s="1">
        <v>43282</v>
      </c>
      <c r="AH2567" s="1">
        <v>43282</v>
      </c>
      <c r="AI2567" s="1">
        <v>43282</v>
      </c>
      <c r="AJ2567" s="1">
        <v>50587</v>
      </c>
      <c r="AK2567" t="s">
        <v>51</v>
      </c>
      <c r="AN2567">
        <v>0</v>
      </c>
      <c r="AO2567" t="s">
        <v>54</v>
      </c>
      <c r="AP2567" t="s">
        <v>53</v>
      </c>
      <c r="AQ2567">
        <v>0</v>
      </c>
      <c r="AR2567" t="s">
        <v>53</v>
      </c>
      <c r="AS2567">
        <v>0</v>
      </c>
      <c r="AT2567">
        <v>0</v>
      </c>
      <c r="AW2567" t="s">
        <v>172</v>
      </c>
      <c r="AX2567">
        <v>15</v>
      </c>
      <c r="AY2567" s="1">
        <v>44316</v>
      </c>
      <c r="AZ2567" s="1">
        <v>44316</v>
      </c>
      <c r="BA2567" s="1">
        <v>44316</v>
      </c>
      <c r="BB2567" s="1">
        <v>49795</v>
      </c>
      <c r="BC2567" t="s">
        <v>51</v>
      </c>
      <c r="BE2567" t="s">
        <v>54</v>
      </c>
      <c r="BF2567">
        <v>40</v>
      </c>
      <c r="BG2567">
        <v>0</v>
      </c>
      <c r="BH2567" t="s">
        <v>145</v>
      </c>
      <c r="CC2567" t="s">
        <v>850</v>
      </c>
      <c r="CD2567">
        <v>1</v>
      </c>
      <c r="CE2567" s="1">
        <v>44316</v>
      </c>
      <c r="CF2567" s="1">
        <v>44316</v>
      </c>
      <c r="CG2567" s="1">
        <v>44316</v>
      </c>
      <c r="CH2567" s="1">
        <v>51511</v>
      </c>
      <c r="CI2567" t="s">
        <v>51</v>
      </c>
      <c r="CK2567" t="s">
        <v>78</v>
      </c>
      <c r="CM2567" t="s">
        <v>54</v>
      </c>
      <c r="CN2567" t="s">
        <v>174</v>
      </c>
      <c r="CO2567" t="s">
        <v>86</v>
      </c>
      <c r="CR2567">
        <v>18</v>
      </c>
      <c r="CS2567">
        <v>0</v>
      </c>
      <c r="CT2567">
        <v>0</v>
      </c>
      <c r="CU2567">
        <v>0</v>
      </c>
      <c r="CX2567" t="s">
        <v>674</v>
      </c>
      <c r="CY2567">
        <v>0</v>
      </c>
      <c r="CZ2567" s="1">
        <v>44316</v>
      </c>
      <c r="DA2567" s="1">
        <v>44316</v>
      </c>
      <c r="DB2567" s="1">
        <v>44316</v>
      </c>
      <c r="DC2567" s="1">
        <v>44316</v>
      </c>
      <c r="DD2567" t="s">
        <v>51</v>
      </c>
      <c r="DF2567" t="s">
        <v>54</v>
      </c>
      <c r="DG2567">
        <v>0</v>
      </c>
      <c r="DH2567">
        <v>0</v>
      </c>
    </row>
    <row r="2568" spans="1:112" x14ac:dyDescent="0.2">
      <c r="A2568" t="s">
        <v>1012</v>
      </c>
      <c r="B2568" t="s">
        <v>1013</v>
      </c>
      <c r="C2568" t="s">
        <v>1019</v>
      </c>
      <c r="D2568" t="s">
        <v>1116</v>
      </c>
      <c r="F2568" t="str">
        <f>"252171"</f>
        <v>252171</v>
      </c>
      <c r="G2568" t="s">
        <v>49</v>
      </c>
      <c r="H2568" t="s">
        <v>1048</v>
      </c>
      <c r="K2568" t="s">
        <v>51</v>
      </c>
      <c r="L2568" t="s">
        <v>52</v>
      </c>
      <c r="M2568">
        <v>132882.76999999999</v>
      </c>
      <c r="N2568">
        <v>477056.09</v>
      </c>
      <c r="O2568" t="s">
        <v>53</v>
      </c>
      <c r="P2568" t="s">
        <v>54</v>
      </c>
      <c r="Q2568" t="s">
        <v>55</v>
      </c>
      <c r="T2568" t="s">
        <v>81</v>
      </c>
      <c r="U2568">
        <v>40</v>
      </c>
      <c r="V2568" s="1">
        <v>31048</v>
      </c>
      <c r="W2568" s="1">
        <v>31048</v>
      </c>
      <c r="X2568" s="1">
        <v>31048</v>
      </c>
      <c r="Y2568" s="1">
        <v>45658</v>
      </c>
      <c r="Z2568" t="s">
        <v>51</v>
      </c>
      <c r="AB2568" t="s">
        <v>54</v>
      </c>
      <c r="AC2568">
        <v>1</v>
      </c>
      <c r="AE2568" t="s">
        <v>356</v>
      </c>
      <c r="AF2568">
        <v>20</v>
      </c>
      <c r="AG2568" s="1">
        <v>31048</v>
      </c>
      <c r="AH2568" s="1">
        <v>31048</v>
      </c>
      <c r="AI2568" s="1">
        <v>31048</v>
      </c>
      <c r="AJ2568" s="1">
        <v>38353</v>
      </c>
      <c r="AK2568" t="s">
        <v>51</v>
      </c>
      <c r="AN2568">
        <v>0</v>
      </c>
      <c r="AO2568" t="s">
        <v>54</v>
      </c>
      <c r="AP2568" t="s">
        <v>53</v>
      </c>
      <c r="AQ2568">
        <v>0</v>
      </c>
      <c r="AR2568" t="s">
        <v>145</v>
      </c>
      <c r="AS2568">
        <v>0</v>
      </c>
      <c r="AT2568">
        <v>0</v>
      </c>
      <c r="AW2568" t="s">
        <v>172</v>
      </c>
      <c r="AX2568">
        <v>15</v>
      </c>
      <c r="AY2568" s="1">
        <v>31048</v>
      </c>
      <c r="AZ2568" s="1">
        <v>31048</v>
      </c>
      <c r="BA2568" s="1">
        <v>31048</v>
      </c>
      <c r="BB2568" s="1">
        <v>36526</v>
      </c>
      <c r="BC2568" t="s">
        <v>51</v>
      </c>
      <c r="BE2568" t="s">
        <v>54</v>
      </c>
      <c r="BF2568">
        <v>40</v>
      </c>
      <c r="BG2568">
        <v>0</v>
      </c>
      <c r="BH2568" t="s">
        <v>145</v>
      </c>
      <c r="CC2568" t="s">
        <v>250</v>
      </c>
      <c r="CD2568">
        <v>100000</v>
      </c>
      <c r="CE2568" s="1">
        <v>44075</v>
      </c>
      <c r="CF2568" s="1">
        <v>44075</v>
      </c>
      <c r="CG2568" s="1">
        <v>44075</v>
      </c>
      <c r="CH2568" s="1">
        <v>52994</v>
      </c>
      <c r="CI2568" t="s">
        <v>51</v>
      </c>
      <c r="CK2568" t="s">
        <v>78</v>
      </c>
      <c r="CM2568" t="s">
        <v>54</v>
      </c>
      <c r="CN2568" t="s">
        <v>174</v>
      </c>
      <c r="CR2568">
        <v>13.2</v>
      </c>
      <c r="CS2568">
        <v>1800</v>
      </c>
      <c r="CT2568">
        <v>0</v>
      </c>
      <c r="CU2568">
        <v>16</v>
      </c>
      <c r="CX2568" t="s">
        <v>674</v>
      </c>
      <c r="CY2568">
        <v>0</v>
      </c>
      <c r="CZ2568" s="1">
        <v>44075</v>
      </c>
      <c r="DA2568" s="1">
        <v>44075</v>
      </c>
      <c r="DB2568" s="1">
        <v>44075</v>
      </c>
      <c r="DC2568" s="1">
        <v>44075</v>
      </c>
      <c r="DD2568" t="s">
        <v>51</v>
      </c>
      <c r="DF2568" t="s">
        <v>54</v>
      </c>
      <c r="DG2568">
        <v>0</v>
      </c>
      <c r="DH2568">
        <v>0</v>
      </c>
    </row>
    <row r="2569" spans="1:112" x14ac:dyDescent="0.2">
      <c r="A2569" t="s">
        <v>1012</v>
      </c>
      <c r="B2569" t="s">
        <v>1013</v>
      </c>
      <c r="C2569" t="s">
        <v>1019</v>
      </c>
      <c r="D2569" t="s">
        <v>1116</v>
      </c>
      <c r="F2569" t="str">
        <f>"252172"</f>
        <v>252172</v>
      </c>
      <c r="G2569" t="s">
        <v>49</v>
      </c>
      <c r="H2569" t="s">
        <v>1117</v>
      </c>
      <c r="K2569" t="s">
        <v>51</v>
      </c>
      <c r="L2569" t="s">
        <v>52</v>
      </c>
      <c r="M2569">
        <v>132823.25</v>
      </c>
      <c r="N2569">
        <v>477143.97</v>
      </c>
      <c r="O2569" t="s">
        <v>53</v>
      </c>
      <c r="P2569" t="s">
        <v>54</v>
      </c>
      <c r="Q2569" t="s">
        <v>55</v>
      </c>
      <c r="T2569" t="s">
        <v>81</v>
      </c>
      <c r="U2569">
        <v>40</v>
      </c>
      <c r="V2569" s="1">
        <v>31048</v>
      </c>
      <c r="W2569" s="1">
        <v>31048</v>
      </c>
      <c r="X2569" s="1">
        <v>31048</v>
      </c>
      <c r="Y2569" s="1">
        <v>45658</v>
      </c>
      <c r="Z2569" t="s">
        <v>51</v>
      </c>
      <c r="AB2569" t="s">
        <v>54</v>
      </c>
      <c r="AC2569">
        <v>1</v>
      </c>
      <c r="AE2569" t="s">
        <v>356</v>
      </c>
      <c r="AF2569">
        <v>20</v>
      </c>
      <c r="AG2569" s="1">
        <v>31048</v>
      </c>
      <c r="AH2569" s="1">
        <v>31048</v>
      </c>
      <c r="AI2569" s="1">
        <v>31048</v>
      </c>
      <c r="AJ2569" s="1">
        <v>38353</v>
      </c>
      <c r="AK2569" t="s">
        <v>51</v>
      </c>
      <c r="AN2569">
        <v>0</v>
      </c>
      <c r="AO2569" t="s">
        <v>54</v>
      </c>
      <c r="AP2569" t="s">
        <v>53</v>
      </c>
      <c r="AQ2569">
        <v>0</v>
      </c>
      <c r="AR2569" t="s">
        <v>145</v>
      </c>
      <c r="AS2569">
        <v>0</v>
      </c>
      <c r="AT2569">
        <v>0</v>
      </c>
      <c r="AW2569" t="s">
        <v>172</v>
      </c>
      <c r="AX2569">
        <v>15</v>
      </c>
      <c r="AY2569" s="1">
        <v>31048</v>
      </c>
      <c r="AZ2569" s="1">
        <v>31048</v>
      </c>
      <c r="BA2569" s="1">
        <v>31048</v>
      </c>
      <c r="BB2569" s="1">
        <v>36526</v>
      </c>
      <c r="BC2569" t="s">
        <v>51</v>
      </c>
      <c r="BE2569" t="s">
        <v>54</v>
      </c>
      <c r="BF2569">
        <v>40</v>
      </c>
      <c r="BG2569">
        <v>0</v>
      </c>
      <c r="BH2569" t="s">
        <v>145</v>
      </c>
      <c r="CC2569" t="s">
        <v>250</v>
      </c>
      <c r="CD2569">
        <v>100000</v>
      </c>
      <c r="CE2569" s="1">
        <v>44075</v>
      </c>
      <c r="CF2569" s="1">
        <v>44075</v>
      </c>
      <c r="CG2569" s="1">
        <v>44075</v>
      </c>
      <c r="CH2569" s="1">
        <v>52994</v>
      </c>
      <c r="CI2569" t="s">
        <v>51</v>
      </c>
      <c r="CK2569" t="s">
        <v>78</v>
      </c>
      <c r="CM2569" t="s">
        <v>54</v>
      </c>
      <c r="CN2569" t="s">
        <v>174</v>
      </c>
      <c r="CR2569">
        <v>13.2</v>
      </c>
      <c r="CS2569">
        <v>1800</v>
      </c>
      <c r="CT2569">
        <v>0</v>
      </c>
      <c r="CU2569">
        <v>16</v>
      </c>
      <c r="CX2569" t="s">
        <v>674</v>
      </c>
      <c r="CY2569">
        <v>0</v>
      </c>
      <c r="CZ2569" s="1">
        <v>44075</v>
      </c>
      <c r="DA2569" s="1">
        <v>44075</v>
      </c>
      <c r="DB2569" s="1">
        <v>44075</v>
      </c>
      <c r="DC2569" s="1">
        <v>44075</v>
      </c>
      <c r="DD2569" t="s">
        <v>51</v>
      </c>
      <c r="DF2569" t="s">
        <v>54</v>
      </c>
      <c r="DG2569">
        <v>0</v>
      </c>
      <c r="DH2569">
        <v>0</v>
      </c>
    </row>
    <row r="2570" spans="1:112" x14ac:dyDescent="0.2">
      <c r="A2570" t="s">
        <v>1012</v>
      </c>
      <c r="B2570" t="s">
        <v>1013</v>
      </c>
      <c r="C2570" t="s">
        <v>1019</v>
      </c>
      <c r="D2570" t="s">
        <v>1116</v>
      </c>
      <c r="F2570" t="str">
        <f>"252173"</f>
        <v>252173</v>
      </c>
      <c r="G2570" t="s">
        <v>49</v>
      </c>
      <c r="H2570" t="s">
        <v>223</v>
      </c>
      <c r="K2570" t="s">
        <v>51</v>
      </c>
      <c r="L2570" t="s">
        <v>52</v>
      </c>
      <c r="M2570">
        <v>132729.57999999999</v>
      </c>
      <c r="N2570">
        <v>477178.69</v>
      </c>
      <c r="O2570" t="s">
        <v>53</v>
      </c>
      <c r="P2570" t="s">
        <v>54</v>
      </c>
      <c r="Q2570" t="s">
        <v>55</v>
      </c>
      <c r="T2570" t="s">
        <v>81</v>
      </c>
      <c r="U2570">
        <v>40</v>
      </c>
      <c r="V2570" s="1">
        <v>31048</v>
      </c>
      <c r="W2570" s="1">
        <v>31048</v>
      </c>
      <c r="X2570" s="1">
        <v>31048</v>
      </c>
      <c r="Y2570" s="1">
        <v>45658</v>
      </c>
      <c r="Z2570" t="s">
        <v>51</v>
      </c>
      <c r="AB2570" t="s">
        <v>54</v>
      </c>
      <c r="AC2570">
        <v>1</v>
      </c>
      <c r="AE2570" t="s">
        <v>356</v>
      </c>
      <c r="AF2570">
        <v>20</v>
      </c>
      <c r="AG2570" s="1">
        <v>43885</v>
      </c>
      <c r="AH2570" s="1">
        <v>43885</v>
      </c>
      <c r="AI2570" s="1">
        <v>43885</v>
      </c>
      <c r="AJ2570" s="1">
        <v>51190</v>
      </c>
      <c r="AK2570" t="s">
        <v>51</v>
      </c>
      <c r="AN2570">
        <v>0</v>
      </c>
      <c r="AO2570" t="s">
        <v>54</v>
      </c>
      <c r="AP2570" t="s">
        <v>53</v>
      </c>
      <c r="AQ2570">
        <v>0</v>
      </c>
      <c r="AR2570" t="s">
        <v>145</v>
      </c>
      <c r="AS2570">
        <v>0</v>
      </c>
      <c r="AT2570">
        <v>0</v>
      </c>
      <c r="AW2570" t="s">
        <v>172</v>
      </c>
      <c r="AX2570">
        <v>15</v>
      </c>
      <c r="AY2570" s="1">
        <v>31048</v>
      </c>
      <c r="AZ2570" s="1">
        <v>31048</v>
      </c>
      <c r="BA2570" s="1">
        <v>43885</v>
      </c>
      <c r="BB2570" s="1">
        <v>36526</v>
      </c>
      <c r="BC2570" t="s">
        <v>51</v>
      </c>
      <c r="BE2570" t="s">
        <v>54</v>
      </c>
      <c r="BF2570">
        <v>40</v>
      </c>
      <c r="BG2570">
        <v>0</v>
      </c>
      <c r="BH2570" t="s">
        <v>145</v>
      </c>
      <c r="CC2570" t="s">
        <v>250</v>
      </c>
      <c r="CD2570">
        <v>100000</v>
      </c>
      <c r="CE2570" s="1">
        <v>44075</v>
      </c>
      <c r="CF2570" s="1">
        <v>44075</v>
      </c>
      <c r="CG2570" s="1">
        <v>44075</v>
      </c>
      <c r="CH2570" s="1">
        <v>52994</v>
      </c>
      <c r="CI2570" t="s">
        <v>51</v>
      </c>
      <c r="CK2570" t="s">
        <v>78</v>
      </c>
      <c r="CM2570" t="s">
        <v>54</v>
      </c>
      <c r="CN2570" t="s">
        <v>174</v>
      </c>
      <c r="CR2570">
        <v>13.2</v>
      </c>
      <c r="CS2570">
        <v>1800</v>
      </c>
      <c r="CT2570">
        <v>0</v>
      </c>
      <c r="CU2570">
        <v>16</v>
      </c>
      <c r="CX2570" t="s">
        <v>674</v>
      </c>
      <c r="CY2570">
        <v>0</v>
      </c>
      <c r="CZ2570" s="1">
        <v>44075</v>
      </c>
      <c r="DA2570" s="1">
        <v>44075</v>
      </c>
      <c r="DB2570" s="1">
        <v>44075</v>
      </c>
      <c r="DC2570" s="1">
        <v>44075</v>
      </c>
      <c r="DD2570" t="s">
        <v>51</v>
      </c>
      <c r="DF2570" t="s">
        <v>54</v>
      </c>
      <c r="DG2570">
        <v>0</v>
      </c>
      <c r="DH2570">
        <v>0</v>
      </c>
    </row>
    <row r="2571" spans="1:112" x14ac:dyDescent="0.2">
      <c r="A2571" t="s">
        <v>1012</v>
      </c>
      <c r="B2571" t="s">
        <v>1013</v>
      </c>
      <c r="C2571" t="s">
        <v>1019</v>
      </c>
      <c r="D2571" t="s">
        <v>1116</v>
      </c>
      <c r="F2571" t="str">
        <f>"252174"</f>
        <v>252174</v>
      </c>
      <c r="G2571" t="s">
        <v>49</v>
      </c>
      <c r="H2571" t="s">
        <v>1032</v>
      </c>
      <c r="K2571" t="s">
        <v>51</v>
      </c>
      <c r="L2571" t="s">
        <v>52</v>
      </c>
      <c r="M2571">
        <v>132631.01999999999</v>
      </c>
      <c r="N2571">
        <v>477207.16</v>
      </c>
      <c r="O2571" t="s">
        <v>53</v>
      </c>
      <c r="P2571" t="s">
        <v>54</v>
      </c>
      <c r="Q2571" t="s">
        <v>55</v>
      </c>
      <c r="T2571" t="s">
        <v>1118</v>
      </c>
      <c r="U2571">
        <v>40</v>
      </c>
      <c r="V2571" s="1">
        <v>31048</v>
      </c>
      <c r="W2571" s="1">
        <v>31048</v>
      </c>
      <c r="X2571" s="1">
        <v>31048</v>
      </c>
      <c r="Y2571" s="1">
        <v>45658</v>
      </c>
      <c r="Z2571" t="s">
        <v>51</v>
      </c>
      <c r="AB2571" t="s">
        <v>54</v>
      </c>
      <c r="AC2571">
        <v>1</v>
      </c>
      <c r="AE2571" t="s">
        <v>356</v>
      </c>
      <c r="AF2571">
        <v>20</v>
      </c>
      <c r="AG2571" s="1">
        <v>31048</v>
      </c>
      <c r="AH2571" s="1">
        <v>31048</v>
      </c>
      <c r="AI2571" s="1">
        <v>31048</v>
      </c>
      <c r="AJ2571" s="1">
        <v>38353</v>
      </c>
      <c r="AK2571" t="s">
        <v>51</v>
      </c>
      <c r="AN2571">
        <v>0</v>
      </c>
      <c r="AO2571" t="s">
        <v>54</v>
      </c>
      <c r="AP2571" t="s">
        <v>53</v>
      </c>
      <c r="AQ2571">
        <v>0</v>
      </c>
      <c r="AR2571" t="s">
        <v>145</v>
      </c>
      <c r="AS2571">
        <v>0</v>
      </c>
      <c r="AT2571">
        <v>0</v>
      </c>
      <c r="AW2571" t="s">
        <v>172</v>
      </c>
      <c r="AX2571">
        <v>15</v>
      </c>
      <c r="AY2571" s="1">
        <v>31048</v>
      </c>
      <c r="AZ2571" s="1">
        <v>31048</v>
      </c>
      <c r="BA2571" s="1">
        <v>31048</v>
      </c>
      <c r="BB2571" s="1">
        <v>36526</v>
      </c>
      <c r="BC2571" t="s">
        <v>51</v>
      </c>
      <c r="BE2571" t="s">
        <v>54</v>
      </c>
      <c r="BF2571">
        <v>40</v>
      </c>
      <c r="BG2571">
        <v>0</v>
      </c>
      <c r="BH2571" t="s">
        <v>145</v>
      </c>
      <c r="CC2571" t="s">
        <v>250</v>
      </c>
      <c r="CD2571">
        <v>100000</v>
      </c>
      <c r="CE2571" s="1">
        <v>44075</v>
      </c>
      <c r="CF2571" s="1">
        <v>44075</v>
      </c>
      <c r="CG2571" s="1">
        <v>44075</v>
      </c>
      <c r="CH2571" s="1">
        <v>52994</v>
      </c>
      <c r="CI2571" t="s">
        <v>51</v>
      </c>
      <c r="CK2571" t="s">
        <v>78</v>
      </c>
      <c r="CM2571" t="s">
        <v>54</v>
      </c>
      <c r="CN2571" t="s">
        <v>174</v>
      </c>
      <c r="CR2571">
        <v>13.2</v>
      </c>
      <c r="CS2571">
        <v>1800</v>
      </c>
      <c r="CT2571">
        <v>0</v>
      </c>
      <c r="CU2571">
        <v>16</v>
      </c>
      <c r="CX2571" t="s">
        <v>674</v>
      </c>
      <c r="CY2571">
        <v>0</v>
      </c>
      <c r="CZ2571" s="1">
        <v>44075</v>
      </c>
      <c r="DA2571" s="1">
        <v>44075</v>
      </c>
      <c r="DB2571" s="1">
        <v>44075</v>
      </c>
      <c r="DC2571" s="1">
        <v>44075</v>
      </c>
      <c r="DD2571" t="s">
        <v>51</v>
      </c>
      <c r="DF2571" t="s">
        <v>54</v>
      </c>
      <c r="DG2571">
        <v>0</v>
      </c>
      <c r="DH2571">
        <v>0</v>
      </c>
    </row>
    <row r="2572" spans="1:112" x14ac:dyDescent="0.2">
      <c r="A2572" t="s">
        <v>1012</v>
      </c>
      <c r="B2572" t="s">
        <v>1013</v>
      </c>
      <c r="C2572" t="s">
        <v>1019</v>
      </c>
      <c r="D2572" t="s">
        <v>1116</v>
      </c>
      <c r="F2572" t="str">
        <f>"252175"</f>
        <v>252175</v>
      </c>
      <c r="G2572" t="s">
        <v>49</v>
      </c>
      <c r="H2572" t="s">
        <v>273</v>
      </c>
      <c r="K2572" t="s">
        <v>51</v>
      </c>
      <c r="L2572" t="s">
        <v>52</v>
      </c>
      <c r="M2572">
        <v>132515.47</v>
      </c>
      <c r="N2572">
        <v>477230.56</v>
      </c>
      <c r="O2572" t="s">
        <v>53</v>
      </c>
      <c r="P2572" t="s">
        <v>54</v>
      </c>
      <c r="Q2572" t="s">
        <v>55</v>
      </c>
      <c r="T2572" t="s">
        <v>1118</v>
      </c>
      <c r="U2572">
        <v>40</v>
      </c>
      <c r="V2572" s="1">
        <v>31048</v>
      </c>
      <c r="W2572" s="1">
        <v>31048</v>
      </c>
      <c r="X2572" s="1">
        <v>31048</v>
      </c>
      <c r="Y2572" s="1">
        <v>45658</v>
      </c>
      <c r="Z2572" t="s">
        <v>51</v>
      </c>
      <c r="AB2572" t="s">
        <v>54</v>
      </c>
      <c r="AC2572">
        <v>1</v>
      </c>
      <c r="AE2572" t="s">
        <v>356</v>
      </c>
      <c r="AF2572">
        <v>20</v>
      </c>
      <c r="AG2572" s="1">
        <v>31048</v>
      </c>
      <c r="AH2572" s="1">
        <v>31048</v>
      </c>
      <c r="AI2572" s="1">
        <v>31048</v>
      </c>
      <c r="AJ2572" s="1">
        <v>38353</v>
      </c>
      <c r="AK2572" t="s">
        <v>51</v>
      </c>
      <c r="AN2572">
        <v>0</v>
      </c>
      <c r="AO2572" t="s">
        <v>54</v>
      </c>
      <c r="AP2572" t="s">
        <v>53</v>
      </c>
      <c r="AQ2572">
        <v>0</v>
      </c>
      <c r="AR2572" t="s">
        <v>145</v>
      </c>
      <c r="AS2572">
        <v>0</v>
      </c>
      <c r="AT2572">
        <v>0</v>
      </c>
      <c r="AW2572" t="s">
        <v>172</v>
      </c>
      <c r="AX2572">
        <v>15</v>
      </c>
      <c r="AY2572" s="1">
        <v>44075</v>
      </c>
      <c r="AZ2572" s="1">
        <v>44075</v>
      </c>
      <c r="BA2572" s="1">
        <v>44075</v>
      </c>
      <c r="BB2572" s="1">
        <v>49553</v>
      </c>
      <c r="BC2572" t="s">
        <v>51</v>
      </c>
      <c r="BE2572" t="s">
        <v>54</v>
      </c>
      <c r="BF2572">
        <v>40</v>
      </c>
      <c r="BG2572">
        <v>0</v>
      </c>
      <c r="BH2572" t="s">
        <v>145</v>
      </c>
      <c r="CC2572" t="s">
        <v>250</v>
      </c>
      <c r="CD2572">
        <v>100000</v>
      </c>
      <c r="CE2572" s="1">
        <v>44075</v>
      </c>
      <c r="CF2572" s="1">
        <v>44075</v>
      </c>
      <c r="CG2572" s="1">
        <v>44075</v>
      </c>
      <c r="CH2572" s="1">
        <v>52994</v>
      </c>
      <c r="CI2572" t="s">
        <v>51</v>
      </c>
      <c r="CK2572" t="s">
        <v>78</v>
      </c>
      <c r="CM2572" t="s">
        <v>54</v>
      </c>
      <c r="CN2572" t="s">
        <v>174</v>
      </c>
      <c r="CR2572">
        <v>13.2</v>
      </c>
      <c r="CS2572">
        <v>1800</v>
      </c>
      <c r="CT2572">
        <v>0</v>
      </c>
      <c r="CU2572">
        <v>16</v>
      </c>
      <c r="CX2572" t="s">
        <v>674</v>
      </c>
      <c r="CY2572">
        <v>0</v>
      </c>
      <c r="CZ2572" s="1">
        <v>44075</v>
      </c>
      <c r="DA2572" s="1">
        <v>44075</v>
      </c>
      <c r="DB2572" s="1">
        <v>44075</v>
      </c>
      <c r="DC2572" s="1">
        <v>44075</v>
      </c>
      <c r="DD2572" t="s">
        <v>51</v>
      </c>
      <c r="DF2572" t="s">
        <v>54</v>
      </c>
      <c r="DG2572">
        <v>0</v>
      </c>
      <c r="DH2572">
        <v>0</v>
      </c>
    </row>
    <row r="2573" spans="1:112" x14ac:dyDescent="0.2">
      <c r="A2573" t="s">
        <v>1012</v>
      </c>
      <c r="B2573" t="s">
        <v>1013</v>
      </c>
      <c r="C2573" t="s">
        <v>1019</v>
      </c>
      <c r="D2573" t="s">
        <v>1116</v>
      </c>
      <c r="F2573" t="str">
        <f>"252176"</f>
        <v>252176</v>
      </c>
      <c r="G2573" t="s">
        <v>49</v>
      </c>
      <c r="H2573" t="s">
        <v>1046</v>
      </c>
      <c r="K2573" t="s">
        <v>51</v>
      </c>
      <c r="L2573" t="s">
        <v>52</v>
      </c>
      <c r="M2573">
        <v>132478.82999999999</v>
      </c>
      <c r="N2573">
        <v>477261.81</v>
      </c>
      <c r="O2573" t="s">
        <v>53</v>
      </c>
      <c r="P2573" t="s">
        <v>54</v>
      </c>
      <c r="Q2573" t="s">
        <v>55</v>
      </c>
      <c r="T2573" t="s">
        <v>1118</v>
      </c>
      <c r="U2573">
        <v>40</v>
      </c>
      <c r="V2573" s="1">
        <v>31048</v>
      </c>
      <c r="W2573" s="1">
        <v>31048</v>
      </c>
      <c r="X2573" s="1">
        <v>31048</v>
      </c>
      <c r="Y2573" s="1">
        <v>45658</v>
      </c>
      <c r="Z2573" t="s">
        <v>51</v>
      </c>
      <c r="AB2573" t="s">
        <v>54</v>
      </c>
      <c r="AC2573">
        <v>1</v>
      </c>
      <c r="AE2573" t="s">
        <v>356</v>
      </c>
      <c r="AF2573">
        <v>20</v>
      </c>
      <c r="AG2573" s="1">
        <v>44075</v>
      </c>
      <c r="AH2573" s="1">
        <v>44075</v>
      </c>
      <c r="AI2573" s="1">
        <v>44075</v>
      </c>
      <c r="AJ2573" s="1">
        <v>51380</v>
      </c>
      <c r="AK2573" t="s">
        <v>51</v>
      </c>
      <c r="AN2573">
        <v>0</v>
      </c>
      <c r="AO2573" t="s">
        <v>54</v>
      </c>
      <c r="AP2573" t="s">
        <v>53</v>
      </c>
      <c r="AQ2573">
        <v>0</v>
      </c>
      <c r="AR2573" t="s">
        <v>145</v>
      </c>
      <c r="AS2573">
        <v>0</v>
      </c>
      <c r="AT2573">
        <v>0</v>
      </c>
      <c r="AW2573" t="s">
        <v>172</v>
      </c>
      <c r="AX2573">
        <v>15</v>
      </c>
      <c r="AY2573" s="1">
        <v>44075</v>
      </c>
      <c r="AZ2573" s="1">
        <v>44075</v>
      </c>
      <c r="BA2573" s="1">
        <v>44075</v>
      </c>
      <c r="BB2573" s="1">
        <v>49553</v>
      </c>
      <c r="BC2573" t="s">
        <v>51</v>
      </c>
      <c r="BE2573" t="s">
        <v>54</v>
      </c>
      <c r="BF2573">
        <v>40</v>
      </c>
      <c r="BG2573">
        <v>0</v>
      </c>
      <c r="BH2573" t="s">
        <v>145</v>
      </c>
      <c r="CC2573" t="s">
        <v>250</v>
      </c>
      <c r="CD2573">
        <v>100000</v>
      </c>
      <c r="CE2573" s="1">
        <v>44075</v>
      </c>
      <c r="CF2573" s="1">
        <v>44075</v>
      </c>
      <c r="CG2573" s="1">
        <v>44075</v>
      </c>
      <c r="CH2573" s="1">
        <v>52994</v>
      </c>
      <c r="CI2573" t="s">
        <v>51</v>
      </c>
      <c r="CK2573" t="s">
        <v>78</v>
      </c>
      <c r="CM2573" t="s">
        <v>54</v>
      </c>
      <c r="CN2573" t="s">
        <v>174</v>
      </c>
      <c r="CR2573">
        <v>13.2</v>
      </c>
      <c r="CS2573">
        <v>1800</v>
      </c>
      <c r="CT2573">
        <v>0</v>
      </c>
      <c r="CU2573">
        <v>16</v>
      </c>
      <c r="CX2573" t="s">
        <v>674</v>
      </c>
      <c r="CY2573">
        <v>0</v>
      </c>
      <c r="CZ2573" s="1">
        <v>44075</v>
      </c>
      <c r="DA2573" s="1">
        <v>44075</v>
      </c>
      <c r="DB2573" s="1">
        <v>44075</v>
      </c>
      <c r="DC2573" s="1">
        <v>44075</v>
      </c>
      <c r="DD2573" t="s">
        <v>51</v>
      </c>
      <c r="DF2573" t="s">
        <v>54</v>
      </c>
      <c r="DG2573">
        <v>0</v>
      </c>
      <c r="DH2573">
        <v>0</v>
      </c>
    </row>
    <row r="2574" spans="1:112" x14ac:dyDescent="0.2">
      <c r="A2574" t="s">
        <v>1012</v>
      </c>
      <c r="B2574" t="s">
        <v>1013</v>
      </c>
      <c r="C2574" t="s">
        <v>1019</v>
      </c>
      <c r="D2574" t="s">
        <v>1116</v>
      </c>
      <c r="F2574" t="str">
        <f>"252177"</f>
        <v>252177</v>
      </c>
      <c r="G2574" t="s">
        <v>49</v>
      </c>
      <c r="H2574" t="s">
        <v>1119</v>
      </c>
      <c r="K2574" t="s">
        <v>51</v>
      </c>
      <c r="L2574" t="s">
        <v>52</v>
      </c>
      <c r="M2574">
        <v>132414.57999999999</v>
      </c>
      <c r="N2574">
        <v>477268.03</v>
      </c>
      <c r="O2574" t="s">
        <v>53</v>
      </c>
      <c r="P2574" t="s">
        <v>54</v>
      </c>
      <c r="Q2574" t="s">
        <v>55</v>
      </c>
      <c r="T2574" t="s">
        <v>81</v>
      </c>
      <c r="U2574">
        <v>40</v>
      </c>
      <c r="V2574" s="1">
        <v>31048</v>
      </c>
      <c r="W2574" s="1">
        <v>31048</v>
      </c>
      <c r="X2574" s="1">
        <v>31048</v>
      </c>
      <c r="Y2574" s="1">
        <v>45658</v>
      </c>
      <c r="Z2574" t="s">
        <v>51</v>
      </c>
      <c r="AB2574" t="s">
        <v>54</v>
      </c>
      <c r="AC2574">
        <v>1</v>
      </c>
      <c r="AE2574" t="s">
        <v>356</v>
      </c>
      <c r="AF2574">
        <v>20</v>
      </c>
      <c r="AG2574" s="1">
        <v>44075</v>
      </c>
      <c r="AH2574" s="1">
        <v>44075</v>
      </c>
      <c r="AI2574" s="1">
        <v>44075</v>
      </c>
      <c r="AJ2574" s="1">
        <v>51380</v>
      </c>
      <c r="AK2574" t="s">
        <v>51</v>
      </c>
      <c r="AN2574">
        <v>0</v>
      </c>
      <c r="AO2574" t="s">
        <v>54</v>
      </c>
      <c r="AP2574" t="s">
        <v>53</v>
      </c>
      <c r="AQ2574">
        <v>0</v>
      </c>
      <c r="AR2574" t="s">
        <v>145</v>
      </c>
      <c r="AS2574">
        <v>0</v>
      </c>
      <c r="AT2574">
        <v>0</v>
      </c>
      <c r="AW2574" t="s">
        <v>172</v>
      </c>
      <c r="AX2574">
        <v>15</v>
      </c>
      <c r="AY2574" s="1">
        <v>44075</v>
      </c>
      <c r="AZ2574" s="1">
        <v>44075</v>
      </c>
      <c r="BA2574" s="1">
        <v>44075</v>
      </c>
      <c r="BB2574" s="1">
        <v>49553</v>
      </c>
      <c r="BC2574" t="s">
        <v>51</v>
      </c>
      <c r="BE2574" t="s">
        <v>54</v>
      </c>
      <c r="BF2574">
        <v>40</v>
      </c>
      <c r="BG2574">
        <v>0</v>
      </c>
      <c r="BH2574" t="s">
        <v>145</v>
      </c>
      <c r="CC2574" t="s">
        <v>250</v>
      </c>
      <c r="CD2574">
        <v>100000</v>
      </c>
      <c r="CE2574" s="1">
        <v>44075</v>
      </c>
      <c r="CF2574" s="1">
        <v>44075</v>
      </c>
      <c r="CG2574" s="1">
        <v>44075</v>
      </c>
      <c r="CH2574" s="1">
        <v>52994</v>
      </c>
      <c r="CI2574" t="s">
        <v>51</v>
      </c>
      <c r="CK2574" t="s">
        <v>78</v>
      </c>
      <c r="CM2574" t="s">
        <v>54</v>
      </c>
      <c r="CN2574" t="s">
        <v>174</v>
      </c>
      <c r="CR2574">
        <v>13.2</v>
      </c>
      <c r="CS2574">
        <v>1800</v>
      </c>
      <c r="CT2574">
        <v>0</v>
      </c>
      <c r="CU2574">
        <v>16</v>
      </c>
      <c r="CX2574" t="s">
        <v>674</v>
      </c>
      <c r="CY2574">
        <v>0</v>
      </c>
      <c r="CZ2574" s="1">
        <v>44075</v>
      </c>
      <c r="DA2574" s="1">
        <v>44075</v>
      </c>
      <c r="DB2574" s="1">
        <v>44075</v>
      </c>
      <c r="DC2574" s="1">
        <v>44075</v>
      </c>
      <c r="DD2574" t="s">
        <v>51</v>
      </c>
      <c r="DF2574" t="s">
        <v>54</v>
      </c>
      <c r="DG2574">
        <v>0</v>
      </c>
      <c r="DH2574">
        <v>0</v>
      </c>
    </row>
    <row r="2575" spans="1:112" x14ac:dyDescent="0.2">
      <c r="A2575" t="s">
        <v>1012</v>
      </c>
      <c r="B2575" t="s">
        <v>1013</v>
      </c>
      <c r="C2575" t="s">
        <v>1019</v>
      </c>
      <c r="D2575" t="s">
        <v>1116</v>
      </c>
      <c r="F2575" t="str">
        <f>"252178"</f>
        <v>252178</v>
      </c>
      <c r="G2575" t="s">
        <v>49</v>
      </c>
      <c r="H2575" t="s">
        <v>1075</v>
      </c>
      <c r="K2575" t="s">
        <v>51</v>
      </c>
      <c r="L2575" t="s">
        <v>52</v>
      </c>
      <c r="M2575">
        <v>132319.19</v>
      </c>
      <c r="N2575">
        <v>477226.72</v>
      </c>
      <c r="O2575" t="s">
        <v>53</v>
      </c>
      <c r="P2575" t="s">
        <v>54</v>
      </c>
      <c r="Q2575" t="s">
        <v>55</v>
      </c>
      <c r="T2575" t="s">
        <v>81</v>
      </c>
      <c r="U2575">
        <v>40</v>
      </c>
      <c r="V2575" s="1">
        <v>31048</v>
      </c>
      <c r="W2575" s="1">
        <v>31048</v>
      </c>
      <c r="X2575" s="1">
        <v>31048</v>
      </c>
      <c r="Y2575" s="1">
        <v>45658</v>
      </c>
      <c r="Z2575" t="s">
        <v>51</v>
      </c>
      <c r="AB2575" t="s">
        <v>54</v>
      </c>
      <c r="AC2575">
        <v>1</v>
      </c>
      <c r="AE2575" t="s">
        <v>356</v>
      </c>
      <c r="AF2575">
        <v>20</v>
      </c>
      <c r="AG2575" s="1">
        <v>44075</v>
      </c>
      <c r="AH2575" s="1">
        <v>44075</v>
      </c>
      <c r="AI2575" s="1">
        <v>44075</v>
      </c>
      <c r="AJ2575" s="1">
        <v>51380</v>
      </c>
      <c r="AK2575" t="s">
        <v>51</v>
      </c>
      <c r="AN2575">
        <v>0</v>
      </c>
      <c r="AO2575" t="s">
        <v>54</v>
      </c>
      <c r="AP2575" t="s">
        <v>53</v>
      </c>
      <c r="AQ2575">
        <v>0</v>
      </c>
      <c r="AR2575" t="s">
        <v>145</v>
      </c>
      <c r="AS2575">
        <v>0</v>
      </c>
      <c r="AT2575">
        <v>0</v>
      </c>
      <c r="AW2575" t="s">
        <v>172</v>
      </c>
      <c r="AX2575">
        <v>15</v>
      </c>
      <c r="AY2575" s="1">
        <v>44075</v>
      </c>
      <c r="AZ2575" s="1">
        <v>44075</v>
      </c>
      <c r="BA2575" s="1">
        <v>44075</v>
      </c>
      <c r="BB2575" s="1">
        <v>49553</v>
      </c>
      <c r="BC2575" t="s">
        <v>51</v>
      </c>
      <c r="BE2575" t="s">
        <v>54</v>
      </c>
      <c r="BF2575">
        <v>40</v>
      </c>
      <c r="BG2575">
        <v>0</v>
      </c>
      <c r="BH2575" t="s">
        <v>145</v>
      </c>
      <c r="CC2575" t="s">
        <v>250</v>
      </c>
      <c r="CD2575">
        <v>100000</v>
      </c>
      <c r="CE2575" s="1">
        <v>44075</v>
      </c>
      <c r="CF2575" s="1">
        <v>44075</v>
      </c>
      <c r="CG2575" s="1">
        <v>44075</v>
      </c>
      <c r="CH2575" s="1">
        <v>52994</v>
      </c>
      <c r="CI2575" t="s">
        <v>51</v>
      </c>
      <c r="CK2575" t="s">
        <v>78</v>
      </c>
      <c r="CM2575" t="s">
        <v>54</v>
      </c>
      <c r="CN2575" t="s">
        <v>174</v>
      </c>
      <c r="CR2575">
        <v>13.2</v>
      </c>
      <c r="CS2575">
        <v>1800</v>
      </c>
      <c r="CT2575">
        <v>0</v>
      </c>
      <c r="CU2575">
        <v>16</v>
      </c>
      <c r="CX2575" t="s">
        <v>360</v>
      </c>
      <c r="CY2575">
        <v>40</v>
      </c>
      <c r="CZ2575" s="1">
        <v>44075</v>
      </c>
      <c r="DA2575" s="1">
        <v>44075</v>
      </c>
      <c r="DB2575" s="1">
        <v>44075</v>
      </c>
      <c r="DC2575" s="1">
        <v>58685</v>
      </c>
      <c r="DD2575" t="s">
        <v>51</v>
      </c>
      <c r="DF2575" t="s">
        <v>54</v>
      </c>
      <c r="DG2575">
        <v>0</v>
      </c>
      <c r="DH2575">
        <v>0</v>
      </c>
    </row>
    <row r="2576" spans="1:112" x14ac:dyDescent="0.2">
      <c r="A2576" t="s">
        <v>1012</v>
      </c>
      <c r="B2576" t="s">
        <v>1013</v>
      </c>
      <c r="C2576" t="s">
        <v>1019</v>
      </c>
      <c r="D2576" t="s">
        <v>1116</v>
      </c>
      <c r="F2576" t="str">
        <f>"252179"</f>
        <v>252179</v>
      </c>
      <c r="G2576" t="s">
        <v>49</v>
      </c>
      <c r="H2576" t="s">
        <v>1120</v>
      </c>
      <c r="K2576" t="s">
        <v>51</v>
      </c>
      <c r="L2576" t="s">
        <v>52</v>
      </c>
      <c r="M2576">
        <v>132256.17000000001</v>
      </c>
      <c r="N2576">
        <v>477180.59</v>
      </c>
      <c r="O2576" t="s">
        <v>53</v>
      </c>
      <c r="P2576" t="s">
        <v>54</v>
      </c>
      <c r="Q2576" t="s">
        <v>55</v>
      </c>
      <c r="T2576" t="s">
        <v>81</v>
      </c>
      <c r="U2576">
        <v>40</v>
      </c>
      <c r="V2576" s="1">
        <v>44075</v>
      </c>
      <c r="W2576" s="1">
        <v>44075</v>
      </c>
      <c r="X2576" s="1">
        <v>44075</v>
      </c>
      <c r="Y2576" s="1">
        <v>58685</v>
      </c>
      <c r="Z2576" t="s">
        <v>51</v>
      </c>
      <c r="AB2576" t="s">
        <v>54</v>
      </c>
      <c r="AC2576">
        <v>1</v>
      </c>
      <c r="AE2576" t="s">
        <v>356</v>
      </c>
      <c r="AF2576">
        <v>20</v>
      </c>
      <c r="AG2576" s="1">
        <v>44075</v>
      </c>
      <c r="AH2576" s="1">
        <v>44075</v>
      </c>
      <c r="AI2576" s="1">
        <v>44075</v>
      </c>
      <c r="AJ2576" s="1">
        <v>51380</v>
      </c>
      <c r="AK2576" t="s">
        <v>51</v>
      </c>
      <c r="AN2576">
        <v>0</v>
      </c>
      <c r="AO2576" t="s">
        <v>54</v>
      </c>
      <c r="AP2576" t="s">
        <v>53</v>
      </c>
      <c r="AQ2576">
        <v>0</v>
      </c>
      <c r="AR2576" t="s">
        <v>145</v>
      </c>
      <c r="AS2576">
        <v>0</v>
      </c>
      <c r="AT2576">
        <v>0</v>
      </c>
      <c r="AW2576" t="s">
        <v>172</v>
      </c>
      <c r="AX2576">
        <v>15</v>
      </c>
      <c r="AY2576" s="1">
        <v>44075</v>
      </c>
      <c r="AZ2576" s="1">
        <v>44075</v>
      </c>
      <c r="BA2576" s="1">
        <v>44075</v>
      </c>
      <c r="BB2576" s="1">
        <v>49553</v>
      </c>
      <c r="BC2576" t="s">
        <v>51</v>
      </c>
      <c r="BE2576" t="s">
        <v>54</v>
      </c>
      <c r="BF2576">
        <v>40</v>
      </c>
      <c r="BG2576">
        <v>0</v>
      </c>
      <c r="BH2576" t="s">
        <v>145</v>
      </c>
      <c r="CC2576" t="s">
        <v>250</v>
      </c>
      <c r="CD2576">
        <v>100000</v>
      </c>
      <c r="CE2576" s="1">
        <v>44075</v>
      </c>
      <c r="CF2576" s="1">
        <v>44075</v>
      </c>
      <c r="CG2576" s="1">
        <v>44075</v>
      </c>
      <c r="CH2576" s="1">
        <v>52994</v>
      </c>
      <c r="CI2576" t="s">
        <v>51</v>
      </c>
      <c r="CK2576" t="s">
        <v>78</v>
      </c>
      <c r="CM2576" t="s">
        <v>54</v>
      </c>
      <c r="CN2576" t="s">
        <v>174</v>
      </c>
      <c r="CR2576">
        <v>13.2</v>
      </c>
      <c r="CS2576">
        <v>1800</v>
      </c>
      <c r="CT2576">
        <v>0</v>
      </c>
      <c r="CU2576">
        <v>16</v>
      </c>
      <c r="CX2576" t="s">
        <v>674</v>
      </c>
      <c r="CY2576">
        <v>0</v>
      </c>
      <c r="CZ2576" s="1">
        <v>44075</v>
      </c>
      <c r="DA2576" s="1">
        <v>44075</v>
      </c>
      <c r="DB2576" s="1">
        <v>44075</v>
      </c>
      <c r="DC2576" s="1">
        <v>44075</v>
      </c>
      <c r="DD2576" t="s">
        <v>51</v>
      </c>
      <c r="DF2576" t="s">
        <v>54</v>
      </c>
      <c r="DG2576">
        <v>0</v>
      </c>
      <c r="DH2576">
        <v>0</v>
      </c>
    </row>
    <row r="2577" spans="1:112" x14ac:dyDescent="0.2">
      <c r="A2577" t="s">
        <v>1012</v>
      </c>
      <c r="B2577" t="s">
        <v>1013</v>
      </c>
      <c r="C2577" t="s">
        <v>1019</v>
      </c>
      <c r="D2577" t="s">
        <v>1116</v>
      </c>
      <c r="F2577" t="str">
        <f>"252180"</f>
        <v>252180</v>
      </c>
      <c r="G2577" t="s">
        <v>49</v>
      </c>
      <c r="K2577" t="s">
        <v>51</v>
      </c>
      <c r="L2577" t="s">
        <v>52</v>
      </c>
      <c r="M2577">
        <v>132213.47</v>
      </c>
      <c r="N2577">
        <v>477151.88</v>
      </c>
      <c r="O2577" t="s">
        <v>53</v>
      </c>
      <c r="P2577" t="s">
        <v>54</v>
      </c>
      <c r="Q2577" t="s">
        <v>55</v>
      </c>
      <c r="T2577" t="s">
        <v>81</v>
      </c>
      <c r="U2577">
        <v>40</v>
      </c>
      <c r="V2577" s="1">
        <v>31048</v>
      </c>
      <c r="W2577" s="1">
        <v>31048</v>
      </c>
      <c r="X2577" s="1">
        <v>31048</v>
      </c>
      <c r="Y2577" s="1">
        <v>45658</v>
      </c>
      <c r="Z2577" t="s">
        <v>51</v>
      </c>
      <c r="AB2577" t="s">
        <v>54</v>
      </c>
      <c r="AC2577">
        <v>1</v>
      </c>
      <c r="AE2577" t="s">
        <v>356</v>
      </c>
      <c r="AF2577">
        <v>20</v>
      </c>
      <c r="AG2577" s="1">
        <v>44075</v>
      </c>
      <c r="AH2577" s="1">
        <v>44075</v>
      </c>
      <c r="AI2577" s="1">
        <v>44075</v>
      </c>
      <c r="AJ2577" s="1">
        <v>51380</v>
      </c>
      <c r="AK2577" t="s">
        <v>51</v>
      </c>
      <c r="AN2577">
        <v>0</v>
      </c>
      <c r="AO2577" t="s">
        <v>54</v>
      </c>
      <c r="AP2577" t="s">
        <v>53</v>
      </c>
      <c r="AQ2577">
        <v>0</v>
      </c>
      <c r="AR2577" t="s">
        <v>145</v>
      </c>
      <c r="AS2577">
        <v>0</v>
      </c>
      <c r="AT2577">
        <v>0</v>
      </c>
      <c r="AW2577" t="s">
        <v>172</v>
      </c>
      <c r="AX2577">
        <v>15</v>
      </c>
      <c r="AY2577" s="1">
        <v>44075</v>
      </c>
      <c r="AZ2577" s="1">
        <v>44075</v>
      </c>
      <c r="BA2577" s="1">
        <v>44075</v>
      </c>
      <c r="BB2577" s="1">
        <v>49553</v>
      </c>
      <c r="BC2577" t="s">
        <v>51</v>
      </c>
      <c r="BE2577" t="s">
        <v>54</v>
      </c>
      <c r="BF2577">
        <v>40</v>
      </c>
      <c r="BG2577">
        <v>0</v>
      </c>
      <c r="BH2577" t="s">
        <v>145</v>
      </c>
      <c r="CC2577" t="s">
        <v>250</v>
      </c>
      <c r="CD2577">
        <v>100000</v>
      </c>
      <c r="CE2577" s="1">
        <v>44075</v>
      </c>
      <c r="CF2577" s="1">
        <v>44075</v>
      </c>
      <c r="CG2577" s="1">
        <v>44075</v>
      </c>
      <c r="CH2577" s="1">
        <v>52994</v>
      </c>
      <c r="CI2577" t="s">
        <v>51</v>
      </c>
      <c r="CK2577" t="s">
        <v>78</v>
      </c>
      <c r="CM2577" t="s">
        <v>54</v>
      </c>
      <c r="CN2577" t="s">
        <v>174</v>
      </c>
      <c r="CR2577">
        <v>13.2</v>
      </c>
      <c r="CS2577">
        <v>1800</v>
      </c>
      <c r="CT2577">
        <v>0</v>
      </c>
      <c r="CU2577">
        <v>16</v>
      </c>
      <c r="CX2577" t="s">
        <v>674</v>
      </c>
      <c r="CY2577">
        <v>0</v>
      </c>
      <c r="CZ2577" s="1">
        <v>44075</v>
      </c>
      <c r="DA2577" s="1">
        <v>44075</v>
      </c>
      <c r="DB2577" s="1">
        <v>44075</v>
      </c>
      <c r="DC2577" s="1">
        <v>44075</v>
      </c>
      <c r="DD2577" t="s">
        <v>51</v>
      </c>
      <c r="DF2577" t="s">
        <v>54</v>
      </c>
      <c r="DG2577">
        <v>0</v>
      </c>
      <c r="DH2577">
        <v>0</v>
      </c>
    </row>
    <row r="2578" spans="1:112" x14ac:dyDescent="0.2">
      <c r="A2578" t="s">
        <v>1012</v>
      </c>
      <c r="B2578" t="s">
        <v>1013</v>
      </c>
      <c r="C2578" t="s">
        <v>1019</v>
      </c>
      <c r="D2578" t="s">
        <v>1116</v>
      </c>
      <c r="F2578" t="str">
        <f>"252181"</f>
        <v>252181</v>
      </c>
      <c r="G2578" t="s">
        <v>49</v>
      </c>
      <c r="K2578" t="s">
        <v>51</v>
      </c>
      <c r="L2578" t="s">
        <v>52</v>
      </c>
      <c r="M2578">
        <v>132151.01999999999</v>
      </c>
      <c r="N2578">
        <v>477120.34</v>
      </c>
      <c r="O2578" t="s">
        <v>53</v>
      </c>
      <c r="P2578" t="s">
        <v>54</v>
      </c>
      <c r="Q2578" t="s">
        <v>55</v>
      </c>
      <c r="T2578" t="s">
        <v>81</v>
      </c>
      <c r="U2578">
        <v>40</v>
      </c>
      <c r="V2578" s="1">
        <v>31048</v>
      </c>
      <c r="W2578" s="1">
        <v>31048</v>
      </c>
      <c r="X2578" s="1">
        <v>31048</v>
      </c>
      <c r="Y2578" s="1">
        <v>45658</v>
      </c>
      <c r="Z2578" t="s">
        <v>51</v>
      </c>
      <c r="AB2578" t="s">
        <v>54</v>
      </c>
      <c r="AC2578">
        <v>1</v>
      </c>
      <c r="AE2578" t="s">
        <v>613</v>
      </c>
      <c r="AF2578">
        <v>20</v>
      </c>
      <c r="AG2578" s="1">
        <v>31048</v>
      </c>
      <c r="AH2578" s="1">
        <v>31048</v>
      </c>
      <c r="AI2578" s="1">
        <v>31048</v>
      </c>
      <c r="AJ2578" s="1">
        <v>38353</v>
      </c>
      <c r="AK2578" t="s">
        <v>51</v>
      </c>
      <c r="AN2578">
        <v>0</v>
      </c>
      <c r="AO2578" t="s">
        <v>54</v>
      </c>
      <c r="AP2578" t="s">
        <v>53</v>
      </c>
      <c r="AQ2578">
        <v>0</v>
      </c>
      <c r="AR2578" t="s">
        <v>53</v>
      </c>
      <c r="AS2578">
        <v>0</v>
      </c>
      <c r="AT2578">
        <v>0</v>
      </c>
      <c r="AW2578" t="s">
        <v>172</v>
      </c>
      <c r="AX2578">
        <v>15</v>
      </c>
      <c r="AY2578" s="1">
        <v>44075</v>
      </c>
      <c r="AZ2578" s="1">
        <v>44075</v>
      </c>
      <c r="BA2578" s="1">
        <v>44075</v>
      </c>
      <c r="BB2578" s="1">
        <v>49553</v>
      </c>
      <c r="BC2578" t="s">
        <v>51</v>
      </c>
      <c r="BE2578" t="s">
        <v>54</v>
      </c>
      <c r="BF2578">
        <v>40</v>
      </c>
      <c r="BG2578">
        <v>0</v>
      </c>
      <c r="BH2578" t="s">
        <v>145</v>
      </c>
      <c r="CC2578" t="s">
        <v>250</v>
      </c>
      <c r="CD2578">
        <v>100000</v>
      </c>
      <c r="CE2578" s="1">
        <v>44075</v>
      </c>
      <c r="CF2578" s="1">
        <v>44075</v>
      </c>
      <c r="CG2578" s="1">
        <v>44075</v>
      </c>
      <c r="CH2578" s="1">
        <v>52994</v>
      </c>
      <c r="CI2578" t="s">
        <v>51</v>
      </c>
      <c r="CK2578" t="s">
        <v>78</v>
      </c>
      <c r="CM2578" t="s">
        <v>54</v>
      </c>
      <c r="CN2578" t="s">
        <v>174</v>
      </c>
      <c r="CR2578">
        <v>13.2</v>
      </c>
      <c r="CS2578">
        <v>1800</v>
      </c>
      <c r="CT2578">
        <v>0</v>
      </c>
      <c r="CU2578">
        <v>16</v>
      </c>
      <c r="CX2578" t="s">
        <v>674</v>
      </c>
      <c r="CY2578">
        <v>0</v>
      </c>
      <c r="CZ2578" s="1">
        <v>44075</v>
      </c>
      <c r="DA2578" s="1">
        <v>44075</v>
      </c>
      <c r="DB2578" s="1">
        <v>44075</v>
      </c>
      <c r="DC2578" s="1">
        <v>44075</v>
      </c>
      <c r="DD2578" t="s">
        <v>51</v>
      </c>
      <c r="DF2578" t="s">
        <v>54</v>
      </c>
      <c r="DG2578">
        <v>0</v>
      </c>
      <c r="DH2578">
        <v>0</v>
      </c>
    </row>
    <row r="2579" spans="1:112" x14ac:dyDescent="0.2">
      <c r="A2579" t="s">
        <v>1012</v>
      </c>
      <c r="B2579" t="s">
        <v>1013</v>
      </c>
      <c r="C2579" t="s">
        <v>1019</v>
      </c>
      <c r="D2579" t="s">
        <v>1116</v>
      </c>
      <c r="F2579" t="str">
        <f>"252182"</f>
        <v>252182</v>
      </c>
      <c r="G2579" t="s">
        <v>49</v>
      </c>
      <c r="H2579" t="s">
        <v>1093</v>
      </c>
      <c r="K2579" t="s">
        <v>51</v>
      </c>
      <c r="L2579" t="s">
        <v>52</v>
      </c>
      <c r="M2579">
        <v>132091.95000000001</v>
      </c>
      <c r="N2579">
        <v>477095.75</v>
      </c>
      <c r="O2579" t="s">
        <v>53</v>
      </c>
      <c r="P2579" t="s">
        <v>54</v>
      </c>
      <c r="Q2579" t="s">
        <v>55</v>
      </c>
      <c r="T2579" t="s">
        <v>81</v>
      </c>
      <c r="U2579">
        <v>40</v>
      </c>
      <c r="V2579" s="1">
        <v>31048</v>
      </c>
      <c r="W2579" s="1">
        <v>31048</v>
      </c>
      <c r="X2579" s="1">
        <v>31048</v>
      </c>
      <c r="Y2579" s="1">
        <v>45658</v>
      </c>
      <c r="Z2579" t="s">
        <v>51</v>
      </c>
      <c r="AB2579" t="s">
        <v>54</v>
      </c>
      <c r="AC2579">
        <v>1</v>
      </c>
      <c r="AE2579" t="s">
        <v>171</v>
      </c>
      <c r="AF2579">
        <v>20</v>
      </c>
      <c r="AG2579" s="1">
        <v>43360</v>
      </c>
      <c r="AH2579" s="1">
        <v>43360</v>
      </c>
      <c r="AI2579" s="1">
        <v>43360</v>
      </c>
      <c r="AJ2579" s="1">
        <v>50665</v>
      </c>
      <c r="AK2579" t="s">
        <v>51</v>
      </c>
      <c r="AN2579">
        <v>0</v>
      </c>
      <c r="AO2579" t="s">
        <v>54</v>
      </c>
      <c r="AP2579" t="s">
        <v>53</v>
      </c>
      <c r="AQ2579">
        <v>0</v>
      </c>
      <c r="AR2579" t="s">
        <v>53</v>
      </c>
      <c r="AS2579">
        <v>0</v>
      </c>
      <c r="AT2579">
        <v>0</v>
      </c>
      <c r="AW2579" t="s">
        <v>172</v>
      </c>
      <c r="AX2579">
        <v>15</v>
      </c>
      <c r="AY2579" s="1">
        <v>44075</v>
      </c>
      <c r="AZ2579" s="1">
        <v>44075</v>
      </c>
      <c r="BA2579" s="1">
        <v>44075</v>
      </c>
      <c r="BB2579" s="1">
        <v>49553</v>
      </c>
      <c r="BC2579" t="s">
        <v>51</v>
      </c>
      <c r="BE2579" t="s">
        <v>54</v>
      </c>
      <c r="BF2579">
        <v>40</v>
      </c>
      <c r="BG2579">
        <v>0</v>
      </c>
      <c r="BH2579" t="s">
        <v>145</v>
      </c>
      <c r="CC2579" t="s">
        <v>250</v>
      </c>
      <c r="CD2579">
        <v>100000</v>
      </c>
      <c r="CE2579" s="1">
        <v>44075</v>
      </c>
      <c r="CF2579" s="1">
        <v>44075</v>
      </c>
      <c r="CG2579" s="1">
        <v>44075</v>
      </c>
      <c r="CH2579" s="1">
        <v>52994</v>
      </c>
      <c r="CI2579" t="s">
        <v>51</v>
      </c>
      <c r="CK2579" t="s">
        <v>78</v>
      </c>
      <c r="CM2579" t="s">
        <v>54</v>
      </c>
      <c r="CN2579" t="s">
        <v>174</v>
      </c>
      <c r="CR2579">
        <v>13.2</v>
      </c>
      <c r="CS2579">
        <v>1800</v>
      </c>
      <c r="CT2579">
        <v>0</v>
      </c>
      <c r="CU2579">
        <v>16</v>
      </c>
      <c r="CX2579" t="s">
        <v>674</v>
      </c>
      <c r="CY2579">
        <v>0</v>
      </c>
      <c r="CZ2579" s="1">
        <v>44075</v>
      </c>
      <c r="DA2579" s="1">
        <v>44075</v>
      </c>
      <c r="DB2579" s="1">
        <v>44075</v>
      </c>
      <c r="DC2579" s="1">
        <v>44075</v>
      </c>
      <c r="DD2579" t="s">
        <v>51</v>
      </c>
      <c r="DF2579" t="s">
        <v>54</v>
      </c>
      <c r="DG2579">
        <v>0</v>
      </c>
      <c r="DH2579">
        <v>0</v>
      </c>
    </row>
    <row r="2580" spans="1:112" x14ac:dyDescent="0.2">
      <c r="A2580" t="s">
        <v>1012</v>
      </c>
      <c r="B2580" t="s">
        <v>1013</v>
      </c>
      <c r="C2580" t="s">
        <v>1019</v>
      </c>
      <c r="D2580" t="s">
        <v>1116</v>
      </c>
      <c r="F2580" t="str">
        <f>"252183"</f>
        <v>252183</v>
      </c>
      <c r="G2580" t="s">
        <v>49</v>
      </c>
      <c r="H2580" t="s">
        <v>1030</v>
      </c>
      <c r="K2580" t="s">
        <v>51</v>
      </c>
      <c r="L2580" t="s">
        <v>52</v>
      </c>
      <c r="M2580">
        <v>132021.06</v>
      </c>
      <c r="N2580">
        <v>477035.41</v>
      </c>
      <c r="O2580" t="s">
        <v>53</v>
      </c>
      <c r="P2580" t="s">
        <v>54</v>
      </c>
      <c r="Q2580" t="s">
        <v>55</v>
      </c>
      <c r="T2580" t="s">
        <v>81</v>
      </c>
      <c r="U2580">
        <v>40</v>
      </c>
      <c r="V2580" s="1">
        <v>31048</v>
      </c>
      <c r="W2580" s="1">
        <v>31048</v>
      </c>
      <c r="X2580" s="1">
        <v>31048</v>
      </c>
      <c r="Y2580" s="1">
        <v>45658</v>
      </c>
      <c r="Z2580" t="s">
        <v>51</v>
      </c>
      <c r="AB2580" t="s">
        <v>54</v>
      </c>
      <c r="AC2580">
        <v>1</v>
      </c>
      <c r="AE2580" t="s">
        <v>356</v>
      </c>
      <c r="AF2580">
        <v>20</v>
      </c>
      <c r="AG2580" s="1">
        <v>44075</v>
      </c>
      <c r="AH2580" s="1">
        <v>44075</v>
      </c>
      <c r="AI2580" s="1">
        <v>44075</v>
      </c>
      <c r="AJ2580" s="1">
        <v>51380</v>
      </c>
      <c r="AK2580" t="s">
        <v>51</v>
      </c>
      <c r="AN2580">
        <v>0</v>
      </c>
      <c r="AO2580" t="s">
        <v>54</v>
      </c>
      <c r="AP2580" t="s">
        <v>53</v>
      </c>
      <c r="AQ2580">
        <v>0</v>
      </c>
      <c r="AR2580" t="s">
        <v>145</v>
      </c>
      <c r="AS2580">
        <v>0</v>
      </c>
      <c r="AT2580">
        <v>0</v>
      </c>
      <c r="AW2580" t="s">
        <v>172</v>
      </c>
      <c r="AX2580">
        <v>15</v>
      </c>
      <c r="AY2580" s="1">
        <v>44075</v>
      </c>
      <c r="AZ2580" s="1">
        <v>44075</v>
      </c>
      <c r="BA2580" s="1">
        <v>44075</v>
      </c>
      <c r="BB2580" s="1">
        <v>49553</v>
      </c>
      <c r="BC2580" t="s">
        <v>51</v>
      </c>
      <c r="BE2580" t="s">
        <v>54</v>
      </c>
      <c r="BF2580">
        <v>40</v>
      </c>
      <c r="BG2580">
        <v>0</v>
      </c>
      <c r="BH2580" t="s">
        <v>145</v>
      </c>
      <c r="CC2580" t="s">
        <v>250</v>
      </c>
      <c r="CD2580">
        <v>100000</v>
      </c>
      <c r="CE2580" s="1">
        <v>44075</v>
      </c>
      <c r="CF2580" s="1">
        <v>44075</v>
      </c>
      <c r="CG2580" s="1">
        <v>44075</v>
      </c>
      <c r="CH2580" s="1">
        <v>52994</v>
      </c>
      <c r="CI2580" t="s">
        <v>51</v>
      </c>
      <c r="CK2580" t="s">
        <v>78</v>
      </c>
      <c r="CM2580" t="s">
        <v>54</v>
      </c>
      <c r="CN2580" t="s">
        <v>174</v>
      </c>
      <c r="CR2580">
        <v>13.2</v>
      </c>
      <c r="CS2580">
        <v>1800</v>
      </c>
      <c r="CT2580">
        <v>0</v>
      </c>
      <c r="CU2580">
        <v>16</v>
      </c>
      <c r="CX2580" t="s">
        <v>674</v>
      </c>
      <c r="CY2580">
        <v>0</v>
      </c>
      <c r="CZ2580" s="1">
        <v>44075</v>
      </c>
      <c r="DA2580" s="1">
        <v>44075</v>
      </c>
      <c r="DB2580" s="1">
        <v>44075</v>
      </c>
      <c r="DC2580" s="1">
        <v>44075</v>
      </c>
      <c r="DD2580" t="s">
        <v>51</v>
      </c>
      <c r="DF2580" t="s">
        <v>54</v>
      </c>
      <c r="DG2580">
        <v>0</v>
      </c>
      <c r="DH2580">
        <v>0</v>
      </c>
    </row>
    <row r="2581" spans="1:112" x14ac:dyDescent="0.2">
      <c r="A2581" t="s">
        <v>1012</v>
      </c>
      <c r="B2581" t="s">
        <v>1013</v>
      </c>
      <c r="C2581" t="s">
        <v>1019</v>
      </c>
      <c r="D2581" t="s">
        <v>1116</v>
      </c>
      <c r="F2581" t="str">
        <f>"252184"</f>
        <v>252184</v>
      </c>
      <c r="G2581" t="s">
        <v>49</v>
      </c>
      <c r="K2581" t="s">
        <v>51</v>
      </c>
      <c r="L2581" t="s">
        <v>52</v>
      </c>
      <c r="M2581">
        <v>132001.19</v>
      </c>
      <c r="N2581">
        <v>476905.28</v>
      </c>
      <c r="O2581" t="s">
        <v>53</v>
      </c>
      <c r="P2581" t="s">
        <v>54</v>
      </c>
      <c r="Q2581" t="s">
        <v>55</v>
      </c>
      <c r="T2581" t="s">
        <v>81</v>
      </c>
      <c r="U2581">
        <v>40</v>
      </c>
      <c r="V2581" s="1">
        <v>31048</v>
      </c>
      <c r="W2581" s="1">
        <v>31048</v>
      </c>
      <c r="X2581" s="1">
        <v>31048</v>
      </c>
      <c r="Y2581" s="1">
        <v>45658</v>
      </c>
      <c r="Z2581" t="s">
        <v>51</v>
      </c>
      <c r="AB2581" t="s">
        <v>54</v>
      </c>
      <c r="AC2581">
        <v>1</v>
      </c>
      <c r="AE2581" t="s">
        <v>356</v>
      </c>
      <c r="AF2581">
        <v>20</v>
      </c>
      <c r="AG2581" s="1">
        <v>44075</v>
      </c>
      <c r="AH2581" s="1">
        <v>44075</v>
      </c>
      <c r="AI2581" s="1">
        <v>44075</v>
      </c>
      <c r="AJ2581" s="1">
        <v>51380</v>
      </c>
      <c r="AK2581" t="s">
        <v>51</v>
      </c>
      <c r="AN2581">
        <v>0</v>
      </c>
      <c r="AO2581" t="s">
        <v>54</v>
      </c>
      <c r="AP2581" t="s">
        <v>53</v>
      </c>
      <c r="AQ2581">
        <v>0</v>
      </c>
      <c r="AR2581" t="s">
        <v>145</v>
      </c>
      <c r="AS2581">
        <v>0</v>
      </c>
      <c r="AT2581">
        <v>0</v>
      </c>
      <c r="AW2581" t="s">
        <v>172</v>
      </c>
      <c r="AX2581">
        <v>15</v>
      </c>
      <c r="AY2581" s="1">
        <v>44075</v>
      </c>
      <c r="AZ2581" s="1">
        <v>44075</v>
      </c>
      <c r="BA2581" s="1">
        <v>44075</v>
      </c>
      <c r="BB2581" s="1">
        <v>49553</v>
      </c>
      <c r="BC2581" t="s">
        <v>51</v>
      </c>
      <c r="BE2581" t="s">
        <v>54</v>
      </c>
      <c r="BF2581">
        <v>40</v>
      </c>
      <c r="BG2581">
        <v>0</v>
      </c>
      <c r="BH2581" t="s">
        <v>145</v>
      </c>
      <c r="CC2581" t="s">
        <v>250</v>
      </c>
      <c r="CD2581">
        <v>100000</v>
      </c>
      <c r="CE2581" s="1">
        <v>44075</v>
      </c>
      <c r="CF2581" s="1">
        <v>44075</v>
      </c>
      <c r="CG2581" s="1">
        <v>44075</v>
      </c>
      <c r="CH2581" s="1">
        <v>52994</v>
      </c>
      <c r="CI2581" t="s">
        <v>51</v>
      </c>
      <c r="CK2581" t="s">
        <v>78</v>
      </c>
      <c r="CM2581" t="s">
        <v>54</v>
      </c>
      <c r="CN2581" t="s">
        <v>174</v>
      </c>
      <c r="CR2581">
        <v>13.2</v>
      </c>
      <c r="CS2581">
        <v>1800</v>
      </c>
      <c r="CT2581">
        <v>0</v>
      </c>
      <c r="CU2581">
        <v>16</v>
      </c>
      <c r="CX2581" t="s">
        <v>674</v>
      </c>
      <c r="CY2581">
        <v>0</v>
      </c>
      <c r="CZ2581" s="1">
        <v>44075</v>
      </c>
      <c r="DA2581" s="1">
        <v>44075</v>
      </c>
      <c r="DB2581" s="1">
        <v>44075</v>
      </c>
      <c r="DC2581" s="1">
        <v>44075</v>
      </c>
      <c r="DD2581" t="s">
        <v>51</v>
      </c>
      <c r="DF2581" t="s">
        <v>54</v>
      </c>
      <c r="DG2581">
        <v>0</v>
      </c>
      <c r="DH2581">
        <v>0</v>
      </c>
    </row>
    <row r="2582" spans="1:112" x14ac:dyDescent="0.2">
      <c r="A2582" t="s">
        <v>1012</v>
      </c>
      <c r="B2582" t="s">
        <v>1013</v>
      </c>
      <c r="C2582" t="s">
        <v>1019</v>
      </c>
      <c r="D2582" t="s">
        <v>1116</v>
      </c>
      <c r="F2582" t="str">
        <f>"252185"</f>
        <v>252185</v>
      </c>
      <c r="G2582" t="s">
        <v>49</v>
      </c>
      <c r="K2582" t="s">
        <v>51</v>
      </c>
      <c r="L2582" t="s">
        <v>52</v>
      </c>
      <c r="M2582">
        <v>131999.13</v>
      </c>
      <c r="N2582">
        <v>476819.34</v>
      </c>
      <c r="O2582" t="s">
        <v>53</v>
      </c>
      <c r="P2582" t="s">
        <v>54</v>
      </c>
      <c r="Q2582" t="s">
        <v>55</v>
      </c>
      <c r="T2582" t="s">
        <v>81</v>
      </c>
      <c r="U2582">
        <v>40</v>
      </c>
      <c r="V2582" s="1">
        <v>31048</v>
      </c>
      <c r="W2582" s="1">
        <v>31048</v>
      </c>
      <c r="X2582" s="1">
        <v>31048</v>
      </c>
      <c r="Y2582" s="1">
        <v>45658</v>
      </c>
      <c r="Z2582" t="s">
        <v>51</v>
      </c>
      <c r="AB2582" t="s">
        <v>54</v>
      </c>
      <c r="AC2582">
        <v>1</v>
      </c>
      <c r="AE2582" t="s">
        <v>356</v>
      </c>
      <c r="AF2582">
        <v>20</v>
      </c>
      <c r="AG2582" s="1">
        <v>44075</v>
      </c>
      <c r="AH2582" s="1">
        <v>44075</v>
      </c>
      <c r="AI2582" s="1">
        <v>44075</v>
      </c>
      <c r="AJ2582" s="1">
        <v>51380</v>
      </c>
      <c r="AK2582" t="s">
        <v>51</v>
      </c>
      <c r="AN2582">
        <v>0</v>
      </c>
      <c r="AO2582" t="s">
        <v>54</v>
      </c>
      <c r="AP2582" t="s">
        <v>53</v>
      </c>
      <c r="AQ2582">
        <v>0</v>
      </c>
      <c r="AR2582" t="s">
        <v>145</v>
      </c>
      <c r="AS2582">
        <v>0</v>
      </c>
      <c r="AT2582">
        <v>0</v>
      </c>
      <c r="AW2582" t="s">
        <v>172</v>
      </c>
      <c r="AX2582">
        <v>15</v>
      </c>
      <c r="AY2582" s="1">
        <v>44075</v>
      </c>
      <c r="AZ2582" s="1">
        <v>44075</v>
      </c>
      <c r="BA2582" s="1">
        <v>44075</v>
      </c>
      <c r="BB2582" s="1">
        <v>49553</v>
      </c>
      <c r="BC2582" t="s">
        <v>51</v>
      </c>
      <c r="BE2582" t="s">
        <v>54</v>
      </c>
      <c r="BF2582">
        <v>40</v>
      </c>
      <c r="BG2582">
        <v>0</v>
      </c>
      <c r="BH2582" t="s">
        <v>145</v>
      </c>
      <c r="CC2582" t="s">
        <v>250</v>
      </c>
      <c r="CD2582">
        <v>100000</v>
      </c>
      <c r="CE2582" s="1">
        <v>44075</v>
      </c>
      <c r="CF2582" s="1">
        <v>44075</v>
      </c>
      <c r="CG2582" s="1">
        <v>44075</v>
      </c>
      <c r="CH2582" s="1">
        <v>52994</v>
      </c>
      <c r="CI2582" t="s">
        <v>51</v>
      </c>
      <c r="CK2582" t="s">
        <v>78</v>
      </c>
      <c r="CM2582" t="s">
        <v>54</v>
      </c>
      <c r="CN2582" t="s">
        <v>174</v>
      </c>
      <c r="CR2582">
        <v>13.2</v>
      </c>
      <c r="CS2582">
        <v>1800</v>
      </c>
      <c r="CT2582">
        <v>0</v>
      </c>
      <c r="CU2582">
        <v>16</v>
      </c>
      <c r="CX2582" t="s">
        <v>674</v>
      </c>
      <c r="CY2582">
        <v>0</v>
      </c>
      <c r="CZ2582" s="1">
        <v>44075</v>
      </c>
      <c r="DA2582" s="1">
        <v>44075</v>
      </c>
      <c r="DB2582" s="1">
        <v>44075</v>
      </c>
      <c r="DC2582" s="1">
        <v>44075</v>
      </c>
      <c r="DD2582" t="s">
        <v>51</v>
      </c>
      <c r="DF2582" t="s">
        <v>54</v>
      </c>
      <c r="DG2582">
        <v>0</v>
      </c>
      <c r="DH2582">
        <v>0</v>
      </c>
    </row>
    <row r="2583" spans="1:112" x14ac:dyDescent="0.2">
      <c r="A2583" t="s">
        <v>1012</v>
      </c>
      <c r="B2583" t="s">
        <v>1013</v>
      </c>
      <c r="C2583" t="s">
        <v>1019</v>
      </c>
      <c r="D2583" t="s">
        <v>1116</v>
      </c>
      <c r="F2583" t="str">
        <f>"252186"</f>
        <v>252186</v>
      </c>
      <c r="G2583" t="s">
        <v>49</v>
      </c>
      <c r="K2583" t="s">
        <v>51</v>
      </c>
      <c r="L2583" t="s">
        <v>52</v>
      </c>
      <c r="M2583">
        <v>132002.97</v>
      </c>
      <c r="N2583">
        <v>476700.94</v>
      </c>
      <c r="O2583" t="s">
        <v>53</v>
      </c>
      <c r="P2583" t="s">
        <v>54</v>
      </c>
      <c r="Q2583" t="s">
        <v>55</v>
      </c>
      <c r="T2583" t="s">
        <v>183</v>
      </c>
      <c r="U2583">
        <v>40</v>
      </c>
      <c r="V2583" s="1">
        <v>31048</v>
      </c>
      <c r="W2583" s="1">
        <v>31048</v>
      </c>
      <c r="X2583" s="1">
        <v>31048</v>
      </c>
      <c r="Y2583" s="1">
        <v>45658</v>
      </c>
      <c r="Z2583" t="s">
        <v>51</v>
      </c>
      <c r="AB2583" t="s">
        <v>54</v>
      </c>
      <c r="AC2583">
        <v>1</v>
      </c>
      <c r="AE2583" t="s">
        <v>356</v>
      </c>
      <c r="AF2583">
        <v>20</v>
      </c>
      <c r="AG2583" s="1">
        <v>44075</v>
      </c>
      <c r="AH2583" s="1">
        <v>44075</v>
      </c>
      <c r="AI2583" s="1">
        <v>44075</v>
      </c>
      <c r="AJ2583" s="1">
        <v>51380</v>
      </c>
      <c r="AK2583" t="s">
        <v>51</v>
      </c>
      <c r="AN2583">
        <v>0</v>
      </c>
      <c r="AO2583" t="s">
        <v>54</v>
      </c>
      <c r="AP2583" t="s">
        <v>53</v>
      </c>
      <c r="AQ2583">
        <v>0</v>
      </c>
      <c r="AR2583" t="s">
        <v>145</v>
      </c>
      <c r="AS2583">
        <v>0</v>
      </c>
      <c r="AT2583">
        <v>0</v>
      </c>
      <c r="AW2583" t="s">
        <v>172</v>
      </c>
      <c r="AX2583">
        <v>15</v>
      </c>
      <c r="AY2583" s="1">
        <v>44075</v>
      </c>
      <c r="AZ2583" s="1">
        <v>44075</v>
      </c>
      <c r="BA2583" s="1">
        <v>44075</v>
      </c>
      <c r="BB2583" s="1">
        <v>49553</v>
      </c>
      <c r="BC2583" t="s">
        <v>51</v>
      </c>
      <c r="BE2583" t="s">
        <v>54</v>
      </c>
      <c r="BF2583">
        <v>40</v>
      </c>
      <c r="BG2583">
        <v>0</v>
      </c>
      <c r="BH2583" t="s">
        <v>145</v>
      </c>
      <c r="CC2583" t="s">
        <v>250</v>
      </c>
      <c r="CD2583">
        <v>100000</v>
      </c>
      <c r="CE2583" s="1">
        <v>44075</v>
      </c>
      <c r="CF2583" s="1">
        <v>44075</v>
      </c>
      <c r="CG2583" s="1">
        <v>44075</v>
      </c>
      <c r="CH2583" s="1">
        <v>52994</v>
      </c>
      <c r="CI2583" t="s">
        <v>51</v>
      </c>
      <c r="CK2583" t="s">
        <v>78</v>
      </c>
      <c r="CM2583" t="s">
        <v>54</v>
      </c>
      <c r="CN2583" t="s">
        <v>174</v>
      </c>
      <c r="CR2583">
        <v>13.2</v>
      </c>
      <c r="CS2583">
        <v>1800</v>
      </c>
      <c r="CT2583">
        <v>0</v>
      </c>
      <c r="CU2583">
        <v>16</v>
      </c>
      <c r="CX2583" t="s">
        <v>674</v>
      </c>
      <c r="CY2583">
        <v>0</v>
      </c>
      <c r="CZ2583" s="1">
        <v>44075</v>
      </c>
      <c r="DA2583" s="1">
        <v>44075</v>
      </c>
      <c r="DB2583" s="1">
        <v>44075</v>
      </c>
      <c r="DC2583" s="1">
        <v>44075</v>
      </c>
      <c r="DD2583" t="s">
        <v>51</v>
      </c>
      <c r="DF2583" t="s">
        <v>54</v>
      </c>
      <c r="DG2583">
        <v>0</v>
      </c>
      <c r="DH2583">
        <v>0</v>
      </c>
    </row>
    <row r="2584" spans="1:112" x14ac:dyDescent="0.2">
      <c r="A2584" t="s">
        <v>1012</v>
      </c>
      <c r="B2584" t="s">
        <v>1013</v>
      </c>
      <c r="C2584" t="s">
        <v>1019</v>
      </c>
      <c r="D2584" t="s">
        <v>1116</v>
      </c>
      <c r="F2584" t="str">
        <f>"252187"</f>
        <v>252187</v>
      </c>
      <c r="G2584" t="s">
        <v>49</v>
      </c>
      <c r="H2584" t="s">
        <v>1121</v>
      </c>
      <c r="K2584" t="s">
        <v>51</v>
      </c>
      <c r="L2584" t="s">
        <v>52</v>
      </c>
      <c r="M2584">
        <v>132009.51</v>
      </c>
      <c r="N2584">
        <v>476677.97</v>
      </c>
      <c r="O2584" t="s">
        <v>53</v>
      </c>
      <c r="P2584" t="s">
        <v>54</v>
      </c>
      <c r="Q2584" t="s">
        <v>55</v>
      </c>
      <c r="T2584" t="s">
        <v>466</v>
      </c>
      <c r="U2584">
        <v>40</v>
      </c>
      <c r="V2584" s="1">
        <v>31048</v>
      </c>
      <c r="W2584" s="1">
        <v>31048</v>
      </c>
      <c r="X2584" s="1">
        <v>31048</v>
      </c>
      <c r="Y2584" s="1">
        <v>45658</v>
      </c>
      <c r="Z2584" t="s">
        <v>51</v>
      </c>
      <c r="AB2584" t="s">
        <v>54</v>
      </c>
      <c r="AC2584">
        <v>1</v>
      </c>
      <c r="AE2584" t="s">
        <v>356</v>
      </c>
      <c r="AF2584">
        <v>20</v>
      </c>
      <c r="AG2584" s="1">
        <v>44076</v>
      </c>
      <c r="AH2584" s="1">
        <v>44076</v>
      </c>
      <c r="AI2584" s="1">
        <v>44076</v>
      </c>
      <c r="AJ2584" s="1">
        <v>51381</v>
      </c>
      <c r="AK2584" t="s">
        <v>51</v>
      </c>
      <c r="AN2584">
        <v>0</v>
      </c>
      <c r="AO2584" t="s">
        <v>54</v>
      </c>
      <c r="AP2584" t="s">
        <v>53</v>
      </c>
      <c r="AQ2584">
        <v>0</v>
      </c>
      <c r="AR2584" t="s">
        <v>145</v>
      </c>
      <c r="AS2584">
        <v>0</v>
      </c>
      <c r="AT2584">
        <v>0</v>
      </c>
      <c r="AW2584" t="s">
        <v>58</v>
      </c>
      <c r="AX2584">
        <v>20</v>
      </c>
      <c r="AY2584" s="1">
        <v>31048</v>
      </c>
      <c r="AZ2584" s="1">
        <v>31048</v>
      </c>
      <c r="BA2584" s="1">
        <v>44076</v>
      </c>
      <c r="BB2584" s="1">
        <v>38353</v>
      </c>
      <c r="BC2584" t="s">
        <v>51</v>
      </c>
      <c r="BE2584" t="s">
        <v>54</v>
      </c>
      <c r="BF2584">
        <v>2</v>
      </c>
      <c r="BG2584">
        <v>0</v>
      </c>
      <c r="BH2584" t="s">
        <v>53</v>
      </c>
      <c r="BK2584" t="s">
        <v>797</v>
      </c>
      <c r="BL2584">
        <v>12000</v>
      </c>
      <c r="BM2584" s="1">
        <v>41456</v>
      </c>
      <c r="BN2584" s="1">
        <v>41456</v>
      </c>
      <c r="BO2584" s="1">
        <v>44076</v>
      </c>
      <c r="BP2584" s="1">
        <v>42442</v>
      </c>
      <c r="BQ2584" t="s">
        <v>51</v>
      </c>
      <c r="BS2584" t="s">
        <v>60</v>
      </c>
      <c r="BT2584" t="s">
        <v>54</v>
      </c>
      <c r="BU2584" t="s">
        <v>72</v>
      </c>
      <c r="BV2584" t="s">
        <v>73</v>
      </c>
      <c r="BX2584">
        <v>35</v>
      </c>
      <c r="BY2584">
        <v>0</v>
      </c>
      <c r="BZ2584">
        <v>0</v>
      </c>
    </row>
    <row r="2585" spans="1:112" x14ac:dyDescent="0.2">
      <c r="A2585" t="s">
        <v>1012</v>
      </c>
      <c r="B2585" t="s">
        <v>1013</v>
      </c>
      <c r="C2585" t="s">
        <v>1052</v>
      </c>
      <c r="D2585" t="s">
        <v>1122</v>
      </c>
      <c r="F2585" t="str">
        <f>"252190"</f>
        <v>252190</v>
      </c>
      <c r="G2585" t="s">
        <v>49</v>
      </c>
      <c r="K2585" t="s">
        <v>51</v>
      </c>
      <c r="L2585" t="s">
        <v>52</v>
      </c>
      <c r="M2585">
        <v>131703.08900000001</v>
      </c>
      <c r="N2585">
        <v>475138.87199999997</v>
      </c>
      <c r="O2585" t="s">
        <v>53</v>
      </c>
      <c r="P2585" t="s">
        <v>54</v>
      </c>
      <c r="Q2585" t="s">
        <v>55</v>
      </c>
      <c r="T2585" t="s">
        <v>1095</v>
      </c>
      <c r="U2585">
        <v>40</v>
      </c>
      <c r="V2585" s="1">
        <v>28126</v>
      </c>
      <c r="W2585" s="1">
        <v>28126</v>
      </c>
      <c r="X2585" s="1">
        <v>28126</v>
      </c>
      <c r="Y2585" s="1">
        <v>42736</v>
      </c>
      <c r="Z2585" t="s">
        <v>51</v>
      </c>
      <c r="AB2585" t="s">
        <v>54</v>
      </c>
      <c r="AC2585">
        <v>1</v>
      </c>
      <c r="AE2585" t="s">
        <v>222</v>
      </c>
      <c r="AF2585">
        <v>20</v>
      </c>
      <c r="AG2585" s="1">
        <v>34516</v>
      </c>
      <c r="AH2585" s="1">
        <v>34516</v>
      </c>
      <c r="AI2585" s="1">
        <v>34516</v>
      </c>
      <c r="AJ2585" s="1">
        <v>41821</v>
      </c>
      <c r="AK2585" t="s">
        <v>51</v>
      </c>
      <c r="AN2585">
        <v>0</v>
      </c>
      <c r="AO2585" t="s">
        <v>54</v>
      </c>
      <c r="AP2585" t="s">
        <v>53</v>
      </c>
      <c r="AQ2585">
        <v>0</v>
      </c>
      <c r="AR2585" t="s">
        <v>53</v>
      </c>
      <c r="AS2585">
        <v>0</v>
      </c>
      <c r="AT2585">
        <v>0</v>
      </c>
      <c r="AW2585" t="s">
        <v>58</v>
      </c>
      <c r="AX2585">
        <v>20</v>
      </c>
      <c r="AY2585" s="1">
        <v>44494</v>
      </c>
      <c r="AZ2585" s="1">
        <v>44494</v>
      </c>
      <c r="BA2585" s="1">
        <v>44494</v>
      </c>
      <c r="BB2585" s="1">
        <v>51799</v>
      </c>
      <c r="BC2585" t="s">
        <v>51</v>
      </c>
      <c r="BE2585" t="s">
        <v>54</v>
      </c>
      <c r="BF2585">
        <v>2</v>
      </c>
      <c r="BG2585">
        <v>0</v>
      </c>
      <c r="BH2585" t="s">
        <v>53</v>
      </c>
      <c r="BK2585" t="s">
        <v>59</v>
      </c>
      <c r="BL2585">
        <v>14000</v>
      </c>
      <c r="BM2585" s="1">
        <v>44494</v>
      </c>
      <c r="BN2585" s="1">
        <v>44494</v>
      </c>
      <c r="BO2585" s="1">
        <v>44494</v>
      </c>
      <c r="BP2585" s="1">
        <v>45655</v>
      </c>
      <c r="BQ2585" t="s">
        <v>51</v>
      </c>
      <c r="BS2585" t="s">
        <v>60</v>
      </c>
      <c r="BT2585" t="s">
        <v>54</v>
      </c>
      <c r="BU2585" t="s">
        <v>61</v>
      </c>
      <c r="BV2585" t="s">
        <v>62</v>
      </c>
      <c r="BX2585">
        <v>24</v>
      </c>
      <c r="BY2585">
        <v>0</v>
      </c>
      <c r="BZ2585">
        <v>0</v>
      </c>
      <c r="CX2585" t="s">
        <v>674</v>
      </c>
      <c r="CY2585">
        <v>0</v>
      </c>
      <c r="CZ2585" s="1">
        <v>44320</v>
      </c>
      <c r="DA2585" s="1">
        <v>44320</v>
      </c>
      <c r="DB2585" s="1">
        <v>44320</v>
      </c>
      <c r="DC2585" s="1">
        <v>44320</v>
      </c>
      <c r="DD2585" t="s">
        <v>51</v>
      </c>
      <c r="DF2585" t="s">
        <v>54</v>
      </c>
      <c r="DG2585">
        <v>0</v>
      </c>
      <c r="DH2585">
        <v>0</v>
      </c>
    </row>
    <row r="2586" spans="1:112" x14ac:dyDescent="0.2">
      <c r="A2586" t="s">
        <v>1012</v>
      </c>
      <c r="B2586" t="s">
        <v>1013</v>
      </c>
      <c r="C2586" t="s">
        <v>1052</v>
      </c>
      <c r="D2586" t="s">
        <v>1122</v>
      </c>
      <c r="F2586" t="str">
        <f>"252191"</f>
        <v>252191</v>
      </c>
      <c r="G2586" t="s">
        <v>49</v>
      </c>
      <c r="I2586" t="s">
        <v>1123</v>
      </c>
      <c r="K2586" t="s">
        <v>51</v>
      </c>
      <c r="L2586" t="s">
        <v>52</v>
      </c>
      <c r="M2586">
        <v>131727.47</v>
      </c>
      <c r="N2586">
        <v>475145.75</v>
      </c>
      <c r="O2586" t="s">
        <v>53</v>
      </c>
      <c r="P2586" t="s">
        <v>54</v>
      </c>
      <c r="Q2586" t="s">
        <v>55</v>
      </c>
      <c r="T2586" t="s">
        <v>241</v>
      </c>
      <c r="U2586">
        <v>40</v>
      </c>
      <c r="V2586" s="1">
        <v>28126</v>
      </c>
      <c r="W2586" s="1">
        <v>28126</v>
      </c>
      <c r="X2586" s="1">
        <v>28126</v>
      </c>
      <c r="Y2586" s="1">
        <v>42736</v>
      </c>
      <c r="Z2586" t="s">
        <v>51</v>
      </c>
      <c r="AB2586" t="s">
        <v>54</v>
      </c>
      <c r="AC2586">
        <v>1</v>
      </c>
      <c r="AE2586" t="s">
        <v>222</v>
      </c>
      <c r="AF2586">
        <v>20</v>
      </c>
      <c r="AG2586" s="1">
        <v>34516</v>
      </c>
      <c r="AH2586" s="1">
        <v>34516</v>
      </c>
      <c r="AI2586" s="1">
        <v>34516</v>
      </c>
      <c r="AJ2586" s="1">
        <v>41821</v>
      </c>
      <c r="AK2586" t="s">
        <v>51</v>
      </c>
      <c r="AN2586">
        <v>0</v>
      </c>
      <c r="AO2586" t="s">
        <v>54</v>
      </c>
      <c r="AP2586" t="s">
        <v>53</v>
      </c>
      <c r="AQ2586">
        <v>0</v>
      </c>
      <c r="AR2586" t="s">
        <v>53</v>
      </c>
      <c r="AS2586">
        <v>0</v>
      </c>
      <c r="AT2586">
        <v>0</v>
      </c>
      <c r="AW2586" t="s">
        <v>58</v>
      </c>
      <c r="AX2586">
        <v>20</v>
      </c>
      <c r="AY2586" s="1">
        <v>34516</v>
      </c>
      <c r="AZ2586" s="1">
        <v>34516</v>
      </c>
      <c r="BA2586" s="1">
        <v>34516</v>
      </c>
      <c r="BB2586" s="1">
        <v>41821</v>
      </c>
      <c r="BC2586" t="s">
        <v>51</v>
      </c>
      <c r="BE2586" t="s">
        <v>54</v>
      </c>
      <c r="BF2586">
        <v>2</v>
      </c>
      <c r="BG2586">
        <v>0</v>
      </c>
      <c r="BH2586" t="s">
        <v>53</v>
      </c>
      <c r="BK2586" t="s">
        <v>59</v>
      </c>
      <c r="BL2586">
        <v>14000</v>
      </c>
      <c r="BM2586" s="1">
        <v>44084</v>
      </c>
      <c r="BN2586" s="1">
        <v>44084</v>
      </c>
      <c r="BO2586" s="1">
        <v>44084</v>
      </c>
      <c r="BP2586" s="1">
        <v>45253</v>
      </c>
      <c r="BQ2586" t="s">
        <v>51</v>
      </c>
      <c r="BS2586" t="s">
        <v>60</v>
      </c>
      <c r="BT2586" t="s">
        <v>54</v>
      </c>
      <c r="BU2586" t="s">
        <v>61</v>
      </c>
      <c r="BV2586" t="s">
        <v>62</v>
      </c>
      <c r="BX2586">
        <v>24</v>
      </c>
      <c r="BY2586">
        <v>0</v>
      </c>
      <c r="BZ2586">
        <v>0</v>
      </c>
      <c r="CX2586" t="s">
        <v>674</v>
      </c>
      <c r="CY2586">
        <v>0</v>
      </c>
      <c r="CZ2586" s="1">
        <v>44320</v>
      </c>
      <c r="DA2586" s="1">
        <v>44320</v>
      </c>
      <c r="DB2586" s="1">
        <v>44320</v>
      </c>
      <c r="DC2586" s="1">
        <v>44320</v>
      </c>
      <c r="DD2586" t="s">
        <v>51</v>
      </c>
      <c r="DF2586" t="s">
        <v>54</v>
      </c>
      <c r="DG2586">
        <v>0</v>
      </c>
      <c r="DH2586">
        <v>0</v>
      </c>
    </row>
    <row r="2587" spans="1:112" x14ac:dyDescent="0.2">
      <c r="A2587" t="s">
        <v>1012</v>
      </c>
      <c r="B2587" t="s">
        <v>1013</v>
      </c>
      <c r="C2587" t="s">
        <v>1052</v>
      </c>
      <c r="D2587" t="s">
        <v>1122</v>
      </c>
      <c r="F2587" t="str">
        <f>"252192"</f>
        <v>252192</v>
      </c>
      <c r="G2587" t="s">
        <v>49</v>
      </c>
      <c r="K2587" t="s">
        <v>51</v>
      </c>
      <c r="L2587" t="s">
        <v>52</v>
      </c>
      <c r="M2587">
        <v>131750.56400000001</v>
      </c>
      <c r="N2587">
        <v>475139.7</v>
      </c>
      <c r="O2587" t="s">
        <v>53</v>
      </c>
      <c r="P2587" t="s">
        <v>54</v>
      </c>
      <c r="Q2587" t="s">
        <v>55</v>
      </c>
      <c r="T2587" t="s">
        <v>660</v>
      </c>
      <c r="U2587">
        <v>40</v>
      </c>
      <c r="V2587" s="1">
        <v>28126</v>
      </c>
      <c r="W2587" s="1">
        <v>28126</v>
      </c>
      <c r="X2587" s="1">
        <v>28126</v>
      </c>
      <c r="Y2587" s="1">
        <v>42736</v>
      </c>
      <c r="Z2587" t="s">
        <v>51</v>
      </c>
      <c r="AB2587" t="s">
        <v>54</v>
      </c>
      <c r="AC2587">
        <v>1</v>
      </c>
      <c r="AE2587" t="s">
        <v>613</v>
      </c>
      <c r="AF2587">
        <v>20</v>
      </c>
      <c r="AG2587" s="1">
        <v>35612</v>
      </c>
      <c r="AH2587" s="1">
        <v>35612</v>
      </c>
      <c r="AI2587" s="1">
        <v>35612</v>
      </c>
      <c r="AJ2587" s="1">
        <v>42917</v>
      </c>
      <c r="AK2587" t="s">
        <v>51</v>
      </c>
      <c r="AN2587">
        <v>0</v>
      </c>
      <c r="AO2587" t="s">
        <v>54</v>
      </c>
      <c r="AP2587" t="s">
        <v>53</v>
      </c>
      <c r="AQ2587">
        <v>0</v>
      </c>
      <c r="AR2587" t="s">
        <v>53</v>
      </c>
      <c r="AS2587">
        <v>0</v>
      </c>
      <c r="AT2587">
        <v>0</v>
      </c>
      <c r="AW2587" t="s">
        <v>58</v>
      </c>
      <c r="AX2587">
        <v>20</v>
      </c>
      <c r="AY2587" s="1">
        <v>35612</v>
      </c>
      <c r="AZ2587" s="1">
        <v>35612</v>
      </c>
      <c r="BA2587" s="1">
        <v>35612</v>
      </c>
      <c r="BB2587" s="1">
        <v>42917</v>
      </c>
      <c r="BC2587" t="s">
        <v>51</v>
      </c>
      <c r="BE2587" t="s">
        <v>54</v>
      </c>
      <c r="BF2587">
        <v>2</v>
      </c>
      <c r="BG2587">
        <v>0</v>
      </c>
      <c r="BH2587" t="s">
        <v>53</v>
      </c>
      <c r="BK2587" t="s">
        <v>59</v>
      </c>
      <c r="BL2587">
        <v>14000</v>
      </c>
      <c r="BM2587" s="1">
        <v>44084</v>
      </c>
      <c r="BN2587" s="1">
        <v>44084</v>
      </c>
      <c r="BO2587" s="1">
        <v>44084</v>
      </c>
      <c r="BP2587" s="1">
        <v>45253</v>
      </c>
      <c r="BQ2587" t="s">
        <v>51</v>
      </c>
      <c r="BS2587" t="s">
        <v>60</v>
      </c>
      <c r="BT2587" t="s">
        <v>54</v>
      </c>
      <c r="BU2587" t="s">
        <v>61</v>
      </c>
      <c r="BV2587" t="s">
        <v>62</v>
      </c>
      <c r="BX2587">
        <v>24</v>
      </c>
      <c r="BY2587">
        <v>0</v>
      </c>
      <c r="BZ2587">
        <v>0</v>
      </c>
      <c r="CX2587" t="s">
        <v>674</v>
      </c>
      <c r="CY2587">
        <v>0</v>
      </c>
      <c r="CZ2587" s="1">
        <v>44320</v>
      </c>
      <c r="DA2587" s="1">
        <v>44320</v>
      </c>
      <c r="DB2587" s="1">
        <v>44320</v>
      </c>
      <c r="DC2587" s="1">
        <v>44320</v>
      </c>
      <c r="DD2587" t="s">
        <v>51</v>
      </c>
      <c r="DF2587" t="s">
        <v>54</v>
      </c>
      <c r="DG2587">
        <v>0</v>
      </c>
      <c r="DH2587">
        <v>0</v>
      </c>
    </row>
    <row r="2588" spans="1:112" x14ac:dyDescent="0.2">
      <c r="A2588" t="s">
        <v>1012</v>
      </c>
      <c r="B2588" t="s">
        <v>1013</v>
      </c>
      <c r="C2588" t="s">
        <v>1052</v>
      </c>
      <c r="D2588" t="s">
        <v>1122</v>
      </c>
      <c r="F2588" t="str">
        <f>"252193"</f>
        <v>252193</v>
      </c>
      <c r="G2588" t="s">
        <v>49</v>
      </c>
      <c r="K2588" t="s">
        <v>51</v>
      </c>
      <c r="L2588" t="s">
        <v>52</v>
      </c>
      <c r="M2588">
        <v>131781.23499999999</v>
      </c>
      <c r="N2588">
        <v>475142.02299999999</v>
      </c>
      <c r="O2588" t="s">
        <v>53</v>
      </c>
      <c r="P2588" t="s">
        <v>54</v>
      </c>
      <c r="Q2588" t="s">
        <v>55</v>
      </c>
      <c r="T2588" t="s">
        <v>660</v>
      </c>
      <c r="U2588">
        <v>40</v>
      </c>
      <c r="V2588" s="1">
        <v>28126</v>
      </c>
      <c r="W2588" s="1">
        <v>28126</v>
      </c>
      <c r="X2588" s="1">
        <v>28126</v>
      </c>
      <c r="Y2588" s="1">
        <v>42736</v>
      </c>
      <c r="Z2588" t="s">
        <v>51</v>
      </c>
      <c r="AB2588" t="s">
        <v>54</v>
      </c>
      <c r="AC2588">
        <v>1</v>
      </c>
      <c r="AE2588" t="s">
        <v>613</v>
      </c>
      <c r="AF2588">
        <v>20</v>
      </c>
      <c r="AG2588" s="1">
        <v>35612</v>
      </c>
      <c r="AH2588" s="1">
        <v>35612</v>
      </c>
      <c r="AI2588" s="1">
        <v>35612</v>
      </c>
      <c r="AJ2588" s="1">
        <v>42917</v>
      </c>
      <c r="AK2588" t="s">
        <v>51</v>
      </c>
      <c r="AN2588">
        <v>0</v>
      </c>
      <c r="AO2588" t="s">
        <v>54</v>
      </c>
      <c r="AP2588" t="s">
        <v>53</v>
      </c>
      <c r="AQ2588">
        <v>0</v>
      </c>
      <c r="AR2588" t="s">
        <v>53</v>
      </c>
      <c r="AS2588">
        <v>0</v>
      </c>
      <c r="AT2588">
        <v>0</v>
      </c>
      <c r="AW2588" t="s">
        <v>58</v>
      </c>
      <c r="AX2588">
        <v>20</v>
      </c>
      <c r="AY2588" s="1">
        <v>35612</v>
      </c>
      <c r="AZ2588" s="1">
        <v>35612</v>
      </c>
      <c r="BA2588" s="1">
        <v>35612</v>
      </c>
      <c r="BB2588" s="1">
        <v>42917</v>
      </c>
      <c r="BC2588" t="s">
        <v>51</v>
      </c>
      <c r="BE2588" t="s">
        <v>54</v>
      </c>
      <c r="BF2588">
        <v>2</v>
      </c>
      <c r="BG2588">
        <v>0</v>
      </c>
      <c r="BH2588" t="s">
        <v>53</v>
      </c>
      <c r="BK2588" t="s">
        <v>59</v>
      </c>
      <c r="BL2588">
        <v>14000</v>
      </c>
      <c r="BM2588" s="1">
        <v>44084</v>
      </c>
      <c r="BN2588" s="1">
        <v>44084</v>
      </c>
      <c r="BO2588" s="1">
        <v>44084</v>
      </c>
      <c r="BP2588" s="1">
        <v>45253</v>
      </c>
      <c r="BQ2588" t="s">
        <v>51</v>
      </c>
      <c r="BS2588" t="s">
        <v>60</v>
      </c>
      <c r="BT2588" t="s">
        <v>54</v>
      </c>
      <c r="BU2588" t="s">
        <v>61</v>
      </c>
      <c r="BV2588" t="s">
        <v>62</v>
      </c>
      <c r="BX2588">
        <v>24</v>
      </c>
      <c r="BY2588">
        <v>0</v>
      </c>
      <c r="BZ2588">
        <v>0</v>
      </c>
      <c r="CX2588" t="s">
        <v>360</v>
      </c>
      <c r="CY2588">
        <v>40</v>
      </c>
      <c r="CZ2588" s="1">
        <v>44320</v>
      </c>
      <c r="DA2588" s="1">
        <v>44320</v>
      </c>
      <c r="DB2588" s="1">
        <v>44320</v>
      </c>
      <c r="DC2588" s="1">
        <v>58930</v>
      </c>
      <c r="DD2588" t="s">
        <v>51</v>
      </c>
      <c r="DF2588" t="s">
        <v>54</v>
      </c>
      <c r="DG2588">
        <v>0</v>
      </c>
      <c r="DH2588">
        <v>0</v>
      </c>
    </row>
    <row r="2589" spans="1:112" x14ac:dyDescent="0.2">
      <c r="A2589" t="s">
        <v>1012</v>
      </c>
      <c r="B2589" t="s">
        <v>1013</v>
      </c>
      <c r="C2589" t="s">
        <v>1052</v>
      </c>
      <c r="D2589" t="s">
        <v>1122</v>
      </c>
      <c r="F2589" t="str">
        <f>"252194"</f>
        <v>252194</v>
      </c>
      <c r="G2589" t="s">
        <v>49</v>
      </c>
      <c r="K2589" t="s">
        <v>51</v>
      </c>
      <c r="L2589" t="s">
        <v>52</v>
      </c>
      <c r="M2589">
        <v>131811.829</v>
      </c>
      <c r="N2589">
        <v>475144.75799999997</v>
      </c>
      <c r="O2589" t="s">
        <v>53</v>
      </c>
      <c r="P2589" t="s">
        <v>54</v>
      </c>
      <c r="Q2589" t="s">
        <v>55</v>
      </c>
      <c r="T2589" t="s">
        <v>660</v>
      </c>
      <c r="U2589">
        <v>40</v>
      </c>
      <c r="V2589" s="1">
        <v>28126</v>
      </c>
      <c r="W2589" s="1">
        <v>28126</v>
      </c>
      <c r="X2589" s="1">
        <v>28126</v>
      </c>
      <c r="Y2589" s="1">
        <v>42736</v>
      </c>
      <c r="Z2589" t="s">
        <v>51</v>
      </c>
      <c r="AB2589" t="s">
        <v>54</v>
      </c>
      <c r="AC2589">
        <v>1</v>
      </c>
      <c r="AE2589" t="s">
        <v>613</v>
      </c>
      <c r="AF2589">
        <v>20</v>
      </c>
      <c r="AG2589" s="1">
        <v>35612</v>
      </c>
      <c r="AH2589" s="1">
        <v>35612</v>
      </c>
      <c r="AI2589" s="1">
        <v>35612</v>
      </c>
      <c r="AJ2589" s="1">
        <v>42917</v>
      </c>
      <c r="AK2589" t="s">
        <v>51</v>
      </c>
      <c r="AN2589">
        <v>0</v>
      </c>
      <c r="AO2589" t="s">
        <v>54</v>
      </c>
      <c r="AP2589" t="s">
        <v>53</v>
      </c>
      <c r="AQ2589">
        <v>0</v>
      </c>
      <c r="AR2589" t="s">
        <v>53</v>
      </c>
      <c r="AS2589">
        <v>0</v>
      </c>
      <c r="AT2589">
        <v>0</v>
      </c>
      <c r="AW2589" t="s">
        <v>58</v>
      </c>
      <c r="AX2589">
        <v>20</v>
      </c>
      <c r="AY2589" s="1">
        <v>35612</v>
      </c>
      <c r="AZ2589" s="1">
        <v>35612</v>
      </c>
      <c r="BA2589" s="1">
        <v>35612</v>
      </c>
      <c r="BB2589" s="1">
        <v>42917</v>
      </c>
      <c r="BC2589" t="s">
        <v>51</v>
      </c>
      <c r="BE2589" t="s">
        <v>54</v>
      </c>
      <c r="BF2589">
        <v>2</v>
      </c>
      <c r="BG2589">
        <v>0</v>
      </c>
      <c r="BH2589" t="s">
        <v>53</v>
      </c>
      <c r="BK2589" t="s">
        <v>59</v>
      </c>
      <c r="BL2589">
        <v>14000</v>
      </c>
      <c r="BM2589" s="1">
        <v>44084</v>
      </c>
      <c r="BN2589" s="1">
        <v>44084</v>
      </c>
      <c r="BO2589" s="1">
        <v>44084</v>
      </c>
      <c r="BP2589" s="1">
        <v>45253</v>
      </c>
      <c r="BQ2589" t="s">
        <v>51</v>
      </c>
      <c r="BS2589" t="s">
        <v>60</v>
      </c>
      <c r="BT2589" t="s">
        <v>54</v>
      </c>
      <c r="BU2589" t="s">
        <v>61</v>
      </c>
      <c r="BV2589" t="s">
        <v>62</v>
      </c>
      <c r="BX2589">
        <v>24</v>
      </c>
      <c r="BY2589">
        <v>0</v>
      </c>
      <c r="BZ2589">
        <v>0</v>
      </c>
      <c r="CX2589" t="s">
        <v>360</v>
      </c>
      <c r="CY2589">
        <v>40</v>
      </c>
      <c r="CZ2589" s="1">
        <v>44320</v>
      </c>
      <c r="DA2589" s="1">
        <v>44320</v>
      </c>
      <c r="DB2589" s="1">
        <v>44320</v>
      </c>
      <c r="DC2589" s="1">
        <v>58930</v>
      </c>
      <c r="DD2589" t="s">
        <v>51</v>
      </c>
      <c r="DF2589" t="s">
        <v>54</v>
      </c>
      <c r="DG2589">
        <v>0</v>
      </c>
      <c r="DH2589">
        <v>0</v>
      </c>
    </row>
    <row r="2590" spans="1:112" x14ac:dyDescent="0.2">
      <c r="A2590" t="s">
        <v>1012</v>
      </c>
      <c r="B2590" t="s">
        <v>1013</v>
      </c>
      <c r="C2590" t="s">
        <v>1052</v>
      </c>
      <c r="D2590" t="s">
        <v>1124</v>
      </c>
      <c r="F2590" t="str">
        <f>"254063"</f>
        <v>254063</v>
      </c>
      <c r="G2590" t="s">
        <v>49</v>
      </c>
      <c r="K2590" t="s">
        <v>51</v>
      </c>
      <c r="L2590" t="s">
        <v>52</v>
      </c>
      <c r="M2590">
        <v>131708.57999999999</v>
      </c>
      <c r="N2590">
        <v>475173.81</v>
      </c>
      <c r="O2590" t="s">
        <v>53</v>
      </c>
      <c r="P2590" t="s">
        <v>54</v>
      </c>
      <c r="Q2590" t="s">
        <v>55</v>
      </c>
      <c r="S2590" t="s">
        <v>1074</v>
      </c>
      <c r="T2590" t="s">
        <v>1074</v>
      </c>
      <c r="U2590">
        <v>30</v>
      </c>
      <c r="V2590" s="1">
        <v>43282</v>
      </c>
      <c r="W2590" s="1">
        <v>43282</v>
      </c>
      <c r="X2590" s="1">
        <v>43282</v>
      </c>
      <c r="Y2590" s="1">
        <v>54240</v>
      </c>
      <c r="Z2590" t="s">
        <v>51</v>
      </c>
      <c r="AB2590" t="s">
        <v>54</v>
      </c>
      <c r="AC2590">
        <v>1</v>
      </c>
      <c r="AE2590" t="s">
        <v>243</v>
      </c>
      <c r="AF2590">
        <v>20</v>
      </c>
      <c r="AG2590" s="1">
        <v>43282</v>
      </c>
      <c r="AH2590" s="1">
        <v>43282</v>
      </c>
      <c r="AI2590" s="1">
        <v>43282</v>
      </c>
      <c r="AJ2590" s="1">
        <v>50587</v>
      </c>
      <c r="AK2590" t="s">
        <v>51</v>
      </c>
      <c r="AN2590">
        <v>0</v>
      </c>
      <c r="AO2590" t="s">
        <v>54</v>
      </c>
      <c r="AP2590" t="s">
        <v>53</v>
      </c>
      <c r="AQ2590">
        <v>0</v>
      </c>
      <c r="AR2590" t="s">
        <v>53</v>
      </c>
      <c r="AS2590">
        <v>0</v>
      </c>
      <c r="AT2590">
        <v>0</v>
      </c>
      <c r="CC2590" t="s">
        <v>432</v>
      </c>
      <c r="CD2590">
        <v>85000</v>
      </c>
      <c r="CE2590" s="1">
        <v>43282</v>
      </c>
      <c r="CF2590" s="1">
        <v>43282</v>
      </c>
      <c r="CG2590" s="1">
        <v>43282</v>
      </c>
      <c r="CH2590" s="1">
        <v>50869</v>
      </c>
      <c r="CI2590" t="s">
        <v>51</v>
      </c>
      <c r="CK2590" t="s">
        <v>78</v>
      </c>
      <c r="CM2590" t="s">
        <v>54</v>
      </c>
      <c r="CN2590" t="s">
        <v>174</v>
      </c>
      <c r="CO2590" t="s">
        <v>86</v>
      </c>
      <c r="CR2590">
        <v>24</v>
      </c>
      <c r="CS2590">
        <v>0</v>
      </c>
      <c r="CT2590">
        <v>0</v>
      </c>
      <c r="CU2590">
        <v>0</v>
      </c>
    </row>
    <row r="2591" spans="1:112" x14ac:dyDescent="0.2">
      <c r="A2591" t="s">
        <v>1012</v>
      </c>
      <c r="B2591" t="s">
        <v>1013</v>
      </c>
      <c r="C2591" t="s">
        <v>1019</v>
      </c>
      <c r="D2591" t="s">
        <v>1124</v>
      </c>
      <c r="F2591" t="str">
        <f>"252196"</f>
        <v>252196</v>
      </c>
      <c r="G2591" t="s">
        <v>49</v>
      </c>
      <c r="H2591" t="s">
        <v>1030</v>
      </c>
      <c r="K2591" t="s">
        <v>51</v>
      </c>
      <c r="L2591" t="s">
        <v>52</v>
      </c>
      <c r="M2591">
        <v>131871.97</v>
      </c>
      <c r="N2591">
        <v>475196.47</v>
      </c>
      <c r="O2591" t="s">
        <v>53</v>
      </c>
      <c r="P2591" t="s">
        <v>54</v>
      </c>
      <c r="Q2591" t="s">
        <v>55</v>
      </c>
      <c r="T2591" t="s">
        <v>660</v>
      </c>
      <c r="U2591">
        <v>40</v>
      </c>
      <c r="V2591" s="1">
        <v>32690</v>
      </c>
      <c r="W2591" s="1">
        <v>32690</v>
      </c>
      <c r="X2591" s="1">
        <v>32690</v>
      </c>
      <c r="Y2591" s="1">
        <v>47300</v>
      </c>
      <c r="Z2591" t="s">
        <v>51</v>
      </c>
      <c r="AB2591" t="s">
        <v>54</v>
      </c>
      <c r="AC2591">
        <v>1</v>
      </c>
      <c r="AE2591" t="s">
        <v>356</v>
      </c>
      <c r="AF2591">
        <v>20</v>
      </c>
      <c r="AG2591" s="1">
        <v>32690</v>
      </c>
      <c r="AH2591" s="1">
        <v>32690</v>
      </c>
      <c r="AI2591" s="1">
        <v>32690</v>
      </c>
      <c r="AJ2591" s="1">
        <v>39995</v>
      </c>
      <c r="AK2591" t="s">
        <v>51</v>
      </c>
      <c r="AN2591">
        <v>0</v>
      </c>
      <c r="AO2591" t="s">
        <v>54</v>
      </c>
      <c r="AP2591" t="s">
        <v>53</v>
      </c>
      <c r="AQ2591">
        <v>0</v>
      </c>
      <c r="AR2591" t="s">
        <v>145</v>
      </c>
      <c r="AS2591">
        <v>0</v>
      </c>
      <c r="AT2591">
        <v>0</v>
      </c>
      <c r="AW2591" t="s">
        <v>172</v>
      </c>
      <c r="AX2591">
        <v>15</v>
      </c>
      <c r="AY2591" s="1">
        <v>43409</v>
      </c>
      <c r="AZ2591" s="1">
        <v>43409</v>
      </c>
      <c r="BA2591" s="1">
        <v>43409</v>
      </c>
      <c r="BB2591" s="1">
        <v>48888</v>
      </c>
      <c r="BC2591" t="s">
        <v>51</v>
      </c>
      <c r="BE2591" t="s">
        <v>54</v>
      </c>
      <c r="BF2591">
        <v>40</v>
      </c>
      <c r="BG2591">
        <v>0</v>
      </c>
      <c r="BH2591" t="s">
        <v>145</v>
      </c>
      <c r="CC2591" t="s">
        <v>250</v>
      </c>
      <c r="CD2591">
        <v>100000</v>
      </c>
      <c r="CE2591" s="1">
        <v>43409</v>
      </c>
      <c r="CF2591" s="1">
        <v>43409</v>
      </c>
      <c r="CG2591" s="1">
        <v>43409</v>
      </c>
      <c r="CH2591" s="1">
        <v>51849</v>
      </c>
      <c r="CI2591" t="s">
        <v>51</v>
      </c>
      <c r="CK2591" t="s">
        <v>78</v>
      </c>
      <c r="CM2591" t="s">
        <v>54</v>
      </c>
      <c r="CN2591" t="s">
        <v>174</v>
      </c>
      <c r="CR2591">
        <v>13.2</v>
      </c>
      <c r="CS2591">
        <v>1800</v>
      </c>
      <c r="CT2591">
        <v>0</v>
      </c>
      <c r="CU2591">
        <v>16</v>
      </c>
      <c r="CX2591" t="s">
        <v>674</v>
      </c>
      <c r="CY2591">
        <v>0</v>
      </c>
      <c r="CZ2591" s="1">
        <v>43409</v>
      </c>
      <c r="DA2591" s="1">
        <v>43409</v>
      </c>
      <c r="DB2591" s="1">
        <v>43409</v>
      </c>
      <c r="DC2591" s="1">
        <v>43409</v>
      </c>
      <c r="DD2591" t="s">
        <v>51</v>
      </c>
      <c r="DF2591" t="s">
        <v>54</v>
      </c>
      <c r="DG2591">
        <v>0</v>
      </c>
      <c r="DH2591">
        <v>0</v>
      </c>
    </row>
    <row r="2592" spans="1:112" x14ac:dyDescent="0.2">
      <c r="A2592" t="s">
        <v>1012</v>
      </c>
      <c r="B2592" t="s">
        <v>1013</v>
      </c>
      <c r="C2592" t="s">
        <v>1019</v>
      </c>
      <c r="D2592" t="s">
        <v>1124</v>
      </c>
      <c r="F2592" t="str">
        <f>"252197"</f>
        <v>252197</v>
      </c>
      <c r="G2592" t="s">
        <v>49</v>
      </c>
      <c r="H2592" t="s">
        <v>273</v>
      </c>
      <c r="K2592" t="s">
        <v>51</v>
      </c>
      <c r="L2592" t="s">
        <v>52</v>
      </c>
      <c r="M2592">
        <v>132079.85999999999</v>
      </c>
      <c r="N2592">
        <v>475207.2</v>
      </c>
      <c r="O2592" t="s">
        <v>53</v>
      </c>
      <c r="P2592" t="s">
        <v>54</v>
      </c>
      <c r="Q2592" t="s">
        <v>55</v>
      </c>
      <c r="T2592" t="s">
        <v>81</v>
      </c>
      <c r="U2592">
        <v>40</v>
      </c>
      <c r="V2592" s="1">
        <v>32690</v>
      </c>
      <c r="W2592" s="1">
        <v>32690</v>
      </c>
      <c r="X2592" s="1">
        <v>32690</v>
      </c>
      <c r="Y2592" s="1">
        <v>47300</v>
      </c>
      <c r="Z2592" t="s">
        <v>51</v>
      </c>
      <c r="AB2592" t="s">
        <v>54</v>
      </c>
      <c r="AC2592">
        <v>1</v>
      </c>
      <c r="AE2592" t="s">
        <v>356</v>
      </c>
      <c r="AF2592">
        <v>20</v>
      </c>
      <c r="AG2592" s="1">
        <v>32690</v>
      </c>
      <c r="AH2592" s="1">
        <v>32690</v>
      </c>
      <c r="AI2592" s="1">
        <v>32690</v>
      </c>
      <c r="AJ2592" s="1">
        <v>39995</v>
      </c>
      <c r="AK2592" t="s">
        <v>51</v>
      </c>
      <c r="AN2592">
        <v>0</v>
      </c>
      <c r="AO2592" t="s">
        <v>54</v>
      </c>
      <c r="AP2592" t="s">
        <v>53</v>
      </c>
      <c r="AQ2592">
        <v>0</v>
      </c>
      <c r="AR2592" t="s">
        <v>145</v>
      </c>
      <c r="AS2592">
        <v>0</v>
      </c>
      <c r="AT2592">
        <v>0</v>
      </c>
      <c r="AW2592" t="s">
        <v>172</v>
      </c>
      <c r="AX2592">
        <v>15</v>
      </c>
      <c r="AY2592" s="1">
        <v>43409</v>
      </c>
      <c r="AZ2592" s="1">
        <v>43409</v>
      </c>
      <c r="BA2592" s="1">
        <v>43409</v>
      </c>
      <c r="BB2592" s="1">
        <v>48888</v>
      </c>
      <c r="BC2592" t="s">
        <v>51</v>
      </c>
      <c r="BE2592" t="s">
        <v>54</v>
      </c>
      <c r="BF2592">
        <v>40</v>
      </c>
      <c r="BG2592">
        <v>0</v>
      </c>
      <c r="BH2592" t="s">
        <v>145</v>
      </c>
      <c r="CC2592" t="s">
        <v>250</v>
      </c>
      <c r="CD2592">
        <v>100000</v>
      </c>
      <c r="CE2592" s="1">
        <v>43409</v>
      </c>
      <c r="CF2592" s="1">
        <v>43409</v>
      </c>
      <c r="CG2592" s="1">
        <v>43409</v>
      </c>
      <c r="CH2592" s="1">
        <v>51849</v>
      </c>
      <c r="CI2592" t="s">
        <v>51</v>
      </c>
      <c r="CK2592" t="s">
        <v>78</v>
      </c>
      <c r="CM2592" t="s">
        <v>54</v>
      </c>
      <c r="CN2592" t="s">
        <v>174</v>
      </c>
      <c r="CR2592">
        <v>13.2</v>
      </c>
      <c r="CS2592">
        <v>1800</v>
      </c>
      <c r="CT2592">
        <v>0</v>
      </c>
      <c r="CU2592">
        <v>16</v>
      </c>
      <c r="CX2592" t="s">
        <v>360</v>
      </c>
      <c r="CY2592">
        <v>40</v>
      </c>
      <c r="CZ2592" s="1">
        <v>43409</v>
      </c>
      <c r="DA2592" s="1">
        <v>43409</v>
      </c>
      <c r="DB2592" s="1">
        <v>43409</v>
      </c>
      <c r="DC2592" s="1">
        <v>58019</v>
      </c>
      <c r="DD2592" t="s">
        <v>51</v>
      </c>
      <c r="DF2592" t="s">
        <v>54</v>
      </c>
      <c r="DG2592">
        <v>0</v>
      </c>
      <c r="DH2592">
        <v>0</v>
      </c>
    </row>
    <row r="2593" spans="1:112" x14ac:dyDescent="0.2">
      <c r="A2593" t="s">
        <v>1012</v>
      </c>
      <c r="B2593" t="s">
        <v>1013</v>
      </c>
      <c r="C2593" t="s">
        <v>1052</v>
      </c>
      <c r="D2593" t="s">
        <v>1124</v>
      </c>
      <c r="F2593" t="str">
        <f>"252198"</f>
        <v>252198</v>
      </c>
      <c r="G2593" t="s">
        <v>49</v>
      </c>
      <c r="K2593" t="s">
        <v>51</v>
      </c>
      <c r="L2593" t="s">
        <v>52</v>
      </c>
      <c r="M2593">
        <v>132177.739</v>
      </c>
      <c r="N2593">
        <v>475199.826</v>
      </c>
      <c r="O2593" t="s">
        <v>53</v>
      </c>
      <c r="P2593" t="s">
        <v>54</v>
      </c>
      <c r="Q2593" t="s">
        <v>55</v>
      </c>
      <c r="T2593" t="s">
        <v>81</v>
      </c>
      <c r="U2593">
        <v>40</v>
      </c>
      <c r="V2593" s="1">
        <v>32690</v>
      </c>
      <c r="W2593" s="1">
        <v>32690</v>
      </c>
      <c r="X2593" s="1">
        <v>32690</v>
      </c>
      <c r="Y2593" s="1">
        <v>47300</v>
      </c>
      <c r="Z2593" t="s">
        <v>51</v>
      </c>
      <c r="AB2593" t="s">
        <v>54</v>
      </c>
      <c r="AC2593">
        <v>1</v>
      </c>
      <c r="AE2593" t="s">
        <v>356</v>
      </c>
      <c r="AF2593">
        <v>20</v>
      </c>
      <c r="AG2593" s="1">
        <v>32690</v>
      </c>
      <c r="AH2593" s="1">
        <v>32690</v>
      </c>
      <c r="AI2593" s="1">
        <v>32690</v>
      </c>
      <c r="AJ2593" s="1">
        <v>39995</v>
      </c>
      <c r="AK2593" t="s">
        <v>51</v>
      </c>
      <c r="AN2593">
        <v>0</v>
      </c>
      <c r="AO2593" t="s">
        <v>54</v>
      </c>
      <c r="AP2593" t="s">
        <v>53</v>
      </c>
      <c r="AQ2593">
        <v>0</v>
      </c>
      <c r="AR2593" t="s">
        <v>145</v>
      </c>
      <c r="AS2593">
        <v>0</v>
      </c>
      <c r="AT2593">
        <v>0</v>
      </c>
      <c r="AW2593" t="s">
        <v>172</v>
      </c>
      <c r="AX2593">
        <v>15</v>
      </c>
      <c r="AY2593" s="1">
        <v>43416</v>
      </c>
      <c r="AZ2593" s="1">
        <v>43416</v>
      </c>
      <c r="BA2593" s="1">
        <v>43416</v>
      </c>
      <c r="BB2593" s="1">
        <v>48895</v>
      </c>
      <c r="BC2593" t="s">
        <v>51</v>
      </c>
      <c r="BE2593" t="s">
        <v>54</v>
      </c>
      <c r="BF2593">
        <v>40</v>
      </c>
      <c r="BG2593">
        <v>0</v>
      </c>
      <c r="BH2593" t="s">
        <v>145</v>
      </c>
      <c r="CC2593" t="s">
        <v>250</v>
      </c>
      <c r="CD2593">
        <v>100000</v>
      </c>
      <c r="CE2593" s="1">
        <v>43416</v>
      </c>
      <c r="CF2593" s="1">
        <v>43416</v>
      </c>
      <c r="CG2593" s="1">
        <v>43416</v>
      </c>
      <c r="CH2593" s="1">
        <v>51854</v>
      </c>
      <c r="CI2593" t="s">
        <v>51</v>
      </c>
      <c r="CK2593" t="s">
        <v>78</v>
      </c>
      <c r="CM2593" t="s">
        <v>54</v>
      </c>
      <c r="CN2593" t="s">
        <v>174</v>
      </c>
      <c r="CR2593">
        <v>13.2</v>
      </c>
      <c r="CS2593">
        <v>1800</v>
      </c>
      <c r="CT2593">
        <v>0</v>
      </c>
      <c r="CU2593">
        <v>16</v>
      </c>
      <c r="CX2593" t="s">
        <v>674</v>
      </c>
      <c r="CY2593">
        <v>0</v>
      </c>
      <c r="CZ2593" s="1">
        <v>43416</v>
      </c>
      <c r="DA2593" s="1">
        <v>43416</v>
      </c>
      <c r="DB2593" s="1">
        <v>43416</v>
      </c>
      <c r="DC2593" s="1">
        <v>43416</v>
      </c>
      <c r="DD2593" t="s">
        <v>51</v>
      </c>
      <c r="DF2593" t="s">
        <v>54</v>
      </c>
      <c r="DG2593">
        <v>0</v>
      </c>
      <c r="DH2593">
        <v>0</v>
      </c>
    </row>
    <row r="2594" spans="1:112" x14ac:dyDescent="0.2">
      <c r="A2594" t="s">
        <v>1012</v>
      </c>
      <c r="B2594" t="s">
        <v>1013</v>
      </c>
      <c r="C2594" t="s">
        <v>1014</v>
      </c>
      <c r="D2594" t="s">
        <v>1125</v>
      </c>
      <c r="F2594" t="str">
        <f>"252199"</f>
        <v>252199</v>
      </c>
      <c r="G2594" t="s">
        <v>49</v>
      </c>
      <c r="H2594" t="s">
        <v>567</v>
      </c>
      <c r="K2594" t="s">
        <v>51</v>
      </c>
      <c r="L2594" t="s">
        <v>52</v>
      </c>
      <c r="M2594">
        <v>131850.6</v>
      </c>
      <c r="N2594">
        <v>476542.37</v>
      </c>
      <c r="O2594" t="s">
        <v>53</v>
      </c>
      <c r="P2594" t="s">
        <v>54</v>
      </c>
      <c r="Q2594" t="s">
        <v>55</v>
      </c>
      <c r="T2594" t="s">
        <v>466</v>
      </c>
      <c r="U2594">
        <v>40</v>
      </c>
      <c r="V2594" s="1">
        <v>31048</v>
      </c>
      <c r="W2594" s="1">
        <v>31048</v>
      </c>
      <c r="X2594" s="1">
        <v>31048</v>
      </c>
      <c r="Y2594" s="1">
        <v>45658</v>
      </c>
      <c r="Z2594" t="s">
        <v>51</v>
      </c>
      <c r="AB2594" t="s">
        <v>54</v>
      </c>
      <c r="AC2594">
        <v>1</v>
      </c>
      <c r="AE2594" t="s">
        <v>356</v>
      </c>
      <c r="AF2594">
        <v>20</v>
      </c>
      <c r="AG2594" s="1">
        <v>44075</v>
      </c>
      <c r="AH2594" s="1">
        <v>44075</v>
      </c>
      <c r="AI2594" s="1">
        <v>44075</v>
      </c>
      <c r="AJ2594" s="1">
        <v>51380</v>
      </c>
      <c r="AK2594" t="s">
        <v>51</v>
      </c>
      <c r="AN2594">
        <v>0</v>
      </c>
      <c r="AO2594" t="s">
        <v>54</v>
      </c>
      <c r="AP2594" t="s">
        <v>53</v>
      </c>
      <c r="AQ2594">
        <v>0</v>
      </c>
      <c r="AR2594" t="s">
        <v>145</v>
      </c>
      <c r="AS2594">
        <v>0</v>
      </c>
      <c r="AT2594">
        <v>0</v>
      </c>
      <c r="CC2594" t="s">
        <v>555</v>
      </c>
      <c r="CD2594">
        <v>85000</v>
      </c>
      <c r="CE2594" s="1">
        <v>44075</v>
      </c>
      <c r="CF2594" s="1">
        <v>44075</v>
      </c>
      <c r="CG2594" s="1">
        <v>44075</v>
      </c>
      <c r="CH2594" s="1">
        <v>51663</v>
      </c>
      <c r="CI2594" t="s">
        <v>51</v>
      </c>
      <c r="CK2594" t="s">
        <v>78</v>
      </c>
      <c r="CM2594" t="s">
        <v>54</v>
      </c>
      <c r="CN2594" t="s">
        <v>174</v>
      </c>
      <c r="CO2594" t="s">
        <v>86</v>
      </c>
      <c r="CR2594">
        <v>20</v>
      </c>
      <c r="CS2594">
        <v>0</v>
      </c>
      <c r="CT2594">
        <v>0</v>
      </c>
      <c r="CU2594">
        <v>0</v>
      </c>
    </row>
    <row r="2595" spans="1:112" x14ac:dyDescent="0.2">
      <c r="A2595" t="s">
        <v>1012</v>
      </c>
      <c r="B2595" t="s">
        <v>1013</v>
      </c>
      <c r="C2595" t="s">
        <v>1014</v>
      </c>
      <c r="D2595" t="s">
        <v>1125</v>
      </c>
      <c r="F2595" t="str">
        <f>"253978"</f>
        <v>253978</v>
      </c>
      <c r="G2595" t="s">
        <v>49</v>
      </c>
      <c r="K2595" t="s">
        <v>51</v>
      </c>
      <c r="L2595" t="s">
        <v>52</v>
      </c>
      <c r="M2595">
        <v>131813.87</v>
      </c>
      <c r="N2595">
        <v>476563.39</v>
      </c>
      <c r="O2595" t="s">
        <v>53</v>
      </c>
      <c r="P2595" t="s">
        <v>54</v>
      </c>
      <c r="Q2595" t="s">
        <v>55</v>
      </c>
      <c r="T2595" t="s">
        <v>466</v>
      </c>
      <c r="U2595">
        <v>40</v>
      </c>
      <c r="V2595" s="1">
        <v>42552</v>
      </c>
      <c r="W2595" s="1">
        <v>42552</v>
      </c>
      <c r="X2595" s="1">
        <v>42552</v>
      </c>
      <c r="Y2595" s="1">
        <v>57162</v>
      </c>
      <c r="Z2595" t="s">
        <v>51</v>
      </c>
      <c r="AB2595" t="s">
        <v>54</v>
      </c>
      <c r="AE2595" t="s">
        <v>79</v>
      </c>
      <c r="AF2595">
        <v>20</v>
      </c>
      <c r="AG2595" s="1">
        <v>42552</v>
      </c>
      <c r="AH2595" s="1">
        <v>42552</v>
      </c>
      <c r="AI2595" s="1">
        <v>42552</v>
      </c>
      <c r="AJ2595" s="1">
        <v>49857</v>
      </c>
      <c r="AK2595" t="s">
        <v>51</v>
      </c>
      <c r="AN2595">
        <v>0</v>
      </c>
      <c r="AO2595" t="s">
        <v>54</v>
      </c>
      <c r="AP2595" t="s">
        <v>53</v>
      </c>
      <c r="AQ2595">
        <v>0</v>
      </c>
      <c r="AR2595" t="s">
        <v>145</v>
      </c>
      <c r="AS2595">
        <v>0</v>
      </c>
      <c r="AT2595">
        <v>0</v>
      </c>
      <c r="CC2595" t="s">
        <v>529</v>
      </c>
      <c r="CD2595">
        <v>85000</v>
      </c>
      <c r="CE2595" s="1">
        <v>42552</v>
      </c>
      <c r="CF2595" s="1">
        <v>42552</v>
      </c>
      <c r="CG2595" s="1">
        <v>42552</v>
      </c>
      <c r="CH2595" s="1">
        <v>50139</v>
      </c>
      <c r="CI2595" t="s">
        <v>51</v>
      </c>
      <c r="CK2595" t="s">
        <v>78</v>
      </c>
      <c r="CM2595" t="s">
        <v>54</v>
      </c>
      <c r="CN2595" t="s">
        <v>174</v>
      </c>
      <c r="CO2595" t="s">
        <v>86</v>
      </c>
      <c r="CR2595">
        <v>35</v>
      </c>
      <c r="CS2595">
        <v>0</v>
      </c>
      <c r="CT2595">
        <v>0</v>
      </c>
      <c r="CU2595">
        <v>0</v>
      </c>
    </row>
    <row r="2596" spans="1:112" x14ac:dyDescent="0.2">
      <c r="A2596" t="s">
        <v>1012</v>
      </c>
      <c r="B2596" t="s">
        <v>1013</v>
      </c>
      <c r="C2596" t="s">
        <v>1014</v>
      </c>
      <c r="D2596" t="s">
        <v>1125</v>
      </c>
      <c r="F2596" t="str">
        <f>"252201"</f>
        <v>252201</v>
      </c>
      <c r="G2596" t="s">
        <v>49</v>
      </c>
      <c r="H2596" t="s">
        <v>1121</v>
      </c>
      <c r="K2596" t="s">
        <v>51</v>
      </c>
      <c r="L2596" t="s">
        <v>52</v>
      </c>
      <c r="M2596">
        <v>131752.85</v>
      </c>
      <c r="N2596">
        <v>476585.79</v>
      </c>
      <c r="O2596" t="s">
        <v>53</v>
      </c>
      <c r="P2596" t="s">
        <v>54</v>
      </c>
      <c r="Q2596" t="s">
        <v>55</v>
      </c>
      <c r="T2596" t="s">
        <v>466</v>
      </c>
      <c r="U2596">
        <v>40</v>
      </c>
      <c r="V2596" s="1">
        <v>42552</v>
      </c>
      <c r="W2596" s="1">
        <v>42552</v>
      </c>
      <c r="X2596" s="1">
        <v>42552</v>
      </c>
      <c r="Y2596" s="1">
        <v>57162</v>
      </c>
      <c r="Z2596" t="s">
        <v>51</v>
      </c>
      <c r="AB2596" t="s">
        <v>54</v>
      </c>
      <c r="AC2596">
        <v>1</v>
      </c>
      <c r="AE2596" t="s">
        <v>79</v>
      </c>
      <c r="AF2596">
        <v>20</v>
      </c>
      <c r="AG2596" s="1">
        <v>31048</v>
      </c>
      <c r="AH2596" s="1">
        <v>31048</v>
      </c>
      <c r="AI2596" s="1">
        <v>31048</v>
      </c>
      <c r="AJ2596" s="1">
        <v>38353</v>
      </c>
      <c r="AK2596" t="s">
        <v>51</v>
      </c>
      <c r="AN2596">
        <v>0</v>
      </c>
      <c r="AO2596" t="s">
        <v>54</v>
      </c>
      <c r="AP2596" t="s">
        <v>53</v>
      </c>
      <c r="AQ2596">
        <v>0</v>
      </c>
      <c r="AR2596" t="s">
        <v>145</v>
      </c>
      <c r="AS2596">
        <v>0</v>
      </c>
      <c r="AT2596">
        <v>0</v>
      </c>
      <c r="CC2596" t="s">
        <v>529</v>
      </c>
      <c r="CD2596">
        <v>85000</v>
      </c>
      <c r="CE2596" s="1">
        <v>42552</v>
      </c>
      <c r="CF2596" s="1">
        <v>42552</v>
      </c>
      <c r="CG2596" s="1">
        <v>42552</v>
      </c>
      <c r="CH2596" s="1">
        <v>50139</v>
      </c>
      <c r="CI2596" t="s">
        <v>51</v>
      </c>
      <c r="CK2596" t="s">
        <v>78</v>
      </c>
      <c r="CM2596" t="s">
        <v>54</v>
      </c>
      <c r="CN2596" t="s">
        <v>174</v>
      </c>
      <c r="CO2596" t="s">
        <v>86</v>
      </c>
      <c r="CR2596">
        <v>35</v>
      </c>
      <c r="CS2596">
        <v>0</v>
      </c>
      <c r="CT2596">
        <v>0</v>
      </c>
      <c r="CU2596">
        <v>0</v>
      </c>
    </row>
    <row r="2597" spans="1:112" x14ac:dyDescent="0.2">
      <c r="A2597" t="s">
        <v>1012</v>
      </c>
      <c r="B2597" t="s">
        <v>1013</v>
      </c>
      <c r="C2597" t="s">
        <v>1014</v>
      </c>
      <c r="D2597" t="s">
        <v>1125</v>
      </c>
      <c r="F2597" t="str">
        <f>"252202"</f>
        <v>252202</v>
      </c>
      <c r="G2597" t="s">
        <v>49</v>
      </c>
      <c r="H2597" t="s">
        <v>1126</v>
      </c>
      <c r="K2597" t="s">
        <v>51</v>
      </c>
      <c r="L2597" t="s">
        <v>52</v>
      </c>
      <c r="M2597">
        <v>131202.35</v>
      </c>
      <c r="N2597">
        <v>476526.23</v>
      </c>
      <c r="O2597" t="s">
        <v>53</v>
      </c>
      <c r="P2597" t="s">
        <v>54</v>
      </c>
      <c r="Q2597" t="s">
        <v>55</v>
      </c>
      <c r="T2597" t="s">
        <v>466</v>
      </c>
      <c r="U2597">
        <v>40</v>
      </c>
      <c r="V2597" s="1">
        <v>42552</v>
      </c>
      <c r="W2597" s="1">
        <v>42552</v>
      </c>
      <c r="X2597" s="1">
        <v>42552</v>
      </c>
      <c r="Y2597" s="1">
        <v>57162</v>
      </c>
      <c r="Z2597" t="s">
        <v>51</v>
      </c>
      <c r="AB2597" t="s">
        <v>54</v>
      </c>
      <c r="AC2597">
        <v>1</v>
      </c>
      <c r="AE2597" t="s">
        <v>79</v>
      </c>
      <c r="AF2597">
        <v>20</v>
      </c>
      <c r="AG2597" s="1">
        <v>42552</v>
      </c>
      <c r="AH2597" s="1">
        <v>42552</v>
      </c>
      <c r="AI2597" s="1">
        <v>42552</v>
      </c>
      <c r="AJ2597" s="1">
        <v>49857</v>
      </c>
      <c r="AK2597" t="s">
        <v>51</v>
      </c>
      <c r="AN2597">
        <v>0</v>
      </c>
      <c r="AO2597" t="s">
        <v>54</v>
      </c>
      <c r="AP2597" t="s">
        <v>53</v>
      </c>
      <c r="AQ2597">
        <v>0</v>
      </c>
      <c r="AR2597" t="s">
        <v>145</v>
      </c>
      <c r="AS2597">
        <v>0</v>
      </c>
      <c r="AT2597">
        <v>0</v>
      </c>
      <c r="CC2597" t="s">
        <v>529</v>
      </c>
      <c r="CD2597">
        <v>85000</v>
      </c>
      <c r="CE2597" s="1">
        <v>42552</v>
      </c>
      <c r="CF2597" s="1">
        <v>42552</v>
      </c>
      <c r="CG2597" s="1">
        <v>42552</v>
      </c>
      <c r="CH2597" s="1">
        <v>49714</v>
      </c>
      <c r="CI2597" t="s">
        <v>51</v>
      </c>
      <c r="CK2597" t="s">
        <v>78</v>
      </c>
      <c r="CM2597" t="s">
        <v>54</v>
      </c>
      <c r="CN2597" t="s">
        <v>174</v>
      </c>
      <c r="CO2597" t="s">
        <v>86</v>
      </c>
      <c r="CR2597">
        <v>35</v>
      </c>
      <c r="CS2597">
        <v>0</v>
      </c>
      <c r="CT2597">
        <v>0</v>
      </c>
      <c r="CU2597">
        <v>0</v>
      </c>
    </row>
    <row r="2598" spans="1:112" x14ac:dyDescent="0.2">
      <c r="A2598" t="s">
        <v>1012</v>
      </c>
      <c r="B2598" t="s">
        <v>1013</v>
      </c>
      <c r="C2598" t="s">
        <v>1014</v>
      </c>
      <c r="D2598" t="s">
        <v>1125</v>
      </c>
      <c r="F2598" t="str">
        <f>"252203"</f>
        <v>252203</v>
      </c>
      <c r="G2598" t="s">
        <v>49</v>
      </c>
      <c r="K2598" t="s">
        <v>51</v>
      </c>
      <c r="L2598" t="s">
        <v>52</v>
      </c>
      <c r="M2598">
        <v>131087.11499999999</v>
      </c>
      <c r="N2598">
        <v>476228.15899999999</v>
      </c>
      <c r="O2598" t="s">
        <v>53</v>
      </c>
      <c r="P2598" t="s">
        <v>54</v>
      </c>
      <c r="Q2598" t="s">
        <v>55</v>
      </c>
      <c r="T2598" t="s">
        <v>183</v>
      </c>
      <c r="U2598">
        <v>40</v>
      </c>
      <c r="V2598" s="1">
        <v>42552</v>
      </c>
      <c r="W2598" s="1">
        <v>42552</v>
      </c>
      <c r="X2598" s="1">
        <v>42552</v>
      </c>
      <c r="Y2598" s="1">
        <v>57162</v>
      </c>
      <c r="Z2598" t="s">
        <v>51</v>
      </c>
      <c r="AB2598" t="s">
        <v>54</v>
      </c>
      <c r="AC2598">
        <v>1</v>
      </c>
      <c r="AE2598" t="s">
        <v>79</v>
      </c>
      <c r="AF2598">
        <v>20</v>
      </c>
      <c r="AG2598" s="1">
        <v>42552</v>
      </c>
      <c r="AH2598" s="1">
        <v>42552</v>
      </c>
      <c r="AI2598" s="1">
        <v>42552</v>
      </c>
      <c r="AJ2598" s="1">
        <v>49857</v>
      </c>
      <c r="AK2598" t="s">
        <v>51</v>
      </c>
      <c r="AN2598">
        <v>0</v>
      </c>
      <c r="AO2598" t="s">
        <v>54</v>
      </c>
      <c r="AP2598" t="s">
        <v>53</v>
      </c>
      <c r="AQ2598">
        <v>0</v>
      </c>
      <c r="AR2598" t="s">
        <v>145</v>
      </c>
      <c r="AS2598">
        <v>0</v>
      </c>
      <c r="AT2598">
        <v>0</v>
      </c>
      <c r="CC2598" t="s">
        <v>529</v>
      </c>
      <c r="CD2598">
        <v>85000</v>
      </c>
      <c r="CE2598" s="1">
        <v>43341</v>
      </c>
      <c r="CF2598" s="1">
        <v>43341</v>
      </c>
      <c r="CG2598" s="1">
        <v>43341</v>
      </c>
      <c r="CH2598" s="1">
        <v>50928</v>
      </c>
      <c r="CI2598" t="s">
        <v>51</v>
      </c>
      <c r="CK2598" t="s">
        <v>78</v>
      </c>
      <c r="CM2598" t="s">
        <v>54</v>
      </c>
      <c r="CN2598" t="s">
        <v>174</v>
      </c>
      <c r="CO2598" t="s">
        <v>86</v>
      </c>
      <c r="CR2598">
        <v>35</v>
      </c>
      <c r="CS2598">
        <v>0</v>
      </c>
      <c r="CT2598">
        <v>0</v>
      </c>
      <c r="CU2598">
        <v>0</v>
      </c>
    </row>
    <row r="2599" spans="1:112" x14ac:dyDescent="0.2">
      <c r="A2599" t="s">
        <v>1012</v>
      </c>
      <c r="B2599" t="s">
        <v>1013</v>
      </c>
      <c r="C2599" t="s">
        <v>1014</v>
      </c>
      <c r="D2599" t="s">
        <v>1125</v>
      </c>
      <c r="F2599" t="str">
        <f>"252204"</f>
        <v>252204</v>
      </c>
      <c r="G2599" t="s">
        <v>49</v>
      </c>
      <c r="H2599" t="s">
        <v>1111</v>
      </c>
      <c r="K2599" t="s">
        <v>51</v>
      </c>
      <c r="L2599" t="s">
        <v>52</v>
      </c>
      <c r="M2599">
        <v>130814.39</v>
      </c>
      <c r="N2599">
        <v>476316.33</v>
      </c>
      <c r="O2599" t="s">
        <v>53</v>
      </c>
      <c r="P2599" t="s">
        <v>54</v>
      </c>
      <c r="Q2599" t="s">
        <v>55</v>
      </c>
      <c r="T2599" t="s">
        <v>466</v>
      </c>
      <c r="U2599">
        <v>40</v>
      </c>
      <c r="V2599" s="1">
        <v>42552</v>
      </c>
      <c r="W2599" s="1">
        <v>42552</v>
      </c>
      <c r="X2599" s="1">
        <v>42552</v>
      </c>
      <c r="Y2599" s="1">
        <v>57162</v>
      </c>
      <c r="Z2599" t="s">
        <v>51</v>
      </c>
      <c r="AB2599" t="s">
        <v>54</v>
      </c>
      <c r="AC2599">
        <v>1</v>
      </c>
      <c r="AE2599" t="s">
        <v>79</v>
      </c>
      <c r="AF2599">
        <v>20</v>
      </c>
      <c r="AG2599" s="1">
        <v>42552</v>
      </c>
      <c r="AH2599" s="1">
        <v>42552</v>
      </c>
      <c r="AI2599" s="1">
        <v>42552</v>
      </c>
      <c r="AJ2599" s="1">
        <v>49857</v>
      </c>
      <c r="AK2599" t="s">
        <v>51</v>
      </c>
      <c r="AN2599">
        <v>0</v>
      </c>
      <c r="AO2599" t="s">
        <v>54</v>
      </c>
      <c r="AP2599" t="s">
        <v>53</v>
      </c>
      <c r="AQ2599">
        <v>0</v>
      </c>
      <c r="AR2599" t="s">
        <v>145</v>
      </c>
      <c r="AS2599">
        <v>0</v>
      </c>
      <c r="AT2599">
        <v>0</v>
      </c>
      <c r="CC2599" t="s">
        <v>529</v>
      </c>
      <c r="CD2599">
        <v>85000</v>
      </c>
      <c r="CE2599" s="1">
        <v>42552</v>
      </c>
      <c r="CF2599" s="1">
        <v>42552</v>
      </c>
      <c r="CG2599" s="1">
        <v>42552</v>
      </c>
      <c r="CH2599" s="1">
        <v>49714</v>
      </c>
      <c r="CI2599" t="s">
        <v>51</v>
      </c>
      <c r="CK2599" t="s">
        <v>78</v>
      </c>
      <c r="CM2599" t="s">
        <v>54</v>
      </c>
      <c r="CN2599" t="s">
        <v>174</v>
      </c>
      <c r="CO2599" t="s">
        <v>86</v>
      </c>
      <c r="CR2599">
        <v>35</v>
      </c>
      <c r="CS2599">
        <v>0</v>
      </c>
      <c r="CT2599">
        <v>0</v>
      </c>
      <c r="CU2599">
        <v>0</v>
      </c>
    </row>
    <row r="2600" spans="1:112" x14ac:dyDescent="0.2">
      <c r="A2600" t="s">
        <v>1012</v>
      </c>
      <c r="B2600" t="s">
        <v>1013</v>
      </c>
      <c r="C2600" t="s">
        <v>1014</v>
      </c>
      <c r="D2600" t="s">
        <v>1125</v>
      </c>
      <c r="F2600" t="str">
        <f>"252205"</f>
        <v>252205</v>
      </c>
      <c r="G2600" t="s">
        <v>49</v>
      </c>
      <c r="H2600" t="s">
        <v>1127</v>
      </c>
      <c r="K2600" t="s">
        <v>51</v>
      </c>
      <c r="L2600" t="s">
        <v>52</v>
      </c>
      <c r="M2600">
        <v>130784.15</v>
      </c>
      <c r="N2600">
        <v>476261.42</v>
      </c>
      <c r="O2600" t="s">
        <v>53</v>
      </c>
      <c r="P2600" t="s">
        <v>54</v>
      </c>
      <c r="Q2600" t="s">
        <v>55</v>
      </c>
      <c r="T2600" t="s">
        <v>466</v>
      </c>
      <c r="U2600">
        <v>40</v>
      </c>
      <c r="V2600" s="1">
        <v>42552</v>
      </c>
      <c r="W2600" s="1">
        <v>42552</v>
      </c>
      <c r="X2600" s="1">
        <v>42552</v>
      </c>
      <c r="Y2600" s="1">
        <v>57162</v>
      </c>
      <c r="Z2600" t="s">
        <v>51</v>
      </c>
      <c r="AB2600" t="s">
        <v>54</v>
      </c>
      <c r="AC2600">
        <v>1</v>
      </c>
      <c r="AE2600" t="s">
        <v>79</v>
      </c>
      <c r="AF2600">
        <v>20</v>
      </c>
      <c r="AG2600" s="1">
        <v>42552</v>
      </c>
      <c r="AH2600" s="1">
        <v>42552</v>
      </c>
      <c r="AI2600" s="1">
        <v>42552</v>
      </c>
      <c r="AJ2600" s="1">
        <v>49857</v>
      </c>
      <c r="AK2600" t="s">
        <v>51</v>
      </c>
      <c r="AN2600">
        <v>0</v>
      </c>
      <c r="AO2600" t="s">
        <v>54</v>
      </c>
      <c r="AP2600" t="s">
        <v>53</v>
      </c>
      <c r="AQ2600">
        <v>0</v>
      </c>
      <c r="AR2600" t="s">
        <v>145</v>
      </c>
      <c r="AS2600">
        <v>0</v>
      </c>
      <c r="AT2600">
        <v>0</v>
      </c>
      <c r="CC2600" t="s">
        <v>529</v>
      </c>
      <c r="CD2600">
        <v>85000</v>
      </c>
      <c r="CE2600" s="1">
        <v>42552</v>
      </c>
      <c r="CF2600" s="1">
        <v>42552</v>
      </c>
      <c r="CG2600" s="1">
        <v>42552</v>
      </c>
      <c r="CH2600" s="1">
        <v>49714</v>
      </c>
      <c r="CI2600" t="s">
        <v>51</v>
      </c>
      <c r="CK2600" t="s">
        <v>78</v>
      </c>
      <c r="CM2600" t="s">
        <v>54</v>
      </c>
      <c r="CN2600" t="s">
        <v>174</v>
      </c>
      <c r="CO2600" t="s">
        <v>86</v>
      </c>
      <c r="CR2600">
        <v>35</v>
      </c>
      <c r="CS2600">
        <v>0</v>
      </c>
      <c r="CT2600">
        <v>0</v>
      </c>
      <c r="CU2600">
        <v>0</v>
      </c>
    </row>
    <row r="2601" spans="1:112" x14ac:dyDescent="0.2">
      <c r="A2601" t="s">
        <v>1012</v>
      </c>
      <c r="B2601" t="s">
        <v>1013</v>
      </c>
      <c r="C2601" t="s">
        <v>1014</v>
      </c>
      <c r="D2601" t="s">
        <v>1125</v>
      </c>
      <c r="F2601" t="str">
        <f>"252206"</f>
        <v>252206</v>
      </c>
      <c r="G2601" t="s">
        <v>49</v>
      </c>
      <c r="K2601" t="s">
        <v>51</v>
      </c>
      <c r="L2601" t="s">
        <v>52</v>
      </c>
      <c r="M2601">
        <v>130755.89</v>
      </c>
      <c r="N2601">
        <v>476136.65</v>
      </c>
      <c r="O2601" t="s">
        <v>145</v>
      </c>
      <c r="P2601" t="s">
        <v>54</v>
      </c>
      <c r="Q2601" t="s">
        <v>55</v>
      </c>
      <c r="T2601" t="s">
        <v>183</v>
      </c>
      <c r="U2601">
        <v>40</v>
      </c>
      <c r="V2601" s="1">
        <v>42552</v>
      </c>
      <c r="W2601" s="1">
        <v>42552</v>
      </c>
      <c r="X2601" s="1">
        <v>42552</v>
      </c>
      <c r="Y2601" s="1">
        <v>57162</v>
      </c>
      <c r="Z2601" t="s">
        <v>51</v>
      </c>
      <c r="AB2601" t="s">
        <v>54</v>
      </c>
      <c r="AC2601">
        <v>1</v>
      </c>
      <c r="AE2601" t="s">
        <v>79</v>
      </c>
      <c r="AF2601">
        <v>20</v>
      </c>
      <c r="AG2601" s="1">
        <v>42552</v>
      </c>
      <c r="AH2601" s="1">
        <v>42552</v>
      </c>
      <c r="AI2601" s="1">
        <v>42552</v>
      </c>
      <c r="AJ2601" s="1">
        <v>49857</v>
      </c>
      <c r="AK2601" t="s">
        <v>51</v>
      </c>
      <c r="AN2601">
        <v>0</v>
      </c>
      <c r="AO2601" t="s">
        <v>54</v>
      </c>
      <c r="AP2601" t="s">
        <v>53</v>
      </c>
      <c r="AQ2601">
        <v>0</v>
      </c>
      <c r="AR2601" t="s">
        <v>145</v>
      </c>
      <c r="AS2601">
        <v>0</v>
      </c>
      <c r="AT2601">
        <v>0</v>
      </c>
      <c r="CC2601" t="s">
        <v>529</v>
      </c>
      <c r="CD2601">
        <v>85000</v>
      </c>
      <c r="CE2601" s="1">
        <v>42552</v>
      </c>
      <c r="CF2601" s="1">
        <v>42552</v>
      </c>
      <c r="CG2601" s="1">
        <v>42552</v>
      </c>
      <c r="CH2601" s="1">
        <v>49714</v>
      </c>
      <c r="CI2601" t="s">
        <v>51</v>
      </c>
      <c r="CK2601" t="s">
        <v>78</v>
      </c>
      <c r="CM2601" t="s">
        <v>54</v>
      </c>
      <c r="CN2601" t="s">
        <v>174</v>
      </c>
      <c r="CO2601" t="s">
        <v>86</v>
      </c>
      <c r="CR2601">
        <v>35</v>
      </c>
      <c r="CS2601">
        <v>0</v>
      </c>
      <c r="CT2601">
        <v>0</v>
      </c>
      <c r="CU2601">
        <v>0</v>
      </c>
    </row>
    <row r="2602" spans="1:112" x14ac:dyDescent="0.2">
      <c r="A2602" t="s">
        <v>1012</v>
      </c>
      <c r="B2602" t="s">
        <v>1013</v>
      </c>
      <c r="C2602" t="s">
        <v>1014</v>
      </c>
      <c r="D2602" t="s">
        <v>1125</v>
      </c>
      <c r="F2602" t="str">
        <f>"252207"</f>
        <v>252207</v>
      </c>
      <c r="G2602" t="s">
        <v>49</v>
      </c>
      <c r="H2602" t="s">
        <v>1128</v>
      </c>
      <c r="K2602" t="s">
        <v>51</v>
      </c>
      <c r="L2602" t="s">
        <v>52</v>
      </c>
      <c r="M2602">
        <v>130682.76</v>
      </c>
      <c r="N2602">
        <v>476020.25</v>
      </c>
      <c r="O2602" t="s">
        <v>53</v>
      </c>
      <c r="P2602" t="s">
        <v>54</v>
      </c>
      <c r="Q2602" t="s">
        <v>55</v>
      </c>
      <c r="T2602" t="s">
        <v>183</v>
      </c>
      <c r="U2602">
        <v>40</v>
      </c>
      <c r="V2602" s="1">
        <v>44727</v>
      </c>
      <c r="W2602" s="1">
        <v>44727</v>
      </c>
      <c r="X2602" s="1">
        <v>44727</v>
      </c>
      <c r="Y2602" s="1">
        <v>59337</v>
      </c>
      <c r="Z2602" t="s">
        <v>51</v>
      </c>
      <c r="AB2602" t="s">
        <v>54</v>
      </c>
      <c r="AC2602">
        <v>1</v>
      </c>
      <c r="AE2602" t="s">
        <v>79</v>
      </c>
      <c r="AF2602">
        <v>20</v>
      </c>
      <c r="AG2602" s="1">
        <v>42552</v>
      </c>
      <c r="AH2602" s="1">
        <v>42552</v>
      </c>
      <c r="AI2602" s="1">
        <v>44727</v>
      </c>
      <c r="AJ2602" s="1">
        <v>49857</v>
      </c>
      <c r="AK2602" t="s">
        <v>51</v>
      </c>
      <c r="AN2602">
        <v>0</v>
      </c>
      <c r="AO2602" t="s">
        <v>54</v>
      </c>
      <c r="AP2602" t="s">
        <v>53</v>
      </c>
      <c r="AQ2602">
        <v>0</v>
      </c>
      <c r="AR2602" t="s">
        <v>145</v>
      </c>
      <c r="AS2602">
        <v>0</v>
      </c>
      <c r="AT2602">
        <v>0</v>
      </c>
      <c r="CC2602" t="s">
        <v>529</v>
      </c>
      <c r="CD2602">
        <v>85000</v>
      </c>
      <c r="CE2602" s="1">
        <v>43208</v>
      </c>
      <c r="CF2602" s="1">
        <v>43208</v>
      </c>
      <c r="CG2602" s="1">
        <v>44727</v>
      </c>
      <c r="CH2602" s="1">
        <v>50408</v>
      </c>
      <c r="CI2602" t="s">
        <v>51</v>
      </c>
      <c r="CK2602" t="s">
        <v>78</v>
      </c>
      <c r="CM2602" t="s">
        <v>54</v>
      </c>
      <c r="CN2602" t="s">
        <v>174</v>
      </c>
      <c r="CO2602" t="s">
        <v>86</v>
      </c>
      <c r="CR2602">
        <v>35</v>
      </c>
      <c r="CS2602">
        <v>0</v>
      </c>
      <c r="CT2602">
        <v>0</v>
      </c>
      <c r="CU2602">
        <v>0</v>
      </c>
    </row>
    <row r="2603" spans="1:112" x14ac:dyDescent="0.2">
      <c r="A2603" t="s">
        <v>1012</v>
      </c>
      <c r="B2603" t="s">
        <v>1013</v>
      </c>
      <c r="C2603" t="s">
        <v>1014</v>
      </c>
      <c r="D2603" t="s">
        <v>1125</v>
      </c>
      <c r="F2603" t="str">
        <f>"252208"</f>
        <v>252208</v>
      </c>
      <c r="G2603" t="s">
        <v>49</v>
      </c>
      <c r="K2603" t="s">
        <v>51</v>
      </c>
      <c r="L2603" t="s">
        <v>52</v>
      </c>
      <c r="M2603">
        <v>130590.21</v>
      </c>
      <c r="N2603">
        <v>476013.99</v>
      </c>
      <c r="O2603" t="s">
        <v>53</v>
      </c>
      <c r="P2603" t="s">
        <v>54</v>
      </c>
      <c r="Q2603" t="s">
        <v>55</v>
      </c>
      <c r="T2603" t="s">
        <v>466</v>
      </c>
      <c r="U2603">
        <v>40</v>
      </c>
      <c r="V2603" s="1">
        <v>42552</v>
      </c>
      <c r="W2603" s="1">
        <v>42552</v>
      </c>
      <c r="X2603" s="1">
        <v>42552</v>
      </c>
      <c r="Y2603" s="1">
        <v>57162</v>
      </c>
      <c r="Z2603" t="s">
        <v>51</v>
      </c>
      <c r="AB2603" t="s">
        <v>54</v>
      </c>
      <c r="AC2603">
        <v>1</v>
      </c>
      <c r="AE2603" t="s">
        <v>79</v>
      </c>
      <c r="AF2603">
        <v>20</v>
      </c>
      <c r="AG2603" s="1">
        <v>42552</v>
      </c>
      <c r="AH2603" s="1">
        <v>42552</v>
      </c>
      <c r="AI2603" s="1">
        <v>42552</v>
      </c>
      <c r="AJ2603" s="1">
        <v>49857</v>
      </c>
      <c r="AK2603" t="s">
        <v>51</v>
      </c>
      <c r="AN2603">
        <v>0</v>
      </c>
      <c r="AO2603" t="s">
        <v>54</v>
      </c>
      <c r="AP2603" t="s">
        <v>53</v>
      </c>
      <c r="AQ2603">
        <v>0</v>
      </c>
      <c r="AR2603" t="s">
        <v>145</v>
      </c>
      <c r="AS2603">
        <v>0</v>
      </c>
      <c r="AT2603">
        <v>0</v>
      </c>
      <c r="CC2603" t="s">
        <v>529</v>
      </c>
      <c r="CD2603">
        <v>85000</v>
      </c>
      <c r="CE2603" s="1">
        <v>42552</v>
      </c>
      <c r="CF2603" s="1">
        <v>42552</v>
      </c>
      <c r="CG2603" s="1">
        <v>42552</v>
      </c>
      <c r="CH2603" s="1">
        <v>49714</v>
      </c>
      <c r="CI2603" t="s">
        <v>51</v>
      </c>
      <c r="CK2603" t="s">
        <v>78</v>
      </c>
      <c r="CM2603" t="s">
        <v>54</v>
      </c>
      <c r="CN2603" t="s">
        <v>174</v>
      </c>
      <c r="CO2603" t="s">
        <v>86</v>
      </c>
      <c r="CR2603">
        <v>35</v>
      </c>
      <c r="CS2603">
        <v>0</v>
      </c>
      <c r="CT2603">
        <v>0</v>
      </c>
      <c r="CU2603">
        <v>0</v>
      </c>
    </row>
    <row r="2604" spans="1:112" x14ac:dyDescent="0.2">
      <c r="A2604" t="s">
        <v>1012</v>
      </c>
      <c r="B2604" t="s">
        <v>1013</v>
      </c>
      <c r="C2604" t="s">
        <v>1014</v>
      </c>
      <c r="D2604" t="s">
        <v>1125</v>
      </c>
      <c r="F2604" t="str">
        <f>"252209"</f>
        <v>252209</v>
      </c>
      <c r="G2604" t="s">
        <v>49</v>
      </c>
      <c r="H2604" t="s">
        <v>1129</v>
      </c>
      <c r="K2604" t="s">
        <v>51</v>
      </c>
      <c r="L2604" t="s">
        <v>52</v>
      </c>
      <c r="M2604">
        <v>130393.24</v>
      </c>
      <c r="N2604">
        <v>476037</v>
      </c>
      <c r="O2604" t="s">
        <v>53</v>
      </c>
      <c r="P2604" t="s">
        <v>54</v>
      </c>
      <c r="Q2604" t="s">
        <v>55</v>
      </c>
      <c r="T2604" t="s">
        <v>466</v>
      </c>
      <c r="U2604">
        <v>40</v>
      </c>
      <c r="V2604" s="1">
        <v>42552</v>
      </c>
      <c r="W2604" s="1">
        <v>42552</v>
      </c>
      <c r="X2604" s="1">
        <v>42552</v>
      </c>
      <c r="Y2604" s="1">
        <v>57162</v>
      </c>
      <c r="Z2604" t="s">
        <v>51</v>
      </c>
      <c r="AB2604" t="s">
        <v>54</v>
      </c>
      <c r="AC2604">
        <v>1</v>
      </c>
      <c r="AE2604" t="s">
        <v>79</v>
      </c>
      <c r="AF2604">
        <v>20</v>
      </c>
      <c r="AG2604" s="1">
        <v>42552</v>
      </c>
      <c r="AH2604" s="1">
        <v>42552</v>
      </c>
      <c r="AI2604" s="1">
        <v>42552</v>
      </c>
      <c r="AJ2604" s="1">
        <v>49857</v>
      </c>
      <c r="AK2604" t="s">
        <v>51</v>
      </c>
      <c r="AN2604">
        <v>0</v>
      </c>
      <c r="AO2604" t="s">
        <v>54</v>
      </c>
      <c r="AP2604" t="s">
        <v>53</v>
      </c>
      <c r="AQ2604">
        <v>0</v>
      </c>
      <c r="AR2604" t="s">
        <v>145</v>
      </c>
      <c r="AS2604">
        <v>0</v>
      </c>
      <c r="AT2604">
        <v>0</v>
      </c>
      <c r="CC2604" t="s">
        <v>529</v>
      </c>
      <c r="CD2604">
        <v>85000</v>
      </c>
      <c r="CE2604" s="1">
        <v>42552</v>
      </c>
      <c r="CF2604" s="1">
        <v>42552</v>
      </c>
      <c r="CG2604" s="1">
        <v>42552</v>
      </c>
      <c r="CH2604" s="1">
        <v>49714</v>
      </c>
      <c r="CI2604" t="s">
        <v>51</v>
      </c>
      <c r="CK2604" t="s">
        <v>78</v>
      </c>
      <c r="CM2604" t="s">
        <v>54</v>
      </c>
      <c r="CN2604" t="s">
        <v>174</v>
      </c>
      <c r="CO2604" t="s">
        <v>86</v>
      </c>
      <c r="CR2604">
        <v>35</v>
      </c>
      <c r="CS2604">
        <v>0</v>
      </c>
      <c r="CT2604">
        <v>0</v>
      </c>
      <c r="CU2604">
        <v>0</v>
      </c>
    </row>
    <row r="2605" spans="1:112" x14ac:dyDescent="0.2">
      <c r="A2605" t="s">
        <v>1012</v>
      </c>
      <c r="B2605" t="s">
        <v>1013</v>
      </c>
      <c r="C2605" t="s">
        <v>1014</v>
      </c>
      <c r="D2605" t="s">
        <v>1125</v>
      </c>
      <c r="F2605" t="str">
        <f>"252210"</f>
        <v>252210</v>
      </c>
      <c r="G2605" t="s">
        <v>49</v>
      </c>
      <c r="H2605" t="s">
        <v>1032</v>
      </c>
      <c r="K2605" t="s">
        <v>51</v>
      </c>
      <c r="L2605" t="s">
        <v>52</v>
      </c>
      <c r="M2605">
        <v>130325.66499999999</v>
      </c>
      <c r="N2605">
        <v>476069.37</v>
      </c>
      <c r="O2605" t="s">
        <v>53</v>
      </c>
      <c r="P2605" t="s">
        <v>54</v>
      </c>
      <c r="Q2605" t="s">
        <v>55</v>
      </c>
      <c r="T2605" t="s">
        <v>466</v>
      </c>
      <c r="U2605">
        <v>40</v>
      </c>
      <c r="V2605" s="1">
        <v>42552</v>
      </c>
      <c r="W2605" s="1">
        <v>42552</v>
      </c>
      <c r="X2605" s="1">
        <v>42552</v>
      </c>
      <c r="Y2605" s="1">
        <v>57162</v>
      </c>
      <c r="Z2605" t="s">
        <v>51</v>
      </c>
      <c r="AB2605" t="s">
        <v>54</v>
      </c>
      <c r="AC2605">
        <v>1</v>
      </c>
      <c r="AE2605" t="s">
        <v>79</v>
      </c>
      <c r="AF2605">
        <v>20</v>
      </c>
      <c r="AG2605" s="1">
        <v>42552</v>
      </c>
      <c r="AH2605" s="1">
        <v>42552</v>
      </c>
      <c r="AI2605" s="1">
        <v>42552</v>
      </c>
      <c r="AJ2605" s="1">
        <v>49857</v>
      </c>
      <c r="AK2605" t="s">
        <v>51</v>
      </c>
      <c r="AN2605">
        <v>0</v>
      </c>
      <c r="AO2605" t="s">
        <v>54</v>
      </c>
      <c r="AP2605" t="s">
        <v>53</v>
      </c>
      <c r="AQ2605">
        <v>0</v>
      </c>
      <c r="AR2605" t="s">
        <v>145</v>
      </c>
      <c r="AS2605">
        <v>0</v>
      </c>
      <c r="AT2605">
        <v>0</v>
      </c>
      <c r="CC2605" t="s">
        <v>529</v>
      </c>
      <c r="CD2605">
        <v>85000</v>
      </c>
      <c r="CE2605" s="1">
        <v>42552</v>
      </c>
      <c r="CF2605" s="1">
        <v>42552</v>
      </c>
      <c r="CG2605" s="1">
        <v>42552</v>
      </c>
      <c r="CH2605" s="1">
        <v>49714</v>
      </c>
      <c r="CI2605" t="s">
        <v>51</v>
      </c>
      <c r="CK2605" t="s">
        <v>78</v>
      </c>
      <c r="CM2605" t="s">
        <v>54</v>
      </c>
      <c r="CN2605" t="s">
        <v>174</v>
      </c>
      <c r="CO2605" t="s">
        <v>86</v>
      </c>
      <c r="CR2605">
        <v>35</v>
      </c>
      <c r="CS2605">
        <v>0</v>
      </c>
      <c r="CT2605">
        <v>0</v>
      </c>
      <c r="CU2605">
        <v>0</v>
      </c>
    </row>
    <row r="2606" spans="1:112" x14ac:dyDescent="0.2">
      <c r="A2606" t="s">
        <v>1012</v>
      </c>
      <c r="B2606" t="s">
        <v>1013</v>
      </c>
      <c r="C2606" t="s">
        <v>1014</v>
      </c>
      <c r="D2606" t="s">
        <v>1125</v>
      </c>
      <c r="F2606" t="str">
        <f>"252211"</f>
        <v>252211</v>
      </c>
      <c r="G2606" t="s">
        <v>49</v>
      </c>
      <c r="H2606" t="s">
        <v>1130</v>
      </c>
      <c r="K2606" t="s">
        <v>51</v>
      </c>
      <c r="L2606" t="s">
        <v>52</v>
      </c>
      <c r="M2606">
        <v>130204.43</v>
      </c>
      <c r="N2606">
        <v>476119.76</v>
      </c>
      <c r="O2606" t="s">
        <v>53</v>
      </c>
      <c r="P2606" t="s">
        <v>54</v>
      </c>
      <c r="Q2606" t="s">
        <v>55</v>
      </c>
      <c r="T2606" t="s">
        <v>466</v>
      </c>
      <c r="U2606">
        <v>40</v>
      </c>
      <c r="V2606" s="1">
        <v>42552</v>
      </c>
      <c r="W2606" s="1">
        <v>42552</v>
      </c>
      <c r="X2606" s="1">
        <v>42552</v>
      </c>
      <c r="Y2606" s="1">
        <v>57162</v>
      </c>
      <c r="Z2606" t="s">
        <v>51</v>
      </c>
      <c r="AB2606" t="s">
        <v>54</v>
      </c>
      <c r="AC2606">
        <v>1</v>
      </c>
      <c r="AE2606" t="s">
        <v>79</v>
      </c>
      <c r="AF2606">
        <v>20</v>
      </c>
      <c r="AG2606" s="1">
        <v>42552</v>
      </c>
      <c r="AH2606" s="1">
        <v>42552</v>
      </c>
      <c r="AI2606" s="1">
        <v>42552</v>
      </c>
      <c r="AJ2606" s="1">
        <v>49857</v>
      </c>
      <c r="AK2606" t="s">
        <v>51</v>
      </c>
      <c r="AN2606">
        <v>0</v>
      </c>
      <c r="AO2606" t="s">
        <v>54</v>
      </c>
      <c r="AP2606" t="s">
        <v>53</v>
      </c>
      <c r="AQ2606">
        <v>0</v>
      </c>
      <c r="AR2606" t="s">
        <v>145</v>
      </c>
      <c r="AS2606">
        <v>0</v>
      </c>
      <c r="AT2606">
        <v>0</v>
      </c>
      <c r="CC2606" t="s">
        <v>529</v>
      </c>
      <c r="CD2606">
        <v>85000</v>
      </c>
      <c r="CE2606" s="1">
        <v>42552</v>
      </c>
      <c r="CF2606" s="1">
        <v>42552</v>
      </c>
      <c r="CG2606" s="1">
        <v>42552</v>
      </c>
      <c r="CH2606" s="1">
        <v>49714</v>
      </c>
      <c r="CI2606" t="s">
        <v>51</v>
      </c>
      <c r="CK2606" t="s">
        <v>78</v>
      </c>
      <c r="CM2606" t="s">
        <v>54</v>
      </c>
      <c r="CN2606" t="s">
        <v>174</v>
      </c>
      <c r="CO2606" t="s">
        <v>86</v>
      </c>
      <c r="CR2606">
        <v>35</v>
      </c>
      <c r="CS2606">
        <v>0</v>
      </c>
      <c r="CT2606">
        <v>0</v>
      </c>
      <c r="CU2606">
        <v>0</v>
      </c>
    </row>
    <row r="2607" spans="1:112" x14ac:dyDescent="0.2">
      <c r="A2607" t="s">
        <v>1012</v>
      </c>
      <c r="B2607" t="s">
        <v>1013</v>
      </c>
      <c r="C2607" t="s">
        <v>1014</v>
      </c>
      <c r="D2607" t="s">
        <v>1125</v>
      </c>
      <c r="F2607" t="str">
        <f>"252212"</f>
        <v>252212</v>
      </c>
      <c r="G2607" t="s">
        <v>49</v>
      </c>
      <c r="H2607" t="s">
        <v>1130</v>
      </c>
      <c r="K2607" t="s">
        <v>51</v>
      </c>
      <c r="L2607" t="s">
        <v>52</v>
      </c>
      <c r="M2607">
        <v>130180.61</v>
      </c>
      <c r="N2607">
        <v>476088.3</v>
      </c>
      <c r="O2607" t="s">
        <v>53</v>
      </c>
      <c r="P2607" t="s">
        <v>54</v>
      </c>
      <c r="Q2607" t="s">
        <v>55</v>
      </c>
      <c r="T2607" t="s">
        <v>466</v>
      </c>
      <c r="U2607">
        <v>40</v>
      </c>
      <c r="V2607" s="1">
        <v>42552</v>
      </c>
      <c r="W2607" s="1">
        <v>42552</v>
      </c>
      <c r="X2607" s="1">
        <v>42552</v>
      </c>
      <c r="Y2607" s="1">
        <v>57162</v>
      </c>
      <c r="Z2607" t="s">
        <v>51</v>
      </c>
      <c r="AB2607" t="s">
        <v>54</v>
      </c>
      <c r="AC2607">
        <v>1</v>
      </c>
      <c r="AE2607" t="s">
        <v>79</v>
      </c>
      <c r="AF2607">
        <v>20</v>
      </c>
      <c r="AG2607" s="1">
        <v>42552</v>
      </c>
      <c r="AH2607" s="1">
        <v>42552</v>
      </c>
      <c r="AI2607" s="1">
        <v>42552</v>
      </c>
      <c r="AJ2607" s="1">
        <v>49857</v>
      </c>
      <c r="AK2607" t="s">
        <v>51</v>
      </c>
      <c r="AN2607">
        <v>0</v>
      </c>
      <c r="AO2607" t="s">
        <v>54</v>
      </c>
      <c r="AP2607" t="s">
        <v>53</v>
      </c>
      <c r="AQ2607">
        <v>0</v>
      </c>
      <c r="AR2607" t="s">
        <v>145</v>
      </c>
      <c r="AS2607">
        <v>0</v>
      </c>
      <c r="AT2607">
        <v>0</v>
      </c>
      <c r="CC2607" t="s">
        <v>529</v>
      </c>
      <c r="CD2607">
        <v>85000</v>
      </c>
      <c r="CE2607" s="1">
        <v>42552</v>
      </c>
      <c r="CF2607" s="1">
        <v>42552</v>
      </c>
      <c r="CG2607" s="1">
        <v>42552</v>
      </c>
      <c r="CH2607" s="1">
        <v>49714</v>
      </c>
      <c r="CI2607" t="s">
        <v>51</v>
      </c>
      <c r="CK2607" t="s">
        <v>78</v>
      </c>
      <c r="CM2607" t="s">
        <v>54</v>
      </c>
      <c r="CN2607" t="s">
        <v>174</v>
      </c>
      <c r="CO2607" t="s">
        <v>86</v>
      </c>
      <c r="CR2607">
        <v>35</v>
      </c>
      <c r="CS2607">
        <v>0</v>
      </c>
      <c r="CT2607">
        <v>0</v>
      </c>
      <c r="CU2607">
        <v>0</v>
      </c>
    </row>
    <row r="2608" spans="1:112" x14ac:dyDescent="0.2">
      <c r="A2608" t="s">
        <v>1012</v>
      </c>
      <c r="B2608" t="s">
        <v>1013</v>
      </c>
      <c r="C2608" t="s">
        <v>1014</v>
      </c>
      <c r="D2608" t="s">
        <v>1125</v>
      </c>
      <c r="F2608" t="str">
        <f>"252213"</f>
        <v>252213</v>
      </c>
      <c r="G2608" t="s">
        <v>49</v>
      </c>
      <c r="H2608" t="s">
        <v>665</v>
      </c>
      <c r="K2608" t="s">
        <v>51</v>
      </c>
      <c r="L2608" t="s">
        <v>52</v>
      </c>
      <c r="M2608">
        <v>130218.467</v>
      </c>
      <c r="N2608">
        <v>475954.61300000001</v>
      </c>
      <c r="O2608" t="s">
        <v>53</v>
      </c>
      <c r="P2608" t="s">
        <v>54</v>
      </c>
      <c r="Q2608" t="s">
        <v>55</v>
      </c>
      <c r="T2608" t="s">
        <v>466</v>
      </c>
      <c r="U2608">
        <v>40</v>
      </c>
      <c r="V2608" s="1">
        <v>42552</v>
      </c>
      <c r="W2608" s="1">
        <v>42552</v>
      </c>
      <c r="X2608" s="1">
        <v>42552</v>
      </c>
      <c r="Y2608" s="1">
        <v>57162</v>
      </c>
      <c r="Z2608" t="s">
        <v>51</v>
      </c>
      <c r="AB2608" t="s">
        <v>54</v>
      </c>
      <c r="AC2608">
        <v>1</v>
      </c>
      <c r="AE2608" t="s">
        <v>79</v>
      </c>
      <c r="AF2608">
        <v>20</v>
      </c>
      <c r="AG2608" s="1">
        <v>42552</v>
      </c>
      <c r="AH2608" s="1">
        <v>42552</v>
      </c>
      <c r="AI2608" s="1">
        <v>42552</v>
      </c>
      <c r="AJ2608" s="1">
        <v>49857</v>
      </c>
      <c r="AK2608" t="s">
        <v>51</v>
      </c>
      <c r="AN2608">
        <v>0</v>
      </c>
      <c r="AO2608" t="s">
        <v>54</v>
      </c>
      <c r="AP2608" t="s">
        <v>53</v>
      </c>
      <c r="AQ2608">
        <v>0</v>
      </c>
      <c r="AR2608" t="s">
        <v>145</v>
      </c>
      <c r="AS2608">
        <v>0</v>
      </c>
      <c r="AT2608">
        <v>0</v>
      </c>
      <c r="CC2608" t="s">
        <v>529</v>
      </c>
      <c r="CD2608">
        <v>85000</v>
      </c>
      <c r="CE2608" s="1">
        <v>42552</v>
      </c>
      <c r="CF2608" s="1">
        <v>42552</v>
      </c>
      <c r="CG2608" s="1">
        <v>42552</v>
      </c>
      <c r="CH2608" s="1">
        <v>49714</v>
      </c>
      <c r="CI2608" t="s">
        <v>51</v>
      </c>
      <c r="CK2608" t="s">
        <v>78</v>
      </c>
      <c r="CM2608" t="s">
        <v>54</v>
      </c>
      <c r="CN2608" t="s">
        <v>174</v>
      </c>
      <c r="CO2608" t="s">
        <v>86</v>
      </c>
      <c r="CR2608">
        <v>35</v>
      </c>
      <c r="CS2608">
        <v>0</v>
      </c>
      <c r="CT2608">
        <v>0</v>
      </c>
      <c r="CU2608">
        <v>0</v>
      </c>
    </row>
    <row r="2609" spans="1:99" x14ac:dyDescent="0.2">
      <c r="A2609" t="s">
        <v>1012</v>
      </c>
      <c r="B2609" t="s">
        <v>1013</v>
      </c>
      <c r="C2609" t="s">
        <v>1014</v>
      </c>
      <c r="D2609" t="s">
        <v>1125</v>
      </c>
      <c r="F2609" t="str">
        <f>"252214"</f>
        <v>252214</v>
      </c>
      <c r="G2609" t="s">
        <v>49</v>
      </c>
      <c r="H2609" t="s">
        <v>769</v>
      </c>
      <c r="K2609" t="s">
        <v>51</v>
      </c>
      <c r="L2609" t="s">
        <v>52</v>
      </c>
      <c r="M2609">
        <v>130342.16</v>
      </c>
      <c r="N2609">
        <v>475743.42</v>
      </c>
      <c r="O2609" t="s">
        <v>53</v>
      </c>
      <c r="P2609" t="s">
        <v>54</v>
      </c>
      <c r="Q2609" t="s">
        <v>55</v>
      </c>
      <c r="T2609" t="s">
        <v>466</v>
      </c>
      <c r="U2609">
        <v>40</v>
      </c>
      <c r="V2609" s="1">
        <v>42552</v>
      </c>
      <c r="W2609" s="1">
        <v>42552</v>
      </c>
      <c r="X2609" s="1">
        <v>42552</v>
      </c>
      <c r="Y2609" s="1">
        <v>57162</v>
      </c>
      <c r="Z2609" t="s">
        <v>51</v>
      </c>
      <c r="AB2609" t="s">
        <v>54</v>
      </c>
      <c r="AC2609">
        <v>1</v>
      </c>
      <c r="AE2609" t="s">
        <v>79</v>
      </c>
      <c r="AF2609">
        <v>20</v>
      </c>
      <c r="AG2609" s="1">
        <v>42552</v>
      </c>
      <c r="AH2609" s="1">
        <v>42552</v>
      </c>
      <c r="AI2609" s="1">
        <v>42552</v>
      </c>
      <c r="AJ2609" s="1">
        <v>49857</v>
      </c>
      <c r="AK2609" t="s">
        <v>51</v>
      </c>
      <c r="AN2609">
        <v>0</v>
      </c>
      <c r="AO2609" t="s">
        <v>54</v>
      </c>
      <c r="AP2609" t="s">
        <v>53</v>
      </c>
      <c r="AQ2609">
        <v>0</v>
      </c>
      <c r="AR2609" t="s">
        <v>145</v>
      </c>
      <c r="AS2609">
        <v>0</v>
      </c>
      <c r="AT2609">
        <v>0</v>
      </c>
      <c r="CC2609" t="s">
        <v>529</v>
      </c>
      <c r="CD2609">
        <v>85000</v>
      </c>
      <c r="CE2609" s="1">
        <v>42552</v>
      </c>
      <c r="CF2609" s="1">
        <v>42552</v>
      </c>
      <c r="CG2609" s="1">
        <v>42552</v>
      </c>
      <c r="CH2609" s="1">
        <v>49714</v>
      </c>
      <c r="CI2609" t="s">
        <v>51</v>
      </c>
      <c r="CK2609" t="s">
        <v>78</v>
      </c>
      <c r="CM2609" t="s">
        <v>54</v>
      </c>
      <c r="CN2609" t="s">
        <v>174</v>
      </c>
      <c r="CO2609" t="s">
        <v>86</v>
      </c>
      <c r="CR2609">
        <v>35</v>
      </c>
      <c r="CS2609">
        <v>0</v>
      </c>
      <c r="CT2609">
        <v>0</v>
      </c>
      <c r="CU2609">
        <v>0</v>
      </c>
    </row>
    <row r="2610" spans="1:99" x14ac:dyDescent="0.2">
      <c r="A2610" t="s">
        <v>1012</v>
      </c>
      <c r="B2610" t="s">
        <v>1013</v>
      </c>
      <c r="C2610" t="s">
        <v>1014</v>
      </c>
      <c r="D2610" t="s">
        <v>1125</v>
      </c>
      <c r="F2610" t="str">
        <f>"252215"</f>
        <v>252215</v>
      </c>
      <c r="G2610" t="s">
        <v>49</v>
      </c>
      <c r="H2610" t="s">
        <v>570</v>
      </c>
      <c r="K2610" t="s">
        <v>51</v>
      </c>
      <c r="L2610" t="s">
        <v>52</v>
      </c>
      <c r="M2610">
        <v>130454.23</v>
      </c>
      <c r="N2610">
        <v>475650.41</v>
      </c>
      <c r="O2610" t="s">
        <v>53</v>
      </c>
      <c r="P2610" t="s">
        <v>54</v>
      </c>
      <c r="Q2610" t="s">
        <v>55</v>
      </c>
      <c r="T2610" t="s">
        <v>466</v>
      </c>
      <c r="U2610">
        <v>40</v>
      </c>
      <c r="V2610" s="1">
        <v>42552</v>
      </c>
      <c r="W2610" s="1">
        <v>42552</v>
      </c>
      <c r="X2610" s="1">
        <v>42552</v>
      </c>
      <c r="Y2610" s="1">
        <v>57162</v>
      </c>
      <c r="Z2610" t="s">
        <v>51</v>
      </c>
      <c r="AB2610" t="s">
        <v>54</v>
      </c>
      <c r="AC2610">
        <v>1</v>
      </c>
      <c r="AE2610" t="s">
        <v>79</v>
      </c>
      <c r="AF2610">
        <v>20</v>
      </c>
      <c r="AG2610" s="1">
        <v>42552</v>
      </c>
      <c r="AH2610" s="1">
        <v>42552</v>
      </c>
      <c r="AI2610" s="1">
        <v>42552</v>
      </c>
      <c r="AJ2610" s="1">
        <v>49857</v>
      </c>
      <c r="AK2610" t="s">
        <v>51</v>
      </c>
      <c r="AN2610">
        <v>0</v>
      </c>
      <c r="AO2610" t="s">
        <v>54</v>
      </c>
      <c r="AP2610" t="s">
        <v>53</v>
      </c>
      <c r="AQ2610">
        <v>0</v>
      </c>
      <c r="AR2610" t="s">
        <v>145</v>
      </c>
      <c r="AS2610">
        <v>0</v>
      </c>
      <c r="AT2610">
        <v>0</v>
      </c>
      <c r="CC2610" t="s">
        <v>529</v>
      </c>
      <c r="CD2610">
        <v>85000</v>
      </c>
      <c r="CE2610" s="1">
        <v>42552</v>
      </c>
      <c r="CF2610" s="1">
        <v>42552</v>
      </c>
      <c r="CG2610" s="1">
        <v>42552</v>
      </c>
      <c r="CH2610" s="1">
        <v>49714</v>
      </c>
      <c r="CI2610" t="s">
        <v>51</v>
      </c>
      <c r="CK2610" t="s">
        <v>78</v>
      </c>
      <c r="CM2610" t="s">
        <v>54</v>
      </c>
      <c r="CN2610" t="s">
        <v>174</v>
      </c>
      <c r="CO2610" t="s">
        <v>86</v>
      </c>
      <c r="CR2610">
        <v>35</v>
      </c>
      <c r="CS2610">
        <v>0</v>
      </c>
      <c r="CT2610">
        <v>0</v>
      </c>
      <c r="CU2610">
        <v>0</v>
      </c>
    </row>
    <row r="2611" spans="1:99" x14ac:dyDescent="0.2">
      <c r="A2611" t="s">
        <v>1012</v>
      </c>
      <c r="B2611" t="s">
        <v>1013</v>
      </c>
      <c r="C2611" t="s">
        <v>1014</v>
      </c>
      <c r="D2611" t="s">
        <v>1125</v>
      </c>
      <c r="F2611" t="str">
        <f>"252217"</f>
        <v>252217</v>
      </c>
      <c r="G2611" t="s">
        <v>49</v>
      </c>
      <c r="H2611" t="s">
        <v>1131</v>
      </c>
      <c r="K2611" t="s">
        <v>51</v>
      </c>
      <c r="L2611" t="s">
        <v>52</v>
      </c>
      <c r="M2611">
        <v>130438.954</v>
      </c>
      <c r="N2611">
        <v>475199.88199999998</v>
      </c>
      <c r="O2611" t="s">
        <v>53</v>
      </c>
      <c r="P2611" t="s">
        <v>54</v>
      </c>
      <c r="Q2611" t="s">
        <v>55</v>
      </c>
      <c r="T2611" t="s">
        <v>466</v>
      </c>
      <c r="U2611">
        <v>40</v>
      </c>
      <c r="V2611" s="1">
        <v>42552</v>
      </c>
      <c r="W2611" s="1">
        <v>42552</v>
      </c>
      <c r="X2611" s="1">
        <v>42552</v>
      </c>
      <c r="Y2611" s="1">
        <v>57162</v>
      </c>
      <c r="Z2611" t="s">
        <v>51</v>
      </c>
      <c r="AB2611" t="s">
        <v>54</v>
      </c>
      <c r="AC2611">
        <v>1</v>
      </c>
      <c r="AE2611" t="s">
        <v>79</v>
      </c>
      <c r="AF2611">
        <v>20</v>
      </c>
      <c r="AG2611" s="1">
        <v>42552</v>
      </c>
      <c r="AH2611" s="1">
        <v>42552</v>
      </c>
      <c r="AI2611" s="1">
        <v>42552</v>
      </c>
      <c r="AJ2611" s="1">
        <v>49857</v>
      </c>
      <c r="AK2611" t="s">
        <v>51</v>
      </c>
      <c r="AN2611">
        <v>0</v>
      </c>
      <c r="AO2611" t="s">
        <v>54</v>
      </c>
      <c r="AP2611" t="s">
        <v>53</v>
      </c>
      <c r="AQ2611">
        <v>0</v>
      </c>
      <c r="AR2611" t="s">
        <v>145</v>
      </c>
      <c r="AS2611">
        <v>0</v>
      </c>
      <c r="AT2611">
        <v>0</v>
      </c>
      <c r="CC2611" t="s">
        <v>529</v>
      </c>
      <c r="CD2611">
        <v>85000</v>
      </c>
      <c r="CE2611" s="1">
        <v>42552</v>
      </c>
      <c r="CF2611" s="1">
        <v>42552</v>
      </c>
      <c r="CG2611" s="1">
        <v>42552</v>
      </c>
      <c r="CH2611" s="1">
        <v>49714</v>
      </c>
      <c r="CI2611" t="s">
        <v>51</v>
      </c>
      <c r="CK2611" t="s">
        <v>78</v>
      </c>
      <c r="CM2611" t="s">
        <v>54</v>
      </c>
      <c r="CN2611" t="s">
        <v>174</v>
      </c>
      <c r="CO2611" t="s">
        <v>86</v>
      </c>
      <c r="CR2611">
        <v>35</v>
      </c>
      <c r="CS2611">
        <v>0</v>
      </c>
      <c r="CT2611">
        <v>0</v>
      </c>
      <c r="CU2611">
        <v>0</v>
      </c>
    </row>
    <row r="2612" spans="1:99" x14ac:dyDescent="0.2">
      <c r="A2612" t="s">
        <v>1012</v>
      </c>
      <c r="B2612" t="s">
        <v>1013</v>
      </c>
      <c r="C2612" t="s">
        <v>1014</v>
      </c>
      <c r="D2612" t="s">
        <v>1125</v>
      </c>
      <c r="F2612" t="str">
        <f>"252219"</f>
        <v>252219</v>
      </c>
      <c r="G2612" t="s">
        <v>49</v>
      </c>
      <c r="K2612" t="s">
        <v>51</v>
      </c>
      <c r="L2612" t="s">
        <v>52</v>
      </c>
      <c r="M2612">
        <v>130622.52499999999</v>
      </c>
      <c r="N2612">
        <v>474997.359</v>
      </c>
      <c r="O2612" t="s">
        <v>53</v>
      </c>
      <c r="P2612" t="s">
        <v>54</v>
      </c>
      <c r="Q2612" t="s">
        <v>55</v>
      </c>
      <c r="T2612" t="s">
        <v>466</v>
      </c>
      <c r="U2612">
        <v>40</v>
      </c>
      <c r="V2612" s="1">
        <v>42552</v>
      </c>
      <c r="W2612" s="1">
        <v>42552</v>
      </c>
      <c r="X2612" s="1">
        <v>42552</v>
      </c>
      <c r="Y2612" s="1">
        <v>57162</v>
      </c>
      <c r="Z2612" t="s">
        <v>51</v>
      </c>
      <c r="AB2612" t="s">
        <v>54</v>
      </c>
      <c r="AC2612">
        <v>1</v>
      </c>
      <c r="AE2612" t="s">
        <v>79</v>
      </c>
      <c r="AF2612">
        <v>20</v>
      </c>
      <c r="AG2612" s="1">
        <v>42552</v>
      </c>
      <c r="AH2612" s="1">
        <v>42552</v>
      </c>
      <c r="AI2612" s="1">
        <v>42552</v>
      </c>
      <c r="AJ2612" s="1">
        <v>49857</v>
      </c>
      <c r="AK2612" t="s">
        <v>51</v>
      </c>
      <c r="AN2612">
        <v>0</v>
      </c>
      <c r="AO2612" t="s">
        <v>54</v>
      </c>
      <c r="AP2612" t="s">
        <v>53</v>
      </c>
      <c r="AQ2612">
        <v>0</v>
      </c>
      <c r="AR2612" t="s">
        <v>145</v>
      </c>
      <c r="AS2612">
        <v>0</v>
      </c>
      <c r="AT2612">
        <v>0</v>
      </c>
      <c r="CC2612" t="s">
        <v>529</v>
      </c>
      <c r="CD2612">
        <v>85000</v>
      </c>
      <c r="CE2612" s="1">
        <v>42552</v>
      </c>
      <c r="CF2612" s="1">
        <v>42552</v>
      </c>
      <c r="CG2612" s="1">
        <v>42552</v>
      </c>
      <c r="CH2612" s="1">
        <v>49714</v>
      </c>
      <c r="CI2612" t="s">
        <v>51</v>
      </c>
      <c r="CK2612" t="s">
        <v>78</v>
      </c>
      <c r="CM2612" t="s">
        <v>54</v>
      </c>
      <c r="CN2612" t="s">
        <v>174</v>
      </c>
      <c r="CO2612" t="s">
        <v>86</v>
      </c>
      <c r="CR2612">
        <v>35</v>
      </c>
      <c r="CS2612">
        <v>0</v>
      </c>
      <c r="CT2612">
        <v>0</v>
      </c>
      <c r="CU2612">
        <v>0</v>
      </c>
    </row>
    <row r="2613" spans="1:99" x14ac:dyDescent="0.2">
      <c r="A2613" t="s">
        <v>1012</v>
      </c>
      <c r="B2613" t="s">
        <v>1013</v>
      </c>
      <c r="C2613" t="s">
        <v>1014</v>
      </c>
      <c r="D2613" t="s">
        <v>1125</v>
      </c>
      <c r="F2613" t="str">
        <f>"252220"</f>
        <v>252220</v>
      </c>
      <c r="G2613" t="s">
        <v>49</v>
      </c>
      <c r="K2613" t="s">
        <v>51</v>
      </c>
      <c r="L2613" t="s">
        <v>52</v>
      </c>
      <c r="M2613">
        <v>130727.556</v>
      </c>
      <c r="N2613">
        <v>474896.21399999998</v>
      </c>
      <c r="O2613" t="s">
        <v>53</v>
      </c>
      <c r="P2613" t="s">
        <v>54</v>
      </c>
      <c r="Q2613" t="s">
        <v>55</v>
      </c>
      <c r="T2613" t="s">
        <v>466</v>
      </c>
      <c r="U2613">
        <v>40</v>
      </c>
      <c r="V2613" s="1">
        <v>42552</v>
      </c>
      <c r="W2613" s="1">
        <v>42552</v>
      </c>
      <c r="X2613" s="1">
        <v>42552</v>
      </c>
      <c r="Y2613" s="1">
        <v>57162</v>
      </c>
      <c r="Z2613" t="s">
        <v>51</v>
      </c>
      <c r="AB2613" t="s">
        <v>54</v>
      </c>
      <c r="AC2613">
        <v>1</v>
      </c>
      <c r="AE2613" t="s">
        <v>79</v>
      </c>
      <c r="AF2613">
        <v>20</v>
      </c>
      <c r="AG2613" s="1">
        <v>42552</v>
      </c>
      <c r="AH2613" s="1">
        <v>42552</v>
      </c>
      <c r="AI2613" s="1">
        <v>42552</v>
      </c>
      <c r="AJ2613" s="1">
        <v>49857</v>
      </c>
      <c r="AK2613" t="s">
        <v>51</v>
      </c>
      <c r="AN2613">
        <v>0</v>
      </c>
      <c r="AO2613" t="s">
        <v>54</v>
      </c>
      <c r="AP2613" t="s">
        <v>53</v>
      </c>
      <c r="AQ2613">
        <v>0</v>
      </c>
      <c r="AR2613" t="s">
        <v>145</v>
      </c>
      <c r="AS2613">
        <v>0</v>
      </c>
      <c r="AT2613">
        <v>0</v>
      </c>
      <c r="CC2613" t="s">
        <v>529</v>
      </c>
      <c r="CD2613">
        <v>85000</v>
      </c>
      <c r="CE2613" s="1">
        <v>42552</v>
      </c>
      <c r="CF2613" s="1">
        <v>42552</v>
      </c>
      <c r="CG2613" s="1">
        <v>42552</v>
      </c>
      <c r="CH2613" s="1">
        <v>49714</v>
      </c>
      <c r="CI2613" t="s">
        <v>51</v>
      </c>
      <c r="CK2613" t="s">
        <v>78</v>
      </c>
      <c r="CM2613" t="s">
        <v>54</v>
      </c>
      <c r="CN2613" t="s">
        <v>174</v>
      </c>
      <c r="CO2613" t="s">
        <v>86</v>
      </c>
      <c r="CR2613">
        <v>35</v>
      </c>
      <c r="CS2613">
        <v>0</v>
      </c>
      <c r="CT2613">
        <v>0</v>
      </c>
      <c r="CU2613">
        <v>0</v>
      </c>
    </row>
    <row r="2614" spans="1:99" x14ac:dyDescent="0.2">
      <c r="A2614" t="s">
        <v>1012</v>
      </c>
      <c r="B2614" t="s">
        <v>1013</v>
      </c>
      <c r="C2614" t="s">
        <v>1014</v>
      </c>
      <c r="D2614" t="s">
        <v>1125</v>
      </c>
      <c r="F2614" t="str">
        <f>"252221"</f>
        <v>252221</v>
      </c>
      <c r="G2614" t="s">
        <v>49</v>
      </c>
      <c r="K2614" t="s">
        <v>51</v>
      </c>
      <c r="L2614" t="s">
        <v>52</v>
      </c>
      <c r="M2614">
        <v>130798.19500000001</v>
      </c>
      <c r="N2614">
        <v>474780.04200000002</v>
      </c>
      <c r="O2614" t="s">
        <v>53</v>
      </c>
      <c r="P2614" t="s">
        <v>54</v>
      </c>
      <c r="Q2614" t="s">
        <v>55</v>
      </c>
      <c r="T2614" t="s">
        <v>466</v>
      </c>
      <c r="U2614">
        <v>40</v>
      </c>
      <c r="V2614" s="1">
        <v>42552</v>
      </c>
      <c r="W2614" s="1">
        <v>42552</v>
      </c>
      <c r="X2614" s="1">
        <v>42552</v>
      </c>
      <c r="Y2614" s="1">
        <v>57162</v>
      </c>
      <c r="Z2614" t="s">
        <v>51</v>
      </c>
      <c r="AB2614" t="s">
        <v>54</v>
      </c>
      <c r="AC2614">
        <v>1</v>
      </c>
      <c r="AE2614" t="s">
        <v>79</v>
      </c>
      <c r="AF2614">
        <v>20</v>
      </c>
      <c r="AG2614" s="1">
        <v>42552</v>
      </c>
      <c r="AH2614" s="1">
        <v>42552</v>
      </c>
      <c r="AI2614" s="1">
        <v>42552</v>
      </c>
      <c r="AJ2614" s="1">
        <v>49857</v>
      </c>
      <c r="AK2614" t="s">
        <v>51</v>
      </c>
      <c r="AN2614">
        <v>0</v>
      </c>
      <c r="AO2614" t="s">
        <v>54</v>
      </c>
      <c r="AP2614" t="s">
        <v>53</v>
      </c>
      <c r="AQ2614">
        <v>0</v>
      </c>
      <c r="AR2614" t="s">
        <v>145</v>
      </c>
      <c r="AS2614">
        <v>0</v>
      </c>
      <c r="AT2614">
        <v>0</v>
      </c>
      <c r="CC2614" t="s">
        <v>529</v>
      </c>
      <c r="CD2614">
        <v>85000</v>
      </c>
      <c r="CE2614" s="1">
        <v>42552</v>
      </c>
      <c r="CF2614" s="1">
        <v>42552</v>
      </c>
      <c r="CG2614" s="1">
        <v>42552</v>
      </c>
      <c r="CH2614" s="1">
        <v>49714</v>
      </c>
      <c r="CI2614" t="s">
        <v>51</v>
      </c>
      <c r="CK2614" t="s">
        <v>78</v>
      </c>
      <c r="CM2614" t="s">
        <v>54</v>
      </c>
      <c r="CN2614" t="s">
        <v>174</v>
      </c>
      <c r="CO2614" t="s">
        <v>86</v>
      </c>
      <c r="CR2614">
        <v>35</v>
      </c>
      <c r="CS2614">
        <v>0</v>
      </c>
      <c r="CT2614">
        <v>0</v>
      </c>
      <c r="CU2614">
        <v>0</v>
      </c>
    </row>
    <row r="2615" spans="1:99" x14ac:dyDescent="0.2">
      <c r="A2615" t="s">
        <v>1012</v>
      </c>
      <c r="B2615" t="s">
        <v>1013</v>
      </c>
      <c r="C2615" t="s">
        <v>1014</v>
      </c>
      <c r="D2615" t="s">
        <v>1125</v>
      </c>
      <c r="F2615" t="str">
        <f>"252222"</f>
        <v>252222</v>
      </c>
      <c r="G2615" t="s">
        <v>49</v>
      </c>
      <c r="H2615" t="s">
        <v>652</v>
      </c>
      <c r="K2615" t="s">
        <v>51</v>
      </c>
      <c r="L2615" t="s">
        <v>52</v>
      </c>
      <c r="M2615">
        <v>130839.564</v>
      </c>
      <c r="N2615">
        <v>474644.00900000002</v>
      </c>
      <c r="O2615" t="s">
        <v>53</v>
      </c>
      <c r="P2615" t="s">
        <v>54</v>
      </c>
      <c r="Q2615" t="s">
        <v>55</v>
      </c>
      <c r="T2615" t="s">
        <v>466</v>
      </c>
      <c r="U2615">
        <v>40</v>
      </c>
      <c r="V2615" s="1">
        <v>42552</v>
      </c>
      <c r="W2615" s="1">
        <v>42552</v>
      </c>
      <c r="X2615" s="1">
        <v>42552</v>
      </c>
      <c r="Y2615" s="1">
        <v>57162</v>
      </c>
      <c r="Z2615" t="s">
        <v>51</v>
      </c>
      <c r="AB2615" t="s">
        <v>54</v>
      </c>
      <c r="AC2615">
        <v>1</v>
      </c>
      <c r="AE2615" t="s">
        <v>79</v>
      </c>
      <c r="AF2615">
        <v>20</v>
      </c>
      <c r="AG2615" s="1">
        <v>42552</v>
      </c>
      <c r="AH2615" s="1">
        <v>42552</v>
      </c>
      <c r="AI2615" s="1">
        <v>42552</v>
      </c>
      <c r="AJ2615" s="1">
        <v>49857</v>
      </c>
      <c r="AK2615" t="s">
        <v>51</v>
      </c>
      <c r="AN2615">
        <v>0</v>
      </c>
      <c r="AO2615" t="s">
        <v>54</v>
      </c>
      <c r="AP2615" t="s">
        <v>53</v>
      </c>
      <c r="AQ2615">
        <v>0</v>
      </c>
      <c r="AR2615" t="s">
        <v>145</v>
      </c>
      <c r="AS2615">
        <v>0</v>
      </c>
      <c r="AT2615">
        <v>0</v>
      </c>
      <c r="CC2615" t="s">
        <v>529</v>
      </c>
      <c r="CD2615">
        <v>85000</v>
      </c>
      <c r="CE2615" s="1">
        <v>42552</v>
      </c>
      <c r="CF2615" s="1">
        <v>42552</v>
      </c>
      <c r="CG2615" s="1">
        <v>42552</v>
      </c>
      <c r="CH2615" s="1">
        <v>49714</v>
      </c>
      <c r="CI2615" t="s">
        <v>51</v>
      </c>
      <c r="CK2615" t="s">
        <v>78</v>
      </c>
      <c r="CM2615" t="s">
        <v>54</v>
      </c>
      <c r="CN2615" t="s">
        <v>174</v>
      </c>
      <c r="CO2615" t="s">
        <v>86</v>
      </c>
      <c r="CR2615">
        <v>35</v>
      </c>
      <c r="CS2615">
        <v>0</v>
      </c>
      <c r="CT2615">
        <v>0</v>
      </c>
      <c r="CU2615">
        <v>0</v>
      </c>
    </row>
    <row r="2616" spans="1:99" x14ac:dyDescent="0.2">
      <c r="A2616" t="s">
        <v>1012</v>
      </c>
      <c r="B2616" t="s">
        <v>1013</v>
      </c>
      <c r="C2616" t="s">
        <v>1014</v>
      </c>
      <c r="D2616" t="s">
        <v>1125</v>
      </c>
      <c r="F2616" t="str">
        <f>"252223"</f>
        <v>252223</v>
      </c>
      <c r="G2616" t="s">
        <v>49</v>
      </c>
      <c r="H2616" t="s">
        <v>1132</v>
      </c>
      <c r="K2616" t="s">
        <v>51</v>
      </c>
      <c r="L2616" t="s">
        <v>52</v>
      </c>
      <c r="M2616">
        <v>130832.758</v>
      </c>
      <c r="N2616">
        <v>474548.14299999998</v>
      </c>
      <c r="O2616" t="s">
        <v>53</v>
      </c>
      <c r="P2616" t="s">
        <v>54</v>
      </c>
      <c r="Q2616" t="s">
        <v>55</v>
      </c>
      <c r="T2616" t="s">
        <v>466</v>
      </c>
      <c r="U2616">
        <v>40</v>
      </c>
      <c r="V2616" s="1">
        <v>42552</v>
      </c>
      <c r="W2616" s="1">
        <v>42552</v>
      </c>
      <c r="X2616" s="1">
        <v>42552</v>
      </c>
      <c r="Y2616" s="1">
        <v>57162</v>
      </c>
      <c r="Z2616" t="s">
        <v>51</v>
      </c>
      <c r="AB2616" t="s">
        <v>54</v>
      </c>
      <c r="AC2616">
        <v>1</v>
      </c>
      <c r="AE2616" t="s">
        <v>79</v>
      </c>
      <c r="AF2616">
        <v>20</v>
      </c>
      <c r="AG2616" s="1">
        <v>42552</v>
      </c>
      <c r="AH2616" s="1">
        <v>42552</v>
      </c>
      <c r="AI2616" s="1">
        <v>42552</v>
      </c>
      <c r="AJ2616" s="1">
        <v>49857</v>
      </c>
      <c r="AK2616" t="s">
        <v>51</v>
      </c>
      <c r="AN2616">
        <v>0</v>
      </c>
      <c r="AO2616" t="s">
        <v>54</v>
      </c>
      <c r="AP2616" t="s">
        <v>53</v>
      </c>
      <c r="AQ2616">
        <v>0</v>
      </c>
      <c r="AR2616" t="s">
        <v>145</v>
      </c>
      <c r="AS2616">
        <v>0</v>
      </c>
      <c r="AT2616">
        <v>0</v>
      </c>
      <c r="CC2616" t="s">
        <v>529</v>
      </c>
      <c r="CD2616">
        <v>85000</v>
      </c>
      <c r="CE2616" s="1">
        <v>42552</v>
      </c>
      <c r="CF2616" s="1">
        <v>42552</v>
      </c>
      <c r="CG2616" s="1">
        <v>42552</v>
      </c>
      <c r="CH2616" s="1">
        <v>49714</v>
      </c>
      <c r="CI2616" t="s">
        <v>51</v>
      </c>
      <c r="CK2616" t="s">
        <v>78</v>
      </c>
      <c r="CM2616" t="s">
        <v>54</v>
      </c>
      <c r="CN2616" t="s">
        <v>174</v>
      </c>
      <c r="CO2616" t="s">
        <v>86</v>
      </c>
      <c r="CR2616">
        <v>35</v>
      </c>
      <c r="CS2616">
        <v>0</v>
      </c>
      <c r="CT2616">
        <v>0</v>
      </c>
      <c r="CU2616">
        <v>0</v>
      </c>
    </row>
    <row r="2617" spans="1:99" x14ac:dyDescent="0.2">
      <c r="A2617" t="s">
        <v>1012</v>
      </c>
      <c r="B2617" t="s">
        <v>1013</v>
      </c>
      <c r="C2617" t="s">
        <v>1014</v>
      </c>
      <c r="D2617" t="s">
        <v>1125</v>
      </c>
      <c r="F2617" t="str">
        <f>"252224"</f>
        <v>252224</v>
      </c>
      <c r="G2617" t="s">
        <v>49</v>
      </c>
      <c r="H2617" t="s">
        <v>1018</v>
      </c>
      <c r="K2617" t="s">
        <v>51</v>
      </c>
      <c r="L2617" t="s">
        <v>52</v>
      </c>
      <c r="M2617">
        <v>130811.712</v>
      </c>
      <c r="N2617">
        <v>474496.78899999999</v>
      </c>
      <c r="O2617" t="s">
        <v>53</v>
      </c>
      <c r="P2617" t="s">
        <v>54</v>
      </c>
      <c r="Q2617" t="s">
        <v>55</v>
      </c>
      <c r="T2617" t="s">
        <v>466</v>
      </c>
      <c r="U2617">
        <v>40</v>
      </c>
      <c r="V2617" s="1">
        <v>42552</v>
      </c>
      <c r="W2617" s="1">
        <v>42552</v>
      </c>
      <c r="X2617" s="1">
        <v>42552</v>
      </c>
      <c r="Y2617" s="1">
        <v>57162</v>
      </c>
      <c r="Z2617" t="s">
        <v>51</v>
      </c>
      <c r="AB2617" t="s">
        <v>54</v>
      </c>
      <c r="AC2617">
        <v>1</v>
      </c>
      <c r="AE2617" t="s">
        <v>79</v>
      </c>
      <c r="AF2617">
        <v>20</v>
      </c>
      <c r="AG2617" s="1">
        <v>42552</v>
      </c>
      <c r="AH2617" s="1">
        <v>42552</v>
      </c>
      <c r="AI2617" s="1">
        <v>42552</v>
      </c>
      <c r="AJ2617" s="1">
        <v>49857</v>
      </c>
      <c r="AK2617" t="s">
        <v>51</v>
      </c>
      <c r="AN2617">
        <v>0</v>
      </c>
      <c r="AO2617" t="s">
        <v>54</v>
      </c>
      <c r="AP2617" t="s">
        <v>53</v>
      </c>
      <c r="AQ2617">
        <v>0</v>
      </c>
      <c r="AR2617" t="s">
        <v>145</v>
      </c>
      <c r="AS2617">
        <v>0</v>
      </c>
      <c r="AT2617">
        <v>0</v>
      </c>
      <c r="CC2617" t="s">
        <v>529</v>
      </c>
      <c r="CD2617">
        <v>85000</v>
      </c>
      <c r="CE2617" s="1">
        <v>42552</v>
      </c>
      <c r="CF2617" s="1">
        <v>42552</v>
      </c>
      <c r="CG2617" s="1">
        <v>42552</v>
      </c>
      <c r="CH2617" s="1">
        <v>49714</v>
      </c>
      <c r="CI2617" t="s">
        <v>51</v>
      </c>
      <c r="CK2617" t="s">
        <v>78</v>
      </c>
      <c r="CM2617" t="s">
        <v>54</v>
      </c>
      <c r="CN2617" t="s">
        <v>174</v>
      </c>
      <c r="CO2617" t="s">
        <v>86</v>
      </c>
      <c r="CR2617">
        <v>35</v>
      </c>
      <c r="CS2617">
        <v>0</v>
      </c>
      <c r="CT2617">
        <v>0</v>
      </c>
      <c r="CU2617">
        <v>0</v>
      </c>
    </row>
    <row r="2618" spans="1:99" x14ac:dyDescent="0.2">
      <c r="A2618" t="s">
        <v>1012</v>
      </c>
      <c r="B2618" t="s">
        <v>1013</v>
      </c>
      <c r="C2618" t="s">
        <v>1014</v>
      </c>
      <c r="D2618" t="s">
        <v>1125</v>
      </c>
      <c r="F2618" t="str">
        <f>"252225"</f>
        <v>252225</v>
      </c>
      <c r="G2618" t="s">
        <v>49</v>
      </c>
      <c r="K2618" t="s">
        <v>51</v>
      </c>
      <c r="L2618" t="s">
        <v>52</v>
      </c>
      <c r="M2618">
        <v>130734.469</v>
      </c>
      <c r="N2618">
        <v>474381.64600000001</v>
      </c>
      <c r="O2618" t="s">
        <v>53</v>
      </c>
      <c r="P2618" t="s">
        <v>54</v>
      </c>
      <c r="Q2618" t="s">
        <v>55</v>
      </c>
      <c r="T2618" t="s">
        <v>466</v>
      </c>
      <c r="U2618">
        <v>40</v>
      </c>
      <c r="V2618" s="1">
        <v>42552</v>
      </c>
      <c r="W2618" s="1">
        <v>42552</v>
      </c>
      <c r="X2618" s="1">
        <v>42552</v>
      </c>
      <c r="Y2618" s="1">
        <v>57162</v>
      </c>
      <c r="Z2618" t="s">
        <v>51</v>
      </c>
      <c r="AB2618" t="s">
        <v>54</v>
      </c>
      <c r="AC2618">
        <v>1</v>
      </c>
      <c r="AE2618" t="s">
        <v>79</v>
      </c>
      <c r="AF2618">
        <v>20</v>
      </c>
      <c r="AG2618" s="1">
        <v>42552</v>
      </c>
      <c r="AH2618" s="1">
        <v>42552</v>
      </c>
      <c r="AI2618" s="1">
        <v>42552</v>
      </c>
      <c r="AJ2618" s="1">
        <v>49857</v>
      </c>
      <c r="AK2618" t="s">
        <v>51</v>
      </c>
      <c r="AN2618">
        <v>0</v>
      </c>
      <c r="AO2618" t="s">
        <v>54</v>
      </c>
      <c r="AP2618" t="s">
        <v>53</v>
      </c>
      <c r="AQ2618">
        <v>0</v>
      </c>
      <c r="AR2618" t="s">
        <v>145</v>
      </c>
      <c r="AS2618">
        <v>0</v>
      </c>
      <c r="AT2618">
        <v>0</v>
      </c>
      <c r="CC2618" t="s">
        <v>529</v>
      </c>
      <c r="CD2618">
        <v>85000</v>
      </c>
      <c r="CE2618" s="1">
        <v>42552</v>
      </c>
      <c r="CF2618" s="1">
        <v>42552</v>
      </c>
      <c r="CG2618" s="1">
        <v>42552</v>
      </c>
      <c r="CH2618" s="1">
        <v>49714</v>
      </c>
      <c r="CI2618" t="s">
        <v>51</v>
      </c>
      <c r="CK2618" t="s">
        <v>78</v>
      </c>
      <c r="CM2618" t="s">
        <v>54</v>
      </c>
      <c r="CN2618" t="s">
        <v>174</v>
      </c>
      <c r="CO2618" t="s">
        <v>86</v>
      </c>
      <c r="CR2618">
        <v>35</v>
      </c>
      <c r="CS2618">
        <v>0</v>
      </c>
      <c r="CT2618">
        <v>0</v>
      </c>
      <c r="CU2618">
        <v>0</v>
      </c>
    </row>
    <row r="2619" spans="1:99" x14ac:dyDescent="0.2">
      <c r="A2619" t="s">
        <v>1012</v>
      </c>
      <c r="B2619" t="s">
        <v>1013</v>
      </c>
      <c r="C2619" t="s">
        <v>1014</v>
      </c>
      <c r="D2619" t="s">
        <v>1125</v>
      </c>
      <c r="F2619" t="str">
        <f>"252226"</f>
        <v>252226</v>
      </c>
      <c r="G2619" t="s">
        <v>49</v>
      </c>
      <c r="H2619" t="s">
        <v>102</v>
      </c>
      <c r="K2619" t="s">
        <v>51</v>
      </c>
      <c r="L2619" t="s">
        <v>52</v>
      </c>
      <c r="M2619">
        <v>130732.292</v>
      </c>
      <c r="N2619">
        <v>474283.59</v>
      </c>
      <c r="O2619" t="s">
        <v>53</v>
      </c>
      <c r="P2619" t="s">
        <v>54</v>
      </c>
      <c r="Q2619" t="s">
        <v>55</v>
      </c>
      <c r="T2619" t="s">
        <v>466</v>
      </c>
      <c r="U2619">
        <v>40</v>
      </c>
      <c r="V2619" s="1">
        <v>42552</v>
      </c>
      <c r="W2619" s="1">
        <v>42552</v>
      </c>
      <c r="X2619" s="1">
        <v>42552</v>
      </c>
      <c r="Y2619" s="1">
        <v>57162</v>
      </c>
      <c r="Z2619" t="s">
        <v>51</v>
      </c>
      <c r="AB2619" t="s">
        <v>54</v>
      </c>
      <c r="AC2619">
        <v>1</v>
      </c>
      <c r="AE2619" t="s">
        <v>79</v>
      </c>
      <c r="AF2619">
        <v>20</v>
      </c>
      <c r="AG2619" s="1">
        <v>42552</v>
      </c>
      <c r="AH2619" s="1">
        <v>42552</v>
      </c>
      <c r="AI2619" s="1">
        <v>42552</v>
      </c>
      <c r="AJ2619" s="1">
        <v>49857</v>
      </c>
      <c r="AK2619" t="s">
        <v>51</v>
      </c>
      <c r="AN2619">
        <v>0</v>
      </c>
      <c r="AO2619" t="s">
        <v>54</v>
      </c>
      <c r="AP2619" t="s">
        <v>53</v>
      </c>
      <c r="AQ2619">
        <v>0</v>
      </c>
      <c r="AR2619" t="s">
        <v>145</v>
      </c>
      <c r="AS2619">
        <v>0</v>
      </c>
      <c r="AT2619">
        <v>0</v>
      </c>
      <c r="CC2619" t="s">
        <v>529</v>
      </c>
      <c r="CD2619">
        <v>85000</v>
      </c>
      <c r="CE2619" s="1">
        <v>42552</v>
      </c>
      <c r="CF2619" s="1">
        <v>42552</v>
      </c>
      <c r="CG2619" s="1">
        <v>42552</v>
      </c>
      <c r="CH2619" s="1">
        <v>49714</v>
      </c>
      <c r="CI2619" t="s">
        <v>51</v>
      </c>
      <c r="CK2619" t="s">
        <v>78</v>
      </c>
      <c r="CM2619" t="s">
        <v>54</v>
      </c>
      <c r="CN2619" t="s">
        <v>174</v>
      </c>
      <c r="CO2619" t="s">
        <v>86</v>
      </c>
      <c r="CR2619">
        <v>35</v>
      </c>
      <c r="CS2619">
        <v>0</v>
      </c>
      <c r="CT2619">
        <v>0</v>
      </c>
      <c r="CU2619">
        <v>0</v>
      </c>
    </row>
    <row r="2620" spans="1:99" x14ac:dyDescent="0.2">
      <c r="A2620" t="s">
        <v>1012</v>
      </c>
      <c r="B2620" t="s">
        <v>1013</v>
      </c>
      <c r="C2620" t="s">
        <v>1014</v>
      </c>
      <c r="D2620" t="s">
        <v>1125</v>
      </c>
      <c r="F2620" t="str">
        <f>"252227"</f>
        <v>252227</v>
      </c>
      <c r="G2620" t="s">
        <v>49</v>
      </c>
      <c r="K2620" t="s">
        <v>51</v>
      </c>
      <c r="L2620" t="s">
        <v>52</v>
      </c>
      <c r="M2620">
        <v>130782.49</v>
      </c>
      <c r="N2620">
        <v>474192.09</v>
      </c>
      <c r="O2620" t="s">
        <v>53</v>
      </c>
      <c r="P2620" t="s">
        <v>54</v>
      </c>
      <c r="Q2620" t="s">
        <v>55</v>
      </c>
      <c r="T2620" t="s">
        <v>466</v>
      </c>
      <c r="U2620">
        <v>40</v>
      </c>
      <c r="V2620" s="1">
        <v>42552</v>
      </c>
      <c r="W2620" s="1">
        <v>42552</v>
      </c>
      <c r="X2620" s="1">
        <v>42552</v>
      </c>
      <c r="Y2620" s="1">
        <v>57162</v>
      </c>
      <c r="Z2620" t="s">
        <v>51</v>
      </c>
      <c r="AB2620" t="s">
        <v>54</v>
      </c>
      <c r="AC2620">
        <v>1</v>
      </c>
      <c r="AE2620" t="s">
        <v>356</v>
      </c>
      <c r="AF2620">
        <v>20</v>
      </c>
      <c r="AG2620" s="1">
        <v>44067</v>
      </c>
      <c r="AH2620" s="1">
        <v>44067</v>
      </c>
      <c r="AI2620" s="1">
        <v>44067</v>
      </c>
      <c r="AJ2620" s="1">
        <v>51372</v>
      </c>
      <c r="AK2620" t="s">
        <v>51</v>
      </c>
      <c r="AN2620">
        <v>0</v>
      </c>
      <c r="AO2620" t="s">
        <v>54</v>
      </c>
      <c r="AP2620" t="s">
        <v>53</v>
      </c>
      <c r="AQ2620">
        <v>0</v>
      </c>
      <c r="AR2620" t="s">
        <v>145</v>
      </c>
      <c r="AS2620">
        <v>0</v>
      </c>
      <c r="AT2620">
        <v>0</v>
      </c>
      <c r="CC2620" t="s">
        <v>529</v>
      </c>
      <c r="CD2620">
        <v>85000</v>
      </c>
      <c r="CE2620" s="1">
        <v>43381</v>
      </c>
      <c r="CF2620" s="1">
        <v>43381</v>
      </c>
      <c r="CG2620" s="1">
        <v>44067</v>
      </c>
      <c r="CH2620" s="1">
        <v>50527</v>
      </c>
      <c r="CI2620" t="s">
        <v>51</v>
      </c>
      <c r="CK2620" t="s">
        <v>78</v>
      </c>
      <c r="CM2620" t="s">
        <v>54</v>
      </c>
      <c r="CN2620" t="s">
        <v>174</v>
      </c>
      <c r="CO2620" t="s">
        <v>86</v>
      </c>
      <c r="CR2620">
        <v>35</v>
      </c>
      <c r="CS2620">
        <v>0</v>
      </c>
      <c r="CT2620">
        <v>0</v>
      </c>
      <c r="CU2620">
        <v>0</v>
      </c>
    </row>
    <row r="2621" spans="1:99" x14ac:dyDescent="0.2">
      <c r="A2621" t="s">
        <v>1012</v>
      </c>
      <c r="B2621" t="s">
        <v>1013</v>
      </c>
      <c r="C2621" t="s">
        <v>1014</v>
      </c>
      <c r="D2621" t="s">
        <v>1133</v>
      </c>
      <c r="F2621" t="str">
        <f>"252232"</f>
        <v>252232</v>
      </c>
      <c r="G2621" t="s">
        <v>49</v>
      </c>
      <c r="H2621" t="s">
        <v>1134</v>
      </c>
      <c r="K2621" t="s">
        <v>51</v>
      </c>
      <c r="L2621" t="s">
        <v>52</v>
      </c>
      <c r="M2621">
        <v>131368.21</v>
      </c>
      <c r="N2621">
        <v>475077.75</v>
      </c>
      <c r="O2621" t="s">
        <v>53</v>
      </c>
      <c r="P2621" t="s">
        <v>54</v>
      </c>
      <c r="Q2621" t="s">
        <v>55</v>
      </c>
      <c r="T2621" t="s">
        <v>466</v>
      </c>
      <c r="U2621">
        <v>40</v>
      </c>
      <c r="V2621" s="1">
        <v>41821</v>
      </c>
      <c r="W2621" s="1">
        <v>41821</v>
      </c>
      <c r="X2621" s="1">
        <v>41821</v>
      </c>
      <c r="Y2621" s="1">
        <v>56431</v>
      </c>
      <c r="Z2621" t="s">
        <v>51</v>
      </c>
      <c r="AB2621" t="s">
        <v>54</v>
      </c>
      <c r="AC2621">
        <v>1</v>
      </c>
      <c r="AE2621" t="s">
        <v>79</v>
      </c>
      <c r="AF2621">
        <v>20</v>
      </c>
      <c r="AG2621" s="1">
        <v>41821</v>
      </c>
      <c r="AH2621" s="1">
        <v>41821</v>
      </c>
      <c r="AI2621" s="1">
        <v>41821</v>
      </c>
      <c r="AJ2621" s="1">
        <v>49126</v>
      </c>
      <c r="AK2621" t="s">
        <v>51</v>
      </c>
      <c r="AN2621">
        <v>0</v>
      </c>
      <c r="AO2621" t="s">
        <v>54</v>
      </c>
      <c r="AP2621" t="s">
        <v>53</v>
      </c>
      <c r="AQ2621">
        <v>0</v>
      </c>
      <c r="AR2621" t="s">
        <v>145</v>
      </c>
      <c r="AS2621">
        <v>0</v>
      </c>
      <c r="AT2621">
        <v>0</v>
      </c>
      <c r="CC2621" t="s">
        <v>850</v>
      </c>
      <c r="CD2621">
        <v>1</v>
      </c>
      <c r="CE2621" s="1">
        <v>43234</v>
      </c>
      <c r="CF2621" s="1">
        <v>43234</v>
      </c>
      <c r="CG2621" s="1">
        <v>43234</v>
      </c>
      <c r="CH2621" s="1">
        <v>50422</v>
      </c>
      <c r="CI2621" t="s">
        <v>51</v>
      </c>
      <c r="CK2621" t="s">
        <v>78</v>
      </c>
      <c r="CM2621" t="s">
        <v>54</v>
      </c>
      <c r="CN2621" t="s">
        <v>174</v>
      </c>
      <c r="CO2621" t="s">
        <v>86</v>
      </c>
      <c r="CR2621">
        <v>18</v>
      </c>
      <c r="CS2621">
        <v>0</v>
      </c>
      <c r="CT2621">
        <v>0</v>
      </c>
      <c r="CU2621">
        <v>0</v>
      </c>
    </row>
    <row r="2622" spans="1:99" x14ac:dyDescent="0.2">
      <c r="A2622" t="s">
        <v>1012</v>
      </c>
      <c r="B2622" t="s">
        <v>1013</v>
      </c>
      <c r="C2622" t="s">
        <v>1014</v>
      </c>
      <c r="D2622" t="s">
        <v>1133</v>
      </c>
      <c r="F2622" t="str">
        <f>"252233"</f>
        <v>252233</v>
      </c>
      <c r="G2622" t="s">
        <v>49</v>
      </c>
      <c r="H2622" t="s">
        <v>1134</v>
      </c>
      <c r="K2622" t="s">
        <v>51</v>
      </c>
      <c r="L2622" t="s">
        <v>52</v>
      </c>
      <c r="M2622">
        <v>131336.07999999999</v>
      </c>
      <c r="N2622">
        <v>475074.97</v>
      </c>
      <c r="O2622" t="s">
        <v>53</v>
      </c>
      <c r="P2622" t="s">
        <v>54</v>
      </c>
      <c r="Q2622" t="s">
        <v>55</v>
      </c>
      <c r="T2622" t="s">
        <v>466</v>
      </c>
      <c r="U2622">
        <v>40</v>
      </c>
      <c r="V2622" s="1">
        <v>41821</v>
      </c>
      <c r="W2622" s="1">
        <v>41821</v>
      </c>
      <c r="X2622" s="1">
        <v>41821</v>
      </c>
      <c r="Y2622" s="1">
        <v>56431</v>
      </c>
      <c r="Z2622" t="s">
        <v>51</v>
      </c>
      <c r="AB2622" t="s">
        <v>54</v>
      </c>
      <c r="AC2622">
        <v>1</v>
      </c>
      <c r="AE2622" t="s">
        <v>79</v>
      </c>
      <c r="AF2622">
        <v>20</v>
      </c>
      <c r="AG2622" s="1">
        <v>41821</v>
      </c>
      <c r="AH2622" s="1">
        <v>41821</v>
      </c>
      <c r="AI2622" s="1">
        <v>41821</v>
      </c>
      <c r="AJ2622" s="1">
        <v>49126</v>
      </c>
      <c r="AK2622" t="s">
        <v>51</v>
      </c>
      <c r="AN2622">
        <v>0</v>
      </c>
      <c r="AO2622" t="s">
        <v>54</v>
      </c>
      <c r="AP2622" t="s">
        <v>53</v>
      </c>
      <c r="AQ2622">
        <v>0</v>
      </c>
      <c r="AR2622" t="s">
        <v>145</v>
      </c>
      <c r="AS2622">
        <v>0</v>
      </c>
      <c r="AT2622">
        <v>0</v>
      </c>
      <c r="CC2622" t="s">
        <v>850</v>
      </c>
      <c r="CD2622">
        <v>1</v>
      </c>
      <c r="CE2622" s="1">
        <v>41821</v>
      </c>
      <c r="CF2622" s="1">
        <v>41821</v>
      </c>
      <c r="CG2622" s="1">
        <v>41821</v>
      </c>
      <c r="CH2622" s="1">
        <v>48983</v>
      </c>
      <c r="CI2622" t="s">
        <v>51</v>
      </c>
      <c r="CK2622" t="s">
        <v>78</v>
      </c>
      <c r="CM2622" t="s">
        <v>54</v>
      </c>
      <c r="CN2622" t="s">
        <v>174</v>
      </c>
      <c r="CO2622" t="s">
        <v>86</v>
      </c>
      <c r="CR2622">
        <v>18</v>
      </c>
      <c r="CS2622">
        <v>0</v>
      </c>
      <c r="CT2622">
        <v>0</v>
      </c>
      <c r="CU2622">
        <v>0</v>
      </c>
    </row>
    <row r="2623" spans="1:99" x14ac:dyDescent="0.2">
      <c r="A2623" t="s">
        <v>1012</v>
      </c>
      <c r="B2623" t="s">
        <v>1013</v>
      </c>
      <c r="C2623" t="s">
        <v>1014</v>
      </c>
      <c r="D2623" t="s">
        <v>1133</v>
      </c>
      <c r="F2623" t="str">
        <f>"252234"</f>
        <v>252234</v>
      </c>
      <c r="G2623" t="s">
        <v>49</v>
      </c>
      <c r="H2623" t="s">
        <v>1134</v>
      </c>
      <c r="K2623" t="s">
        <v>51</v>
      </c>
      <c r="L2623" t="s">
        <v>52</v>
      </c>
      <c r="M2623">
        <v>131303</v>
      </c>
      <c r="N2623">
        <v>475072.09</v>
      </c>
      <c r="O2623" t="s">
        <v>53</v>
      </c>
      <c r="P2623" t="s">
        <v>54</v>
      </c>
      <c r="Q2623" t="s">
        <v>55</v>
      </c>
      <c r="T2623" t="s">
        <v>466</v>
      </c>
      <c r="U2623">
        <v>40</v>
      </c>
      <c r="V2623" s="1">
        <v>41821</v>
      </c>
      <c r="W2623" s="1">
        <v>41821</v>
      </c>
      <c r="X2623" s="1">
        <v>41821</v>
      </c>
      <c r="Y2623" s="1">
        <v>56431</v>
      </c>
      <c r="Z2623" t="s">
        <v>51</v>
      </c>
      <c r="AB2623" t="s">
        <v>54</v>
      </c>
      <c r="AC2623">
        <v>1</v>
      </c>
      <c r="AE2623" t="s">
        <v>79</v>
      </c>
      <c r="AF2623">
        <v>20</v>
      </c>
      <c r="AG2623" s="1">
        <v>41821</v>
      </c>
      <c r="AH2623" s="1">
        <v>41821</v>
      </c>
      <c r="AI2623" s="1">
        <v>41821</v>
      </c>
      <c r="AJ2623" s="1">
        <v>49126</v>
      </c>
      <c r="AK2623" t="s">
        <v>51</v>
      </c>
      <c r="AN2623">
        <v>0</v>
      </c>
      <c r="AO2623" t="s">
        <v>54</v>
      </c>
      <c r="AP2623" t="s">
        <v>53</v>
      </c>
      <c r="AQ2623">
        <v>0</v>
      </c>
      <c r="AR2623" t="s">
        <v>145</v>
      </c>
      <c r="AS2623">
        <v>0</v>
      </c>
      <c r="AT2623">
        <v>0</v>
      </c>
      <c r="CC2623" t="s">
        <v>850</v>
      </c>
      <c r="CD2623">
        <v>1</v>
      </c>
      <c r="CE2623" s="1">
        <v>41821</v>
      </c>
      <c r="CF2623" s="1">
        <v>41821</v>
      </c>
      <c r="CG2623" s="1">
        <v>41821</v>
      </c>
      <c r="CH2623" s="1">
        <v>48983</v>
      </c>
      <c r="CI2623" t="s">
        <v>51</v>
      </c>
      <c r="CK2623" t="s">
        <v>78</v>
      </c>
      <c r="CM2623" t="s">
        <v>54</v>
      </c>
      <c r="CN2623" t="s">
        <v>174</v>
      </c>
      <c r="CO2623" t="s">
        <v>86</v>
      </c>
      <c r="CR2623">
        <v>18</v>
      </c>
      <c r="CS2623">
        <v>0</v>
      </c>
      <c r="CT2623">
        <v>0</v>
      </c>
      <c r="CU2623">
        <v>0</v>
      </c>
    </row>
    <row r="2624" spans="1:99" x14ac:dyDescent="0.2">
      <c r="A2624" t="s">
        <v>1012</v>
      </c>
      <c r="B2624" t="s">
        <v>1013</v>
      </c>
      <c r="C2624" t="s">
        <v>1014</v>
      </c>
      <c r="D2624" t="s">
        <v>1133</v>
      </c>
      <c r="F2624" t="str">
        <f>"252235"</f>
        <v>252235</v>
      </c>
      <c r="G2624" t="s">
        <v>49</v>
      </c>
      <c r="H2624" t="s">
        <v>1134</v>
      </c>
      <c r="K2624" t="s">
        <v>51</v>
      </c>
      <c r="L2624" t="s">
        <v>52</v>
      </c>
      <c r="M2624">
        <v>131268.94</v>
      </c>
      <c r="N2624">
        <v>475069.03</v>
      </c>
      <c r="O2624" t="s">
        <v>53</v>
      </c>
      <c r="P2624" t="s">
        <v>54</v>
      </c>
      <c r="Q2624" t="s">
        <v>55</v>
      </c>
      <c r="T2624" t="s">
        <v>466</v>
      </c>
      <c r="U2624">
        <v>40</v>
      </c>
      <c r="V2624" s="1">
        <v>41821</v>
      </c>
      <c r="W2624" s="1">
        <v>41821</v>
      </c>
      <c r="X2624" s="1">
        <v>41821</v>
      </c>
      <c r="Y2624" s="1">
        <v>56431</v>
      </c>
      <c r="Z2624" t="s">
        <v>51</v>
      </c>
      <c r="AB2624" t="s">
        <v>54</v>
      </c>
      <c r="AC2624">
        <v>1</v>
      </c>
      <c r="AE2624" t="s">
        <v>79</v>
      </c>
      <c r="AF2624">
        <v>20</v>
      </c>
      <c r="AG2624" s="1">
        <v>41821</v>
      </c>
      <c r="AH2624" s="1">
        <v>41821</v>
      </c>
      <c r="AI2624" s="1">
        <v>41821</v>
      </c>
      <c r="AJ2624" s="1">
        <v>49126</v>
      </c>
      <c r="AK2624" t="s">
        <v>51</v>
      </c>
      <c r="AN2624">
        <v>0</v>
      </c>
      <c r="AO2624" t="s">
        <v>54</v>
      </c>
      <c r="AP2624" t="s">
        <v>53</v>
      </c>
      <c r="AQ2624">
        <v>0</v>
      </c>
      <c r="AR2624" t="s">
        <v>145</v>
      </c>
      <c r="AS2624">
        <v>0</v>
      </c>
      <c r="AT2624">
        <v>0</v>
      </c>
      <c r="CC2624" t="s">
        <v>432</v>
      </c>
      <c r="CD2624">
        <v>85000</v>
      </c>
      <c r="CE2624" s="1">
        <v>41821</v>
      </c>
      <c r="CF2624" s="1">
        <v>41821</v>
      </c>
      <c r="CG2624" s="1">
        <v>41821</v>
      </c>
      <c r="CH2624" s="1">
        <v>48983</v>
      </c>
      <c r="CI2624" t="s">
        <v>51</v>
      </c>
      <c r="CK2624" t="s">
        <v>78</v>
      </c>
      <c r="CM2624" t="s">
        <v>54</v>
      </c>
      <c r="CN2624" t="s">
        <v>174</v>
      </c>
      <c r="CO2624" t="s">
        <v>86</v>
      </c>
      <c r="CR2624">
        <v>24</v>
      </c>
      <c r="CS2624">
        <v>0</v>
      </c>
      <c r="CT2624">
        <v>0</v>
      </c>
      <c r="CU2624">
        <v>0</v>
      </c>
    </row>
    <row r="2625" spans="1:112" x14ac:dyDescent="0.2">
      <c r="A2625" t="s">
        <v>1012</v>
      </c>
      <c r="B2625" t="s">
        <v>1013</v>
      </c>
      <c r="C2625" t="s">
        <v>1014</v>
      </c>
      <c r="D2625" t="s">
        <v>1133</v>
      </c>
      <c r="F2625" t="str">
        <f>"252236"</f>
        <v>252236</v>
      </c>
      <c r="G2625" t="s">
        <v>49</v>
      </c>
      <c r="K2625" t="s">
        <v>51</v>
      </c>
      <c r="L2625" t="s">
        <v>52</v>
      </c>
      <c r="M2625">
        <v>131238.01</v>
      </c>
      <c r="N2625">
        <v>475066.19</v>
      </c>
      <c r="O2625" t="s">
        <v>53</v>
      </c>
      <c r="P2625" t="s">
        <v>54</v>
      </c>
      <c r="Q2625" t="s">
        <v>55</v>
      </c>
      <c r="T2625" t="s">
        <v>466</v>
      </c>
      <c r="U2625">
        <v>40</v>
      </c>
      <c r="V2625" s="1">
        <v>41821</v>
      </c>
      <c r="W2625" s="1">
        <v>41821</v>
      </c>
      <c r="X2625" s="1">
        <v>41821</v>
      </c>
      <c r="Y2625" s="1">
        <v>56431</v>
      </c>
      <c r="Z2625" t="s">
        <v>51</v>
      </c>
      <c r="AB2625" t="s">
        <v>54</v>
      </c>
      <c r="AC2625">
        <v>1</v>
      </c>
      <c r="AE2625" t="s">
        <v>79</v>
      </c>
      <c r="AF2625">
        <v>20</v>
      </c>
      <c r="AG2625" s="1">
        <v>41821</v>
      </c>
      <c r="AH2625" s="1">
        <v>41821</v>
      </c>
      <c r="AI2625" s="1">
        <v>41821</v>
      </c>
      <c r="AJ2625" s="1">
        <v>49126</v>
      </c>
      <c r="AK2625" t="s">
        <v>51</v>
      </c>
      <c r="AN2625">
        <v>0</v>
      </c>
      <c r="AO2625" t="s">
        <v>54</v>
      </c>
      <c r="AP2625" t="s">
        <v>53</v>
      </c>
      <c r="AQ2625">
        <v>0</v>
      </c>
      <c r="AR2625" t="s">
        <v>145</v>
      </c>
      <c r="AS2625">
        <v>0</v>
      </c>
      <c r="AT2625">
        <v>0</v>
      </c>
      <c r="CC2625" t="s">
        <v>850</v>
      </c>
      <c r="CD2625">
        <v>1</v>
      </c>
      <c r="CE2625" s="1">
        <v>41821</v>
      </c>
      <c r="CF2625" s="1">
        <v>41821</v>
      </c>
      <c r="CG2625" s="1">
        <v>41821</v>
      </c>
      <c r="CH2625" s="1">
        <v>48983</v>
      </c>
      <c r="CI2625" t="s">
        <v>51</v>
      </c>
      <c r="CK2625" t="s">
        <v>78</v>
      </c>
      <c r="CM2625" t="s">
        <v>54</v>
      </c>
      <c r="CN2625" t="s">
        <v>174</v>
      </c>
      <c r="CO2625" t="s">
        <v>86</v>
      </c>
      <c r="CR2625">
        <v>18</v>
      </c>
      <c r="CS2625">
        <v>0</v>
      </c>
      <c r="CT2625">
        <v>0</v>
      </c>
      <c r="CU2625">
        <v>0</v>
      </c>
    </row>
    <row r="2626" spans="1:112" x14ac:dyDescent="0.2">
      <c r="A2626" t="s">
        <v>1012</v>
      </c>
      <c r="B2626" t="s">
        <v>1013</v>
      </c>
      <c r="C2626" t="s">
        <v>1014</v>
      </c>
      <c r="D2626" t="s">
        <v>1133</v>
      </c>
      <c r="F2626" t="str">
        <f>"252237"</f>
        <v>252237</v>
      </c>
      <c r="G2626" t="s">
        <v>49</v>
      </c>
      <c r="K2626" t="s">
        <v>51</v>
      </c>
      <c r="L2626" t="s">
        <v>52</v>
      </c>
      <c r="M2626">
        <v>131204.84</v>
      </c>
      <c r="N2626">
        <v>475055.83</v>
      </c>
      <c r="O2626" t="s">
        <v>53</v>
      </c>
      <c r="P2626" t="s">
        <v>54</v>
      </c>
      <c r="Q2626" t="s">
        <v>55</v>
      </c>
      <c r="T2626" t="s">
        <v>466</v>
      </c>
      <c r="U2626">
        <v>40</v>
      </c>
      <c r="V2626" s="1">
        <v>41821</v>
      </c>
      <c r="W2626" s="1">
        <v>41821</v>
      </c>
      <c r="X2626" s="1">
        <v>41821</v>
      </c>
      <c r="Y2626" s="1">
        <v>56431</v>
      </c>
      <c r="Z2626" t="s">
        <v>51</v>
      </c>
      <c r="AB2626" t="s">
        <v>54</v>
      </c>
      <c r="AC2626">
        <v>1</v>
      </c>
      <c r="AE2626" t="s">
        <v>79</v>
      </c>
      <c r="AF2626">
        <v>20</v>
      </c>
      <c r="AG2626" s="1">
        <v>41821</v>
      </c>
      <c r="AH2626" s="1">
        <v>41821</v>
      </c>
      <c r="AI2626" s="1">
        <v>41821</v>
      </c>
      <c r="AJ2626" s="1">
        <v>49126</v>
      </c>
      <c r="AK2626" t="s">
        <v>51</v>
      </c>
      <c r="AN2626">
        <v>0</v>
      </c>
      <c r="AO2626" t="s">
        <v>54</v>
      </c>
      <c r="AP2626" t="s">
        <v>53</v>
      </c>
      <c r="AQ2626">
        <v>0</v>
      </c>
      <c r="AR2626" t="s">
        <v>145</v>
      </c>
      <c r="AS2626">
        <v>0</v>
      </c>
      <c r="AT2626">
        <v>0</v>
      </c>
      <c r="CC2626" t="s">
        <v>850</v>
      </c>
      <c r="CD2626">
        <v>1</v>
      </c>
      <c r="CE2626" s="1">
        <v>41821</v>
      </c>
      <c r="CF2626" s="1">
        <v>41821</v>
      </c>
      <c r="CG2626" s="1">
        <v>41821</v>
      </c>
      <c r="CH2626" s="1">
        <v>48983</v>
      </c>
      <c r="CI2626" t="s">
        <v>51</v>
      </c>
      <c r="CK2626" t="s">
        <v>78</v>
      </c>
      <c r="CM2626" t="s">
        <v>54</v>
      </c>
      <c r="CN2626" t="s">
        <v>174</v>
      </c>
      <c r="CO2626" t="s">
        <v>86</v>
      </c>
      <c r="CR2626">
        <v>18</v>
      </c>
      <c r="CS2626">
        <v>0</v>
      </c>
      <c r="CT2626">
        <v>0</v>
      </c>
      <c r="CU2626">
        <v>0</v>
      </c>
    </row>
    <row r="2627" spans="1:112" x14ac:dyDescent="0.2">
      <c r="A2627" t="s">
        <v>1012</v>
      </c>
      <c r="B2627" t="s">
        <v>1013</v>
      </c>
      <c r="C2627" t="s">
        <v>1014</v>
      </c>
      <c r="D2627" t="s">
        <v>1133</v>
      </c>
      <c r="F2627" t="str">
        <f>"252238"</f>
        <v>252238</v>
      </c>
      <c r="G2627" t="s">
        <v>49</v>
      </c>
      <c r="K2627" t="s">
        <v>51</v>
      </c>
      <c r="L2627" t="s">
        <v>52</v>
      </c>
      <c r="M2627">
        <v>131120.571</v>
      </c>
      <c r="N2627">
        <v>475053.005</v>
      </c>
      <c r="O2627" t="s">
        <v>53</v>
      </c>
      <c r="P2627" t="s">
        <v>54</v>
      </c>
      <c r="Q2627" t="s">
        <v>55</v>
      </c>
      <c r="T2627" t="s">
        <v>466</v>
      </c>
      <c r="U2627">
        <v>40</v>
      </c>
      <c r="V2627" s="1">
        <v>40544</v>
      </c>
      <c r="W2627" s="1">
        <v>40544</v>
      </c>
      <c r="X2627" s="1">
        <v>40544</v>
      </c>
      <c r="Y2627" s="1">
        <v>55154</v>
      </c>
      <c r="Z2627" t="s">
        <v>51</v>
      </c>
      <c r="AB2627" t="s">
        <v>54</v>
      </c>
      <c r="AC2627">
        <v>1</v>
      </c>
      <c r="AE2627" t="s">
        <v>613</v>
      </c>
      <c r="AF2627">
        <v>20</v>
      </c>
      <c r="AG2627" s="1">
        <v>40544</v>
      </c>
      <c r="AH2627" s="1">
        <v>40544</v>
      </c>
      <c r="AI2627" s="1">
        <v>40544</v>
      </c>
      <c r="AJ2627" s="1">
        <v>47849</v>
      </c>
      <c r="AK2627" t="s">
        <v>51</v>
      </c>
      <c r="AN2627">
        <v>0</v>
      </c>
      <c r="AO2627" t="s">
        <v>54</v>
      </c>
      <c r="AP2627" t="s">
        <v>53</v>
      </c>
      <c r="AQ2627">
        <v>0</v>
      </c>
      <c r="AR2627" t="s">
        <v>53</v>
      </c>
      <c r="AS2627">
        <v>0</v>
      </c>
      <c r="AT2627">
        <v>0</v>
      </c>
      <c r="AW2627" t="s">
        <v>58</v>
      </c>
      <c r="AX2627">
        <v>20</v>
      </c>
      <c r="AY2627" s="1">
        <v>40544</v>
      </c>
      <c r="AZ2627" s="1">
        <v>40544</v>
      </c>
      <c r="BA2627" s="1">
        <v>40544</v>
      </c>
      <c r="BB2627" s="1">
        <v>47849</v>
      </c>
      <c r="BC2627" t="s">
        <v>51</v>
      </c>
      <c r="BE2627" t="s">
        <v>54</v>
      </c>
      <c r="BF2627">
        <v>2</v>
      </c>
      <c r="BG2627">
        <v>0</v>
      </c>
      <c r="BH2627" t="s">
        <v>53</v>
      </c>
      <c r="BK2627" t="s">
        <v>797</v>
      </c>
      <c r="BL2627">
        <v>12000</v>
      </c>
      <c r="BM2627" s="1">
        <v>41456</v>
      </c>
      <c r="BN2627" s="1">
        <v>41456</v>
      </c>
      <c r="BO2627" s="1">
        <v>41456</v>
      </c>
      <c r="BP2627" s="1">
        <v>42442</v>
      </c>
      <c r="BQ2627" t="s">
        <v>51</v>
      </c>
      <c r="BS2627" t="s">
        <v>60</v>
      </c>
      <c r="BT2627" t="s">
        <v>54</v>
      </c>
      <c r="BU2627" t="s">
        <v>72</v>
      </c>
      <c r="BV2627" t="s">
        <v>73</v>
      </c>
      <c r="BX2627">
        <v>35</v>
      </c>
      <c r="BY2627">
        <v>0</v>
      </c>
      <c r="BZ2627">
        <v>0</v>
      </c>
    </row>
    <row r="2628" spans="1:112" x14ac:dyDescent="0.2">
      <c r="A2628" t="s">
        <v>1012</v>
      </c>
      <c r="B2628" t="s">
        <v>1013</v>
      </c>
      <c r="C2628" t="s">
        <v>1014</v>
      </c>
      <c r="D2628" t="s">
        <v>1133</v>
      </c>
      <c r="F2628" t="str">
        <f>"252239"</f>
        <v>252239</v>
      </c>
      <c r="G2628" t="s">
        <v>49</v>
      </c>
      <c r="K2628" t="s">
        <v>51</v>
      </c>
      <c r="L2628" t="s">
        <v>52</v>
      </c>
      <c r="M2628">
        <v>131019.42</v>
      </c>
      <c r="N2628">
        <v>475044.03</v>
      </c>
      <c r="O2628" t="s">
        <v>53</v>
      </c>
      <c r="P2628" t="s">
        <v>54</v>
      </c>
      <c r="Q2628" t="s">
        <v>55</v>
      </c>
      <c r="T2628" t="s">
        <v>466</v>
      </c>
      <c r="U2628">
        <v>40</v>
      </c>
      <c r="V2628" s="1">
        <v>40544</v>
      </c>
      <c r="W2628" s="1">
        <v>40544</v>
      </c>
      <c r="X2628" s="1">
        <v>40544</v>
      </c>
      <c r="Y2628" s="1">
        <v>55154</v>
      </c>
      <c r="Z2628" t="s">
        <v>51</v>
      </c>
      <c r="AB2628" t="s">
        <v>54</v>
      </c>
      <c r="AC2628">
        <v>1</v>
      </c>
      <c r="AE2628" t="s">
        <v>613</v>
      </c>
      <c r="AF2628">
        <v>20</v>
      </c>
      <c r="AG2628" s="1">
        <v>40544</v>
      </c>
      <c r="AH2628" s="1">
        <v>40544</v>
      </c>
      <c r="AI2628" s="1">
        <v>40544</v>
      </c>
      <c r="AJ2628" s="1">
        <v>47849</v>
      </c>
      <c r="AK2628" t="s">
        <v>51</v>
      </c>
      <c r="AN2628">
        <v>0</v>
      </c>
      <c r="AO2628" t="s">
        <v>54</v>
      </c>
      <c r="AP2628" t="s">
        <v>53</v>
      </c>
      <c r="AQ2628">
        <v>0</v>
      </c>
      <c r="AR2628" t="s">
        <v>53</v>
      </c>
      <c r="AS2628">
        <v>0</v>
      </c>
      <c r="AT2628">
        <v>0</v>
      </c>
      <c r="AW2628" t="s">
        <v>58</v>
      </c>
      <c r="AX2628">
        <v>20</v>
      </c>
      <c r="AY2628" s="1">
        <v>40544</v>
      </c>
      <c r="AZ2628" s="1">
        <v>40544</v>
      </c>
      <c r="BA2628" s="1">
        <v>40544</v>
      </c>
      <c r="BB2628" s="1">
        <v>47849</v>
      </c>
      <c r="BC2628" t="s">
        <v>51</v>
      </c>
      <c r="BE2628" t="s">
        <v>54</v>
      </c>
      <c r="BF2628">
        <v>2</v>
      </c>
      <c r="BG2628">
        <v>0</v>
      </c>
      <c r="BH2628" t="s">
        <v>53</v>
      </c>
      <c r="BK2628" t="s">
        <v>797</v>
      </c>
      <c r="BL2628">
        <v>12000</v>
      </c>
      <c r="BM2628" s="1">
        <v>41456</v>
      </c>
      <c r="BN2628" s="1">
        <v>41456</v>
      </c>
      <c r="BO2628" s="1">
        <v>41456</v>
      </c>
      <c r="BP2628" s="1">
        <v>42442</v>
      </c>
      <c r="BQ2628" t="s">
        <v>51</v>
      </c>
      <c r="BS2628" t="s">
        <v>60</v>
      </c>
      <c r="BT2628" t="s">
        <v>54</v>
      </c>
      <c r="BU2628" t="s">
        <v>72</v>
      </c>
      <c r="BV2628" t="s">
        <v>73</v>
      </c>
      <c r="BX2628">
        <v>35</v>
      </c>
      <c r="BY2628">
        <v>0</v>
      </c>
      <c r="BZ2628">
        <v>0</v>
      </c>
    </row>
    <row r="2629" spans="1:112" x14ac:dyDescent="0.2">
      <c r="A2629" t="s">
        <v>1012</v>
      </c>
      <c r="B2629" t="s">
        <v>1013</v>
      </c>
      <c r="C2629" t="s">
        <v>1014</v>
      </c>
      <c r="D2629" t="s">
        <v>1133</v>
      </c>
      <c r="F2629" t="str">
        <f>"252240"</f>
        <v>252240</v>
      </c>
      <c r="G2629" t="s">
        <v>49</v>
      </c>
      <c r="H2629" t="s">
        <v>1135</v>
      </c>
      <c r="K2629" t="s">
        <v>51</v>
      </c>
      <c r="L2629" t="s">
        <v>52</v>
      </c>
      <c r="M2629">
        <v>130868.61</v>
      </c>
      <c r="N2629">
        <v>475030.59</v>
      </c>
      <c r="O2629" t="s">
        <v>53</v>
      </c>
      <c r="P2629" t="s">
        <v>54</v>
      </c>
      <c r="Q2629" t="s">
        <v>55</v>
      </c>
      <c r="T2629" t="s">
        <v>466</v>
      </c>
      <c r="U2629">
        <v>40</v>
      </c>
      <c r="V2629" s="1">
        <v>40544</v>
      </c>
      <c r="W2629" s="1">
        <v>40544</v>
      </c>
      <c r="X2629" s="1">
        <v>40544</v>
      </c>
      <c r="Y2629" s="1">
        <v>55154</v>
      </c>
      <c r="Z2629" t="s">
        <v>51</v>
      </c>
      <c r="AB2629" t="s">
        <v>54</v>
      </c>
      <c r="AC2629">
        <v>1</v>
      </c>
      <c r="AE2629" t="s">
        <v>613</v>
      </c>
      <c r="AF2629">
        <v>20</v>
      </c>
      <c r="AG2629" s="1">
        <v>40544</v>
      </c>
      <c r="AH2629" s="1">
        <v>40544</v>
      </c>
      <c r="AI2629" s="1">
        <v>40544</v>
      </c>
      <c r="AJ2629" s="1">
        <v>47849</v>
      </c>
      <c r="AK2629" t="s">
        <v>51</v>
      </c>
      <c r="AN2629">
        <v>0</v>
      </c>
      <c r="AO2629" t="s">
        <v>54</v>
      </c>
      <c r="AP2629" t="s">
        <v>53</v>
      </c>
      <c r="AQ2629">
        <v>0</v>
      </c>
      <c r="AR2629" t="s">
        <v>53</v>
      </c>
      <c r="AS2629">
        <v>0</v>
      </c>
      <c r="AT2629">
        <v>0</v>
      </c>
      <c r="AW2629" t="s">
        <v>58</v>
      </c>
      <c r="AX2629">
        <v>20</v>
      </c>
      <c r="AY2629" s="1">
        <v>40544</v>
      </c>
      <c r="AZ2629" s="1">
        <v>40544</v>
      </c>
      <c r="BA2629" s="1">
        <v>40544</v>
      </c>
      <c r="BB2629" s="1">
        <v>47849</v>
      </c>
      <c r="BC2629" t="s">
        <v>51</v>
      </c>
      <c r="BE2629" t="s">
        <v>54</v>
      </c>
      <c r="BF2629">
        <v>2</v>
      </c>
      <c r="BG2629">
        <v>0</v>
      </c>
      <c r="BH2629" t="s">
        <v>53</v>
      </c>
      <c r="BK2629" t="s">
        <v>797</v>
      </c>
      <c r="BL2629">
        <v>12000</v>
      </c>
      <c r="BM2629" s="1">
        <v>41456</v>
      </c>
      <c r="BN2629" s="1">
        <v>41456</v>
      </c>
      <c r="BO2629" s="1">
        <v>41456</v>
      </c>
      <c r="BP2629" s="1">
        <v>42442</v>
      </c>
      <c r="BQ2629" t="s">
        <v>51</v>
      </c>
      <c r="BS2629" t="s">
        <v>60</v>
      </c>
      <c r="BT2629" t="s">
        <v>54</v>
      </c>
      <c r="BU2629" t="s">
        <v>72</v>
      </c>
      <c r="BV2629" t="s">
        <v>73</v>
      </c>
      <c r="BX2629">
        <v>35</v>
      </c>
      <c r="BY2629">
        <v>0</v>
      </c>
      <c r="BZ2629">
        <v>0</v>
      </c>
    </row>
    <row r="2630" spans="1:112" x14ac:dyDescent="0.2">
      <c r="A2630" t="s">
        <v>1012</v>
      </c>
      <c r="B2630" t="s">
        <v>1013</v>
      </c>
      <c r="C2630" t="s">
        <v>1014</v>
      </c>
      <c r="D2630" t="s">
        <v>1133</v>
      </c>
      <c r="F2630" t="str">
        <f>"252241"</f>
        <v>252241</v>
      </c>
      <c r="G2630" t="s">
        <v>49</v>
      </c>
      <c r="H2630" t="s">
        <v>1135</v>
      </c>
      <c r="K2630" t="s">
        <v>51</v>
      </c>
      <c r="L2630" t="s">
        <v>52</v>
      </c>
      <c r="M2630">
        <v>130746.955</v>
      </c>
      <c r="N2630">
        <v>475019.234</v>
      </c>
      <c r="O2630" t="s">
        <v>53</v>
      </c>
      <c r="P2630" t="s">
        <v>54</v>
      </c>
      <c r="Q2630" t="s">
        <v>55</v>
      </c>
      <c r="T2630" t="s">
        <v>466</v>
      </c>
      <c r="U2630">
        <v>40</v>
      </c>
      <c r="V2630" s="1">
        <v>40544</v>
      </c>
      <c r="W2630" s="1">
        <v>40544</v>
      </c>
      <c r="X2630" s="1">
        <v>40544</v>
      </c>
      <c r="Y2630" s="1">
        <v>55154</v>
      </c>
      <c r="Z2630" t="s">
        <v>51</v>
      </c>
      <c r="AB2630" t="s">
        <v>54</v>
      </c>
      <c r="AC2630">
        <v>1</v>
      </c>
      <c r="AE2630" t="s">
        <v>613</v>
      </c>
      <c r="AF2630">
        <v>20</v>
      </c>
      <c r="AG2630" s="1">
        <v>40544</v>
      </c>
      <c r="AH2630" s="1">
        <v>40544</v>
      </c>
      <c r="AI2630" s="1">
        <v>40544</v>
      </c>
      <c r="AJ2630" s="1">
        <v>47849</v>
      </c>
      <c r="AK2630" t="s">
        <v>51</v>
      </c>
      <c r="AN2630">
        <v>0</v>
      </c>
      <c r="AO2630" t="s">
        <v>54</v>
      </c>
      <c r="AP2630" t="s">
        <v>53</v>
      </c>
      <c r="AQ2630">
        <v>0</v>
      </c>
      <c r="AR2630" t="s">
        <v>53</v>
      </c>
      <c r="AS2630">
        <v>0</v>
      </c>
      <c r="AT2630">
        <v>0</v>
      </c>
      <c r="AW2630" t="s">
        <v>58</v>
      </c>
      <c r="AX2630">
        <v>20</v>
      </c>
      <c r="AY2630" s="1">
        <v>40544</v>
      </c>
      <c r="AZ2630" s="1">
        <v>40544</v>
      </c>
      <c r="BA2630" s="1">
        <v>40544</v>
      </c>
      <c r="BB2630" s="1">
        <v>47849</v>
      </c>
      <c r="BC2630" t="s">
        <v>51</v>
      </c>
      <c r="BE2630" t="s">
        <v>54</v>
      </c>
      <c r="BF2630">
        <v>2</v>
      </c>
      <c r="BG2630">
        <v>0</v>
      </c>
      <c r="BH2630" t="s">
        <v>53</v>
      </c>
      <c r="BK2630" t="s">
        <v>797</v>
      </c>
      <c r="BL2630">
        <v>12000</v>
      </c>
      <c r="BM2630" s="1">
        <v>41456</v>
      </c>
      <c r="BN2630" s="1">
        <v>41456</v>
      </c>
      <c r="BO2630" s="1">
        <v>41456</v>
      </c>
      <c r="BP2630" s="1">
        <v>42442</v>
      </c>
      <c r="BQ2630" t="s">
        <v>51</v>
      </c>
      <c r="BS2630" t="s">
        <v>60</v>
      </c>
      <c r="BT2630" t="s">
        <v>54</v>
      </c>
      <c r="BU2630" t="s">
        <v>72</v>
      </c>
      <c r="BV2630" t="s">
        <v>73</v>
      </c>
      <c r="BX2630">
        <v>35</v>
      </c>
      <c r="BY2630">
        <v>0</v>
      </c>
      <c r="BZ2630">
        <v>0</v>
      </c>
    </row>
    <row r="2631" spans="1:112" x14ac:dyDescent="0.2">
      <c r="A2631" t="s">
        <v>1012</v>
      </c>
      <c r="B2631" t="s">
        <v>1013</v>
      </c>
      <c r="C2631" t="s">
        <v>1014</v>
      </c>
      <c r="D2631" t="s">
        <v>1136</v>
      </c>
      <c r="F2631" t="str">
        <f>"252251"</f>
        <v>252251</v>
      </c>
      <c r="G2631" t="s">
        <v>49</v>
      </c>
      <c r="H2631" t="s">
        <v>297</v>
      </c>
      <c r="K2631" t="s">
        <v>51</v>
      </c>
      <c r="L2631" t="s">
        <v>52</v>
      </c>
      <c r="M2631">
        <v>131593.24</v>
      </c>
      <c r="N2631">
        <v>475151.57</v>
      </c>
      <c r="O2631" t="s">
        <v>53</v>
      </c>
      <c r="P2631" t="s">
        <v>54</v>
      </c>
      <c r="Q2631" t="s">
        <v>55</v>
      </c>
      <c r="T2631" t="s">
        <v>716</v>
      </c>
      <c r="U2631">
        <v>40</v>
      </c>
      <c r="V2631" s="1">
        <v>29221</v>
      </c>
      <c r="W2631" s="1">
        <v>29221</v>
      </c>
      <c r="X2631" s="1">
        <v>29221</v>
      </c>
      <c r="Y2631" s="1">
        <v>43831</v>
      </c>
      <c r="Z2631" t="s">
        <v>51</v>
      </c>
      <c r="AB2631" t="s">
        <v>54</v>
      </c>
      <c r="AC2631">
        <v>1</v>
      </c>
      <c r="AE2631" t="s">
        <v>515</v>
      </c>
      <c r="AF2631">
        <v>20</v>
      </c>
      <c r="AG2631" s="1">
        <v>29221</v>
      </c>
      <c r="AH2631" s="1">
        <v>29221</v>
      </c>
      <c r="AI2631" s="1">
        <v>29221</v>
      </c>
      <c r="AJ2631" s="1">
        <v>36526</v>
      </c>
      <c r="AK2631" t="s">
        <v>51</v>
      </c>
      <c r="AN2631">
        <v>0</v>
      </c>
      <c r="AO2631" t="s">
        <v>54</v>
      </c>
      <c r="AP2631" t="s">
        <v>53</v>
      </c>
      <c r="AQ2631">
        <v>0</v>
      </c>
      <c r="AR2631" t="s">
        <v>53</v>
      </c>
      <c r="AS2631">
        <v>0</v>
      </c>
      <c r="AT2631">
        <v>0</v>
      </c>
      <c r="AW2631" t="s">
        <v>58</v>
      </c>
      <c r="AX2631">
        <v>20</v>
      </c>
      <c r="AY2631" s="1">
        <v>29221</v>
      </c>
      <c r="AZ2631" s="1">
        <v>29221</v>
      </c>
      <c r="BA2631" s="1">
        <v>29221</v>
      </c>
      <c r="BB2631" s="1">
        <v>36526</v>
      </c>
      <c r="BC2631" t="s">
        <v>51</v>
      </c>
      <c r="BE2631" t="s">
        <v>54</v>
      </c>
      <c r="BF2631">
        <v>2</v>
      </c>
      <c r="BG2631">
        <v>0</v>
      </c>
      <c r="BH2631" t="s">
        <v>53</v>
      </c>
      <c r="BK2631" t="s">
        <v>1017</v>
      </c>
      <c r="BL2631">
        <v>14000</v>
      </c>
      <c r="BM2631" s="1">
        <v>44298</v>
      </c>
      <c r="BN2631" s="1">
        <v>44298</v>
      </c>
      <c r="BO2631" s="1">
        <v>44298</v>
      </c>
      <c r="BP2631" s="1">
        <v>45521</v>
      </c>
      <c r="BQ2631" t="s">
        <v>51</v>
      </c>
      <c r="BS2631" t="s">
        <v>60</v>
      </c>
      <c r="BT2631" t="s">
        <v>54</v>
      </c>
      <c r="BU2631" t="s">
        <v>61</v>
      </c>
      <c r="BV2631" t="s">
        <v>62</v>
      </c>
      <c r="BX2631">
        <v>20</v>
      </c>
      <c r="BY2631">
        <v>0</v>
      </c>
      <c r="BZ2631">
        <v>0</v>
      </c>
    </row>
    <row r="2632" spans="1:112" x14ac:dyDescent="0.2">
      <c r="A2632" t="s">
        <v>1012</v>
      </c>
      <c r="B2632" t="s">
        <v>1013</v>
      </c>
      <c r="C2632" t="s">
        <v>1019</v>
      </c>
      <c r="D2632" t="s">
        <v>1053</v>
      </c>
      <c r="F2632" t="str">
        <f>"252299"</f>
        <v>252299</v>
      </c>
      <c r="G2632" t="s">
        <v>49</v>
      </c>
      <c r="K2632" t="s">
        <v>51</v>
      </c>
      <c r="L2632" t="s">
        <v>52</v>
      </c>
      <c r="M2632">
        <v>131883.1</v>
      </c>
      <c r="N2632">
        <v>473871.45</v>
      </c>
      <c r="O2632" t="s">
        <v>53</v>
      </c>
      <c r="P2632" t="s">
        <v>54</v>
      </c>
      <c r="Q2632" t="s">
        <v>55</v>
      </c>
      <c r="T2632" t="s">
        <v>1054</v>
      </c>
      <c r="U2632">
        <v>40</v>
      </c>
      <c r="V2632" s="1">
        <v>28126</v>
      </c>
      <c r="W2632" s="1">
        <v>28126</v>
      </c>
      <c r="X2632" s="1">
        <v>28126</v>
      </c>
      <c r="Y2632" s="1">
        <v>42736</v>
      </c>
      <c r="Z2632" t="s">
        <v>51</v>
      </c>
      <c r="AB2632" t="s">
        <v>54</v>
      </c>
      <c r="AC2632">
        <v>1</v>
      </c>
      <c r="AE2632" t="s">
        <v>1055</v>
      </c>
      <c r="AF2632">
        <v>20</v>
      </c>
      <c r="AG2632" s="1">
        <v>39785</v>
      </c>
      <c r="AH2632" s="1">
        <v>39785</v>
      </c>
      <c r="AI2632" s="1">
        <v>39785</v>
      </c>
      <c r="AJ2632" s="1">
        <v>47090</v>
      </c>
      <c r="AK2632" t="s">
        <v>51</v>
      </c>
      <c r="AN2632">
        <v>0</v>
      </c>
      <c r="AO2632" t="s">
        <v>54</v>
      </c>
      <c r="AP2632" t="s">
        <v>53</v>
      </c>
      <c r="AQ2632">
        <v>0</v>
      </c>
      <c r="AR2632" t="s">
        <v>53</v>
      </c>
      <c r="AS2632">
        <v>0</v>
      </c>
      <c r="AT2632">
        <v>0</v>
      </c>
      <c r="BK2632" t="s">
        <v>803</v>
      </c>
      <c r="BL2632">
        <v>50000</v>
      </c>
      <c r="BM2632" s="1">
        <v>43592</v>
      </c>
      <c r="BN2632" s="1">
        <v>43592</v>
      </c>
      <c r="BO2632" s="1">
        <v>43592</v>
      </c>
      <c r="BP2632" s="1">
        <v>47834</v>
      </c>
      <c r="BQ2632" t="s">
        <v>51</v>
      </c>
      <c r="BS2632" t="s">
        <v>60</v>
      </c>
      <c r="BT2632" t="s">
        <v>54</v>
      </c>
      <c r="BU2632" t="s">
        <v>362</v>
      </c>
      <c r="BX2632">
        <v>36</v>
      </c>
      <c r="BY2632">
        <v>4320</v>
      </c>
      <c r="BZ2632">
        <v>0</v>
      </c>
      <c r="CX2632" t="s">
        <v>360</v>
      </c>
      <c r="CY2632">
        <v>40</v>
      </c>
      <c r="CZ2632" s="1">
        <v>44320</v>
      </c>
      <c r="DA2632" s="1">
        <v>44320</v>
      </c>
      <c r="DB2632" s="1">
        <v>44320</v>
      </c>
      <c r="DC2632" s="1">
        <v>58930</v>
      </c>
      <c r="DD2632" t="s">
        <v>51</v>
      </c>
      <c r="DF2632" t="s">
        <v>54</v>
      </c>
      <c r="DG2632">
        <v>0</v>
      </c>
      <c r="DH2632">
        <v>0</v>
      </c>
    </row>
    <row r="2633" spans="1:112" x14ac:dyDescent="0.2">
      <c r="A2633" t="s">
        <v>1012</v>
      </c>
      <c r="B2633" t="s">
        <v>1013</v>
      </c>
      <c r="C2633" t="s">
        <v>1014</v>
      </c>
      <c r="D2633" t="s">
        <v>1137</v>
      </c>
      <c r="F2633" t="str">
        <f>"252395"</f>
        <v>252395</v>
      </c>
      <c r="G2633" t="s">
        <v>49</v>
      </c>
      <c r="H2633">
        <v>1</v>
      </c>
      <c r="K2633" t="s">
        <v>51</v>
      </c>
      <c r="L2633" t="s">
        <v>52</v>
      </c>
      <c r="M2633">
        <v>131668.25700000001</v>
      </c>
      <c r="N2633">
        <v>475277.196</v>
      </c>
      <c r="O2633" t="s">
        <v>53</v>
      </c>
      <c r="P2633" t="s">
        <v>54</v>
      </c>
      <c r="Q2633" t="s">
        <v>55</v>
      </c>
      <c r="T2633" t="s">
        <v>466</v>
      </c>
      <c r="U2633">
        <v>40</v>
      </c>
      <c r="V2633" s="1">
        <v>25569</v>
      </c>
      <c r="W2633" s="1">
        <v>25569</v>
      </c>
      <c r="X2633" s="1">
        <v>25569</v>
      </c>
      <c r="Y2633" s="1">
        <v>40179</v>
      </c>
      <c r="Z2633" t="s">
        <v>51</v>
      </c>
      <c r="AB2633" t="s">
        <v>54</v>
      </c>
      <c r="AC2633">
        <v>1</v>
      </c>
      <c r="AE2633" t="s">
        <v>613</v>
      </c>
      <c r="AF2633">
        <v>20</v>
      </c>
      <c r="AG2633" s="1">
        <v>33420</v>
      </c>
      <c r="AH2633" s="1">
        <v>33420</v>
      </c>
      <c r="AI2633" s="1">
        <v>33420</v>
      </c>
      <c r="AJ2633" s="1">
        <v>40725</v>
      </c>
      <c r="AK2633" t="s">
        <v>51</v>
      </c>
      <c r="AN2633">
        <v>0</v>
      </c>
      <c r="AO2633" t="s">
        <v>54</v>
      </c>
      <c r="AP2633" t="s">
        <v>53</v>
      </c>
      <c r="AQ2633">
        <v>0</v>
      </c>
      <c r="AR2633" t="s">
        <v>53</v>
      </c>
      <c r="AS2633">
        <v>0</v>
      </c>
      <c r="AT2633">
        <v>0</v>
      </c>
      <c r="AW2633" t="s">
        <v>161</v>
      </c>
      <c r="AX2633">
        <v>50</v>
      </c>
      <c r="AY2633" s="1">
        <v>33420</v>
      </c>
      <c r="AZ2633" s="1">
        <v>33420</v>
      </c>
      <c r="BA2633" s="1">
        <v>33420</v>
      </c>
      <c r="BB2633" s="1">
        <v>51683</v>
      </c>
      <c r="BC2633" t="s">
        <v>51</v>
      </c>
      <c r="BE2633" t="s">
        <v>54</v>
      </c>
      <c r="BF2633">
        <v>0</v>
      </c>
      <c r="BG2633">
        <v>0</v>
      </c>
      <c r="BH2633" t="s">
        <v>53</v>
      </c>
      <c r="BK2633" t="s">
        <v>59</v>
      </c>
      <c r="BL2633">
        <v>14000</v>
      </c>
      <c r="BM2633" s="1">
        <v>44118</v>
      </c>
      <c r="BN2633" s="1">
        <v>44118</v>
      </c>
      <c r="BO2633" s="1">
        <v>44118</v>
      </c>
      <c r="BP2633" s="1">
        <v>45279</v>
      </c>
      <c r="BQ2633" t="s">
        <v>51</v>
      </c>
      <c r="BS2633" t="s">
        <v>60</v>
      </c>
      <c r="BT2633" t="s">
        <v>54</v>
      </c>
      <c r="BU2633" t="s">
        <v>61</v>
      </c>
      <c r="BV2633" t="s">
        <v>62</v>
      </c>
      <c r="BX2633">
        <v>24</v>
      </c>
      <c r="BY2633">
        <v>0</v>
      </c>
      <c r="BZ2633">
        <v>0</v>
      </c>
      <c r="CX2633" t="s">
        <v>674</v>
      </c>
      <c r="CY2633">
        <v>0</v>
      </c>
      <c r="CZ2633" s="1">
        <v>33420</v>
      </c>
      <c r="DA2633" s="1">
        <v>33420</v>
      </c>
      <c r="DB2633" s="1">
        <v>33420</v>
      </c>
      <c r="DC2633" s="1">
        <v>33420</v>
      </c>
      <c r="DD2633" t="s">
        <v>51</v>
      </c>
      <c r="DF2633" t="s">
        <v>54</v>
      </c>
      <c r="DG2633">
        <v>0</v>
      </c>
      <c r="DH2633">
        <v>0</v>
      </c>
    </row>
    <row r="2634" spans="1:112" x14ac:dyDescent="0.2">
      <c r="A2634" t="s">
        <v>1012</v>
      </c>
      <c r="B2634" t="s">
        <v>1013</v>
      </c>
      <c r="C2634" t="s">
        <v>1019</v>
      </c>
      <c r="D2634" t="s">
        <v>1138</v>
      </c>
      <c r="F2634" t="str">
        <f>"252421"</f>
        <v>252421</v>
      </c>
      <c r="G2634" t="s">
        <v>49</v>
      </c>
      <c r="H2634" t="s">
        <v>1030</v>
      </c>
      <c r="K2634" t="s">
        <v>51</v>
      </c>
      <c r="L2634" t="s">
        <v>52</v>
      </c>
      <c r="M2634">
        <v>131731.24</v>
      </c>
      <c r="N2634">
        <v>475534.25</v>
      </c>
      <c r="O2634" t="s">
        <v>53</v>
      </c>
      <c r="P2634" t="s">
        <v>54</v>
      </c>
      <c r="Q2634" t="s">
        <v>55</v>
      </c>
      <c r="T2634" t="s">
        <v>269</v>
      </c>
      <c r="U2634">
        <v>40</v>
      </c>
      <c r="V2634" s="1">
        <v>40544</v>
      </c>
      <c r="W2634" s="1">
        <v>40544</v>
      </c>
      <c r="X2634" s="1">
        <v>40544</v>
      </c>
      <c r="Y2634" s="1">
        <v>55154</v>
      </c>
      <c r="Z2634" t="s">
        <v>51</v>
      </c>
      <c r="AB2634" t="s">
        <v>54</v>
      </c>
      <c r="AC2634">
        <v>1</v>
      </c>
      <c r="AE2634" t="s">
        <v>552</v>
      </c>
      <c r="AF2634">
        <v>20</v>
      </c>
      <c r="AG2634" s="1">
        <v>40544</v>
      </c>
      <c r="AH2634" s="1">
        <v>40544</v>
      </c>
      <c r="AI2634" s="1">
        <v>40544</v>
      </c>
      <c r="AJ2634" s="1">
        <v>47849</v>
      </c>
      <c r="AK2634" t="s">
        <v>51</v>
      </c>
      <c r="AN2634">
        <v>0</v>
      </c>
      <c r="AO2634" t="s">
        <v>54</v>
      </c>
      <c r="AP2634" t="s">
        <v>53</v>
      </c>
      <c r="AQ2634">
        <v>0</v>
      </c>
      <c r="AR2634" t="s">
        <v>145</v>
      </c>
      <c r="AS2634">
        <v>0</v>
      </c>
      <c r="AT2634">
        <v>0</v>
      </c>
      <c r="AW2634" t="s">
        <v>58</v>
      </c>
      <c r="AX2634">
        <v>20</v>
      </c>
      <c r="AY2634" s="1">
        <v>40544</v>
      </c>
      <c r="AZ2634" s="1">
        <v>40544</v>
      </c>
      <c r="BA2634" s="1">
        <v>40544</v>
      </c>
      <c r="BB2634" s="1">
        <v>47849</v>
      </c>
      <c r="BC2634" t="s">
        <v>51</v>
      </c>
      <c r="BE2634" t="s">
        <v>54</v>
      </c>
      <c r="BF2634">
        <v>2</v>
      </c>
      <c r="BG2634">
        <v>0</v>
      </c>
      <c r="BH2634" t="s">
        <v>53</v>
      </c>
      <c r="BK2634" t="s">
        <v>59</v>
      </c>
      <c r="BL2634">
        <v>14000</v>
      </c>
      <c r="BM2634" s="1">
        <v>44084</v>
      </c>
      <c r="BN2634" s="1">
        <v>44084</v>
      </c>
      <c r="BO2634" s="1">
        <v>44084</v>
      </c>
      <c r="BP2634" s="1">
        <v>45253</v>
      </c>
      <c r="BQ2634" t="s">
        <v>51</v>
      </c>
      <c r="BS2634" t="s">
        <v>60</v>
      </c>
      <c r="BT2634" t="s">
        <v>54</v>
      </c>
      <c r="BU2634" t="s">
        <v>61</v>
      </c>
      <c r="BV2634" t="s">
        <v>62</v>
      </c>
      <c r="BX2634">
        <v>24</v>
      </c>
      <c r="BY2634">
        <v>0</v>
      </c>
      <c r="BZ2634">
        <v>0</v>
      </c>
      <c r="CX2634" t="s">
        <v>360</v>
      </c>
      <c r="CY2634">
        <v>40</v>
      </c>
      <c r="CZ2634" s="1">
        <v>44075</v>
      </c>
      <c r="DA2634" s="1">
        <v>44075</v>
      </c>
      <c r="DB2634" s="1">
        <v>44075</v>
      </c>
      <c r="DC2634" s="1">
        <v>58685</v>
      </c>
      <c r="DD2634" t="s">
        <v>51</v>
      </c>
      <c r="DF2634" t="s">
        <v>54</v>
      </c>
      <c r="DG2634">
        <v>0</v>
      </c>
      <c r="DH2634">
        <v>0</v>
      </c>
    </row>
    <row r="2635" spans="1:112" x14ac:dyDescent="0.2">
      <c r="A2635" t="s">
        <v>1012</v>
      </c>
      <c r="B2635" t="s">
        <v>1013</v>
      </c>
      <c r="C2635" t="s">
        <v>1019</v>
      </c>
      <c r="D2635" t="s">
        <v>1138</v>
      </c>
      <c r="F2635" t="str">
        <f>"252422"</f>
        <v>252422</v>
      </c>
      <c r="G2635" t="s">
        <v>49</v>
      </c>
      <c r="H2635" t="s">
        <v>1111</v>
      </c>
      <c r="K2635" t="s">
        <v>51</v>
      </c>
      <c r="L2635" t="s">
        <v>52</v>
      </c>
      <c r="M2635">
        <v>131764.95000000001</v>
      </c>
      <c r="N2635">
        <v>475532.09</v>
      </c>
      <c r="O2635" t="s">
        <v>53</v>
      </c>
      <c r="P2635" t="s">
        <v>54</v>
      </c>
      <c r="Q2635" t="s">
        <v>55</v>
      </c>
      <c r="T2635" t="s">
        <v>269</v>
      </c>
      <c r="U2635">
        <v>40</v>
      </c>
      <c r="V2635" s="1">
        <v>40544</v>
      </c>
      <c r="W2635" s="1">
        <v>40544</v>
      </c>
      <c r="X2635" s="1">
        <v>40544</v>
      </c>
      <c r="Y2635" s="1">
        <v>55154</v>
      </c>
      <c r="Z2635" t="s">
        <v>51</v>
      </c>
      <c r="AB2635" t="s">
        <v>54</v>
      </c>
      <c r="AC2635">
        <v>1</v>
      </c>
      <c r="AE2635" t="s">
        <v>552</v>
      </c>
      <c r="AF2635">
        <v>20</v>
      </c>
      <c r="AG2635" s="1">
        <v>40544</v>
      </c>
      <c r="AH2635" s="1">
        <v>40544</v>
      </c>
      <c r="AI2635" s="1">
        <v>40544</v>
      </c>
      <c r="AJ2635" s="1">
        <v>47849</v>
      </c>
      <c r="AK2635" t="s">
        <v>51</v>
      </c>
      <c r="AN2635">
        <v>0</v>
      </c>
      <c r="AO2635" t="s">
        <v>54</v>
      </c>
      <c r="AP2635" t="s">
        <v>53</v>
      </c>
      <c r="AQ2635">
        <v>0</v>
      </c>
      <c r="AR2635" t="s">
        <v>145</v>
      </c>
      <c r="AS2635">
        <v>0</v>
      </c>
      <c r="AT2635">
        <v>0</v>
      </c>
      <c r="AW2635" t="s">
        <v>58</v>
      </c>
      <c r="AX2635">
        <v>20</v>
      </c>
      <c r="AY2635" s="1">
        <v>40544</v>
      </c>
      <c r="AZ2635" s="1">
        <v>40544</v>
      </c>
      <c r="BA2635" s="1">
        <v>40544</v>
      </c>
      <c r="BB2635" s="1">
        <v>47849</v>
      </c>
      <c r="BC2635" t="s">
        <v>51</v>
      </c>
      <c r="BE2635" t="s">
        <v>54</v>
      </c>
      <c r="BF2635">
        <v>2</v>
      </c>
      <c r="BG2635">
        <v>0</v>
      </c>
      <c r="BH2635" t="s">
        <v>53</v>
      </c>
      <c r="BK2635" t="s">
        <v>59</v>
      </c>
      <c r="BL2635">
        <v>14000</v>
      </c>
      <c r="BM2635" s="1">
        <v>44084</v>
      </c>
      <c r="BN2635" s="1">
        <v>44084</v>
      </c>
      <c r="BO2635" s="1">
        <v>44084</v>
      </c>
      <c r="BP2635" s="1">
        <v>45253</v>
      </c>
      <c r="BQ2635" t="s">
        <v>51</v>
      </c>
      <c r="BS2635" t="s">
        <v>60</v>
      </c>
      <c r="BT2635" t="s">
        <v>54</v>
      </c>
      <c r="BU2635" t="s">
        <v>61</v>
      </c>
      <c r="BV2635" t="s">
        <v>62</v>
      </c>
      <c r="BX2635">
        <v>24</v>
      </c>
      <c r="BY2635">
        <v>0</v>
      </c>
      <c r="BZ2635">
        <v>0</v>
      </c>
      <c r="CX2635" t="s">
        <v>360</v>
      </c>
      <c r="CY2635">
        <v>40</v>
      </c>
      <c r="CZ2635" s="1">
        <v>44075</v>
      </c>
      <c r="DA2635" s="1">
        <v>44075</v>
      </c>
      <c r="DB2635" s="1">
        <v>44075</v>
      </c>
      <c r="DC2635" s="1">
        <v>58685</v>
      </c>
      <c r="DD2635" t="s">
        <v>51</v>
      </c>
      <c r="DF2635" t="s">
        <v>54</v>
      </c>
      <c r="DG2635">
        <v>0</v>
      </c>
      <c r="DH2635">
        <v>0</v>
      </c>
    </row>
    <row r="2636" spans="1:112" x14ac:dyDescent="0.2">
      <c r="A2636" t="s">
        <v>1012</v>
      </c>
      <c r="B2636" t="s">
        <v>1013</v>
      </c>
      <c r="C2636" t="s">
        <v>1019</v>
      </c>
      <c r="D2636" t="s">
        <v>1116</v>
      </c>
      <c r="F2636" t="str">
        <f>"252985"</f>
        <v>252985</v>
      </c>
      <c r="G2636" t="s">
        <v>49</v>
      </c>
      <c r="K2636" t="s">
        <v>51</v>
      </c>
      <c r="L2636" t="s">
        <v>52</v>
      </c>
      <c r="M2636">
        <v>132926.21100000001</v>
      </c>
      <c r="N2636">
        <v>476999.75199999998</v>
      </c>
      <c r="O2636" t="s">
        <v>53</v>
      </c>
      <c r="P2636" t="s">
        <v>54</v>
      </c>
      <c r="Q2636" t="s">
        <v>55</v>
      </c>
      <c r="T2636" t="s">
        <v>81</v>
      </c>
      <c r="U2636">
        <v>40</v>
      </c>
      <c r="V2636" s="1">
        <v>31048</v>
      </c>
      <c r="W2636" s="1">
        <v>31048</v>
      </c>
      <c r="X2636" s="1">
        <v>31048</v>
      </c>
      <c r="Y2636" s="1">
        <v>45658</v>
      </c>
      <c r="Z2636" t="s">
        <v>51</v>
      </c>
      <c r="AB2636" t="s">
        <v>54</v>
      </c>
      <c r="AE2636" t="s">
        <v>356</v>
      </c>
      <c r="AF2636">
        <v>20</v>
      </c>
      <c r="AG2636" s="1">
        <v>44105</v>
      </c>
      <c r="AH2636" s="1">
        <v>44105</v>
      </c>
      <c r="AI2636" s="1">
        <v>44105</v>
      </c>
      <c r="AJ2636" s="1">
        <v>51410</v>
      </c>
      <c r="AK2636" t="s">
        <v>51</v>
      </c>
      <c r="AN2636">
        <v>0</v>
      </c>
      <c r="AO2636" t="s">
        <v>54</v>
      </c>
      <c r="AP2636" t="s">
        <v>53</v>
      </c>
      <c r="AQ2636">
        <v>0</v>
      </c>
      <c r="AR2636" t="s">
        <v>145</v>
      </c>
      <c r="AS2636">
        <v>0</v>
      </c>
      <c r="AT2636">
        <v>0</v>
      </c>
      <c r="AW2636" t="s">
        <v>172</v>
      </c>
      <c r="AX2636">
        <v>15</v>
      </c>
      <c r="AY2636" s="1">
        <v>44105</v>
      </c>
      <c r="AZ2636" s="1">
        <v>44105</v>
      </c>
      <c r="BA2636" s="1">
        <v>44105</v>
      </c>
      <c r="BB2636" s="1">
        <v>49583</v>
      </c>
      <c r="BC2636" t="s">
        <v>51</v>
      </c>
      <c r="BE2636" t="s">
        <v>54</v>
      </c>
      <c r="BF2636">
        <v>40</v>
      </c>
      <c r="BG2636">
        <v>0</v>
      </c>
      <c r="BH2636" t="s">
        <v>145</v>
      </c>
      <c r="CC2636" t="s">
        <v>250</v>
      </c>
      <c r="CD2636">
        <v>100000</v>
      </c>
      <c r="CE2636" s="1">
        <v>44105</v>
      </c>
      <c r="CF2636" s="1">
        <v>44105</v>
      </c>
      <c r="CG2636" s="1">
        <v>44105</v>
      </c>
      <c r="CH2636" s="1">
        <v>52548</v>
      </c>
      <c r="CI2636" t="s">
        <v>51</v>
      </c>
      <c r="CK2636" t="s">
        <v>78</v>
      </c>
      <c r="CM2636" t="s">
        <v>54</v>
      </c>
      <c r="CN2636" t="s">
        <v>174</v>
      </c>
      <c r="CR2636">
        <v>13.2</v>
      </c>
      <c r="CS2636">
        <v>1800</v>
      </c>
      <c r="CT2636">
        <v>0</v>
      </c>
      <c r="CU2636">
        <v>16</v>
      </c>
      <c r="CX2636" t="s">
        <v>360</v>
      </c>
      <c r="CY2636">
        <v>40</v>
      </c>
      <c r="CZ2636" s="1">
        <v>44105</v>
      </c>
      <c r="DA2636" s="1">
        <v>44105</v>
      </c>
      <c r="DB2636" s="1">
        <v>44105</v>
      </c>
      <c r="DC2636" s="1">
        <v>58715</v>
      </c>
      <c r="DD2636" t="s">
        <v>51</v>
      </c>
      <c r="DF2636" t="s">
        <v>54</v>
      </c>
      <c r="DG2636">
        <v>0</v>
      </c>
      <c r="DH2636">
        <v>0</v>
      </c>
    </row>
    <row r="2637" spans="1:112" x14ac:dyDescent="0.2">
      <c r="A2637" t="s">
        <v>1012</v>
      </c>
      <c r="B2637" t="s">
        <v>1013</v>
      </c>
      <c r="C2637" t="s">
        <v>1019</v>
      </c>
      <c r="D2637" t="s">
        <v>1053</v>
      </c>
      <c r="F2637" t="str">
        <f>"252986"</f>
        <v>252986</v>
      </c>
      <c r="G2637" t="s">
        <v>49</v>
      </c>
      <c r="K2637" t="s">
        <v>51</v>
      </c>
      <c r="L2637" t="s">
        <v>52</v>
      </c>
      <c r="M2637">
        <v>132190.38</v>
      </c>
      <c r="N2637">
        <v>473430.21</v>
      </c>
      <c r="O2637" t="s">
        <v>53</v>
      </c>
      <c r="P2637" t="s">
        <v>54</v>
      </c>
      <c r="Q2637" t="s">
        <v>55</v>
      </c>
      <c r="T2637" t="s">
        <v>698</v>
      </c>
      <c r="U2637">
        <v>40</v>
      </c>
      <c r="V2637" s="1">
        <v>28126</v>
      </c>
      <c r="W2637" s="1">
        <v>28126</v>
      </c>
      <c r="X2637" s="1">
        <v>28126</v>
      </c>
      <c r="Y2637" s="1">
        <v>42736</v>
      </c>
      <c r="Z2637" t="s">
        <v>51</v>
      </c>
      <c r="AB2637" t="s">
        <v>54</v>
      </c>
      <c r="AC2637">
        <v>1</v>
      </c>
      <c r="AE2637" t="s">
        <v>1055</v>
      </c>
      <c r="AF2637">
        <v>20</v>
      </c>
      <c r="AG2637" s="1">
        <v>39785</v>
      </c>
      <c r="AH2637" s="1">
        <v>39785</v>
      </c>
      <c r="AI2637" s="1">
        <v>39785</v>
      </c>
      <c r="AJ2637" s="1">
        <v>47090</v>
      </c>
      <c r="AK2637" t="s">
        <v>51</v>
      </c>
      <c r="AN2637">
        <v>0</v>
      </c>
      <c r="AO2637" t="s">
        <v>54</v>
      </c>
      <c r="AP2637" t="s">
        <v>53</v>
      </c>
      <c r="AQ2637">
        <v>0</v>
      </c>
      <c r="AR2637" t="s">
        <v>53</v>
      </c>
      <c r="AS2637">
        <v>0</v>
      </c>
      <c r="AT2637">
        <v>0</v>
      </c>
      <c r="BK2637" t="s">
        <v>803</v>
      </c>
      <c r="BL2637">
        <v>50000</v>
      </c>
      <c r="BM2637" s="1">
        <v>43585</v>
      </c>
      <c r="BN2637" s="1">
        <v>43585</v>
      </c>
      <c r="BO2637" s="1">
        <v>43585</v>
      </c>
      <c r="BP2637" s="1">
        <v>47830</v>
      </c>
      <c r="BQ2637" t="s">
        <v>51</v>
      </c>
      <c r="BS2637" t="s">
        <v>60</v>
      </c>
      <c r="BT2637" t="s">
        <v>54</v>
      </c>
      <c r="BU2637" t="s">
        <v>362</v>
      </c>
      <c r="BX2637">
        <v>36</v>
      </c>
      <c r="BY2637">
        <v>4320</v>
      </c>
      <c r="BZ2637">
        <v>0</v>
      </c>
      <c r="CX2637" t="s">
        <v>360</v>
      </c>
      <c r="CY2637">
        <v>40</v>
      </c>
      <c r="CZ2637" s="1">
        <v>44320</v>
      </c>
      <c r="DA2637" s="1">
        <v>44320</v>
      </c>
      <c r="DB2637" s="1">
        <v>44320</v>
      </c>
      <c r="DC2637" s="1">
        <v>58930</v>
      </c>
      <c r="DD2637" t="s">
        <v>51</v>
      </c>
      <c r="DF2637" t="s">
        <v>54</v>
      </c>
      <c r="DG2637">
        <v>0</v>
      </c>
      <c r="DH2637">
        <v>0</v>
      </c>
    </row>
    <row r="2638" spans="1:112" x14ac:dyDescent="0.2">
      <c r="A2638" t="s">
        <v>1012</v>
      </c>
      <c r="B2638" t="s">
        <v>1013</v>
      </c>
      <c r="C2638" t="s">
        <v>1019</v>
      </c>
      <c r="D2638" t="s">
        <v>1053</v>
      </c>
      <c r="F2638" t="str">
        <f>"252988"</f>
        <v>252988</v>
      </c>
      <c r="G2638" t="s">
        <v>49</v>
      </c>
      <c r="K2638" t="s">
        <v>51</v>
      </c>
      <c r="L2638" t="s">
        <v>52</v>
      </c>
      <c r="M2638">
        <v>132183.69</v>
      </c>
      <c r="N2638">
        <v>473488.22</v>
      </c>
      <c r="O2638" t="s">
        <v>53</v>
      </c>
      <c r="P2638" t="s">
        <v>54</v>
      </c>
      <c r="Q2638" t="s">
        <v>55</v>
      </c>
      <c r="T2638" t="s">
        <v>1054</v>
      </c>
      <c r="U2638">
        <v>40</v>
      </c>
      <c r="V2638" s="1">
        <v>28126</v>
      </c>
      <c r="W2638" s="1">
        <v>28126</v>
      </c>
      <c r="X2638" s="1">
        <v>28126</v>
      </c>
      <c r="Y2638" s="1">
        <v>42736</v>
      </c>
      <c r="Z2638" t="s">
        <v>51</v>
      </c>
      <c r="AB2638" t="s">
        <v>54</v>
      </c>
      <c r="AC2638">
        <v>1</v>
      </c>
      <c r="AE2638" t="s">
        <v>1055</v>
      </c>
      <c r="AF2638">
        <v>20</v>
      </c>
      <c r="AG2638" s="1">
        <v>39785</v>
      </c>
      <c r="AH2638" s="1">
        <v>39785</v>
      </c>
      <c r="AI2638" s="1">
        <v>39785</v>
      </c>
      <c r="AJ2638" s="1">
        <v>47090</v>
      </c>
      <c r="AK2638" t="s">
        <v>51</v>
      </c>
      <c r="AN2638">
        <v>0</v>
      </c>
      <c r="AO2638" t="s">
        <v>54</v>
      </c>
      <c r="AP2638" t="s">
        <v>53</v>
      </c>
      <c r="AQ2638">
        <v>0</v>
      </c>
      <c r="AR2638" t="s">
        <v>53</v>
      </c>
      <c r="AS2638">
        <v>0</v>
      </c>
      <c r="AT2638">
        <v>0</v>
      </c>
      <c r="BK2638" t="s">
        <v>803</v>
      </c>
      <c r="BL2638">
        <v>50000</v>
      </c>
      <c r="BM2638" s="1">
        <v>43585</v>
      </c>
      <c r="BN2638" s="1">
        <v>43585</v>
      </c>
      <c r="BO2638" s="1">
        <v>43585</v>
      </c>
      <c r="BP2638" s="1">
        <v>47830</v>
      </c>
      <c r="BQ2638" t="s">
        <v>51</v>
      </c>
      <c r="BS2638" t="s">
        <v>60</v>
      </c>
      <c r="BT2638" t="s">
        <v>54</v>
      </c>
      <c r="BU2638" t="s">
        <v>362</v>
      </c>
      <c r="BX2638">
        <v>36</v>
      </c>
      <c r="BY2638">
        <v>4320</v>
      </c>
      <c r="BZ2638">
        <v>0</v>
      </c>
      <c r="CX2638" t="s">
        <v>360</v>
      </c>
      <c r="CY2638">
        <v>40</v>
      </c>
      <c r="CZ2638" s="1">
        <v>44320</v>
      </c>
      <c r="DA2638" s="1">
        <v>44320</v>
      </c>
      <c r="DB2638" s="1">
        <v>44320</v>
      </c>
      <c r="DC2638" s="1">
        <v>58930</v>
      </c>
      <c r="DD2638" t="s">
        <v>51</v>
      </c>
      <c r="DF2638" t="s">
        <v>54</v>
      </c>
      <c r="DG2638">
        <v>0</v>
      </c>
      <c r="DH2638">
        <v>0</v>
      </c>
    </row>
    <row r="2639" spans="1:112" x14ac:dyDescent="0.2">
      <c r="A2639" t="s">
        <v>1012</v>
      </c>
      <c r="B2639" t="s">
        <v>1013</v>
      </c>
      <c r="C2639" t="s">
        <v>1019</v>
      </c>
      <c r="D2639" t="s">
        <v>1053</v>
      </c>
      <c r="F2639" t="str">
        <f>"252989"</f>
        <v>252989</v>
      </c>
      <c r="G2639" t="s">
        <v>49</v>
      </c>
      <c r="K2639" t="s">
        <v>51</v>
      </c>
      <c r="L2639" t="s">
        <v>52</v>
      </c>
      <c r="M2639">
        <v>132176.79999999999</v>
      </c>
      <c r="N2639">
        <v>473515.93</v>
      </c>
      <c r="O2639" t="s">
        <v>53</v>
      </c>
      <c r="P2639" t="s">
        <v>54</v>
      </c>
      <c r="Q2639" t="s">
        <v>55</v>
      </c>
      <c r="T2639" t="s">
        <v>1054</v>
      </c>
      <c r="U2639">
        <v>40</v>
      </c>
      <c r="V2639" s="1">
        <v>28126</v>
      </c>
      <c r="W2639" s="1">
        <v>28126</v>
      </c>
      <c r="X2639" s="1">
        <v>28126</v>
      </c>
      <c r="Y2639" s="1">
        <v>42736</v>
      </c>
      <c r="Z2639" t="s">
        <v>51</v>
      </c>
      <c r="AB2639" t="s">
        <v>54</v>
      </c>
      <c r="AC2639">
        <v>1</v>
      </c>
      <c r="AE2639" t="s">
        <v>1055</v>
      </c>
      <c r="AF2639">
        <v>20</v>
      </c>
      <c r="AG2639" s="1">
        <v>39785</v>
      </c>
      <c r="AH2639" s="1">
        <v>39785</v>
      </c>
      <c r="AI2639" s="1">
        <v>39785</v>
      </c>
      <c r="AJ2639" s="1">
        <v>47090</v>
      </c>
      <c r="AK2639" t="s">
        <v>51</v>
      </c>
      <c r="AN2639">
        <v>0</v>
      </c>
      <c r="AO2639" t="s">
        <v>54</v>
      </c>
      <c r="AP2639" t="s">
        <v>53</v>
      </c>
      <c r="AQ2639">
        <v>0</v>
      </c>
      <c r="AR2639" t="s">
        <v>53</v>
      </c>
      <c r="AS2639">
        <v>0</v>
      </c>
      <c r="AT2639">
        <v>0</v>
      </c>
      <c r="BK2639" t="s">
        <v>803</v>
      </c>
      <c r="BL2639">
        <v>50000</v>
      </c>
      <c r="BM2639" s="1">
        <v>43585</v>
      </c>
      <c r="BN2639" s="1">
        <v>43585</v>
      </c>
      <c r="BO2639" s="1">
        <v>43585</v>
      </c>
      <c r="BP2639" s="1">
        <v>47830</v>
      </c>
      <c r="BQ2639" t="s">
        <v>51</v>
      </c>
      <c r="BS2639" t="s">
        <v>60</v>
      </c>
      <c r="BT2639" t="s">
        <v>54</v>
      </c>
      <c r="BU2639" t="s">
        <v>362</v>
      </c>
      <c r="BX2639">
        <v>36</v>
      </c>
      <c r="BY2639">
        <v>4320</v>
      </c>
      <c r="BZ2639">
        <v>0</v>
      </c>
      <c r="CX2639" t="s">
        <v>360</v>
      </c>
      <c r="CY2639">
        <v>40</v>
      </c>
      <c r="CZ2639" s="1">
        <v>44320</v>
      </c>
      <c r="DA2639" s="1">
        <v>44320</v>
      </c>
      <c r="DB2639" s="1">
        <v>44320</v>
      </c>
      <c r="DC2639" s="1">
        <v>58930</v>
      </c>
      <c r="DD2639" t="s">
        <v>51</v>
      </c>
      <c r="DF2639" t="s">
        <v>54</v>
      </c>
      <c r="DG2639">
        <v>0</v>
      </c>
      <c r="DH2639">
        <v>0</v>
      </c>
    </row>
    <row r="2640" spans="1:112" x14ac:dyDescent="0.2">
      <c r="A2640" t="s">
        <v>1012</v>
      </c>
      <c r="B2640" t="s">
        <v>1013</v>
      </c>
      <c r="C2640" t="s">
        <v>1019</v>
      </c>
      <c r="D2640" t="s">
        <v>1053</v>
      </c>
      <c r="F2640" t="str">
        <f>"252990"</f>
        <v>252990</v>
      </c>
      <c r="G2640" t="s">
        <v>49</v>
      </c>
      <c r="K2640" t="s">
        <v>51</v>
      </c>
      <c r="L2640" t="s">
        <v>52</v>
      </c>
      <c r="M2640">
        <v>132151.17000000001</v>
      </c>
      <c r="N2640">
        <v>473579.12</v>
      </c>
      <c r="O2640" t="s">
        <v>53</v>
      </c>
      <c r="P2640" t="s">
        <v>54</v>
      </c>
      <c r="Q2640" t="s">
        <v>55</v>
      </c>
      <c r="T2640" t="s">
        <v>1054</v>
      </c>
      <c r="U2640">
        <v>40</v>
      </c>
      <c r="V2640" s="1">
        <v>28126</v>
      </c>
      <c r="W2640" s="1">
        <v>28126</v>
      </c>
      <c r="X2640" s="1">
        <v>28126</v>
      </c>
      <c r="Y2640" s="1">
        <v>42736</v>
      </c>
      <c r="Z2640" t="s">
        <v>51</v>
      </c>
      <c r="AB2640" t="s">
        <v>54</v>
      </c>
      <c r="AC2640">
        <v>1</v>
      </c>
      <c r="AE2640" t="s">
        <v>1055</v>
      </c>
      <c r="AF2640">
        <v>20</v>
      </c>
      <c r="AG2640" s="1">
        <v>39785</v>
      </c>
      <c r="AH2640" s="1">
        <v>39785</v>
      </c>
      <c r="AI2640" s="1">
        <v>39785</v>
      </c>
      <c r="AJ2640" s="1">
        <v>47090</v>
      </c>
      <c r="AK2640" t="s">
        <v>51</v>
      </c>
      <c r="AN2640">
        <v>0</v>
      </c>
      <c r="AO2640" t="s">
        <v>54</v>
      </c>
      <c r="AP2640" t="s">
        <v>53</v>
      </c>
      <c r="AQ2640">
        <v>0</v>
      </c>
      <c r="AR2640" t="s">
        <v>53</v>
      </c>
      <c r="AS2640">
        <v>0</v>
      </c>
      <c r="AT2640">
        <v>0</v>
      </c>
      <c r="BK2640" t="s">
        <v>803</v>
      </c>
      <c r="BL2640">
        <v>50000</v>
      </c>
      <c r="BM2640" s="1">
        <v>43585</v>
      </c>
      <c r="BN2640" s="1">
        <v>43585</v>
      </c>
      <c r="BO2640" s="1">
        <v>43585</v>
      </c>
      <c r="BP2640" s="1">
        <v>47830</v>
      </c>
      <c r="BQ2640" t="s">
        <v>51</v>
      </c>
      <c r="BS2640" t="s">
        <v>60</v>
      </c>
      <c r="BT2640" t="s">
        <v>54</v>
      </c>
      <c r="BU2640" t="s">
        <v>362</v>
      </c>
      <c r="BX2640">
        <v>36</v>
      </c>
      <c r="BY2640">
        <v>4320</v>
      </c>
      <c r="BZ2640">
        <v>0</v>
      </c>
      <c r="CX2640" t="s">
        <v>360</v>
      </c>
      <c r="CY2640">
        <v>40</v>
      </c>
      <c r="CZ2640" s="1">
        <v>44320</v>
      </c>
      <c r="DA2640" s="1">
        <v>44320</v>
      </c>
      <c r="DB2640" s="1">
        <v>44320</v>
      </c>
      <c r="DC2640" s="1">
        <v>58930</v>
      </c>
      <c r="DD2640" t="s">
        <v>51</v>
      </c>
      <c r="DF2640" t="s">
        <v>54</v>
      </c>
      <c r="DG2640">
        <v>0</v>
      </c>
      <c r="DH2640">
        <v>0</v>
      </c>
    </row>
    <row r="2641" spans="1:112" x14ac:dyDescent="0.2">
      <c r="A2641" t="s">
        <v>1012</v>
      </c>
      <c r="B2641" t="s">
        <v>1013</v>
      </c>
      <c r="C2641" t="s">
        <v>1019</v>
      </c>
      <c r="D2641" t="s">
        <v>1053</v>
      </c>
      <c r="F2641" t="str">
        <f>"252991"</f>
        <v>252991</v>
      </c>
      <c r="G2641" t="s">
        <v>49</v>
      </c>
      <c r="K2641" t="s">
        <v>51</v>
      </c>
      <c r="L2641" t="s">
        <v>52</v>
      </c>
      <c r="M2641">
        <v>132131.23000000001</v>
      </c>
      <c r="N2641">
        <v>473617.56</v>
      </c>
      <c r="O2641" t="s">
        <v>53</v>
      </c>
      <c r="P2641" t="s">
        <v>54</v>
      </c>
      <c r="Q2641" t="s">
        <v>55</v>
      </c>
      <c r="T2641" t="s">
        <v>1054</v>
      </c>
      <c r="U2641">
        <v>40</v>
      </c>
      <c r="V2641" s="1">
        <v>28126</v>
      </c>
      <c r="W2641" s="1">
        <v>28126</v>
      </c>
      <c r="X2641" s="1">
        <v>28126</v>
      </c>
      <c r="Y2641" s="1">
        <v>42736</v>
      </c>
      <c r="Z2641" t="s">
        <v>51</v>
      </c>
      <c r="AB2641" t="s">
        <v>54</v>
      </c>
      <c r="AC2641">
        <v>1</v>
      </c>
      <c r="AE2641" t="s">
        <v>1055</v>
      </c>
      <c r="AF2641">
        <v>20</v>
      </c>
      <c r="AG2641" s="1">
        <v>39785</v>
      </c>
      <c r="AH2641" s="1">
        <v>39785</v>
      </c>
      <c r="AI2641" s="1">
        <v>39785</v>
      </c>
      <c r="AJ2641" s="1">
        <v>47090</v>
      </c>
      <c r="AK2641" t="s">
        <v>51</v>
      </c>
      <c r="AN2641">
        <v>0</v>
      </c>
      <c r="AO2641" t="s">
        <v>54</v>
      </c>
      <c r="AP2641" t="s">
        <v>53</v>
      </c>
      <c r="AQ2641">
        <v>0</v>
      </c>
      <c r="AR2641" t="s">
        <v>53</v>
      </c>
      <c r="AS2641">
        <v>0</v>
      </c>
      <c r="AT2641">
        <v>0</v>
      </c>
      <c r="BK2641" t="s">
        <v>803</v>
      </c>
      <c r="BL2641">
        <v>50000</v>
      </c>
      <c r="BM2641" s="1">
        <v>43585</v>
      </c>
      <c r="BN2641" s="1">
        <v>43585</v>
      </c>
      <c r="BO2641" s="1">
        <v>43585</v>
      </c>
      <c r="BP2641" s="1">
        <v>47830</v>
      </c>
      <c r="BQ2641" t="s">
        <v>51</v>
      </c>
      <c r="BS2641" t="s">
        <v>60</v>
      </c>
      <c r="BT2641" t="s">
        <v>54</v>
      </c>
      <c r="BU2641" t="s">
        <v>362</v>
      </c>
      <c r="BX2641">
        <v>36</v>
      </c>
      <c r="BY2641">
        <v>4320</v>
      </c>
      <c r="BZ2641">
        <v>0</v>
      </c>
      <c r="CX2641" t="s">
        <v>360</v>
      </c>
      <c r="CY2641">
        <v>40</v>
      </c>
      <c r="CZ2641" s="1">
        <v>44320</v>
      </c>
      <c r="DA2641" s="1">
        <v>44320</v>
      </c>
      <c r="DB2641" s="1">
        <v>44320</v>
      </c>
      <c r="DC2641" s="1">
        <v>58930</v>
      </c>
      <c r="DD2641" t="s">
        <v>51</v>
      </c>
      <c r="DF2641" t="s">
        <v>54</v>
      </c>
      <c r="DG2641">
        <v>0</v>
      </c>
      <c r="DH2641">
        <v>0</v>
      </c>
    </row>
    <row r="2642" spans="1:112" x14ac:dyDescent="0.2">
      <c r="A2642" t="s">
        <v>1012</v>
      </c>
      <c r="B2642" t="s">
        <v>1013</v>
      </c>
      <c r="C2642" t="s">
        <v>1019</v>
      </c>
      <c r="D2642" t="s">
        <v>1053</v>
      </c>
      <c r="F2642" t="str">
        <f>"252992"</f>
        <v>252992</v>
      </c>
      <c r="G2642" t="s">
        <v>49</v>
      </c>
      <c r="K2642" t="s">
        <v>51</v>
      </c>
      <c r="L2642" t="s">
        <v>52</v>
      </c>
      <c r="M2642">
        <v>132104.20000000001</v>
      </c>
      <c r="N2642">
        <v>473669.77</v>
      </c>
      <c r="O2642" t="s">
        <v>53</v>
      </c>
      <c r="P2642" t="s">
        <v>54</v>
      </c>
      <c r="Q2642" t="s">
        <v>55</v>
      </c>
      <c r="T2642" t="s">
        <v>1054</v>
      </c>
      <c r="U2642">
        <v>40</v>
      </c>
      <c r="V2642" s="1">
        <v>28126</v>
      </c>
      <c r="W2642" s="1">
        <v>28126</v>
      </c>
      <c r="X2642" s="1">
        <v>28126</v>
      </c>
      <c r="Y2642" s="1">
        <v>42736</v>
      </c>
      <c r="Z2642" t="s">
        <v>51</v>
      </c>
      <c r="AB2642" t="s">
        <v>54</v>
      </c>
      <c r="AC2642">
        <v>1</v>
      </c>
      <c r="AE2642" t="s">
        <v>1055</v>
      </c>
      <c r="AF2642">
        <v>20</v>
      </c>
      <c r="AG2642" s="1">
        <v>39785</v>
      </c>
      <c r="AH2642" s="1">
        <v>39785</v>
      </c>
      <c r="AI2642" s="1">
        <v>39785</v>
      </c>
      <c r="AJ2642" s="1">
        <v>47090</v>
      </c>
      <c r="AK2642" t="s">
        <v>51</v>
      </c>
      <c r="AN2642">
        <v>0</v>
      </c>
      <c r="AO2642" t="s">
        <v>54</v>
      </c>
      <c r="AP2642" t="s">
        <v>53</v>
      </c>
      <c r="AQ2642">
        <v>0</v>
      </c>
      <c r="AR2642" t="s">
        <v>53</v>
      </c>
      <c r="AS2642">
        <v>0</v>
      </c>
      <c r="AT2642">
        <v>0</v>
      </c>
      <c r="BK2642" t="s">
        <v>803</v>
      </c>
      <c r="BL2642">
        <v>50000</v>
      </c>
      <c r="BM2642" s="1">
        <v>43585</v>
      </c>
      <c r="BN2642" s="1">
        <v>43585</v>
      </c>
      <c r="BO2642" s="1">
        <v>43585</v>
      </c>
      <c r="BP2642" s="1">
        <v>47830</v>
      </c>
      <c r="BQ2642" t="s">
        <v>51</v>
      </c>
      <c r="BS2642" t="s">
        <v>60</v>
      </c>
      <c r="BT2642" t="s">
        <v>54</v>
      </c>
      <c r="BU2642" t="s">
        <v>362</v>
      </c>
      <c r="BX2642">
        <v>36</v>
      </c>
      <c r="BY2642">
        <v>4320</v>
      </c>
      <c r="BZ2642">
        <v>0</v>
      </c>
      <c r="CX2642" t="s">
        <v>360</v>
      </c>
      <c r="CY2642">
        <v>40</v>
      </c>
      <c r="CZ2642" s="1">
        <v>44320</v>
      </c>
      <c r="DA2642" s="1">
        <v>44320</v>
      </c>
      <c r="DB2642" s="1">
        <v>44320</v>
      </c>
      <c r="DC2642" s="1">
        <v>58930</v>
      </c>
      <c r="DD2642" t="s">
        <v>51</v>
      </c>
      <c r="DF2642" t="s">
        <v>54</v>
      </c>
      <c r="DG2642">
        <v>0</v>
      </c>
      <c r="DH2642">
        <v>0</v>
      </c>
    </row>
    <row r="2643" spans="1:112" x14ac:dyDescent="0.2">
      <c r="A2643" t="s">
        <v>1012</v>
      </c>
      <c r="B2643" t="s">
        <v>1013</v>
      </c>
      <c r="C2643" t="s">
        <v>1019</v>
      </c>
      <c r="D2643" t="s">
        <v>1053</v>
      </c>
      <c r="F2643" t="str">
        <f>"252993"</f>
        <v>252993</v>
      </c>
      <c r="G2643" t="s">
        <v>49</v>
      </c>
      <c r="K2643" t="s">
        <v>51</v>
      </c>
      <c r="L2643" t="s">
        <v>52</v>
      </c>
      <c r="M2643">
        <v>132074.71</v>
      </c>
      <c r="N2643">
        <v>473718.62</v>
      </c>
      <c r="O2643" t="s">
        <v>53</v>
      </c>
      <c r="P2643" t="s">
        <v>54</v>
      </c>
      <c r="Q2643" t="s">
        <v>55</v>
      </c>
      <c r="T2643" t="s">
        <v>1054</v>
      </c>
      <c r="U2643">
        <v>40</v>
      </c>
      <c r="V2643" s="1">
        <v>28126</v>
      </c>
      <c r="W2643" s="1">
        <v>28126</v>
      </c>
      <c r="X2643" s="1">
        <v>28126</v>
      </c>
      <c r="Y2643" s="1">
        <v>42736</v>
      </c>
      <c r="Z2643" t="s">
        <v>51</v>
      </c>
      <c r="AB2643" t="s">
        <v>54</v>
      </c>
      <c r="AC2643">
        <v>1</v>
      </c>
      <c r="AE2643" t="s">
        <v>1055</v>
      </c>
      <c r="AF2643">
        <v>20</v>
      </c>
      <c r="AG2643" s="1">
        <v>39785</v>
      </c>
      <c r="AH2643" s="1">
        <v>39785</v>
      </c>
      <c r="AI2643" s="1">
        <v>39785</v>
      </c>
      <c r="AJ2643" s="1">
        <v>47090</v>
      </c>
      <c r="AK2643" t="s">
        <v>51</v>
      </c>
      <c r="AN2643">
        <v>0</v>
      </c>
      <c r="AO2643" t="s">
        <v>54</v>
      </c>
      <c r="AP2643" t="s">
        <v>53</v>
      </c>
      <c r="AQ2643">
        <v>0</v>
      </c>
      <c r="AR2643" t="s">
        <v>53</v>
      </c>
      <c r="AS2643">
        <v>0</v>
      </c>
      <c r="AT2643">
        <v>0</v>
      </c>
      <c r="BK2643" t="s">
        <v>803</v>
      </c>
      <c r="BL2643">
        <v>50000</v>
      </c>
      <c r="BM2643" s="1">
        <v>43585</v>
      </c>
      <c r="BN2643" s="1">
        <v>43585</v>
      </c>
      <c r="BO2643" s="1">
        <v>43585</v>
      </c>
      <c r="BP2643" s="1">
        <v>47830</v>
      </c>
      <c r="BQ2643" t="s">
        <v>51</v>
      </c>
      <c r="BS2643" t="s">
        <v>60</v>
      </c>
      <c r="BT2643" t="s">
        <v>54</v>
      </c>
      <c r="BU2643" t="s">
        <v>362</v>
      </c>
      <c r="BX2643">
        <v>36</v>
      </c>
      <c r="BY2643">
        <v>4320</v>
      </c>
      <c r="BZ2643">
        <v>0</v>
      </c>
      <c r="CX2643" t="s">
        <v>360</v>
      </c>
      <c r="CY2643">
        <v>40</v>
      </c>
      <c r="CZ2643" s="1">
        <v>44320</v>
      </c>
      <c r="DA2643" s="1">
        <v>44320</v>
      </c>
      <c r="DB2643" s="1">
        <v>44320</v>
      </c>
      <c r="DC2643" s="1">
        <v>58930</v>
      </c>
      <c r="DD2643" t="s">
        <v>51</v>
      </c>
      <c r="DF2643" t="s">
        <v>54</v>
      </c>
      <c r="DG2643">
        <v>0</v>
      </c>
      <c r="DH2643">
        <v>0</v>
      </c>
    </row>
    <row r="2644" spans="1:112" x14ac:dyDescent="0.2">
      <c r="A2644" t="s">
        <v>1012</v>
      </c>
      <c r="B2644" t="s">
        <v>1013</v>
      </c>
      <c r="C2644" t="s">
        <v>1019</v>
      </c>
      <c r="D2644" t="s">
        <v>1053</v>
      </c>
      <c r="F2644" t="str">
        <f>"252994"</f>
        <v>252994</v>
      </c>
      <c r="G2644" t="s">
        <v>49</v>
      </c>
      <c r="K2644" t="s">
        <v>51</v>
      </c>
      <c r="L2644" t="s">
        <v>52</v>
      </c>
      <c r="M2644">
        <v>132039.29999999999</v>
      </c>
      <c r="N2644">
        <v>473763.26</v>
      </c>
      <c r="O2644" t="s">
        <v>53</v>
      </c>
      <c r="P2644" t="s">
        <v>54</v>
      </c>
      <c r="Q2644" t="s">
        <v>55</v>
      </c>
      <c r="T2644" t="s">
        <v>1054</v>
      </c>
      <c r="U2644">
        <v>40</v>
      </c>
      <c r="V2644" s="1">
        <v>28126</v>
      </c>
      <c r="W2644" s="1">
        <v>28126</v>
      </c>
      <c r="X2644" s="1">
        <v>28126</v>
      </c>
      <c r="Y2644" s="1">
        <v>42736</v>
      </c>
      <c r="Z2644" t="s">
        <v>51</v>
      </c>
      <c r="AB2644" t="s">
        <v>54</v>
      </c>
      <c r="AC2644">
        <v>1</v>
      </c>
      <c r="AE2644" t="s">
        <v>1055</v>
      </c>
      <c r="AF2644">
        <v>20</v>
      </c>
      <c r="AG2644" s="1">
        <v>39785</v>
      </c>
      <c r="AH2644" s="1">
        <v>39785</v>
      </c>
      <c r="AI2644" s="1">
        <v>39785</v>
      </c>
      <c r="AJ2644" s="1">
        <v>47090</v>
      </c>
      <c r="AK2644" t="s">
        <v>51</v>
      </c>
      <c r="AN2644">
        <v>0</v>
      </c>
      <c r="AO2644" t="s">
        <v>54</v>
      </c>
      <c r="AP2644" t="s">
        <v>53</v>
      </c>
      <c r="AQ2644">
        <v>0</v>
      </c>
      <c r="AR2644" t="s">
        <v>53</v>
      </c>
      <c r="AS2644">
        <v>0</v>
      </c>
      <c r="AT2644">
        <v>0</v>
      </c>
      <c r="BK2644" t="s">
        <v>803</v>
      </c>
      <c r="BL2644">
        <v>50000</v>
      </c>
      <c r="BM2644" s="1">
        <v>43585</v>
      </c>
      <c r="BN2644" s="1">
        <v>43585</v>
      </c>
      <c r="BO2644" s="1">
        <v>43585</v>
      </c>
      <c r="BP2644" s="1">
        <v>47830</v>
      </c>
      <c r="BQ2644" t="s">
        <v>51</v>
      </c>
      <c r="BS2644" t="s">
        <v>60</v>
      </c>
      <c r="BT2644" t="s">
        <v>54</v>
      </c>
      <c r="BU2644" t="s">
        <v>362</v>
      </c>
      <c r="BX2644">
        <v>36</v>
      </c>
      <c r="BY2644">
        <v>4320</v>
      </c>
      <c r="BZ2644">
        <v>0</v>
      </c>
      <c r="CX2644" t="s">
        <v>360</v>
      </c>
      <c r="CY2644">
        <v>40</v>
      </c>
      <c r="CZ2644" s="1">
        <v>44320</v>
      </c>
      <c r="DA2644" s="1">
        <v>44320</v>
      </c>
      <c r="DB2644" s="1">
        <v>44320</v>
      </c>
      <c r="DC2644" s="1">
        <v>58930</v>
      </c>
      <c r="DD2644" t="s">
        <v>51</v>
      </c>
      <c r="DF2644" t="s">
        <v>54</v>
      </c>
      <c r="DG2644">
        <v>0</v>
      </c>
      <c r="DH2644">
        <v>0</v>
      </c>
    </row>
    <row r="2645" spans="1:112" x14ac:dyDescent="0.2">
      <c r="A2645" t="s">
        <v>1012</v>
      </c>
      <c r="B2645" t="s">
        <v>1013</v>
      </c>
      <c r="C2645" t="s">
        <v>1019</v>
      </c>
      <c r="D2645" t="s">
        <v>1053</v>
      </c>
      <c r="F2645" t="str">
        <f>"252995"</f>
        <v>252995</v>
      </c>
      <c r="G2645" t="s">
        <v>49</v>
      </c>
      <c r="K2645" t="s">
        <v>51</v>
      </c>
      <c r="L2645" t="s">
        <v>52</v>
      </c>
      <c r="M2645">
        <v>131997.70000000001</v>
      </c>
      <c r="N2645">
        <v>473801.21</v>
      </c>
      <c r="O2645" t="s">
        <v>53</v>
      </c>
      <c r="P2645" t="s">
        <v>54</v>
      </c>
      <c r="Q2645" t="s">
        <v>55</v>
      </c>
      <c r="T2645" t="s">
        <v>1054</v>
      </c>
      <c r="U2645">
        <v>40</v>
      </c>
      <c r="V2645" s="1">
        <v>28126</v>
      </c>
      <c r="W2645" s="1">
        <v>28126</v>
      </c>
      <c r="X2645" s="1">
        <v>28126</v>
      </c>
      <c r="Y2645" s="1">
        <v>42736</v>
      </c>
      <c r="Z2645" t="s">
        <v>51</v>
      </c>
      <c r="AB2645" t="s">
        <v>54</v>
      </c>
      <c r="AC2645">
        <v>1</v>
      </c>
      <c r="AE2645" t="s">
        <v>1055</v>
      </c>
      <c r="AF2645">
        <v>20</v>
      </c>
      <c r="AG2645" s="1">
        <v>39785</v>
      </c>
      <c r="AH2645" s="1">
        <v>39785</v>
      </c>
      <c r="AI2645" s="1">
        <v>39785</v>
      </c>
      <c r="AJ2645" s="1">
        <v>47090</v>
      </c>
      <c r="AK2645" t="s">
        <v>51</v>
      </c>
      <c r="AN2645">
        <v>0</v>
      </c>
      <c r="AO2645" t="s">
        <v>54</v>
      </c>
      <c r="AP2645" t="s">
        <v>53</v>
      </c>
      <c r="AQ2645">
        <v>0</v>
      </c>
      <c r="AR2645" t="s">
        <v>53</v>
      </c>
      <c r="AS2645">
        <v>0</v>
      </c>
      <c r="AT2645">
        <v>0</v>
      </c>
      <c r="BK2645" t="s">
        <v>803</v>
      </c>
      <c r="BL2645">
        <v>50000</v>
      </c>
      <c r="BM2645" s="1">
        <v>43585</v>
      </c>
      <c r="BN2645" s="1">
        <v>43585</v>
      </c>
      <c r="BO2645" s="1">
        <v>43585</v>
      </c>
      <c r="BP2645" s="1">
        <v>47830</v>
      </c>
      <c r="BQ2645" t="s">
        <v>51</v>
      </c>
      <c r="BS2645" t="s">
        <v>60</v>
      </c>
      <c r="BT2645" t="s">
        <v>54</v>
      </c>
      <c r="BU2645" t="s">
        <v>362</v>
      </c>
      <c r="BX2645">
        <v>36</v>
      </c>
      <c r="BY2645">
        <v>4320</v>
      </c>
      <c r="BZ2645">
        <v>0</v>
      </c>
      <c r="CX2645" t="s">
        <v>360</v>
      </c>
      <c r="CY2645">
        <v>40</v>
      </c>
      <c r="CZ2645" s="1">
        <v>44320</v>
      </c>
      <c r="DA2645" s="1">
        <v>44320</v>
      </c>
      <c r="DB2645" s="1">
        <v>44320</v>
      </c>
      <c r="DC2645" s="1">
        <v>58930</v>
      </c>
      <c r="DD2645" t="s">
        <v>51</v>
      </c>
      <c r="DF2645" t="s">
        <v>54</v>
      </c>
      <c r="DG2645">
        <v>0</v>
      </c>
      <c r="DH2645">
        <v>0</v>
      </c>
    </row>
    <row r="2646" spans="1:112" x14ac:dyDescent="0.2">
      <c r="A2646" t="s">
        <v>1012</v>
      </c>
      <c r="B2646" t="s">
        <v>1013</v>
      </c>
      <c r="C2646" t="s">
        <v>1019</v>
      </c>
      <c r="D2646" t="s">
        <v>1053</v>
      </c>
      <c r="F2646" t="str">
        <f>"252996"</f>
        <v>252996</v>
      </c>
      <c r="G2646" t="s">
        <v>49</v>
      </c>
      <c r="K2646" t="s">
        <v>51</v>
      </c>
      <c r="L2646" t="s">
        <v>52</v>
      </c>
      <c r="M2646">
        <v>131976.01</v>
      </c>
      <c r="N2646">
        <v>473818.42</v>
      </c>
      <c r="O2646" t="s">
        <v>53</v>
      </c>
      <c r="P2646" t="s">
        <v>54</v>
      </c>
      <c r="Q2646" t="s">
        <v>55</v>
      </c>
      <c r="T2646" t="s">
        <v>1054</v>
      </c>
      <c r="U2646">
        <v>40</v>
      </c>
      <c r="V2646" s="1">
        <v>28126</v>
      </c>
      <c r="W2646" s="1">
        <v>28126</v>
      </c>
      <c r="X2646" s="1">
        <v>28126</v>
      </c>
      <c r="Y2646" s="1">
        <v>42736</v>
      </c>
      <c r="Z2646" t="s">
        <v>51</v>
      </c>
      <c r="AB2646" t="s">
        <v>54</v>
      </c>
      <c r="AC2646">
        <v>1</v>
      </c>
      <c r="AE2646" t="s">
        <v>1055</v>
      </c>
      <c r="AF2646">
        <v>20</v>
      </c>
      <c r="AG2646" s="1">
        <v>39785</v>
      </c>
      <c r="AH2646" s="1">
        <v>39785</v>
      </c>
      <c r="AI2646" s="1">
        <v>39785</v>
      </c>
      <c r="AJ2646" s="1">
        <v>47090</v>
      </c>
      <c r="AK2646" t="s">
        <v>51</v>
      </c>
      <c r="AN2646">
        <v>0</v>
      </c>
      <c r="AO2646" t="s">
        <v>54</v>
      </c>
      <c r="AP2646" t="s">
        <v>53</v>
      </c>
      <c r="AQ2646">
        <v>0</v>
      </c>
      <c r="AR2646" t="s">
        <v>53</v>
      </c>
      <c r="AS2646">
        <v>0</v>
      </c>
      <c r="AT2646">
        <v>0</v>
      </c>
      <c r="BK2646" t="s">
        <v>803</v>
      </c>
      <c r="BL2646">
        <v>50000</v>
      </c>
      <c r="BM2646" s="1">
        <v>43585</v>
      </c>
      <c r="BN2646" s="1">
        <v>43585</v>
      </c>
      <c r="BO2646" s="1">
        <v>43585</v>
      </c>
      <c r="BP2646" s="1">
        <v>47830</v>
      </c>
      <c r="BQ2646" t="s">
        <v>51</v>
      </c>
      <c r="BS2646" t="s">
        <v>60</v>
      </c>
      <c r="BT2646" t="s">
        <v>54</v>
      </c>
      <c r="BU2646" t="s">
        <v>362</v>
      </c>
      <c r="BX2646">
        <v>36</v>
      </c>
      <c r="BY2646">
        <v>4320</v>
      </c>
      <c r="BZ2646">
        <v>0</v>
      </c>
      <c r="CX2646" t="s">
        <v>360</v>
      </c>
      <c r="CY2646">
        <v>40</v>
      </c>
      <c r="CZ2646" s="1">
        <v>44320</v>
      </c>
      <c r="DA2646" s="1">
        <v>44320</v>
      </c>
      <c r="DB2646" s="1">
        <v>44320</v>
      </c>
      <c r="DC2646" s="1">
        <v>58930</v>
      </c>
      <c r="DD2646" t="s">
        <v>51</v>
      </c>
      <c r="DF2646" t="s">
        <v>54</v>
      </c>
      <c r="DG2646">
        <v>0</v>
      </c>
      <c r="DH2646">
        <v>0</v>
      </c>
    </row>
    <row r="2647" spans="1:112" x14ac:dyDescent="0.2">
      <c r="A2647" t="s">
        <v>1012</v>
      </c>
      <c r="B2647" t="s">
        <v>1013</v>
      </c>
      <c r="C2647" t="s">
        <v>1019</v>
      </c>
      <c r="D2647" t="s">
        <v>1053</v>
      </c>
      <c r="F2647" t="str">
        <f>"252997"</f>
        <v>252997</v>
      </c>
      <c r="G2647" t="s">
        <v>49</v>
      </c>
      <c r="K2647" t="s">
        <v>51</v>
      </c>
      <c r="L2647" t="s">
        <v>52</v>
      </c>
      <c r="M2647">
        <v>131932.42000000001</v>
      </c>
      <c r="N2647">
        <v>473843.51</v>
      </c>
      <c r="O2647" t="s">
        <v>53</v>
      </c>
      <c r="P2647" t="s">
        <v>54</v>
      </c>
      <c r="Q2647" t="s">
        <v>55</v>
      </c>
      <c r="T2647" t="s">
        <v>1054</v>
      </c>
      <c r="U2647">
        <v>40</v>
      </c>
      <c r="V2647" s="1">
        <v>28126</v>
      </c>
      <c r="W2647" s="1">
        <v>28126</v>
      </c>
      <c r="X2647" s="1">
        <v>28126</v>
      </c>
      <c r="Y2647" s="1">
        <v>42736</v>
      </c>
      <c r="Z2647" t="s">
        <v>51</v>
      </c>
      <c r="AB2647" t="s">
        <v>54</v>
      </c>
      <c r="AC2647">
        <v>1</v>
      </c>
      <c r="AE2647" t="s">
        <v>1055</v>
      </c>
      <c r="AF2647">
        <v>20</v>
      </c>
      <c r="AG2647" s="1">
        <v>39785</v>
      </c>
      <c r="AH2647" s="1">
        <v>39785</v>
      </c>
      <c r="AI2647" s="1">
        <v>39785</v>
      </c>
      <c r="AJ2647" s="1">
        <v>47090</v>
      </c>
      <c r="AK2647" t="s">
        <v>51</v>
      </c>
      <c r="AN2647">
        <v>0</v>
      </c>
      <c r="AO2647" t="s">
        <v>54</v>
      </c>
      <c r="AP2647" t="s">
        <v>53</v>
      </c>
      <c r="AQ2647">
        <v>0</v>
      </c>
      <c r="AR2647" t="s">
        <v>53</v>
      </c>
      <c r="AS2647">
        <v>0</v>
      </c>
      <c r="AT2647">
        <v>0</v>
      </c>
      <c r="BK2647" t="s">
        <v>803</v>
      </c>
      <c r="BL2647">
        <v>50000</v>
      </c>
      <c r="BM2647" s="1">
        <v>43592</v>
      </c>
      <c r="BN2647" s="1">
        <v>43592</v>
      </c>
      <c r="BO2647" s="1">
        <v>43592</v>
      </c>
      <c r="BP2647" s="1">
        <v>47834</v>
      </c>
      <c r="BQ2647" t="s">
        <v>51</v>
      </c>
      <c r="BS2647" t="s">
        <v>60</v>
      </c>
      <c r="BT2647" t="s">
        <v>54</v>
      </c>
      <c r="BU2647" t="s">
        <v>362</v>
      </c>
      <c r="BX2647">
        <v>36</v>
      </c>
      <c r="BY2647">
        <v>4320</v>
      </c>
      <c r="BZ2647">
        <v>0</v>
      </c>
      <c r="CX2647" t="s">
        <v>360</v>
      </c>
      <c r="CY2647">
        <v>40</v>
      </c>
      <c r="CZ2647" s="1">
        <v>44320</v>
      </c>
      <c r="DA2647" s="1">
        <v>44320</v>
      </c>
      <c r="DB2647" s="1">
        <v>44320</v>
      </c>
      <c r="DC2647" s="1">
        <v>58930</v>
      </c>
      <c r="DD2647" t="s">
        <v>51</v>
      </c>
      <c r="DF2647" t="s">
        <v>54</v>
      </c>
      <c r="DG2647">
        <v>0</v>
      </c>
      <c r="DH2647">
        <v>0</v>
      </c>
    </row>
    <row r="2648" spans="1:112" x14ac:dyDescent="0.2">
      <c r="A2648" t="s">
        <v>1012</v>
      </c>
      <c r="B2648" t="s">
        <v>1013</v>
      </c>
      <c r="C2648" t="s">
        <v>1019</v>
      </c>
      <c r="D2648" t="s">
        <v>1053</v>
      </c>
      <c r="F2648" t="str">
        <f>"252998"</f>
        <v>252998</v>
      </c>
      <c r="G2648" t="s">
        <v>49</v>
      </c>
      <c r="K2648" t="s">
        <v>51</v>
      </c>
      <c r="L2648" t="s">
        <v>52</v>
      </c>
      <c r="M2648">
        <v>131907.71</v>
      </c>
      <c r="N2648">
        <v>473856.79</v>
      </c>
      <c r="O2648" t="s">
        <v>53</v>
      </c>
      <c r="P2648" t="s">
        <v>54</v>
      </c>
      <c r="Q2648" t="s">
        <v>55</v>
      </c>
      <c r="T2648" t="s">
        <v>1054</v>
      </c>
      <c r="U2648">
        <v>40</v>
      </c>
      <c r="V2648" s="1">
        <v>44320</v>
      </c>
      <c r="W2648" s="1">
        <v>44320</v>
      </c>
      <c r="X2648" s="1">
        <v>44320</v>
      </c>
      <c r="Y2648" s="1">
        <v>58930</v>
      </c>
      <c r="Z2648" t="s">
        <v>51</v>
      </c>
      <c r="AB2648" t="s">
        <v>54</v>
      </c>
      <c r="AC2648">
        <v>1</v>
      </c>
      <c r="AE2648" t="s">
        <v>1055</v>
      </c>
      <c r="AF2648">
        <v>20</v>
      </c>
      <c r="AG2648" s="1">
        <v>39785</v>
      </c>
      <c r="AH2648" s="1">
        <v>39785</v>
      </c>
      <c r="AI2648" s="1">
        <v>44320</v>
      </c>
      <c r="AJ2648" s="1">
        <v>47090</v>
      </c>
      <c r="AK2648" t="s">
        <v>51</v>
      </c>
      <c r="AN2648">
        <v>0</v>
      </c>
      <c r="AO2648" t="s">
        <v>54</v>
      </c>
      <c r="AP2648" t="s">
        <v>53</v>
      </c>
      <c r="AQ2648">
        <v>0</v>
      </c>
      <c r="AR2648" t="s">
        <v>53</v>
      </c>
      <c r="AS2648">
        <v>0</v>
      </c>
      <c r="AT2648">
        <v>0</v>
      </c>
      <c r="BK2648" t="s">
        <v>803</v>
      </c>
      <c r="BL2648">
        <v>50000</v>
      </c>
      <c r="BM2648" s="1">
        <v>43592</v>
      </c>
      <c r="BN2648" s="1">
        <v>43592</v>
      </c>
      <c r="BO2648" s="1">
        <v>44320</v>
      </c>
      <c r="BP2648" s="1">
        <v>47834</v>
      </c>
      <c r="BQ2648" t="s">
        <v>51</v>
      </c>
      <c r="BS2648" t="s">
        <v>60</v>
      </c>
      <c r="BT2648" t="s">
        <v>54</v>
      </c>
      <c r="BU2648" t="s">
        <v>362</v>
      </c>
      <c r="BX2648">
        <v>36</v>
      </c>
      <c r="BY2648">
        <v>4320</v>
      </c>
      <c r="BZ2648">
        <v>0</v>
      </c>
      <c r="CX2648" t="s">
        <v>360</v>
      </c>
      <c r="CY2648">
        <v>40</v>
      </c>
      <c r="CZ2648" s="1">
        <v>44320</v>
      </c>
      <c r="DA2648" s="1">
        <v>44320</v>
      </c>
      <c r="DB2648" s="1">
        <v>44320</v>
      </c>
      <c r="DC2648" s="1">
        <v>58930</v>
      </c>
      <c r="DD2648" t="s">
        <v>51</v>
      </c>
      <c r="DF2648" t="s">
        <v>54</v>
      </c>
      <c r="DG2648">
        <v>0</v>
      </c>
      <c r="DH2648">
        <v>0</v>
      </c>
    </row>
    <row r="2649" spans="1:112" x14ac:dyDescent="0.2">
      <c r="A2649" t="s">
        <v>1012</v>
      </c>
      <c r="B2649" t="s">
        <v>1013</v>
      </c>
      <c r="C2649" t="s">
        <v>1052</v>
      </c>
      <c r="D2649" t="s">
        <v>1057</v>
      </c>
      <c r="F2649" t="str">
        <f>"253003"</f>
        <v>253003</v>
      </c>
      <c r="G2649" t="s">
        <v>49</v>
      </c>
      <c r="H2649">
        <v>3</v>
      </c>
      <c r="K2649" t="s">
        <v>51</v>
      </c>
      <c r="L2649" t="s">
        <v>52</v>
      </c>
      <c r="M2649">
        <v>131871.94</v>
      </c>
      <c r="N2649">
        <v>474087.52</v>
      </c>
      <c r="O2649" t="s">
        <v>53</v>
      </c>
      <c r="P2649" t="s">
        <v>54</v>
      </c>
      <c r="Q2649" t="s">
        <v>55</v>
      </c>
      <c r="T2649" t="s">
        <v>81</v>
      </c>
      <c r="U2649">
        <v>40</v>
      </c>
      <c r="V2649" s="1">
        <v>32874</v>
      </c>
      <c r="W2649" s="1">
        <v>32874</v>
      </c>
      <c r="X2649" s="1">
        <v>32874</v>
      </c>
      <c r="Y2649" s="1">
        <v>47484</v>
      </c>
      <c r="Z2649" t="s">
        <v>51</v>
      </c>
      <c r="AB2649" t="s">
        <v>54</v>
      </c>
      <c r="AC2649">
        <v>1</v>
      </c>
      <c r="AE2649" t="s">
        <v>222</v>
      </c>
      <c r="AF2649">
        <v>20</v>
      </c>
      <c r="AG2649" s="1">
        <v>34881</v>
      </c>
      <c r="AH2649" s="1">
        <v>34881</v>
      </c>
      <c r="AI2649" s="1">
        <v>34881</v>
      </c>
      <c r="AJ2649" s="1">
        <v>42186</v>
      </c>
      <c r="AK2649" t="s">
        <v>51</v>
      </c>
      <c r="AN2649">
        <v>0</v>
      </c>
      <c r="AO2649" t="s">
        <v>54</v>
      </c>
      <c r="AP2649" t="s">
        <v>53</v>
      </c>
      <c r="AQ2649">
        <v>0</v>
      </c>
      <c r="AR2649" t="s">
        <v>53</v>
      </c>
      <c r="AS2649">
        <v>0</v>
      </c>
      <c r="AT2649">
        <v>0</v>
      </c>
      <c r="AW2649" t="s">
        <v>58</v>
      </c>
      <c r="AX2649">
        <v>20</v>
      </c>
      <c r="AY2649" s="1">
        <v>43676</v>
      </c>
      <c r="AZ2649" s="1">
        <v>43676</v>
      </c>
      <c r="BA2649" s="1">
        <v>43676</v>
      </c>
      <c r="BB2649" s="1">
        <v>50981</v>
      </c>
      <c r="BC2649" t="s">
        <v>51</v>
      </c>
      <c r="BE2649" t="s">
        <v>54</v>
      </c>
      <c r="BF2649">
        <v>2</v>
      </c>
      <c r="BG2649">
        <v>0</v>
      </c>
      <c r="BH2649" t="s">
        <v>53</v>
      </c>
      <c r="BK2649" t="s">
        <v>59</v>
      </c>
      <c r="BL2649">
        <v>14000</v>
      </c>
      <c r="BM2649" s="1">
        <v>44118</v>
      </c>
      <c r="BN2649" s="1">
        <v>44118</v>
      </c>
      <c r="BO2649" s="1">
        <v>44118</v>
      </c>
      <c r="BP2649" s="1">
        <v>45279</v>
      </c>
      <c r="BQ2649" t="s">
        <v>51</v>
      </c>
      <c r="BS2649" t="s">
        <v>60</v>
      </c>
      <c r="BT2649" t="s">
        <v>54</v>
      </c>
      <c r="BU2649" t="s">
        <v>61</v>
      </c>
      <c r="BV2649" t="s">
        <v>62</v>
      </c>
      <c r="BX2649">
        <v>24</v>
      </c>
      <c r="BY2649">
        <v>0</v>
      </c>
      <c r="BZ2649">
        <v>0</v>
      </c>
      <c r="CX2649" t="s">
        <v>674</v>
      </c>
      <c r="CY2649">
        <v>0</v>
      </c>
      <c r="CZ2649" s="1">
        <v>44075</v>
      </c>
      <c r="DA2649" s="1">
        <v>44075</v>
      </c>
      <c r="DB2649" s="1">
        <v>44075</v>
      </c>
      <c r="DC2649" s="1">
        <v>44075</v>
      </c>
      <c r="DD2649" t="s">
        <v>51</v>
      </c>
      <c r="DF2649" t="s">
        <v>54</v>
      </c>
      <c r="DG2649">
        <v>0</v>
      </c>
      <c r="DH2649">
        <v>0</v>
      </c>
    </row>
    <row r="2650" spans="1:112" x14ac:dyDescent="0.2">
      <c r="A2650" t="s">
        <v>1012</v>
      </c>
      <c r="B2650" t="s">
        <v>1013</v>
      </c>
      <c r="C2650" t="s">
        <v>1052</v>
      </c>
      <c r="D2650" t="s">
        <v>1053</v>
      </c>
      <c r="F2650" t="str">
        <f>"253004"</f>
        <v>253004</v>
      </c>
      <c r="G2650" t="s">
        <v>49</v>
      </c>
      <c r="K2650" t="s">
        <v>51</v>
      </c>
      <c r="L2650" t="s">
        <v>52</v>
      </c>
      <c r="M2650">
        <v>131873.54300000001</v>
      </c>
      <c r="N2650">
        <v>473988.37400000001</v>
      </c>
      <c r="O2650" t="s">
        <v>53</v>
      </c>
      <c r="P2650" t="s">
        <v>54</v>
      </c>
      <c r="Q2650" t="s">
        <v>55</v>
      </c>
      <c r="T2650" t="s">
        <v>1054</v>
      </c>
      <c r="U2650">
        <v>40</v>
      </c>
      <c r="V2650" s="1">
        <v>28126</v>
      </c>
      <c r="W2650" s="1">
        <v>28126</v>
      </c>
      <c r="X2650" s="1">
        <v>28126</v>
      </c>
      <c r="Y2650" s="1">
        <v>42736</v>
      </c>
      <c r="Z2650" t="s">
        <v>51</v>
      </c>
      <c r="AB2650" t="s">
        <v>54</v>
      </c>
      <c r="AC2650">
        <v>1</v>
      </c>
      <c r="AE2650" t="s">
        <v>1055</v>
      </c>
      <c r="AF2650">
        <v>20</v>
      </c>
      <c r="AG2650" s="1">
        <v>39785</v>
      </c>
      <c r="AH2650" s="1">
        <v>39785</v>
      </c>
      <c r="AI2650" s="1">
        <v>39785</v>
      </c>
      <c r="AJ2650" s="1">
        <v>47090</v>
      </c>
      <c r="AK2650" t="s">
        <v>51</v>
      </c>
      <c r="AN2650">
        <v>0</v>
      </c>
      <c r="AO2650" t="s">
        <v>54</v>
      </c>
      <c r="AP2650" t="s">
        <v>53</v>
      </c>
      <c r="AQ2650">
        <v>0</v>
      </c>
      <c r="AR2650" t="s">
        <v>53</v>
      </c>
      <c r="AS2650">
        <v>0</v>
      </c>
      <c r="AT2650">
        <v>0</v>
      </c>
      <c r="BK2650" t="s">
        <v>803</v>
      </c>
      <c r="BL2650">
        <v>50000</v>
      </c>
      <c r="BM2650" s="1">
        <v>44914</v>
      </c>
      <c r="BN2650" s="1">
        <v>44914</v>
      </c>
      <c r="BO2650" s="1">
        <v>44914</v>
      </c>
      <c r="BP2650" s="1">
        <v>49154</v>
      </c>
      <c r="BQ2650" t="s">
        <v>51</v>
      </c>
      <c r="BS2650" t="s">
        <v>60</v>
      </c>
      <c r="BT2650" t="s">
        <v>54</v>
      </c>
      <c r="BU2650" t="s">
        <v>362</v>
      </c>
      <c r="BX2650">
        <v>36</v>
      </c>
      <c r="BY2650">
        <v>4320</v>
      </c>
      <c r="BZ2650">
        <v>0</v>
      </c>
      <c r="CX2650" t="s">
        <v>360</v>
      </c>
      <c r="CY2650">
        <v>40</v>
      </c>
      <c r="CZ2650" s="1">
        <v>44320</v>
      </c>
      <c r="DA2650" s="1">
        <v>44320</v>
      </c>
      <c r="DB2650" s="1">
        <v>44320</v>
      </c>
      <c r="DC2650" s="1">
        <v>58930</v>
      </c>
      <c r="DD2650" t="s">
        <v>51</v>
      </c>
      <c r="DF2650" t="s">
        <v>54</v>
      </c>
      <c r="DG2650">
        <v>0</v>
      </c>
      <c r="DH2650">
        <v>0</v>
      </c>
    </row>
    <row r="2651" spans="1:112" x14ac:dyDescent="0.2">
      <c r="A2651" t="s">
        <v>1012</v>
      </c>
      <c r="B2651" t="s">
        <v>1013</v>
      </c>
      <c r="C2651" t="s">
        <v>1052</v>
      </c>
      <c r="D2651" t="s">
        <v>1053</v>
      </c>
      <c r="F2651" t="str">
        <f>"253005"</f>
        <v>253005</v>
      </c>
      <c r="G2651" t="s">
        <v>49</v>
      </c>
      <c r="K2651" t="s">
        <v>51</v>
      </c>
      <c r="L2651" t="s">
        <v>52</v>
      </c>
      <c r="M2651">
        <v>131869.75200000001</v>
      </c>
      <c r="N2651">
        <v>473961.239</v>
      </c>
      <c r="O2651" t="s">
        <v>53</v>
      </c>
      <c r="P2651" t="s">
        <v>54</v>
      </c>
      <c r="Q2651" t="s">
        <v>55</v>
      </c>
      <c r="T2651" t="s">
        <v>1054</v>
      </c>
      <c r="U2651">
        <v>40</v>
      </c>
      <c r="V2651" s="1">
        <v>28126</v>
      </c>
      <c r="W2651" s="1">
        <v>28126</v>
      </c>
      <c r="X2651" s="1">
        <v>28126</v>
      </c>
      <c r="Y2651" s="1">
        <v>42736</v>
      </c>
      <c r="Z2651" t="s">
        <v>51</v>
      </c>
      <c r="AB2651" t="s">
        <v>54</v>
      </c>
      <c r="AC2651">
        <v>1</v>
      </c>
      <c r="AE2651" t="s">
        <v>1055</v>
      </c>
      <c r="AF2651">
        <v>20</v>
      </c>
      <c r="AG2651" s="1">
        <v>39785</v>
      </c>
      <c r="AH2651" s="1">
        <v>39785</v>
      </c>
      <c r="AI2651" s="1">
        <v>39785</v>
      </c>
      <c r="AJ2651" s="1">
        <v>47090</v>
      </c>
      <c r="AK2651" t="s">
        <v>51</v>
      </c>
      <c r="AN2651">
        <v>0</v>
      </c>
      <c r="AO2651" t="s">
        <v>54</v>
      </c>
      <c r="AP2651" t="s">
        <v>53</v>
      </c>
      <c r="AQ2651">
        <v>0</v>
      </c>
      <c r="AR2651" t="s">
        <v>53</v>
      </c>
      <c r="AS2651">
        <v>0</v>
      </c>
      <c r="AT2651">
        <v>0</v>
      </c>
      <c r="BK2651" t="s">
        <v>803</v>
      </c>
      <c r="BL2651">
        <v>50000</v>
      </c>
      <c r="BM2651" s="1">
        <v>43591</v>
      </c>
      <c r="BN2651" s="1">
        <v>43591</v>
      </c>
      <c r="BO2651" s="1">
        <v>43591</v>
      </c>
      <c r="BP2651" s="1">
        <v>47833</v>
      </c>
      <c r="BQ2651" t="s">
        <v>51</v>
      </c>
      <c r="BS2651" t="s">
        <v>60</v>
      </c>
      <c r="BT2651" t="s">
        <v>54</v>
      </c>
      <c r="BU2651" t="s">
        <v>362</v>
      </c>
      <c r="BX2651">
        <v>36</v>
      </c>
      <c r="BY2651">
        <v>4320</v>
      </c>
      <c r="BZ2651">
        <v>0</v>
      </c>
      <c r="CX2651" t="s">
        <v>360</v>
      </c>
      <c r="CY2651">
        <v>40</v>
      </c>
      <c r="CZ2651" s="1">
        <v>44320</v>
      </c>
      <c r="DA2651" s="1">
        <v>44320</v>
      </c>
      <c r="DB2651" s="1">
        <v>44320</v>
      </c>
      <c r="DC2651" s="1">
        <v>58930</v>
      </c>
      <c r="DD2651" t="s">
        <v>51</v>
      </c>
      <c r="DF2651" t="s">
        <v>54</v>
      </c>
      <c r="DG2651">
        <v>0</v>
      </c>
      <c r="DH2651">
        <v>0</v>
      </c>
    </row>
    <row r="2652" spans="1:112" x14ac:dyDescent="0.2">
      <c r="A2652" t="s">
        <v>1012</v>
      </c>
      <c r="B2652" t="s">
        <v>1013</v>
      </c>
      <c r="C2652" t="s">
        <v>1019</v>
      </c>
      <c r="D2652" t="s">
        <v>1053</v>
      </c>
      <c r="F2652" t="str">
        <f>"253006"</f>
        <v>253006</v>
      </c>
      <c r="G2652" t="s">
        <v>49</v>
      </c>
      <c r="K2652" t="s">
        <v>51</v>
      </c>
      <c r="L2652" t="s">
        <v>52</v>
      </c>
      <c r="M2652">
        <v>131870.60999999999</v>
      </c>
      <c r="N2652">
        <v>473913.16</v>
      </c>
      <c r="O2652" t="s">
        <v>53</v>
      </c>
      <c r="P2652" t="s">
        <v>54</v>
      </c>
      <c r="Q2652" t="s">
        <v>55</v>
      </c>
      <c r="T2652" t="s">
        <v>1054</v>
      </c>
      <c r="U2652">
        <v>40</v>
      </c>
      <c r="V2652" s="1">
        <v>28126</v>
      </c>
      <c r="W2652" s="1">
        <v>28126</v>
      </c>
      <c r="X2652" s="1">
        <v>28126</v>
      </c>
      <c r="Y2652" s="1">
        <v>42736</v>
      </c>
      <c r="Z2652" t="s">
        <v>51</v>
      </c>
      <c r="AB2652" t="s">
        <v>54</v>
      </c>
      <c r="AC2652">
        <v>1</v>
      </c>
      <c r="AE2652" t="s">
        <v>1055</v>
      </c>
      <c r="AF2652">
        <v>20</v>
      </c>
      <c r="AG2652" s="1">
        <v>39785</v>
      </c>
      <c r="AH2652" s="1">
        <v>39785</v>
      </c>
      <c r="AI2652" s="1">
        <v>39785</v>
      </c>
      <c r="AJ2652" s="1">
        <v>47090</v>
      </c>
      <c r="AK2652" t="s">
        <v>51</v>
      </c>
      <c r="AN2652">
        <v>0</v>
      </c>
      <c r="AO2652" t="s">
        <v>54</v>
      </c>
      <c r="AP2652" t="s">
        <v>53</v>
      </c>
      <c r="AQ2652">
        <v>0</v>
      </c>
      <c r="AR2652" t="s">
        <v>53</v>
      </c>
      <c r="AS2652">
        <v>0</v>
      </c>
      <c r="AT2652">
        <v>0</v>
      </c>
      <c r="BK2652" t="s">
        <v>803</v>
      </c>
      <c r="BL2652">
        <v>50000</v>
      </c>
      <c r="BM2652" s="1">
        <v>43591</v>
      </c>
      <c r="BN2652" s="1">
        <v>43591</v>
      </c>
      <c r="BO2652" s="1">
        <v>43591</v>
      </c>
      <c r="BP2652" s="1">
        <v>47833</v>
      </c>
      <c r="BQ2652" t="s">
        <v>51</v>
      </c>
      <c r="BS2652" t="s">
        <v>60</v>
      </c>
      <c r="BT2652" t="s">
        <v>54</v>
      </c>
      <c r="BU2652" t="s">
        <v>362</v>
      </c>
      <c r="BX2652">
        <v>36</v>
      </c>
      <c r="BY2652">
        <v>4320</v>
      </c>
      <c r="BZ2652">
        <v>0</v>
      </c>
      <c r="CX2652" t="s">
        <v>360</v>
      </c>
      <c r="CY2652">
        <v>40</v>
      </c>
      <c r="CZ2652" s="1">
        <v>44320</v>
      </c>
      <c r="DA2652" s="1">
        <v>44320</v>
      </c>
      <c r="DB2652" s="1">
        <v>44320</v>
      </c>
      <c r="DC2652" s="1">
        <v>58930</v>
      </c>
      <c r="DD2652" t="s">
        <v>51</v>
      </c>
      <c r="DF2652" t="s">
        <v>54</v>
      </c>
      <c r="DG2652">
        <v>0</v>
      </c>
      <c r="DH2652">
        <v>0</v>
      </c>
    </row>
    <row r="2653" spans="1:112" x14ac:dyDescent="0.2">
      <c r="A2653" t="s">
        <v>1012</v>
      </c>
      <c r="B2653" t="s">
        <v>1013</v>
      </c>
      <c r="C2653" t="s">
        <v>1019</v>
      </c>
      <c r="D2653" t="s">
        <v>1053</v>
      </c>
      <c r="F2653" t="str">
        <f>"253007"</f>
        <v>253007</v>
      </c>
      <c r="G2653" t="s">
        <v>49</v>
      </c>
      <c r="K2653" t="s">
        <v>51</v>
      </c>
      <c r="L2653" t="s">
        <v>52</v>
      </c>
      <c r="M2653">
        <v>131881.89000000001</v>
      </c>
      <c r="N2653">
        <v>473895.02</v>
      </c>
      <c r="O2653" t="s">
        <v>53</v>
      </c>
      <c r="P2653" t="s">
        <v>54</v>
      </c>
      <c r="Q2653" t="s">
        <v>55</v>
      </c>
      <c r="T2653" t="s">
        <v>1054</v>
      </c>
      <c r="U2653">
        <v>40</v>
      </c>
      <c r="V2653" s="1">
        <v>28126</v>
      </c>
      <c r="W2653" s="1">
        <v>28126</v>
      </c>
      <c r="X2653" s="1">
        <v>28126</v>
      </c>
      <c r="Y2653" s="1">
        <v>42736</v>
      </c>
      <c r="Z2653" t="s">
        <v>51</v>
      </c>
      <c r="AB2653" t="s">
        <v>54</v>
      </c>
      <c r="AC2653">
        <v>1</v>
      </c>
      <c r="AE2653" t="s">
        <v>1055</v>
      </c>
      <c r="AF2653">
        <v>20</v>
      </c>
      <c r="AG2653" s="1">
        <v>39785</v>
      </c>
      <c r="AH2653" s="1">
        <v>39785</v>
      </c>
      <c r="AI2653" s="1">
        <v>39785</v>
      </c>
      <c r="AJ2653" s="1">
        <v>47090</v>
      </c>
      <c r="AK2653" t="s">
        <v>51</v>
      </c>
      <c r="AN2653">
        <v>0</v>
      </c>
      <c r="AO2653" t="s">
        <v>54</v>
      </c>
      <c r="AP2653" t="s">
        <v>53</v>
      </c>
      <c r="AQ2653">
        <v>0</v>
      </c>
      <c r="AR2653" t="s">
        <v>53</v>
      </c>
      <c r="AS2653">
        <v>0</v>
      </c>
      <c r="AT2653">
        <v>0</v>
      </c>
      <c r="BK2653" t="s">
        <v>803</v>
      </c>
      <c r="BL2653">
        <v>50000</v>
      </c>
      <c r="BM2653" s="1">
        <v>43591</v>
      </c>
      <c r="BN2653" s="1">
        <v>43591</v>
      </c>
      <c r="BO2653" s="1">
        <v>43591</v>
      </c>
      <c r="BP2653" s="1">
        <v>47833</v>
      </c>
      <c r="BQ2653" t="s">
        <v>51</v>
      </c>
      <c r="BS2653" t="s">
        <v>60</v>
      </c>
      <c r="BT2653" t="s">
        <v>54</v>
      </c>
      <c r="BU2653" t="s">
        <v>362</v>
      </c>
      <c r="BX2653">
        <v>36</v>
      </c>
      <c r="BY2653">
        <v>4320</v>
      </c>
      <c r="BZ2653">
        <v>0</v>
      </c>
      <c r="CX2653" t="s">
        <v>360</v>
      </c>
      <c r="CY2653">
        <v>40</v>
      </c>
      <c r="CZ2653" s="1">
        <v>44320</v>
      </c>
      <c r="DA2653" s="1">
        <v>44320</v>
      </c>
      <c r="DB2653" s="1">
        <v>44320</v>
      </c>
      <c r="DC2653" s="1">
        <v>58930</v>
      </c>
      <c r="DD2653" t="s">
        <v>51</v>
      </c>
      <c r="DF2653" t="s">
        <v>54</v>
      </c>
      <c r="DG2653">
        <v>0</v>
      </c>
      <c r="DH2653">
        <v>0</v>
      </c>
    </row>
    <row r="2654" spans="1:112" x14ac:dyDescent="0.2">
      <c r="A2654" t="s">
        <v>1012</v>
      </c>
      <c r="B2654" t="s">
        <v>1013</v>
      </c>
      <c r="C2654" t="s">
        <v>1019</v>
      </c>
      <c r="D2654" t="s">
        <v>1053</v>
      </c>
      <c r="F2654" t="str">
        <f>"253008"</f>
        <v>253008</v>
      </c>
      <c r="G2654" t="s">
        <v>49</v>
      </c>
      <c r="K2654" t="s">
        <v>51</v>
      </c>
      <c r="L2654" t="s">
        <v>52</v>
      </c>
      <c r="M2654">
        <v>131915.73000000001</v>
      </c>
      <c r="N2654">
        <v>473870.53</v>
      </c>
      <c r="O2654" t="s">
        <v>53</v>
      </c>
      <c r="P2654" t="s">
        <v>54</v>
      </c>
      <c r="Q2654" t="s">
        <v>55</v>
      </c>
      <c r="T2654" t="s">
        <v>1054</v>
      </c>
      <c r="U2654">
        <v>40</v>
      </c>
      <c r="V2654" s="1">
        <v>28126</v>
      </c>
      <c r="W2654" s="1">
        <v>28126</v>
      </c>
      <c r="X2654" s="1">
        <v>28126</v>
      </c>
      <c r="Y2654" s="1">
        <v>42736</v>
      </c>
      <c r="Z2654" t="s">
        <v>51</v>
      </c>
      <c r="AB2654" t="s">
        <v>54</v>
      </c>
      <c r="AC2654">
        <v>1</v>
      </c>
      <c r="AE2654" t="s">
        <v>1055</v>
      </c>
      <c r="AF2654">
        <v>20</v>
      </c>
      <c r="AG2654" s="1">
        <v>39785</v>
      </c>
      <c r="AH2654" s="1">
        <v>39785</v>
      </c>
      <c r="AI2654" s="1">
        <v>39785</v>
      </c>
      <c r="AJ2654" s="1">
        <v>47090</v>
      </c>
      <c r="AK2654" t="s">
        <v>51</v>
      </c>
      <c r="AN2654">
        <v>0</v>
      </c>
      <c r="AO2654" t="s">
        <v>54</v>
      </c>
      <c r="AP2654" t="s">
        <v>53</v>
      </c>
      <c r="AQ2654">
        <v>0</v>
      </c>
      <c r="AR2654" t="s">
        <v>53</v>
      </c>
      <c r="AS2654">
        <v>0</v>
      </c>
      <c r="AT2654">
        <v>0</v>
      </c>
      <c r="BK2654" t="s">
        <v>803</v>
      </c>
      <c r="BL2654">
        <v>50000</v>
      </c>
      <c r="BM2654" s="1">
        <v>43591</v>
      </c>
      <c r="BN2654" s="1">
        <v>43591</v>
      </c>
      <c r="BO2654" s="1">
        <v>43591</v>
      </c>
      <c r="BP2654" s="1">
        <v>47833</v>
      </c>
      <c r="BQ2654" t="s">
        <v>51</v>
      </c>
      <c r="BS2654" t="s">
        <v>60</v>
      </c>
      <c r="BT2654" t="s">
        <v>54</v>
      </c>
      <c r="BU2654" t="s">
        <v>362</v>
      </c>
      <c r="BX2654">
        <v>36</v>
      </c>
      <c r="BY2654">
        <v>4320</v>
      </c>
      <c r="BZ2654">
        <v>0</v>
      </c>
      <c r="CX2654" t="s">
        <v>360</v>
      </c>
      <c r="CY2654">
        <v>40</v>
      </c>
      <c r="CZ2654" s="1">
        <v>44320</v>
      </c>
      <c r="DA2654" s="1">
        <v>44320</v>
      </c>
      <c r="DB2654" s="1">
        <v>44320</v>
      </c>
      <c r="DC2654" s="1">
        <v>58930</v>
      </c>
      <c r="DD2654" t="s">
        <v>51</v>
      </c>
      <c r="DF2654" t="s">
        <v>54</v>
      </c>
      <c r="DG2654">
        <v>0</v>
      </c>
      <c r="DH2654">
        <v>0</v>
      </c>
    </row>
    <row r="2655" spans="1:112" x14ac:dyDescent="0.2">
      <c r="A2655" t="s">
        <v>1012</v>
      </c>
      <c r="B2655" t="s">
        <v>1013</v>
      </c>
      <c r="C2655" t="s">
        <v>1019</v>
      </c>
      <c r="D2655" t="s">
        <v>1053</v>
      </c>
      <c r="F2655" t="str">
        <f>"253009"</f>
        <v>253009</v>
      </c>
      <c r="G2655" t="s">
        <v>49</v>
      </c>
      <c r="K2655" t="s">
        <v>51</v>
      </c>
      <c r="L2655" t="s">
        <v>52</v>
      </c>
      <c r="M2655">
        <v>131961.35</v>
      </c>
      <c r="N2655">
        <v>473840.99</v>
      </c>
      <c r="O2655" t="s">
        <v>53</v>
      </c>
      <c r="P2655" t="s">
        <v>54</v>
      </c>
      <c r="Q2655" t="s">
        <v>55</v>
      </c>
      <c r="T2655" t="s">
        <v>1054</v>
      </c>
      <c r="U2655">
        <v>40</v>
      </c>
      <c r="V2655" s="1">
        <v>28126</v>
      </c>
      <c r="W2655" s="1">
        <v>28126</v>
      </c>
      <c r="X2655" s="1">
        <v>28126</v>
      </c>
      <c r="Y2655" s="1">
        <v>42736</v>
      </c>
      <c r="Z2655" t="s">
        <v>51</v>
      </c>
      <c r="AB2655" t="s">
        <v>54</v>
      </c>
      <c r="AC2655">
        <v>1</v>
      </c>
      <c r="AE2655" t="s">
        <v>1055</v>
      </c>
      <c r="AF2655">
        <v>20</v>
      </c>
      <c r="AG2655" s="1">
        <v>39785</v>
      </c>
      <c r="AH2655" s="1">
        <v>39785</v>
      </c>
      <c r="AI2655" s="1">
        <v>39785</v>
      </c>
      <c r="AJ2655" s="1">
        <v>47090</v>
      </c>
      <c r="AK2655" t="s">
        <v>51</v>
      </c>
      <c r="AN2655">
        <v>0</v>
      </c>
      <c r="AO2655" t="s">
        <v>54</v>
      </c>
      <c r="AP2655" t="s">
        <v>53</v>
      </c>
      <c r="AQ2655">
        <v>0</v>
      </c>
      <c r="AR2655" t="s">
        <v>53</v>
      </c>
      <c r="AS2655">
        <v>0</v>
      </c>
      <c r="AT2655">
        <v>0</v>
      </c>
      <c r="BK2655" t="s">
        <v>803</v>
      </c>
      <c r="BL2655">
        <v>50000</v>
      </c>
      <c r="BM2655" s="1">
        <v>43591</v>
      </c>
      <c r="BN2655" s="1">
        <v>43591</v>
      </c>
      <c r="BO2655" s="1">
        <v>43591</v>
      </c>
      <c r="BP2655" s="1">
        <v>47833</v>
      </c>
      <c r="BQ2655" t="s">
        <v>51</v>
      </c>
      <c r="BS2655" t="s">
        <v>60</v>
      </c>
      <c r="BT2655" t="s">
        <v>54</v>
      </c>
      <c r="BU2655" t="s">
        <v>362</v>
      </c>
      <c r="BX2655">
        <v>36</v>
      </c>
      <c r="BY2655">
        <v>4320</v>
      </c>
      <c r="BZ2655">
        <v>0</v>
      </c>
      <c r="CX2655" t="s">
        <v>360</v>
      </c>
      <c r="CY2655">
        <v>40</v>
      </c>
      <c r="CZ2655" s="1">
        <v>44320</v>
      </c>
      <c r="DA2655" s="1">
        <v>44320</v>
      </c>
      <c r="DB2655" s="1">
        <v>44320</v>
      </c>
      <c r="DC2655" s="1">
        <v>58930</v>
      </c>
      <c r="DD2655" t="s">
        <v>51</v>
      </c>
      <c r="DF2655" t="s">
        <v>54</v>
      </c>
      <c r="DG2655">
        <v>0</v>
      </c>
      <c r="DH2655">
        <v>0</v>
      </c>
    </row>
    <row r="2656" spans="1:112" x14ac:dyDescent="0.2">
      <c r="A2656" t="s">
        <v>1012</v>
      </c>
      <c r="B2656" t="s">
        <v>1013</v>
      </c>
      <c r="C2656" t="s">
        <v>1019</v>
      </c>
      <c r="D2656" t="s">
        <v>1053</v>
      </c>
      <c r="F2656" t="str">
        <f>"254422"</f>
        <v>254422</v>
      </c>
      <c r="G2656" t="s">
        <v>49</v>
      </c>
      <c r="K2656" t="s">
        <v>51</v>
      </c>
      <c r="L2656" t="s">
        <v>52</v>
      </c>
      <c r="M2656">
        <v>132038.26</v>
      </c>
      <c r="N2656">
        <v>473827.73</v>
      </c>
      <c r="O2656" t="s">
        <v>53</v>
      </c>
      <c r="P2656" t="s">
        <v>54</v>
      </c>
      <c r="Q2656" t="s">
        <v>55</v>
      </c>
      <c r="T2656" t="s">
        <v>81</v>
      </c>
      <c r="U2656">
        <v>40</v>
      </c>
      <c r="V2656" s="1">
        <v>34700</v>
      </c>
      <c r="W2656" s="1">
        <v>34700</v>
      </c>
      <c r="X2656" s="1">
        <v>34700</v>
      </c>
      <c r="Y2656" s="1">
        <v>49310</v>
      </c>
      <c r="Z2656" t="s">
        <v>51</v>
      </c>
      <c r="AB2656" t="s">
        <v>54</v>
      </c>
      <c r="AC2656">
        <v>1</v>
      </c>
      <c r="AE2656" t="s">
        <v>613</v>
      </c>
      <c r="AF2656">
        <v>20</v>
      </c>
      <c r="AG2656" s="1">
        <v>34700</v>
      </c>
      <c r="AH2656" s="1">
        <v>34700</v>
      </c>
      <c r="AI2656" s="1">
        <v>34700</v>
      </c>
      <c r="AJ2656" s="1">
        <v>42005</v>
      </c>
      <c r="AK2656" t="s">
        <v>51</v>
      </c>
      <c r="AN2656">
        <v>0</v>
      </c>
      <c r="AO2656" t="s">
        <v>54</v>
      </c>
      <c r="AP2656" t="s">
        <v>53</v>
      </c>
      <c r="AQ2656">
        <v>0</v>
      </c>
      <c r="AR2656" t="s">
        <v>53</v>
      </c>
      <c r="AS2656">
        <v>0</v>
      </c>
      <c r="AT2656">
        <v>0</v>
      </c>
      <c r="AW2656" t="s">
        <v>58</v>
      </c>
      <c r="AX2656">
        <v>20</v>
      </c>
      <c r="AY2656" s="1">
        <v>34700</v>
      </c>
      <c r="AZ2656" s="1">
        <v>34700</v>
      </c>
      <c r="BA2656" s="1">
        <v>34700</v>
      </c>
      <c r="BB2656" s="1">
        <v>42005</v>
      </c>
      <c r="BC2656" t="s">
        <v>51</v>
      </c>
      <c r="BE2656" t="s">
        <v>54</v>
      </c>
      <c r="BF2656">
        <v>2</v>
      </c>
      <c r="BG2656">
        <v>0</v>
      </c>
      <c r="BH2656" t="s">
        <v>53</v>
      </c>
      <c r="BK2656" t="s">
        <v>146</v>
      </c>
      <c r="BL2656">
        <v>14000</v>
      </c>
      <c r="BM2656" s="1">
        <v>43794</v>
      </c>
      <c r="BN2656" s="1">
        <v>43794</v>
      </c>
      <c r="BO2656" s="1">
        <v>43794</v>
      </c>
      <c r="BP2656" s="1">
        <v>44952</v>
      </c>
      <c r="BQ2656" t="s">
        <v>51</v>
      </c>
      <c r="BS2656" t="s">
        <v>60</v>
      </c>
      <c r="BT2656" t="s">
        <v>54</v>
      </c>
      <c r="BU2656" t="s">
        <v>61</v>
      </c>
      <c r="BV2656" t="s">
        <v>62</v>
      </c>
      <c r="BX2656">
        <v>24</v>
      </c>
      <c r="BY2656">
        <v>0</v>
      </c>
      <c r="BZ2656">
        <v>0</v>
      </c>
      <c r="CX2656" t="s">
        <v>674</v>
      </c>
      <c r="CY2656">
        <v>0</v>
      </c>
      <c r="CZ2656" s="1">
        <v>44320</v>
      </c>
      <c r="DA2656" s="1">
        <v>44320</v>
      </c>
      <c r="DB2656" s="1">
        <v>44320</v>
      </c>
      <c r="DC2656" s="1">
        <v>44320</v>
      </c>
      <c r="DD2656" t="s">
        <v>51</v>
      </c>
      <c r="DF2656" t="s">
        <v>54</v>
      </c>
      <c r="DG2656">
        <v>0</v>
      </c>
      <c r="DH2656">
        <v>0</v>
      </c>
    </row>
    <row r="2657" spans="1:112" x14ac:dyDescent="0.2">
      <c r="A2657" t="s">
        <v>1012</v>
      </c>
      <c r="B2657" t="s">
        <v>1013</v>
      </c>
      <c r="C2657" t="s">
        <v>1019</v>
      </c>
      <c r="D2657" t="s">
        <v>1053</v>
      </c>
      <c r="F2657" t="str">
        <f>"253011"</f>
        <v>253011</v>
      </c>
      <c r="G2657" t="s">
        <v>49</v>
      </c>
      <c r="K2657" t="s">
        <v>51</v>
      </c>
      <c r="L2657" t="s">
        <v>52</v>
      </c>
      <c r="M2657">
        <v>132029.69</v>
      </c>
      <c r="N2657">
        <v>473792.36</v>
      </c>
      <c r="O2657" t="s">
        <v>53</v>
      </c>
      <c r="P2657" t="s">
        <v>54</v>
      </c>
      <c r="Q2657" t="s">
        <v>55</v>
      </c>
      <c r="T2657" t="s">
        <v>81</v>
      </c>
      <c r="U2657">
        <v>40</v>
      </c>
      <c r="V2657" s="1">
        <v>34700</v>
      </c>
      <c r="W2657" s="1">
        <v>34700</v>
      </c>
      <c r="X2657" s="1">
        <v>34700</v>
      </c>
      <c r="Y2657" s="1">
        <v>49310</v>
      </c>
      <c r="Z2657" t="s">
        <v>51</v>
      </c>
      <c r="AB2657" t="s">
        <v>54</v>
      </c>
      <c r="AC2657">
        <v>1</v>
      </c>
      <c r="AE2657" t="s">
        <v>57</v>
      </c>
      <c r="AF2657">
        <v>20</v>
      </c>
      <c r="AG2657" s="1">
        <v>34700</v>
      </c>
      <c r="AH2657" s="1">
        <v>34700</v>
      </c>
      <c r="AI2657" s="1">
        <v>34700</v>
      </c>
      <c r="AJ2657" s="1">
        <v>42005</v>
      </c>
      <c r="AK2657" t="s">
        <v>51</v>
      </c>
      <c r="AN2657">
        <v>0</v>
      </c>
      <c r="AO2657" t="s">
        <v>54</v>
      </c>
      <c r="AP2657" t="s">
        <v>53</v>
      </c>
      <c r="AQ2657">
        <v>0</v>
      </c>
      <c r="AR2657" t="s">
        <v>53</v>
      </c>
      <c r="AS2657">
        <v>0</v>
      </c>
      <c r="AT2657">
        <v>0</v>
      </c>
      <c r="AW2657" t="s">
        <v>58</v>
      </c>
      <c r="AX2657">
        <v>20</v>
      </c>
      <c r="AY2657" s="1">
        <v>43941</v>
      </c>
      <c r="AZ2657" s="1">
        <v>43941</v>
      </c>
      <c r="BA2657" s="1">
        <v>43941</v>
      </c>
      <c r="BB2657" s="1">
        <v>51246</v>
      </c>
      <c r="BC2657" t="s">
        <v>51</v>
      </c>
      <c r="BE2657" t="s">
        <v>54</v>
      </c>
      <c r="BF2657">
        <v>2</v>
      </c>
      <c r="BG2657">
        <v>0</v>
      </c>
      <c r="BH2657" t="s">
        <v>53</v>
      </c>
      <c r="BK2657" t="s">
        <v>59</v>
      </c>
      <c r="BL2657">
        <v>14000</v>
      </c>
      <c r="BM2657" s="1">
        <v>44118</v>
      </c>
      <c r="BN2657" s="1">
        <v>44118</v>
      </c>
      <c r="BO2657" s="1">
        <v>44118</v>
      </c>
      <c r="BP2657" s="1">
        <v>45279</v>
      </c>
      <c r="BQ2657" t="s">
        <v>51</v>
      </c>
      <c r="BS2657" t="s">
        <v>60</v>
      </c>
      <c r="BT2657" t="s">
        <v>54</v>
      </c>
      <c r="BU2657" t="s">
        <v>61</v>
      </c>
      <c r="BV2657" t="s">
        <v>62</v>
      </c>
      <c r="BX2657">
        <v>24</v>
      </c>
      <c r="BY2657">
        <v>0</v>
      </c>
      <c r="BZ2657">
        <v>0</v>
      </c>
      <c r="CX2657" t="s">
        <v>674</v>
      </c>
      <c r="CY2657">
        <v>0</v>
      </c>
      <c r="CZ2657" s="1">
        <v>44320</v>
      </c>
      <c r="DA2657" s="1">
        <v>44320</v>
      </c>
      <c r="DB2657" s="1">
        <v>44320</v>
      </c>
      <c r="DC2657" s="1">
        <v>44320</v>
      </c>
      <c r="DD2657" t="s">
        <v>51</v>
      </c>
      <c r="DF2657" t="s">
        <v>54</v>
      </c>
      <c r="DG2657">
        <v>0</v>
      </c>
      <c r="DH2657">
        <v>0</v>
      </c>
    </row>
    <row r="2658" spans="1:112" x14ac:dyDescent="0.2">
      <c r="A2658" t="s">
        <v>1012</v>
      </c>
      <c r="B2658" t="s">
        <v>1013</v>
      </c>
      <c r="C2658" t="s">
        <v>1019</v>
      </c>
      <c r="D2658" t="s">
        <v>1053</v>
      </c>
      <c r="F2658" t="str">
        <f>"253012"</f>
        <v>253012</v>
      </c>
      <c r="G2658" t="s">
        <v>49</v>
      </c>
      <c r="K2658" t="s">
        <v>51</v>
      </c>
      <c r="L2658" t="s">
        <v>52</v>
      </c>
      <c r="M2658">
        <v>132026.23999999999</v>
      </c>
      <c r="N2658">
        <v>473789.03</v>
      </c>
      <c r="O2658" t="s">
        <v>53</v>
      </c>
      <c r="P2658" t="s">
        <v>54</v>
      </c>
      <c r="Q2658" t="s">
        <v>55</v>
      </c>
      <c r="T2658" t="s">
        <v>1054</v>
      </c>
      <c r="U2658">
        <v>40</v>
      </c>
      <c r="V2658" s="1">
        <v>28126</v>
      </c>
      <c r="W2658" s="1">
        <v>28126</v>
      </c>
      <c r="X2658" s="1">
        <v>28126</v>
      </c>
      <c r="Y2658" s="1">
        <v>42736</v>
      </c>
      <c r="Z2658" t="s">
        <v>51</v>
      </c>
      <c r="AB2658" t="s">
        <v>54</v>
      </c>
      <c r="AC2658">
        <v>1</v>
      </c>
      <c r="AE2658" t="s">
        <v>1055</v>
      </c>
      <c r="AF2658">
        <v>20</v>
      </c>
      <c r="AG2658" s="1">
        <v>39785</v>
      </c>
      <c r="AH2658" s="1">
        <v>39785</v>
      </c>
      <c r="AI2658" s="1">
        <v>39785</v>
      </c>
      <c r="AJ2658" s="1">
        <v>47090</v>
      </c>
      <c r="AK2658" t="s">
        <v>51</v>
      </c>
      <c r="AN2658">
        <v>0</v>
      </c>
      <c r="AO2658" t="s">
        <v>54</v>
      </c>
      <c r="AP2658" t="s">
        <v>53</v>
      </c>
      <c r="AQ2658">
        <v>0</v>
      </c>
      <c r="AR2658" t="s">
        <v>53</v>
      </c>
      <c r="AS2658">
        <v>0</v>
      </c>
      <c r="AT2658">
        <v>0</v>
      </c>
      <c r="BK2658" t="s">
        <v>803</v>
      </c>
      <c r="BL2658">
        <v>50000</v>
      </c>
      <c r="BM2658" s="1">
        <v>43585</v>
      </c>
      <c r="BN2658" s="1">
        <v>43585</v>
      </c>
      <c r="BO2658" s="1">
        <v>43585</v>
      </c>
      <c r="BP2658" s="1">
        <v>47830</v>
      </c>
      <c r="BQ2658" t="s">
        <v>51</v>
      </c>
      <c r="BS2658" t="s">
        <v>60</v>
      </c>
      <c r="BT2658" t="s">
        <v>54</v>
      </c>
      <c r="BU2658" t="s">
        <v>362</v>
      </c>
      <c r="BX2658">
        <v>36</v>
      </c>
      <c r="BY2658">
        <v>4320</v>
      </c>
      <c r="BZ2658">
        <v>0</v>
      </c>
      <c r="CX2658" t="s">
        <v>360</v>
      </c>
      <c r="CY2658">
        <v>40</v>
      </c>
      <c r="CZ2658" s="1">
        <v>44320</v>
      </c>
      <c r="DA2658" s="1">
        <v>44320</v>
      </c>
      <c r="DB2658" s="1">
        <v>44320</v>
      </c>
      <c r="DC2658" s="1">
        <v>58930</v>
      </c>
      <c r="DD2658" t="s">
        <v>51</v>
      </c>
      <c r="DF2658" t="s">
        <v>54</v>
      </c>
      <c r="DG2658">
        <v>0</v>
      </c>
      <c r="DH2658">
        <v>0</v>
      </c>
    </row>
    <row r="2659" spans="1:112" x14ac:dyDescent="0.2">
      <c r="A2659" t="s">
        <v>1012</v>
      </c>
      <c r="B2659" t="s">
        <v>1013</v>
      </c>
      <c r="C2659" t="s">
        <v>1019</v>
      </c>
      <c r="D2659" t="s">
        <v>1053</v>
      </c>
      <c r="F2659" t="str">
        <f>"253013"</f>
        <v>253013</v>
      </c>
      <c r="G2659" t="s">
        <v>49</v>
      </c>
      <c r="K2659" t="s">
        <v>51</v>
      </c>
      <c r="L2659" t="s">
        <v>52</v>
      </c>
      <c r="M2659">
        <v>132065.60999999999</v>
      </c>
      <c r="N2659">
        <v>473747.44</v>
      </c>
      <c r="O2659" t="s">
        <v>53</v>
      </c>
      <c r="P2659" t="s">
        <v>54</v>
      </c>
      <c r="Q2659" t="s">
        <v>55</v>
      </c>
      <c r="T2659" t="s">
        <v>1054</v>
      </c>
      <c r="U2659">
        <v>40</v>
      </c>
      <c r="V2659" s="1">
        <v>28126</v>
      </c>
      <c r="W2659" s="1">
        <v>28126</v>
      </c>
      <c r="X2659" s="1">
        <v>28126</v>
      </c>
      <c r="Y2659" s="1">
        <v>42736</v>
      </c>
      <c r="Z2659" t="s">
        <v>51</v>
      </c>
      <c r="AB2659" t="s">
        <v>54</v>
      </c>
      <c r="AC2659">
        <v>1</v>
      </c>
      <c r="AE2659" t="s">
        <v>1055</v>
      </c>
      <c r="AF2659">
        <v>20</v>
      </c>
      <c r="AG2659" s="1">
        <v>39785</v>
      </c>
      <c r="AH2659" s="1">
        <v>39785</v>
      </c>
      <c r="AI2659" s="1">
        <v>39785</v>
      </c>
      <c r="AJ2659" s="1">
        <v>47090</v>
      </c>
      <c r="AK2659" t="s">
        <v>51</v>
      </c>
      <c r="AN2659">
        <v>0</v>
      </c>
      <c r="AO2659" t="s">
        <v>54</v>
      </c>
      <c r="AP2659" t="s">
        <v>53</v>
      </c>
      <c r="AQ2659">
        <v>0</v>
      </c>
      <c r="AR2659" t="s">
        <v>53</v>
      </c>
      <c r="AS2659">
        <v>0</v>
      </c>
      <c r="AT2659">
        <v>0</v>
      </c>
      <c r="BK2659" t="s">
        <v>803</v>
      </c>
      <c r="BL2659">
        <v>50000</v>
      </c>
      <c r="BM2659" s="1">
        <v>43585</v>
      </c>
      <c r="BN2659" s="1">
        <v>43585</v>
      </c>
      <c r="BO2659" s="1">
        <v>43585</v>
      </c>
      <c r="BP2659" s="1">
        <v>47830</v>
      </c>
      <c r="BQ2659" t="s">
        <v>51</v>
      </c>
      <c r="BS2659" t="s">
        <v>60</v>
      </c>
      <c r="BT2659" t="s">
        <v>54</v>
      </c>
      <c r="BU2659" t="s">
        <v>362</v>
      </c>
      <c r="BX2659">
        <v>36</v>
      </c>
      <c r="BY2659">
        <v>4320</v>
      </c>
      <c r="BZ2659">
        <v>0</v>
      </c>
      <c r="CX2659" t="s">
        <v>360</v>
      </c>
      <c r="CY2659">
        <v>40</v>
      </c>
      <c r="CZ2659" s="1">
        <v>44320</v>
      </c>
      <c r="DA2659" s="1">
        <v>44320</v>
      </c>
      <c r="DB2659" s="1">
        <v>44320</v>
      </c>
      <c r="DC2659" s="1">
        <v>58930</v>
      </c>
      <c r="DD2659" t="s">
        <v>51</v>
      </c>
      <c r="DF2659" t="s">
        <v>54</v>
      </c>
      <c r="DG2659">
        <v>0</v>
      </c>
      <c r="DH2659">
        <v>0</v>
      </c>
    </row>
    <row r="2660" spans="1:112" x14ac:dyDescent="0.2">
      <c r="A2660" t="s">
        <v>1012</v>
      </c>
      <c r="B2660" t="s">
        <v>1013</v>
      </c>
      <c r="C2660" t="s">
        <v>1019</v>
      </c>
      <c r="D2660" t="s">
        <v>1053</v>
      </c>
      <c r="F2660" t="str">
        <f>"253014"</f>
        <v>253014</v>
      </c>
      <c r="G2660" t="s">
        <v>49</v>
      </c>
      <c r="K2660" t="s">
        <v>51</v>
      </c>
      <c r="L2660" t="s">
        <v>52</v>
      </c>
      <c r="M2660">
        <v>132098.07</v>
      </c>
      <c r="N2660">
        <v>473699.92</v>
      </c>
      <c r="O2660" t="s">
        <v>53</v>
      </c>
      <c r="P2660" t="s">
        <v>54</v>
      </c>
      <c r="Q2660" t="s">
        <v>55</v>
      </c>
      <c r="T2660" t="s">
        <v>1054</v>
      </c>
      <c r="U2660">
        <v>40</v>
      </c>
      <c r="V2660" s="1">
        <v>28126</v>
      </c>
      <c r="W2660" s="1">
        <v>28126</v>
      </c>
      <c r="X2660" s="1">
        <v>28126</v>
      </c>
      <c r="Y2660" s="1">
        <v>42736</v>
      </c>
      <c r="Z2660" t="s">
        <v>51</v>
      </c>
      <c r="AB2660" t="s">
        <v>54</v>
      </c>
      <c r="AC2660">
        <v>1</v>
      </c>
      <c r="AE2660" t="s">
        <v>1055</v>
      </c>
      <c r="AF2660">
        <v>20</v>
      </c>
      <c r="AG2660" s="1">
        <v>39785</v>
      </c>
      <c r="AH2660" s="1">
        <v>39785</v>
      </c>
      <c r="AI2660" s="1">
        <v>39785</v>
      </c>
      <c r="AJ2660" s="1">
        <v>47090</v>
      </c>
      <c r="AK2660" t="s">
        <v>51</v>
      </c>
      <c r="AN2660">
        <v>0</v>
      </c>
      <c r="AO2660" t="s">
        <v>54</v>
      </c>
      <c r="AP2660" t="s">
        <v>53</v>
      </c>
      <c r="AQ2660">
        <v>0</v>
      </c>
      <c r="AR2660" t="s">
        <v>53</v>
      </c>
      <c r="AS2660">
        <v>0</v>
      </c>
      <c r="AT2660">
        <v>0</v>
      </c>
      <c r="BK2660" t="s">
        <v>803</v>
      </c>
      <c r="BL2660">
        <v>50000</v>
      </c>
      <c r="BM2660" s="1">
        <v>43585</v>
      </c>
      <c r="BN2660" s="1">
        <v>43585</v>
      </c>
      <c r="BO2660" s="1">
        <v>43585</v>
      </c>
      <c r="BP2660" s="1">
        <v>47830</v>
      </c>
      <c r="BQ2660" t="s">
        <v>51</v>
      </c>
      <c r="BS2660" t="s">
        <v>60</v>
      </c>
      <c r="BT2660" t="s">
        <v>54</v>
      </c>
      <c r="BU2660" t="s">
        <v>362</v>
      </c>
      <c r="BX2660">
        <v>36</v>
      </c>
      <c r="BY2660">
        <v>4320</v>
      </c>
      <c r="BZ2660">
        <v>0</v>
      </c>
      <c r="CX2660" t="s">
        <v>360</v>
      </c>
      <c r="CY2660">
        <v>40</v>
      </c>
      <c r="CZ2660" s="1">
        <v>44320</v>
      </c>
      <c r="DA2660" s="1">
        <v>44320</v>
      </c>
      <c r="DB2660" s="1">
        <v>44320</v>
      </c>
      <c r="DC2660" s="1">
        <v>58930</v>
      </c>
      <c r="DD2660" t="s">
        <v>51</v>
      </c>
      <c r="DF2660" t="s">
        <v>54</v>
      </c>
      <c r="DG2660">
        <v>0</v>
      </c>
      <c r="DH2660">
        <v>0</v>
      </c>
    </row>
    <row r="2661" spans="1:112" x14ac:dyDescent="0.2">
      <c r="A2661" t="s">
        <v>1012</v>
      </c>
      <c r="B2661" t="s">
        <v>1013</v>
      </c>
      <c r="C2661" t="s">
        <v>1019</v>
      </c>
      <c r="D2661" t="s">
        <v>1053</v>
      </c>
      <c r="F2661" t="str">
        <f>"253015"</f>
        <v>253015</v>
      </c>
      <c r="G2661" t="s">
        <v>49</v>
      </c>
      <c r="K2661" t="s">
        <v>51</v>
      </c>
      <c r="L2661" t="s">
        <v>52</v>
      </c>
      <c r="M2661">
        <v>132126.91</v>
      </c>
      <c r="N2661">
        <v>473648.11</v>
      </c>
      <c r="O2661" t="s">
        <v>53</v>
      </c>
      <c r="P2661" t="s">
        <v>54</v>
      </c>
      <c r="Q2661" t="s">
        <v>55</v>
      </c>
      <c r="T2661" t="s">
        <v>1054</v>
      </c>
      <c r="U2661">
        <v>40</v>
      </c>
      <c r="V2661" s="1">
        <v>28126</v>
      </c>
      <c r="W2661" s="1">
        <v>28126</v>
      </c>
      <c r="X2661" s="1">
        <v>28126</v>
      </c>
      <c r="Y2661" s="1">
        <v>42736</v>
      </c>
      <c r="Z2661" t="s">
        <v>51</v>
      </c>
      <c r="AB2661" t="s">
        <v>54</v>
      </c>
      <c r="AC2661">
        <v>1</v>
      </c>
      <c r="AE2661" t="s">
        <v>1055</v>
      </c>
      <c r="AF2661">
        <v>20</v>
      </c>
      <c r="AG2661" s="1">
        <v>39785</v>
      </c>
      <c r="AH2661" s="1">
        <v>39785</v>
      </c>
      <c r="AI2661" s="1">
        <v>39785</v>
      </c>
      <c r="AJ2661" s="1">
        <v>47090</v>
      </c>
      <c r="AK2661" t="s">
        <v>51</v>
      </c>
      <c r="AN2661">
        <v>0</v>
      </c>
      <c r="AO2661" t="s">
        <v>54</v>
      </c>
      <c r="AP2661" t="s">
        <v>53</v>
      </c>
      <c r="AQ2661">
        <v>0</v>
      </c>
      <c r="AR2661" t="s">
        <v>53</v>
      </c>
      <c r="AS2661">
        <v>0</v>
      </c>
      <c r="AT2661">
        <v>0</v>
      </c>
      <c r="BK2661" t="s">
        <v>803</v>
      </c>
      <c r="BL2661">
        <v>50000</v>
      </c>
      <c r="BM2661" s="1">
        <v>43585</v>
      </c>
      <c r="BN2661" s="1">
        <v>43585</v>
      </c>
      <c r="BO2661" s="1">
        <v>43585</v>
      </c>
      <c r="BP2661" s="1">
        <v>47830</v>
      </c>
      <c r="BQ2661" t="s">
        <v>51</v>
      </c>
      <c r="BS2661" t="s">
        <v>60</v>
      </c>
      <c r="BT2661" t="s">
        <v>54</v>
      </c>
      <c r="BU2661" t="s">
        <v>362</v>
      </c>
      <c r="BX2661">
        <v>36</v>
      </c>
      <c r="BY2661">
        <v>4320</v>
      </c>
      <c r="BZ2661">
        <v>0</v>
      </c>
      <c r="CX2661" t="s">
        <v>360</v>
      </c>
      <c r="CY2661">
        <v>40</v>
      </c>
      <c r="CZ2661" s="1">
        <v>44320</v>
      </c>
      <c r="DA2661" s="1">
        <v>44320</v>
      </c>
      <c r="DB2661" s="1">
        <v>44320</v>
      </c>
      <c r="DC2661" s="1">
        <v>58930</v>
      </c>
      <c r="DD2661" t="s">
        <v>51</v>
      </c>
      <c r="DF2661" t="s">
        <v>54</v>
      </c>
      <c r="DG2661">
        <v>0</v>
      </c>
      <c r="DH2661">
        <v>0</v>
      </c>
    </row>
    <row r="2662" spans="1:112" x14ac:dyDescent="0.2">
      <c r="A2662" t="s">
        <v>1012</v>
      </c>
      <c r="B2662" t="s">
        <v>1013</v>
      </c>
      <c r="C2662" t="s">
        <v>1019</v>
      </c>
      <c r="D2662" t="s">
        <v>1053</v>
      </c>
      <c r="F2662" t="str">
        <f>"253016"</f>
        <v>253016</v>
      </c>
      <c r="G2662" t="s">
        <v>49</v>
      </c>
      <c r="K2662" t="s">
        <v>51</v>
      </c>
      <c r="L2662" t="s">
        <v>52</v>
      </c>
      <c r="M2662">
        <v>132154.79999999999</v>
      </c>
      <c r="N2662">
        <v>473597.67</v>
      </c>
      <c r="O2662" t="s">
        <v>53</v>
      </c>
      <c r="P2662" t="s">
        <v>54</v>
      </c>
      <c r="Q2662" t="s">
        <v>55</v>
      </c>
      <c r="T2662" t="s">
        <v>1054</v>
      </c>
      <c r="U2662">
        <v>40</v>
      </c>
      <c r="V2662" s="1">
        <v>28126</v>
      </c>
      <c r="W2662" s="1">
        <v>28126</v>
      </c>
      <c r="X2662" s="1">
        <v>28126</v>
      </c>
      <c r="Y2662" s="1">
        <v>42736</v>
      </c>
      <c r="Z2662" t="s">
        <v>51</v>
      </c>
      <c r="AB2662" t="s">
        <v>54</v>
      </c>
      <c r="AC2662">
        <v>1</v>
      </c>
      <c r="AE2662" t="s">
        <v>1055</v>
      </c>
      <c r="AF2662">
        <v>20</v>
      </c>
      <c r="AG2662" s="1">
        <v>39785</v>
      </c>
      <c r="AH2662" s="1">
        <v>39785</v>
      </c>
      <c r="AI2662" s="1">
        <v>39785</v>
      </c>
      <c r="AJ2662" s="1">
        <v>47090</v>
      </c>
      <c r="AK2662" t="s">
        <v>51</v>
      </c>
      <c r="AN2662">
        <v>0</v>
      </c>
      <c r="AO2662" t="s">
        <v>54</v>
      </c>
      <c r="AP2662" t="s">
        <v>53</v>
      </c>
      <c r="AQ2662">
        <v>0</v>
      </c>
      <c r="AR2662" t="s">
        <v>53</v>
      </c>
      <c r="AS2662">
        <v>0</v>
      </c>
      <c r="AT2662">
        <v>0</v>
      </c>
      <c r="BK2662" t="s">
        <v>803</v>
      </c>
      <c r="BL2662">
        <v>50000</v>
      </c>
      <c r="BM2662" s="1">
        <v>43585</v>
      </c>
      <c r="BN2662" s="1">
        <v>43585</v>
      </c>
      <c r="BO2662" s="1">
        <v>43585</v>
      </c>
      <c r="BP2662" s="1">
        <v>47830</v>
      </c>
      <c r="BQ2662" t="s">
        <v>51</v>
      </c>
      <c r="BS2662" t="s">
        <v>60</v>
      </c>
      <c r="BT2662" t="s">
        <v>54</v>
      </c>
      <c r="BU2662" t="s">
        <v>362</v>
      </c>
      <c r="BX2662">
        <v>36</v>
      </c>
      <c r="BY2662">
        <v>4320</v>
      </c>
      <c r="BZ2662">
        <v>0</v>
      </c>
      <c r="CX2662" t="s">
        <v>360</v>
      </c>
      <c r="CY2662">
        <v>40</v>
      </c>
      <c r="CZ2662" s="1">
        <v>44320</v>
      </c>
      <c r="DA2662" s="1">
        <v>44320</v>
      </c>
      <c r="DB2662" s="1">
        <v>44320</v>
      </c>
      <c r="DC2662" s="1">
        <v>58930</v>
      </c>
      <c r="DD2662" t="s">
        <v>51</v>
      </c>
      <c r="DF2662" t="s">
        <v>54</v>
      </c>
      <c r="DG2662">
        <v>0</v>
      </c>
      <c r="DH2662">
        <v>0</v>
      </c>
    </row>
    <row r="2663" spans="1:112" x14ac:dyDescent="0.2">
      <c r="A2663" t="s">
        <v>1012</v>
      </c>
      <c r="B2663" t="s">
        <v>1013</v>
      </c>
      <c r="C2663" t="s">
        <v>1019</v>
      </c>
      <c r="D2663" t="s">
        <v>1053</v>
      </c>
      <c r="F2663" t="str">
        <f>"253017"</f>
        <v>253017</v>
      </c>
      <c r="G2663" t="s">
        <v>49</v>
      </c>
      <c r="K2663" t="s">
        <v>51</v>
      </c>
      <c r="L2663" t="s">
        <v>52</v>
      </c>
      <c r="M2663">
        <v>132180.96</v>
      </c>
      <c r="N2663">
        <v>473548.64</v>
      </c>
      <c r="O2663" t="s">
        <v>53</v>
      </c>
      <c r="P2663" t="s">
        <v>54</v>
      </c>
      <c r="Q2663" t="s">
        <v>55</v>
      </c>
      <c r="T2663" t="s">
        <v>1054</v>
      </c>
      <c r="U2663">
        <v>40</v>
      </c>
      <c r="V2663" s="1">
        <v>28126</v>
      </c>
      <c r="W2663" s="1">
        <v>28126</v>
      </c>
      <c r="X2663" s="1">
        <v>28126</v>
      </c>
      <c r="Y2663" s="1">
        <v>42736</v>
      </c>
      <c r="Z2663" t="s">
        <v>51</v>
      </c>
      <c r="AB2663" t="s">
        <v>54</v>
      </c>
      <c r="AC2663">
        <v>1</v>
      </c>
      <c r="AE2663" t="s">
        <v>1055</v>
      </c>
      <c r="AF2663">
        <v>20</v>
      </c>
      <c r="AG2663" s="1">
        <v>39785</v>
      </c>
      <c r="AH2663" s="1">
        <v>39785</v>
      </c>
      <c r="AI2663" s="1">
        <v>39785</v>
      </c>
      <c r="AJ2663" s="1">
        <v>47090</v>
      </c>
      <c r="AK2663" t="s">
        <v>51</v>
      </c>
      <c r="AN2663">
        <v>0</v>
      </c>
      <c r="AO2663" t="s">
        <v>54</v>
      </c>
      <c r="AP2663" t="s">
        <v>53</v>
      </c>
      <c r="AQ2663">
        <v>0</v>
      </c>
      <c r="AR2663" t="s">
        <v>53</v>
      </c>
      <c r="AS2663">
        <v>0</v>
      </c>
      <c r="AT2663">
        <v>0</v>
      </c>
      <c r="BK2663" t="s">
        <v>803</v>
      </c>
      <c r="BL2663">
        <v>50000</v>
      </c>
      <c r="BM2663" s="1">
        <v>43585</v>
      </c>
      <c r="BN2663" s="1">
        <v>43585</v>
      </c>
      <c r="BO2663" s="1">
        <v>43585</v>
      </c>
      <c r="BP2663" s="1">
        <v>47830</v>
      </c>
      <c r="BQ2663" t="s">
        <v>51</v>
      </c>
      <c r="BS2663" t="s">
        <v>60</v>
      </c>
      <c r="BT2663" t="s">
        <v>54</v>
      </c>
      <c r="BU2663" t="s">
        <v>362</v>
      </c>
      <c r="BX2663">
        <v>36</v>
      </c>
      <c r="BY2663">
        <v>4320</v>
      </c>
      <c r="BZ2663">
        <v>0</v>
      </c>
      <c r="CX2663" t="s">
        <v>360</v>
      </c>
      <c r="CY2663">
        <v>40</v>
      </c>
      <c r="CZ2663" s="1">
        <v>44320</v>
      </c>
      <c r="DA2663" s="1">
        <v>44320</v>
      </c>
      <c r="DB2663" s="1">
        <v>44320</v>
      </c>
      <c r="DC2663" s="1">
        <v>58930</v>
      </c>
      <c r="DD2663" t="s">
        <v>51</v>
      </c>
      <c r="DF2663" t="s">
        <v>54</v>
      </c>
      <c r="DG2663">
        <v>0</v>
      </c>
      <c r="DH2663">
        <v>0</v>
      </c>
    </row>
    <row r="2664" spans="1:112" x14ac:dyDescent="0.2">
      <c r="A2664" t="s">
        <v>1012</v>
      </c>
      <c r="B2664" t="s">
        <v>1013</v>
      </c>
      <c r="C2664" t="s">
        <v>1019</v>
      </c>
      <c r="D2664" t="s">
        <v>1053</v>
      </c>
      <c r="F2664" t="str">
        <f>"253018"</f>
        <v>253018</v>
      </c>
      <c r="G2664" t="s">
        <v>49</v>
      </c>
      <c r="K2664" t="s">
        <v>51</v>
      </c>
      <c r="L2664" t="s">
        <v>52</v>
      </c>
      <c r="M2664">
        <v>132202.27100000001</v>
      </c>
      <c r="N2664">
        <v>473490.12</v>
      </c>
      <c r="O2664" t="s">
        <v>53</v>
      </c>
      <c r="P2664" t="s">
        <v>54</v>
      </c>
      <c r="Q2664" t="s">
        <v>55</v>
      </c>
      <c r="T2664" t="s">
        <v>1054</v>
      </c>
      <c r="U2664">
        <v>40</v>
      </c>
      <c r="V2664" s="1">
        <v>28126</v>
      </c>
      <c r="W2664" s="1">
        <v>28126</v>
      </c>
      <c r="X2664" s="1">
        <v>28126</v>
      </c>
      <c r="Y2664" s="1">
        <v>42736</v>
      </c>
      <c r="Z2664" t="s">
        <v>51</v>
      </c>
      <c r="AB2664" t="s">
        <v>54</v>
      </c>
      <c r="AC2664">
        <v>1</v>
      </c>
      <c r="AE2664" t="s">
        <v>1055</v>
      </c>
      <c r="AF2664">
        <v>20</v>
      </c>
      <c r="AG2664" s="1">
        <v>39785</v>
      </c>
      <c r="AH2664" s="1">
        <v>39785</v>
      </c>
      <c r="AI2664" s="1">
        <v>39785</v>
      </c>
      <c r="AJ2664" s="1">
        <v>47090</v>
      </c>
      <c r="AK2664" t="s">
        <v>51</v>
      </c>
      <c r="AN2664">
        <v>0</v>
      </c>
      <c r="AO2664" t="s">
        <v>54</v>
      </c>
      <c r="AP2664" t="s">
        <v>53</v>
      </c>
      <c r="AQ2664">
        <v>0</v>
      </c>
      <c r="AR2664" t="s">
        <v>53</v>
      </c>
      <c r="AS2664">
        <v>0</v>
      </c>
      <c r="AT2664">
        <v>0</v>
      </c>
      <c r="BK2664" t="s">
        <v>803</v>
      </c>
      <c r="BL2664">
        <v>50000</v>
      </c>
      <c r="BM2664" s="1">
        <v>43585</v>
      </c>
      <c r="BN2664" s="1">
        <v>43585</v>
      </c>
      <c r="BO2664" s="1">
        <v>43585</v>
      </c>
      <c r="BP2664" s="1">
        <v>47830</v>
      </c>
      <c r="BQ2664" t="s">
        <v>51</v>
      </c>
      <c r="BS2664" t="s">
        <v>60</v>
      </c>
      <c r="BT2664" t="s">
        <v>54</v>
      </c>
      <c r="BU2664" t="s">
        <v>362</v>
      </c>
      <c r="BX2664">
        <v>36</v>
      </c>
      <c r="BY2664">
        <v>4320</v>
      </c>
      <c r="BZ2664">
        <v>0</v>
      </c>
      <c r="CX2664" t="s">
        <v>360</v>
      </c>
      <c r="CY2664">
        <v>40</v>
      </c>
      <c r="CZ2664" s="1">
        <v>44320</v>
      </c>
      <c r="DA2664" s="1">
        <v>44320</v>
      </c>
      <c r="DB2664" s="1">
        <v>44320</v>
      </c>
      <c r="DC2664" s="1">
        <v>58930</v>
      </c>
      <c r="DD2664" t="s">
        <v>51</v>
      </c>
      <c r="DF2664" t="s">
        <v>54</v>
      </c>
      <c r="DG2664">
        <v>0</v>
      </c>
      <c r="DH2664">
        <v>0</v>
      </c>
    </row>
    <row r="2665" spans="1:112" x14ac:dyDescent="0.2">
      <c r="A2665" t="s">
        <v>1012</v>
      </c>
      <c r="B2665" t="s">
        <v>1013</v>
      </c>
      <c r="C2665" t="s">
        <v>1019</v>
      </c>
      <c r="D2665" t="s">
        <v>1053</v>
      </c>
      <c r="F2665" t="str">
        <f>"353375"</f>
        <v>353375</v>
      </c>
      <c r="G2665" t="s">
        <v>49</v>
      </c>
      <c r="K2665" t="s">
        <v>51</v>
      </c>
      <c r="L2665" t="s">
        <v>52</v>
      </c>
      <c r="M2665">
        <v>132208.73000000001</v>
      </c>
      <c r="N2665">
        <v>473463.45</v>
      </c>
      <c r="O2665" t="s">
        <v>53</v>
      </c>
      <c r="P2665" t="s">
        <v>54</v>
      </c>
      <c r="Q2665" t="s">
        <v>55</v>
      </c>
      <c r="T2665" t="s">
        <v>698</v>
      </c>
      <c r="U2665">
        <v>40</v>
      </c>
      <c r="V2665" s="1">
        <v>28126</v>
      </c>
      <c r="W2665" s="1">
        <v>28126</v>
      </c>
      <c r="X2665" s="1">
        <v>28126</v>
      </c>
      <c r="Y2665" s="1">
        <v>42736</v>
      </c>
      <c r="Z2665" t="s">
        <v>51</v>
      </c>
      <c r="AB2665" t="s">
        <v>54</v>
      </c>
      <c r="AC2665">
        <v>1</v>
      </c>
      <c r="AE2665" t="s">
        <v>1055</v>
      </c>
      <c r="AF2665">
        <v>20</v>
      </c>
      <c r="AG2665" s="1">
        <v>39785</v>
      </c>
      <c r="AH2665" s="1">
        <v>39785</v>
      </c>
      <c r="AI2665" s="1">
        <v>39785</v>
      </c>
      <c r="AJ2665" s="1">
        <v>47090</v>
      </c>
      <c r="AK2665" t="s">
        <v>51</v>
      </c>
      <c r="AN2665">
        <v>0</v>
      </c>
      <c r="AO2665" t="s">
        <v>54</v>
      </c>
      <c r="AP2665" t="s">
        <v>53</v>
      </c>
      <c r="AQ2665">
        <v>0</v>
      </c>
      <c r="AR2665" t="s">
        <v>53</v>
      </c>
      <c r="AS2665">
        <v>0</v>
      </c>
      <c r="AT2665">
        <v>0</v>
      </c>
      <c r="BK2665" t="s">
        <v>803</v>
      </c>
      <c r="BL2665">
        <v>50000</v>
      </c>
      <c r="BM2665" s="1">
        <v>43592</v>
      </c>
      <c r="BN2665" s="1">
        <v>43592</v>
      </c>
      <c r="BO2665" s="1">
        <v>43592</v>
      </c>
      <c r="BP2665" s="1">
        <v>47834</v>
      </c>
      <c r="BQ2665" t="s">
        <v>51</v>
      </c>
      <c r="BS2665" t="s">
        <v>60</v>
      </c>
      <c r="BT2665" t="s">
        <v>54</v>
      </c>
      <c r="BU2665" t="s">
        <v>362</v>
      </c>
      <c r="BX2665">
        <v>36</v>
      </c>
      <c r="BY2665">
        <v>4320</v>
      </c>
      <c r="BZ2665">
        <v>0</v>
      </c>
      <c r="CX2665" t="s">
        <v>360</v>
      </c>
      <c r="CY2665">
        <v>40</v>
      </c>
      <c r="CZ2665" s="1">
        <v>44320</v>
      </c>
      <c r="DA2665" s="1">
        <v>44320</v>
      </c>
      <c r="DB2665" s="1">
        <v>44320</v>
      </c>
      <c r="DC2665" s="1">
        <v>58930</v>
      </c>
      <c r="DD2665" t="s">
        <v>51</v>
      </c>
      <c r="DF2665" t="s">
        <v>54</v>
      </c>
      <c r="DG2665">
        <v>0</v>
      </c>
      <c r="DH2665">
        <v>0</v>
      </c>
    </row>
    <row r="2666" spans="1:112" x14ac:dyDescent="0.2">
      <c r="A2666" t="s">
        <v>1012</v>
      </c>
      <c r="B2666" t="s">
        <v>1013</v>
      </c>
      <c r="C2666" t="s">
        <v>1019</v>
      </c>
      <c r="D2666" t="s">
        <v>1053</v>
      </c>
      <c r="F2666" t="str">
        <f>"253020"</f>
        <v>253020</v>
      </c>
      <c r="G2666" t="s">
        <v>49</v>
      </c>
      <c r="K2666" t="s">
        <v>51</v>
      </c>
      <c r="L2666" t="s">
        <v>52</v>
      </c>
      <c r="M2666">
        <v>132207.44</v>
      </c>
      <c r="N2666">
        <v>473441.75</v>
      </c>
      <c r="O2666" t="s">
        <v>53</v>
      </c>
      <c r="P2666" t="s">
        <v>54</v>
      </c>
      <c r="Q2666" t="s">
        <v>55</v>
      </c>
      <c r="T2666" t="s">
        <v>698</v>
      </c>
      <c r="U2666">
        <v>40</v>
      </c>
      <c r="V2666" s="1">
        <v>28126</v>
      </c>
      <c r="W2666" s="1">
        <v>28126</v>
      </c>
      <c r="X2666" s="1">
        <v>28126</v>
      </c>
      <c r="Y2666" s="1">
        <v>42736</v>
      </c>
      <c r="Z2666" t="s">
        <v>51</v>
      </c>
      <c r="AB2666" t="s">
        <v>54</v>
      </c>
      <c r="AC2666">
        <v>1</v>
      </c>
      <c r="AE2666" t="s">
        <v>1055</v>
      </c>
      <c r="AF2666">
        <v>20</v>
      </c>
      <c r="AG2666" s="1">
        <v>39785</v>
      </c>
      <c r="AH2666" s="1">
        <v>39785</v>
      </c>
      <c r="AI2666" s="1">
        <v>39785</v>
      </c>
      <c r="AJ2666" s="1">
        <v>47090</v>
      </c>
      <c r="AK2666" t="s">
        <v>51</v>
      </c>
      <c r="AN2666">
        <v>0</v>
      </c>
      <c r="AO2666" t="s">
        <v>54</v>
      </c>
      <c r="AP2666" t="s">
        <v>53</v>
      </c>
      <c r="AQ2666">
        <v>0</v>
      </c>
      <c r="AR2666" t="s">
        <v>53</v>
      </c>
      <c r="AS2666">
        <v>0</v>
      </c>
      <c r="AT2666">
        <v>0</v>
      </c>
      <c r="BK2666" t="s">
        <v>803</v>
      </c>
      <c r="BL2666">
        <v>50000</v>
      </c>
      <c r="BM2666" s="1">
        <v>43585</v>
      </c>
      <c r="BN2666" s="1">
        <v>43585</v>
      </c>
      <c r="BO2666" s="1">
        <v>43585</v>
      </c>
      <c r="BP2666" s="1">
        <v>47830</v>
      </c>
      <c r="BQ2666" t="s">
        <v>51</v>
      </c>
      <c r="BS2666" t="s">
        <v>60</v>
      </c>
      <c r="BT2666" t="s">
        <v>54</v>
      </c>
      <c r="BU2666" t="s">
        <v>362</v>
      </c>
      <c r="BX2666">
        <v>36</v>
      </c>
      <c r="BY2666">
        <v>4320</v>
      </c>
      <c r="BZ2666">
        <v>0</v>
      </c>
      <c r="CX2666" t="s">
        <v>360</v>
      </c>
      <c r="CY2666">
        <v>40</v>
      </c>
      <c r="CZ2666" s="1">
        <v>44320</v>
      </c>
      <c r="DA2666" s="1">
        <v>44320</v>
      </c>
      <c r="DB2666" s="1">
        <v>44320</v>
      </c>
      <c r="DC2666" s="1">
        <v>58930</v>
      </c>
      <c r="DD2666" t="s">
        <v>51</v>
      </c>
      <c r="DF2666" t="s">
        <v>54</v>
      </c>
      <c r="DG2666">
        <v>0</v>
      </c>
      <c r="DH2666">
        <v>0</v>
      </c>
    </row>
    <row r="2667" spans="1:112" x14ac:dyDescent="0.2">
      <c r="A2667" t="s">
        <v>1012</v>
      </c>
      <c r="B2667" t="s">
        <v>1013</v>
      </c>
      <c r="C2667" t="s">
        <v>1019</v>
      </c>
      <c r="D2667" t="s">
        <v>1053</v>
      </c>
      <c r="F2667" t="str">
        <f>"253021"</f>
        <v>253021</v>
      </c>
      <c r="G2667" t="s">
        <v>49</v>
      </c>
      <c r="K2667" t="s">
        <v>51</v>
      </c>
      <c r="L2667" t="s">
        <v>52</v>
      </c>
      <c r="M2667">
        <v>132203.94</v>
      </c>
      <c r="N2667">
        <v>473411.65</v>
      </c>
      <c r="O2667" t="s">
        <v>53</v>
      </c>
      <c r="P2667" t="s">
        <v>54</v>
      </c>
      <c r="Q2667" t="s">
        <v>55</v>
      </c>
      <c r="T2667" t="s">
        <v>698</v>
      </c>
      <c r="U2667">
        <v>40</v>
      </c>
      <c r="V2667" s="1">
        <v>28126</v>
      </c>
      <c r="W2667" s="1">
        <v>28126</v>
      </c>
      <c r="X2667" s="1">
        <v>28126</v>
      </c>
      <c r="Y2667" s="1">
        <v>42736</v>
      </c>
      <c r="Z2667" t="s">
        <v>51</v>
      </c>
      <c r="AB2667" t="s">
        <v>54</v>
      </c>
      <c r="AC2667">
        <v>1</v>
      </c>
      <c r="AE2667" t="s">
        <v>1055</v>
      </c>
      <c r="AF2667">
        <v>20</v>
      </c>
      <c r="AG2667" s="1">
        <v>39785</v>
      </c>
      <c r="AH2667" s="1">
        <v>39785</v>
      </c>
      <c r="AI2667" s="1">
        <v>39785</v>
      </c>
      <c r="AJ2667" s="1">
        <v>47090</v>
      </c>
      <c r="AK2667" t="s">
        <v>51</v>
      </c>
      <c r="AN2667">
        <v>0</v>
      </c>
      <c r="AO2667" t="s">
        <v>54</v>
      </c>
      <c r="AP2667" t="s">
        <v>53</v>
      </c>
      <c r="AQ2667">
        <v>0</v>
      </c>
      <c r="AR2667" t="s">
        <v>53</v>
      </c>
      <c r="AS2667">
        <v>0</v>
      </c>
      <c r="AT2667">
        <v>0</v>
      </c>
      <c r="BK2667" t="s">
        <v>803</v>
      </c>
      <c r="BL2667">
        <v>50000</v>
      </c>
      <c r="BM2667" s="1">
        <v>43585</v>
      </c>
      <c r="BN2667" s="1">
        <v>43585</v>
      </c>
      <c r="BO2667" s="1">
        <v>43585</v>
      </c>
      <c r="BP2667" s="1">
        <v>47830</v>
      </c>
      <c r="BQ2667" t="s">
        <v>51</v>
      </c>
      <c r="BS2667" t="s">
        <v>60</v>
      </c>
      <c r="BT2667" t="s">
        <v>54</v>
      </c>
      <c r="BU2667" t="s">
        <v>362</v>
      </c>
      <c r="BX2667">
        <v>36</v>
      </c>
      <c r="BY2667">
        <v>4320</v>
      </c>
      <c r="BZ2667">
        <v>0</v>
      </c>
      <c r="CX2667" t="s">
        <v>360</v>
      </c>
      <c r="CY2667">
        <v>40</v>
      </c>
      <c r="CZ2667" s="1">
        <v>44320</v>
      </c>
      <c r="DA2667" s="1">
        <v>44320</v>
      </c>
      <c r="DB2667" s="1">
        <v>44320</v>
      </c>
      <c r="DC2667" s="1">
        <v>58930</v>
      </c>
      <c r="DD2667" t="s">
        <v>51</v>
      </c>
      <c r="DF2667" t="s">
        <v>54</v>
      </c>
      <c r="DG2667">
        <v>0</v>
      </c>
      <c r="DH2667">
        <v>0</v>
      </c>
    </row>
    <row r="2668" spans="1:112" x14ac:dyDescent="0.2">
      <c r="A2668" t="s">
        <v>1012</v>
      </c>
      <c r="B2668" t="s">
        <v>1013</v>
      </c>
      <c r="C2668" t="s">
        <v>1019</v>
      </c>
      <c r="D2668" t="s">
        <v>1053</v>
      </c>
      <c r="F2668" t="str">
        <f>"253022"</f>
        <v>253022</v>
      </c>
      <c r="G2668" t="s">
        <v>49</v>
      </c>
      <c r="K2668" t="s">
        <v>51</v>
      </c>
      <c r="L2668" t="s">
        <v>52</v>
      </c>
      <c r="M2668">
        <v>132194.10999999999</v>
      </c>
      <c r="N2668">
        <v>473352.95</v>
      </c>
      <c r="O2668" t="s">
        <v>53</v>
      </c>
      <c r="P2668" t="s">
        <v>54</v>
      </c>
      <c r="Q2668" t="s">
        <v>55</v>
      </c>
      <c r="T2668" t="s">
        <v>698</v>
      </c>
      <c r="U2668">
        <v>40</v>
      </c>
      <c r="V2668" s="1">
        <v>28126</v>
      </c>
      <c r="W2668" s="1">
        <v>28126</v>
      </c>
      <c r="X2668" s="1">
        <v>28126</v>
      </c>
      <c r="Y2668" s="1">
        <v>42736</v>
      </c>
      <c r="Z2668" t="s">
        <v>51</v>
      </c>
      <c r="AB2668" t="s">
        <v>54</v>
      </c>
      <c r="AC2668">
        <v>1</v>
      </c>
      <c r="AE2668" t="s">
        <v>1055</v>
      </c>
      <c r="AF2668">
        <v>20</v>
      </c>
      <c r="AG2668" s="1">
        <v>28126</v>
      </c>
      <c r="AH2668" s="1">
        <v>28126</v>
      </c>
      <c r="AI2668" s="1">
        <v>28126</v>
      </c>
      <c r="AJ2668" s="1">
        <v>35431</v>
      </c>
      <c r="AK2668" t="s">
        <v>51</v>
      </c>
      <c r="AN2668">
        <v>0</v>
      </c>
      <c r="AO2668" t="s">
        <v>54</v>
      </c>
      <c r="AP2668" t="s">
        <v>53</v>
      </c>
      <c r="AQ2668">
        <v>0</v>
      </c>
      <c r="AR2668" t="s">
        <v>53</v>
      </c>
      <c r="AS2668">
        <v>0</v>
      </c>
      <c r="AT2668">
        <v>0</v>
      </c>
      <c r="AW2668" t="s">
        <v>161</v>
      </c>
      <c r="AX2668">
        <v>50</v>
      </c>
      <c r="AY2668" s="1">
        <v>28126</v>
      </c>
      <c r="AZ2668" s="1">
        <v>28126</v>
      </c>
      <c r="BA2668" s="1">
        <v>28126</v>
      </c>
      <c r="BB2668" s="1">
        <v>46388</v>
      </c>
      <c r="BC2668" t="s">
        <v>51</v>
      </c>
      <c r="BE2668" t="s">
        <v>54</v>
      </c>
      <c r="BF2668">
        <v>0</v>
      </c>
      <c r="BG2668">
        <v>0</v>
      </c>
      <c r="BH2668" t="s">
        <v>53</v>
      </c>
      <c r="BK2668" t="s">
        <v>361</v>
      </c>
      <c r="BL2668">
        <v>21500</v>
      </c>
      <c r="BM2668" s="1">
        <v>42917</v>
      </c>
      <c r="BN2668" s="1">
        <v>42917</v>
      </c>
      <c r="BO2668" s="1">
        <v>42917</v>
      </c>
      <c r="BP2668" s="1">
        <v>44728</v>
      </c>
      <c r="BQ2668" t="s">
        <v>51</v>
      </c>
      <c r="BS2668" t="s">
        <v>60</v>
      </c>
      <c r="BT2668" t="s">
        <v>54</v>
      </c>
      <c r="BU2668" t="s">
        <v>362</v>
      </c>
      <c r="BV2668" t="s">
        <v>354</v>
      </c>
      <c r="BX2668">
        <v>70</v>
      </c>
      <c r="BY2668">
        <v>0</v>
      </c>
      <c r="BZ2668">
        <v>0</v>
      </c>
      <c r="CX2668" t="s">
        <v>360</v>
      </c>
      <c r="CY2668">
        <v>40</v>
      </c>
      <c r="CZ2668" s="1">
        <v>44320</v>
      </c>
      <c r="DA2668" s="1">
        <v>44320</v>
      </c>
      <c r="DB2668" s="1">
        <v>44320</v>
      </c>
      <c r="DC2668" s="1">
        <v>58930</v>
      </c>
      <c r="DD2668" t="s">
        <v>51</v>
      </c>
      <c r="DF2668" t="s">
        <v>54</v>
      </c>
      <c r="DG2668">
        <v>0</v>
      </c>
      <c r="DH2668">
        <v>0</v>
      </c>
    </row>
    <row r="2669" spans="1:112" x14ac:dyDescent="0.2">
      <c r="A2669" t="s">
        <v>1012</v>
      </c>
      <c r="B2669" t="s">
        <v>1013</v>
      </c>
      <c r="C2669" t="s">
        <v>1019</v>
      </c>
      <c r="D2669" t="s">
        <v>1071</v>
      </c>
      <c r="F2669" t="str">
        <f>"253024"</f>
        <v>253024</v>
      </c>
      <c r="G2669" t="s">
        <v>49</v>
      </c>
      <c r="K2669" t="s">
        <v>51</v>
      </c>
      <c r="L2669" t="s">
        <v>52</v>
      </c>
      <c r="M2669">
        <v>131615.995</v>
      </c>
      <c r="N2669">
        <v>474023.76799999998</v>
      </c>
      <c r="O2669" t="s">
        <v>53</v>
      </c>
      <c r="P2669" t="s">
        <v>54</v>
      </c>
      <c r="Q2669" t="s">
        <v>55</v>
      </c>
      <c r="T2669" t="s">
        <v>246</v>
      </c>
      <c r="U2669">
        <v>40</v>
      </c>
      <c r="V2669" s="1">
        <v>41821</v>
      </c>
      <c r="W2669" s="1">
        <v>41821</v>
      </c>
      <c r="X2669" s="1">
        <v>41821</v>
      </c>
      <c r="Y2669" s="1">
        <v>56431</v>
      </c>
      <c r="Z2669" t="s">
        <v>51</v>
      </c>
      <c r="AB2669" t="s">
        <v>54</v>
      </c>
      <c r="AC2669">
        <v>1</v>
      </c>
      <c r="AE2669" t="s">
        <v>243</v>
      </c>
      <c r="AF2669">
        <v>20</v>
      </c>
      <c r="AG2669" s="1">
        <v>41821</v>
      </c>
      <c r="AH2669" s="1">
        <v>41821</v>
      </c>
      <c r="AI2669" s="1">
        <v>41821</v>
      </c>
      <c r="AJ2669" s="1">
        <v>49126</v>
      </c>
      <c r="AK2669" t="s">
        <v>51</v>
      </c>
      <c r="AN2669">
        <v>0</v>
      </c>
      <c r="AO2669" t="s">
        <v>54</v>
      </c>
      <c r="AP2669" t="s">
        <v>53</v>
      </c>
      <c r="AQ2669">
        <v>0</v>
      </c>
      <c r="AR2669" t="s">
        <v>53</v>
      </c>
      <c r="AS2669">
        <v>0</v>
      </c>
      <c r="AT2669">
        <v>0</v>
      </c>
      <c r="CA2669">
        <v>1</v>
      </c>
      <c r="CC2669" t="s">
        <v>555</v>
      </c>
      <c r="CD2669">
        <v>85000</v>
      </c>
      <c r="CE2669" s="1">
        <v>44314</v>
      </c>
      <c r="CF2669" s="1">
        <v>44314</v>
      </c>
      <c r="CG2669" s="1">
        <v>44314</v>
      </c>
      <c r="CH2669" s="1">
        <v>51510</v>
      </c>
      <c r="CI2669" t="s">
        <v>51</v>
      </c>
      <c r="CK2669" t="s">
        <v>78</v>
      </c>
      <c r="CM2669" t="s">
        <v>54</v>
      </c>
      <c r="CN2669" t="s">
        <v>174</v>
      </c>
      <c r="CO2669" t="s">
        <v>86</v>
      </c>
      <c r="CR2669">
        <v>20</v>
      </c>
      <c r="CS2669">
        <v>0</v>
      </c>
      <c r="CT2669">
        <v>0</v>
      </c>
      <c r="CU2669">
        <v>0</v>
      </c>
      <c r="CX2669" t="s">
        <v>360</v>
      </c>
      <c r="CY2669">
        <v>40</v>
      </c>
      <c r="CZ2669" s="1">
        <v>44320</v>
      </c>
      <c r="DA2669" s="1">
        <v>44320</v>
      </c>
      <c r="DB2669" s="1">
        <v>44320</v>
      </c>
      <c r="DC2669" s="1">
        <v>58930</v>
      </c>
      <c r="DD2669" t="s">
        <v>51</v>
      </c>
      <c r="DF2669" t="s">
        <v>54</v>
      </c>
      <c r="DG2669">
        <v>0</v>
      </c>
      <c r="DH2669">
        <v>0</v>
      </c>
    </row>
    <row r="2670" spans="1:112" x14ac:dyDescent="0.2">
      <c r="A2670" t="s">
        <v>1012</v>
      </c>
      <c r="B2670" t="s">
        <v>1013</v>
      </c>
      <c r="C2670" t="s">
        <v>1019</v>
      </c>
      <c r="D2670" t="s">
        <v>1139</v>
      </c>
      <c r="F2670" t="str">
        <f>"253028"</f>
        <v>253028</v>
      </c>
      <c r="G2670" t="s">
        <v>49</v>
      </c>
      <c r="K2670" t="s">
        <v>51</v>
      </c>
      <c r="L2670" t="s">
        <v>52</v>
      </c>
      <c r="M2670">
        <v>131677.01999999999</v>
      </c>
      <c r="N2670">
        <v>474260.84</v>
      </c>
      <c r="O2670" t="s">
        <v>53</v>
      </c>
      <c r="P2670" t="s">
        <v>54</v>
      </c>
      <c r="Q2670" t="s">
        <v>55</v>
      </c>
      <c r="T2670" t="s">
        <v>431</v>
      </c>
      <c r="U2670">
        <v>40</v>
      </c>
      <c r="V2670" s="1">
        <v>42186</v>
      </c>
      <c r="W2670" s="1">
        <v>42186</v>
      </c>
      <c r="X2670" s="1">
        <v>42186</v>
      </c>
      <c r="Y2670" s="1">
        <v>56796</v>
      </c>
      <c r="Z2670" t="s">
        <v>51</v>
      </c>
      <c r="AB2670" t="s">
        <v>54</v>
      </c>
      <c r="AC2670">
        <v>1</v>
      </c>
      <c r="AE2670" t="s">
        <v>243</v>
      </c>
      <c r="AF2670">
        <v>20</v>
      </c>
      <c r="AG2670" s="1">
        <v>42186</v>
      </c>
      <c r="AH2670" s="1">
        <v>42186</v>
      </c>
      <c r="AI2670" s="1">
        <v>42186</v>
      </c>
      <c r="AJ2670" s="1">
        <v>49491</v>
      </c>
      <c r="AK2670" t="s">
        <v>51</v>
      </c>
      <c r="AN2670">
        <v>0</v>
      </c>
      <c r="AO2670" t="s">
        <v>54</v>
      </c>
      <c r="AP2670" t="s">
        <v>53</v>
      </c>
      <c r="AQ2670">
        <v>0</v>
      </c>
      <c r="AR2670" t="s">
        <v>53</v>
      </c>
      <c r="AS2670">
        <v>0</v>
      </c>
      <c r="AT2670">
        <v>0</v>
      </c>
      <c r="CC2670" t="s">
        <v>250</v>
      </c>
      <c r="CD2670">
        <v>100000</v>
      </c>
      <c r="CE2670" s="1">
        <v>42186</v>
      </c>
      <c r="CF2670" s="1">
        <v>42186</v>
      </c>
      <c r="CG2670" s="1">
        <v>42186</v>
      </c>
      <c r="CH2670" s="1">
        <v>50658</v>
      </c>
      <c r="CI2670" t="s">
        <v>51</v>
      </c>
      <c r="CK2670" t="s">
        <v>78</v>
      </c>
      <c r="CM2670" t="s">
        <v>54</v>
      </c>
      <c r="CN2670" t="s">
        <v>174</v>
      </c>
      <c r="CR2670">
        <v>13.2</v>
      </c>
      <c r="CS2670">
        <v>1800</v>
      </c>
      <c r="CT2670">
        <v>0</v>
      </c>
      <c r="CU2670">
        <v>16</v>
      </c>
    </row>
    <row r="2671" spans="1:112" x14ac:dyDescent="0.2">
      <c r="A2671" t="s">
        <v>1012</v>
      </c>
      <c r="B2671" t="s">
        <v>1013</v>
      </c>
      <c r="C2671" t="s">
        <v>1019</v>
      </c>
      <c r="D2671" t="s">
        <v>1139</v>
      </c>
      <c r="F2671" t="str">
        <f>"253029"</f>
        <v>253029</v>
      </c>
      <c r="G2671" t="s">
        <v>49</v>
      </c>
      <c r="K2671" t="s">
        <v>51</v>
      </c>
      <c r="L2671" t="s">
        <v>52</v>
      </c>
      <c r="M2671">
        <v>131667.45000000001</v>
      </c>
      <c r="N2671">
        <v>474287.13</v>
      </c>
      <c r="O2671" t="s">
        <v>53</v>
      </c>
      <c r="P2671" t="s">
        <v>54</v>
      </c>
      <c r="Q2671" t="s">
        <v>55</v>
      </c>
      <c r="T2671" t="s">
        <v>431</v>
      </c>
      <c r="U2671">
        <v>40</v>
      </c>
      <c r="V2671" s="1">
        <v>42186</v>
      </c>
      <c r="W2671" s="1">
        <v>42186</v>
      </c>
      <c r="X2671" s="1">
        <v>42186</v>
      </c>
      <c r="Y2671" s="1">
        <v>56796</v>
      </c>
      <c r="Z2671" t="s">
        <v>51</v>
      </c>
      <c r="AB2671" t="s">
        <v>54</v>
      </c>
      <c r="AC2671">
        <v>1</v>
      </c>
      <c r="AE2671" t="s">
        <v>243</v>
      </c>
      <c r="AF2671">
        <v>20</v>
      </c>
      <c r="AG2671" s="1">
        <v>42186</v>
      </c>
      <c r="AH2671" s="1">
        <v>42186</v>
      </c>
      <c r="AI2671" s="1">
        <v>42186</v>
      </c>
      <c r="AJ2671" s="1">
        <v>49491</v>
      </c>
      <c r="AK2671" t="s">
        <v>51</v>
      </c>
      <c r="AN2671">
        <v>0</v>
      </c>
      <c r="AO2671" t="s">
        <v>54</v>
      </c>
      <c r="AP2671" t="s">
        <v>53</v>
      </c>
      <c r="AQ2671">
        <v>0</v>
      </c>
      <c r="AR2671" t="s">
        <v>53</v>
      </c>
      <c r="AS2671">
        <v>0</v>
      </c>
      <c r="AT2671">
        <v>0</v>
      </c>
      <c r="CC2671" t="s">
        <v>250</v>
      </c>
      <c r="CD2671">
        <v>100000</v>
      </c>
      <c r="CE2671" s="1">
        <v>42186</v>
      </c>
      <c r="CF2671" s="1">
        <v>42186</v>
      </c>
      <c r="CG2671" s="1">
        <v>42186</v>
      </c>
      <c r="CH2671" s="1">
        <v>50658</v>
      </c>
      <c r="CI2671" t="s">
        <v>51</v>
      </c>
      <c r="CK2671" t="s">
        <v>78</v>
      </c>
      <c r="CM2671" t="s">
        <v>54</v>
      </c>
      <c r="CN2671" t="s">
        <v>174</v>
      </c>
      <c r="CR2671">
        <v>13.2</v>
      </c>
      <c r="CS2671">
        <v>1800</v>
      </c>
      <c r="CT2671">
        <v>0</v>
      </c>
      <c r="CU2671">
        <v>16</v>
      </c>
    </row>
    <row r="2672" spans="1:112" x14ac:dyDescent="0.2">
      <c r="A2672" t="s">
        <v>1012</v>
      </c>
      <c r="B2672" t="s">
        <v>1013</v>
      </c>
      <c r="C2672" t="s">
        <v>1014</v>
      </c>
      <c r="D2672" t="s">
        <v>1096</v>
      </c>
      <c r="F2672" t="str">
        <f>"253032"</f>
        <v>253032</v>
      </c>
      <c r="G2672" t="s">
        <v>49</v>
      </c>
      <c r="K2672" t="s">
        <v>51</v>
      </c>
      <c r="L2672" t="s">
        <v>52</v>
      </c>
      <c r="M2672">
        <v>131631.81</v>
      </c>
      <c r="N2672">
        <v>474966.54</v>
      </c>
      <c r="O2672" t="s">
        <v>53</v>
      </c>
      <c r="P2672" t="s">
        <v>54</v>
      </c>
      <c r="Q2672" t="s">
        <v>55</v>
      </c>
      <c r="T2672" t="s">
        <v>1054</v>
      </c>
      <c r="U2672">
        <v>40</v>
      </c>
      <c r="V2672" s="1">
        <v>28126</v>
      </c>
      <c r="W2672" s="1">
        <v>28126</v>
      </c>
      <c r="X2672" s="1">
        <v>28126</v>
      </c>
      <c r="Y2672" s="1">
        <v>42736</v>
      </c>
      <c r="Z2672" t="s">
        <v>51</v>
      </c>
      <c r="AB2672" t="s">
        <v>54</v>
      </c>
      <c r="AC2672">
        <v>1</v>
      </c>
      <c r="AE2672" t="s">
        <v>91</v>
      </c>
      <c r="AF2672">
        <v>20</v>
      </c>
      <c r="AG2672" s="1">
        <v>34700</v>
      </c>
      <c r="AH2672" s="1">
        <v>34700</v>
      </c>
      <c r="AI2672" s="1">
        <v>34700</v>
      </c>
      <c r="AJ2672" s="1">
        <v>42005</v>
      </c>
      <c r="AK2672" t="s">
        <v>51</v>
      </c>
      <c r="AN2672">
        <v>0</v>
      </c>
      <c r="AO2672" t="s">
        <v>54</v>
      </c>
      <c r="AP2672" t="s">
        <v>53</v>
      </c>
      <c r="AQ2672">
        <v>0</v>
      </c>
      <c r="AR2672" t="s">
        <v>53</v>
      </c>
      <c r="AS2672">
        <v>0</v>
      </c>
      <c r="AT2672">
        <v>0</v>
      </c>
      <c r="AW2672" t="s">
        <v>58</v>
      </c>
      <c r="AX2672">
        <v>20</v>
      </c>
      <c r="AY2672" s="1">
        <v>34700</v>
      </c>
      <c r="AZ2672" s="1">
        <v>34700</v>
      </c>
      <c r="BA2672" s="1">
        <v>34700</v>
      </c>
      <c r="BB2672" s="1">
        <v>42005</v>
      </c>
      <c r="BC2672" t="s">
        <v>51</v>
      </c>
      <c r="BE2672" t="s">
        <v>54</v>
      </c>
      <c r="BF2672">
        <v>2</v>
      </c>
      <c r="BG2672">
        <v>0</v>
      </c>
      <c r="BH2672" t="s">
        <v>53</v>
      </c>
      <c r="BK2672" t="s">
        <v>92</v>
      </c>
      <c r="BL2672">
        <v>14000</v>
      </c>
      <c r="BM2672" s="1">
        <v>45013</v>
      </c>
      <c r="BN2672" s="1">
        <v>45013</v>
      </c>
      <c r="BO2672" s="1">
        <v>45013</v>
      </c>
      <c r="BP2672" s="1">
        <v>46234</v>
      </c>
      <c r="BQ2672" t="s">
        <v>51</v>
      </c>
      <c r="BS2672" t="s">
        <v>60</v>
      </c>
      <c r="BT2672" t="s">
        <v>54</v>
      </c>
      <c r="BU2672" t="s">
        <v>61</v>
      </c>
      <c r="BV2672" t="s">
        <v>62</v>
      </c>
      <c r="BX2672">
        <v>55</v>
      </c>
      <c r="BY2672">
        <v>0</v>
      </c>
      <c r="BZ2672">
        <v>0</v>
      </c>
      <c r="CX2672" t="s">
        <v>674</v>
      </c>
      <c r="CY2672">
        <v>0</v>
      </c>
      <c r="CZ2672" s="1">
        <v>44320</v>
      </c>
      <c r="DA2672" s="1">
        <v>44320</v>
      </c>
      <c r="DB2672" s="1">
        <v>44320</v>
      </c>
      <c r="DC2672" s="1">
        <v>44320</v>
      </c>
      <c r="DD2672" t="s">
        <v>51</v>
      </c>
      <c r="DF2672" t="s">
        <v>54</v>
      </c>
      <c r="DG2672">
        <v>0</v>
      </c>
      <c r="DH2672">
        <v>0</v>
      </c>
    </row>
    <row r="2673" spans="1:112" x14ac:dyDescent="0.2">
      <c r="A2673" t="s">
        <v>1012</v>
      </c>
      <c r="B2673" t="s">
        <v>1013</v>
      </c>
      <c r="C2673" t="s">
        <v>1014</v>
      </c>
      <c r="D2673" t="s">
        <v>1108</v>
      </c>
      <c r="F2673" t="str">
        <f>"254049"</f>
        <v>254049</v>
      </c>
      <c r="G2673" t="s">
        <v>49</v>
      </c>
      <c r="K2673" t="s">
        <v>51</v>
      </c>
      <c r="L2673" t="s">
        <v>52</v>
      </c>
      <c r="M2673">
        <v>131645.82</v>
      </c>
      <c r="N2673">
        <v>475081.02</v>
      </c>
      <c r="O2673" t="s">
        <v>53</v>
      </c>
      <c r="P2673" t="s">
        <v>54</v>
      </c>
      <c r="Q2673" t="s">
        <v>55</v>
      </c>
      <c r="T2673" t="s">
        <v>1076</v>
      </c>
      <c r="U2673">
        <v>30</v>
      </c>
      <c r="V2673" s="1">
        <v>43282</v>
      </c>
      <c r="W2673" s="1">
        <v>43282</v>
      </c>
      <c r="X2673" s="1">
        <v>43282</v>
      </c>
      <c r="Y2673" s="1">
        <v>54240</v>
      </c>
      <c r="Z2673" t="s">
        <v>51</v>
      </c>
      <c r="AB2673" t="s">
        <v>54</v>
      </c>
      <c r="AC2673">
        <v>1</v>
      </c>
      <c r="AE2673" t="s">
        <v>934</v>
      </c>
      <c r="AF2673">
        <v>20</v>
      </c>
      <c r="AG2673" s="1">
        <v>43282</v>
      </c>
      <c r="AH2673" s="1">
        <v>43282</v>
      </c>
      <c r="AI2673" s="1">
        <v>43282</v>
      </c>
      <c r="AJ2673" s="1">
        <v>50587</v>
      </c>
      <c r="AK2673" t="s">
        <v>51</v>
      </c>
      <c r="AN2673">
        <v>0</v>
      </c>
      <c r="AO2673" t="s">
        <v>54</v>
      </c>
      <c r="AP2673" t="s">
        <v>53</v>
      </c>
      <c r="AQ2673">
        <v>0</v>
      </c>
      <c r="AR2673" t="s">
        <v>53</v>
      </c>
      <c r="AS2673">
        <v>0</v>
      </c>
      <c r="AT2673">
        <v>0</v>
      </c>
      <c r="AW2673" t="s">
        <v>79</v>
      </c>
      <c r="AX2673">
        <v>20</v>
      </c>
      <c r="AY2673" s="1">
        <v>43282</v>
      </c>
      <c r="AZ2673" s="1">
        <v>43282</v>
      </c>
      <c r="BA2673" s="1">
        <v>43282</v>
      </c>
      <c r="BB2673" s="1">
        <v>50587</v>
      </c>
      <c r="BC2673" t="s">
        <v>51</v>
      </c>
      <c r="BE2673" t="s">
        <v>54</v>
      </c>
      <c r="BF2673">
        <v>5</v>
      </c>
      <c r="BG2673">
        <v>0</v>
      </c>
      <c r="BH2673" t="s">
        <v>53</v>
      </c>
      <c r="BK2673" t="s">
        <v>146</v>
      </c>
      <c r="BL2673">
        <v>14000</v>
      </c>
      <c r="BM2673" s="1">
        <v>43282</v>
      </c>
      <c r="BN2673" s="1">
        <v>43282</v>
      </c>
      <c r="BO2673" s="1">
        <v>43282</v>
      </c>
      <c r="BP2673" s="1">
        <v>44535</v>
      </c>
      <c r="BQ2673" t="s">
        <v>51</v>
      </c>
      <c r="BS2673" t="s">
        <v>78</v>
      </c>
      <c r="BT2673" t="s">
        <v>54</v>
      </c>
      <c r="BU2673" t="s">
        <v>61</v>
      </c>
      <c r="BV2673" t="s">
        <v>62</v>
      </c>
      <c r="BX2673">
        <v>24</v>
      </c>
      <c r="BY2673">
        <v>0</v>
      </c>
      <c r="BZ2673">
        <v>0</v>
      </c>
    </row>
    <row r="2674" spans="1:112" x14ac:dyDescent="0.2">
      <c r="A2674" t="s">
        <v>1012</v>
      </c>
      <c r="B2674" t="s">
        <v>1013</v>
      </c>
      <c r="C2674" t="s">
        <v>1014</v>
      </c>
      <c r="D2674" t="s">
        <v>1108</v>
      </c>
      <c r="F2674" t="str">
        <f>"254073"</f>
        <v>254073</v>
      </c>
      <c r="G2674" t="s">
        <v>49</v>
      </c>
      <c r="K2674" t="s">
        <v>51</v>
      </c>
      <c r="L2674" t="s">
        <v>52</v>
      </c>
      <c r="M2674">
        <v>131652.81</v>
      </c>
      <c r="N2674">
        <v>475124.05</v>
      </c>
      <c r="O2674" t="s">
        <v>53</v>
      </c>
      <c r="P2674" t="s">
        <v>54</v>
      </c>
      <c r="Q2674" t="s">
        <v>55</v>
      </c>
      <c r="S2674" t="s">
        <v>514</v>
      </c>
      <c r="T2674" t="s">
        <v>514</v>
      </c>
      <c r="U2674">
        <v>30</v>
      </c>
      <c r="V2674" s="1">
        <v>43009</v>
      </c>
      <c r="W2674" s="1">
        <v>43221</v>
      </c>
      <c r="X2674" s="1">
        <v>43221</v>
      </c>
      <c r="Y2674" s="1">
        <v>54179</v>
      </c>
      <c r="Z2674" t="s">
        <v>51</v>
      </c>
      <c r="AB2674" t="s">
        <v>54</v>
      </c>
      <c r="AC2674">
        <v>1</v>
      </c>
      <c r="AE2674" t="s">
        <v>515</v>
      </c>
      <c r="AF2674">
        <v>20</v>
      </c>
      <c r="AG2674" s="1">
        <v>42917</v>
      </c>
      <c r="AH2674" s="1">
        <v>42917</v>
      </c>
      <c r="AI2674" s="1">
        <v>42917</v>
      </c>
      <c r="AJ2674" s="1">
        <v>50222</v>
      </c>
      <c r="AK2674" t="s">
        <v>51</v>
      </c>
      <c r="AN2674">
        <v>4</v>
      </c>
      <c r="AO2674" t="s">
        <v>54</v>
      </c>
      <c r="AP2674" t="s">
        <v>53</v>
      </c>
      <c r="AQ2674">
        <v>0</v>
      </c>
      <c r="AR2674" t="s">
        <v>53</v>
      </c>
      <c r="AS2674">
        <v>0</v>
      </c>
      <c r="AT2674">
        <v>0</v>
      </c>
      <c r="CC2674" t="s">
        <v>432</v>
      </c>
      <c r="CD2674">
        <v>85000</v>
      </c>
      <c r="CE2674" s="1">
        <v>43009</v>
      </c>
      <c r="CF2674" s="1">
        <v>43221</v>
      </c>
      <c r="CG2674" s="1">
        <v>43221</v>
      </c>
      <c r="CH2674" s="1">
        <v>50831</v>
      </c>
      <c r="CI2674" t="s">
        <v>51</v>
      </c>
      <c r="CK2674" t="s">
        <v>78</v>
      </c>
      <c r="CM2674" t="s">
        <v>54</v>
      </c>
      <c r="CN2674" t="s">
        <v>174</v>
      </c>
      <c r="CO2674" t="s">
        <v>86</v>
      </c>
      <c r="CR2674">
        <v>24</v>
      </c>
      <c r="CS2674">
        <v>0</v>
      </c>
      <c r="CT2674">
        <v>0</v>
      </c>
      <c r="CU2674">
        <v>0</v>
      </c>
    </row>
    <row r="2675" spans="1:112" x14ac:dyDescent="0.2">
      <c r="A2675" t="s">
        <v>1012</v>
      </c>
      <c r="B2675" t="s">
        <v>1013</v>
      </c>
      <c r="C2675" t="s">
        <v>1014</v>
      </c>
      <c r="D2675" t="s">
        <v>1108</v>
      </c>
      <c r="F2675" t="str">
        <f>"254068"</f>
        <v>254068</v>
      </c>
      <c r="G2675" t="s">
        <v>49</v>
      </c>
      <c r="K2675" t="s">
        <v>51</v>
      </c>
      <c r="L2675" t="s">
        <v>52</v>
      </c>
      <c r="M2675">
        <v>131653.54999999999</v>
      </c>
      <c r="N2675">
        <v>475263.41</v>
      </c>
      <c r="O2675" t="s">
        <v>53</v>
      </c>
      <c r="P2675" t="s">
        <v>54</v>
      </c>
      <c r="Q2675" t="s">
        <v>55</v>
      </c>
      <c r="R2675">
        <v>254068</v>
      </c>
      <c r="T2675" t="s">
        <v>170</v>
      </c>
      <c r="U2675">
        <v>40</v>
      </c>
      <c r="V2675" s="1">
        <v>43101</v>
      </c>
      <c r="W2675" s="1">
        <v>43221</v>
      </c>
      <c r="X2675" s="1">
        <v>46874</v>
      </c>
      <c r="Y2675" s="1">
        <v>57831</v>
      </c>
      <c r="Z2675" t="s">
        <v>51</v>
      </c>
      <c r="AB2675" t="s">
        <v>54</v>
      </c>
      <c r="AC2675">
        <v>1</v>
      </c>
      <c r="AE2675" t="s">
        <v>171</v>
      </c>
      <c r="AF2675">
        <v>20</v>
      </c>
      <c r="AG2675" s="1">
        <v>43101</v>
      </c>
      <c r="AH2675" s="1">
        <v>43101</v>
      </c>
      <c r="AI2675" s="1">
        <v>43101</v>
      </c>
      <c r="AJ2675" s="1">
        <v>50406</v>
      </c>
      <c r="AK2675" t="s">
        <v>51</v>
      </c>
      <c r="AN2675">
        <v>0</v>
      </c>
      <c r="AO2675" t="s">
        <v>54</v>
      </c>
      <c r="AP2675" t="s">
        <v>53</v>
      </c>
      <c r="AQ2675">
        <v>0</v>
      </c>
      <c r="AR2675" t="s">
        <v>53</v>
      </c>
      <c r="AS2675">
        <v>0</v>
      </c>
      <c r="AT2675">
        <v>0</v>
      </c>
      <c r="CC2675" t="s">
        <v>173</v>
      </c>
      <c r="CD2675">
        <v>100000</v>
      </c>
      <c r="CE2675" s="1">
        <v>43101</v>
      </c>
      <c r="CF2675" s="1">
        <v>43101</v>
      </c>
      <c r="CG2675" s="1">
        <v>43101</v>
      </c>
      <c r="CH2675" s="1">
        <v>52080</v>
      </c>
      <c r="CI2675" t="s">
        <v>51</v>
      </c>
      <c r="CK2675" t="s">
        <v>78</v>
      </c>
      <c r="CM2675" t="s">
        <v>54</v>
      </c>
      <c r="CN2675" t="s">
        <v>174</v>
      </c>
      <c r="CO2675" t="s">
        <v>86</v>
      </c>
      <c r="CP2675">
        <v>830</v>
      </c>
      <c r="CR2675">
        <v>19</v>
      </c>
      <c r="CS2675">
        <v>1800</v>
      </c>
      <c r="CT2675">
        <v>0</v>
      </c>
      <c r="CU2675">
        <v>16</v>
      </c>
      <c r="CX2675" t="s">
        <v>360</v>
      </c>
      <c r="CY2675">
        <v>40</v>
      </c>
      <c r="CZ2675" s="1">
        <v>44316</v>
      </c>
      <c r="DA2675" s="1">
        <v>44316</v>
      </c>
      <c r="DB2675" s="1">
        <v>44316</v>
      </c>
      <c r="DC2675" s="1">
        <v>58926</v>
      </c>
      <c r="DD2675" t="s">
        <v>51</v>
      </c>
      <c r="DF2675" t="s">
        <v>54</v>
      </c>
      <c r="DG2675">
        <v>0</v>
      </c>
      <c r="DH2675">
        <v>0</v>
      </c>
    </row>
    <row r="2676" spans="1:112" x14ac:dyDescent="0.2">
      <c r="A2676" t="s">
        <v>1012</v>
      </c>
      <c r="B2676" t="s">
        <v>1013</v>
      </c>
      <c r="C2676" t="s">
        <v>1014</v>
      </c>
      <c r="D2676" t="s">
        <v>1108</v>
      </c>
      <c r="F2676" t="str">
        <f>"254493"</f>
        <v>254493</v>
      </c>
      <c r="G2676" t="s">
        <v>49</v>
      </c>
      <c r="K2676" t="s">
        <v>51</v>
      </c>
      <c r="L2676" t="s">
        <v>52</v>
      </c>
      <c r="M2676">
        <v>131676.81</v>
      </c>
      <c r="N2676">
        <v>475348.64</v>
      </c>
      <c r="O2676" t="s">
        <v>53</v>
      </c>
      <c r="P2676" t="s">
        <v>54</v>
      </c>
      <c r="Q2676" t="s">
        <v>55</v>
      </c>
      <c r="T2676" t="s">
        <v>246</v>
      </c>
      <c r="U2676">
        <v>40</v>
      </c>
      <c r="V2676" s="1">
        <v>44441</v>
      </c>
      <c r="W2676" s="1">
        <v>44441</v>
      </c>
      <c r="X2676" s="1">
        <v>44441</v>
      </c>
      <c r="Y2676" s="1">
        <v>59051</v>
      </c>
      <c r="Z2676" t="s">
        <v>51</v>
      </c>
      <c r="AB2676" t="s">
        <v>54</v>
      </c>
      <c r="AC2676">
        <v>1</v>
      </c>
      <c r="AE2676" t="s">
        <v>1065</v>
      </c>
      <c r="AF2676">
        <v>20</v>
      </c>
      <c r="AG2676" s="1">
        <v>44441</v>
      </c>
      <c r="AH2676" s="1">
        <v>44441</v>
      </c>
      <c r="AI2676" s="1">
        <v>44441</v>
      </c>
      <c r="AJ2676" s="1">
        <v>51746</v>
      </c>
      <c r="AK2676" t="s">
        <v>51</v>
      </c>
      <c r="AN2676">
        <v>0</v>
      </c>
      <c r="AO2676" t="s">
        <v>54</v>
      </c>
      <c r="AP2676" t="s">
        <v>53</v>
      </c>
      <c r="AQ2676">
        <v>0</v>
      </c>
      <c r="AR2676" t="s">
        <v>53</v>
      </c>
      <c r="AS2676">
        <v>0</v>
      </c>
      <c r="AT2676">
        <v>0</v>
      </c>
      <c r="AW2676" t="s">
        <v>172</v>
      </c>
      <c r="AX2676">
        <v>15</v>
      </c>
      <c r="AY2676" s="1">
        <v>44441</v>
      </c>
      <c r="AZ2676" s="1">
        <v>44441</v>
      </c>
      <c r="BA2676" s="1">
        <v>44441</v>
      </c>
      <c r="BB2676" s="1">
        <v>49920</v>
      </c>
      <c r="BC2676" t="s">
        <v>51</v>
      </c>
      <c r="BE2676" t="s">
        <v>54</v>
      </c>
      <c r="BF2676">
        <v>40</v>
      </c>
      <c r="BG2676">
        <v>0</v>
      </c>
      <c r="BH2676" t="s">
        <v>145</v>
      </c>
      <c r="CC2676" t="s">
        <v>244</v>
      </c>
      <c r="CD2676">
        <v>100000</v>
      </c>
      <c r="CE2676" s="1">
        <v>44441</v>
      </c>
      <c r="CF2676" s="1">
        <v>44441</v>
      </c>
      <c r="CG2676" s="1">
        <v>44441</v>
      </c>
      <c r="CH2676" s="1">
        <v>52892</v>
      </c>
      <c r="CI2676" t="s">
        <v>51</v>
      </c>
      <c r="CK2676" t="s">
        <v>78</v>
      </c>
      <c r="CM2676" t="s">
        <v>54</v>
      </c>
      <c r="CN2676" t="s">
        <v>174</v>
      </c>
      <c r="CR2676">
        <v>0</v>
      </c>
      <c r="CS2676">
        <v>2150</v>
      </c>
      <c r="CT2676">
        <v>0</v>
      </c>
      <c r="CU2676">
        <v>16</v>
      </c>
      <c r="CX2676" t="s">
        <v>360</v>
      </c>
      <c r="CY2676">
        <v>40</v>
      </c>
      <c r="CZ2676" s="1">
        <v>44441</v>
      </c>
      <c r="DA2676" s="1">
        <v>44441</v>
      </c>
      <c r="DB2676" s="1">
        <v>44441</v>
      </c>
      <c r="DC2676" s="1">
        <v>59051</v>
      </c>
      <c r="DD2676" t="s">
        <v>51</v>
      </c>
      <c r="DF2676" t="s">
        <v>54</v>
      </c>
      <c r="DG2676">
        <v>0</v>
      </c>
      <c r="DH2676">
        <v>0</v>
      </c>
    </row>
    <row r="2677" spans="1:112" x14ac:dyDescent="0.2">
      <c r="A2677" t="s">
        <v>1012</v>
      </c>
      <c r="B2677" t="s">
        <v>1013</v>
      </c>
      <c r="C2677" t="s">
        <v>1019</v>
      </c>
      <c r="D2677" t="s">
        <v>1020</v>
      </c>
      <c r="F2677" t="str">
        <f>"253039"</f>
        <v>253039</v>
      </c>
      <c r="G2677" t="s">
        <v>49</v>
      </c>
      <c r="K2677" t="s">
        <v>51</v>
      </c>
      <c r="L2677" t="s">
        <v>52</v>
      </c>
      <c r="M2677">
        <v>131825.42000000001</v>
      </c>
      <c r="N2677">
        <v>476168.59</v>
      </c>
      <c r="O2677" t="s">
        <v>53</v>
      </c>
      <c r="P2677" t="s">
        <v>54</v>
      </c>
      <c r="Q2677" t="s">
        <v>55</v>
      </c>
      <c r="T2677" t="s">
        <v>431</v>
      </c>
      <c r="U2677">
        <v>40</v>
      </c>
      <c r="V2677" s="1">
        <v>29221</v>
      </c>
      <c r="W2677" s="1">
        <v>29221</v>
      </c>
      <c r="X2677" s="1">
        <v>29221</v>
      </c>
      <c r="Y2677" s="1">
        <v>43831</v>
      </c>
      <c r="Z2677" t="s">
        <v>51</v>
      </c>
      <c r="AB2677" t="s">
        <v>54</v>
      </c>
      <c r="AC2677">
        <v>1</v>
      </c>
      <c r="AE2677" t="s">
        <v>79</v>
      </c>
      <c r="AF2677">
        <v>20</v>
      </c>
      <c r="AG2677" s="1">
        <v>29221</v>
      </c>
      <c r="AH2677" s="1">
        <v>29221</v>
      </c>
      <c r="AI2677" s="1">
        <v>29221</v>
      </c>
      <c r="AJ2677" s="1">
        <v>36526</v>
      </c>
      <c r="AK2677" t="s">
        <v>51</v>
      </c>
      <c r="AN2677">
        <v>0</v>
      </c>
      <c r="AO2677" t="s">
        <v>54</v>
      </c>
      <c r="AP2677" t="s">
        <v>53</v>
      </c>
      <c r="AQ2677">
        <v>0</v>
      </c>
      <c r="AR2677" t="s">
        <v>145</v>
      </c>
      <c r="AS2677">
        <v>0</v>
      </c>
      <c r="AT2677">
        <v>0</v>
      </c>
      <c r="AW2677" t="s">
        <v>79</v>
      </c>
      <c r="AX2677">
        <v>20</v>
      </c>
      <c r="AY2677" s="1">
        <v>29221</v>
      </c>
      <c r="AZ2677" s="1">
        <v>29221</v>
      </c>
      <c r="BA2677" s="1">
        <v>29221</v>
      </c>
      <c r="BB2677" s="1">
        <v>36526</v>
      </c>
      <c r="BC2677" t="s">
        <v>51</v>
      </c>
      <c r="BE2677" t="s">
        <v>54</v>
      </c>
      <c r="BF2677">
        <v>5</v>
      </c>
      <c r="BG2677">
        <v>0</v>
      </c>
      <c r="BH2677" t="s">
        <v>53</v>
      </c>
      <c r="BK2677" t="s">
        <v>59</v>
      </c>
      <c r="BL2677">
        <v>14000</v>
      </c>
      <c r="BM2677" s="1">
        <v>44942</v>
      </c>
      <c r="BN2677" s="1">
        <v>44942</v>
      </c>
      <c r="BO2677" s="1">
        <v>44942</v>
      </c>
      <c r="BP2677" s="1">
        <v>46112</v>
      </c>
      <c r="BQ2677" t="s">
        <v>51</v>
      </c>
      <c r="BS2677" t="s">
        <v>60</v>
      </c>
      <c r="BT2677" t="s">
        <v>54</v>
      </c>
      <c r="BU2677" t="s">
        <v>61</v>
      </c>
      <c r="BV2677" t="s">
        <v>62</v>
      </c>
      <c r="BX2677">
        <v>24</v>
      </c>
      <c r="BY2677">
        <v>0</v>
      </c>
      <c r="BZ2677">
        <v>0</v>
      </c>
    </row>
    <row r="2678" spans="1:112" x14ac:dyDescent="0.2">
      <c r="A2678" t="s">
        <v>1012</v>
      </c>
      <c r="B2678" t="s">
        <v>1013</v>
      </c>
      <c r="C2678" t="s">
        <v>1019</v>
      </c>
      <c r="D2678" t="s">
        <v>1070</v>
      </c>
      <c r="F2678" t="str">
        <f>"253359"</f>
        <v>253359</v>
      </c>
      <c r="G2678" t="s">
        <v>49</v>
      </c>
      <c r="H2678" t="s">
        <v>1140</v>
      </c>
      <c r="K2678" t="s">
        <v>51</v>
      </c>
      <c r="L2678" t="s">
        <v>52</v>
      </c>
      <c r="M2678">
        <v>131747.79999999999</v>
      </c>
      <c r="N2678">
        <v>473917.15</v>
      </c>
      <c r="O2678" t="s">
        <v>53</v>
      </c>
      <c r="P2678" t="s">
        <v>54</v>
      </c>
      <c r="Q2678" t="s">
        <v>55</v>
      </c>
      <c r="T2678" t="s">
        <v>81</v>
      </c>
      <c r="U2678">
        <v>40</v>
      </c>
      <c r="V2678" s="1">
        <v>44378</v>
      </c>
      <c r="W2678" s="1">
        <v>44378</v>
      </c>
      <c r="X2678" s="1">
        <v>44378</v>
      </c>
      <c r="Y2678" s="1">
        <v>58988</v>
      </c>
      <c r="Z2678" t="s">
        <v>51</v>
      </c>
      <c r="AB2678" t="s">
        <v>54</v>
      </c>
      <c r="AC2678">
        <v>1</v>
      </c>
      <c r="AE2678" t="s">
        <v>1024</v>
      </c>
      <c r="AF2678">
        <v>20</v>
      </c>
      <c r="AG2678" s="1">
        <v>44378</v>
      </c>
      <c r="AH2678" s="1">
        <v>44378</v>
      </c>
      <c r="AI2678" s="1">
        <v>44378</v>
      </c>
      <c r="AJ2678" s="1">
        <v>51683</v>
      </c>
      <c r="AK2678" t="s">
        <v>51</v>
      </c>
      <c r="AN2678">
        <v>0</v>
      </c>
      <c r="AO2678" t="s">
        <v>54</v>
      </c>
      <c r="AP2678" t="s">
        <v>53</v>
      </c>
      <c r="AQ2678">
        <v>0</v>
      </c>
      <c r="AR2678" t="s">
        <v>145</v>
      </c>
      <c r="AS2678">
        <v>0</v>
      </c>
      <c r="AT2678">
        <v>0</v>
      </c>
      <c r="CC2678" t="s">
        <v>555</v>
      </c>
      <c r="CD2678">
        <v>85000</v>
      </c>
      <c r="CE2678" s="1">
        <v>44378</v>
      </c>
      <c r="CF2678" s="1">
        <v>44378</v>
      </c>
      <c r="CG2678" s="1">
        <v>44378</v>
      </c>
      <c r="CH2678" s="1">
        <v>51965</v>
      </c>
      <c r="CI2678" t="s">
        <v>51</v>
      </c>
      <c r="CK2678" t="s">
        <v>78</v>
      </c>
      <c r="CM2678" t="s">
        <v>54</v>
      </c>
      <c r="CN2678" t="s">
        <v>174</v>
      </c>
      <c r="CO2678" t="s">
        <v>86</v>
      </c>
      <c r="CR2678">
        <v>20</v>
      </c>
      <c r="CS2678">
        <v>0</v>
      </c>
      <c r="CT2678">
        <v>0</v>
      </c>
      <c r="CU2678">
        <v>0</v>
      </c>
      <c r="CX2678" t="s">
        <v>674</v>
      </c>
      <c r="CY2678">
        <v>0</v>
      </c>
      <c r="CZ2678" s="1">
        <v>44320</v>
      </c>
      <c r="DA2678" s="1">
        <v>44320</v>
      </c>
      <c r="DB2678" s="1">
        <v>44320</v>
      </c>
      <c r="DC2678" s="1">
        <v>44320</v>
      </c>
      <c r="DD2678" t="s">
        <v>51</v>
      </c>
      <c r="DF2678" t="s">
        <v>54</v>
      </c>
      <c r="DG2678">
        <v>0</v>
      </c>
      <c r="DH2678">
        <v>0</v>
      </c>
    </row>
    <row r="2679" spans="1:112" x14ac:dyDescent="0.2">
      <c r="A2679" t="s">
        <v>1012</v>
      </c>
      <c r="B2679" t="s">
        <v>1013</v>
      </c>
      <c r="C2679" t="s">
        <v>1014</v>
      </c>
      <c r="D2679" t="s">
        <v>1141</v>
      </c>
      <c r="F2679" t="str">
        <f>"253425"</f>
        <v>253425</v>
      </c>
      <c r="G2679" t="s">
        <v>49</v>
      </c>
      <c r="H2679">
        <v>21</v>
      </c>
      <c r="K2679" t="s">
        <v>51</v>
      </c>
      <c r="L2679" t="s">
        <v>52</v>
      </c>
      <c r="M2679">
        <v>131393.79999999999</v>
      </c>
      <c r="N2679">
        <v>475195.93</v>
      </c>
      <c r="O2679" t="s">
        <v>53</v>
      </c>
      <c r="P2679" t="s">
        <v>54</v>
      </c>
      <c r="Q2679" t="s">
        <v>55</v>
      </c>
      <c r="T2679" t="s">
        <v>170</v>
      </c>
      <c r="U2679">
        <v>40</v>
      </c>
      <c r="V2679" s="1">
        <v>42125</v>
      </c>
      <c r="W2679" s="1">
        <v>42125</v>
      </c>
      <c r="X2679" s="1">
        <v>42125</v>
      </c>
      <c r="Y2679" s="1">
        <v>56735</v>
      </c>
      <c r="Z2679" t="s">
        <v>51</v>
      </c>
      <c r="AB2679" t="s">
        <v>54</v>
      </c>
      <c r="AE2679" t="s">
        <v>342</v>
      </c>
      <c r="AF2679">
        <v>20</v>
      </c>
      <c r="AG2679" s="1">
        <v>42125</v>
      </c>
      <c r="AH2679" s="1">
        <v>42125</v>
      </c>
      <c r="AI2679" s="1">
        <v>42125</v>
      </c>
      <c r="AJ2679" s="1">
        <v>49430</v>
      </c>
      <c r="AK2679" t="s">
        <v>51</v>
      </c>
      <c r="AN2679">
        <v>0</v>
      </c>
      <c r="AO2679" t="s">
        <v>54</v>
      </c>
      <c r="AP2679" t="s">
        <v>53</v>
      </c>
      <c r="AQ2679">
        <v>0</v>
      </c>
      <c r="AR2679" t="s">
        <v>145</v>
      </c>
      <c r="AS2679">
        <v>19</v>
      </c>
      <c r="AT2679">
        <v>1800</v>
      </c>
      <c r="AW2679" t="s">
        <v>172</v>
      </c>
      <c r="AX2679">
        <v>15</v>
      </c>
      <c r="AY2679" s="1">
        <v>42125</v>
      </c>
      <c r="AZ2679" s="1">
        <v>42125</v>
      </c>
      <c r="BA2679" s="1">
        <v>42125</v>
      </c>
      <c r="BB2679" s="1">
        <v>47604</v>
      </c>
      <c r="BC2679" t="s">
        <v>51</v>
      </c>
      <c r="BE2679" t="s">
        <v>54</v>
      </c>
      <c r="BF2679">
        <v>40</v>
      </c>
      <c r="BG2679">
        <v>0</v>
      </c>
      <c r="BH2679" t="s">
        <v>145</v>
      </c>
      <c r="CC2679" t="s">
        <v>173</v>
      </c>
      <c r="CD2679">
        <v>100000</v>
      </c>
      <c r="CE2679" s="1">
        <v>42125</v>
      </c>
      <c r="CF2679" s="1">
        <v>42125</v>
      </c>
      <c r="CG2679" s="1">
        <v>42125</v>
      </c>
      <c r="CH2679" s="1">
        <v>51108</v>
      </c>
      <c r="CI2679" t="s">
        <v>51</v>
      </c>
      <c r="CK2679" t="s">
        <v>78</v>
      </c>
      <c r="CM2679" t="s">
        <v>54</v>
      </c>
      <c r="CN2679" t="s">
        <v>174</v>
      </c>
      <c r="CO2679" t="s">
        <v>86</v>
      </c>
      <c r="CP2679">
        <v>830</v>
      </c>
      <c r="CR2679">
        <v>19</v>
      </c>
      <c r="CS2679">
        <v>1800</v>
      </c>
      <c r="CT2679">
        <v>0</v>
      </c>
      <c r="CU2679">
        <v>16</v>
      </c>
    </row>
    <row r="2680" spans="1:112" x14ac:dyDescent="0.2">
      <c r="A2680" t="s">
        <v>1012</v>
      </c>
      <c r="B2680" t="s">
        <v>1013</v>
      </c>
      <c r="C2680" t="s">
        <v>1014</v>
      </c>
      <c r="D2680" t="s">
        <v>1141</v>
      </c>
      <c r="F2680" t="str">
        <f>"253426"</f>
        <v>253426</v>
      </c>
      <c r="G2680" t="s">
        <v>49</v>
      </c>
      <c r="H2680">
        <v>13</v>
      </c>
      <c r="K2680" t="s">
        <v>51</v>
      </c>
      <c r="L2680" t="s">
        <v>52</v>
      </c>
      <c r="M2680">
        <v>131401.49</v>
      </c>
      <c r="N2680">
        <v>475174.24</v>
      </c>
      <c r="O2680" t="s">
        <v>53</v>
      </c>
      <c r="P2680" t="s">
        <v>54</v>
      </c>
      <c r="Q2680" t="s">
        <v>55</v>
      </c>
      <c r="T2680" t="s">
        <v>170</v>
      </c>
      <c r="U2680">
        <v>40</v>
      </c>
      <c r="V2680" s="1">
        <v>42125</v>
      </c>
      <c r="W2680" s="1">
        <v>42125</v>
      </c>
      <c r="X2680" s="1">
        <v>42125</v>
      </c>
      <c r="Y2680" s="1">
        <v>56735</v>
      </c>
      <c r="Z2680" t="s">
        <v>51</v>
      </c>
      <c r="AB2680" t="s">
        <v>54</v>
      </c>
      <c r="AE2680" t="s">
        <v>342</v>
      </c>
      <c r="AF2680">
        <v>20</v>
      </c>
      <c r="AG2680" s="1">
        <v>42125</v>
      </c>
      <c r="AH2680" s="1">
        <v>42125</v>
      </c>
      <c r="AI2680" s="1">
        <v>42125</v>
      </c>
      <c r="AJ2680" s="1">
        <v>49430</v>
      </c>
      <c r="AK2680" t="s">
        <v>51</v>
      </c>
      <c r="AN2680">
        <v>0</v>
      </c>
      <c r="AO2680" t="s">
        <v>54</v>
      </c>
      <c r="AP2680" t="s">
        <v>53</v>
      </c>
      <c r="AQ2680">
        <v>0</v>
      </c>
      <c r="AR2680" t="s">
        <v>145</v>
      </c>
      <c r="AS2680">
        <v>19</v>
      </c>
      <c r="AT2680">
        <v>1800</v>
      </c>
      <c r="AW2680" t="s">
        <v>172</v>
      </c>
      <c r="AX2680">
        <v>15</v>
      </c>
      <c r="AY2680" s="1">
        <v>42125</v>
      </c>
      <c r="AZ2680" s="1">
        <v>42125</v>
      </c>
      <c r="BA2680" s="1">
        <v>42125</v>
      </c>
      <c r="BB2680" s="1">
        <v>47604</v>
      </c>
      <c r="BC2680" t="s">
        <v>51</v>
      </c>
      <c r="BE2680" t="s">
        <v>54</v>
      </c>
      <c r="BF2680">
        <v>40</v>
      </c>
      <c r="BG2680">
        <v>0</v>
      </c>
      <c r="BH2680" t="s">
        <v>145</v>
      </c>
      <c r="CC2680" t="s">
        <v>173</v>
      </c>
      <c r="CD2680">
        <v>100000</v>
      </c>
      <c r="CE2680" s="1">
        <v>42125</v>
      </c>
      <c r="CF2680" s="1">
        <v>42125</v>
      </c>
      <c r="CG2680" s="1">
        <v>42125</v>
      </c>
      <c r="CH2680" s="1">
        <v>51108</v>
      </c>
      <c r="CI2680" t="s">
        <v>51</v>
      </c>
      <c r="CK2680" t="s">
        <v>78</v>
      </c>
      <c r="CM2680" t="s">
        <v>54</v>
      </c>
      <c r="CN2680" t="s">
        <v>174</v>
      </c>
      <c r="CO2680" t="s">
        <v>86</v>
      </c>
      <c r="CP2680">
        <v>830</v>
      </c>
      <c r="CR2680">
        <v>19</v>
      </c>
      <c r="CS2680">
        <v>1800</v>
      </c>
      <c r="CT2680">
        <v>0</v>
      </c>
      <c r="CU2680">
        <v>16</v>
      </c>
    </row>
    <row r="2681" spans="1:112" x14ac:dyDescent="0.2">
      <c r="A2681" t="s">
        <v>1012</v>
      </c>
      <c r="B2681" t="s">
        <v>1013</v>
      </c>
      <c r="C2681" t="s">
        <v>1014</v>
      </c>
      <c r="D2681" t="s">
        <v>1141</v>
      </c>
      <c r="F2681" t="str">
        <f>"253427"</f>
        <v>253427</v>
      </c>
      <c r="G2681" t="s">
        <v>49</v>
      </c>
      <c r="H2681">
        <v>7</v>
      </c>
      <c r="K2681" t="s">
        <v>51</v>
      </c>
      <c r="L2681" t="s">
        <v>52</v>
      </c>
      <c r="M2681">
        <v>131394.28</v>
      </c>
      <c r="N2681">
        <v>475148.03</v>
      </c>
      <c r="O2681" t="s">
        <v>53</v>
      </c>
      <c r="P2681" t="s">
        <v>54</v>
      </c>
      <c r="Q2681" t="s">
        <v>55</v>
      </c>
      <c r="T2681" t="s">
        <v>170</v>
      </c>
      <c r="U2681">
        <v>40</v>
      </c>
      <c r="V2681" s="1">
        <v>42125</v>
      </c>
      <c r="W2681" s="1">
        <v>42125</v>
      </c>
      <c r="X2681" s="1">
        <v>42125</v>
      </c>
      <c r="Y2681" s="1">
        <v>56735</v>
      </c>
      <c r="Z2681" t="s">
        <v>51</v>
      </c>
      <c r="AB2681" t="s">
        <v>54</v>
      </c>
      <c r="AE2681" t="s">
        <v>342</v>
      </c>
      <c r="AF2681">
        <v>20</v>
      </c>
      <c r="AG2681" s="1">
        <v>42125</v>
      </c>
      <c r="AH2681" s="1">
        <v>42125</v>
      </c>
      <c r="AI2681" s="1">
        <v>42125</v>
      </c>
      <c r="AJ2681" s="1">
        <v>49430</v>
      </c>
      <c r="AK2681" t="s">
        <v>51</v>
      </c>
      <c r="AN2681">
        <v>0</v>
      </c>
      <c r="AO2681" t="s">
        <v>54</v>
      </c>
      <c r="AP2681" t="s">
        <v>53</v>
      </c>
      <c r="AQ2681">
        <v>0</v>
      </c>
      <c r="AR2681" t="s">
        <v>145</v>
      </c>
      <c r="AS2681">
        <v>19</v>
      </c>
      <c r="AT2681">
        <v>1800</v>
      </c>
      <c r="AW2681" t="s">
        <v>172</v>
      </c>
      <c r="AX2681">
        <v>15</v>
      </c>
      <c r="AY2681" s="1">
        <v>42125</v>
      </c>
      <c r="AZ2681" s="1">
        <v>42125</v>
      </c>
      <c r="BA2681" s="1">
        <v>42125</v>
      </c>
      <c r="BB2681" s="1">
        <v>47604</v>
      </c>
      <c r="BC2681" t="s">
        <v>51</v>
      </c>
      <c r="BE2681" t="s">
        <v>54</v>
      </c>
      <c r="BF2681">
        <v>40</v>
      </c>
      <c r="BG2681">
        <v>0</v>
      </c>
      <c r="BH2681" t="s">
        <v>145</v>
      </c>
      <c r="CC2681" t="s">
        <v>173</v>
      </c>
      <c r="CD2681">
        <v>100000</v>
      </c>
      <c r="CE2681" s="1">
        <v>42125</v>
      </c>
      <c r="CF2681" s="1">
        <v>42125</v>
      </c>
      <c r="CG2681" s="1">
        <v>42125</v>
      </c>
      <c r="CH2681" s="1">
        <v>51108</v>
      </c>
      <c r="CI2681" t="s">
        <v>51</v>
      </c>
      <c r="CK2681" t="s">
        <v>78</v>
      </c>
      <c r="CM2681" t="s">
        <v>54</v>
      </c>
      <c r="CN2681" t="s">
        <v>174</v>
      </c>
      <c r="CO2681" t="s">
        <v>86</v>
      </c>
      <c r="CP2681">
        <v>830</v>
      </c>
      <c r="CR2681">
        <v>19</v>
      </c>
      <c r="CS2681">
        <v>1800</v>
      </c>
      <c r="CT2681">
        <v>0</v>
      </c>
      <c r="CU2681">
        <v>16</v>
      </c>
    </row>
    <row r="2682" spans="1:112" x14ac:dyDescent="0.2">
      <c r="A2682" t="s">
        <v>1012</v>
      </c>
      <c r="B2682" t="s">
        <v>1013</v>
      </c>
      <c r="C2682" t="s">
        <v>1014</v>
      </c>
      <c r="D2682" t="s">
        <v>1141</v>
      </c>
      <c r="F2682" t="str">
        <f>"253428"</f>
        <v>253428</v>
      </c>
      <c r="G2682" t="s">
        <v>49</v>
      </c>
      <c r="H2682">
        <v>1</v>
      </c>
      <c r="K2682" t="s">
        <v>51</v>
      </c>
      <c r="L2682" t="s">
        <v>52</v>
      </c>
      <c r="M2682">
        <v>131401.79999999999</v>
      </c>
      <c r="N2682">
        <v>475124.57</v>
      </c>
      <c r="O2682" t="s">
        <v>53</v>
      </c>
      <c r="P2682" t="s">
        <v>54</v>
      </c>
      <c r="Q2682" t="s">
        <v>55</v>
      </c>
      <c r="T2682" t="s">
        <v>170</v>
      </c>
      <c r="U2682">
        <v>40</v>
      </c>
      <c r="V2682" s="1">
        <v>42125</v>
      </c>
      <c r="W2682" s="1">
        <v>42125</v>
      </c>
      <c r="X2682" s="1">
        <v>42125</v>
      </c>
      <c r="Y2682" s="1">
        <v>56735</v>
      </c>
      <c r="Z2682" t="s">
        <v>51</v>
      </c>
      <c r="AB2682" t="s">
        <v>54</v>
      </c>
      <c r="AE2682" t="s">
        <v>342</v>
      </c>
      <c r="AF2682">
        <v>20</v>
      </c>
      <c r="AG2682" s="1">
        <v>42125</v>
      </c>
      <c r="AH2682" s="1">
        <v>42125</v>
      </c>
      <c r="AI2682" s="1">
        <v>42125</v>
      </c>
      <c r="AJ2682" s="1">
        <v>49430</v>
      </c>
      <c r="AK2682" t="s">
        <v>51</v>
      </c>
      <c r="AN2682">
        <v>0</v>
      </c>
      <c r="AO2682" t="s">
        <v>54</v>
      </c>
      <c r="AP2682" t="s">
        <v>53</v>
      </c>
      <c r="AQ2682">
        <v>0</v>
      </c>
      <c r="AR2682" t="s">
        <v>145</v>
      </c>
      <c r="AS2682">
        <v>19</v>
      </c>
      <c r="AT2682">
        <v>1800</v>
      </c>
      <c r="AW2682" t="s">
        <v>172</v>
      </c>
      <c r="AX2682">
        <v>15</v>
      </c>
      <c r="AY2682" s="1">
        <v>42125</v>
      </c>
      <c r="AZ2682" s="1">
        <v>42125</v>
      </c>
      <c r="BA2682" s="1">
        <v>42125</v>
      </c>
      <c r="BB2682" s="1">
        <v>47604</v>
      </c>
      <c r="BC2682" t="s">
        <v>51</v>
      </c>
      <c r="BE2682" t="s">
        <v>54</v>
      </c>
      <c r="BF2682">
        <v>40</v>
      </c>
      <c r="BG2682">
        <v>0</v>
      </c>
      <c r="BH2682" t="s">
        <v>145</v>
      </c>
      <c r="CC2682" t="s">
        <v>173</v>
      </c>
      <c r="CD2682">
        <v>100000</v>
      </c>
      <c r="CE2682" s="1">
        <v>42125</v>
      </c>
      <c r="CF2682" s="1">
        <v>42125</v>
      </c>
      <c r="CG2682" s="1">
        <v>42125</v>
      </c>
      <c r="CH2682" s="1">
        <v>51108</v>
      </c>
      <c r="CI2682" t="s">
        <v>51</v>
      </c>
      <c r="CK2682" t="s">
        <v>78</v>
      </c>
      <c r="CM2682" t="s">
        <v>54</v>
      </c>
      <c r="CN2682" t="s">
        <v>174</v>
      </c>
      <c r="CO2682" t="s">
        <v>86</v>
      </c>
      <c r="CP2682">
        <v>830</v>
      </c>
      <c r="CR2682">
        <v>19</v>
      </c>
      <c r="CS2682">
        <v>1800</v>
      </c>
      <c r="CT2682">
        <v>0</v>
      </c>
      <c r="CU2682">
        <v>16</v>
      </c>
    </row>
    <row r="2683" spans="1:112" x14ac:dyDescent="0.2">
      <c r="A2683" t="s">
        <v>1012</v>
      </c>
      <c r="B2683" t="s">
        <v>1013</v>
      </c>
      <c r="C2683" t="s">
        <v>1014</v>
      </c>
      <c r="D2683" t="s">
        <v>1141</v>
      </c>
      <c r="F2683" t="str">
        <f>"253429"</f>
        <v>253429</v>
      </c>
      <c r="G2683" t="s">
        <v>49</v>
      </c>
      <c r="K2683" t="s">
        <v>51</v>
      </c>
      <c r="L2683" t="s">
        <v>52</v>
      </c>
      <c r="M2683">
        <v>131401.93</v>
      </c>
      <c r="N2683">
        <v>475100.42</v>
      </c>
      <c r="O2683" t="s">
        <v>53</v>
      </c>
      <c r="P2683" t="s">
        <v>54</v>
      </c>
      <c r="Q2683" t="s">
        <v>55</v>
      </c>
      <c r="T2683" t="s">
        <v>170</v>
      </c>
      <c r="U2683">
        <v>40</v>
      </c>
      <c r="V2683" s="1">
        <v>42125</v>
      </c>
      <c r="W2683" s="1">
        <v>42125</v>
      </c>
      <c r="X2683" s="1">
        <v>42125</v>
      </c>
      <c r="Y2683" s="1">
        <v>56735</v>
      </c>
      <c r="Z2683" t="s">
        <v>51</v>
      </c>
      <c r="AB2683" t="s">
        <v>54</v>
      </c>
      <c r="AE2683" t="s">
        <v>342</v>
      </c>
      <c r="AF2683">
        <v>20</v>
      </c>
      <c r="AG2683" s="1">
        <v>42125</v>
      </c>
      <c r="AH2683" s="1">
        <v>42125</v>
      </c>
      <c r="AI2683" s="1">
        <v>42125</v>
      </c>
      <c r="AJ2683" s="1">
        <v>49430</v>
      </c>
      <c r="AK2683" t="s">
        <v>51</v>
      </c>
      <c r="AN2683">
        <v>0</v>
      </c>
      <c r="AO2683" t="s">
        <v>54</v>
      </c>
      <c r="AP2683" t="s">
        <v>53</v>
      </c>
      <c r="AQ2683">
        <v>0</v>
      </c>
      <c r="AR2683" t="s">
        <v>145</v>
      </c>
      <c r="AS2683">
        <v>19</v>
      </c>
      <c r="AT2683">
        <v>1800</v>
      </c>
      <c r="AW2683" t="s">
        <v>172</v>
      </c>
      <c r="AX2683">
        <v>15</v>
      </c>
      <c r="AY2683" s="1">
        <v>42125</v>
      </c>
      <c r="AZ2683" s="1">
        <v>42125</v>
      </c>
      <c r="BA2683" s="1">
        <v>42125</v>
      </c>
      <c r="BB2683" s="1">
        <v>47604</v>
      </c>
      <c r="BC2683" t="s">
        <v>51</v>
      </c>
      <c r="BE2683" t="s">
        <v>54</v>
      </c>
      <c r="BF2683">
        <v>40</v>
      </c>
      <c r="BG2683">
        <v>0</v>
      </c>
      <c r="BH2683" t="s">
        <v>145</v>
      </c>
      <c r="CC2683" t="s">
        <v>173</v>
      </c>
      <c r="CD2683">
        <v>100000</v>
      </c>
      <c r="CE2683" s="1">
        <v>42125</v>
      </c>
      <c r="CF2683" s="1">
        <v>42125</v>
      </c>
      <c r="CG2683" s="1">
        <v>42125</v>
      </c>
      <c r="CH2683" s="1">
        <v>51108</v>
      </c>
      <c r="CI2683" t="s">
        <v>51</v>
      </c>
      <c r="CK2683" t="s">
        <v>78</v>
      </c>
      <c r="CM2683" t="s">
        <v>54</v>
      </c>
      <c r="CN2683" t="s">
        <v>174</v>
      </c>
      <c r="CO2683" t="s">
        <v>86</v>
      </c>
      <c r="CP2683">
        <v>830</v>
      </c>
      <c r="CR2683">
        <v>19</v>
      </c>
      <c r="CS2683">
        <v>1800</v>
      </c>
      <c r="CT2683">
        <v>0</v>
      </c>
      <c r="CU2683">
        <v>16</v>
      </c>
    </row>
    <row r="2684" spans="1:112" x14ac:dyDescent="0.2">
      <c r="A2684" t="s">
        <v>1012</v>
      </c>
      <c r="B2684" t="s">
        <v>1013</v>
      </c>
      <c r="C2684" t="s">
        <v>1014</v>
      </c>
      <c r="D2684" t="s">
        <v>1142</v>
      </c>
      <c r="F2684" t="str">
        <f>"253430"</f>
        <v>253430</v>
      </c>
      <c r="G2684" t="s">
        <v>49</v>
      </c>
      <c r="H2684" t="s">
        <v>1030</v>
      </c>
      <c r="K2684" t="s">
        <v>51</v>
      </c>
      <c r="L2684" t="s">
        <v>52</v>
      </c>
      <c r="M2684">
        <v>131387.70199999999</v>
      </c>
      <c r="N2684">
        <v>475104.022</v>
      </c>
      <c r="O2684" t="s">
        <v>53</v>
      </c>
      <c r="P2684" t="s">
        <v>54</v>
      </c>
      <c r="Q2684" t="s">
        <v>55</v>
      </c>
      <c r="T2684" t="s">
        <v>246</v>
      </c>
      <c r="U2684">
        <v>40</v>
      </c>
      <c r="V2684" s="1">
        <v>42125</v>
      </c>
      <c r="W2684" s="1">
        <v>42125</v>
      </c>
      <c r="X2684" s="1">
        <v>42125</v>
      </c>
      <c r="Y2684" s="1">
        <v>56735</v>
      </c>
      <c r="Z2684" t="s">
        <v>51</v>
      </c>
      <c r="AB2684" t="s">
        <v>54</v>
      </c>
      <c r="AE2684" t="s">
        <v>1065</v>
      </c>
      <c r="AF2684">
        <v>20</v>
      </c>
      <c r="AG2684" s="1">
        <v>42125</v>
      </c>
      <c r="AH2684" s="1">
        <v>42125</v>
      </c>
      <c r="AI2684" s="1">
        <v>42125</v>
      </c>
      <c r="AJ2684" s="1">
        <v>49430</v>
      </c>
      <c r="AK2684" t="s">
        <v>51</v>
      </c>
      <c r="AN2684">
        <v>0</v>
      </c>
      <c r="AO2684" t="s">
        <v>54</v>
      </c>
      <c r="AP2684" t="s">
        <v>53</v>
      </c>
      <c r="AQ2684">
        <v>0</v>
      </c>
      <c r="AR2684" t="s">
        <v>53</v>
      </c>
      <c r="AS2684">
        <v>0</v>
      </c>
      <c r="AT2684">
        <v>0</v>
      </c>
      <c r="AW2684" t="s">
        <v>172</v>
      </c>
      <c r="AX2684">
        <v>15</v>
      </c>
      <c r="AY2684" s="1">
        <v>42125</v>
      </c>
      <c r="AZ2684" s="1">
        <v>42125</v>
      </c>
      <c r="BA2684" s="1">
        <v>42125</v>
      </c>
      <c r="BB2684" s="1">
        <v>47604</v>
      </c>
      <c r="BC2684" t="s">
        <v>51</v>
      </c>
      <c r="BE2684" t="s">
        <v>54</v>
      </c>
      <c r="BF2684">
        <v>40</v>
      </c>
      <c r="BG2684">
        <v>0</v>
      </c>
      <c r="BH2684" t="s">
        <v>145</v>
      </c>
      <c r="CC2684" t="s">
        <v>1066</v>
      </c>
      <c r="CD2684">
        <v>100000</v>
      </c>
      <c r="CE2684" s="1">
        <v>42125</v>
      </c>
      <c r="CF2684" s="1">
        <v>42125</v>
      </c>
      <c r="CG2684" s="1">
        <v>42125</v>
      </c>
      <c r="CH2684" s="1">
        <v>51108</v>
      </c>
      <c r="CI2684" t="s">
        <v>51</v>
      </c>
      <c r="CK2684" t="s">
        <v>78</v>
      </c>
      <c r="CM2684" t="s">
        <v>54</v>
      </c>
      <c r="CN2684" t="s">
        <v>174</v>
      </c>
      <c r="CR2684">
        <v>11</v>
      </c>
      <c r="CS2684">
        <v>1600</v>
      </c>
      <c r="CT2684">
        <v>0</v>
      </c>
      <c r="CU2684">
        <v>16</v>
      </c>
    </row>
    <row r="2685" spans="1:112" x14ac:dyDescent="0.2">
      <c r="A2685" t="s">
        <v>1012</v>
      </c>
      <c r="B2685" t="s">
        <v>1013</v>
      </c>
      <c r="C2685" t="s">
        <v>1014</v>
      </c>
      <c r="D2685" t="s">
        <v>1142</v>
      </c>
      <c r="F2685" t="str">
        <f>"253431"</f>
        <v>253431</v>
      </c>
      <c r="G2685" t="s">
        <v>49</v>
      </c>
      <c r="H2685" t="s">
        <v>1046</v>
      </c>
      <c r="K2685" t="s">
        <v>51</v>
      </c>
      <c r="L2685" t="s">
        <v>52</v>
      </c>
      <c r="M2685">
        <v>131363.23300000001</v>
      </c>
      <c r="N2685">
        <v>475103.864</v>
      </c>
      <c r="O2685" t="s">
        <v>53</v>
      </c>
      <c r="P2685" t="s">
        <v>54</v>
      </c>
      <c r="Q2685" t="s">
        <v>55</v>
      </c>
      <c r="T2685" t="s">
        <v>246</v>
      </c>
      <c r="U2685">
        <v>40</v>
      </c>
      <c r="V2685" s="1">
        <v>42125</v>
      </c>
      <c r="W2685" s="1">
        <v>42125</v>
      </c>
      <c r="X2685" s="1">
        <v>42125</v>
      </c>
      <c r="Y2685" s="1">
        <v>56735</v>
      </c>
      <c r="Z2685" t="s">
        <v>51</v>
      </c>
      <c r="AB2685" t="s">
        <v>54</v>
      </c>
      <c r="AE2685" t="s">
        <v>1065</v>
      </c>
      <c r="AF2685">
        <v>20</v>
      </c>
      <c r="AG2685" s="1">
        <v>42125</v>
      </c>
      <c r="AH2685" s="1">
        <v>42125</v>
      </c>
      <c r="AI2685" s="1">
        <v>42125</v>
      </c>
      <c r="AJ2685" s="1">
        <v>49430</v>
      </c>
      <c r="AK2685" t="s">
        <v>51</v>
      </c>
      <c r="AN2685">
        <v>0</v>
      </c>
      <c r="AO2685" t="s">
        <v>54</v>
      </c>
      <c r="AP2685" t="s">
        <v>53</v>
      </c>
      <c r="AQ2685">
        <v>0</v>
      </c>
      <c r="AR2685" t="s">
        <v>53</v>
      </c>
      <c r="AS2685">
        <v>0</v>
      </c>
      <c r="AT2685">
        <v>0</v>
      </c>
      <c r="AW2685" t="s">
        <v>172</v>
      </c>
      <c r="AX2685">
        <v>15</v>
      </c>
      <c r="AY2685" s="1">
        <v>42125</v>
      </c>
      <c r="AZ2685" s="1">
        <v>42125</v>
      </c>
      <c r="BA2685" s="1">
        <v>42125</v>
      </c>
      <c r="BB2685" s="1">
        <v>47604</v>
      </c>
      <c r="BC2685" t="s">
        <v>51</v>
      </c>
      <c r="BE2685" t="s">
        <v>54</v>
      </c>
      <c r="BF2685">
        <v>40</v>
      </c>
      <c r="BG2685">
        <v>0</v>
      </c>
      <c r="BH2685" t="s">
        <v>145</v>
      </c>
      <c r="CC2685" t="s">
        <v>1066</v>
      </c>
      <c r="CD2685">
        <v>100000</v>
      </c>
      <c r="CE2685" s="1">
        <v>42125</v>
      </c>
      <c r="CF2685" s="1">
        <v>42125</v>
      </c>
      <c r="CG2685" s="1">
        <v>42125</v>
      </c>
      <c r="CH2685" s="1">
        <v>51108</v>
      </c>
      <c r="CI2685" t="s">
        <v>51</v>
      </c>
      <c r="CK2685" t="s">
        <v>78</v>
      </c>
      <c r="CM2685" t="s">
        <v>54</v>
      </c>
      <c r="CN2685" t="s">
        <v>174</v>
      </c>
      <c r="CR2685">
        <v>11</v>
      </c>
      <c r="CS2685">
        <v>1600</v>
      </c>
      <c r="CT2685">
        <v>0</v>
      </c>
      <c r="CU2685">
        <v>16</v>
      </c>
    </row>
    <row r="2686" spans="1:112" x14ac:dyDescent="0.2">
      <c r="A2686" t="s">
        <v>1012</v>
      </c>
      <c r="B2686" t="s">
        <v>1013</v>
      </c>
      <c r="C2686" t="s">
        <v>1014</v>
      </c>
      <c r="D2686" t="s">
        <v>1142</v>
      </c>
      <c r="F2686" t="str">
        <f>"253432"</f>
        <v>253432</v>
      </c>
      <c r="G2686" t="s">
        <v>49</v>
      </c>
      <c r="K2686" t="s">
        <v>51</v>
      </c>
      <c r="L2686" t="s">
        <v>52</v>
      </c>
      <c r="M2686">
        <v>131339.32199999999</v>
      </c>
      <c r="N2686">
        <v>475103.74800000002</v>
      </c>
      <c r="O2686" t="s">
        <v>53</v>
      </c>
      <c r="P2686" t="s">
        <v>54</v>
      </c>
      <c r="Q2686" t="s">
        <v>55</v>
      </c>
      <c r="T2686" t="s">
        <v>246</v>
      </c>
      <c r="U2686">
        <v>40</v>
      </c>
      <c r="V2686" s="1">
        <v>42125</v>
      </c>
      <c r="W2686" s="1">
        <v>42125</v>
      </c>
      <c r="X2686" s="1">
        <v>42125</v>
      </c>
      <c r="Y2686" s="1">
        <v>56735</v>
      </c>
      <c r="Z2686" t="s">
        <v>51</v>
      </c>
      <c r="AB2686" t="s">
        <v>54</v>
      </c>
      <c r="AE2686" t="s">
        <v>1065</v>
      </c>
      <c r="AF2686">
        <v>20</v>
      </c>
      <c r="AG2686" s="1">
        <v>42125</v>
      </c>
      <c r="AH2686" s="1">
        <v>42125</v>
      </c>
      <c r="AI2686" s="1">
        <v>42125</v>
      </c>
      <c r="AJ2686" s="1">
        <v>49430</v>
      </c>
      <c r="AK2686" t="s">
        <v>51</v>
      </c>
      <c r="AN2686">
        <v>0</v>
      </c>
      <c r="AO2686" t="s">
        <v>54</v>
      </c>
      <c r="AP2686" t="s">
        <v>53</v>
      </c>
      <c r="AQ2686">
        <v>0</v>
      </c>
      <c r="AR2686" t="s">
        <v>53</v>
      </c>
      <c r="AS2686">
        <v>0</v>
      </c>
      <c r="AT2686">
        <v>0</v>
      </c>
      <c r="AW2686" t="s">
        <v>172</v>
      </c>
      <c r="AX2686">
        <v>15</v>
      </c>
      <c r="AY2686" s="1">
        <v>42125</v>
      </c>
      <c r="AZ2686" s="1">
        <v>42125</v>
      </c>
      <c r="BA2686" s="1">
        <v>42125</v>
      </c>
      <c r="BB2686" s="1">
        <v>47604</v>
      </c>
      <c r="BC2686" t="s">
        <v>51</v>
      </c>
      <c r="BE2686" t="s">
        <v>54</v>
      </c>
      <c r="BF2686">
        <v>40</v>
      </c>
      <c r="BG2686">
        <v>0</v>
      </c>
      <c r="BH2686" t="s">
        <v>145</v>
      </c>
      <c r="CC2686" t="s">
        <v>1066</v>
      </c>
      <c r="CD2686">
        <v>100000</v>
      </c>
      <c r="CE2686" s="1">
        <v>42125</v>
      </c>
      <c r="CF2686" s="1">
        <v>42125</v>
      </c>
      <c r="CG2686" s="1">
        <v>42125</v>
      </c>
      <c r="CH2686" s="1">
        <v>51108</v>
      </c>
      <c r="CI2686" t="s">
        <v>51</v>
      </c>
      <c r="CK2686" t="s">
        <v>78</v>
      </c>
      <c r="CM2686" t="s">
        <v>54</v>
      </c>
      <c r="CN2686" t="s">
        <v>174</v>
      </c>
      <c r="CR2686">
        <v>11</v>
      </c>
      <c r="CS2686">
        <v>1600</v>
      </c>
      <c r="CT2686">
        <v>0</v>
      </c>
      <c r="CU2686">
        <v>16</v>
      </c>
    </row>
    <row r="2687" spans="1:112" x14ac:dyDescent="0.2">
      <c r="A2687" t="s">
        <v>1012</v>
      </c>
      <c r="B2687" t="s">
        <v>1013</v>
      </c>
      <c r="C2687" t="s">
        <v>1014</v>
      </c>
      <c r="D2687" t="s">
        <v>1142</v>
      </c>
      <c r="F2687" t="str">
        <f>"253433"</f>
        <v>253433</v>
      </c>
      <c r="G2687" t="s">
        <v>49</v>
      </c>
      <c r="H2687" t="s">
        <v>1128</v>
      </c>
      <c r="K2687" t="s">
        <v>51</v>
      </c>
      <c r="L2687" t="s">
        <v>52</v>
      </c>
      <c r="M2687">
        <v>131318.516</v>
      </c>
      <c r="N2687">
        <v>475103.51400000002</v>
      </c>
      <c r="O2687" t="s">
        <v>53</v>
      </c>
      <c r="P2687" t="s">
        <v>54</v>
      </c>
      <c r="Q2687" t="s">
        <v>55</v>
      </c>
      <c r="T2687" t="s">
        <v>246</v>
      </c>
      <c r="U2687">
        <v>40</v>
      </c>
      <c r="V2687" s="1">
        <v>42125</v>
      </c>
      <c r="W2687" s="1">
        <v>42125</v>
      </c>
      <c r="X2687" s="1">
        <v>42125</v>
      </c>
      <c r="Y2687" s="1">
        <v>56735</v>
      </c>
      <c r="Z2687" t="s">
        <v>51</v>
      </c>
      <c r="AB2687" t="s">
        <v>54</v>
      </c>
      <c r="AE2687" t="s">
        <v>1065</v>
      </c>
      <c r="AF2687">
        <v>20</v>
      </c>
      <c r="AG2687" s="1">
        <v>42125</v>
      </c>
      <c r="AH2687" s="1">
        <v>42125</v>
      </c>
      <c r="AI2687" s="1">
        <v>42125</v>
      </c>
      <c r="AJ2687" s="1">
        <v>49430</v>
      </c>
      <c r="AK2687" t="s">
        <v>51</v>
      </c>
      <c r="AN2687">
        <v>0</v>
      </c>
      <c r="AO2687" t="s">
        <v>54</v>
      </c>
      <c r="AP2687" t="s">
        <v>53</v>
      </c>
      <c r="AQ2687">
        <v>0</v>
      </c>
      <c r="AR2687" t="s">
        <v>53</v>
      </c>
      <c r="AS2687">
        <v>0</v>
      </c>
      <c r="AT2687">
        <v>0</v>
      </c>
      <c r="AW2687" t="s">
        <v>172</v>
      </c>
      <c r="AX2687">
        <v>15</v>
      </c>
      <c r="AY2687" s="1">
        <v>42125</v>
      </c>
      <c r="AZ2687" s="1">
        <v>42125</v>
      </c>
      <c r="BA2687" s="1">
        <v>42125</v>
      </c>
      <c r="BB2687" s="1">
        <v>47604</v>
      </c>
      <c r="BC2687" t="s">
        <v>51</v>
      </c>
      <c r="BE2687" t="s">
        <v>54</v>
      </c>
      <c r="BF2687">
        <v>40</v>
      </c>
      <c r="BG2687">
        <v>0</v>
      </c>
      <c r="BH2687" t="s">
        <v>145</v>
      </c>
      <c r="CC2687" t="s">
        <v>1066</v>
      </c>
      <c r="CD2687">
        <v>100000</v>
      </c>
      <c r="CE2687" s="1">
        <v>42125</v>
      </c>
      <c r="CF2687" s="1">
        <v>42125</v>
      </c>
      <c r="CG2687" s="1">
        <v>42125</v>
      </c>
      <c r="CH2687" s="1">
        <v>51108</v>
      </c>
      <c r="CI2687" t="s">
        <v>51</v>
      </c>
      <c r="CK2687" t="s">
        <v>78</v>
      </c>
      <c r="CM2687" t="s">
        <v>54</v>
      </c>
      <c r="CN2687" t="s">
        <v>174</v>
      </c>
      <c r="CR2687">
        <v>11</v>
      </c>
      <c r="CS2687">
        <v>1600</v>
      </c>
      <c r="CT2687">
        <v>0</v>
      </c>
      <c r="CU2687">
        <v>16</v>
      </c>
    </row>
    <row r="2688" spans="1:112" x14ac:dyDescent="0.2">
      <c r="A2688" t="s">
        <v>1012</v>
      </c>
      <c r="B2688" t="s">
        <v>1013</v>
      </c>
      <c r="C2688" t="s">
        <v>1014</v>
      </c>
      <c r="D2688" t="s">
        <v>1142</v>
      </c>
      <c r="F2688" t="str">
        <f>"253434"</f>
        <v>253434</v>
      </c>
      <c r="G2688" t="s">
        <v>49</v>
      </c>
      <c r="H2688" t="s">
        <v>1143</v>
      </c>
      <c r="K2688" t="s">
        <v>51</v>
      </c>
      <c r="L2688" t="s">
        <v>52</v>
      </c>
      <c r="M2688">
        <v>131298.63399999999</v>
      </c>
      <c r="N2688">
        <v>475103.47399999999</v>
      </c>
      <c r="O2688" t="s">
        <v>53</v>
      </c>
      <c r="P2688" t="s">
        <v>54</v>
      </c>
      <c r="Q2688" t="s">
        <v>55</v>
      </c>
      <c r="T2688" t="s">
        <v>246</v>
      </c>
      <c r="U2688">
        <v>40</v>
      </c>
      <c r="V2688" s="1">
        <v>42125</v>
      </c>
      <c r="W2688" s="1">
        <v>42125</v>
      </c>
      <c r="X2688" s="1">
        <v>42125</v>
      </c>
      <c r="Y2688" s="1">
        <v>56735</v>
      </c>
      <c r="Z2688" t="s">
        <v>51</v>
      </c>
      <c r="AB2688" t="s">
        <v>54</v>
      </c>
      <c r="AE2688" t="s">
        <v>1065</v>
      </c>
      <c r="AF2688">
        <v>20</v>
      </c>
      <c r="AG2688" s="1">
        <v>42125</v>
      </c>
      <c r="AH2688" s="1">
        <v>42125</v>
      </c>
      <c r="AI2688" s="1">
        <v>42125</v>
      </c>
      <c r="AJ2688" s="1">
        <v>49430</v>
      </c>
      <c r="AK2688" t="s">
        <v>51</v>
      </c>
      <c r="AN2688">
        <v>0</v>
      </c>
      <c r="AO2688" t="s">
        <v>54</v>
      </c>
      <c r="AP2688" t="s">
        <v>53</v>
      </c>
      <c r="AQ2688">
        <v>0</v>
      </c>
      <c r="AR2688" t="s">
        <v>53</v>
      </c>
      <c r="AS2688">
        <v>0</v>
      </c>
      <c r="AT2688">
        <v>0</v>
      </c>
      <c r="AW2688" t="s">
        <v>172</v>
      </c>
      <c r="AX2688">
        <v>15</v>
      </c>
      <c r="AY2688" s="1">
        <v>42125</v>
      </c>
      <c r="AZ2688" s="1">
        <v>42125</v>
      </c>
      <c r="BA2688" s="1">
        <v>42125</v>
      </c>
      <c r="BB2688" s="1">
        <v>47604</v>
      </c>
      <c r="BC2688" t="s">
        <v>51</v>
      </c>
      <c r="BE2688" t="s">
        <v>54</v>
      </c>
      <c r="BF2688">
        <v>40</v>
      </c>
      <c r="BG2688">
        <v>0</v>
      </c>
      <c r="BH2688" t="s">
        <v>145</v>
      </c>
      <c r="CC2688" t="s">
        <v>1066</v>
      </c>
      <c r="CD2688">
        <v>100000</v>
      </c>
      <c r="CE2688" s="1">
        <v>42125</v>
      </c>
      <c r="CF2688" s="1">
        <v>42125</v>
      </c>
      <c r="CG2688" s="1">
        <v>42125</v>
      </c>
      <c r="CH2688" s="1">
        <v>51108</v>
      </c>
      <c r="CI2688" t="s">
        <v>51</v>
      </c>
      <c r="CK2688" t="s">
        <v>78</v>
      </c>
      <c r="CM2688" t="s">
        <v>54</v>
      </c>
      <c r="CN2688" t="s">
        <v>174</v>
      </c>
      <c r="CR2688">
        <v>11</v>
      </c>
      <c r="CS2688">
        <v>1600</v>
      </c>
      <c r="CT2688">
        <v>0</v>
      </c>
      <c r="CU2688">
        <v>16</v>
      </c>
    </row>
    <row r="2689" spans="1:99" x14ac:dyDescent="0.2">
      <c r="A2689" t="s">
        <v>1012</v>
      </c>
      <c r="B2689" t="s">
        <v>1013</v>
      </c>
      <c r="C2689" t="s">
        <v>1014</v>
      </c>
      <c r="D2689" t="s">
        <v>1142</v>
      </c>
      <c r="F2689" t="str">
        <f>"253435"</f>
        <v>253435</v>
      </c>
      <c r="G2689" t="s">
        <v>49</v>
      </c>
      <c r="H2689" t="s">
        <v>1048</v>
      </c>
      <c r="K2689" t="s">
        <v>51</v>
      </c>
      <c r="L2689" t="s">
        <v>52</v>
      </c>
      <c r="M2689">
        <v>131274.37</v>
      </c>
      <c r="N2689">
        <v>475103.28</v>
      </c>
      <c r="O2689" t="s">
        <v>53</v>
      </c>
      <c r="P2689" t="s">
        <v>54</v>
      </c>
      <c r="Q2689" t="s">
        <v>55</v>
      </c>
      <c r="T2689" t="s">
        <v>246</v>
      </c>
      <c r="U2689">
        <v>40</v>
      </c>
      <c r="V2689" s="1">
        <v>42125</v>
      </c>
      <c r="W2689" s="1">
        <v>42125</v>
      </c>
      <c r="X2689" s="1">
        <v>42125</v>
      </c>
      <c r="Y2689" s="1">
        <v>56735</v>
      </c>
      <c r="Z2689" t="s">
        <v>51</v>
      </c>
      <c r="AB2689" t="s">
        <v>54</v>
      </c>
      <c r="AE2689" t="s">
        <v>342</v>
      </c>
      <c r="AF2689">
        <v>20</v>
      </c>
      <c r="AG2689" s="1">
        <v>42125</v>
      </c>
      <c r="AH2689" s="1">
        <v>42125</v>
      </c>
      <c r="AI2689" s="1">
        <v>42125</v>
      </c>
      <c r="AJ2689" s="1">
        <v>49430</v>
      </c>
      <c r="AK2689" t="s">
        <v>51</v>
      </c>
      <c r="AN2689">
        <v>0</v>
      </c>
      <c r="AO2689" t="s">
        <v>54</v>
      </c>
      <c r="AP2689" t="s">
        <v>53</v>
      </c>
      <c r="AQ2689">
        <v>0</v>
      </c>
      <c r="AR2689" t="s">
        <v>145</v>
      </c>
      <c r="AS2689">
        <v>19</v>
      </c>
      <c r="AT2689">
        <v>1800</v>
      </c>
      <c r="AW2689" t="s">
        <v>172</v>
      </c>
      <c r="AX2689">
        <v>15</v>
      </c>
      <c r="AY2689" s="1">
        <v>42125</v>
      </c>
      <c r="AZ2689" s="1">
        <v>42125</v>
      </c>
      <c r="BA2689" s="1">
        <v>42125</v>
      </c>
      <c r="BB2689" s="1">
        <v>47604</v>
      </c>
      <c r="BC2689" t="s">
        <v>51</v>
      </c>
      <c r="BE2689" t="s">
        <v>54</v>
      </c>
      <c r="BF2689">
        <v>40</v>
      </c>
      <c r="BG2689">
        <v>0</v>
      </c>
      <c r="BH2689" t="s">
        <v>145</v>
      </c>
      <c r="CC2689" t="s">
        <v>173</v>
      </c>
      <c r="CD2689">
        <v>100000</v>
      </c>
      <c r="CE2689" s="1">
        <v>42125</v>
      </c>
      <c r="CF2689" s="1">
        <v>42125</v>
      </c>
      <c r="CG2689" s="1">
        <v>42125</v>
      </c>
      <c r="CH2689" s="1">
        <v>51108</v>
      </c>
      <c r="CI2689" t="s">
        <v>51</v>
      </c>
      <c r="CK2689" t="s">
        <v>78</v>
      </c>
      <c r="CM2689" t="s">
        <v>54</v>
      </c>
      <c r="CN2689" t="s">
        <v>174</v>
      </c>
      <c r="CO2689" t="s">
        <v>86</v>
      </c>
      <c r="CP2689">
        <v>830</v>
      </c>
      <c r="CR2689">
        <v>19</v>
      </c>
      <c r="CS2689">
        <v>1800</v>
      </c>
      <c r="CT2689">
        <v>0</v>
      </c>
      <c r="CU2689">
        <v>16</v>
      </c>
    </row>
    <row r="2690" spans="1:99" x14ac:dyDescent="0.2">
      <c r="A2690" t="s">
        <v>1012</v>
      </c>
      <c r="B2690" t="s">
        <v>1013</v>
      </c>
      <c r="C2690" t="s">
        <v>1014</v>
      </c>
      <c r="D2690" t="s">
        <v>1142</v>
      </c>
      <c r="F2690" t="str">
        <f>"253436"</f>
        <v>253436</v>
      </c>
      <c r="G2690" t="s">
        <v>49</v>
      </c>
      <c r="K2690" t="s">
        <v>51</v>
      </c>
      <c r="L2690" t="s">
        <v>52</v>
      </c>
      <c r="M2690">
        <v>131257.21</v>
      </c>
      <c r="N2690">
        <v>475095.80300000001</v>
      </c>
      <c r="O2690" t="s">
        <v>53</v>
      </c>
      <c r="P2690" t="s">
        <v>54</v>
      </c>
      <c r="Q2690" t="s">
        <v>55</v>
      </c>
      <c r="T2690" t="s">
        <v>246</v>
      </c>
      <c r="U2690">
        <v>40</v>
      </c>
      <c r="V2690" s="1">
        <v>42125</v>
      </c>
      <c r="W2690" s="1">
        <v>42125</v>
      </c>
      <c r="X2690" s="1">
        <v>42125</v>
      </c>
      <c r="Y2690" s="1">
        <v>56735</v>
      </c>
      <c r="Z2690" t="s">
        <v>51</v>
      </c>
      <c r="AB2690" t="s">
        <v>54</v>
      </c>
      <c r="AE2690" t="s">
        <v>1065</v>
      </c>
      <c r="AF2690">
        <v>20</v>
      </c>
      <c r="AG2690" s="1">
        <v>42125</v>
      </c>
      <c r="AH2690" s="1">
        <v>42125</v>
      </c>
      <c r="AI2690" s="1">
        <v>42125</v>
      </c>
      <c r="AJ2690" s="1">
        <v>49430</v>
      </c>
      <c r="AK2690" t="s">
        <v>51</v>
      </c>
      <c r="AN2690">
        <v>0</v>
      </c>
      <c r="AO2690" t="s">
        <v>54</v>
      </c>
      <c r="AP2690" t="s">
        <v>53</v>
      </c>
      <c r="AQ2690">
        <v>0</v>
      </c>
      <c r="AR2690" t="s">
        <v>53</v>
      </c>
      <c r="AS2690">
        <v>0</v>
      </c>
      <c r="AT2690">
        <v>0</v>
      </c>
      <c r="AW2690" t="s">
        <v>172</v>
      </c>
      <c r="AX2690">
        <v>15</v>
      </c>
      <c r="AY2690" s="1">
        <v>44117</v>
      </c>
      <c r="AZ2690" s="1">
        <v>44117</v>
      </c>
      <c r="BA2690" s="1">
        <v>44117</v>
      </c>
      <c r="BB2690" s="1">
        <v>49595</v>
      </c>
      <c r="BC2690" t="s">
        <v>51</v>
      </c>
      <c r="BE2690" t="s">
        <v>54</v>
      </c>
      <c r="BF2690">
        <v>40</v>
      </c>
      <c r="BG2690">
        <v>0</v>
      </c>
      <c r="BH2690" t="s">
        <v>145</v>
      </c>
      <c r="CC2690" t="s">
        <v>1066</v>
      </c>
      <c r="CD2690">
        <v>100000</v>
      </c>
      <c r="CE2690" s="1">
        <v>42125</v>
      </c>
      <c r="CF2690" s="1">
        <v>42125</v>
      </c>
      <c r="CG2690" s="1">
        <v>44117</v>
      </c>
      <c r="CH2690" s="1">
        <v>51108</v>
      </c>
      <c r="CI2690" t="s">
        <v>51</v>
      </c>
      <c r="CK2690" t="s">
        <v>78</v>
      </c>
      <c r="CM2690" t="s">
        <v>54</v>
      </c>
      <c r="CN2690" t="s">
        <v>174</v>
      </c>
      <c r="CR2690">
        <v>11</v>
      </c>
      <c r="CS2690">
        <v>1600</v>
      </c>
      <c r="CT2690">
        <v>0</v>
      </c>
      <c r="CU2690">
        <v>16</v>
      </c>
    </row>
    <row r="2691" spans="1:99" x14ac:dyDescent="0.2">
      <c r="A2691" t="s">
        <v>1012</v>
      </c>
      <c r="B2691" t="s">
        <v>1013</v>
      </c>
      <c r="C2691" t="s">
        <v>1014</v>
      </c>
      <c r="D2691" t="s">
        <v>1142</v>
      </c>
      <c r="F2691" t="str">
        <f>"253437"</f>
        <v>253437</v>
      </c>
      <c r="G2691" t="s">
        <v>49</v>
      </c>
      <c r="K2691" t="s">
        <v>51</v>
      </c>
      <c r="L2691" t="s">
        <v>52</v>
      </c>
      <c r="M2691">
        <v>131236.21900000001</v>
      </c>
      <c r="N2691">
        <v>475095.84100000001</v>
      </c>
      <c r="O2691" t="s">
        <v>53</v>
      </c>
      <c r="P2691" t="s">
        <v>54</v>
      </c>
      <c r="Q2691" t="s">
        <v>55</v>
      </c>
      <c r="T2691" t="s">
        <v>246</v>
      </c>
      <c r="U2691">
        <v>40</v>
      </c>
      <c r="V2691" s="1">
        <v>42125</v>
      </c>
      <c r="W2691" s="1">
        <v>42125</v>
      </c>
      <c r="X2691" s="1">
        <v>42125</v>
      </c>
      <c r="Y2691" s="1">
        <v>56735</v>
      </c>
      <c r="Z2691" t="s">
        <v>51</v>
      </c>
      <c r="AB2691" t="s">
        <v>54</v>
      </c>
      <c r="AE2691" t="s">
        <v>1065</v>
      </c>
      <c r="AF2691">
        <v>20</v>
      </c>
      <c r="AG2691" s="1">
        <v>42125</v>
      </c>
      <c r="AH2691" s="1">
        <v>42125</v>
      </c>
      <c r="AI2691" s="1">
        <v>42125</v>
      </c>
      <c r="AJ2691" s="1">
        <v>49430</v>
      </c>
      <c r="AK2691" t="s">
        <v>51</v>
      </c>
      <c r="AN2691">
        <v>0</v>
      </c>
      <c r="AO2691" t="s">
        <v>54</v>
      </c>
      <c r="AP2691" t="s">
        <v>53</v>
      </c>
      <c r="AQ2691">
        <v>0</v>
      </c>
      <c r="AR2691" t="s">
        <v>53</v>
      </c>
      <c r="AS2691">
        <v>0</v>
      </c>
      <c r="AT2691">
        <v>0</v>
      </c>
      <c r="AW2691" t="s">
        <v>172</v>
      </c>
      <c r="AX2691">
        <v>15</v>
      </c>
      <c r="AY2691" s="1">
        <v>42125</v>
      </c>
      <c r="AZ2691" s="1">
        <v>42125</v>
      </c>
      <c r="BA2691" s="1">
        <v>42125</v>
      </c>
      <c r="BB2691" s="1">
        <v>47604</v>
      </c>
      <c r="BC2691" t="s">
        <v>51</v>
      </c>
      <c r="BE2691" t="s">
        <v>54</v>
      </c>
      <c r="BF2691">
        <v>40</v>
      </c>
      <c r="BG2691">
        <v>0</v>
      </c>
      <c r="BH2691" t="s">
        <v>145</v>
      </c>
      <c r="CC2691" t="s">
        <v>1066</v>
      </c>
      <c r="CD2691">
        <v>100000</v>
      </c>
      <c r="CE2691" s="1">
        <v>42125</v>
      </c>
      <c r="CF2691" s="1">
        <v>42125</v>
      </c>
      <c r="CG2691" s="1">
        <v>42125</v>
      </c>
      <c r="CH2691" s="1">
        <v>51108</v>
      </c>
      <c r="CI2691" t="s">
        <v>51</v>
      </c>
      <c r="CK2691" t="s">
        <v>78</v>
      </c>
      <c r="CM2691" t="s">
        <v>54</v>
      </c>
      <c r="CN2691" t="s">
        <v>174</v>
      </c>
      <c r="CR2691">
        <v>11</v>
      </c>
      <c r="CS2691">
        <v>1600</v>
      </c>
      <c r="CT2691">
        <v>0</v>
      </c>
      <c r="CU2691">
        <v>16</v>
      </c>
    </row>
    <row r="2692" spans="1:99" x14ac:dyDescent="0.2">
      <c r="A2692" t="s">
        <v>1012</v>
      </c>
      <c r="B2692" t="s">
        <v>1013</v>
      </c>
      <c r="C2692" t="s">
        <v>1014</v>
      </c>
      <c r="D2692" t="s">
        <v>1142</v>
      </c>
      <c r="F2692" t="str">
        <f>"253438"</f>
        <v>253438</v>
      </c>
      <c r="G2692" t="s">
        <v>49</v>
      </c>
      <c r="K2692" t="s">
        <v>51</v>
      </c>
      <c r="L2692" t="s">
        <v>52</v>
      </c>
      <c r="M2692">
        <v>131215.60999999999</v>
      </c>
      <c r="N2692">
        <v>475095.56</v>
      </c>
      <c r="O2692" t="s">
        <v>53</v>
      </c>
      <c r="P2692" t="s">
        <v>54</v>
      </c>
      <c r="Q2692" t="s">
        <v>55</v>
      </c>
      <c r="T2692" t="s">
        <v>246</v>
      </c>
      <c r="U2692">
        <v>40</v>
      </c>
      <c r="V2692" s="1">
        <v>42125</v>
      </c>
      <c r="W2692" s="1">
        <v>42125</v>
      </c>
      <c r="X2692" s="1">
        <v>42125</v>
      </c>
      <c r="Y2692" s="1">
        <v>56735</v>
      </c>
      <c r="Z2692" t="s">
        <v>51</v>
      </c>
      <c r="AB2692" t="s">
        <v>54</v>
      </c>
      <c r="AE2692" t="s">
        <v>1065</v>
      </c>
      <c r="AF2692">
        <v>20</v>
      </c>
      <c r="AG2692" s="1">
        <v>42125</v>
      </c>
      <c r="AH2692" s="1">
        <v>42125</v>
      </c>
      <c r="AI2692" s="1">
        <v>42125</v>
      </c>
      <c r="AJ2692" s="1">
        <v>49430</v>
      </c>
      <c r="AK2692" t="s">
        <v>51</v>
      </c>
      <c r="AN2692">
        <v>0</v>
      </c>
      <c r="AO2692" t="s">
        <v>54</v>
      </c>
      <c r="AP2692" t="s">
        <v>53</v>
      </c>
      <c r="AQ2692">
        <v>0</v>
      </c>
      <c r="AR2692" t="s">
        <v>53</v>
      </c>
      <c r="AS2692">
        <v>0</v>
      </c>
      <c r="AT2692">
        <v>0</v>
      </c>
      <c r="AW2692" t="s">
        <v>172</v>
      </c>
      <c r="AX2692">
        <v>15</v>
      </c>
      <c r="AY2692" s="1">
        <v>42125</v>
      </c>
      <c r="AZ2692" s="1">
        <v>42125</v>
      </c>
      <c r="BA2692" s="1">
        <v>42125</v>
      </c>
      <c r="BB2692" s="1">
        <v>47604</v>
      </c>
      <c r="BC2692" t="s">
        <v>51</v>
      </c>
      <c r="BE2692" t="s">
        <v>54</v>
      </c>
      <c r="BF2692">
        <v>40</v>
      </c>
      <c r="BG2692">
        <v>0</v>
      </c>
      <c r="BH2692" t="s">
        <v>145</v>
      </c>
      <c r="CC2692" t="s">
        <v>1066</v>
      </c>
      <c r="CD2692">
        <v>100000</v>
      </c>
      <c r="CE2692" s="1">
        <v>42125</v>
      </c>
      <c r="CF2692" s="1">
        <v>42125</v>
      </c>
      <c r="CG2692" s="1">
        <v>42125</v>
      </c>
      <c r="CH2692" s="1">
        <v>51108</v>
      </c>
      <c r="CI2692" t="s">
        <v>51</v>
      </c>
      <c r="CK2692" t="s">
        <v>78</v>
      </c>
      <c r="CM2692" t="s">
        <v>54</v>
      </c>
      <c r="CN2692" t="s">
        <v>174</v>
      </c>
      <c r="CR2692">
        <v>11</v>
      </c>
      <c r="CS2692">
        <v>1600</v>
      </c>
      <c r="CT2692">
        <v>0</v>
      </c>
      <c r="CU2692">
        <v>16</v>
      </c>
    </row>
    <row r="2693" spans="1:99" x14ac:dyDescent="0.2">
      <c r="A2693" t="s">
        <v>1012</v>
      </c>
      <c r="B2693" t="s">
        <v>1013</v>
      </c>
      <c r="C2693" t="s">
        <v>1014</v>
      </c>
      <c r="D2693" t="s">
        <v>1144</v>
      </c>
      <c r="F2693" t="str">
        <f>"253439"</f>
        <v>253439</v>
      </c>
      <c r="G2693" t="s">
        <v>49</v>
      </c>
      <c r="H2693">
        <v>2</v>
      </c>
      <c r="K2693" t="s">
        <v>51</v>
      </c>
      <c r="L2693" t="s">
        <v>52</v>
      </c>
      <c r="M2693">
        <v>131207.92000000001</v>
      </c>
      <c r="N2693">
        <v>475073.19</v>
      </c>
      <c r="O2693" t="s">
        <v>53</v>
      </c>
      <c r="P2693" t="s">
        <v>54</v>
      </c>
      <c r="Q2693" t="s">
        <v>55</v>
      </c>
      <c r="T2693" t="s">
        <v>170</v>
      </c>
      <c r="U2693">
        <v>40</v>
      </c>
      <c r="V2693" s="1">
        <v>42125</v>
      </c>
      <c r="W2693" s="1">
        <v>42125</v>
      </c>
      <c r="X2693" s="1">
        <v>42125</v>
      </c>
      <c r="Y2693" s="1">
        <v>56735</v>
      </c>
      <c r="Z2693" t="s">
        <v>51</v>
      </c>
      <c r="AB2693" t="s">
        <v>54</v>
      </c>
      <c r="AE2693" t="s">
        <v>342</v>
      </c>
      <c r="AF2693">
        <v>20</v>
      </c>
      <c r="AG2693" s="1">
        <v>42125</v>
      </c>
      <c r="AH2693" s="1">
        <v>42125</v>
      </c>
      <c r="AI2693" s="1">
        <v>42125</v>
      </c>
      <c r="AJ2693" s="1">
        <v>49430</v>
      </c>
      <c r="AK2693" t="s">
        <v>51</v>
      </c>
      <c r="AN2693">
        <v>0</v>
      </c>
      <c r="AO2693" t="s">
        <v>54</v>
      </c>
      <c r="AP2693" t="s">
        <v>53</v>
      </c>
      <c r="AQ2693">
        <v>0</v>
      </c>
      <c r="AR2693" t="s">
        <v>145</v>
      </c>
      <c r="AS2693">
        <v>19</v>
      </c>
      <c r="AT2693">
        <v>1800</v>
      </c>
      <c r="AW2693" t="s">
        <v>172</v>
      </c>
      <c r="AX2693">
        <v>15</v>
      </c>
      <c r="AY2693" s="1">
        <v>42125</v>
      </c>
      <c r="AZ2693" s="1">
        <v>42125</v>
      </c>
      <c r="BA2693" s="1">
        <v>42125</v>
      </c>
      <c r="BB2693" s="1">
        <v>47604</v>
      </c>
      <c r="BC2693" t="s">
        <v>51</v>
      </c>
      <c r="BE2693" t="s">
        <v>54</v>
      </c>
      <c r="BF2693">
        <v>40</v>
      </c>
      <c r="BG2693">
        <v>0</v>
      </c>
      <c r="BH2693" t="s">
        <v>145</v>
      </c>
      <c r="CC2693" t="s">
        <v>173</v>
      </c>
      <c r="CD2693">
        <v>100000</v>
      </c>
      <c r="CE2693" s="1">
        <v>42125</v>
      </c>
      <c r="CF2693" s="1">
        <v>42125</v>
      </c>
      <c r="CG2693" s="1">
        <v>42125</v>
      </c>
      <c r="CH2693" s="1">
        <v>51108</v>
      </c>
      <c r="CI2693" t="s">
        <v>51</v>
      </c>
      <c r="CK2693" t="s">
        <v>78</v>
      </c>
      <c r="CM2693" t="s">
        <v>54</v>
      </c>
      <c r="CN2693" t="s">
        <v>174</v>
      </c>
      <c r="CO2693" t="s">
        <v>86</v>
      </c>
      <c r="CP2693">
        <v>830</v>
      </c>
      <c r="CR2693">
        <v>19</v>
      </c>
      <c r="CS2693">
        <v>1800</v>
      </c>
      <c r="CT2693">
        <v>0</v>
      </c>
      <c r="CU2693">
        <v>16</v>
      </c>
    </row>
    <row r="2694" spans="1:99" x14ac:dyDescent="0.2">
      <c r="A2694" t="s">
        <v>1012</v>
      </c>
      <c r="B2694" t="s">
        <v>1013</v>
      </c>
      <c r="C2694" t="s">
        <v>1014</v>
      </c>
      <c r="D2694" t="s">
        <v>1144</v>
      </c>
      <c r="F2694" t="str">
        <f>"253440"</f>
        <v>253440</v>
      </c>
      <c r="G2694" t="s">
        <v>49</v>
      </c>
      <c r="H2694">
        <v>2</v>
      </c>
      <c r="K2694" t="s">
        <v>51</v>
      </c>
      <c r="L2694" t="s">
        <v>52</v>
      </c>
      <c r="M2694">
        <v>131199.79999999999</v>
      </c>
      <c r="N2694">
        <v>475100.75</v>
      </c>
      <c r="O2694" t="s">
        <v>53</v>
      </c>
      <c r="P2694" t="s">
        <v>54</v>
      </c>
      <c r="Q2694" t="s">
        <v>55</v>
      </c>
      <c r="T2694" t="s">
        <v>170</v>
      </c>
      <c r="U2694">
        <v>40</v>
      </c>
      <c r="V2694" s="1">
        <v>42125</v>
      </c>
      <c r="W2694" s="1">
        <v>42125</v>
      </c>
      <c r="X2694" s="1">
        <v>42125</v>
      </c>
      <c r="Y2694" s="1">
        <v>56735</v>
      </c>
      <c r="Z2694" t="s">
        <v>51</v>
      </c>
      <c r="AB2694" t="s">
        <v>54</v>
      </c>
      <c r="AE2694" t="s">
        <v>342</v>
      </c>
      <c r="AF2694">
        <v>20</v>
      </c>
      <c r="AG2694" s="1">
        <v>42125</v>
      </c>
      <c r="AH2694" s="1">
        <v>42125</v>
      </c>
      <c r="AI2694" s="1">
        <v>42125</v>
      </c>
      <c r="AJ2694" s="1">
        <v>49430</v>
      </c>
      <c r="AK2694" t="s">
        <v>51</v>
      </c>
      <c r="AN2694">
        <v>0</v>
      </c>
      <c r="AO2694" t="s">
        <v>54</v>
      </c>
      <c r="AP2694" t="s">
        <v>53</v>
      </c>
      <c r="AQ2694">
        <v>0</v>
      </c>
      <c r="AR2694" t="s">
        <v>145</v>
      </c>
      <c r="AS2694">
        <v>19</v>
      </c>
      <c r="AT2694">
        <v>1800</v>
      </c>
      <c r="AW2694" t="s">
        <v>172</v>
      </c>
      <c r="AX2694">
        <v>15</v>
      </c>
      <c r="AY2694" s="1">
        <v>42125</v>
      </c>
      <c r="AZ2694" s="1">
        <v>42125</v>
      </c>
      <c r="BA2694" s="1">
        <v>42125</v>
      </c>
      <c r="BB2694" s="1">
        <v>47604</v>
      </c>
      <c r="BC2694" t="s">
        <v>51</v>
      </c>
      <c r="BE2694" t="s">
        <v>54</v>
      </c>
      <c r="BF2694">
        <v>40</v>
      </c>
      <c r="BG2694">
        <v>0</v>
      </c>
      <c r="BH2694" t="s">
        <v>145</v>
      </c>
      <c r="CC2694" t="s">
        <v>173</v>
      </c>
      <c r="CD2694">
        <v>100000</v>
      </c>
      <c r="CE2694" s="1">
        <v>42125</v>
      </c>
      <c r="CF2694" s="1">
        <v>42125</v>
      </c>
      <c r="CG2694" s="1">
        <v>42125</v>
      </c>
      <c r="CH2694" s="1">
        <v>51108</v>
      </c>
      <c r="CI2694" t="s">
        <v>51</v>
      </c>
      <c r="CK2694" t="s">
        <v>78</v>
      </c>
      <c r="CM2694" t="s">
        <v>54</v>
      </c>
      <c r="CN2694" t="s">
        <v>174</v>
      </c>
      <c r="CO2694" t="s">
        <v>86</v>
      </c>
      <c r="CP2694">
        <v>830</v>
      </c>
      <c r="CR2694">
        <v>19</v>
      </c>
      <c r="CS2694">
        <v>1800</v>
      </c>
      <c r="CT2694">
        <v>0</v>
      </c>
      <c r="CU2694">
        <v>16</v>
      </c>
    </row>
    <row r="2695" spans="1:99" x14ac:dyDescent="0.2">
      <c r="A2695" t="s">
        <v>1012</v>
      </c>
      <c r="B2695" t="s">
        <v>1013</v>
      </c>
      <c r="C2695" t="s">
        <v>1014</v>
      </c>
      <c r="D2695" t="s">
        <v>1144</v>
      </c>
      <c r="F2695" t="str">
        <f>"253441"</f>
        <v>253441</v>
      </c>
      <c r="G2695" t="s">
        <v>49</v>
      </c>
      <c r="H2695">
        <v>4</v>
      </c>
      <c r="K2695" t="s">
        <v>51</v>
      </c>
      <c r="L2695" t="s">
        <v>52</v>
      </c>
      <c r="M2695">
        <v>131208.25</v>
      </c>
      <c r="N2695">
        <v>475123.28</v>
      </c>
      <c r="O2695" t="s">
        <v>53</v>
      </c>
      <c r="P2695" t="s">
        <v>54</v>
      </c>
      <c r="Q2695" t="s">
        <v>55</v>
      </c>
      <c r="T2695" t="s">
        <v>170</v>
      </c>
      <c r="U2695">
        <v>40</v>
      </c>
      <c r="V2695" s="1">
        <v>42125</v>
      </c>
      <c r="W2695" s="1">
        <v>42125</v>
      </c>
      <c r="X2695" s="1">
        <v>42125</v>
      </c>
      <c r="Y2695" s="1">
        <v>56735</v>
      </c>
      <c r="Z2695" t="s">
        <v>51</v>
      </c>
      <c r="AB2695" t="s">
        <v>54</v>
      </c>
      <c r="AE2695" t="s">
        <v>342</v>
      </c>
      <c r="AF2695">
        <v>20</v>
      </c>
      <c r="AG2695" s="1">
        <v>42125</v>
      </c>
      <c r="AH2695" s="1">
        <v>42125</v>
      </c>
      <c r="AI2695" s="1">
        <v>42125</v>
      </c>
      <c r="AJ2695" s="1">
        <v>49430</v>
      </c>
      <c r="AK2695" t="s">
        <v>51</v>
      </c>
      <c r="AN2695">
        <v>0</v>
      </c>
      <c r="AO2695" t="s">
        <v>54</v>
      </c>
      <c r="AP2695" t="s">
        <v>53</v>
      </c>
      <c r="AQ2695">
        <v>0</v>
      </c>
      <c r="AR2695" t="s">
        <v>145</v>
      </c>
      <c r="AS2695">
        <v>19</v>
      </c>
      <c r="AT2695">
        <v>1800</v>
      </c>
      <c r="AW2695" t="s">
        <v>172</v>
      </c>
      <c r="AX2695">
        <v>15</v>
      </c>
      <c r="AY2695" s="1">
        <v>42125</v>
      </c>
      <c r="AZ2695" s="1">
        <v>42125</v>
      </c>
      <c r="BA2695" s="1">
        <v>42125</v>
      </c>
      <c r="BB2695" s="1">
        <v>47604</v>
      </c>
      <c r="BC2695" t="s">
        <v>51</v>
      </c>
      <c r="BE2695" t="s">
        <v>54</v>
      </c>
      <c r="BF2695">
        <v>40</v>
      </c>
      <c r="BG2695">
        <v>0</v>
      </c>
      <c r="BH2695" t="s">
        <v>145</v>
      </c>
      <c r="CC2695" t="s">
        <v>173</v>
      </c>
      <c r="CD2695">
        <v>100000</v>
      </c>
      <c r="CE2695" s="1">
        <v>42125</v>
      </c>
      <c r="CF2695" s="1">
        <v>42125</v>
      </c>
      <c r="CG2695" s="1">
        <v>42125</v>
      </c>
      <c r="CH2695" s="1">
        <v>51108</v>
      </c>
      <c r="CI2695" t="s">
        <v>51</v>
      </c>
      <c r="CK2695" t="s">
        <v>78</v>
      </c>
      <c r="CM2695" t="s">
        <v>54</v>
      </c>
      <c r="CN2695" t="s">
        <v>174</v>
      </c>
      <c r="CO2695" t="s">
        <v>86</v>
      </c>
      <c r="CP2695">
        <v>830</v>
      </c>
      <c r="CR2695">
        <v>19</v>
      </c>
      <c r="CS2695">
        <v>1800</v>
      </c>
      <c r="CT2695">
        <v>0</v>
      </c>
      <c r="CU2695">
        <v>16</v>
      </c>
    </row>
    <row r="2696" spans="1:99" x14ac:dyDescent="0.2">
      <c r="A2696" t="s">
        <v>1012</v>
      </c>
      <c r="B2696" t="s">
        <v>1013</v>
      </c>
      <c r="C2696" t="s">
        <v>1014</v>
      </c>
      <c r="D2696" t="s">
        <v>1144</v>
      </c>
      <c r="F2696" t="str">
        <f>"253442"</f>
        <v>253442</v>
      </c>
      <c r="G2696" t="s">
        <v>49</v>
      </c>
      <c r="H2696">
        <v>12</v>
      </c>
      <c r="K2696" t="s">
        <v>51</v>
      </c>
      <c r="L2696" t="s">
        <v>52</v>
      </c>
      <c r="M2696">
        <v>131200.53</v>
      </c>
      <c r="N2696">
        <v>475146.75</v>
      </c>
      <c r="O2696" t="s">
        <v>53</v>
      </c>
      <c r="P2696" t="s">
        <v>54</v>
      </c>
      <c r="Q2696" t="s">
        <v>55</v>
      </c>
      <c r="T2696" t="s">
        <v>170</v>
      </c>
      <c r="U2696">
        <v>40</v>
      </c>
      <c r="V2696" s="1">
        <v>42125</v>
      </c>
      <c r="W2696" s="1">
        <v>42125</v>
      </c>
      <c r="X2696" s="1">
        <v>42125</v>
      </c>
      <c r="Y2696" s="1">
        <v>56735</v>
      </c>
      <c r="Z2696" t="s">
        <v>51</v>
      </c>
      <c r="AB2696" t="s">
        <v>54</v>
      </c>
      <c r="AE2696" t="s">
        <v>342</v>
      </c>
      <c r="AF2696">
        <v>20</v>
      </c>
      <c r="AG2696" s="1">
        <v>42125</v>
      </c>
      <c r="AH2696" s="1">
        <v>42125</v>
      </c>
      <c r="AI2696" s="1">
        <v>42125</v>
      </c>
      <c r="AJ2696" s="1">
        <v>49430</v>
      </c>
      <c r="AK2696" t="s">
        <v>51</v>
      </c>
      <c r="AN2696">
        <v>0</v>
      </c>
      <c r="AO2696" t="s">
        <v>54</v>
      </c>
      <c r="AP2696" t="s">
        <v>53</v>
      </c>
      <c r="AQ2696">
        <v>0</v>
      </c>
      <c r="AR2696" t="s">
        <v>145</v>
      </c>
      <c r="AS2696">
        <v>19</v>
      </c>
      <c r="AT2696">
        <v>1800</v>
      </c>
      <c r="AW2696" t="s">
        <v>172</v>
      </c>
      <c r="AX2696">
        <v>15</v>
      </c>
      <c r="AY2696" s="1">
        <v>42125</v>
      </c>
      <c r="AZ2696" s="1">
        <v>42125</v>
      </c>
      <c r="BA2696" s="1">
        <v>42125</v>
      </c>
      <c r="BB2696" s="1">
        <v>47604</v>
      </c>
      <c r="BC2696" t="s">
        <v>51</v>
      </c>
      <c r="BE2696" t="s">
        <v>54</v>
      </c>
      <c r="BF2696">
        <v>40</v>
      </c>
      <c r="BG2696">
        <v>0</v>
      </c>
      <c r="BH2696" t="s">
        <v>145</v>
      </c>
      <c r="CC2696" t="s">
        <v>173</v>
      </c>
      <c r="CD2696">
        <v>100000</v>
      </c>
      <c r="CE2696" s="1">
        <v>42125</v>
      </c>
      <c r="CF2696" s="1">
        <v>42125</v>
      </c>
      <c r="CG2696" s="1">
        <v>42125</v>
      </c>
      <c r="CH2696" s="1">
        <v>51108</v>
      </c>
      <c r="CI2696" t="s">
        <v>51</v>
      </c>
      <c r="CK2696" t="s">
        <v>78</v>
      </c>
      <c r="CM2696" t="s">
        <v>54</v>
      </c>
      <c r="CN2696" t="s">
        <v>174</v>
      </c>
      <c r="CO2696" t="s">
        <v>86</v>
      </c>
      <c r="CP2696">
        <v>830</v>
      </c>
      <c r="CR2696">
        <v>19</v>
      </c>
      <c r="CS2696">
        <v>1800</v>
      </c>
      <c r="CT2696">
        <v>0</v>
      </c>
      <c r="CU2696">
        <v>16</v>
      </c>
    </row>
    <row r="2697" spans="1:99" x14ac:dyDescent="0.2">
      <c r="A2697" t="s">
        <v>1012</v>
      </c>
      <c r="B2697" t="s">
        <v>1013</v>
      </c>
      <c r="C2697" t="s">
        <v>1014</v>
      </c>
      <c r="D2697" t="s">
        <v>1144</v>
      </c>
      <c r="F2697" t="str">
        <f>"253443"</f>
        <v>253443</v>
      </c>
      <c r="G2697" t="s">
        <v>49</v>
      </c>
      <c r="K2697" t="s">
        <v>51</v>
      </c>
      <c r="L2697" t="s">
        <v>52</v>
      </c>
      <c r="M2697">
        <v>131207.35999999999</v>
      </c>
      <c r="N2697">
        <v>475170.22</v>
      </c>
      <c r="O2697" t="s">
        <v>53</v>
      </c>
      <c r="P2697" t="s">
        <v>54</v>
      </c>
      <c r="Q2697" t="s">
        <v>55</v>
      </c>
      <c r="T2697" t="s">
        <v>170</v>
      </c>
      <c r="U2697">
        <v>40</v>
      </c>
      <c r="V2697" s="1">
        <v>42125</v>
      </c>
      <c r="W2697" s="1">
        <v>42125</v>
      </c>
      <c r="X2697" s="1">
        <v>42125</v>
      </c>
      <c r="Y2697" s="1">
        <v>56735</v>
      </c>
      <c r="Z2697" t="s">
        <v>51</v>
      </c>
      <c r="AB2697" t="s">
        <v>54</v>
      </c>
      <c r="AE2697" t="s">
        <v>342</v>
      </c>
      <c r="AF2697">
        <v>20</v>
      </c>
      <c r="AG2697" s="1">
        <v>42125</v>
      </c>
      <c r="AH2697" s="1">
        <v>42125</v>
      </c>
      <c r="AI2697" s="1">
        <v>42125</v>
      </c>
      <c r="AJ2697" s="1">
        <v>49430</v>
      </c>
      <c r="AK2697" t="s">
        <v>51</v>
      </c>
      <c r="AN2697">
        <v>0</v>
      </c>
      <c r="AO2697" t="s">
        <v>54</v>
      </c>
      <c r="AP2697" t="s">
        <v>53</v>
      </c>
      <c r="AQ2697">
        <v>0</v>
      </c>
      <c r="AR2697" t="s">
        <v>145</v>
      </c>
      <c r="AS2697">
        <v>19</v>
      </c>
      <c r="AT2697">
        <v>1800</v>
      </c>
      <c r="AW2697" t="s">
        <v>172</v>
      </c>
      <c r="AX2697">
        <v>15</v>
      </c>
      <c r="AY2697" s="1">
        <v>42125</v>
      </c>
      <c r="AZ2697" s="1">
        <v>42125</v>
      </c>
      <c r="BA2697" s="1">
        <v>42125</v>
      </c>
      <c r="BB2697" s="1">
        <v>47604</v>
      </c>
      <c r="BC2697" t="s">
        <v>51</v>
      </c>
      <c r="BE2697" t="s">
        <v>54</v>
      </c>
      <c r="BF2697">
        <v>40</v>
      </c>
      <c r="BG2697">
        <v>0</v>
      </c>
      <c r="BH2697" t="s">
        <v>145</v>
      </c>
      <c r="CC2697" t="s">
        <v>173</v>
      </c>
      <c r="CD2697">
        <v>100000</v>
      </c>
      <c r="CE2697" s="1">
        <v>42125</v>
      </c>
      <c r="CF2697" s="1">
        <v>42125</v>
      </c>
      <c r="CG2697" s="1">
        <v>42125</v>
      </c>
      <c r="CH2697" s="1">
        <v>51108</v>
      </c>
      <c r="CI2697" t="s">
        <v>51</v>
      </c>
      <c r="CK2697" t="s">
        <v>78</v>
      </c>
      <c r="CM2697" t="s">
        <v>54</v>
      </c>
      <c r="CN2697" t="s">
        <v>174</v>
      </c>
      <c r="CO2697" t="s">
        <v>86</v>
      </c>
      <c r="CP2697">
        <v>830</v>
      </c>
      <c r="CR2697">
        <v>19</v>
      </c>
      <c r="CS2697">
        <v>1800</v>
      </c>
      <c r="CT2697">
        <v>0</v>
      </c>
      <c r="CU2697">
        <v>16</v>
      </c>
    </row>
    <row r="2698" spans="1:99" x14ac:dyDescent="0.2">
      <c r="A2698" t="s">
        <v>1012</v>
      </c>
      <c r="B2698" t="s">
        <v>1013</v>
      </c>
      <c r="C2698" t="s">
        <v>1014</v>
      </c>
      <c r="D2698" t="s">
        <v>1144</v>
      </c>
      <c r="F2698" t="str">
        <f>"253444"</f>
        <v>253444</v>
      </c>
      <c r="G2698" t="s">
        <v>49</v>
      </c>
      <c r="H2698">
        <v>24</v>
      </c>
      <c r="K2698" t="s">
        <v>51</v>
      </c>
      <c r="L2698" t="s">
        <v>52</v>
      </c>
      <c r="M2698">
        <v>131199.64000000001</v>
      </c>
      <c r="N2698">
        <v>475193</v>
      </c>
      <c r="O2698" t="s">
        <v>53</v>
      </c>
      <c r="P2698" t="s">
        <v>54</v>
      </c>
      <c r="Q2698" t="s">
        <v>55</v>
      </c>
      <c r="T2698" t="s">
        <v>170</v>
      </c>
      <c r="U2698">
        <v>40</v>
      </c>
      <c r="V2698" s="1">
        <v>42125</v>
      </c>
      <c r="W2698" s="1">
        <v>42125</v>
      </c>
      <c r="X2698" s="1">
        <v>42125</v>
      </c>
      <c r="Y2698" s="1">
        <v>56735</v>
      </c>
      <c r="Z2698" t="s">
        <v>51</v>
      </c>
      <c r="AB2698" t="s">
        <v>54</v>
      </c>
      <c r="AE2698" t="s">
        <v>342</v>
      </c>
      <c r="AF2698">
        <v>20</v>
      </c>
      <c r="AG2698" s="1">
        <v>42125</v>
      </c>
      <c r="AH2698" s="1">
        <v>42125</v>
      </c>
      <c r="AI2698" s="1">
        <v>42125</v>
      </c>
      <c r="AJ2698" s="1">
        <v>49430</v>
      </c>
      <c r="AK2698" t="s">
        <v>51</v>
      </c>
      <c r="AN2698">
        <v>0</v>
      </c>
      <c r="AO2698" t="s">
        <v>54</v>
      </c>
      <c r="AP2698" t="s">
        <v>53</v>
      </c>
      <c r="AQ2698">
        <v>0</v>
      </c>
      <c r="AR2698" t="s">
        <v>145</v>
      </c>
      <c r="AS2698">
        <v>19</v>
      </c>
      <c r="AT2698">
        <v>1800</v>
      </c>
      <c r="AW2698" t="s">
        <v>172</v>
      </c>
      <c r="AX2698">
        <v>15</v>
      </c>
      <c r="AY2698" s="1">
        <v>42125</v>
      </c>
      <c r="AZ2698" s="1">
        <v>42125</v>
      </c>
      <c r="BA2698" s="1">
        <v>42125</v>
      </c>
      <c r="BB2698" s="1">
        <v>47604</v>
      </c>
      <c r="BC2698" t="s">
        <v>51</v>
      </c>
      <c r="BE2698" t="s">
        <v>54</v>
      </c>
      <c r="BF2698">
        <v>40</v>
      </c>
      <c r="BG2698">
        <v>0</v>
      </c>
      <c r="BH2698" t="s">
        <v>145</v>
      </c>
      <c r="CC2698" t="s">
        <v>173</v>
      </c>
      <c r="CD2698">
        <v>100000</v>
      </c>
      <c r="CE2698" s="1">
        <v>42125</v>
      </c>
      <c r="CF2698" s="1">
        <v>42125</v>
      </c>
      <c r="CG2698" s="1">
        <v>42125</v>
      </c>
      <c r="CH2698" s="1">
        <v>51108</v>
      </c>
      <c r="CI2698" t="s">
        <v>51</v>
      </c>
      <c r="CK2698" t="s">
        <v>78</v>
      </c>
      <c r="CM2698" t="s">
        <v>54</v>
      </c>
      <c r="CN2698" t="s">
        <v>174</v>
      </c>
      <c r="CO2698" t="s">
        <v>86</v>
      </c>
      <c r="CP2698">
        <v>830</v>
      </c>
      <c r="CR2698">
        <v>19</v>
      </c>
      <c r="CS2698">
        <v>1800</v>
      </c>
      <c r="CT2698">
        <v>0</v>
      </c>
      <c r="CU2698">
        <v>16</v>
      </c>
    </row>
    <row r="2699" spans="1:99" x14ac:dyDescent="0.2">
      <c r="A2699" t="s">
        <v>1012</v>
      </c>
      <c r="B2699" t="s">
        <v>1013</v>
      </c>
      <c r="C2699" t="s">
        <v>1014</v>
      </c>
      <c r="D2699" t="s">
        <v>1145</v>
      </c>
      <c r="F2699" t="str">
        <f>"253445"</f>
        <v>253445</v>
      </c>
      <c r="G2699" t="s">
        <v>49</v>
      </c>
      <c r="K2699" t="s">
        <v>51</v>
      </c>
      <c r="L2699" t="s">
        <v>52</v>
      </c>
      <c r="M2699">
        <v>131251.579</v>
      </c>
      <c r="N2699">
        <v>475185.35499999998</v>
      </c>
      <c r="O2699" t="s">
        <v>53</v>
      </c>
      <c r="P2699" t="s">
        <v>54</v>
      </c>
      <c r="Q2699" t="s">
        <v>55</v>
      </c>
      <c r="T2699" t="s">
        <v>170</v>
      </c>
      <c r="U2699">
        <v>40</v>
      </c>
      <c r="V2699" s="1">
        <v>42125</v>
      </c>
      <c r="W2699" s="1">
        <v>42125</v>
      </c>
      <c r="X2699" s="1">
        <v>42125</v>
      </c>
      <c r="Y2699" s="1">
        <v>56735</v>
      </c>
      <c r="Z2699" t="s">
        <v>51</v>
      </c>
      <c r="AB2699" t="s">
        <v>54</v>
      </c>
      <c r="AE2699" t="s">
        <v>342</v>
      </c>
      <c r="AF2699">
        <v>20</v>
      </c>
      <c r="AG2699" s="1">
        <v>42125</v>
      </c>
      <c r="AH2699" s="1">
        <v>42125</v>
      </c>
      <c r="AI2699" s="1">
        <v>42125</v>
      </c>
      <c r="AJ2699" s="1">
        <v>49430</v>
      </c>
      <c r="AK2699" t="s">
        <v>51</v>
      </c>
      <c r="AN2699">
        <v>0</v>
      </c>
      <c r="AO2699" t="s">
        <v>54</v>
      </c>
      <c r="AP2699" t="s">
        <v>53</v>
      </c>
      <c r="AQ2699">
        <v>0</v>
      </c>
      <c r="AR2699" t="s">
        <v>145</v>
      </c>
      <c r="AS2699">
        <v>19</v>
      </c>
      <c r="AT2699">
        <v>1800</v>
      </c>
      <c r="AW2699" t="s">
        <v>172</v>
      </c>
      <c r="AX2699">
        <v>15</v>
      </c>
      <c r="AY2699" s="1">
        <v>42125</v>
      </c>
      <c r="AZ2699" s="1">
        <v>42125</v>
      </c>
      <c r="BA2699" s="1">
        <v>42125</v>
      </c>
      <c r="BB2699" s="1">
        <v>47604</v>
      </c>
      <c r="BC2699" t="s">
        <v>51</v>
      </c>
      <c r="BE2699" t="s">
        <v>54</v>
      </c>
      <c r="BF2699">
        <v>40</v>
      </c>
      <c r="BG2699">
        <v>0</v>
      </c>
      <c r="BH2699" t="s">
        <v>145</v>
      </c>
      <c r="CC2699" t="s">
        <v>173</v>
      </c>
      <c r="CD2699">
        <v>100000</v>
      </c>
      <c r="CE2699" s="1">
        <v>42125</v>
      </c>
      <c r="CF2699" s="1">
        <v>42125</v>
      </c>
      <c r="CG2699" s="1">
        <v>42125</v>
      </c>
      <c r="CH2699" s="1">
        <v>51108</v>
      </c>
      <c r="CI2699" t="s">
        <v>51</v>
      </c>
      <c r="CK2699" t="s">
        <v>78</v>
      </c>
      <c r="CM2699" t="s">
        <v>54</v>
      </c>
      <c r="CN2699" t="s">
        <v>174</v>
      </c>
      <c r="CO2699" t="s">
        <v>86</v>
      </c>
      <c r="CP2699">
        <v>830</v>
      </c>
      <c r="CR2699">
        <v>19</v>
      </c>
      <c r="CS2699">
        <v>1800</v>
      </c>
      <c r="CT2699">
        <v>0</v>
      </c>
      <c r="CU2699">
        <v>16</v>
      </c>
    </row>
    <row r="2700" spans="1:99" x14ac:dyDescent="0.2">
      <c r="A2700" t="s">
        <v>1012</v>
      </c>
      <c r="B2700" t="s">
        <v>1013</v>
      </c>
      <c r="C2700" t="s">
        <v>1014</v>
      </c>
      <c r="D2700" t="s">
        <v>1146</v>
      </c>
      <c r="F2700" t="str">
        <f>"253446"</f>
        <v>253446</v>
      </c>
      <c r="G2700" t="s">
        <v>49</v>
      </c>
      <c r="H2700">
        <v>27</v>
      </c>
      <c r="K2700" t="s">
        <v>51</v>
      </c>
      <c r="L2700" t="s">
        <v>52</v>
      </c>
      <c r="M2700">
        <v>131205.98000000001</v>
      </c>
      <c r="N2700">
        <v>475217.81</v>
      </c>
      <c r="O2700" t="s">
        <v>53</v>
      </c>
      <c r="P2700" t="s">
        <v>54</v>
      </c>
      <c r="Q2700" t="s">
        <v>55</v>
      </c>
      <c r="T2700" t="s">
        <v>170</v>
      </c>
      <c r="U2700">
        <v>40</v>
      </c>
      <c r="V2700" s="1">
        <v>42125</v>
      </c>
      <c r="W2700" s="1">
        <v>42125</v>
      </c>
      <c r="X2700" s="1">
        <v>42125</v>
      </c>
      <c r="Y2700" s="1">
        <v>56735</v>
      </c>
      <c r="Z2700" t="s">
        <v>51</v>
      </c>
      <c r="AB2700" t="s">
        <v>54</v>
      </c>
      <c r="AE2700" t="s">
        <v>342</v>
      </c>
      <c r="AF2700">
        <v>20</v>
      </c>
      <c r="AG2700" s="1">
        <v>42125</v>
      </c>
      <c r="AH2700" s="1">
        <v>42125</v>
      </c>
      <c r="AI2700" s="1">
        <v>42125</v>
      </c>
      <c r="AJ2700" s="1">
        <v>49430</v>
      </c>
      <c r="AK2700" t="s">
        <v>51</v>
      </c>
      <c r="AN2700">
        <v>0</v>
      </c>
      <c r="AO2700" t="s">
        <v>54</v>
      </c>
      <c r="AP2700" t="s">
        <v>53</v>
      </c>
      <c r="AQ2700">
        <v>0</v>
      </c>
      <c r="AR2700" t="s">
        <v>145</v>
      </c>
      <c r="AS2700">
        <v>19</v>
      </c>
      <c r="AT2700">
        <v>1800</v>
      </c>
      <c r="AW2700" t="s">
        <v>172</v>
      </c>
      <c r="AX2700">
        <v>15</v>
      </c>
      <c r="AY2700" s="1">
        <v>42125</v>
      </c>
      <c r="AZ2700" s="1">
        <v>42125</v>
      </c>
      <c r="BA2700" s="1">
        <v>42125</v>
      </c>
      <c r="BB2700" s="1">
        <v>47604</v>
      </c>
      <c r="BC2700" t="s">
        <v>51</v>
      </c>
      <c r="BE2700" t="s">
        <v>54</v>
      </c>
      <c r="BF2700">
        <v>40</v>
      </c>
      <c r="BG2700">
        <v>0</v>
      </c>
      <c r="BH2700" t="s">
        <v>145</v>
      </c>
      <c r="CC2700" t="s">
        <v>173</v>
      </c>
      <c r="CD2700">
        <v>100000</v>
      </c>
      <c r="CE2700" s="1">
        <v>42125</v>
      </c>
      <c r="CF2700" s="1">
        <v>42125</v>
      </c>
      <c r="CG2700" s="1">
        <v>42125</v>
      </c>
      <c r="CH2700" s="1">
        <v>51108</v>
      </c>
      <c r="CI2700" t="s">
        <v>51</v>
      </c>
      <c r="CK2700" t="s">
        <v>78</v>
      </c>
      <c r="CM2700" t="s">
        <v>54</v>
      </c>
      <c r="CN2700" t="s">
        <v>174</v>
      </c>
      <c r="CO2700" t="s">
        <v>86</v>
      </c>
      <c r="CP2700">
        <v>830</v>
      </c>
      <c r="CR2700">
        <v>19</v>
      </c>
      <c r="CS2700">
        <v>1800</v>
      </c>
      <c r="CT2700">
        <v>0</v>
      </c>
      <c r="CU2700">
        <v>16</v>
      </c>
    </row>
    <row r="2701" spans="1:99" x14ac:dyDescent="0.2">
      <c r="A2701" t="s">
        <v>1012</v>
      </c>
      <c r="B2701" t="s">
        <v>1013</v>
      </c>
      <c r="C2701" t="s">
        <v>1014</v>
      </c>
      <c r="D2701" t="s">
        <v>1146</v>
      </c>
      <c r="F2701" t="str">
        <f>"253447"</f>
        <v>253447</v>
      </c>
      <c r="G2701" t="s">
        <v>49</v>
      </c>
      <c r="H2701">
        <v>21</v>
      </c>
      <c r="K2701" t="s">
        <v>51</v>
      </c>
      <c r="L2701" t="s">
        <v>52</v>
      </c>
      <c r="M2701">
        <v>131234.60999999999</v>
      </c>
      <c r="N2701">
        <v>475210.84</v>
      </c>
      <c r="O2701" t="s">
        <v>53</v>
      </c>
      <c r="P2701" t="s">
        <v>54</v>
      </c>
      <c r="Q2701" t="s">
        <v>55</v>
      </c>
      <c r="T2701" t="s">
        <v>170</v>
      </c>
      <c r="U2701">
        <v>40</v>
      </c>
      <c r="V2701" s="1">
        <v>42125</v>
      </c>
      <c r="W2701" s="1">
        <v>42125</v>
      </c>
      <c r="X2701" s="1">
        <v>42125</v>
      </c>
      <c r="Y2701" s="1">
        <v>56735</v>
      </c>
      <c r="Z2701" t="s">
        <v>51</v>
      </c>
      <c r="AB2701" t="s">
        <v>54</v>
      </c>
      <c r="AE2701" t="s">
        <v>342</v>
      </c>
      <c r="AF2701">
        <v>20</v>
      </c>
      <c r="AG2701" s="1">
        <v>42125</v>
      </c>
      <c r="AH2701" s="1">
        <v>42125</v>
      </c>
      <c r="AI2701" s="1">
        <v>42125</v>
      </c>
      <c r="AJ2701" s="1">
        <v>49430</v>
      </c>
      <c r="AK2701" t="s">
        <v>51</v>
      </c>
      <c r="AN2701">
        <v>0</v>
      </c>
      <c r="AO2701" t="s">
        <v>54</v>
      </c>
      <c r="AP2701" t="s">
        <v>53</v>
      </c>
      <c r="AQ2701">
        <v>0</v>
      </c>
      <c r="AR2701" t="s">
        <v>145</v>
      </c>
      <c r="AS2701">
        <v>19</v>
      </c>
      <c r="AT2701">
        <v>1800</v>
      </c>
      <c r="AW2701" t="s">
        <v>172</v>
      </c>
      <c r="AX2701">
        <v>15</v>
      </c>
      <c r="AY2701" s="1">
        <v>42125</v>
      </c>
      <c r="AZ2701" s="1">
        <v>42125</v>
      </c>
      <c r="BA2701" s="1">
        <v>42125</v>
      </c>
      <c r="BB2701" s="1">
        <v>47604</v>
      </c>
      <c r="BC2701" t="s">
        <v>51</v>
      </c>
      <c r="BE2701" t="s">
        <v>54</v>
      </c>
      <c r="BF2701">
        <v>40</v>
      </c>
      <c r="BG2701">
        <v>0</v>
      </c>
      <c r="BH2701" t="s">
        <v>145</v>
      </c>
      <c r="CC2701" t="s">
        <v>173</v>
      </c>
      <c r="CD2701">
        <v>100000</v>
      </c>
      <c r="CE2701" s="1">
        <v>42125</v>
      </c>
      <c r="CF2701" s="1">
        <v>42125</v>
      </c>
      <c r="CG2701" s="1">
        <v>42125</v>
      </c>
      <c r="CH2701" s="1">
        <v>51108</v>
      </c>
      <c r="CI2701" t="s">
        <v>51</v>
      </c>
      <c r="CK2701" t="s">
        <v>78</v>
      </c>
      <c r="CM2701" t="s">
        <v>54</v>
      </c>
      <c r="CN2701" t="s">
        <v>174</v>
      </c>
      <c r="CO2701" t="s">
        <v>86</v>
      </c>
      <c r="CP2701">
        <v>830</v>
      </c>
      <c r="CR2701">
        <v>19</v>
      </c>
      <c r="CS2701">
        <v>1800</v>
      </c>
      <c r="CT2701">
        <v>0</v>
      </c>
      <c r="CU2701">
        <v>16</v>
      </c>
    </row>
    <row r="2702" spans="1:99" x14ac:dyDescent="0.2">
      <c r="A2702" t="s">
        <v>1012</v>
      </c>
      <c r="B2702" t="s">
        <v>1013</v>
      </c>
      <c r="C2702" t="s">
        <v>1014</v>
      </c>
      <c r="D2702" t="s">
        <v>1146</v>
      </c>
      <c r="F2702" t="str">
        <f>"253448"</f>
        <v>253448</v>
      </c>
      <c r="G2702" t="s">
        <v>49</v>
      </c>
      <c r="H2702">
        <v>29</v>
      </c>
      <c r="K2702" t="s">
        <v>51</v>
      </c>
      <c r="L2702" t="s">
        <v>52</v>
      </c>
      <c r="M2702">
        <v>131258.85</v>
      </c>
      <c r="N2702">
        <v>475211.52000000002</v>
      </c>
      <c r="O2702" t="s">
        <v>53</v>
      </c>
      <c r="P2702" t="s">
        <v>54</v>
      </c>
      <c r="Q2702" t="s">
        <v>55</v>
      </c>
      <c r="T2702" t="s">
        <v>170</v>
      </c>
      <c r="U2702">
        <v>40</v>
      </c>
      <c r="V2702" s="1">
        <v>42125</v>
      </c>
      <c r="W2702" s="1">
        <v>42125</v>
      </c>
      <c r="X2702" s="1">
        <v>42125</v>
      </c>
      <c r="Y2702" s="1">
        <v>56735</v>
      </c>
      <c r="Z2702" t="s">
        <v>51</v>
      </c>
      <c r="AB2702" t="s">
        <v>54</v>
      </c>
      <c r="AE2702" t="s">
        <v>342</v>
      </c>
      <c r="AF2702">
        <v>20</v>
      </c>
      <c r="AG2702" s="1">
        <v>42125</v>
      </c>
      <c r="AH2702" s="1">
        <v>42125</v>
      </c>
      <c r="AI2702" s="1">
        <v>42125</v>
      </c>
      <c r="AJ2702" s="1">
        <v>49430</v>
      </c>
      <c r="AK2702" t="s">
        <v>51</v>
      </c>
      <c r="AN2702">
        <v>0</v>
      </c>
      <c r="AO2702" t="s">
        <v>54</v>
      </c>
      <c r="AP2702" t="s">
        <v>53</v>
      </c>
      <c r="AQ2702">
        <v>0</v>
      </c>
      <c r="AR2702" t="s">
        <v>145</v>
      </c>
      <c r="AS2702">
        <v>19</v>
      </c>
      <c r="AT2702">
        <v>1800</v>
      </c>
      <c r="AW2702" t="s">
        <v>172</v>
      </c>
      <c r="AX2702">
        <v>15</v>
      </c>
      <c r="AY2702" s="1">
        <v>42125</v>
      </c>
      <c r="AZ2702" s="1">
        <v>42125</v>
      </c>
      <c r="BA2702" s="1">
        <v>42125</v>
      </c>
      <c r="BB2702" s="1">
        <v>47604</v>
      </c>
      <c r="BC2702" t="s">
        <v>51</v>
      </c>
      <c r="BE2702" t="s">
        <v>54</v>
      </c>
      <c r="BF2702">
        <v>40</v>
      </c>
      <c r="BG2702">
        <v>0</v>
      </c>
      <c r="BH2702" t="s">
        <v>145</v>
      </c>
      <c r="CC2702" t="s">
        <v>173</v>
      </c>
      <c r="CD2702">
        <v>100000</v>
      </c>
      <c r="CE2702" s="1">
        <v>42125</v>
      </c>
      <c r="CF2702" s="1">
        <v>42125</v>
      </c>
      <c r="CG2702" s="1">
        <v>42125</v>
      </c>
      <c r="CH2702" s="1">
        <v>51108</v>
      </c>
      <c r="CI2702" t="s">
        <v>51</v>
      </c>
      <c r="CK2702" t="s">
        <v>78</v>
      </c>
      <c r="CM2702" t="s">
        <v>54</v>
      </c>
      <c r="CN2702" t="s">
        <v>174</v>
      </c>
      <c r="CO2702" t="s">
        <v>86</v>
      </c>
      <c r="CP2702">
        <v>830</v>
      </c>
      <c r="CR2702">
        <v>19</v>
      </c>
      <c r="CS2702">
        <v>1800</v>
      </c>
      <c r="CT2702">
        <v>0</v>
      </c>
      <c r="CU2702">
        <v>16</v>
      </c>
    </row>
    <row r="2703" spans="1:99" x14ac:dyDescent="0.2">
      <c r="A2703" t="s">
        <v>1012</v>
      </c>
      <c r="B2703" t="s">
        <v>1013</v>
      </c>
      <c r="C2703" t="s">
        <v>1014</v>
      </c>
      <c r="D2703" t="s">
        <v>1146</v>
      </c>
      <c r="F2703" t="str">
        <f>"253449"</f>
        <v>253449</v>
      </c>
      <c r="G2703" t="s">
        <v>49</v>
      </c>
      <c r="H2703">
        <v>15</v>
      </c>
      <c r="K2703" t="s">
        <v>51</v>
      </c>
      <c r="L2703" t="s">
        <v>52</v>
      </c>
      <c r="M2703">
        <v>131282.90400000001</v>
      </c>
      <c r="N2703">
        <v>475211.66</v>
      </c>
      <c r="O2703" t="s">
        <v>53</v>
      </c>
      <c r="P2703" t="s">
        <v>54</v>
      </c>
      <c r="Q2703" t="s">
        <v>55</v>
      </c>
      <c r="T2703" t="s">
        <v>170</v>
      </c>
      <c r="U2703">
        <v>40</v>
      </c>
      <c r="V2703" s="1">
        <v>42125</v>
      </c>
      <c r="W2703" s="1">
        <v>42125</v>
      </c>
      <c r="X2703" s="1">
        <v>42125</v>
      </c>
      <c r="Y2703" s="1">
        <v>56735</v>
      </c>
      <c r="Z2703" t="s">
        <v>51</v>
      </c>
      <c r="AB2703" t="s">
        <v>54</v>
      </c>
      <c r="AE2703" t="s">
        <v>342</v>
      </c>
      <c r="AF2703">
        <v>20</v>
      </c>
      <c r="AG2703" s="1">
        <v>42125</v>
      </c>
      <c r="AH2703" s="1">
        <v>42125</v>
      </c>
      <c r="AI2703" s="1">
        <v>42125</v>
      </c>
      <c r="AJ2703" s="1">
        <v>49430</v>
      </c>
      <c r="AK2703" t="s">
        <v>51</v>
      </c>
      <c r="AN2703">
        <v>0</v>
      </c>
      <c r="AO2703" t="s">
        <v>54</v>
      </c>
      <c r="AP2703" t="s">
        <v>53</v>
      </c>
      <c r="AQ2703">
        <v>0</v>
      </c>
      <c r="AR2703" t="s">
        <v>145</v>
      </c>
      <c r="AS2703">
        <v>19</v>
      </c>
      <c r="AT2703">
        <v>1800</v>
      </c>
      <c r="AW2703" t="s">
        <v>172</v>
      </c>
      <c r="AX2703">
        <v>15</v>
      </c>
      <c r="AY2703" s="1">
        <v>44165</v>
      </c>
      <c r="AZ2703" s="1">
        <v>44165</v>
      </c>
      <c r="BA2703" s="1">
        <v>44165</v>
      </c>
      <c r="BB2703" s="1">
        <v>49643</v>
      </c>
      <c r="BC2703" t="s">
        <v>51</v>
      </c>
      <c r="BE2703" t="s">
        <v>54</v>
      </c>
      <c r="BF2703">
        <v>40</v>
      </c>
      <c r="BG2703">
        <v>0</v>
      </c>
      <c r="BH2703" t="s">
        <v>145</v>
      </c>
      <c r="CC2703" t="s">
        <v>173</v>
      </c>
      <c r="CD2703">
        <v>100000</v>
      </c>
      <c r="CE2703" s="1">
        <v>42125</v>
      </c>
      <c r="CF2703" s="1">
        <v>42125</v>
      </c>
      <c r="CG2703" s="1">
        <v>44165</v>
      </c>
      <c r="CH2703" s="1">
        <v>51108</v>
      </c>
      <c r="CI2703" t="s">
        <v>51</v>
      </c>
      <c r="CK2703" t="s">
        <v>78</v>
      </c>
      <c r="CM2703" t="s">
        <v>54</v>
      </c>
      <c r="CN2703" t="s">
        <v>174</v>
      </c>
      <c r="CO2703" t="s">
        <v>86</v>
      </c>
      <c r="CP2703">
        <v>830</v>
      </c>
      <c r="CR2703">
        <v>19</v>
      </c>
      <c r="CS2703">
        <v>1800</v>
      </c>
      <c r="CT2703">
        <v>0</v>
      </c>
      <c r="CU2703">
        <v>16</v>
      </c>
    </row>
    <row r="2704" spans="1:99" x14ac:dyDescent="0.2">
      <c r="A2704" t="s">
        <v>1012</v>
      </c>
      <c r="B2704" t="s">
        <v>1013</v>
      </c>
      <c r="C2704" t="s">
        <v>1014</v>
      </c>
      <c r="D2704" t="s">
        <v>1146</v>
      </c>
      <c r="F2704" t="str">
        <f>"253450"</f>
        <v>253450</v>
      </c>
      <c r="G2704" t="s">
        <v>49</v>
      </c>
      <c r="H2704">
        <v>22</v>
      </c>
      <c r="K2704" t="s">
        <v>51</v>
      </c>
      <c r="L2704" t="s">
        <v>52</v>
      </c>
      <c r="M2704">
        <v>131306.12</v>
      </c>
      <c r="N2704">
        <v>475219.24</v>
      </c>
      <c r="O2704" t="s">
        <v>53</v>
      </c>
      <c r="P2704" t="s">
        <v>54</v>
      </c>
      <c r="Q2704" t="s">
        <v>55</v>
      </c>
      <c r="T2704" t="s">
        <v>170</v>
      </c>
      <c r="U2704">
        <v>40</v>
      </c>
      <c r="V2704" s="1">
        <v>42125</v>
      </c>
      <c r="W2704" s="1">
        <v>42125</v>
      </c>
      <c r="X2704" s="1">
        <v>42125</v>
      </c>
      <c r="Y2704" s="1">
        <v>56735</v>
      </c>
      <c r="Z2704" t="s">
        <v>51</v>
      </c>
      <c r="AB2704" t="s">
        <v>54</v>
      </c>
      <c r="AE2704" t="s">
        <v>342</v>
      </c>
      <c r="AF2704">
        <v>20</v>
      </c>
      <c r="AG2704" s="1">
        <v>42125</v>
      </c>
      <c r="AH2704" s="1">
        <v>42125</v>
      </c>
      <c r="AI2704" s="1">
        <v>42125</v>
      </c>
      <c r="AJ2704" s="1">
        <v>49430</v>
      </c>
      <c r="AK2704" t="s">
        <v>51</v>
      </c>
      <c r="AN2704">
        <v>0</v>
      </c>
      <c r="AO2704" t="s">
        <v>54</v>
      </c>
      <c r="AP2704" t="s">
        <v>53</v>
      </c>
      <c r="AQ2704">
        <v>0</v>
      </c>
      <c r="AR2704" t="s">
        <v>145</v>
      </c>
      <c r="AS2704">
        <v>19</v>
      </c>
      <c r="AT2704">
        <v>1800</v>
      </c>
      <c r="AW2704" t="s">
        <v>172</v>
      </c>
      <c r="AX2704">
        <v>15</v>
      </c>
      <c r="AY2704" s="1">
        <v>42125</v>
      </c>
      <c r="AZ2704" s="1">
        <v>42125</v>
      </c>
      <c r="BA2704" s="1">
        <v>42125</v>
      </c>
      <c r="BB2704" s="1">
        <v>47604</v>
      </c>
      <c r="BC2704" t="s">
        <v>51</v>
      </c>
      <c r="BE2704" t="s">
        <v>54</v>
      </c>
      <c r="BF2704">
        <v>40</v>
      </c>
      <c r="BG2704">
        <v>0</v>
      </c>
      <c r="BH2704" t="s">
        <v>145</v>
      </c>
      <c r="CC2704" t="s">
        <v>173</v>
      </c>
      <c r="CD2704">
        <v>100000</v>
      </c>
      <c r="CE2704" s="1">
        <v>42125</v>
      </c>
      <c r="CF2704" s="1">
        <v>42125</v>
      </c>
      <c r="CG2704" s="1">
        <v>42125</v>
      </c>
      <c r="CH2704" s="1">
        <v>51108</v>
      </c>
      <c r="CI2704" t="s">
        <v>51</v>
      </c>
      <c r="CK2704" t="s">
        <v>78</v>
      </c>
      <c r="CM2704" t="s">
        <v>54</v>
      </c>
      <c r="CN2704" t="s">
        <v>174</v>
      </c>
      <c r="CO2704" t="s">
        <v>86</v>
      </c>
      <c r="CP2704">
        <v>830</v>
      </c>
      <c r="CR2704">
        <v>19</v>
      </c>
      <c r="CS2704">
        <v>1800</v>
      </c>
      <c r="CT2704">
        <v>0</v>
      </c>
      <c r="CU2704">
        <v>16</v>
      </c>
    </row>
    <row r="2705" spans="1:99" x14ac:dyDescent="0.2">
      <c r="A2705" t="s">
        <v>1012</v>
      </c>
      <c r="B2705" t="s">
        <v>1013</v>
      </c>
      <c r="C2705" t="s">
        <v>1014</v>
      </c>
      <c r="D2705" t="s">
        <v>1146</v>
      </c>
      <c r="F2705" t="str">
        <f>"253451"</f>
        <v>253451</v>
      </c>
      <c r="G2705" t="s">
        <v>49</v>
      </c>
      <c r="H2705">
        <v>1</v>
      </c>
      <c r="K2705" t="s">
        <v>51</v>
      </c>
      <c r="L2705" t="s">
        <v>52</v>
      </c>
      <c r="M2705">
        <v>131328.29</v>
      </c>
      <c r="N2705">
        <v>475212.05</v>
      </c>
      <c r="O2705" t="s">
        <v>53</v>
      </c>
      <c r="P2705" t="s">
        <v>54</v>
      </c>
      <c r="Q2705" t="s">
        <v>55</v>
      </c>
      <c r="T2705" t="s">
        <v>170</v>
      </c>
      <c r="U2705">
        <v>40</v>
      </c>
      <c r="V2705" s="1">
        <v>42125</v>
      </c>
      <c r="W2705" s="1">
        <v>42125</v>
      </c>
      <c r="X2705" s="1">
        <v>42125</v>
      </c>
      <c r="Y2705" s="1">
        <v>56735</v>
      </c>
      <c r="Z2705" t="s">
        <v>51</v>
      </c>
      <c r="AB2705" t="s">
        <v>54</v>
      </c>
      <c r="AE2705" t="s">
        <v>342</v>
      </c>
      <c r="AF2705">
        <v>20</v>
      </c>
      <c r="AG2705" s="1">
        <v>42125</v>
      </c>
      <c r="AH2705" s="1">
        <v>42125</v>
      </c>
      <c r="AI2705" s="1">
        <v>42125</v>
      </c>
      <c r="AJ2705" s="1">
        <v>49430</v>
      </c>
      <c r="AK2705" t="s">
        <v>51</v>
      </c>
      <c r="AN2705">
        <v>0</v>
      </c>
      <c r="AO2705" t="s">
        <v>54</v>
      </c>
      <c r="AP2705" t="s">
        <v>53</v>
      </c>
      <c r="AQ2705">
        <v>0</v>
      </c>
      <c r="AR2705" t="s">
        <v>145</v>
      </c>
      <c r="AS2705">
        <v>19</v>
      </c>
      <c r="AT2705">
        <v>1800</v>
      </c>
      <c r="AW2705" t="s">
        <v>172</v>
      </c>
      <c r="AX2705">
        <v>15</v>
      </c>
      <c r="AY2705" s="1">
        <v>42125</v>
      </c>
      <c r="AZ2705" s="1">
        <v>42125</v>
      </c>
      <c r="BA2705" s="1">
        <v>42125</v>
      </c>
      <c r="BB2705" s="1">
        <v>47604</v>
      </c>
      <c r="BC2705" t="s">
        <v>51</v>
      </c>
      <c r="BE2705" t="s">
        <v>54</v>
      </c>
      <c r="BF2705">
        <v>40</v>
      </c>
      <c r="BG2705">
        <v>0</v>
      </c>
      <c r="BH2705" t="s">
        <v>145</v>
      </c>
      <c r="CC2705" t="s">
        <v>173</v>
      </c>
      <c r="CD2705">
        <v>100000</v>
      </c>
      <c r="CE2705" s="1">
        <v>42125</v>
      </c>
      <c r="CF2705" s="1">
        <v>42125</v>
      </c>
      <c r="CG2705" s="1">
        <v>42125</v>
      </c>
      <c r="CH2705" s="1">
        <v>51108</v>
      </c>
      <c r="CI2705" t="s">
        <v>51</v>
      </c>
      <c r="CK2705" t="s">
        <v>78</v>
      </c>
      <c r="CM2705" t="s">
        <v>54</v>
      </c>
      <c r="CN2705" t="s">
        <v>174</v>
      </c>
      <c r="CO2705" t="s">
        <v>86</v>
      </c>
      <c r="CP2705">
        <v>830</v>
      </c>
      <c r="CR2705">
        <v>19</v>
      </c>
      <c r="CS2705">
        <v>1800</v>
      </c>
      <c r="CT2705">
        <v>0</v>
      </c>
      <c r="CU2705">
        <v>16</v>
      </c>
    </row>
    <row r="2706" spans="1:99" x14ac:dyDescent="0.2">
      <c r="A2706" t="s">
        <v>1012</v>
      </c>
      <c r="B2706" t="s">
        <v>1013</v>
      </c>
      <c r="C2706" t="s">
        <v>1014</v>
      </c>
      <c r="D2706" t="s">
        <v>1146</v>
      </c>
      <c r="F2706" t="str">
        <f>"253452"</f>
        <v>253452</v>
      </c>
      <c r="G2706" t="s">
        <v>49</v>
      </c>
      <c r="H2706">
        <v>10</v>
      </c>
      <c r="K2706" t="s">
        <v>51</v>
      </c>
      <c r="L2706" t="s">
        <v>52</v>
      </c>
      <c r="M2706">
        <v>131349.03599999999</v>
      </c>
      <c r="N2706">
        <v>475219.52</v>
      </c>
      <c r="O2706" t="s">
        <v>53</v>
      </c>
      <c r="P2706" t="s">
        <v>54</v>
      </c>
      <c r="Q2706" t="s">
        <v>55</v>
      </c>
      <c r="T2706" t="s">
        <v>170</v>
      </c>
      <c r="U2706">
        <v>40</v>
      </c>
      <c r="V2706" s="1">
        <v>42125</v>
      </c>
      <c r="W2706" s="1">
        <v>42125</v>
      </c>
      <c r="X2706" s="1">
        <v>42125</v>
      </c>
      <c r="Y2706" s="1">
        <v>56735</v>
      </c>
      <c r="Z2706" t="s">
        <v>51</v>
      </c>
      <c r="AB2706" t="s">
        <v>54</v>
      </c>
      <c r="AE2706" t="s">
        <v>342</v>
      </c>
      <c r="AF2706">
        <v>20</v>
      </c>
      <c r="AG2706" s="1">
        <v>42125</v>
      </c>
      <c r="AH2706" s="1">
        <v>42125</v>
      </c>
      <c r="AI2706" s="1">
        <v>42125</v>
      </c>
      <c r="AJ2706" s="1">
        <v>49430</v>
      </c>
      <c r="AK2706" t="s">
        <v>51</v>
      </c>
      <c r="AN2706">
        <v>0</v>
      </c>
      <c r="AO2706" t="s">
        <v>54</v>
      </c>
      <c r="AP2706" t="s">
        <v>53</v>
      </c>
      <c r="AQ2706">
        <v>0</v>
      </c>
      <c r="AR2706" t="s">
        <v>145</v>
      </c>
      <c r="AS2706">
        <v>19</v>
      </c>
      <c r="AT2706">
        <v>1800</v>
      </c>
      <c r="AW2706" t="s">
        <v>172</v>
      </c>
      <c r="AX2706">
        <v>15</v>
      </c>
      <c r="AY2706" s="1">
        <v>42125</v>
      </c>
      <c r="AZ2706" s="1">
        <v>42125</v>
      </c>
      <c r="BA2706" s="1">
        <v>42125</v>
      </c>
      <c r="BB2706" s="1">
        <v>47604</v>
      </c>
      <c r="BC2706" t="s">
        <v>51</v>
      </c>
      <c r="BE2706" t="s">
        <v>54</v>
      </c>
      <c r="BF2706">
        <v>40</v>
      </c>
      <c r="BG2706">
        <v>0</v>
      </c>
      <c r="BH2706" t="s">
        <v>145</v>
      </c>
      <c r="CC2706" t="s">
        <v>173</v>
      </c>
      <c r="CD2706">
        <v>100000</v>
      </c>
      <c r="CE2706" s="1">
        <v>42125</v>
      </c>
      <c r="CF2706" s="1">
        <v>42125</v>
      </c>
      <c r="CG2706" s="1">
        <v>42125</v>
      </c>
      <c r="CH2706" s="1">
        <v>51108</v>
      </c>
      <c r="CI2706" t="s">
        <v>51</v>
      </c>
      <c r="CK2706" t="s">
        <v>78</v>
      </c>
      <c r="CM2706" t="s">
        <v>54</v>
      </c>
      <c r="CN2706" t="s">
        <v>174</v>
      </c>
      <c r="CO2706" t="s">
        <v>86</v>
      </c>
      <c r="CP2706">
        <v>830</v>
      </c>
      <c r="CR2706">
        <v>19</v>
      </c>
      <c r="CS2706">
        <v>1800</v>
      </c>
      <c r="CT2706">
        <v>0</v>
      </c>
      <c r="CU2706">
        <v>16</v>
      </c>
    </row>
    <row r="2707" spans="1:99" x14ac:dyDescent="0.2">
      <c r="A2707" t="s">
        <v>1012</v>
      </c>
      <c r="B2707" t="s">
        <v>1013</v>
      </c>
      <c r="C2707" t="s">
        <v>1014</v>
      </c>
      <c r="D2707" t="s">
        <v>1146</v>
      </c>
      <c r="F2707" t="str">
        <f>"253453"</f>
        <v>253453</v>
      </c>
      <c r="G2707" t="s">
        <v>49</v>
      </c>
      <c r="H2707">
        <v>2</v>
      </c>
      <c r="K2707" t="s">
        <v>51</v>
      </c>
      <c r="L2707" t="s">
        <v>52</v>
      </c>
      <c r="M2707">
        <v>131377.93</v>
      </c>
      <c r="N2707">
        <v>475219.81</v>
      </c>
      <c r="O2707" t="s">
        <v>53</v>
      </c>
      <c r="P2707" t="s">
        <v>54</v>
      </c>
      <c r="Q2707" t="s">
        <v>55</v>
      </c>
      <c r="T2707" t="s">
        <v>170</v>
      </c>
      <c r="U2707">
        <v>40</v>
      </c>
      <c r="V2707" s="1">
        <v>42125</v>
      </c>
      <c r="W2707" s="1">
        <v>42125</v>
      </c>
      <c r="X2707" s="1">
        <v>42125</v>
      </c>
      <c r="Y2707" s="1">
        <v>56735</v>
      </c>
      <c r="Z2707" t="s">
        <v>51</v>
      </c>
      <c r="AB2707" t="s">
        <v>54</v>
      </c>
      <c r="AE2707" t="s">
        <v>342</v>
      </c>
      <c r="AF2707">
        <v>20</v>
      </c>
      <c r="AG2707" s="1">
        <v>42125</v>
      </c>
      <c r="AH2707" s="1">
        <v>42125</v>
      </c>
      <c r="AI2707" s="1">
        <v>42125</v>
      </c>
      <c r="AJ2707" s="1">
        <v>49430</v>
      </c>
      <c r="AK2707" t="s">
        <v>51</v>
      </c>
      <c r="AN2707">
        <v>0</v>
      </c>
      <c r="AO2707" t="s">
        <v>54</v>
      </c>
      <c r="AP2707" t="s">
        <v>53</v>
      </c>
      <c r="AQ2707">
        <v>0</v>
      </c>
      <c r="AR2707" t="s">
        <v>145</v>
      </c>
      <c r="AS2707">
        <v>19</v>
      </c>
      <c r="AT2707">
        <v>1800</v>
      </c>
      <c r="AW2707" t="s">
        <v>172</v>
      </c>
      <c r="AX2707">
        <v>15</v>
      </c>
      <c r="AY2707" s="1">
        <v>42125</v>
      </c>
      <c r="AZ2707" s="1">
        <v>42125</v>
      </c>
      <c r="BA2707" s="1">
        <v>42125</v>
      </c>
      <c r="BB2707" s="1">
        <v>47604</v>
      </c>
      <c r="BC2707" t="s">
        <v>51</v>
      </c>
      <c r="BE2707" t="s">
        <v>54</v>
      </c>
      <c r="BF2707">
        <v>40</v>
      </c>
      <c r="BG2707">
        <v>0</v>
      </c>
      <c r="BH2707" t="s">
        <v>145</v>
      </c>
      <c r="CC2707" t="s">
        <v>173</v>
      </c>
      <c r="CD2707">
        <v>100000</v>
      </c>
      <c r="CE2707" s="1">
        <v>42125</v>
      </c>
      <c r="CF2707" s="1">
        <v>42125</v>
      </c>
      <c r="CG2707" s="1">
        <v>42125</v>
      </c>
      <c r="CH2707" s="1">
        <v>51108</v>
      </c>
      <c r="CI2707" t="s">
        <v>51</v>
      </c>
      <c r="CK2707" t="s">
        <v>78</v>
      </c>
      <c r="CM2707" t="s">
        <v>54</v>
      </c>
      <c r="CN2707" t="s">
        <v>174</v>
      </c>
      <c r="CO2707" t="s">
        <v>86</v>
      </c>
      <c r="CP2707">
        <v>830</v>
      </c>
      <c r="CR2707">
        <v>19</v>
      </c>
      <c r="CS2707">
        <v>1800</v>
      </c>
      <c r="CT2707">
        <v>0</v>
      </c>
      <c r="CU2707">
        <v>16</v>
      </c>
    </row>
    <row r="2708" spans="1:99" x14ac:dyDescent="0.2">
      <c r="A2708" t="s">
        <v>1012</v>
      </c>
      <c r="B2708" t="s">
        <v>1013</v>
      </c>
      <c r="C2708" t="s">
        <v>1014</v>
      </c>
      <c r="D2708" t="s">
        <v>1147</v>
      </c>
      <c r="F2708" t="str">
        <f>"253454"</f>
        <v>253454</v>
      </c>
      <c r="G2708" t="s">
        <v>49</v>
      </c>
      <c r="K2708" t="s">
        <v>51</v>
      </c>
      <c r="L2708" t="s">
        <v>52</v>
      </c>
      <c r="M2708">
        <v>131397.1</v>
      </c>
      <c r="N2708">
        <v>475219.71</v>
      </c>
      <c r="O2708" t="s">
        <v>53</v>
      </c>
      <c r="P2708" t="s">
        <v>54</v>
      </c>
      <c r="Q2708" t="s">
        <v>55</v>
      </c>
      <c r="T2708" t="s">
        <v>170</v>
      </c>
      <c r="U2708">
        <v>40</v>
      </c>
      <c r="V2708" s="1">
        <v>42125</v>
      </c>
      <c r="W2708" s="1">
        <v>42125</v>
      </c>
      <c r="X2708" s="1">
        <v>42125</v>
      </c>
      <c r="Y2708" s="1">
        <v>56735</v>
      </c>
      <c r="Z2708" t="s">
        <v>51</v>
      </c>
      <c r="AB2708" t="s">
        <v>54</v>
      </c>
      <c r="AE2708" t="s">
        <v>342</v>
      </c>
      <c r="AF2708">
        <v>20</v>
      </c>
      <c r="AG2708" s="1">
        <v>42125</v>
      </c>
      <c r="AH2708" s="1">
        <v>42125</v>
      </c>
      <c r="AI2708" s="1">
        <v>42125</v>
      </c>
      <c r="AJ2708" s="1">
        <v>49430</v>
      </c>
      <c r="AK2708" t="s">
        <v>51</v>
      </c>
      <c r="AN2708">
        <v>0</v>
      </c>
      <c r="AO2708" t="s">
        <v>54</v>
      </c>
      <c r="AP2708" t="s">
        <v>53</v>
      </c>
      <c r="AQ2708">
        <v>0</v>
      </c>
      <c r="AR2708" t="s">
        <v>145</v>
      </c>
      <c r="AS2708">
        <v>19</v>
      </c>
      <c r="AT2708">
        <v>1800</v>
      </c>
      <c r="AW2708" t="s">
        <v>172</v>
      </c>
      <c r="AX2708">
        <v>15</v>
      </c>
      <c r="AY2708" s="1">
        <v>42125</v>
      </c>
      <c r="AZ2708" s="1">
        <v>42125</v>
      </c>
      <c r="BA2708" s="1">
        <v>42125</v>
      </c>
      <c r="BB2708" s="1">
        <v>47604</v>
      </c>
      <c r="BC2708" t="s">
        <v>51</v>
      </c>
      <c r="BE2708" t="s">
        <v>54</v>
      </c>
      <c r="BF2708">
        <v>40</v>
      </c>
      <c r="BG2708">
        <v>0</v>
      </c>
      <c r="BH2708" t="s">
        <v>145</v>
      </c>
      <c r="CC2708" t="s">
        <v>173</v>
      </c>
      <c r="CD2708">
        <v>100000</v>
      </c>
      <c r="CE2708" s="1">
        <v>42125</v>
      </c>
      <c r="CF2708" s="1">
        <v>42125</v>
      </c>
      <c r="CG2708" s="1">
        <v>42125</v>
      </c>
      <c r="CH2708" s="1">
        <v>51108</v>
      </c>
      <c r="CI2708" t="s">
        <v>51</v>
      </c>
      <c r="CK2708" t="s">
        <v>78</v>
      </c>
      <c r="CM2708" t="s">
        <v>54</v>
      </c>
      <c r="CN2708" t="s">
        <v>174</v>
      </c>
      <c r="CO2708" t="s">
        <v>86</v>
      </c>
      <c r="CP2708">
        <v>830</v>
      </c>
      <c r="CR2708">
        <v>19</v>
      </c>
      <c r="CS2708">
        <v>1800</v>
      </c>
      <c r="CT2708">
        <v>0</v>
      </c>
      <c r="CU2708">
        <v>16</v>
      </c>
    </row>
    <row r="2709" spans="1:99" x14ac:dyDescent="0.2">
      <c r="A2709" t="s">
        <v>1012</v>
      </c>
      <c r="B2709" t="s">
        <v>1013</v>
      </c>
      <c r="C2709" t="s">
        <v>1014</v>
      </c>
      <c r="D2709" t="s">
        <v>1146</v>
      </c>
      <c r="F2709" t="str">
        <f>"253455"</f>
        <v>253455</v>
      </c>
      <c r="G2709" t="s">
        <v>49</v>
      </c>
      <c r="K2709" t="s">
        <v>51</v>
      </c>
      <c r="L2709" t="s">
        <v>52</v>
      </c>
      <c r="M2709">
        <v>131432.18</v>
      </c>
      <c r="N2709">
        <v>475212.7</v>
      </c>
      <c r="O2709" t="s">
        <v>53</v>
      </c>
      <c r="P2709" t="s">
        <v>54</v>
      </c>
      <c r="Q2709" t="s">
        <v>55</v>
      </c>
      <c r="T2709" t="s">
        <v>170</v>
      </c>
      <c r="U2709">
        <v>40</v>
      </c>
      <c r="V2709" s="1">
        <v>42125</v>
      </c>
      <c r="W2709" s="1">
        <v>42125</v>
      </c>
      <c r="X2709" s="1">
        <v>42125</v>
      </c>
      <c r="Y2709" s="1">
        <v>56735</v>
      </c>
      <c r="Z2709" t="s">
        <v>51</v>
      </c>
      <c r="AB2709" t="s">
        <v>54</v>
      </c>
      <c r="AE2709" t="s">
        <v>342</v>
      </c>
      <c r="AF2709">
        <v>20</v>
      </c>
      <c r="AG2709" s="1">
        <v>42125</v>
      </c>
      <c r="AH2709" s="1">
        <v>42125</v>
      </c>
      <c r="AI2709" s="1">
        <v>42125</v>
      </c>
      <c r="AJ2709" s="1">
        <v>49430</v>
      </c>
      <c r="AK2709" t="s">
        <v>51</v>
      </c>
      <c r="AN2709">
        <v>0</v>
      </c>
      <c r="AO2709" t="s">
        <v>54</v>
      </c>
      <c r="AP2709" t="s">
        <v>53</v>
      </c>
      <c r="AQ2709">
        <v>0</v>
      </c>
      <c r="AR2709" t="s">
        <v>145</v>
      </c>
      <c r="AS2709">
        <v>19</v>
      </c>
      <c r="AT2709">
        <v>1800</v>
      </c>
      <c r="AW2709" t="s">
        <v>172</v>
      </c>
      <c r="AX2709">
        <v>15</v>
      </c>
      <c r="AY2709" s="1">
        <v>42125</v>
      </c>
      <c r="AZ2709" s="1">
        <v>42125</v>
      </c>
      <c r="BA2709" s="1">
        <v>42125</v>
      </c>
      <c r="BB2709" s="1">
        <v>47604</v>
      </c>
      <c r="BC2709" t="s">
        <v>51</v>
      </c>
      <c r="BE2709" t="s">
        <v>54</v>
      </c>
      <c r="BF2709">
        <v>40</v>
      </c>
      <c r="BG2709">
        <v>0</v>
      </c>
      <c r="BH2709" t="s">
        <v>145</v>
      </c>
      <c r="CC2709" t="s">
        <v>173</v>
      </c>
      <c r="CD2709">
        <v>100000</v>
      </c>
      <c r="CE2709" s="1">
        <v>42125</v>
      </c>
      <c r="CF2709" s="1">
        <v>42125</v>
      </c>
      <c r="CG2709" s="1">
        <v>42125</v>
      </c>
      <c r="CH2709" s="1">
        <v>51108</v>
      </c>
      <c r="CI2709" t="s">
        <v>51</v>
      </c>
      <c r="CK2709" t="s">
        <v>78</v>
      </c>
      <c r="CM2709" t="s">
        <v>54</v>
      </c>
      <c r="CN2709" t="s">
        <v>174</v>
      </c>
      <c r="CO2709" t="s">
        <v>86</v>
      </c>
      <c r="CP2709">
        <v>830</v>
      </c>
      <c r="CR2709">
        <v>19</v>
      </c>
      <c r="CS2709">
        <v>1800</v>
      </c>
      <c r="CT2709">
        <v>0</v>
      </c>
      <c r="CU2709">
        <v>16</v>
      </c>
    </row>
    <row r="2710" spans="1:99" x14ac:dyDescent="0.2">
      <c r="A2710" t="s">
        <v>1012</v>
      </c>
      <c r="B2710" t="s">
        <v>1013</v>
      </c>
      <c r="C2710" t="s">
        <v>1014</v>
      </c>
      <c r="D2710" t="s">
        <v>1148</v>
      </c>
      <c r="F2710" t="str">
        <f>"253456"</f>
        <v>253456</v>
      </c>
      <c r="G2710" t="s">
        <v>49</v>
      </c>
      <c r="K2710" t="s">
        <v>51</v>
      </c>
      <c r="L2710" t="s">
        <v>52</v>
      </c>
      <c r="M2710">
        <v>131443.15100000001</v>
      </c>
      <c r="N2710">
        <v>475207.41399999999</v>
      </c>
      <c r="O2710" t="s">
        <v>53</v>
      </c>
      <c r="P2710" t="s">
        <v>54</v>
      </c>
      <c r="Q2710" t="s">
        <v>55</v>
      </c>
      <c r="T2710" t="s">
        <v>246</v>
      </c>
      <c r="U2710">
        <v>40</v>
      </c>
      <c r="V2710" s="1">
        <v>42125</v>
      </c>
      <c r="W2710" s="1">
        <v>42125</v>
      </c>
      <c r="X2710" s="1">
        <v>42125</v>
      </c>
      <c r="Y2710" s="1">
        <v>56735</v>
      </c>
      <c r="Z2710" t="s">
        <v>51</v>
      </c>
      <c r="AB2710" t="s">
        <v>54</v>
      </c>
      <c r="AE2710" t="s">
        <v>1065</v>
      </c>
      <c r="AF2710">
        <v>20</v>
      </c>
      <c r="AG2710" s="1">
        <v>42125</v>
      </c>
      <c r="AH2710" s="1">
        <v>42125</v>
      </c>
      <c r="AI2710" s="1">
        <v>42125</v>
      </c>
      <c r="AJ2710" s="1">
        <v>49430</v>
      </c>
      <c r="AK2710" t="s">
        <v>51</v>
      </c>
      <c r="AN2710">
        <v>0</v>
      </c>
      <c r="AO2710" t="s">
        <v>54</v>
      </c>
      <c r="AP2710" t="s">
        <v>53</v>
      </c>
      <c r="AQ2710">
        <v>0</v>
      </c>
      <c r="AR2710" t="s">
        <v>53</v>
      </c>
      <c r="AS2710">
        <v>0</v>
      </c>
      <c r="AT2710">
        <v>0</v>
      </c>
      <c r="AW2710" t="s">
        <v>172</v>
      </c>
      <c r="AX2710">
        <v>15</v>
      </c>
      <c r="AY2710" s="1">
        <v>42125</v>
      </c>
      <c r="AZ2710" s="1">
        <v>42125</v>
      </c>
      <c r="BA2710" s="1">
        <v>42125</v>
      </c>
      <c r="BB2710" s="1">
        <v>47604</v>
      </c>
      <c r="BC2710" t="s">
        <v>51</v>
      </c>
      <c r="BE2710" t="s">
        <v>54</v>
      </c>
      <c r="BF2710">
        <v>40</v>
      </c>
      <c r="BG2710">
        <v>0</v>
      </c>
      <c r="BH2710" t="s">
        <v>145</v>
      </c>
      <c r="CC2710" t="s">
        <v>1066</v>
      </c>
      <c r="CD2710">
        <v>100000</v>
      </c>
      <c r="CE2710" s="1">
        <v>42125</v>
      </c>
      <c r="CF2710" s="1">
        <v>42125</v>
      </c>
      <c r="CG2710" s="1">
        <v>42125</v>
      </c>
      <c r="CH2710" s="1">
        <v>51108</v>
      </c>
      <c r="CI2710" t="s">
        <v>51</v>
      </c>
      <c r="CK2710" t="s">
        <v>78</v>
      </c>
      <c r="CM2710" t="s">
        <v>54</v>
      </c>
      <c r="CN2710" t="s">
        <v>174</v>
      </c>
      <c r="CR2710">
        <v>11</v>
      </c>
      <c r="CS2710">
        <v>1600</v>
      </c>
      <c r="CT2710">
        <v>0</v>
      </c>
      <c r="CU2710">
        <v>16</v>
      </c>
    </row>
    <row r="2711" spans="1:99" x14ac:dyDescent="0.2">
      <c r="A2711" t="s">
        <v>1012</v>
      </c>
      <c r="B2711" t="s">
        <v>1013</v>
      </c>
      <c r="C2711" t="s">
        <v>1014</v>
      </c>
      <c r="D2711" t="s">
        <v>1148</v>
      </c>
      <c r="F2711" t="str">
        <f>"253457"</f>
        <v>253457</v>
      </c>
      <c r="G2711" t="s">
        <v>49</v>
      </c>
      <c r="K2711" t="s">
        <v>51</v>
      </c>
      <c r="L2711" t="s">
        <v>52</v>
      </c>
      <c r="M2711">
        <v>131461.32999999999</v>
      </c>
      <c r="N2711">
        <v>475204.48</v>
      </c>
      <c r="O2711" t="s">
        <v>53</v>
      </c>
      <c r="P2711" t="s">
        <v>54</v>
      </c>
      <c r="Q2711" t="s">
        <v>55</v>
      </c>
      <c r="T2711" t="s">
        <v>246</v>
      </c>
      <c r="U2711">
        <v>40</v>
      </c>
      <c r="V2711" s="1">
        <v>42125</v>
      </c>
      <c r="W2711" s="1">
        <v>42125</v>
      </c>
      <c r="X2711" s="1">
        <v>42125</v>
      </c>
      <c r="Y2711" s="1">
        <v>56735</v>
      </c>
      <c r="Z2711" t="s">
        <v>51</v>
      </c>
      <c r="AB2711" t="s">
        <v>54</v>
      </c>
      <c r="AE2711" t="s">
        <v>1065</v>
      </c>
      <c r="AF2711">
        <v>20</v>
      </c>
      <c r="AG2711" s="1">
        <v>42125</v>
      </c>
      <c r="AH2711" s="1">
        <v>42125</v>
      </c>
      <c r="AI2711" s="1">
        <v>42125</v>
      </c>
      <c r="AJ2711" s="1">
        <v>49430</v>
      </c>
      <c r="AK2711" t="s">
        <v>51</v>
      </c>
      <c r="AN2711">
        <v>0</v>
      </c>
      <c r="AO2711" t="s">
        <v>54</v>
      </c>
      <c r="AP2711" t="s">
        <v>53</v>
      </c>
      <c r="AQ2711">
        <v>0</v>
      </c>
      <c r="AR2711" t="s">
        <v>53</v>
      </c>
      <c r="AS2711">
        <v>0</v>
      </c>
      <c r="AT2711">
        <v>0</v>
      </c>
      <c r="AW2711" t="s">
        <v>172</v>
      </c>
      <c r="AX2711">
        <v>15</v>
      </c>
      <c r="AY2711" s="1">
        <v>42125</v>
      </c>
      <c r="AZ2711" s="1">
        <v>42125</v>
      </c>
      <c r="BA2711" s="1">
        <v>42125</v>
      </c>
      <c r="BB2711" s="1">
        <v>47604</v>
      </c>
      <c r="BC2711" t="s">
        <v>51</v>
      </c>
      <c r="BE2711" t="s">
        <v>54</v>
      </c>
      <c r="BF2711">
        <v>40</v>
      </c>
      <c r="BG2711">
        <v>0</v>
      </c>
      <c r="BH2711" t="s">
        <v>145</v>
      </c>
      <c r="CC2711" t="s">
        <v>1066</v>
      </c>
      <c r="CD2711">
        <v>100000</v>
      </c>
      <c r="CE2711" s="1">
        <v>42125</v>
      </c>
      <c r="CF2711" s="1">
        <v>42125</v>
      </c>
      <c r="CG2711" s="1">
        <v>42125</v>
      </c>
      <c r="CH2711" s="1">
        <v>51108</v>
      </c>
      <c r="CI2711" t="s">
        <v>51</v>
      </c>
      <c r="CK2711" t="s">
        <v>78</v>
      </c>
      <c r="CM2711" t="s">
        <v>54</v>
      </c>
      <c r="CN2711" t="s">
        <v>174</v>
      </c>
      <c r="CR2711">
        <v>11</v>
      </c>
      <c r="CS2711">
        <v>1600</v>
      </c>
      <c r="CT2711">
        <v>0</v>
      </c>
      <c r="CU2711">
        <v>16</v>
      </c>
    </row>
    <row r="2712" spans="1:99" x14ac:dyDescent="0.2">
      <c r="A2712" t="s">
        <v>1012</v>
      </c>
      <c r="B2712" t="s">
        <v>1013</v>
      </c>
      <c r="C2712" t="s">
        <v>1014</v>
      </c>
      <c r="D2712" t="s">
        <v>1148</v>
      </c>
      <c r="F2712" t="str">
        <f>"253458"</f>
        <v>253458</v>
      </c>
      <c r="G2712" t="s">
        <v>49</v>
      </c>
      <c r="K2712" t="s">
        <v>51</v>
      </c>
      <c r="L2712" t="s">
        <v>52</v>
      </c>
      <c r="M2712">
        <v>131479.67999999999</v>
      </c>
      <c r="N2712">
        <v>475194.01799999998</v>
      </c>
      <c r="O2712" t="s">
        <v>53</v>
      </c>
      <c r="P2712" t="s">
        <v>54</v>
      </c>
      <c r="Q2712" t="s">
        <v>55</v>
      </c>
      <c r="T2712" t="s">
        <v>246</v>
      </c>
      <c r="U2712">
        <v>40</v>
      </c>
      <c r="V2712" s="1">
        <v>42125</v>
      </c>
      <c r="W2712" s="1">
        <v>42125</v>
      </c>
      <c r="X2712" s="1">
        <v>42125</v>
      </c>
      <c r="Y2712" s="1">
        <v>56735</v>
      </c>
      <c r="Z2712" t="s">
        <v>51</v>
      </c>
      <c r="AB2712" t="s">
        <v>54</v>
      </c>
      <c r="AE2712" t="s">
        <v>1065</v>
      </c>
      <c r="AF2712">
        <v>20</v>
      </c>
      <c r="AG2712" s="1">
        <v>42125</v>
      </c>
      <c r="AH2712" s="1">
        <v>42125</v>
      </c>
      <c r="AI2712" s="1">
        <v>42125</v>
      </c>
      <c r="AJ2712" s="1">
        <v>49430</v>
      </c>
      <c r="AK2712" t="s">
        <v>51</v>
      </c>
      <c r="AN2712">
        <v>0</v>
      </c>
      <c r="AO2712" t="s">
        <v>54</v>
      </c>
      <c r="AP2712" t="s">
        <v>53</v>
      </c>
      <c r="AQ2712">
        <v>0</v>
      </c>
      <c r="AR2712" t="s">
        <v>53</v>
      </c>
      <c r="AS2712">
        <v>0</v>
      </c>
      <c r="AT2712">
        <v>0</v>
      </c>
      <c r="AW2712" t="s">
        <v>172</v>
      </c>
      <c r="AX2712">
        <v>15</v>
      </c>
      <c r="AY2712" s="1">
        <v>42125</v>
      </c>
      <c r="AZ2712" s="1">
        <v>42125</v>
      </c>
      <c r="BA2712" s="1">
        <v>42125</v>
      </c>
      <c r="BB2712" s="1">
        <v>47604</v>
      </c>
      <c r="BC2712" t="s">
        <v>51</v>
      </c>
      <c r="BE2712" t="s">
        <v>54</v>
      </c>
      <c r="BF2712">
        <v>40</v>
      </c>
      <c r="BG2712">
        <v>0</v>
      </c>
      <c r="BH2712" t="s">
        <v>145</v>
      </c>
      <c r="CC2712" t="s">
        <v>1066</v>
      </c>
      <c r="CD2712">
        <v>100000</v>
      </c>
      <c r="CE2712" s="1">
        <v>42125</v>
      </c>
      <c r="CF2712" s="1">
        <v>42125</v>
      </c>
      <c r="CG2712" s="1">
        <v>42125</v>
      </c>
      <c r="CH2712" s="1">
        <v>51108</v>
      </c>
      <c r="CI2712" t="s">
        <v>51</v>
      </c>
      <c r="CK2712" t="s">
        <v>78</v>
      </c>
      <c r="CM2712" t="s">
        <v>54</v>
      </c>
      <c r="CN2712" t="s">
        <v>174</v>
      </c>
      <c r="CR2712">
        <v>11</v>
      </c>
      <c r="CS2712">
        <v>1600</v>
      </c>
      <c r="CT2712">
        <v>0</v>
      </c>
      <c r="CU2712">
        <v>16</v>
      </c>
    </row>
    <row r="2713" spans="1:99" x14ac:dyDescent="0.2">
      <c r="A2713" t="s">
        <v>1012</v>
      </c>
      <c r="B2713" t="s">
        <v>1013</v>
      </c>
      <c r="C2713" t="s">
        <v>1014</v>
      </c>
      <c r="D2713" t="s">
        <v>1148</v>
      </c>
      <c r="F2713" t="str">
        <f>"253459"</f>
        <v>253459</v>
      </c>
      <c r="G2713" t="s">
        <v>49</v>
      </c>
      <c r="K2713" t="s">
        <v>51</v>
      </c>
      <c r="L2713" t="s">
        <v>52</v>
      </c>
      <c r="M2713">
        <v>131499.12599999999</v>
      </c>
      <c r="N2713">
        <v>475175.59399999998</v>
      </c>
      <c r="O2713" t="s">
        <v>53</v>
      </c>
      <c r="P2713" t="s">
        <v>54</v>
      </c>
      <c r="Q2713" t="s">
        <v>55</v>
      </c>
      <c r="T2713" t="s">
        <v>246</v>
      </c>
      <c r="U2713">
        <v>40</v>
      </c>
      <c r="V2713" s="1">
        <v>42125</v>
      </c>
      <c r="W2713" s="1">
        <v>42125</v>
      </c>
      <c r="X2713" s="1">
        <v>42125</v>
      </c>
      <c r="Y2713" s="1">
        <v>56735</v>
      </c>
      <c r="Z2713" t="s">
        <v>51</v>
      </c>
      <c r="AB2713" t="s">
        <v>54</v>
      </c>
      <c r="AE2713" t="s">
        <v>1065</v>
      </c>
      <c r="AF2713">
        <v>20</v>
      </c>
      <c r="AG2713" s="1">
        <v>42125</v>
      </c>
      <c r="AH2713" s="1">
        <v>42125</v>
      </c>
      <c r="AI2713" s="1">
        <v>42125</v>
      </c>
      <c r="AJ2713" s="1">
        <v>49430</v>
      </c>
      <c r="AK2713" t="s">
        <v>51</v>
      </c>
      <c r="AN2713">
        <v>0</v>
      </c>
      <c r="AO2713" t="s">
        <v>54</v>
      </c>
      <c r="AP2713" t="s">
        <v>53</v>
      </c>
      <c r="AQ2713">
        <v>0</v>
      </c>
      <c r="AR2713" t="s">
        <v>53</v>
      </c>
      <c r="AS2713">
        <v>0</v>
      </c>
      <c r="AT2713">
        <v>0</v>
      </c>
      <c r="AW2713" t="s">
        <v>172</v>
      </c>
      <c r="AX2713">
        <v>15</v>
      </c>
      <c r="AY2713" s="1">
        <v>42125</v>
      </c>
      <c r="AZ2713" s="1">
        <v>42125</v>
      </c>
      <c r="BA2713" s="1">
        <v>42125</v>
      </c>
      <c r="BB2713" s="1">
        <v>47604</v>
      </c>
      <c r="BC2713" t="s">
        <v>51</v>
      </c>
      <c r="BE2713" t="s">
        <v>54</v>
      </c>
      <c r="BF2713">
        <v>40</v>
      </c>
      <c r="BG2713">
        <v>0</v>
      </c>
      <c r="BH2713" t="s">
        <v>145</v>
      </c>
      <c r="CC2713" t="s">
        <v>1066</v>
      </c>
      <c r="CD2713">
        <v>100000</v>
      </c>
      <c r="CE2713" s="1">
        <v>42125</v>
      </c>
      <c r="CF2713" s="1">
        <v>42125</v>
      </c>
      <c r="CG2713" s="1">
        <v>42125</v>
      </c>
      <c r="CH2713" s="1">
        <v>51108</v>
      </c>
      <c r="CI2713" t="s">
        <v>51</v>
      </c>
      <c r="CK2713" t="s">
        <v>78</v>
      </c>
      <c r="CM2713" t="s">
        <v>54</v>
      </c>
      <c r="CN2713" t="s">
        <v>174</v>
      </c>
      <c r="CR2713">
        <v>11</v>
      </c>
      <c r="CS2713">
        <v>1600</v>
      </c>
      <c r="CT2713">
        <v>0</v>
      </c>
      <c r="CU2713">
        <v>16</v>
      </c>
    </row>
    <row r="2714" spans="1:99" x14ac:dyDescent="0.2">
      <c r="A2714" t="s">
        <v>1012</v>
      </c>
      <c r="B2714" t="s">
        <v>1013</v>
      </c>
      <c r="C2714" t="s">
        <v>1014</v>
      </c>
      <c r="D2714" t="s">
        <v>1148</v>
      </c>
      <c r="F2714" t="str">
        <f>"253460"</f>
        <v>253460</v>
      </c>
      <c r="G2714" t="s">
        <v>49</v>
      </c>
      <c r="K2714" t="s">
        <v>51</v>
      </c>
      <c r="L2714" t="s">
        <v>52</v>
      </c>
      <c r="M2714">
        <v>131493.94</v>
      </c>
      <c r="N2714">
        <v>475155.52</v>
      </c>
      <c r="O2714" t="s">
        <v>53</v>
      </c>
      <c r="P2714" t="s">
        <v>54</v>
      </c>
      <c r="Q2714" t="s">
        <v>55</v>
      </c>
      <c r="T2714" t="s">
        <v>246</v>
      </c>
      <c r="U2714">
        <v>40</v>
      </c>
      <c r="V2714" s="1">
        <v>42125</v>
      </c>
      <c r="W2714" s="1">
        <v>42125</v>
      </c>
      <c r="X2714" s="1">
        <v>42125</v>
      </c>
      <c r="Y2714" s="1">
        <v>56735</v>
      </c>
      <c r="Z2714" t="s">
        <v>51</v>
      </c>
      <c r="AB2714" t="s">
        <v>54</v>
      </c>
      <c r="AE2714" t="s">
        <v>1065</v>
      </c>
      <c r="AF2714">
        <v>20</v>
      </c>
      <c r="AG2714" s="1">
        <v>42125</v>
      </c>
      <c r="AH2714" s="1">
        <v>42125</v>
      </c>
      <c r="AI2714" s="1">
        <v>42125</v>
      </c>
      <c r="AJ2714" s="1">
        <v>49430</v>
      </c>
      <c r="AK2714" t="s">
        <v>51</v>
      </c>
      <c r="AN2714">
        <v>0</v>
      </c>
      <c r="AO2714" t="s">
        <v>54</v>
      </c>
      <c r="AP2714" t="s">
        <v>53</v>
      </c>
      <c r="AQ2714">
        <v>0</v>
      </c>
      <c r="AR2714" t="s">
        <v>53</v>
      </c>
      <c r="AS2714">
        <v>0</v>
      </c>
      <c r="AT2714">
        <v>0</v>
      </c>
      <c r="AW2714" t="s">
        <v>172</v>
      </c>
      <c r="AX2714">
        <v>15</v>
      </c>
      <c r="AY2714" s="1">
        <v>42125</v>
      </c>
      <c r="AZ2714" s="1">
        <v>42125</v>
      </c>
      <c r="BA2714" s="1">
        <v>42125</v>
      </c>
      <c r="BB2714" s="1">
        <v>47604</v>
      </c>
      <c r="BC2714" t="s">
        <v>51</v>
      </c>
      <c r="BE2714" t="s">
        <v>54</v>
      </c>
      <c r="BF2714">
        <v>40</v>
      </c>
      <c r="BG2714">
        <v>0</v>
      </c>
      <c r="BH2714" t="s">
        <v>145</v>
      </c>
      <c r="CC2714" t="s">
        <v>1066</v>
      </c>
      <c r="CD2714">
        <v>100000</v>
      </c>
      <c r="CE2714" s="1">
        <v>42125</v>
      </c>
      <c r="CF2714" s="1">
        <v>42125</v>
      </c>
      <c r="CG2714" s="1">
        <v>42125</v>
      </c>
      <c r="CH2714" s="1">
        <v>51108</v>
      </c>
      <c r="CI2714" t="s">
        <v>51</v>
      </c>
      <c r="CK2714" t="s">
        <v>78</v>
      </c>
      <c r="CM2714" t="s">
        <v>54</v>
      </c>
      <c r="CN2714" t="s">
        <v>174</v>
      </c>
      <c r="CR2714">
        <v>11</v>
      </c>
      <c r="CS2714">
        <v>1600</v>
      </c>
      <c r="CT2714">
        <v>0</v>
      </c>
      <c r="CU2714">
        <v>16</v>
      </c>
    </row>
    <row r="2715" spans="1:99" x14ac:dyDescent="0.2">
      <c r="A2715" t="s">
        <v>1012</v>
      </c>
      <c r="B2715" t="s">
        <v>1013</v>
      </c>
      <c r="C2715" t="s">
        <v>1014</v>
      </c>
      <c r="D2715" t="s">
        <v>1148</v>
      </c>
      <c r="F2715" t="str">
        <f>"253461"</f>
        <v>253461</v>
      </c>
      <c r="G2715" t="s">
        <v>49</v>
      </c>
      <c r="K2715" t="s">
        <v>51</v>
      </c>
      <c r="L2715" t="s">
        <v>52</v>
      </c>
      <c r="M2715">
        <v>131480.57999999999</v>
      </c>
      <c r="N2715">
        <v>475133.36</v>
      </c>
      <c r="O2715" t="s">
        <v>53</v>
      </c>
      <c r="P2715" t="s">
        <v>54</v>
      </c>
      <c r="Q2715" t="s">
        <v>55</v>
      </c>
      <c r="T2715" t="s">
        <v>246</v>
      </c>
      <c r="U2715">
        <v>40</v>
      </c>
      <c r="V2715" s="1">
        <v>42125</v>
      </c>
      <c r="W2715" s="1">
        <v>42125</v>
      </c>
      <c r="X2715" s="1">
        <v>42125</v>
      </c>
      <c r="Y2715" s="1">
        <v>56735</v>
      </c>
      <c r="Z2715" t="s">
        <v>51</v>
      </c>
      <c r="AB2715" t="s">
        <v>54</v>
      </c>
      <c r="AE2715" t="s">
        <v>1065</v>
      </c>
      <c r="AF2715">
        <v>20</v>
      </c>
      <c r="AG2715" s="1">
        <v>42125</v>
      </c>
      <c r="AH2715" s="1">
        <v>42125</v>
      </c>
      <c r="AI2715" s="1">
        <v>42125</v>
      </c>
      <c r="AJ2715" s="1">
        <v>49430</v>
      </c>
      <c r="AK2715" t="s">
        <v>51</v>
      </c>
      <c r="AN2715">
        <v>0</v>
      </c>
      <c r="AO2715" t="s">
        <v>54</v>
      </c>
      <c r="AP2715" t="s">
        <v>53</v>
      </c>
      <c r="AQ2715">
        <v>0</v>
      </c>
      <c r="AR2715" t="s">
        <v>53</v>
      </c>
      <c r="AS2715">
        <v>0</v>
      </c>
      <c r="AT2715">
        <v>0</v>
      </c>
      <c r="AW2715" t="s">
        <v>172</v>
      </c>
      <c r="AX2715">
        <v>15</v>
      </c>
      <c r="AY2715" s="1">
        <v>42125</v>
      </c>
      <c r="AZ2715" s="1">
        <v>42125</v>
      </c>
      <c r="BA2715" s="1">
        <v>42125</v>
      </c>
      <c r="BB2715" s="1">
        <v>47604</v>
      </c>
      <c r="BC2715" t="s">
        <v>51</v>
      </c>
      <c r="BE2715" t="s">
        <v>54</v>
      </c>
      <c r="BF2715">
        <v>40</v>
      </c>
      <c r="BG2715">
        <v>0</v>
      </c>
      <c r="BH2715" t="s">
        <v>145</v>
      </c>
      <c r="CC2715" t="s">
        <v>1066</v>
      </c>
      <c r="CD2715">
        <v>100000</v>
      </c>
      <c r="CE2715" s="1">
        <v>42125</v>
      </c>
      <c r="CF2715" s="1">
        <v>42125</v>
      </c>
      <c r="CG2715" s="1">
        <v>42125</v>
      </c>
      <c r="CH2715" s="1">
        <v>51108</v>
      </c>
      <c r="CI2715" t="s">
        <v>51</v>
      </c>
      <c r="CK2715" t="s">
        <v>78</v>
      </c>
      <c r="CM2715" t="s">
        <v>54</v>
      </c>
      <c r="CN2715" t="s">
        <v>174</v>
      </c>
      <c r="CR2715">
        <v>11</v>
      </c>
      <c r="CS2715">
        <v>1600</v>
      </c>
      <c r="CT2715">
        <v>0</v>
      </c>
      <c r="CU2715">
        <v>16</v>
      </c>
    </row>
    <row r="2716" spans="1:99" x14ac:dyDescent="0.2">
      <c r="A2716" t="s">
        <v>1012</v>
      </c>
      <c r="B2716" t="s">
        <v>1013</v>
      </c>
      <c r="C2716" t="s">
        <v>1014</v>
      </c>
      <c r="D2716" t="s">
        <v>1148</v>
      </c>
      <c r="F2716" t="str">
        <f>"253462"</f>
        <v>253462</v>
      </c>
      <c r="G2716" t="s">
        <v>49</v>
      </c>
      <c r="K2716" t="s">
        <v>51</v>
      </c>
      <c r="L2716" t="s">
        <v>52</v>
      </c>
      <c r="M2716">
        <v>131457.95300000001</v>
      </c>
      <c r="N2716">
        <v>475129.13</v>
      </c>
      <c r="O2716" t="s">
        <v>53</v>
      </c>
      <c r="P2716" t="s">
        <v>54</v>
      </c>
      <c r="Q2716" t="s">
        <v>55</v>
      </c>
      <c r="T2716" t="s">
        <v>246</v>
      </c>
      <c r="U2716">
        <v>40</v>
      </c>
      <c r="V2716" s="1">
        <v>42125</v>
      </c>
      <c r="W2716" s="1">
        <v>42125</v>
      </c>
      <c r="X2716" s="1">
        <v>42125</v>
      </c>
      <c r="Y2716" s="1">
        <v>56735</v>
      </c>
      <c r="Z2716" t="s">
        <v>51</v>
      </c>
      <c r="AB2716" t="s">
        <v>54</v>
      </c>
      <c r="AE2716" t="s">
        <v>1065</v>
      </c>
      <c r="AF2716">
        <v>20</v>
      </c>
      <c r="AG2716" s="1">
        <v>42125</v>
      </c>
      <c r="AH2716" s="1">
        <v>42125</v>
      </c>
      <c r="AI2716" s="1">
        <v>42125</v>
      </c>
      <c r="AJ2716" s="1">
        <v>49430</v>
      </c>
      <c r="AK2716" t="s">
        <v>51</v>
      </c>
      <c r="AN2716">
        <v>0</v>
      </c>
      <c r="AO2716" t="s">
        <v>54</v>
      </c>
      <c r="AP2716" t="s">
        <v>53</v>
      </c>
      <c r="AQ2716">
        <v>0</v>
      </c>
      <c r="AR2716" t="s">
        <v>53</v>
      </c>
      <c r="AS2716">
        <v>0</v>
      </c>
      <c r="AT2716">
        <v>0</v>
      </c>
      <c r="AW2716" t="s">
        <v>172</v>
      </c>
      <c r="AX2716">
        <v>15</v>
      </c>
      <c r="AY2716" s="1">
        <v>42125</v>
      </c>
      <c r="AZ2716" s="1">
        <v>42125</v>
      </c>
      <c r="BA2716" s="1">
        <v>42125</v>
      </c>
      <c r="BB2716" s="1">
        <v>47604</v>
      </c>
      <c r="BC2716" t="s">
        <v>51</v>
      </c>
      <c r="BE2716" t="s">
        <v>54</v>
      </c>
      <c r="BF2716">
        <v>40</v>
      </c>
      <c r="BG2716">
        <v>0</v>
      </c>
      <c r="BH2716" t="s">
        <v>145</v>
      </c>
      <c r="CC2716" t="s">
        <v>1066</v>
      </c>
      <c r="CD2716">
        <v>100000</v>
      </c>
      <c r="CE2716" s="1">
        <v>42125</v>
      </c>
      <c r="CF2716" s="1">
        <v>42125</v>
      </c>
      <c r="CG2716" s="1">
        <v>42125</v>
      </c>
      <c r="CH2716" s="1">
        <v>51108</v>
      </c>
      <c r="CI2716" t="s">
        <v>51</v>
      </c>
      <c r="CK2716" t="s">
        <v>78</v>
      </c>
      <c r="CM2716" t="s">
        <v>54</v>
      </c>
      <c r="CN2716" t="s">
        <v>174</v>
      </c>
      <c r="CR2716">
        <v>11</v>
      </c>
      <c r="CS2716">
        <v>1600</v>
      </c>
      <c r="CT2716">
        <v>0</v>
      </c>
      <c r="CU2716">
        <v>16</v>
      </c>
    </row>
    <row r="2717" spans="1:99" x14ac:dyDescent="0.2">
      <c r="A2717" t="s">
        <v>1012</v>
      </c>
      <c r="B2717" t="s">
        <v>1013</v>
      </c>
      <c r="C2717" t="s">
        <v>1014</v>
      </c>
      <c r="D2717" t="s">
        <v>1148</v>
      </c>
      <c r="F2717" t="str">
        <f>"253463"</f>
        <v>253463</v>
      </c>
      <c r="G2717" t="s">
        <v>49</v>
      </c>
      <c r="K2717" t="s">
        <v>51</v>
      </c>
      <c r="L2717" t="s">
        <v>52</v>
      </c>
      <c r="M2717">
        <v>131434.32</v>
      </c>
      <c r="N2717">
        <v>475125.06</v>
      </c>
      <c r="O2717" t="s">
        <v>53</v>
      </c>
      <c r="P2717" t="s">
        <v>54</v>
      </c>
      <c r="Q2717" t="s">
        <v>55</v>
      </c>
      <c r="T2717" t="s">
        <v>246</v>
      </c>
      <c r="U2717">
        <v>40</v>
      </c>
      <c r="V2717" s="1">
        <v>42125</v>
      </c>
      <c r="W2717" s="1">
        <v>42125</v>
      </c>
      <c r="X2717" s="1">
        <v>42125</v>
      </c>
      <c r="Y2717" s="1">
        <v>56735</v>
      </c>
      <c r="Z2717" t="s">
        <v>51</v>
      </c>
      <c r="AB2717" t="s">
        <v>54</v>
      </c>
      <c r="AE2717" t="s">
        <v>1065</v>
      </c>
      <c r="AF2717">
        <v>20</v>
      </c>
      <c r="AG2717" s="1">
        <v>42125</v>
      </c>
      <c r="AH2717" s="1">
        <v>42125</v>
      </c>
      <c r="AI2717" s="1">
        <v>42125</v>
      </c>
      <c r="AJ2717" s="1">
        <v>49430</v>
      </c>
      <c r="AK2717" t="s">
        <v>51</v>
      </c>
      <c r="AN2717">
        <v>0</v>
      </c>
      <c r="AO2717" t="s">
        <v>54</v>
      </c>
      <c r="AP2717" t="s">
        <v>53</v>
      </c>
      <c r="AQ2717">
        <v>0</v>
      </c>
      <c r="AR2717" t="s">
        <v>53</v>
      </c>
      <c r="AS2717">
        <v>0</v>
      </c>
      <c r="AT2717">
        <v>0</v>
      </c>
      <c r="AW2717" t="s">
        <v>172</v>
      </c>
      <c r="AX2717">
        <v>15</v>
      </c>
      <c r="AY2717" s="1">
        <v>42125</v>
      </c>
      <c r="AZ2717" s="1">
        <v>42125</v>
      </c>
      <c r="BA2717" s="1">
        <v>42125</v>
      </c>
      <c r="BB2717" s="1">
        <v>47604</v>
      </c>
      <c r="BC2717" t="s">
        <v>51</v>
      </c>
      <c r="BE2717" t="s">
        <v>54</v>
      </c>
      <c r="BF2717">
        <v>40</v>
      </c>
      <c r="BG2717">
        <v>0</v>
      </c>
      <c r="BH2717" t="s">
        <v>145</v>
      </c>
      <c r="CC2717" t="s">
        <v>1066</v>
      </c>
      <c r="CD2717">
        <v>100000</v>
      </c>
      <c r="CE2717" s="1">
        <v>42125</v>
      </c>
      <c r="CF2717" s="1">
        <v>42125</v>
      </c>
      <c r="CG2717" s="1">
        <v>42125</v>
      </c>
      <c r="CH2717" s="1">
        <v>51108</v>
      </c>
      <c r="CI2717" t="s">
        <v>51</v>
      </c>
      <c r="CK2717" t="s">
        <v>78</v>
      </c>
      <c r="CM2717" t="s">
        <v>54</v>
      </c>
      <c r="CN2717" t="s">
        <v>174</v>
      </c>
      <c r="CR2717">
        <v>11</v>
      </c>
      <c r="CS2717">
        <v>1600</v>
      </c>
      <c r="CT2717">
        <v>0</v>
      </c>
      <c r="CU2717">
        <v>16</v>
      </c>
    </row>
    <row r="2718" spans="1:99" x14ac:dyDescent="0.2">
      <c r="A2718" t="s">
        <v>1012</v>
      </c>
      <c r="B2718" t="s">
        <v>1013</v>
      </c>
      <c r="C2718" t="s">
        <v>1014</v>
      </c>
      <c r="D2718" t="s">
        <v>1148</v>
      </c>
      <c r="F2718" t="str">
        <f>"253464"</f>
        <v>253464</v>
      </c>
      <c r="G2718" t="s">
        <v>49</v>
      </c>
      <c r="K2718" t="s">
        <v>51</v>
      </c>
      <c r="L2718" t="s">
        <v>52</v>
      </c>
      <c r="M2718">
        <v>131412.79</v>
      </c>
      <c r="N2718">
        <v>475123.20000000001</v>
      </c>
      <c r="O2718" t="s">
        <v>53</v>
      </c>
      <c r="P2718" t="s">
        <v>54</v>
      </c>
      <c r="Q2718" t="s">
        <v>55</v>
      </c>
      <c r="T2718" t="s">
        <v>246</v>
      </c>
      <c r="U2718">
        <v>40</v>
      </c>
      <c r="V2718" s="1">
        <v>42125</v>
      </c>
      <c r="W2718" s="1">
        <v>42125</v>
      </c>
      <c r="X2718" s="1">
        <v>42125</v>
      </c>
      <c r="Y2718" s="1">
        <v>56735</v>
      </c>
      <c r="Z2718" t="s">
        <v>51</v>
      </c>
      <c r="AB2718" t="s">
        <v>54</v>
      </c>
      <c r="AE2718" t="s">
        <v>1065</v>
      </c>
      <c r="AF2718">
        <v>20</v>
      </c>
      <c r="AG2718" s="1">
        <v>42125</v>
      </c>
      <c r="AH2718" s="1">
        <v>42125</v>
      </c>
      <c r="AI2718" s="1">
        <v>42125</v>
      </c>
      <c r="AJ2718" s="1">
        <v>49430</v>
      </c>
      <c r="AK2718" t="s">
        <v>51</v>
      </c>
      <c r="AN2718">
        <v>0</v>
      </c>
      <c r="AO2718" t="s">
        <v>54</v>
      </c>
      <c r="AP2718" t="s">
        <v>53</v>
      </c>
      <c r="AQ2718">
        <v>0</v>
      </c>
      <c r="AR2718" t="s">
        <v>53</v>
      </c>
      <c r="AS2718">
        <v>0</v>
      </c>
      <c r="AT2718">
        <v>0</v>
      </c>
      <c r="AW2718" t="s">
        <v>172</v>
      </c>
      <c r="AX2718">
        <v>15</v>
      </c>
      <c r="AY2718" s="1">
        <v>42125</v>
      </c>
      <c r="AZ2718" s="1">
        <v>42125</v>
      </c>
      <c r="BA2718" s="1">
        <v>42125</v>
      </c>
      <c r="BB2718" s="1">
        <v>47604</v>
      </c>
      <c r="BC2718" t="s">
        <v>51</v>
      </c>
      <c r="BE2718" t="s">
        <v>54</v>
      </c>
      <c r="BF2718">
        <v>40</v>
      </c>
      <c r="BG2718">
        <v>0</v>
      </c>
      <c r="BH2718" t="s">
        <v>145</v>
      </c>
      <c r="CC2718" t="s">
        <v>1066</v>
      </c>
      <c r="CD2718">
        <v>100000</v>
      </c>
      <c r="CE2718" s="1">
        <v>42125</v>
      </c>
      <c r="CF2718" s="1">
        <v>42125</v>
      </c>
      <c r="CG2718" s="1">
        <v>42125</v>
      </c>
      <c r="CH2718" s="1">
        <v>51108</v>
      </c>
      <c r="CI2718" t="s">
        <v>51</v>
      </c>
      <c r="CK2718" t="s">
        <v>78</v>
      </c>
      <c r="CM2718" t="s">
        <v>54</v>
      </c>
      <c r="CN2718" t="s">
        <v>174</v>
      </c>
      <c r="CR2718">
        <v>11</v>
      </c>
      <c r="CS2718">
        <v>1600</v>
      </c>
      <c r="CT2718">
        <v>0</v>
      </c>
      <c r="CU2718">
        <v>16</v>
      </c>
    </row>
    <row r="2719" spans="1:99" x14ac:dyDescent="0.2">
      <c r="A2719" t="s">
        <v>1012</v>
      </c>
      <c r="B2719" t="s">
        <v>1013</v>
      </c>
      <c r="C2719" t="s">
        <v>1014</v>
      </c>
      <c r="D2719" t="s">
        <v>1141</v>
      </c>
      <c r="F2719" t="str">
        <f>"253465"</f>
        <v>253465</v>
      </c>
      <c r="G2719" t="s">
        <v>49</v>
      </c>
      <c r="K2719" t="s">
        <v>51</v>
      </c>
      <c r="L2719" t="s">
        <v>52</v>
      </c>
      <c r="M2719">
        <v>131354.56</v>
      </c>
      <c r="N2719">
        <v>475130.41</v>
      </c>
      <c r="O2719" t="s">
        <v>53</v>
      </c>
      <c r="P2719" t="s">
        <v>54</v>
      </c>
      <c r="Q2719" t="s">
        <v>55</v>
      </c>
      <c r="T2719" t="s">
        <v>170</v>
      </c>
      <c r="U2719">
        <v>40</v>
      </c>
      <c r="V2719" s="1">
        <v>42125</v>
      </c>
      <c r="W2719" s="1">
        <v>42125</v>
      </c>
      <c r="X2719" s="1">
        <v>42125</v>
      </c>
      <c r="Y2719" s="1">
        <v>56735</v>
      </c>
      <c r="Z2719" t="s">
        <v>51</v>
      </c>
      <c r="AB2719" t="s">
        <v>54</v>
      </c>
      <c r="AE2719" t="s">
        <v>342</v>
      </c>
      <c r="AF2719">
        <v>20</v>
      </c>
      <c r="AG2719" s="1">
        <v>42125</v>
      </c>
      <c r="AH2719" s="1">
        <v>42125</v>
      </c>
      <c r="AI2719" s="1">
        <v>42125</v>
      </c>
      <c r="AJ2719" s="1">
        <v>49430</v>
      </c>
      <c r="AK2719" t="s">
        <v>51</v>
      </c>
      <c r="AN2719">
        <v>0</v>
      </c>
      <c r="AO2719" t="s">
        <v>54</v>
      </c>
      <c r="AP2719" t="s">
        <v>53</v>
      </c>
      <c r="AQ2719">
        <v>0</v>
      </c>
      <c r="AR2719" t="s">
        <v>145</v>
      </c>
      <c r="AS2719">
        <v>19</v>
      </c>
      <c r="AT2719">
        <v>1800</v>
      </c>
      <c r="AW2719" t="s">
        <v>172</v>
      </c>
      <c r="AX2719">
        <v>15</v>
      </c>
      <c r="AY2719" s="1">
        <v>42125</v>
      </c>
      <c r="AZ2719" s="1">
        <v>42125</v>
      </c>
      <c r="BA2719" s="1">
        <v>42125</v>
      </c>
      <c r="BB2719" s="1">
        <v>47604</v>
      </c>
      <c r="BC2719" t="s">
        <v>51</v>
      </c>
      <c r="BE2719" t="s">
        <v>54</v>
      </c>
      <c r="BF2719">
        <v>40</v>
      </c>
      <c r="BG2719">
        <v>0</v>
      </c>
      <c r="BH2719" t="s">
        <v>145</v>
      </c>
      <c r="CC2719" t="s">
        <v>173</v>
      </c>
      <c r="CD2719">
        <v>100000</v>
      </c>
      <c r="CE2719" s="1">
        <v>42125</v>
      </c>
      <c r="CF2719" s="1">
        <v>42125</v>
      </c>
      <c r="CG2719" s="1">
        <v>42125</v>
      </c>
      <c r="CH2719" s="1">
        <v>51108</v>
      </c>
      <c r="CI2719" t="s">
        <v>51</v>
      </c>
      <c r="CK2719" t="s">
        <v>78</v>
      </c>
      <c r="CM2719" t="s">
        <v>54</v>
      </c>
      <c r="CN2719" t="s">
        <v>174</v>
      </c>
      <c r="CO2719" t="s">
        <v>86</v>
      </c>
      <c r="CP2719">
        <v>830</v>
      </c>
      <c r="CR2719">
        <v>19</v>
      </c>
      <c r="CS2719">
        <v>1800</v>
      </c>
      <c r="CT2719">
        <v>0</v>
      </c>
      <c r="CU2719">
        <v>16</v>
      </c>
    </row>
    <row r="2720" spans="1:99" x14ac:dyDescent="0.2">
      <c r="A2720" t="s">
        <v>1012</v>
      </c>
      <c r="B2720" t="s">
        <v>1013</v>
      </c>
      <c r="C2720" t="s">
        <v>1014</v>
      </c>
      <c r="D2720" t="s">
        <v>1149</v>
      </c>
      <c r="F2720" t="str">
        <f>"253466"</f>
        <v>253466</v>
      </c>
      <c r="G2720" t="s">
        <v>49</v>
      </c>
      <c r="H2720">
        <v>2</v>
      </c>
      <c r="K2720" t="s">
        <v>51</v>
      </c>
      <c r="L2720" t="s">
        <v>52</v>
      </c>
      <c r="M2720">
        <v>131330.13</v>
      </c>
      <c r="N2720">
        <v>475115.82</v>
      </c>
      <c r="O2720" t="s">
        <v>53</v>
      </c>
      <c r="P2720" t="s">
        <v>54</v>
      </c>
      <c r="Q2720" t="s">
        <v>55</v>
      </c>
      <c r="T2720" t="s">
        <v>246</v>
      </c>
      <c r="U2720">
        <v>40</v>
      </c>
      <c r="V2720" s="1">
        <v>42125</v>
      </c>
      <c r="W2720" s="1">
        <v>42125</v>
      </c>
      <c r="X2720" s="1">
        <v>42125</v>
      </c>
      <c r="Y2720" s="1">
        <v>56735</v>
      </c>
      <c r="Z2720" t="s">
        <v>51</v>
      </c>
      <c r="AB2720" t="s">
        <v>54</v>
      </c>
      <c r="AE2720" t="s">
        <v>1065</v>
      </c>
      <c r="AF2720">
        <v>20</v>
      </c>
      <c r="AG2720" s="1">
        <v>42125</v>
      </c>
      <c r="AH2720" s="1">
        <v>42125</v>
      </c>
      <c r="AI2720" s="1">
        <v>42125</v>
      </c>
      <c r="AJ2720" s="1">
        <v>49430</v>
      </c>
      <c r="AK2720" t="s">
        <v>51</v>
      </c>
      <c r="AN2720">
        <v>0</v>
      </c>
      <c r="AO2720" t="s">
        <v>54</v>
      </c>
      <c r="AP2720" t="s">
        <v>53</v>
      </c>
      <c r="AQ2720">
        <v>0</v>
      </c>
      <c r="AR2720" t="s">
        <v>53</v>
      </c>
      <c r="AS2720">
        <v>0</v>
      </c>
      <c r="AT2720">
        <v>0</v>
      </c>
      <c r="AW2720" t="s">
        <v>172</v>
      </c>
      <c r="AX2720">
        <v>15</v>
      </c>
      <c r="AY2720" s="1">
        <v>42125</v>
      </c>
      <c r="AZ2720" s="1">
        <v>42125</v>
      </c>
      <c r="BA2720" s="1">
        <v>42125</v>
      </c>
      <c r="BB2720" s="1">
        <v>47604</v>
      </c>
      <c r="BC2720" t="s">
        <v>51</v>
      </c>
      <c r="BE2720" t="s">
        <v>54</v>
      </c>
      <c r="BF2720">
        <v>40</v>
      </c>
      <c r="BG2720">
        <v>0</v>
      </c>
      <c r="BH2720" t="s">
        <v>145</v>
      </c>
      <c r="CC2720" t="s">
        <v>1066</v>
      </c>
      <c r="CD2720">
        <v>100000</v>
      </c>
      <c r="CE2720" s="1">
        <v>42125</v>
      </c>
      <c r="CF2720" s="1">
        <v>42125</v>
      </c>
      <c r="CG2720" s="1">
        <v>42125</v>
      </c>
      <c r="CH2720" s="1">
        <v>51108</v>
      </c>
      <c r="CI2720" t="s">
        <v>51</v>
      </c>
      <c r="CK2720" t="s">
        <v>78</v>
      </c>
      <c r="CM2720" t="s">
        <v>54</v>
      </c>
      <c r="CN2720" t="s">
        <v>174</v>
      </c>
      <c r="CR2720">
        <v>11</v>
      </c>
      <c r="CS2720">
        <v>1600</v>
      </c>
      <c r="CT2720">
        <v>0</v>
      </c>
      <c r="CU2720">
        <v>16</v>
      </c>
    </row>
    <row r="2721" spans="1:99" x14ac:dyDescent="0.2">
      <c r="A2721" t="s">
        <v>1012</v>
      </c>
      <c r="B2721" t="s">
        <v>1013</v>
      </c>
      <c r="C2721" t="s">
        <v>1014</v>
      </c>
      <c r="D2721" t="s">
        <v>1149</v>
      </c>
      <c r="F2721" t="str">
        <f>"253467"</f>
        <v>253467</v>
      </c>
      <c r="G2721" t="s">
        <v>49</v>
      </c>
      <c r="H2721">
        <v>10</v>
      </c>
      <c r="K2721" t="s">
        <v>51</v>
      </c>
      <c r="L2721" t="s">
        <v>52</v>
      </c>
      <c r="M2721">
        <v>131330.07999999999</v>
      </c>
      <c r="N2721">
        <v>475136.16</v>
      </c>
      <c r="O2721" t="s">
        <v>53</v>
      </c>
      <c r="P2721" t="s">
        <v>54</v>
      </c>
      <c r="Q2721" t="s">
        <v>55</v>
      </c>
      <c r="T2721" t="s">
        <v>246</v>
      </c>
      <c r="U2721">
        <v>40</v>
      </c>
      <c r="V2721" s="1">
        <v>42125</v>
      </c>
      <c r="W2721" s="1">
        <v>42125</v>
      </c>
      <c r="X2721" s="1">
        <v>42125</v>
      </c>
      <c r="Y2721" s="1">
        <v>56735</v>
      </c>
      <c r="Z2721" t="s">
        <v>51</v>
      </c>
      <c r="AB2721" t="s">
        <v>54</v>
      </c>
      <c r="AE2721" t="s">
        <v>1065</v>
      </c>
      <c r="AF2721">
        <v>20</v>
      </c>
      <c r="AG2721" s="1">
        <v>42125</v>
      </c>
      <c r="AH2721" s="1">
        <v>42125</v>
      </c>
      <c r="AI2721" s="1">
        <v>42125</v>
      </c>
      <c r="AJ2721" s="1">
        <v>49430</v>
      </c>
      <c r="AK2721" t="s">
        <v>51</v>
      </c>
      <c r="AN2721">
        <v>0</v>
      </c>
      <c r="AO2721" t="s">
        <v>54</v>
      </c>
      <c r="AP2721" t="s">
        <v>53</v>
      </c>
      <c r="AQ2721">
        <v>0</v>
      </c>
      <c r="AR2721" t="s">
        <v>53</v>
      </c>
      <c r="AS2721">
        <v>0</v>
      </c>
      <c r="AT2721">
        <v>0</v>
      </c>
      <c r="AW2721" t="s">
        <v>172</v>
      </c>
      <c r="AX2721">
        <v>15</v>
      </c>
      <c r="AY2721" s="1">
        <v>42125</v>
      </c>
      <c r="AZ2721" s="1">
        <v>42125</v>
      </c>
      <c r="BA2721" s="1">
        <v>42125</v>
      </c>
      <c r="BB2721" s="1">
        <v>47604</v>
      </c>
      <c r="BC2721" t="s">
        <v>51</v>
      </c>
      <c r="BE2721" t="s">
        <v>54</v>
      </c>
      <c r="BF2721">
        <v>40</v>
      </c>
      <c r="BG2721">
        <v>0</v>
      </c>
      <c r="BH2721" t="s">
        <v>145</v>
      </c>
      <c r="CC2721" t="s">
        <v>1066</v>
      </c>
      <c r="CD2721">
        <v>100000</v>
      </c>
      <c r="CE2721" s="1">
        <v>42125</v>
      </c>
      <c r="CF2721" s="1">
        <v>42125</v>
      </c>
      <c r="CG2721" s="1">
        <v>42125</v>
      </c>
      <c r="CH2721" s="1">
        <v>51108</v>
      </c>
      <c r="CI2721" t="s">
        <v>51</v>
      </c>
      <c r="CK2721" t="s">
        <v>78</v>
      </c>
      <c r="CM2721" t="s">
        <v>54</v>
      </c>
      <c r="CN2721" t="s">
        <v>174</v>
      </c>
      <c r="CR2721">
        <v>11</v>
      </c>
      <c r="CS2721">
        <v>1600</v>
      </c>
      <c r="CT2721">
        <v>0</v>
      </c>
      <c r="CU2721">
        <v>16</v>
      </c>
    </row>
    <row r="2722" spans="1:99" x14ac:dyDescent="0.2">
      <c r="A2722" t="s">
        <v>1012</v>
      </c>
      <c r="B2722" t="s">
        <v>1013</v>
      </c>
      <c r="C2722" t="s">
        <v>1014</v>
      </c>
      <c r="D2722" t="s">
        <v>1149</v>
      </c>
      <c r="F2722" t="str">
        <f>"253468"</f>
        <v>253468</v>
      </c>
      <c r="G2722" t="s">
        <v>49</v>
      </c>
      <c r="H2722">
        <v>32</v>
      </c>
      <c r="K2722" t="s">
        <v>51</v>
      </c>
      <c r="L2722" t="s">
        <v>52</v>
      </c>
      <c r="M2722">
        <v>131328.54999999999</v>
      </c>
      <c r="N2722">
        <v>475162.92</v>
      </c>
      <c r="O2722" t="s">
        <v>53</v>
      </c>
      <c r="P2722" t="s">
        <v>54</v>
      </c>
      <c r="Q2722" t="s">
        <v>55</v>
      </c>
      <c r="T2722" t="s">
        <v>246</v>
      </c>
      <c r="U2722">
        <v>40</v>
      </c>
      <c r="V2722" s="1">
        <v>42125</v>
      </c>
      <c r="W2722" s="1">
        <v>42125</v>
      </c>
      <c r="X2722" s="1">
        <v>42125</v>
      </c>
      <c r="Y2722" s="1">
        <v>56735</v>
      </c>
      <c r="Z2722" t="s">
        <v>51</v>
      </c>
      <c r="AB2722" t="s">
        <v>54</v>
      </c>
      <c r="AE2722" t="s">
        <v>1065</v>
      </c>
      <c r="AF2722">
        <v>20</v>
      </c>
      <c r="AG2722" s="1">
        <v>42125</v>
      </c>
      <c r="AH2722" s="1">
        <v>42125</v>
      </c>
      <c r="AI2722" s="1">
        <v>42125</v>
      </c>
      <c r="AJ2722" s="1">
        <v>49430</v>
      </c>
      <c r="AK2722" t="s">
        <v>51</v>
      </c>
      <c r="AN2722">
        <v>0</v>
      </c>
      <c r="AO2722" t="s">
        <v>54</v>
      </c>
      <c r="AP2722" t="s">
        <v>53</v>
      </c>
      <c r="AQ2722">
        <v>0</v>
      </c>
      <c r="AR2722" t="s">
        <v>53</v>
      </c>
      <c r="AS2722">
        <v>0</v>
      </c>
      <c r="AT2722">
        <v>0</v>
      </c>
      <c r="AW2722" t="s">
        <v>172</v>
      </c>
      <c r="AX2722">
        <v>15</v>
      </c>
      <c r="AY2722" s="1">
        <v>42125</v>
      </c>
      <c r="AZ2722" s="1">
        <v>42125</v>
      </c>
      <c r="BA2722" s="1">
        <v>42125</v>
      </c>
      <c r="BB2722" s="1">
        <v>47604</v>
      </c>
      <c r="BC2722" t="s">
        <v>51</v>
      </c>
      <c r="BE2722" t="s">
        <v>54</v>
      </c>
      <c r="BF2722">
        <v>40</v>
      </c>
      <c r="BG2722">
        <v>0</v>
      </c>
      <c r="BH2722" t="s">
        <v>145</v>
      </c>
      <c r="CC2722" t="s">
        <v>1066</v>
      </c>
      <c r="CD2722">
        <v>100000</v>
      </c>
      <c r="CE2722" s="1">
        <v>42125</v>
      </c>
      <c r="CF2722" s="1">
        <v>42125</v>
      </c>
      <c r="CG2722" s="1">
        <v>42125</v>
      </c>
      <c r="CH2722" s="1">
        <v>51108</v>
      </c>
      <c r="CI2722" t="s">
        <v>51</v>
      </c>
      <c r="CK2722" t="s">
        <v>78</v>
      </c>
      <c r="CM2722" t="s">
        <v>54</v>
      </c>
      <c r="CN2722" t="s">
        <v>174</v>
      </c>
      <c r="CR2722">
        <v>11</v>
      </c>
      <c r="CS2722">
        <v>1600</v>
      </c>
      <c r="CT2722">
        <v>0</v>
      </c>
      <c r="CU2722">
        <v>16</v>
      </c>
    </row>
    <row r="2723" spans="1:99" x14ac:dyDescent="0.2">
      <c r="A2723" t="s">
        <v>1012</v>
      </c>
      <c r="B2723" t="s">
        <v>1013</v>
      </c>
      <c r="C2723" t="s">
        <v>1014</v>
      </c>
      <c r="D2723" t="s">
        <v>1149</v>
      </c>
      <c r="F2723" t="str">
        <f>"253469"</f>
        <v>253469</v>
      </c>
      <c r="G2723" t="s">
        <v>49</v>
      </c>
      <c r="H2723">
        <v>14</v>
      </c>
      <c r="K2723" t="s">
        <v>51</v>
      </c>
      <c r="L2723" t="s">
        <v>52</v>
      </c>
      <c r="M2723">
        <v>131341.88</v>
      </c>
      <c r="N2723">
        <v>475152.86</v>
      </c>
      <c r="O2723" t="s">
        <v>53</v>
      </c>
      <c r="P2723" t="s">
        <v>54</v>
      </c>
      <c r="Q2723" t="s">
        <v>55</v>
      </c>
      <c r="T2723" t="s">
        <v>246</v>
      </c>
      <c r="U2723">
        <v>40</v>
      </c>
      <c r="V2723" s="1">
        <v>42125</v>
      </c>
      <c r="W2723" s="1">
        <v>42125</v>
      </c>
      <c r="X2723" s="1">
        <v>42125</v>
      </c>
      <c r="Y2723" s="1">
        <v>56735</v>
      </c>
      <c r="Z2723" t="s">
        <v>51</v>
      </c>
      <c r="AB2723" t="s">
        <v>54</v>
      </c>
      <c r="AE2723" t="s">
        <v>1065</v>
      </c>
      <c r="AF2723">
        <v>20</v>
      </c>
      <c r="AG2723" s="1">
        <v>42125</v>
      </c>
      <c r="AH2723" s="1">
        <v>42125</v>
      </c>
      <c r="AI2723" s="1">
        <v>42125</v>
      </c>
      <c r="AJ2723" s="1">
        <v>49430</v>
      </c>
      <c r="AK2723" t="s">
        <v>51</v>
      </c>
      <c r="AN2723">
        <v>0</v>
      </c>
      <c r="AO2723" t="s">
        <v>54</v>
      </c>
      <c r="AP2723" t="s">
        <v>53</v>
      </c>
      <c r="AQ2723">
        <v>0</v>
      </c>
      <c r="AR2723" t="s">
        <v>53</v>
      </c>
      <c r="AS2723">
        <v>0</v>
      </c>
      <c r="AT2723">
        <v>0</v>
      </c>
      <c r="AW2723" t="s">
        <v>172</v>
      </c>
      <c r="AX2723">
        <v>15</v>
      </c>
      <c r="AY2723" s="1">
        <v>42125</v>
      </c>
      <c r="AZ2723" s="1">
        <v>42125</v>
      </c>
      <c r="BA2723" s="1">
        <v>42125</v>
      </c>
      <c r="BB2723" s="1">
        <v>47604</v>
      </c>
      <c r="BC2723" t="s">
        <v>51</v>
      </c>
      <c r="BE2723" t="s">
        <v>54</v>
      </c>
      <c r="BF2723">
        <v>40</v>
      </c>
      <c r="BG2723">
        <v>0</v>
      </c>
      <c r="BH2723" t="s">
        <v>145</v>
      </c>
      <c r="CC2723" t="s">
        <v>1066</v>
      </c>
      <c r="CD2723">
        <v>100000</v>
      </c>
      <c r="CE2723" s="1">
        <v>42125</v>
      </c>
      <c r="CF2723" s="1">
        <v>42125</v>
      </c>
      <c r="CG2723" s="1">
        <v>42125</v>
      </c>
      <c r="CH2723" s="1">
        <v>51108</v>
      </c>
      <c r="CI2723" t="s">
        <v>51</v>
      </c>
      <c r="CK2723" t="s">
        <v>78</v>
      </c>
      <c r="CM2723" t="s">
        <v>54</v>
      </c>
      <c r="CN2723" t="s">
        <v>174</v>
      </c>
      <c r="CR2723">
        <v>11</v>
      </c>
      <c r="CS2723">
        <v>1600</v>
      </c>
      <c r="CT2723">
        <v>0</v>
      </c>
      <c r="CU2723">
        <v>16</v>
      </c>
    </row>
    <row r="2724" spans="1:99" x14ac:dyDescent="0.2">
      <c r="A2724" t="s">
        <v>1012</v>
      </c>
      <c r="B2724" t="s">
        <v>1013</v>
      </c>
      <c r="C2724" t="s">
        <v>1014</v>
      </c>
      <c r="D2724" t="s">
        <v>1149</v>
      </c>
      <c r="F2724" t="str">
        <f>"253470"</f>
        <v>253470</v>
      </c>
      <c r="G2724" t="s">
        <v>49</v>
      </c>
      <c r="H2724">
        <v>22</v>
      </c>
      <c r="K2724" t="s">
        <v>51</v>
      </c>
      <c r="L2724" t="s">
        <v>52</v>
      </c>
      <c r="M2724">
        <v>131342.73000000001</v>
      </c>
      <c r="N2724">
        <v>475177.24</v>
      </c>
      <c r="O2724" t="s">
        <v>53</v>
      </c>
      <c r="P2724" t="s">
        <v>54</v>
      </c>
      <c r="Q2724" t="s">
        <v>55</v>
      </c>
      <c r="T2724" t="s">
        <v>246</v>
      </c>
      <c r="U2724">
        <v>40</v>
      </c>
      <c r="V2724" s="1">
        <v>44719</v>
      </c>
      <c r="W2724" s="1">
        <v>44719</v>
      </c>
      <c r="X2724" s="1">
        <v>44722</v>
      </c>
      <c r="Y2724" s="1">
        <v>59329</v>
      </c>
      <c r="Z2724" t="s">
        <v>51</v>
      </c>
      <c r="AB2724" t="s">
        <v>54</v>
      </c>
      <c r="AE2724" t="s">
        <v>1065</v>
      </c>
      <c r="AF2724">
        <v>20</v>
      </c>
      <c r="AG2724" s="1">
        <v>42125</v>
      </c>
      <c r="AH2724" s="1">
        <v>42125</v>
      </c>
      <c r="AI2724" s="1">
        <v>44722</v>
      </c>
      <c r="AJ2724" s="1">
        <v>49430</v>
      </c>
      <c r="AK2724" t="s">
        <v>51</v>
      </c>
      <c r="AN2724">
        <v>0</v>
      </c>
      <c r="AO2724" t="s">
        <v>54</v>
      </c>
      <c r="AP2724" t="s">
        <v>53</v>
      </c>
      <c r="AQ2724">
        <v>0</v>
      </c>
      <c r="AR2724" t="s">
        <v>53</v>
      </c>
      <c r="AS2724">
        <v>0</v>
      </c>
      <c r="AT2724">
        <v>0</v>
      </c>
      <c r="AW2724" t="s">
        <v>172</v>
      </c>
      <c r="AX2724">
        <v>15</v>
      </c>
      <c r="AY2724" s="1">
        <v>42125</v>
      </c>
      <c r="AZ2724" s="1">
        <v>42125</v>
      </c>
      <c r="BA2724" s="1">
        <v>44722</v>
      </c>
      <c r="BB2724" s="1">
        <v>47604</v>
      </c>
      <c r="BC2724" t="s">
        <v>51</v>
      </c>
      <c r="BE2724" t="s">
        <v>54</v>
      </c>
      <c r="BF2724">
        <v>40</v>
      </c>
      <c r="BG2724">
        <v>0</v>
      </c>
      <c r="BH2724" t="s">
        <v>145</v>
      </c>
      <c r="CC2724" t="s">
        <v>1066</v>
      </c>
      <c r="CD2724">
        <v>100000</v>
      </c>
      <c r="CE2724" s="1">
        <v>42125</v>
      </c>
      <c r="CF2724" s="1">
        <v>42125</v>
      </c>
      <c r="CG2724" s="1">
        <v>44722</v>
      </c>
      <c r="CH2724" s="1">
        <v>51108</v>
      </c>
      <c r="CI2724" t="s">
        <v>51</v>
      </c>
      <c r="CK2724" t="s">
        <v>78</v>
      </c>
      <c r="CM2724" t="s">
        <v>54</v>
      </c>
      <c r="CN2724" t="s">
        <v>174</v>
      </c>
      <c r="CR2724">
        <v>11</v>
      </c>
      <c r="CS2724">
        <v>1600</v>
      </c>
      <c r="CT2724">
        <v>0</v>
      </c>
      <c r="CU2724">
        <v>16</v>
      </c>
    </row>
    <row r="2725" spans="1:99" x14ac:dyDescent="0.2">
      <c r="A2725" t="s">
        <v>1012</v>
      </c>
      <c r="B2725" t="s">
        <v>1013</v>
      </c>
      <c r="C2725" t="s">
        <v>1014</v>
      </c>
      <c r="D2725" t="s">
        <v>1149</v>
      </c>
      <c r="F2725" t="str">
        <f>"253471"</f>
        <v>253471</v>
      </c>
      <c r="G2725" t="s">
        <v>49</v>
      </c>
      <c r="H2725">
        <v>30</v>
      </c>
      <c r="K2725" t="s">
        <v>51</v>
      </c>
      <c r="L2725" t="s">
        <v>52</v>
      </c>
      <c r="M2725">
        <v>131342.72700000001</v>
      </c>
      <c r="N2725">
        <v>475201.48499999999</v>
      </c>
      <c r="O2725" t="s">
        <v>53</v>
      </c>
      <c r="P2725" t="s">
        <v>54</v>
      </c>
      <c r="Q2725" t="s">
        <v>55</v>
      </c>
      <c r="T2725" t="s">
        <v>246</v>
      </c>
      <c r="U2725">
        <v>40</v>
      </c>
      <c r="V2725" s="1">
        <v>42125</v>
      </c>
      <c r="W2725" s="1">
        <v>42125</v>
      </c>
      <c r="X2725" s="1">
        <v>42125</v>
      </c>
      <c r="Y2725" s="1">
        <v>56735</v>
      </c>
      <c r="Z2725" t="s">
        <v>51</v>
      </c>
      <c r="AB2725" t="s">
        <v>54</v>
      </c>
      <c r="AE2725" t="s">
        <v>1065</v>
      </c>
      <c r="AF2725">
        <v>20</v>
      </c>
      <c r="AG2725" s="1">
        <v>42125</v>
      </c>
      <c r="AH2725" s="1">
        <v>42125</v>
      </c>
      <c r="AI2725" s="1">
        <v>42125</v>
      </c>
      <c r="AJ2725" s="1">
        <v>49430</v>
      </c>
      <c r="AK2725" t="s">
        <v>51</v>
      </c>
      <c r="AN2725">
        <v>0</v>
      </c>
      <c r="AO2725" t="s">
        <v>54</v>
      </c>
      <c r="AP2725" t="s">
        <v>53</v>
      </c>
      <c r="AQ2725">
        <v>0</v>
      </c>
      <c r="AR2725" t="s">
        <v>53</v>
      </c>
      <c r="AS2725">
        <v>0</v>
      </c>
      <c r="AT2725">
        <v>0</v>
      </c>
      <c r="AW2725" t="s">
        <v>172</v>
      </c>
      <c r="AX2725">
        <v>15</v>
      </c>
      <c r="AY2725" s="1">
        <v>42125</v>
      </c>
      <c r="AZ2725" s="1">
        <v>42125</v>
      </c>
      <c r="BA2725" s="1">
        <v>42125</v>
      </c>
      <c r="BB2725" s="1">
        <v>47604</v>
      </c>
      <c r="BC2725" t="s">
        <v>51</v>
      </c>
      <c r="BE2725" t="s">
        <v>54</v>
      </c>
      <c r="BF2725">
        <v>40</v>
      </c>
      <c r="BG2725">
        <v>0</v>
      </c>
      <c r="BH2725" t="s">
        <v>145</v>
      </c>
      <c r="CC2725" t="s">
        <v>1066</v>
      </c>
      <c r="CD2725">
        <v>100000</v>
      </c>
      <c r="CE2725" s="1">
        <v>42125</v>
      </c>
      <c r="CF2725" s="1">
        <v>42125</v>
      </c>
      <c r="CG2725" s="1">
        <v>42125</v>
      </c>
      <c r="CH2725" s="1">
        <v>51108</v>
      </c>
      <c r="CI2725" t="s">
        <v>51</v>
      </c>
      <c r="CK2725" t="s">
        <v>78</v>
      </c>
      <c r="CM2725" t="s">
        <v>54</v>
      </c>
      <c r="CN2725" t="s">
        <v>174</v>
      </c>
      <c r="CR2725">
        <v>11</v>
      </c>
      <c r="CS2725">
        <v>1600</v>
      </c>
      <c r="CT2725">
        <v>0</v>
      </c>
      <c r="CU2725">
        <v>16</v>
      </c>
    </row>
    <row r="2726" spans="1:99" x14ac:dyDescent="0.2">
      <c r="A2726" t="s">
        <v>1012</v>
      </c>
      <c r="B2726" t="s">
        <v>1013</v>
      </c>
      <c r="C2726" t="s">
        <v>1014</v>
      </c>
      <c r="D2726" t="s">
        <v>1149</v>
      </c>
      <c r="F2726" t="str">
        <f>"253472"</f>
        <v>253472</v>
      </c>
      <c r="G2726" t="s">
        <v>49</v>
      </c>
      <c r="H2726">
        <v>29</v>
      </c>
      <c r="K2726" t="s">
        <v>51</v>
      </c>
      <c r="L2726" t="s">
        <v>52</v>
      </c>
      <c r="M2726">
        <v>131272.79</v>
      </c>
      <c r="N2726">
        <v>475200.38</v>
      </c>
      <c r="O2726" t="s">
        <v>53</v>
      </c>
      <c r="P2726" t="s">
        <v>54</v>
      </c>
      <c r="Q2726" t="s">
        <v>55</v>
      </c>
      <c r="T2726" t="s">
        <v>246</v>
      </c>
      <c r="U2726">
        <v>40</v>
      </c>
      <c r="V2726" s="1">
        <v>42125</v>
      </c>
      <c r="W2726" s="1">
        <v>42125</v>
      </c>
      <c r="X2726" s="1">
        <v>42125</v>
      </c>
      <c r="Y2726" s="1">
        <v>56735</v>
      </c>
      <c r="Z2726" t="s">
        <v>51</v>
      </c>
      <c r="AB2726" t="s">
        <v>54</v>
      </c>
      <c r="AE2726" t="s">
        <v>1065</v>
      </c>
      <c r="AF2726">
        <v>20</v>
      </c>
      <c r="AG2726" s="1">
        <v>42125</v>
      </c>
      <c r="AH2726" s="1">
        <v>42125</v>
      </c>
      <c r="AI2726" s="1">
        <v>42125</v>
      </c>
      <c r="AJ2726" s="1">
        <v>49430</v>
      </c>
      <c r="AK2726" t="s">
        <v>51</v>
      </c>
      <c r="AN2726">
        <v>0</v>
      </c>
      <c r="AO2726" t="s">
        <v>54</v>
      </c>
      <c r="AP2726" t="s">
        <v>53</v>
      </c>
      <c r="AQ2726">
        <v>0</v>
      </c>
      <c r="AR2726" t="s">
        <v>53</v>
      </c>
      <c r="AS2726">
        <v>0</v>
      </c>
      <c r="AT2726">
        <v>0</v>
      </c>
      <c r="AW2726" t="s">
        <v>172</v>
      </c>
      <c r="AX2726">
        <v>15</v>
      </c>
      <c r="AY2726" s="1">
        <v>42125</v>
      </c>
      <c r="AZ2726" s="1">
        <v>42125</v>
      </c>
      <c r="BA2726" s="1">
        <v>42125</v>
      </c>
      <c r="BB2726" s="1">
        <v>47604</v>
      </c>
      <c r="BC2726" t="s">
        <v>51</v>
      </c>
      <c r="BE2726" t="s">
        <v>54</v>
      </c>
      <c r="BF2726">
        <v>40</v>
      </c>
      <c r="BG2726">
        <v>0</v>
      </c>
      <c r="BH2726" t="s">
        <v>145</v>
      </c>
      <c r="CC2726" t="s">
        <v>1066</v>
      </c>
      <c r="CD2726">
        <v>100000</v>
      </c>
      <c r="CE2726" s="1">
        <v>42125</v>
      </c>
      <c r="CF2726" s="1">
        <v>42125</v>
      </c>
      <c r="CG2726" s="1">
        <v>42125</v>
      </c>
      <c r="CH2726" s="1">
        <v>51108</v>
      </c>
      <c r="CI2726" t="s">
        <v>51</v>
      </c>
      <c r="CK2726" t="s">
        <v>78</v>
      </c>
      <c r="CM2726" t="s">
        <v>54</v>
      </c>
      <c r="CN2726" t="s">
        <v>174</v>
      </c>
      <c r="CR2726">
        <v>11</v>
      </c>
      <c r="CS2726">
        <v>1600</v>
      </c>
      <c r="CT2726">
        <v>0</v>
      </c>
      <c r="CU2726">
        <v>16</v>
      </c>
    </row>
    <row r="2727" spans="1:99" x14ac:dyDescent="0.2">
      <c r="A2727" t="s">
        <v>1012</v>
      </c>
      <c r="B2727" t="s">
        <v>1013</v>
      </c>
      <c r="C2727" t="s">
        <v>1014</v>
      </c>
      <c r="D2727" t="s">
        <v>1149</v>
      </c>
      <c r="F2727" t="str">
        <f>"253473"</f>
        <v>253473</v>
      </c>
      <c r="G2727" t="s">
        <v>49</v>
      </c>
      <c r="H2727">
        <v>21</v>
      </c>
      <c r="K2727" t="s">
        <v>51</v>
      </c>
      <c r="L2727" t="s">
        <v>52</v>
      </c>
      <c r="M2727">
        <v>131272.93700000001</v>
      </c>
      <c r="N2727">
        <v>475179.27799999999</v>
      </c>
      <c r="O2727" t="s">
        <v>53</v>
      </c>
      <c r="P2727" t="s">
        <v>54</v>
      </c>
      <c r="Q2727" t="s">
        <v>55</v>
      </c>
      <c r="T2727" t="s">
        <v>246</v>
      </c>
      <c r="U2727">
        <v>40</v>
      </c>
      <c r="V2727" s="1">
        <v>42125</v>
      </c>
      <c r="W2727" s="1">
        <v>42125</v>
      </c>
      <c r="X2727" s="1">
        <v>42125</v>
      </c>
      <c r="Y2727" s="1">
        <v>56735</v>
      </c>
      <c r="Z2727" t="s">
        <v>51</v>
      </c>
      <c r="AB2727" t="s">
        <v>54</v>
      </c>
      <c r="AE2727" t="s">
        <v>1065</v>
      </c>
      <c r="AF2727">
        <v>20</v>
      </c>
      <c r="AG2727" s="1">
        <v>42125</v>
      </c>
      <c r="AH2727" s="1">
        <v>42125</v>
      </c>
      <c r="AI2727" s="1">
        <v>42125</v>
      </c>
      <c r="AJ2727" s="1">
        <v>49430</v>
      </c>
      <c r="AK2727" t="s">
        <v>51</v>
      </c>
      <c r="AN2727">
        <v>0</v>
      </c>
      <c r="AO2727" t="s">
        <v>54</v>
      </c>
      <c r="AP2727" t="s">
        <v>53</v>
      </c>
      <c r="AQ2727">
        <v>0</v>
      </c>
      <c r="AR2727" t="s">
        <v>53</v>
      </c>
      <c r="AS2727">
        <v>0</v>
      </c>
      <c r="AT2727">
        <v>0</v>
      </c>
      <c r="AW2727" t="s">
        <v>172</v>
      </c>
      <c r="AX2727">
        <v>15</v>
      </c>
      <c r="AY2727" s="1">
        <v>42125</v>
      </c>
      <c r="AZ2727" s="1">
        <v>42125</v>
      </c>
      <c r="BA2727" s="1">
        <v>42125</v>
      </c>
      <c r="BB2727" s="1">
        <v>47604</v>
      </c>
      <c r="BC2727" t="s">
        <v>51</v>
      </c>
      <c r="BE2727" t="s">
        <v>54</v>
      </c>
      <c r="BF2727">
        <v>40</v>
      </c>
      <c r="BG2727">
        <v>0</v>
      </c>
      <c r="BH2727" t="s">
        <v>145</v>
      </c>
      <c r="CC2727" t="s">
        <v>1066</v>
      </c>
      <c r="CD2727">
        <v>100000</v>
      </c>
      <c r="CE2727" s="1">
        <v>42125</v>
      </c>
      <c r="CF2727" s="1">
        <v>42125</v>
      </c>
      <c r="CG2727" s="1">
        <v>42125</v>
      </c>
      <c r="CH2727" s="1">
        <v>51108</v>
      </c>
      <c r="CI2727" t="s">
        <v>51</v>
      </c>
      <c r="CK2727" t="s">
        <v>78</v>
      </c>
      <c r="CM2727" t="s">
        <v>54</v>
      </c>
      <c r="CN2727" t="s">
        <v>174</v>
      </c>
      <c r="CR2727">
        <v>11</v>
      </c>
      <c r="CS2727">
        <v>1600</v>
      </c>
      <c r="CT2727">
        <v>0</v>
      </c>
      <c r="CU2727">
        <v>16</v>
      </c>
    </row>
    <row r="2728" spans="1:99" x14ac:dyDescent="0.2">
      <c r="A2728" t="s">
        <v>1012</v>
      </c>
      <c r="B2728" t="s">
        <v>1013</v>
      </c>
      <c r="C2728" t="s">
        <v>1014</v>
      </c>
      <c r="D2728" t="s">
        <v>1149</v>
      </c>
      <c r="F2728" t="str">
        <f>"253474"</f>
        <v>253474</v>
      </c>
      <c r="G2728" t="s">
        <v>49</v>
      </c>
      <c r="H2728">
        <v>17</v>
      </c>
      <c r="K2728" t="s">
        <v>51</v>
      </c>
      <c r="L2728" t="s">
        <v>52</v>
      </c>
      <c r="M2728">
        <v>131261.34</v>
      </c>
      <c r="N2728">
        <v>475169.19</v>
      </c>
      <c r="O2728" t="s">
        <v>53</v>
      </c>
      <c r="P2728" t="s">
        <v>54</v>
      </c>
      <c r="Q2728" t="s">
        <v>55</v>
      </c>
      <c r="T2728" t="s">
        <v>246</v>
      </c>
      <c r="U2728">
        <v>40</v>
      </c>
      <c r="V2728" s="1">
        <v>42125</v>
      </c>
      <c r="W2728" s="1">
        <v>42125</v>
      </c>
      <c r="X2728" s="1">
        <v>42125</v>
      </c>
      <c r="Y2728" s="1">
        <v>56735</v>
      </c>
      <c r="Z2728" t="s">
        <v>51</v>
      </c>
      <c r="AB2728" t="s">
        <v>54</v>
      </c>
      <c r="AE2728" t="s">
        <v>1065</v>
      </c>
      <c r="AF2728">
        <v>20</v>
      </c>
      <c r="AG2728" s="1">
        <v>42125</v>
      </c>
      <c r="AH2728" s="1">
        <v>42125</v>
      </c>
      <c r="AI2728" s="1">
        <v>42125</v>
      </c>
      <c r="AJ2728" s="1">
        <v>49430</v>
      </c>
      <c r="AK2728" t="s">
        <v>51</v>
      </c>
      <c r="AN2728">
        <v>0</v>
      </c>
      <c r="AO2728" t="s">
        <v>54</v>
      </c>
      <c r="AP2728" t="s">
        <v>53</v>
      </c>
      <c r="AQ2728">
        <v>0</v>
      </c>
      <c r="AR2728" t="s">
        <v>53</v>
      </c>
      <c r="AS2728">
        <v>0</v>
      </c>
      <c r="AT2728">
        <v>0</v>
      </c>
      <c r="AW2728" t="s">
        <v>172</v>
      </c>
      <c r="AX2728">
        <v>15</v>
      </c>
      <c r="AY2728" s="1">
        <v>42125</v>
      </c>
      <c r="AZ2728" s="1">
        <v>42125</v>
      </c>
      <c r="BA2728" s="1">
        <v>42125</v>
      </c>
      <c r="BB2728" s="1">
        <v>47604</v>
      </c>
      <c r="BC2728" t="s">
        <v>51</v>
      </c>
      <c r="BE2728" t="s">
        <v>54</v>
      </c>
      <c r="BF2728">
        <v>40</v>
      </c>
      <c r="BG2728">
        <v>0</v>
      </c>
      <c r="BH2728" t="s">
        <v>145</v>
      </c>
      <c r="CC2728" t="s">
        <v>1066</v>
      </c>
      <c r="CD2728">
        <v>100000</v>
      </c>
      <c r="CE2728" s="1">
        <v>42125</v>
      </c>
      <c r="CF2728" s="1">
        <v>42125</v>
      </c>
      <c r="CG2728" s="1">
        <v>42125</v>
      </c>
      <c r="CH2728" s="1">
        <v>51108</v>
      </c>
      <c r="CI2728" t="s">
        <v>51</v>
      </c>
      <c r="CK2728" t="s">
        <v>78</v>
      </c>
      <c r="CM2728" t="s">
        <v>54</v>
      </c>
      <c r="CN2728" t="s">
        <v>174</v>
      </c>
      <c r="CR2728">
        <v>11</v>
      </c>
      <c r="CS2728">
        <v>1600</v>
      </c>
      <c r="CT2728">
        <v>0</v>
      </c>
      <c r="CU2728">
        <v>16</v>
      </c>
    </row>
    <row r="2729" spans="1:99" x14ac:dyDescent="0.2">
      <c r="A2729" t="s">
        <v>1012</v>
      </c>
      <c r="B2729" t="s">
        <v>1013</v>
      </c>
      <c r="C2729" t="s">
        <v>1014</v>
      </c>
      <c r="D2729" t="s">
        <v>1149</v>
      </c>
      <c r="F2729" t="str">
        <f>"253475"</f>
        <v>253475</v>
      </c>
      <c r="G2729" t="s">
        <v>49</v>
      </c>
      <c r="H2729">
        <v>45</v>
      </c>
      <c r="K2729" t="s">
        <v>51</v>
      </c>
      <c r="L2729" t="s">
        <v>52</v>
      </c>
      <c r="M2729">
        <v>131271.43</v>
      </c>
      <c r="N2729">
        <v>475152.31</v>
      </c>
      <c r="O2729" t="s">
        <v>53</v>
      </c>
      <c r="P2729" t="s">
        <v>54</v>
      </c>
      <c r="Q2729" t="s">
        <v>55</v>
      </c>
      <c r="T2729" t="s">
        <v>246</v>
      </c>
      <c r="U2729">
        <v>40</v>
      </c>
      <c r="V2729" s="1">
        <v>42125</v>
      </c>
      <c r="W2729" s="1">
        <v>42125</v>
      </c>
      <c r="X2729" s="1">
        <v>42125</v>
      </c>
      <c r="Y2729" s="1">
        <v>56735</v>
      </c>
      <c r="Z2729" t="s">
        <v>51</v>
      </c>
      <c r="AB2729" t="s">
        <v>54</v>
      </c>
      <c r="AE2729" t="s">
        <v>1065</v>
      </c>
      <c r="AF2729">
        <v>20</v>
      </c>
      <c r="AG2729" s="1">
        <v>42125</v>
      </c>
      <c r="AH2729" s="1">
        <v>42125</v>
      </c>
      <c r="AI2729" s="1">
        <v>42125</v>
      </c>
      <c r="AJ2729" s="1">
        <v>49430</v>
      </c>
      <c r="AK2729" t="s">
        <v>51</v>
      </c>
      <c r="AN2729">
        <v>0</v>
      </c>
      <c r="AO2729" t="s">
        <v>54</v>
      </c>
      <c r="AP2729" t="s">
        <v>53</v>
      </c>
      <c r="AQ2729">
        <v>0</v>
      </c>
      <c r="AR2729" t="s">
        <v>53</v>
      </c>
      <c r="AS2729">
        <v>0</v>
      </c>
      <c r="AT2729">
        <v>0</v>
      </c>
      <c r="AW2729" t="s">
        <v>172</v>
      </c>
      <c r="AX2729">
        <v>15</v>
      </c>
      <c r="AY2729" s="1">
        <v>42125</v>
      </c>
      <c r="AZ2729" s="1">
        <v>42125</v>
      </c>
      <c r="BA2729" s="1">
        <v>42125</v>
      </c>
      <c r="BB2729" s="1">
        <v>47604</v>
      </c>
      <c r="BC2729" t="s">
        <v>51</v>
      </c>
      <c r="BE2729" t="s">
        <v>54</v>
      </c>
      <c r="BF2729">
        <v>40</v>
      </c>
      <c r="BG2729">
        <v>0</v>
      </c>
      <c r="BH2729" t="s">
        <v>145</v>
      </c>
      <c r="CC2729" t="s">
        <v>1066</v>
      </c>
      <c r="CD2729">
        <v>100000</v>
      </c>
      <c r="CE2729" s="1">
        <v>42125</v>
      </c>
      <c r="CF2729" s="1">
        <v>42125</v>
      </c>
      <c r="CG2729" s="1">
        <v>42125</v>
      </c>
      <c r="CH2729" s="1">
        <v>51108</v>
      </c>
      <c r="CI2729" t="s">
        <v>51</v>
      </c>
      <c r="CK2729" t="s">
        <v>78</v>
      </c>
      <c r="CM2729" t="s">
        <v>54</v>
      </c>
      <c r="CN2729" t="s">
        <v>174</v>
      </c>
      <c r="CR2729">
        <v>11</v>
      </c>
      <c r="CS2729">
        <v>1600</v>
      </c>
      <c r="CT2729">
        <v>0</v>
      </c>
      <c r="CU2729">
        <v>16</v>
      </c>
    </row>
    <row r="2730" spans="1:99" x14ac:dyDescent="0.2">
      <c r="A2730" t="s">
        <v>1012</v>
      </c>
      <c r="B2730" t="s">
        <v>1013</v>
      </c>
      <c r="C2730" t="s">
        <v>1014</v>
      </c>
      <c r="D2730" t="s">
        <v>1149</v>
      </c>
      <c r="F2730" t="str">
        <f>"253476"</f>
        <v>253476</v>
      </c>
      <c r="G2730" t="s">
        <v>49</v>
      </c>
      <c r="H2730">
        <v>44</v>
      </c>
      <c r="K2730" t="s">
        <v>51</v>
      </c>
      <c r="L2730" t="s">
        <v>52</v>
      </c>
      <c r="M2730">
        <v>131293.32999999999</v>
      </c>
      <c r="N2730">
        <v>475162.97</v>
      </c>
      <c r="O2730" t="s">
        <v>53</v>
      </c>
      <c r="P2730" t="s">
        <v>54</v>
      </c>
      <c r="Q2730" t="s">
        <v>55</v>
      </c>
      <c r="T2730" t="s">
        <v>246</v>
      </c>
      <c r="U2730">
        <v>40</v>
      </c>
      <c r="V2730" s="1">
        <v>42125</v>
      </c>
      <c r="W2730" s="1">
        <v>42125</v>
      </c>
      <c r="X2730" s="1">
        <v>42125</v>
      </c>
      <c r="Y2730" s="1">
        <v>56735</v>
      </c>
      <c r="Z2730" t="s">
        <v>51</v>
      </c>
      <c r="AB2730" t="s">
        <v>54</v>
      </c>
      <c r="AE2730" t="s">
        <v>1065</v>
      </c>
      <c r="AF2730">
        <v>20</v>
      </c>
      <c r="AG2730" s="1">
        <v>42125</v>
      </c>
      <c r="AH2730" s="1">
        <v>42125</v>
      </c>
      <c r="AI2730" s="1">
        <v>42125</v>
      </c>
      <c r="AJ2730" s="1">
        <v>49430</v>
      </c>
      <c r="AK2730" t="s">
        <v>51</v>
      </c>
      <c r="AN2730">
        <v>0</v>
      </c>
      <c r="AO2730" t="s">
        <v>54</v>
      </c>
      <c r="AP2730" t="s">
        <v>53</v>
      </c>
      <c r="AQ2730">
        <v>0</v>
      </c>
      <c r="AR2730" t="s">
        <v>53</v>
      </c>
      <c r="AS2730">
        <v>0</v>
      </c>
      <c r="AT2730">
        <v>0</v>
      </c>
      <c r="AW2730" t="s">
        <v>172</v>
      </c>
      <c r="AX2730">
        <v>15</v>
      </c>
      <c r="AY2730" s="1">
        <v>42125</v>
      </c>
      <c r="AZ2730" s="1">
        <v>42125</v>
      </c>
      <c r="BA2730" s="1">
        <v>42125</v>
      </c>
      <c r="BB2730" s="1">
        <v>47604</v>
      </c>
      <c r="BC2730" t="s">
        <v>51</v>
      </c>
      <c r="BE2730" t="s">
        <v>54</v>
      </c>
      <c r="BF2730">
        <v>40</v>
      </c>
      <c r="BG2730">
        <v>0</v>
      </c>
      <c r="BH2730" t="s">
        <v>145</v>
      </c>
      <c r="CC2730" t="s">
        <v>1066</v>
      </c>
      <c r="CD2730">
        <v>100000</v>
      </c>
      <c r="CE2730" s="1">
        <v>42125</v>
      </c>
      <c r="CF2730" s="1">
        <v>42125</v>
      </c>
      <c r="CG2730" s="1">
        <v>42125</v>
      </c>
      <c r="CH2730" s="1">
        <v>51108</v>
      </c>
      <c r="CI2730" t="s">
        <v>51</v>
      </c>
      <c r="CK2730" t="s">
        <v>78</v>
      </c>
      <c r="CM2730" t="s">
        <v>54</v>
      </c>
      <c r="CN2730" t="s">
        <v>174</v>
      </c>
      <c r="CR2730">
        <v>11</v>
      </c>
      <c r="CS2730">
        <v>1600</v>
      </c>
      <c r="CT2730">
        <v>0</v>
      </c>
      <c r="CU2730">
        <v>16</v>
      </c>
    </row>
    <row r="2731" spans="1:99" x14ac:dyDescent="0.2">
      <c r="A2731" t="s">
        <v>1012</v>
      </c>
      <c r="B2731" t="s">
        <v>1013</v>
      </c>
      <c r="C2731" t="s">
        <v>1014</v>
      </c>
      <c r="D2731" t="s">
        <v>1149</v>
      </c>
      <c r="F2731" t="str">
        <f>"253477"</f>
        <v>253477</v>
      </c>
      <c r="G2731" t="s">
        <v>49</v>
      </c>
      <c r="H2731">
        <v>31</v>
      </c>
      <c r="K2731" t="s">
        <v>51</v>
      </c>
      <c r="L2731" t="s">
        <v>52</v>
      </c>
      <c r="M2731">
        <v>131310.91</v>
      </c>
      <c r="N2731">
        <v>475152.84</v>
      </c>
      <c r="O2731" t="s">
        <v>53</v>
      </c>
      <c r="P2731" t="s">
        <v>54</v>
      </c>
      <c r="Q2731" t="s">
        <v>55</v>
      </c>
      <c r="T2731" t="s">
        <v>246</v>
      </c>
      <c r="U2731">
        <v>40</v>
      </c>
      <c r="V2731" s="1">
        <v>42125</v>
      </c>
      <c r="W2731" s="1">
        <v>42125</v>
      </c>
      <c r="X2731" s="1">
        <v>42125</v>
      </c>
      <c r="Y2731" s="1">
        <v>56735</v>
      </c>
      <c r="Z2731" t="s">
        <v>51</v>
      </c>
      <c r="AB2731" t="s">
        <v>54</v>
      </c>
      <c r="AE2731" t="s">
        <v>1065</v>
      </c>
      <c r="AF2731">
        <v>20</v>
      </c>
      <c r="AG2731" s="1">
        <v>42125</v>
      </c>
      <c r="AH2731" s="1">
        <v>42125</v>
      </c>
      <c r="AI2731" s="1">
        <v>42125</v>
      </c>
      <c r="AJ2731" s="1">
        <v>49430</v>
      </c>
      <c r="AK2731" t="s">
        <v>51</v>
      </c>
      <c r="AN2731">
        <v>0</v>
      </c>
      <c r="AO2731" t="s">
        <v>54</v>
      </c>
      <c r="AP2731" t="s">
        <v>53</v>
      </c>
      <c r="AQ2731">
        <v>0</v>
      </c>
      <c r="AR2731" t="s">
        <v>53</v>
      </c>
      <c r="AS2731">
        <v>0</v>
      </c>
      <c r="AT2731">
        <v>0</v>
      </c>
      <c r="AW2731" t="s">
        <v>172</v>
      </c>
      <c r="AX2731">
        <v>15</v>
      </c>
      <c r="AY2731" s="1">
        <v>42125</v>
      </c>
      <c r="AZ2731" s="1">
        <v>42125</v>
      </c>
      <c r="BA2731" s="1">
        <v>42125</v>
      </c>
      <c r="BB2731" s="1">
        <v>47604</v>
      </c>
      <c r="BC2731" t="s">
        <v>51</v>
      </c>
      <c r="BE2731" t="s">
        <v>54</v>
      </c>
      <c r="BF2731">
        <v>40</v>
      </c>
      <c r="BG2731">
        <v>0</v>
      </c>
      <c r="BH2731" t="s">
        <v>145</v>
      </c>
      <c r="CC2731" t="s">
        <v>1066</v>
      </c>
      <c r="CD2731">
        <v>100000</v>
      </c>
      <c r="CE2731" s="1">
        <v>42125</v>
      </c>
      <c r="CF2731" s="1">
        <v>42125</v>
      </c>
      <c r="CG2731" s="1">
        <v>42125</v>
      </c>
      <c r="CH2731" s="1">
        <v>51108</v>
      </c>
      <c r="CI2731" t="s">
        <v>51</v>
      </c>
      <c r="CK2731" t="s">
        <v>78</v>
      </c>
      <c r="CM2731" t="s">
        <v>54</v>
      </c>
      <c r="CN2731" t="s">
        <v>174</v>
      </c>
      <c r="CR2731">
        <v>11</v>
      </c>
      <c r="CS2731">
        <v>1600</v>
      </c>
      <c r="CT2731">
        <v>0</v>
      </c>
      <c r="CU2731">
        <v>16</v>
      </c>
    </row>
    <row r="2732" spans="1:99" x14ac:dyDescent="0.2">
      <c r="A2732" t="s">
        <v>1012</v>
      </c>
      <c r="B2732" t="s">
        <v>1013</v>
      </c>
      <c r="C2732" t="s">
        <v>1014</v>
      </c>
      <c r="D2732" t="s">
        <v>1149</v>
      </c>
      <c r="F2732" t="str">
        <f>"253478"</f>
        <v>253478</v>
      </c>
      <c r="G2732" t="s">
        <v>49</v>
      </c>
      <c r="H2732">
        <v>11</v>
      </c>
      <c r="K2732" t="s">
        <v>51</v>
      </c>
      <c r="L2732" t="s">
        <v>52</v>
      </c>
      <c r="M2732">
        <v>131260.20000000001</v>
      </c>
      <c r="N2732">
        <v>475139.16</v>
      </c>
      <c r="O2732" t="s">
        <v>53</v>
      </c>
      <c r="P2732" t="s">
        <v>54</v>
      </c>
      <c r="Q2732" t="s">
        <v>55</v>
      </c>
      <c r="T2732" t="s">
        <v>246</v>
      </c>
      <c r="U2732">
        <v>40</v>
      </c>
      <c r="V2732" s="1">
        <v>42125</v>
      </c>
      <c r="W2732" s="1">
        <v>42125</v>
      </c>
      <c r="X2732" s="1">
        <v>42125</v>
      </c>
      <c r="Y2732" s="1">
        <v>56735</v>
      </c>
      <c r="Z2732" t="s">
        <v>51</v>
      </c>
      <c r="AB2732" t="s">
        <v>54</v>
      </c>
      <c r="AE2732" t="s">
        <v>1065</v>
      </c>
      <c r="AF2732">
        <v>20</v>
      </c>
      <c r="AG2732" s="1">
        <v>42125</v>
      </c>
      <c r="AH2732" s="1">
        <v>42125</v>
      </c>
      <c r="AI2732" s="1">
        <v>42125</v>
      </c>
      <c r="AJ2732" s="1">
        <v>49430</v>
      </c>
      <c r="AK2732" t="s">
        <v>51</v>
      </c>
      <c r="AN2732">
        <v>0</v>
      </c>
      <c r="AO2732" t="s">
        <v>54</v>
      </c>
      <c r="AP2732" t="s">
        <v>53</v>
      </c>
      <c r="AQ2732">
        <v>0</v>
      </c>
      <c r="AR2732" t="s">
        <v>53</v>
      </c>
      <c r="AS2732">
        <v>0</v>
      </c>
      <c r="AT2732">
        <v>0</v>
      </c>
      <c r="AW2732" t="s">
        <v>172</v>
      </c>
      <c r="AX2732">
        <v>15</v>
      </c>
      <c r="AY2732" s="1">
        <v>42125</v>
      </c>
      <c r="AZ2732" s="1">
        <v>42125</v>
      </c>
      <c r="BA2732" s="1">
        <v>42125</v>
      </c>
      <c r="BB2732" s="1">
        <v>47604</v>
      </c>
      <c r="BC2732" t="s">
        <v>51</v>
      </c>
      <c r="BE2732" t="s">
        <v>54</v>
      </c>
      <c r="BF2732">
        <v>40</v>
      </c>
      <c r="BG2732">
        <v>0</v>
      </c>
      <c r="BH2732" t="s">
        <v>145</v>
      </c>
      <c r="CC2732" t="s">
        <v>1066</v>
      </c>
      <c r="CD2732">
        <v>100000</v>
      </c>
      <c r="CE2732" s="1">
        <v>42125</v>
      </c>
      <c r="CF2732" s="1">
        <v>42125</v>
      </c>
      <c r="CG2732" s="1">
        <v>42125</v>
      </c>
      <c r="CH2732" s="1">
        <v>51108</v>
      </c>
      <c r="CI2732" t="s">
        <v>51</v>
      </c>
      <c r="CK2732" t="s">
        <v>78</v>
      </c>
      <c r="CM2732" t="s">
        <v>54</v>
      </c>
      <c r="CN2732" t="s">
        <v>174</v>
      </c>
      <c r="CR2732">
        <v>11</v>
      </c>
      <c r="CS2732">
        <v>1600</v>
      </c>
      <c r="CT2732">
        <v>0</v>
      </c>
      <c r="CU2732">
        <v>16</v>
      </c>
    </row>
    <row r="2733" spans="1:99" x14ac:dyDescent="0.2">
      <c r="A2733" t="s">
        <v>1012</v>
      </c>
      <c r="B2733" t="s">
        <v>1013</v>
      </c>
      <c r="C2733" t="s">
        <v>1014</v>
      </c>
      <c r="D2733" t="s">
        <v>1149</v>
      </c>
      <c r="F2733" t="str">
        <f>"253479"</f>
        <v>253479</v>
      </c>
      <c r="G2733" t="s">
        <v>49</v>
      </c>
      <c r="H2733">
        <v>1</v>
      </c>
      <c r="K2733" t="s">
        <v>51</v>
      </c>
      <c r="L2733" t="s">
        <v>52</v>
      </c>
      <c r="M2733">
        <v>131260.07</v>
      </c>
      <c r="N2733">
        <v>475116.34</v>
      </c>
      <c r="O2733" t="s">
        <v>53</v>
      </c>
      <c r="P2733" t="s">
        <v>54</v>
      </c>
      <c r="Q2733" t="s">
        <v>55</v>
      </c>
      <c r="T2733" t="s">
        <v>246</v>
      </c>
      <c r="U2733">
        <v>40</v>
      </c>
      <c r="V2733" s="1">
        <v>42125</v>
      </c>
      <c r="W2733" s="1">
        <v>42125</v>
      </c>
      <c r="X2733" s="1">
        <v>42125</v>
      </c>
      <c r="Y2733" s="1">
        <v>56735</v>
      </c>
      <c r="Z2733" t="s">
        <v>51</v>
      </c>
      <c r="AB2733" t="s">
        <v>54</v>
      </c>
      <c r="AE2733" t="s">
        <v>1065</v>
      </c>
      <c r="AF2733">
        <v>20</v>
      </c>
      <c r="AG2733" s="1">
        <v>42125</v>
      </c>
      <c r="AH2733" s="1">
        <v>42125</v>
      </c>
      <c r="AI2733" s="1">
        <v>42125</v>
      </c>
      <c r="AJ2733" s="1">
        <v>49430</v>
      </c>
      <c r="AK2733" t="s">
        <v>51</v>
      </c>
      <c r="AN2733">
        <v>0</v>
      </c>
      <c r="AO2733" t="s">
        <v>54</v>
      </c>
      <c r="AP2733" t="s">
        <v>53</v>
      </c>
      <c r="AQ2733">
        <v>0</v>
      </c>
      <c r="AR2733" t="s">
        <v>53</v>
      </c>
      <c r="AS2733">
        <v>0</v>
      </c>
      <c r="AT2733">
        <v>0</v>
      </c>
      <c r="AW2733" t="s">
        <v>172</v>
      </c>
      <c r="AX2733">
        <v>15</v>
      </c>
      <c r="AY2733" s="1">
        <v>42125</v>
      </c>
      <c r="AZ2733" s="1">
        <v>42125</v>
      </c>
      <c r="BA2733" s="1">
        <v>42125</v>
      </c>
      <c r="BB2733" s="1">
        <v>47604</v>
      </c>
      <c r="BC2733" t="s">
        <v>51</v>
      </c>
      <c r="BE2733" t="s">
        <v>54</v>
      </c>
      <c r="BF2733">
        <v>40</v>
      </c>
      <c r="BG2733">
        <v>0</v>
      </c>
      <c r="BH2733" t="s">
        <v>145</v>
      </c>
      <c r="CC2733" t="s">
        <v>1066</v>
      </c>
      <c r="CD2733">
        <v>100000</v>
      </c>
      <c r="CE2733" s="1">
        <v>42125</v>
      </c>
      <c r="CF2733" s="1">
        <v>42125</v>
      </c>
      <c r="CG2733" s="1">
        <v>42125</v>
      </c>
      <c r="CH2733" s="1">
        <v>51108</v>
      </c>
      <c r="CI2733" t="s">
        <v>51</v>
      </c>
      <c r="CK2733" t="s">
        <v>78</v>
      </c>
      <c r="CM2733" t="s">
        <v>54</v>
      </c>
      <c r="CN2733" t="s">
        <v>174</v>
      </c>
      <c r="CR2733">
        <v>11</v>
      </c>
      <c r="CS2733">
        <v>1600</v>
      </c>
      <c r="CT2733">
        <v>0</v>
      </c>
      <c r="CU2733">
        <v>16</v>
      </c>
    </row>
    <row r="2734" spans="1:99" x14ac:dyDescent="0.2">
      <c r="A2734" t="s">
        <v>1012</v>
      </c>
      <c r="B2734" t="s">
        <v>1013</v>
      </c>
      <c r="C2734" t="s">
        <v>1014</v>
      </c>
      <c r="D2734" t="s">
        <v>1150</v>
      </c>
      <c r="F2734" t="str">
        <f>"253480"</f>
        <v>253480</v>
      </c>
      <c r="G2734" t="s">
        <v>49</v>
      </c>
      <c r="H2734">
        <v>4</v>
      </c>
      <c r="K2734" t="s">
        <v>51</v>
      </c>
      <c r="L2734" t="s">
        <v>52</v>
      </c>
      <c r="M2734">
        <v>131238.13</v>
      </c>
      <c r="N2734">
        <v>475238.18</v>
      </c>
      <c r="O2734" t="s">
        <v>53</v>
      </c>
      <c r="P2734" t="s">
        <v>54</v>
      </c>
      <c r="Q2734" t="s">
        <v>55</v>
      </c>
      <c r="T2734" t="s">
        <v>170</v>
      </c>
      <c r="U2734">
        <v>40</v>
      </c>
      <c r="V2734" s="1">
        <v>42125</v>
      </c>
      <c r="W2734" s="1">
        <v>42125</v>
      </c>
      <c r="X2734" s="1">
        <v>42125</v>
      </c>
      <c r="Y2734" s="1">
        <v>56735</v>
      </c>
      <c r="Z2734" t="s">
        <v>51</v>
      </c>
      <c r="AB2734" t="s">
        <v>54</v>
      </c>
      <c r="AE2734" t="s">
        <v>342</v>
      </c>
      <c r="AF2734">
        <v>20</v>
      </c>
      <c r="AG2734" s="1">
        <v>42125</v>
      </c>
      <c r="AH2734" s="1">
        <v>42125</v>
      </c>
      <c r="AI2734" s="1">
        <v>42125</v>
      </c>
      <c r="AJ2734" s="1">
        <v>49430</v>
      </c>
      <c r="AK2734" t="s">
        <v>51</v>
      </c>
      <c r="AN2734">
        <v>0</v>
      </c>
      <c r="AO2734" t="s">
        <v>54</v>
      </c>
      <c r="AP2734" t="s">
        <v>53</v>
      </c>
      <c r="AQ2734">
        <v>0</v>
      </c>
      <c r="AR2734" t="s">
        <v>145</v>
      </c>
      <c r="AS2734">
        <v>19</v>
      </c>
      <c r="AT2734">
        <v>1800</v>
      </c>
      <c r="AW2734" t="s">
        <v>172</v>
      </c>
      <c r="AX2734">
        <v>15</v>
      </c>
      <c r="AY2734" s="1">
        <v>44208</v>
      </c>
      <c r="AZ2734" s="1">
        <v>44208</v>
      </c>
      <c r="BA2734" s="1">
        <v>44208</v>
      </c>
      <c r="BB2734" s="1">
        <v>49686</v>
      </c>
      <c r="BC2734" t="s">
        <v>51</v>
      </c>
      <c r="BE2734" t="s">
        <v>54</v>
      </c>
      <c r="BF2734">
        <v>40</v>
      </c>
      <c r="BG2734">
        <v>0</v>
      </c>
      <c r="BH2734" t="s">
        <v>145</v>
      </c>
      <c r="CC2734" t="s">
        <v>173</v>
      </c>
      <c r="CD2734">
        <v>100000</v>
      </c>
      <c r="CE2734" s="1">
        <v>42125</v>
      </c>
      <c r="CF2734" s="1">
        <v>42125</v>
      </c>
      <c r="CG2734" s="1">
        <v>44208</v>
      </c>
      <c r="CH2734" s="1">
        <v>51108</v>
      </c>
      <c r="CI2734" t="s">
        <v>51</v>
      </c>
      <c r="CK2734" t="s">
        <v>78</v>
      </c>
      <c r="CM2734" t="s">
        <v>54</v>
      </c>
      <c r="CN2734" t="s">
        <v>174</v>
      </c>
      <c r="CO2734" t="s">
        <v>86</v>
      </c>
      <c r="CP2734">
        <v>830</v>
      </c>
      <c r="CR2734">
        <v>19</v>
      </c>
      <c r="CS2734">
        <v>1800</v>
      </c>
      <c r="CT2734">
        <v>0</v>
      </c>
      <c r="CU2734">
        <v>16</v>
      </c>
    </row>
    <row r="2735" spans="1:99" x14ac:dyDescent="0.2">
      <c r="A2735" t="s">
        <v>1012</v>
      </c>
      <c r="B2735" t="s">
        <v>1013</v>
      </c>
      <c r="C2735" t="s">
        <v>1014</v>
      </c>
      <c r="D2735" t="s">
        <v>1150</v>
      </c>
      <c r="F2735" t="str">
        <f>"253481"</f>
        <v>253481</v>
      </c>
      <c r="G2735" t="s">
        <v>49</v>
      </c>
      <c r="H2735">
        <v>7</v>
      </c>
      <c r="K2735" t="s">
        <v>51</v>
      </c>
      <c r="L2735" t="s">
        <v>52</v>
      </c>
      <c r="M2735">
        <v>131229.96</v>
      </c>
      <c r="N2735">
        <v>475265.61</v>
      </c>
      <c r="O2735" t="s">
        <v>53</v>
      </c>
      <c r="P2735" t="s">
        <v>54</v>
      </c>
      <c r="Q2735" t="s">
        <v>55</v>
      </c>
      <c r="T2735" t="s">
        <v>170</v>
      </c>
      <c r="U2735">
        <v>40</v>
      </c>
      <c r="V2735" s="1">
        <v>42125</v>
      </c>
      <c r="W2735" s="1">
        <v>42125</v>
      </c>
      <c r="X2735" s="1">
        <v>42125</v>
      </c>
      <c r="Y2735" s="1">
        <v>56735</v>
      </c>
      <c r="Z2735" t="s">
        <v>51</v>
      </c>
      <c r="AB2735" t="s">
        <v>54</v>
      </c>
      <c r="AE2735" t="s">
        <v>342</v>
      </c>
      <c r="AF2735">
        <v>20</v>
      </c>
      <c r="AG2735" s="1">
        <v>42125</v>
      </c>
      <c r="AH2735" s="1">
        <v>42125</v>
      </c>
      <c r="AI2735" s="1">
        <v>42125</v>
      </c>
      <c r="AJ2735" s="1">
        <v>49430</v>
      </c>
      <c r="AK2735" t="s">
        <v>51</v>
      </c>
      <c r="AN2735">
        <v>0</v>
      </c>
      <c r="AO2735" t="s">
        <v>54</v>
      </c>
      <c r="AP2735" t="s">
        <v>53</v>
      </c>
      <c r="AQ2735">
        <v>0</v>
      </c>
      <c r="AR2735" t="s">
        <v>145</v>
      </c>
      <c r="AS2735">
        <v>19</v>
      </c>
      <c r="AT2735">
        <v>1800</v>
      </c>
      <c r="AW2735" t="s">
        <v>172</v>
      </c>
      <c r="AX2735">
        <v>15</v>
      </c>
      <c r="AY2735" s="1">
        <v>42125</v>
      </c>
      <c r="AZ2735" s="1">
        <v>42125</v>
      </c>
      <c r="BA2735" s="1">
        <v>42125</v>
      </c>
      <c r="BB2735" s="1">
        <v>47604</v>
      </c>
      <c r="BC2735" t="s">
        <v>51</v>
      </c>
      <c r="BE2735" t="s">
        <v>54</v>
      </c>
      <c r="BF2735">
        <v>40</v>
      </c>
      <c r="BG2735">
        <v>0</v>
      </c>
      <c r="BH2735" t="s">
        <v>145</v>
      </c>
      <c r="CC2735" t="s">
        <v>173</v>
      </c>
      <c r="CD2735">
        <v>100000</v>
      </c>
      <c r="CE2735" s="1">
        <v>42125</v>
      </c>
      <c r="CF2735" s="1">
        <v>42125</v>
      </c>
      <c r="CG2735" s="1">
        <v>42125</v>
      </c>
      <c r="CH2735" s="1">
        <v>51108</v>
      </c>
      <c r="CI2735" t="s">
        <v>51</v>
      </c>
      <c r="CK2735" t="s">
        <v>78</v>
      </c>
      <c r="CM2735" t="s">
        <v>54</v>
      </c>
      <c r="CN2735" t="s">
        <v>174</v>
      </c>
      <c r="CO2735" t="s">
        <v>86</v>
      </c>
      <c r="CP2735">
        <v>830</v>
      </c>
      <c r="CR2735">
        <v>19</v>
      </c>
      <c r="CS2735">
        <v>1800</v>
      </c>
      <c r="CT2735">
        <v>0</v>
      </c>
      <c r="CU2735">
        <v>16</v>
      </c>
    </row>
    <row r="2736" spans="1:99" x14ac:dyDescent="0.2">
      <c r="A2736" t="s">
        <v>1012</v>
      </c>
      <c r="B2736" t="s">
        <v>1013</v>
      </c>
      <c r="C2736" t="s">
        <v>1014</v>
      </c>
      <c r="D2736" t="s">
        <v>1150</v>
      </c>
      <c r="F2736" t="str">
        <f>"253482"</f>
        <v>253482</v>
      </c>
      <c r="G2736" t="s">
        <v>49</v>
      </c>
      <c r="H2736">
        <v>22</v>
      </c>
      <c r="K2736" t="s">
        <v>51</v>
      </c>
      <c r="L2736" t="s">
        <v>52</v>
      </c>
      <c r="M2736">
        <v>131238.03</v>
      </c>
      <c r="N2736">
        <v>475287.78</v>
      </c>
      <c r="O2736" t="s">
        <v>53</v>
      </c>
      <c r="P2736" t="s">
        <v>54</v>
      </c>
      <c r="Q2736" t="s">
        <v>55</v>
      </c>
      <c r="T2736" t="s">
        <v>170</v>
      </c>
      <c r="U2736">
        <v>40</v>
      </c>
      <c r="V2736" s="1">
        <v>42125</v>
      </c>
      <c r="W2736" s="1">
        <v>42125</v>
      </c>
      <c r="X2736" s="1">
        <v>42125</v>
      </c>
      <c r="Y2736" s="1">
        <v>56735</v>
      </c>
      <c r="Z2736" t="s">
        <v>51</v>
      </c>
      <c r="AB2736" t="s">
        <v>54</v>
      </c>
      <c r="AE2736" t="s">
        <v>342</v>
      </c>
      <c r="AF2736">
        <v>20</v>
      </c>
      <c r="AG2736" s="1">
        <v>42125</v>
      </c>
      <c r="AH2736" s="1">
        <v>42125</v>
      </c>
      <c r="AI2736" s="1">
        <v>42125</v>
      </c>
      <c r="AJ2736" s="1">
        <v>49430</v>
      </c>
      <c r="AK2736" t="s">
        <v>51</v>
      </c>
      <c r="AN2736">
        <v>0</v>
      </c>
      <c r="AO2736" t="s">
        <v>54</v>
      </c>
      <c r="AP2736" t="s">
        <v>53</v>
      </c>
      <c r="AQ2736">
        <v>0</v>
      </c>
      <c r="AR2736" t="s">
        <v>145</v>
      </c>
      <c r="AS2736">
        <v>19</v>
      </c>
      <c r="AT2736">
        <v>1800</v>
      </c>
      <c r="AW2736" t="s">
        <v>172</v>
      </c>
      <c r="AX2736">
        <v>15</v>
      </c>
      <c r="AY2736" s="1">
        <v>42125</v>
      </c>
      <c r="AZ2736" s="1">
        <v>42125</v>
      </c>
      <c r="BA2736" s="1">
        <v>42125</v>
      </c>
      <c r="BB2736" s="1">
        <v>47604</v>
      </c>
      <c r="BC2736" t="s">
        <v>51</v>
      </c>
      <c r="BE2736" t="s">
        <v>54</v>
      </c>
      <c r="BF2736">
        <v>40</v>
      </c>
      <c r="BG2736">
        <v>0</v>
      </c>
      <c r="BH2736" t="s">
        <v>145</v>
      </c>
      <c r="CC2736" t="s">
        <v>173</v>
      </c>
      <c r="CD2736">
        <v>100000</v>
      </c>
      <c r="CE2736" s="1">
        <v>42125</v>
      </c>
      <c r="CF2736" s="1">
        <v>42125</v>
      </c>
      <c r="CG2736" s="1">
        <v>42125</v>
      </c>
      <c r="CH2736" s="1">
        <v>51108</v>
      </c>
      <c r="CI2736" t="s">
        <v>51</v>
      </c>
      <c r="CK2736" t="s">
        <v>78</v>
      </c>
      <c r="CM2736" t="s">
        <v>54</v>
      </c>
      <c r="CN2736" t="s">
        <v>174</v>
      </c>
      <c r="CO2736" t="s">
        <v>86</v>
      </c>
      <c r="CP2736">
        <v>830</v>
      </c>
      <c r="CR2736">
        <v>19</v>
      </c>
      <c r="CS2736">
        <v>1800</v>
      </c>
      <c r="CT2736">
        <v>0</v>
      </c>
      <c r="CU2736">
        <v>16</v>
      </c>
    </row>
    <row r="2737" spans="1:99" x14ac:dyDescent="0.2">
      <c r="A2737" t="s">
        <v>1012</v>
      </c>
      <c r="B2737" t="s">
        <v>1013</v>
      </c>
      <c r="C2737" t="s">
        <v>1014</v>
      </c>
      <c r="D2737" t="s">
        <v>1150</v>
      </c>
      <c r="F2737" t="str">
        <f>"253483"</f>
        <v>253483</v>
      </c>
      <c r="G2737" t="s">
        <v>49</v>
      </c>
      <c r="H2737">
        <v>13</v>
      </c>
      <c r="K2737" t="s">
        <v>51</v>
      </c>
      <c r="L2737" t="s">
        <v>52</v>
      </c>
      <c r="M2737">
        <v>131229.92000000001</v>
      </c>
      <c r="N2737">
        <v>475311.69</v>
      </c>
      <c r="O2737" t="s">
        <v>53</v>
      </c>
      <c r="P2737" t="s">
        <v>54</v>
      </c>
      <c r="Q2737" t="s">
        <v>55</v>
      </c>
      <c r="T2737" t="s">
        <v>170</v>
      </c>
      <c r="U2737">
        <v>40</v>
      </c>
      <c r="V2737" s="1">
        <v>42125</v>
      </c>
      <c r="W2737" s="1">
        <v>42125</v>
      </c>
      <c r="X2737" s="1">
        <v>42125</v>
      </c>
      <c r="Y2737" s="1">
        <v>56735</v>
      </c>
      <c r="Z2737" t="s">
        <v>51</v>
      </c>
      <c r="AB2737" t="s">
        <v>54</v>
      </c>
      <c r="AE2737" t="s">
        <v>342</v>
      </c>
      <c r="AF2737">
        <v>20</v>
      </c>
      <c r="AG2737" s="1">
        <v>42125</v>
      </c>
      <c r="AH2737" s="1">
        <v>42125</v>
      </c>
      <c r="AI2737" s="1">
        <v>42125</v>
      </c>
      <c r="AJ2737" s="1">
        <v>49430</v>
      </c>
      <c r="AK2737" t="s">
        <v>51</v>
      </c>
      <c r="AN2737">
        <v>0</v>
      </c>
      <c r="AO2737" t="s">
        <v>54</v>
      </c>
      <c r="AP2737" t="s">
        <v>53</v>
      </c>
      <c r="AQ2737">
        <v>0</v>
      </c>
      <c r="AR2737" t="s">
        <v>145</v>
      </c>
      <c r="AS2737">
        <v>19</v>
      </c>
      <c r="AT2737">
        <v>1800</v>
      </c>
      <c r="AW2737" t="s">
        <v>172</v>
      </c>
      <c r="AX2737">
        <v>15</v>
      </c>
      <c r="AY2737" s="1">
        <v>42125</v>
      </c>
      <c r="AZ2737" s="1">
        <v>42125</v>
      </c>
      <c r="BA2737" s="1">
        <v>42125</v>
      </c>
      <c r="BB2737" s="1">
        <v>47604</v>
      </c>
      <c r="BC2737" t="s">
        <v>51</v>
      </c>
      <c r="BE2737" t="s">
        <v>54</v>
      </c>
      <c r="BF2737">
        <v>40</v>
      </c>
      <c r="BG2737">
        <v>0</v>
      </c>
      <c r="BH2737" t="s">
        <v>145</v>
      </c>
      <c r="CC2737" t="s">
        <v>173</v>
      </c>
      <c r="CD2737">
        <v>100000</v>
      </c>
      <c r="CE2737" s="1">
        <v>42125</v>
      </c>
      <c r="CF2737" s="1">
        <v>42125</v>
      </c>
      <c r="CG2737" s="1">
        <v>42125</v>
      </c>
      <c r="CH2737" s="1">
        <v>51108</v>
      </c>
      <c r="CI2737" t="s">
        <v>51</v>
      </c>
      <c r="CK2737" t="s">
        <v>78</v>
      </c>
      <c r="CM2737" t="s">
        <v>54</v>
      </c>
      <c r="CN2737" t="s">
        <v>174</v>
      </c>
      <c r="CO2737" t="s">
        <v>86</v>
      </c>
      <c r="CP2737">
        <v>830</v>
      </c>
      <c r="CR2737">
        <v>19</v>
      </c>
      <c r="CS2737">
        <v>1800</v>
      </c>
      <c r="CT2737">
        <v>0</v>
      </c>
      <c r="CU2737">
        <v>16</v>
      </c>
    </row>
    <row r="2738" spans="1:99" x14ac:dyDescent="0.2">
      <c r="A2738" t="s">
        <v>1012</v>
      </c>
      <c r="B2738" t="s">
        <v>1013</v>
      </c>
      <c r="C2738" t="s">
        <v>1014</v>
      </c>
      <c r="D2738" t="s">
        <v>1151</v>
      </c>
      <c r="F2738" t="str">
        <f>"253484"</f>
        <v>253484</v>
      </c>
      <c r="G2738" t="s">
        <v>49</v>
      </c>
      <c r="H2738">
        <v>25</v>
      </c>
      <c r="K2738" t="s">
        <v>51</v>
      </c>
      <c r="L2738" t="s">
        <v>52</v>
      </c>
      <c r="M2738">
        <v>131235.29999999999</v>
      </c>
      <c r="N2738">
        <v>475334.07</v>
      </c>
      <c r="O2738" t="s">
        <v>53</v>
      </c>
      <c r="P2738" t="s">
        <v>54</v>
      </c>
      <c r="Q2738" t="s">
        <v>55</v>
      </c>
      <c r="T2738" t="s">
        <v>170</v>
      </c>
      <c r="U2738">
        <v>40</v>
      </c>
      <c r="V2738" s="1">
        <v>42125</v>
      </c>
      <c r="W2738" s="1">
        <v>42125</v>
      </c>
      <c r="X2738" s="1">
        <v>42125</v>
      </c>
      <c r="Y2738" s="1">
        <v>56735</v>
      </c>
      <c r="Z2738" t="s">
        <v>51</v>
      </c>
      <c r="AB2738" t="s">
        <v>54</v>
      </c>
      <c r="AE2738" t="s">
        <v>342</v>
      </c>
      <c r="AF2738">
        <v>20</v>
      </c>
      <c r="AG2738" s="1">
        <v>42125</v>
      </c>
      <c r="AH2738" s="1">
        <v>42125</v>
      </c>
      <c r="AI2738" s="1">
        <v>42125</v>
      </c>
      <c r="AJ2738" s="1">
        <v>49430</v>
      </c>
      <c r="AK2738" t="s">
        <v>51</v>
      </c>
      <c r="AN2738">
        <v>0</v>
      </c>
      <c r="AO2738" t="s">
        <v>54</v>
      </c>
      <c r="AP2738" t="s">
        <v>53</v>
      </c>
      <c r="AQ2738">
        <v>0</v>
      </c>
      <c r="AR2738" t="s">
        <v>145</v>
      </c>
      <c r="AS2738">
        <v>19</v>
      </c>
      <c r="AT2738">
        <v>1800</v>
      </c>
      <c r="AW2738" t="s">
        <v>172</v>
      </c>
      <c r="AX2738">
        <v>15</v>
      </c>
      <c r="AY2738" s="1">
        <v>42125</v>
      </c>
      <c r="AZ2738" s="1">
        <v>42125</v>
      </c>
      <c r="BA2738" s="1">
        <v>42125</v>
      </c>
      <c r="BB2738" s="1">
        <v>47604</v>
      </c>
      <c r="BC2738" t="s">
        <v>51</v>
      </c>
      <c r="BE2738" t="s">
        <v>54</v>
      </c>
      <c r="BF2738">
        <v>40</v>
      </c>
      <c r="BG2738">
        <v>0</v>
      </c>
      <c r="BH2738" t="s">
        <v>145</v>
      </c>
      <c r="CC2738" t="s">
        <v>173</v>
      </c>
      <c r="CD2738">
        <v>100000</v>
      </c>
      <c r="CE2738" s="1">
        <v>42125</v>
      </c>
      <c r="CF2738" s="1">
        <v>42125</v>
      </c>
      <c r="CG2738" s="1">
        <v>42125</v>
      </c>
      <c r="CH2738" s="1">
        <v>51108</v>
      </c>
      <c r="CI2738" t="s">
        <v>51</v>
      </c>
      <c r="CK2738" t="s">
        <v>78</v>
      </c>
      <c r="CM2738" t="s">
        <v>54</v>
      </c>
      <c r="CN2738" t="s">
        <v>174</v>
      </c>
      <c r="CO2738" t="s">
        <v>86</v>
      </c>
      <c r="CP2738">
        <v>830</v>
      </c>
      <c r="CR2738">
        <v>19</v>
      </c>
      <c r="CS2738">
        <v>1800</v>
      </c>
      <c r="CT2738">
        <v>0</v>
      </c>
      <c r="CU2738">
        <v>16</v>
      </c>
    </row>
    <row r="2739" spans="1:99" x14ac:dyDescent="0.2">
      <c r="A2739" t="s">
        <v>1012</v>
      </c>
      <c r="B2739" t="s">
        <v>1013</v>
      </c>
      <c r="C2739" t="s">
        <v>1014</v>
      </c>
      <c r="D2739" t="s">
        <v>1151</v>
      </c>
      <c r="F2739" t="str">
        <f>"253485"</f>
        <v>253485</v>
      </c>
      <c r="G2739" t="s">
        <v>49</v>
      </c>
      <c r="H2739">
        <v>19</v>
      </c>
      <c r="K2739" t="s">
        <v>51</v>
      </c>
      <c r="L2739" t="s">
        <v>52</v>
      </c>
      <c r="M2739">
        <v>131264.17000000001</v>
      </c>
      <c r="N2739">
        <v>475327.21</v>
      </c>
      <c r="O2739" t="s">
        <v>53</v>
      </c>
      <c r="P2739" t="s">
        <v>54</v>
      </c>
      <c r="Q2739" t="s">
        <v>55</v>
      </c>
      <c r="T2739" t="s">
        <v>170</v>
      </c>
      <c r="U2739">
        <v>40</v>
      </c>
      <c r="V2739" s="1">
        <v>42125</v>
      </c>
      <c r="W2739" s="1">
        <v>42125</v>
      </c>
      <c r="X2739" s="1">
        <v>42125</v>
      </c>
      <c r="Y2739" s="1">
        <v>56735</v>
      </c>
      <c r="Z2739" t="s">
        <v>51</v>
      </c>
      <c r="AB2739" t="s">
        <v>54</v>
      </c>
      <c r="AE2739" t="s">
        <v>342</v>
      </c>
      <c r="AF2739">
        <v>20</v>
      </c>
      <c r="AG2739" s="1">
        <v>42125</v>
      </c>
      <c r="AH2739" s="1">
        <v>42125</v>
      </c>
      <c r="AI2739" s="1">
        <v>42125</v>
      </c>
      <c r="AJ2739" s="1">
        <v>49430</v>
      </c>
      <c r="AK2739" t="s">
        <v>51</v>
      </c>
      <c r="AN2739">
        <v>0</v>
      </c>
      <c r="AO2739" t="s">
        <v>54</v>
      </c>
      <c r="AP2739" t="s">
        <v>53</v>
      </c>
      <c r="AQ2739">
        <v>0</v>
      </c>
      <c r="AR2739" t="s">
        <v>145</v>
      </c>
      <c r="AS2739">
        <v>19</v>
      </c>
      <c r="AT2739">
        <v>1800</v>
      </c>
      <c r="AW2739" t="s">
        <v>172</v>
      </c>
      <c r="AX2739">
        <v>15</v>
      </c>
      <c r="AY2739" s="1">
        <v>42125</v>
      </c>
      <c r="AZ2739" s="1">
        <v>42125</v>
      </c>
      <c r="BA2739" s="1">
        <v>42125</v>
      </c>
      <c r="BB2739" s="1">
        <v>47604</v>
      </c>
      <c r="BC2739" t="s">
        <v>51</v>
      </c>
      <c r="BE2739" t="s">
        <v>54</v>
      </c>
      <c r="BF2739">
        <v>40</v>
      </c>
      <c r="BG2739">
        <v>0</v>
      </c>
      <c r="BH2739" t="s">
        <v>145</v>
      </c>
      <c r="CC2739" t="s">
        <v>173</v>
      </c>
      <c r="CD2739">
        <v>100000</v>
      </c>
      <c r="CE2739" s="1">
        <v>42125</v>
      </c>
      <c r="CF2739" s="1">
        <v>42125</v>
      </c>
      <c r="CG2739" s="1">
        <v>42125</v>
      </c>
      <c r="CH2739" s="1">
        <v>51108</v>
      </c>
      <c r="CI2739" t="s">
        <v>51</v>
      </c>
      <c r="CK2739" t="s">
        <v>78</v>
      </c>
      <c r="CM2739" t="s">
        <v>54</v>
      </c>
      <c r="CN2739" t="s">
        <v>174</v>
      </c>
      <c r="CO2739" t="s">
        <v>86</v>
      </c>
      <c r="CP2739">
        <v>830</v>
      </c>
      <c r="CR2739">
        <v>19</v>
      </c>
      <c r="CS2739">
        <v>1800</v>
      </c>
      <c r="CT2739">
        <v>0</v>
      </c>
      <c r="CU2739">
        <v>16</v>
      </c>
    </row>
    <row r="2740" spans="1:99" x14ac:dyDescent="0.2">
      <c r="A2740" t="s">
        <v>1012</v>
      </c>
      <c r="B2740" t="s">
        <v>1013</v>
      </c>
      <c r="C2740" t="s">
        <v>1014</v>
      </c>
      <c r="D2740" t="s">
        <v>1152</v>
      </c>
      <c r="F2740" t="str">
        <f>"253486"</f>
        <v>253486</v>
      </c>
      <c r="G2740" t="s">
        <v>49</v>
      </c>
      <c r="H2740">
        <v>6</v>
      </c>
      <c r="K2740" t="s">
        <v>51</v>
      </c>
      <c r="L2740" t="s">
        <v>52</v>
      </c>
      <c r="M2740">
        <v>131269.14000000001</v>
      </c>
      <c r="N2740">
        <v>475353.94</v>
      </c>
      <c r="O2740" t="s">
        <v>53</v>
      </c>
      <c r="P2740" t="s">
        <v>54</v>
      </c>
      <c r="Q2740" t="s">
        <v>55</v>
      </c>
      <c r="T2740" t="s">
        <v>170</v>
      </c>
      <c r="U2740">
        <v>40</v>
      </c>
      <c r="V2740" s="1">
        <v>42125</v>
      </c>
      <c r="W2740" s="1">
        <v>42125</v>
      </c>
      <c r="X2740" s="1">
        <v>42125</v>
      </c>
      <c r="Y2740" s="1">
        <v>56735</v>
      </c>
      <c r="Z2740" t="s">
        <v>51</v>
      </c>
      <c r="AB2740" t="s">
        <v>54</v>
      </c>
      <c r="AE2740" t="s">
        <v>342</v>
      </c>
      <c r="AF2740">
        <v>20</v>
      </c>
      <c r="AG2740" s="1">
        <v>42125</v>
      </c>
      <c r="AH2740" s="1">
        <v>42125</v>
      </c>
      <c r="AI2740" s="1">
        <v>42125</v>
      </c>
      <c r="AJ2740" s="1">
        <v>49430</v>
      </c>
      <c r="AK2740" t="s">
        <v>51</v>
      </c>
      <c r="AN2740">
        <v>0</v>
      </c>
      <c r="AO2740" t="s">
        <v>54</v>
      </c>
      <c r="AP2740" t="s">
        <v>53</v>
      </c>
      <c r="AQ2740">
        <v>0</v>
      </c>
      <c r="AR2740" t="s">
        <v>145</v>
      </c>
      <c r="AS2740">
        <v>19</v>
      </c>
      <c r="AT2740">
        <v>1800</v>
      </c>
      <c r="AW2740" t="s">
        <v>172</v>
      </c>
      <c r="AX2740">
        <v>15</v>
      </c>
      <c r="AY2740" s="1">
        <v>42125</v>
      </c>
      <c r="AZ2740" s="1">
        <v>42125</v>
      </c>
      <c r="BA2740" s="1">
        <v>42125</v>
      </c>
      <c r="BB2740" s="1">
        <v>47604</v>
      </c>
      <c r="BC2740" t="s">
        <v>51</v>
      </c>
      <c r="BE2740" t="s">
        <v>54</v>
      </c>
      <c r="BF2740">
        <v>40</v>
      </c>
      <c r="BG2740">
        <v>0</v>
      </c>
      <c r="BH2740" t="s">
        <v>145</v>
      </c>
      <c r="CC2740" t="s">
        <v>173</v>
      </c>
      <c r="CD2740">
        <v>100000</v>
      </c>
      <c r="CE2740" s="1">
        <v>42125</v>
      </c>
      <c r="CF2740" s="1">
        <v>42125</v>
      </c>
      <c r="CG2740" s="1">
        <v>42125</v>
      </c>
      <c r="CH2740" s="1">
        <v>51108</v>
      </c>
      <c r="CI2740" t="s">
        <v>51</v>
      </c>
      <c r="CK2740" t="s">
        <v>78</v>
      </c>
      <c r="CM2740" t="s">
        <v>54</v>
      </c>
      <c r="CN2740" t="s">
        <v>174</v>
      </c>
      <c r="CO2740" t="s">
        <v>86</v>
      </c>
      <c r="CP2740">
        <v>830</v>
      </c>
      <c r="CR2740">
        <v>19</v>
      </c>
      <c r="CS2740">
        <v>1800</v>
      </c>
      <c r="CT2740">
        <v>0</v>
      </c>
      <c r="CU2740">
        <v>16</v>
      </c>
    </row>
    <row r="2741" spans="1:99" x14ac:dyDescent="0.2">
      <c r="A2741" t="s">
        <v>1012</v>
      </c>
      <c r="B2741" t="s">
        <v>1013</v>
      </c>
      <c r="C2741" t="s">
        <v>1014</v>
      </c>
      <c r="D2741" t="s">
        <v>1152</v>
      </c>
      <c r="F2741" t="str">
        <f>"253487"</f>
        <v>253487</v>
      </c>
      <c r="G2741" t="s">
        <v>49</v>
      </c>
      <c r="H2741">
        <v>7</v>
      </c>
      <c r="K2741" t="s">
        <v>51</v>
      </c>
      <c r="L2741" t="s">
        <v>52</v>
      </c>
      <c r="M2741">
        <v>131260.03</v>
      </c>
      <c r="N2741">
        <v>475380.41</v>
      </c>
      <c r="O2741" t="s">
        <v>53</v>
      </c>
      <c r="P2741" t="s">
        <v>54</v>
      </c>
      <c r="Q2741" t="s">
        <v>55</v>
      </c>
      <c r="T2741" t="s">
        <v>170</v>
      </c>
      <c r="U2741">
        <v>40</v>
      </c>
      <c r="V2741" s="1">
        <v>42125</v>
      </c>
      <c r="W2741" s="1">
        <v>42125</v>
      </c>
      <c r="X2741" s="1">
        <v>42125</v>
      </c>
      <c r="Y2741" s="1">
        <v>56735</v>
      </c>
      <c r="Z2741" t="s">
        <v>51</v>
      </c>
      <c r="AB2741" t="s">
        <v>54</v>
      </c>
      <c r="AE2741" t="s">
        <v>342</v>
      </c>
      <c r="AF2741">
        <v>20</v>
      </c>
      <c r="AG2741" s="1">
        <v>42125</v>
      </c>
      <c r="AH2741" s="1">
        <v>42125</v>
      </c>
      <c r="AI2741" s="1">
        <v>42125</v>
      </c>
      <c r="AJ2741" s="1">
        <v>49430</v>
      </c>
      <c r="AK2741" t="s">
        <v>51</v>
      </c>
      <c r="AN2741">
        <v>0</v>
      </c>
      <c r="AO2741" t="s">
        <v>54</v>
      </c>
      <c r="AP2741" t="s">
        <v>53</v>
      </c>
      <c r="AQ2741">
        <v>0</v>
      </c>
      <c r="AR2741" t="s">
        <v>145</v>
      </c>
      <c r="AS2741">
        <v>19</v>
      </c>
      <c r="AT2741">
        <v>1800</v>
      </c>
      <c r="AW2741" t="s">
        <v>172</v>
      </c>
      <c r="AX2741">
        <v>15</v>
      </c>
      <c r="AY2741" s="1">
        <v>42125</v>
      </c>
      <c r="AZ2741" s="1">
        <v>42125</v>
      </c>
      <c r="BA2741" s="1">
        <v>42125</v>
      </c>
      <c r="BB2741" s="1">
        <v>47604</v>
      </c>
      <c r="BC2741" t="s">
        <v>51</v>
      </c>
      <c r="BE2741" t="s">
        <v>54</v>
      </c>
      <c r="BF2741">
        <v>40</v>
      </c>
      <c r="BG2741">
        <v>0</v>
      </c>
      <c r="BH2741" t="s">
        <v>145</v>
      </c>
      <c r="CC2741" t="s">
        <v>173</v>
      </c>
      <c r="CD2741">
        <v>100000</v>
      </c>
      <c r="CE2741" s="1">
        <v>42125</v>
      </c>
      <c r="CF2741" s="1">
        <v>42125</v>
      </c>
      <c r="CG2741" s="1">
        <v>42125</v>
      </c>
      <c r="CH2741" s="1">
        <v>51108</v>
      </c>
      <c r="CI2741" t="s">
        <v>51</v>
      </c>
      <c r="CK2741" t="s">
        <v>78</v>
      </c>
      <c r="CM2741" t="s">
        <v>54</v>
      </c>
      <c r="CN2741" t="s">
        <v>174</v>
      </c>
      <c r="CO2741" t="s">
        <v>86</v>
      </c>
      <c r="CP2741">
        <v>830</v>
      </c>
      <c r="CR2741">
        <v>19</v>
      </c>
      <c r="CS2741">
        <v>1800</v>
      </c>
      <c r="CT2741">
        <v>0</v>
      </c>
      <c r="CU2741">
        <v>16</v>
      </c>
    </row>
    <row r="2742" spans="1:99" x14ac:dyDescent="0.2">
      <c r="A2742" t="s">
        <v>1012</v>
      </c>
      <c r="B2742" t="s">
        <v>1013</v>
      </c>
      <c r="C2742" t="s">
        <v>1014</v>
      </c>
      <c r="D2742" t="s">
        <v>1152</v>
      </c>
      <c r="F2742" t="str">
        <f>"253488"</f>
        <v>253488</v>
      </c>
      <c r="G2742" t="s">
        <v>49</v>
      </c>
      <c r="H2742">
        <v>20</v>
      </c>
      <c r="K2742" t="s">
        <v>51</v>
      </c>
      <c r="L2742" t="s">
        <v>52</v>
      </c>
      <c r="M2742">
        <v>131268.44</v>
      </c>
      <c r="N2742">
        <v>475404.19</v>
      </c>
      <c r="O2742" t="s">
        <v>53</v>
      </c>
      <c r="P2742" t="s">
        <v>54</v>
      </c>
      <c r="Q2742" t="s">
        <v>55</v>
      </c>
      <c r="T2742" t="s">
        <v>170</v>
      </c>
      <c r="U2742">
        <v>40</v>
      </c>
      <c r="V2742" s="1">
        <v>42125</v>
      </c>
      <c r="W2742" s="1">
        <v>42125</v>
      </c>
      <c r="X2742" s="1">
        <v>42125</v>
      </c>
      <c r="Y2742" s="1">
        <v>56735</v>
      </c>
      <c r="Z2742" t="s">
        <v>51</v>
      </c>
      <c r="AB2742" t="s">
        <v>54</v>
      </c>
      <c r="AE2742" t="s">
        <v>342</v>
      </c>
      <c r="AF2742">
        <v>20</v>
      </c>
      <c r="AG2742" s="1">
        <v>42125</v>
      </c>
      <c r="AH2742" s="1">
        <v>42125</v>
      </c>
      <c r="AI2742" s="1">
        <v>42125</v>
      </c>
      <c r="AJ2742" s="1">
        <v>49430</v>
      </c>
      <c r="AK2742" t="s">
        <v>51</v>
      </c>
      <c r="AN2742">
        <v>0</v>
      </c>
      <c r="AO2742" t="s">
        <v>54</v>
      </c>
      <c r="AP2742" t="s">
        <v>53</v>
      </c>
      <c r="AQ2742">
        <v>0</v>
      </c>
      <c r="AR2742" t="s">
        <v>145</v>
      </c>
      <c r="AS2742">
        <v>19</v>
      </c>
      <c r="AT2742">
        <v>1800</v>
      </c>
      <c r="AW2742" t="s">
        <v>172</v>
      </c>
      <c r="AX2742">
        <v>15</v>
      </c>
      <c r="AY2742" s="1">
        <v>42125</v>
      </c>
      <c r="AZ2742" s="1">
        <v>42125</v>
      </c>
      <c r="BA2742" s="1">
        <v>42125</v>
      </c>
      <c r="BB2742" s="1">
        <v>47604</v>
      </c>
      <c r="BC2742" t="s">
        <v>51</v>
      </c>
      <c r="BE2742" t="s">
        <v>54</v>
      </c>
      <c r="BF2742">
        <v>40</v>
      </c>
      <c r="BG2742">
        <v>0</v>
      </c>
      <c r="BH2742" t="s">
        <v>145</v>
      </c>
      <c r="CC2742" t="s">
        <v>173</v>
      </c>
      <c r="CD2742">
        <v>100000</v>
      </c>
      <c r="CE2742" s="1">
        <v>42125</v>
      </c>
      <c r="CF2742" s="1">
        <v>42125</v>
      </c>
      <c r="CG2742" s="1">
        <v>42125</v>
      </c>
      <c r="CH2742" s="1">
        <v>51108</v>
      </c>
      <c r="CI2742" t="s">
        <v>51</v>
      </c>
      <c r="CK2742" t="s">
        <v>78</v>
      </c>
      <c r="CM2742" t="s">
        <v>54</v>
      </c>
      <c r="CN2742" t="s">
        <v>174</v>
      </c>
      <c r="CO2742" t="s">
        <v>86</v>
      </c>
      <c r="CP2742">
        <v>830</v>
      </c>
      <c r="CR2742">
        <v>19</v>
      </c>
      <c r="CS2742">
        <v>1800</v>
      </c>
      <c r="CT2742">
        <v>0</v>
      </c>
      <c r="CU2742">
        <v>16</v>
      </c>
    </row>
    <row r="2743" spans="1:99" x14ac:dyDescent="0.2">
      <c r="A2743" t="s">
        <v>1012</v>
      </c>
      <c r="B2743" t="s">
        <v>1013</v>
      </c>
      <c r="C2743" t="s">
        <v>1014</v>
      </c>
      <c r="D2743" t="s">
        <v>1152</v>
      </c>
      <c r="F2743" t="str">
        <f>"253489"</f>
        <v>253489</v>
      </c>
      <c r="G2743" t="s">
        <v>49</v>
      </c>
      <c r="H2743">
        <v>15</v>
      </c>
      <c r="K2743" t="s">
        <v>51</v>
      </c>
      <c r="L2743" t="s">
        <v>52</v>
      </c>
      <c r="M2743">
        <v>131260.35</v>
      </c>
      <c r="N2743">
        <v>475427.71</v>
      </c>
      <c r="O2743" t="s">
        <v>53</v>
      </c>
      <c r="P2743" t="s">
        <v>54</v>
      </c>
      <c r="Q2743" t="s">
        <v>55</v>
      </c>
      <c r="T2743" t="s">
        <v>170</v>
      </c>
      <c r="U2743">
        <v>40</v>
      </c>
      <c r="V2743" s="1">
        <v>42125</v>
      </c>
      <c r="W2743" s="1">
        <v>42125</v>
      </c>
      <c r="X2743" s="1">
        <v>42125</v>
      </c>
      <c r="Y2743" s="1">
        <v>56735</v>
      </c>
      <c r="Z2743" t="s">
        <v>51</v>
      </c>
      <c r="AB2743" t="s">
        <v>54</v>
      </c>
      <c r="AE2743" t="s">
        <v>342</v>
      </c>
      <c r="AF2743">
        <v>20</v>
      </c>
      <c r="AG2743" s="1">
        <v>42125</v>
      </c>
      <c r="AH2743" s="1">
        <v>42125</v>
      </c>
      <c r="AI2743" s="1">
        <v>42125</v>
      </c>
      <c r="AJ2743" s="1">
        <v>49430</v>
      </c>
      <c r="AK2743" t="s">
        <v>51</v>
      </c>
      <c r="AN2743">
        <v>0</v>
      </c>
      <c r="AO2743" t="s">
        <v>54</v>
      </c>
      <c r="AP2743" t="s">
        <v>53</v>
      </c>
      <c r="AQ2743">
        <v>0</v>
      </c>
      <c r="AR2743" t="s">
        <v>145</v>
      </c>
      <c r="AS2743">
        <v>19</v>
      </c>
      <c r="AT2743">
        <v>1800</v>
      </c>
      <c r="AW2743" t="s">
        <v>172</v>
      </c>
      <c r="AX2743">
        <v>15</v>
      </c>
      <c r="AY2743" s="1">
        <v>42125</v>
      </c>
      <c r="AZ2743" s="1">
        <v>42125</v>
      </c>
      <c r="BA2743" s="1">
        <v>42125</v>
      </c>
      <c r="BB2743" s="1">
        <v>47604</v>
      </c>
      <c r="BC2743" t="s">
        <v>51</v>
      </c>
      <c r="BE2743" t="s">
        <v>54</v>
      </c>
      <c r="BF2743">
        <v>40</v>
      </c>
      <c r="BG2743">
        <v>0</v>
      </c>
      <c r="BH2743" t="s">
        <v>145</v>
      </c>
      <c r="CC2743" t="s">
        <v>173</v>
      </c>
      <c r="CD2743">
        <v>100000</v>
      </c>
      <c r="CE2743" s="1">
        <v>42125</v>
      </c>
      <c r="CF2743" s="1">
        <v>42125</v>
      </c>
      <c r="CG2743" s="1">
        <v>42125</v>
      </c>
      <c r="CH2743" s="1">
        <v>51108</v>
      </c>
      <c r="CI2743" t="s">
        <v>51</v>
      </c>
      <c r="CK2743" t="s">
        <v>78</v>
      </c>
      <c r="CM2743" t="s">
        <v>54</v>
      </c>
      <c r="CN2743" t="s">
        <v>174</v>
      </c>
      <c r="CO2743" t="s">
        <v>86</v>
      </c>
      <c r="CP2743">
        <v>830</v>
      </c>
      <c r="CR2743">
        <v>19</v>
      </c>
      <c r="CS2743">
        <v>1800</v>
      </c>
      <c r="CT2743">
        <v>0</v>
      </c>
      <c r="CU2743">
        <v>16</v>
      </c>
    </row>
    <row r="2744" spans="1:99" x14ac:dyDescent="0.2">
      <c r="A2744" t="s">
        <v>1012</v>
      </c>
      <c r="B2744" t="s">
        <v>1013</v>
      </c>
      <c r="C2744" t="s">
        <v>1014</v>
      </c>
      <c r="D2744" t="s">
        <v>1153</v>
      </c>
      <c r="F2744" t="str">
        <f>"253490"</f>
        <v>253490</v>
      </c>
      <c r="G2744" t="s">
        <v>49</v>
      </c>
      <c r="H2744">
        <v>27</v>
      </c>
      <c r="K2744" t="s">
        <v>51</v>
      </c>
      <c r="L2744" t="s">
        <v>52</v>
      </c>
      <c r="M2744">
        <v>131265.48000000001</v>
      </c>
      <c r="N2744">
        <v>475450.2</v>
      </c>
      <c r="O2744" t="s">
        <v>53</v>
      </c>
      <c r="P2744" t="s">
        <v>54</v>
      </c>
      <c r="Q2744" t="s">
        <v>55</v>
      </c>
      <c r="T2744" t="s">
        <v>246</v>
      </c>
      <c r="U2744">
        <v>40</v>
      </c>
      <c r="V2744" s="1">
        <v>42125</v>
      </c>
      <c r="W2744" s="1">
        <v>42125</v>
      </c>
      <c r="X2744" s="1">
        <v>42125</v>
      </c>
      <c r="Y2744" s="1">
        <v>56735</v>
      </c>
      <c r="Z2744" t="s">
        <v>51</v>
      </c>
      <c r="AB2744" t="s">
        <v>54</v>
      </c>
      <c r="AE2744" t="s">
        <v>1065</v>
      </c>
      <c r="AF2744">
        <v>20</v>
      </c>
      <c r="AG2744" s="1">
        <v>42125</v>
      </c>
      <c r="AH2744" s="1">
        <v>42125</v>
      </c>
      <c r="AI2744" s="1">
        <v>42125</v>
      </c>
      <c r="AJ2744" s="1">
        <v>49430</v>
      </c>
      <c r="AK2744" t="s">
        <v>51</v>
      </c>
      <c r="AN2744">
        <v>0</v>
      </c>
      <c r="AO2744" t="s">
        <v>54</v>
      </c>
      <c r="AP2744" t="s">
        <v>53</v>
      </c>
      <c r="AQ2744">
        <v>0</v>
      </c>
      <c r="AR2744" t="s">
        <v>53</v>
      </c>
      <c r="AS2744">
        <v>0</v>
      </c>
      <c r="AT2744">
        <v>0</v>
      </c>
      <c r="AW2744" t="s">
        <v>172</v>
      </c>
      <c r="AX2744">
        <v>15</v>
      </c>
      <c r="AY2744" s="1">
        <v>42125</v>
      </c>
      <c r="AZ2744" s="1">
        <v>42125</v>
      </c>
      <c r="BA2744" s="1">
        <v>42125</v>
      </c>
      <c r="BB2744" s="1">
        <v>47604</v>
      </c>
      <c r="BC2744" t="s">
        <v>51</v>
      </c>
      <c r="BE2744" t="s">
        <v>54</v>
      </c>
      <c r="BF2744">
        <v>40</v>
      </c>
      <c r="BG2744">
        <v>0</v>
      </c>
      <c r="BH2744" t="s">
        <v>145</v>
      </c>
      <c r="CC2744" t="s">
        <v>1066</v>
      </c>
      <c r="CD2744">
        <v>100000</v>
      </c>
      <c r="CE2744" s="1">
        <v>42125</v>
      </c>
      <c r="CF2744" s="1">
        <v>42125</v>
      </c>
      <c r="CG2744" s="1">
        <v>42125</v>
      </c>
      <c r="CH2744" s="1">
        <v>51108</v>
      </c>
      <c r="CI2744" t="s">
        <v>51</v>
      </c>
      <c r="CK2744" t="s">
        <v>78</v>
      </c>
      <c r="CM2744" t="s">
        <v>54</v>
      </c>
      <c r="CN2744" t="s">
        <v>174</v>
      </c>
      <c r="CR2744">
        <v>11</v>
      </c>
      <c r="CS2744">
        <v>1600</v>
      </c>
      <c r="CT2744">
        <v>0</v>
      </c>
      <c r="CU2744">
        <v>16</v>
      </c>
    </row>
    <row r="2745" spans="1:99" x14ac:dyDescent="0.2">
      <c r="A2745" t="s">
        <v>1012</v>
      </c>
      <c r="B2745" t="s">
        <v>1013</v>
      </c>
      <c r="C2745" t="s">
        <v>1014</v>
      </c>
      <c r="D2745" t="s">
        <v>1153</v>
      </c>
      <c r="F2745" t="str">
        <f>"253491"</f>
        <v>253491</v>
      </c>
      <c r="G2745" t="s">
        <v>49</v>
      </c>
      <c r="H2745">
        <v>23</v>
      </c>
      <c r="K2745" t="s">
        <v>51</v>
      </c>
      <c r="L2745" t="s">
        <v>52</v>
      </c>
      <c r="M2745">
        <v>131289.63</v>
      </c>
      <c r="N2745">
        <v>475450.99</v>
      </c>
      <c r="O2745" t="s">
        <v>53</v>
      </c>
      <c r="P2745" t="s">
        <v>54</v>
      </c>
      <c r="Q2745" t="s">
        <v>55</v>
      </c>
      <c r="T2745" t="s">
        <v>246</v>
      </c>
      <c r="U2745">
        <v>40</v>
      </c>
      <c r="V2745" s="1">
        <v>42125</v>
      </c>
      <c r="W2745" s="1">
        <v>42125</v>
      </c>
      <c r="X2745" s="1">
        <v>42125</v>
      </c>
      <c r="Y2745" s="1">
        <v>56735</v>
      </c>
      <c r="Z2745" t="s">
        <v>51</v>
      </c>
      <c r="AB2745" t="s">
        <v>54</v>
      </c>
      <c r="AE2745" t="s">
        <v>1065</v>
      </c>
      <c r="AF2745">
        <v>20</v>
      </c>
      <c r="AG2745" s="1">
        <v>42125</v>
      </c>
      <c r="AH2745" s="1">
        <v>42125</v>
      </c>
      <c r="AI2745" s="1">
        <v>42125</v>
      </c>
      <c r="AJ2745" s="1">
        <v>49430</v>
      </c>
      <c r="AK2745" t="s">
        <v>51</v>
      </c>
      <c r="AN2745">
        <v>0</v>
      </c>
      <c r="AO2745" t="s">
        <v>54</v>
      </c>
      <c r="AP2745" t="s">
        <v>53</v>
      </c>
      <c r="AQ2745">
        <v>0</v>
      </c>
      <c r="AR2745" t="s">
        <v>53</v>
      </c>
      <c r="AS2745">
        <v>0</v>
      </c>
      <c r="AT2745">
        <v>0</v>
      </c>
      <c r="AW2745" t="s">
        <v>172</v>
      </c>
      <c r="AX2745">
        <v>15</v>
      </c>
      <c r="AY2745" s="1">
        <v>42125</v>
      </c>
      <c r="AZ2745" s="1">
        <v>42125</v>
      </c>
      <c r="BA2745" s="1">
        <v>42125</v>
      </c>
      <c r="BB2745" s="1">
        <v>47604</v>
      </c>
      <c r="BC2745" t="s">
        <v>51</v>
      </c>
      <c r="BE2745" t="s">
        <v>54</v>
      </c>
      <c r="BF2745">
        <v>40</v>
      </c>
      <c r="BG2745">
        <v>0</v>
      </c>
      <c r="BH2745" t="s">
        <v>145</v>
      </c>
      <c r="CC2745" t="s">
        <v>1066</v>
      </c>
      <c r="CD2745">
        <v>100000</v>
      </c>
      <c r="CE2745" s="1">
        <v>42125</v>
      </c>
      <c r="CF2745" s="1">
        <v>42125</v>
      </c>
      <c r="CG2745" s="1">
        <v>42125</v>
      </c>
      <c r="CH2745" s="1">
        <v>51108</v>
      </c>
      <c r="CI2745" t="s">
        <v>51</v>
      </c>
      <c r="CK2745" t="s">
        <v>78</v>
      </c>
      <c r="CM2745" t="s">
        <v>54</v>
      </c>
      <c r="CN2745" t="s">
        <v>174</v>
      </c>
      <c r="CR2745">
        <v>11</v>
      </c>
      <c r="CS2745">
        <v>1600</v>
      </c>
      <c r="CT2745">
        <v>0</v>
      </c>
      <c r="CU2745">
        <v>16</v>
      </c>
    </row>
    <row r="2746" spans="1:99" x14ac:dyDescent="0.2">
      <c r="A2746" t="s">
        <v>1012</v>
      </c>
      <c r="B2746" t="s">
        <v>1013</v>
      </c>
      <c r="C2746" t="s">
        <v>1014</v>
      </c>
      <c r="D2746" t="s">
        <v>1153</v>
      </c>
      <c r="F2746" t="str">
        <f>"253492"</f>
        <v>253492</v>
      </c>
      <c r="G2746" t="s">
        <v>49</v>
      </c>
      <c r="H2746">
        <v>17</v>
      </c>
      <c r="K2746" t="s">
        <v>51</v>
      </c>
      <c r="L2746" t="s">
        <v>52</v>
      </c>
      <c r="M2746">
        <v>131313.45000000001</v>
      </c>
      <c r="N2746">
        <v>475451.22</v>
      </c>
      <c r="O2746" t="s">
        <v>53</v>
      </c>
      <c r="P2746" t="s">
        <v>54</v>
      </c>
      <c r="Q2746" t="s">
        <v>55</v>
      </c>
      <c r="T2746" t="s">
        <v>246</v>
      </c>
      <c r="U2746">
        <v>40</v>
      </c>
      <c r="V2746" s="1">
        <v>42125</v>
      </c>
      <c r="W2746" s="1">
        <v>42125</v>
      </c>
      <c r="X2746" s="1">
        <v>42125</v>
      </c>
      <c r="Y2746" s="1">
        <v>56735</v>
      </c>
      <c r="Z2746" t="s">
        <v>51</v>
      </c>
      <c r="AB2746" t="s">
        <v>54</v>
      </c>
      <c r="AE2746" t="s">
        <v>1065</v>
      </c>
      <c r="AF2746">
        <v>20</v>
      </c>
      <c r="AG2746" s="1">
        <v>42125</v>
      </c>
      <c r="AH2746" s="1">
        <v>42125</v>
      </c>
      <c r="AI2746" s="1">
        <v>42125</v>
      </c>
      <c r="AJ2746" s="1">
        <v>49430</v>
      </c>
      <c r="AK2746" t="s">
        <v>51</v>
      </c>
      <c r="AN2746">
        <v>0</v>
      </c>
      <c r="AO2746" t="s">
        <v>54</v>
      </c>
      <c r="AP2746" t="s">
        <v>53</v>
      </c>
      <c r="AQ2746">
        <v>0</v>
      </c>
      <c r="AR2746" t="s">
        <v>53</v>
      </c>
      <c r="AS2746">
        <v>0</v>
      </c>
      <c r="AT2746">
        <v>0</v>
      </c>
      <c r="AW2746" t="s">
        <v>172</v>
      </c>
      <c r="AX2746">
        <v>15</v>
      </c>
      <c r="AY2746" s="1">
        <v>42125</v>
      </c>
      <c r="AZ2746" s="1">
        <v>42125</v>
      </c>
      <c r="BA2746" s="1">
        <v>42125</v>
      </c>
      <c r="BB2746" s="1">
        <v>47604</v>
      </c>
      <c r="BC2746" t="s">
        <v>51</v>
      </c>
      <c r="BE2746" t="s">
        <v>54</v>
      </c>
      <c r="BF2746">
        <v>40</v>
      </c>
      <c r="BG2746">
        <v>0</v>
      </c>
      <c r="BH2746" t="s">
        <v>145</v>
      </c>
      <c r="CC2746" t="s">
        <v>1066</v>
      </c>
      <c r="CD2746">
        <v>100000</v>
      </c>
      <c r="CE2746" s="1">
        <v>42125</v>
      </c>
      <c r="CF2746" s="1">
        <v>42125</v>
      </c>
      <c r="CG2746" s="1">
        <v>42125</v>
      </c>
      <c r="CH2746" s="1">
        <v>51108</v>
      </c>
      <c r="CI2746" t="s">
        <v>51</v>
      </c>
      <c r="CK2746" t="s">
        <v>78</v>
      </c>
      <c r="CM2746" t="s">
        <v>54</v>
      </c>
      <c r="CN2746" t="s">
        <v>174</v>
      </c>
      <c r="CR2746">
        <v>11</v>
      </c>
      <c r="CS2746">
        <v>1600</v>
      </c>
      <c r="CT2746">
        <v>0</v>
      </c>
      <c r="CU2746">
        <v>16</v>
      </c>
    </row>
    <row r="2747" spans="1:99" x14ac:dyDescent="0.2">
      <c r="A2747" t="s">
        <v>1012</v>
      </c>
      <c r="B2747" t="s">
        <v>1013</v>
      </c>
      <c r="C2747" t="s">
        <v>1014</v>
      </c>
      <c r="D2747" t="s">
        <v>1153</v>
      </c>
      <c r="F2747" t="str">
        <f>"253493"</f>
        <v>253493</v>
      </c>
      <c r="G2747" t="s">
        <v>49</v>
      </c>
      <c r="H2747">
        <v>15</v>
      </c>
      <c r="K2747" t="s">
        <v>51</v>
      </c>
      <c r="L2747" t="s">
        <v>52</v>
      </c>
      <c r="M2747">
        <v>131336.32000000001</v>
      </c>
      <c r="N2747">
        <v>475450.62</v>
      </c>
      <c r="O2747" t="s">
        <v>53</v>
      </c>
      <c r="P2747" t="s">
        <v>54</v>
      </c>
      <c r="Q2747" t="s">
        <v>55</v>
      </c>
      <c r="T2747" t="s">
        <v>246</v>
      </c>
      <c r="U2747">
        <v>40</v>
      </c>
      <c r="V2747" s="1">
        <v>42125</v>
      </c>
      <c r="W2747" s="1">
        <v>42125</v>
      </c>
      <c r="X2747" s="1">
        <v>42125</v>
      </c>
      <c r="Y2747" s="1">
        <v>56735</v>
      </c>
      <c r="Z2747" t="s">
        <v>51</v>
      </c>
      <c r="AB2747" t="s">
        <v>54</v>
      </c>
      <c r="AE2747" t="s">
        <v>1065</v>
      </c>
      <c r="AF2747">
        <v>20</v>
      </c>
      <c r="AG2747" s="1">
        <v>42125</v>
      </c>
      <c r="AH2747" s="1">
        <v>42125</v>
      </c>
      <c r="AI2747" s="1">
        <v>42125</v>
      </c>
      <c r="AJ2747" s="1">
        <v>49430</v>
      </c>
      <c r="AK2747" t="s">
        <v>51</v>
      </c>
      <c r="AN2747">
        <v>0</v>
      </c>
      <c r="AO2747" t="s">
        <v>54</v>
      </c>
      <c r="AP2747" t="s">
        <v>53</v>
      </c>
      <c r="AQ2747">
        <v>0</v>
      </c>
      <c r="AR2747" t="s">
        <v>53</v>
      </c>
      <c r="AS2747">
        <v>0</v>
      </c>
      <c r="AT2747">
        <v>0</v>
      </c>
      <c r="AW2747" t="s">
        <v>172</v>
      </c>
      <c r="AX2747">
        <v>15</v>
      </c>
      <c r="AY2747" s="1">
        <v>42125</v>
      </c>
      <c r="AZ2747" s="1">
        <v>42125</v>
      </c>
      <c r="BA2747" s="1">
        <v>42125</v>
      </c>
      <c r="BB2747" s="1">
        <v>47604</v>
      </c>
      <c r="BC2747" t="s">
        <v>51</v>
      </c>
      <c r="BE2747" t="s">
        <v>54</v>
      </c>
      <c r="BF2747">
        <v>40</v>
      </c>
      <c r="BG2747">
        <v>0</v>
      </c>
      <c r="BH2747" t="s">
        <v>145</v>
      </c>
      <c r="CC2747" t="s">
        <v>1066</v>
      </c>
      <c r="CD2747">
        <v>100000</v>
      </c>
      <c r="CE2747" s="1">
        <v>42125</v>
      </c>
      <c r="CF2747" s="1">
        <v>42125</v>
      </c>
      <c r="CG2747" s="1">
        <v>42125</v>
      </c>
      <c r="CH2747" s="1">
        <v>51108</v>
      </c>
      <c r="CI2747" t="s">
        <v>51</v>
      </c>
      <c r="CK2747" t="s">
        <v>78</v>
      </c>
      <c r="CM2747" t="s">
        <v>54</v>
      </c>
      <c r="CN2747" t="s">
        <v>174</v>
      </c>
      <c r="CR2747">
        <v>11</v>
      </c>
      <c r="CS2747">
        <v>1600</v>
      </c>
      <c r="CT2747">
        <v>0</v>
      </c>
      <c r="CU2747">
        <v>16</v>
      </c>
    </row>
    <row r="2748" spans="1:99" x14ac:dyDescent="0.2">
      <c r="A2748" t="s">
        <v>1012</v>
      </c>
      <c r="B2748" t="s">
        <v>1013</v>
      </c>
      <c r="C2748" t="s">
        <v>1014</v>
      </c>
      <c r="D2748" t="s">
        <v>1153</v>
      </c>
      <c r="F2748" t="str">
        <f>"253494"</f>
        <v>253494</v>
      </c>
      <c r="G2748" t="s">
        <v>49</v>
      </c>
      <c r="H2748">
        <v>11</v>
      </c>
      <c r="K2748" t="s">
        <v>51</v>
      </c>
      <c r="L2748" t="s">
        <v>52</v>
      </c>
      <c r="M2748">
        <v>131360.72</v>
      </c>
      <c r="N2748">
        <v>475451.41</v>
      </c>
      <c r="O2748" t="s">
        <v>53</v>
      </c>
      <c r="P2748" t="s">
        <v>54</v>
      </c>
      <c r="Q2748" t="s">
        <v>55</v>
      </c>
      <c r="T2748" t="s">
        <v>246</v>
      </c>
      <c r="U2748">
        <v>40</v>
      </c>
      <c r="V2748" s="1">
        <v>42125</v>
      </c>
      <c r="W2748" s="1">
        <v>42125</v>
      </c>
      <c r="X2748" s="1">
        <v>42125</v>
      </c>
      <c r="Y2748" s="1">
        <v>56735</v>
      </c>
      <c r="Z2748" t="s">
        <v>51</v>
      </c>
      <c r="AB2748" t="s">
        <v>54</v>
      </c>
      <c r="AE2748" t="s">
        <v>1065</v>
      </c>
      <c r="AF2748">
        <v>20</v>
      </c>
      <c r="AG2748" s="1">
        <v>42125</v>
      </c>
      <c r="AH2748" s="1">
        <v>42125</v>
      </c>
      <c r="AI2748" s="1">
        <v>42125</v>
      </c>
      <c r="AJ2748" s="1">
        <v>49430</v>
      </c>
      <c r="AK2748" t="s">
        <v>51</v>
      </c>
      <c r="AN2748">
        <v>0</v>
      </c>
      <c r="AO2748" t="s">
        <v>54</v>
      </c>
      <c r="AP2748" t="s">
        <v>53</v>
      </c>
      <c r="AQ2748">
        <v>0</v>
      </c>
      <c r="AR2748" t="s">
        <v>53</v>
      </c>
      <c r="AS2748">
        <v>0</v>
      </c>
      <c r="AT2748">
        <v>0</v>
      </c>
      <c r="AW2748" t="s">
        <v>172</v>
      </c>
      <c r="AX2748">
        <v>15</v>
      </c>
      <c r="AY2748" s="1">
        <v>42125</v>
      </c>
      <c r="AZ2748" s="1">
        <v>42125</v>
      </c>
      <c r="BA2748" s="1">
        <v>42125</v>
      </c>
      <c r="BB2748" s="1">
        <v>47604</v>
      </c>
      <c r="BC2748" t="s">
        <v>51</v>
      </c>
      <c r="BE2748" t="s">
        <v>54</v>
      </c>
      <c r="BF2748">
        <v>40</v>
      </c>
      <c r="BG2748">
        <v>0</v>
      </c>
      <c r="BH2748" t="s">
        <v>145</v>
      </c>
      <c r="CC2748" t="s">
        <v>1066</v>
      </c>
      <c r="CD2748">
        <v>100000</v>
      </c>
      <c r="CE2748" s="1">
        <v>42125</v>
      </c>
      <c r="CF2748" s="1">
        <v>42125</v>
      </c>
      <c r="CG2748" s="1">
        <v>42125</v>
      </c>
      <c r="CH2748" s="1">
        <v>51108</v>
      </c>
      <c r="CI2748" t="s">
        <v>51</v>
      </c>
      <c r="CK2748" t="s">
        <v>78</v>
      </c>
      <c r="CM2748" t="s">
        <v>54</v>
      </c>
      <c r="CN2748" t="s">
        <v>174</v>
      </c>
      <c r="CR2748">
        <v>11</v>
      </c>
      <c r="CS2748">
        <v>1600</v>
      </c>
      <c r="CT2748">
        <v>0</v>
      </c>
      <c r="CU2748">
        <v>16</v>
      </c>
    </row>
    <row r="2749" spans="1:99" x14ac:dyDescent="0.2">
      <c r="A2749" t="s">
        <v>1012</v>
      </c>
      <c r="B2749" t="s">
        <v>1013</v>
      </c>
      <c r="C2749" t="s">
        <v>1014</v>
      </c>
      <c r="D2749" t="s">
        <v>1153</v>
      </c>
      <c r="F2749" t="str">
        <f>"253495"</f>
        <v>253495</v>
      </c>
      <c r="G2749" t="s">
        <v>49</v>
      </c>
      <c r="H2749">
        <v>3</v>
      </c>
      <c r="K2749" t="s">
        <v>51</v>
      </c>
      <c r="L2749" t="s">
        <v>52</v>
      </c>
      <c r="M2749">
        <v>131384.70000000001</v>
      </c>
      <c r="N2749">
        <v>475451</v>
      </c>
      <c r="O2749" t="s">
        <v>53</v>
      </c>
      <c r="P2749" t="s">
        <v>54</v>
      </c>
      <c r="Q2749" t="s">
        <v>55</v>
      </c>
      <c r="T2749" t="s">
        <v>246</v>
      </c>
      <c r="U2749">
        <v>40</v>
      </c>
      <c r="V2749" s="1">
        <v>42125</v>
      </c>
      <c r="W2749" s="1">
        <v>42125</v>
      </c>
      <c r="X2749" s="1">
        <v>42125</v>
      </c>
      <c r="Y2749" s="1">
        <v>56735</v>
      </c>
      <c r="Z2749" t="s">
        <v>51</v>
      </c>
      <c r="AB2749" t="s">
        <v>54</v>
      </c>
      <c r="AE2749" t="s">
        <v>1065</v>
      </c>
      <c r="AF2749">
        <v>20</v>
      </c>
      <c r="AG2749" s="1">
        <v>42125</v>
      </c>
      <c r="AH2749" s="1">
        <v>42125</v>
      </c>
      <c r="AI2749" s="1">
        <v>42125</v>
      </c>
      <c r="AJ2749" s="1">
        <v>49430</v>
      </c>
      <c r="AK2749" t="s">
        <v>51</v>
      </c>
      <c r="AN2749">
        <v>0</v>
      </c>
      <c r="AO2749" t="s">
        <v>54</v>
      </c>
      <c r="AP2749" t="s">
        <v>53</v>
      </c>
      <c r="AQ2749">
        <v>0</v>
      </c>
      <c r="AR2749" t="s">
        <v>53</v>
      </c>
      <c r="AS2749">
        <v>0</v>
      </c>
      <c r="AT2749">
        <v>0</v>
      </c>
      <c r="AW2749" t="s">
        <v>172</v>
      </c>
      <c r="AX2749">
        <v>15</v>
      </c>
      <c r="AY2749" s="1">
        <v>42125</v>
      </c>
      <c r="AZ2749" s="1">
        <v>42125</v>
      </c>
      <c r="BA2749" s="1">
        <v>42125</v>
      </c>
      <c r="BB2749" s="1">
        <v>47604</v>
      </c>
      <c r="BC2749" t="s">
        <v>51</v>
      </c>
      <c r="BE2749" t="s">
        <v>54</v>
      </c>
      <c r="BF2749">
        <v>40</v>
      </c>
      <c r="BG2749">
        <v>0</v>
      </c>
      <c r="BH2749" t="s">
        <v>145</v>
      </c>
      <c r="CC2749" t="s">
        <v>1066</v>
      </c>
      <c r="CD2749">
        <v>100000</v>
      </c>
      <c r="CE2749" s="1">
        <v>42125</v>
      </c>
      <c r="CF2749" s="1">
        <v>42125</v>
      </c>
      <c r="CG2749" s="1">
        <v>42125</v>
      </c>
      <c r="CH2749" s="1">
        <v>51108</v>
      </c>
      <c r="CI2749" t="s">
        <v>51</v>
      </c>
      <c r="CK2749" t="s">
        <v>78</v>
      </c>
      <c r="CM2749" t="s">
        <v>54</v>
      </c>
      <c r="CN2749" t="s">
        <v>174</v>
      </c>
      <c r="CR2749">
        <v>11</v>
      </c>
      <c r="CS2749">
        <v>1600</v>
      </c>
      <c r="CT2749">
        <v>0</v>
      </c>
      <c r="CU2749">
        <v>16</v>
      </c>
    </row>
    <row r="2750" spans="1:99" x14ac:dyDescent="0.2">
      <c r="A2750" t="s">
        <v>1012</v>
      </c>
      <c r="B2750" t="s">
        <v>1013</v>
      </c>
      <c r="C2750" t="s">
        <v>1014</v>
      </c>
      <c r="D2750" t="s">
        <v>1154</v>
      </c>
      <c r="F2750" t="str">
        <f>"253496"</f>
        <v>253496</v>
      </c>
      <c r="G2750" t="s">
        <v>49</v>
      </c>
      <c r="H2750">
        <v>29</v>
      </c>
      <c r="K2750" t="s">
        <v>51</v>
      </c>
      <c r="L2750" t="s">
        <v>52</v>
      </c>
      <c r="M2750">
        <v>131332.41</v>
      </c>
      <c r="N2750">
        <v>475433.22</v>
      </c>
      <c r="O2750" t="s">
        <v>53</v>
      </c>
      <c r="P2750" t="s">
        <v>54</v>
      </c>
      <c r="Q2750" t="s">
        <v>55</v>
      </c>
      <c r="T2750" t="s">
        <v>246</v>
      </c>
      <c r="U2750">
        <v>40</v>
      </c>
      <c r="V2750" s="1">
        <v>42125</v>
      </c>
      <c r="W2750" s="1">
        <v>42125</v>
      </c>
      <c r="X2750" s="1">
        <v>42125</v>
      </c>
      <c r="Y2750" s="1">
        <v>56735</v>
      </c>
      <c r="Z2750" t="s">
        <v>51</v>
      </c>
      <c r="AB2750" t="s">
        <v>54</v>
      </c>
      <c r="AE2750" t="s">
        <v>1065</v>
      </c>
      <c r="AF2750">
        <v>20</v>
      </c>
      <c r="AG2750" s="1">
        <v>42125</v>
      </c>
      <c r="AH2750" s="1">
        <v>42125</v>
      </c>
      <c r="AI2750" s="1">
        <v>42125</v>
      </c>
      <c r="AJ2750" s="1">
        <v>49430</v>
      </c>
      <c r="AK2750" t="s">
        <v>51</v>
      </c>
      <c r="AN2750">
        <v>0</v>
      </c>
      <c r="AO2750" t="s">
        <v>54</v>
      </c>
      <c r="AP2750" t="s">
        <v>53</v>
      </c>
      <c r="AQ2750">
        <v>0</v>
      </c>
      <c r="AR2750" t="s">
        <v>53</v>
      </c>
      <c r="AS2750">
        <v>0</v>
      </c>
      <c r="AT2750">
        <v>0</v>
      </c>
      <c r="AW2750" t="s">
        <v>172</v>
      </c>
      <c r="AX2750">
        <v>15</v>
      </c>
      <c r="AY2750" s="1">
        <v>42125</v>
      </c>
      <c r="AZ2750" s="1">
        <v>42125</v>
      </c>
      <c r="BA2750" s="1">
        <v>42125</v>
      </c>
      <c r="BB2750" s="1">
        <v>47604</v>
      </c>
      <c r="BC2750" t="s">
        <v>51</v>
      </c>
      <c r="BE2750" t="s">
        <v>54</v>
      </c>
      <c r="BF2750">
        <v>40</v>
      </c>
      <c r="BG2750">
        <v>0</v>
      </c>
      <c r="BH2750" t="s">
        <v>145</v>
      </c>
      <c r="CC2750" t="s">
        <v>1066</v>
      </c>
      <c r="CD2750">
        <v>100000</v>
      </c>
      <c r="CE2750" s="1">
        <v>42125</v>
      </c>
      <c r="CF2750" s="1">
        <v>42125</v>
      </c>
      <c r="CG2750" s="1">
        <v>42125</v>
      </c>
      <c r="CH2750" s="1">
        <v>51108</v>
      </c>
      <c r="CI2750" t="s">
        <v>51</v>
      </c>
      <c r="CK2750" t="s">
        <v>78</v>
      </c>
      <c r="CM2750" t="s">
        <v>54</v>
      </c>
      <c r="CN2750" t="s">
        <v>174</v>
      </c>
      <c r="CR2750">
        <v>11</v>
      </c>
      <c r="CS2750">
        <v>1600</v>
      </c>
      <c r="CT2750">
        <v>0</v>
      </c>
      <c r="CU2750">
        <v>16</v>
      </c>
    </row>
    <row r="2751" spans="1:99" x14ac:dyDescent="0.2">
      <c r="A2751" t="s">
        <v>1012</v>
      </c>
      <c r="B2751" t="s">
        <v>1013</v>
      </c>
      <c r="C2751" t="s">
        <v>1014</v>
      </c>
      <c r="D2751" t="s">
        <v>1154</v>
      </c>
      <c r="F2751" t="str">
        <f>"253497"</f>
        <v>253497</v>
      </c>
      <c r="G2751" t="s">
        <v>49</v>
      </c>
      <c r="H2751">
        <v>21</v>
      </c>
      <c r="K2751" t="s">
        <v>51</v>
      </c>
      <c r="L2751" t="s">
        <v>52</v>
      </c>
      <c r="M2751">
        <v>131333.20000000001</v>
      </c>
      <c r="N2751">
        <v>475409.75</v>
      </c>
      <c r="O2751" t="s">
        <v>53</v>
      </c>
      <c r="P2751" t="s">
        <v>54</v>
      </c>
      <c r="Q2751" t="s">
        <v>55</v>
      </c>
      <c r="T2751" t="s">
        <v>246</v>
      </c>
      <c r="U2751">
        <v>40</v>
      </c>
      <c r="V2751" s="1">
        <v>42125</v>
      </c>
      <c r="W2751" s="1">
        <v>42125</v>
      </c>
      <c r="X2751" s="1">
        <v>42125</v>
      </c>
      <c r="Y2751" s="1">
        <v>56735</v>
      </c>
      <c r="Z2751" t="s">
        <v>51</v>
      </c>
      <c r="AB2751" t="s">
        <v>54</v>
      </c>
      <c r="AE2751" t="s">
        <v>1065</v>
      </c>
      <c r="AF2751">
        <v>20</v>
      </c>
      <c r="AG2751" s="1">
        <v>42125</v>
      </c>
      <c r="AH2751" s="1">
        <v>42125</v>
      </c>
      <c r="AI2751" s="1">
        <v>42125</v>
      </c>
      <c r="AJ2751" s="1">
        <v>49430</v>
      </c>
      <c r="AK2751" t="s">
        <v>51</v>
      </c>
      <c r="AN2751">
        <v>0</v>
      </c>
      <c r="AO2751" t="s">
        <v>54</v>
      </c>
      <c r="AP2751" t="s">
        <v>53</v>
      </c>
      <c r="AQ2751">
        <v>0</v>
      </c>
      <c r="AR2751" t="s">
        <v>53</v>
      </c>
      <c r="AS2751">
        <v>0</v>
      </c>
      <c r="AT2751">
        <v>0</v>
      </c>
      <c r="AW2751" t="s">
        <v>172</v>
      </c>
      <c r="AX2751">
        <v>15</v>
      </c>
      <c r="AY2751" s="1">
        <v>42125</v>
      </c>
      <c r="AZ2751" s="1">
        <v>42125</v>
      </c>
      <c r="BA2751" s="1">
        <v>42125</v>
      </c>
      <c r="BB2751" s="1">
        <v>47604</v>
      </c>
      <c r="BC2751" t="s">
        <v>51</v>
      </c>
      <c r="BE2751" t="s">
        <v>54</v>
      </c>
      <c r="BF2751">
        <v>40</v>
      </c>
      <c r="BG2751">
        <v>0</v>
      </c>
      <c r="BH2751" t="s">
        <v>145</v>
      </c>
      <c r="CC2751" t="s">
        <v>1066</v>
      </c>
      <c r="CD2751">
        <v>100000</v>
      </c>
      <c r="CE2751" s="1">
        <v>42125</v>
      </c>
      <c r="CF2751" s="1">
        <v>42125</v>
      </c>
      <c r="CG2751" s="1">
        <v>42125</v>
      </c>
      <c r="CH2751" s="1">
        <v>51108</v>
      </c>
      <c r="CI2751" t="s">
        <v>51</v>
      </c>
      <c r="CK2751" t="s">
        <v>78</v>
      </c>
      <c r="CM2751" t="s">
        <v>54</v>
      </c>
      <c r="CN2751" t="s">
        <v>174</v>
      </c>
      <c r="CR2751">
        <v>11</v>
      </c>
      <c r="CS2751">
        <v>1600</v>
      </c>
      <c r="CT2751">
        <v>0</v>
      </c>
      <c r="CU2751">
        <v>16</v>
      </c>
    </row>
    <row r="2752" spans="1:99" x14ac:dyDescent="0.2">
      <c r="A2752" t="s">
        <v>1012</v>
      </c>
      <c r="B2752" t="s">
        <v>1013</v>
      </c>
      <c r="C2752" t="s">
        <v>1014</v>
      </c>
      <c r="D2752" t="s">
        <v>1154</v>
      </c>
      <c r="F2752" t="str">
        <f>"253498"</f>
        <v>253498</v>
      </c>
      <c r="G2752" t="s">
        <v>49</v>
      </c>
      <c r="H2752">
        <v>46</v>
      </c>
      <c r="K2752" t="s">
        <v>51</v>
      </c>
      <c r="L2752" t="s">
        <v>52</v>
      </c>
      <c r="M2752">
        <v>131321.67000000001</v>
      </c>
      <c r="N2752">
        <v>475401.13</v>
      </c>
      <c r="O2752" t="s">
        <v>53</v>
      </c>
      <c r="P2752" t="s">
        <v>54</v>
      </c>
      <c r="Q2752" t="s">
        <v>55</v>
      </c>
      <c r="T2752" t="s">
        <v>246</v>
      </c>
      <c r="U2752">
        <v>40</v>
      </c>
      <c r="V2752" s="1">
        <v>42125</v>
      </c>
      <c r="W2752" s="1">
        <v>42125</v>
      </c>
      <c r="X2752" s="1">
        <v>42125</v>
      </c>
      <c r="Y2752" s="1">
        <v>56735</v>
      </c>
      <c r="Z2752" t="s">
        <v>51</v>
      </c>
      <c r="AB2752" t="s">
        <v>54</v>
      </c>
      <c r="AE2752" t="s">
        <v>1065</v>
      </c>
      <c r="AF2752">
        <v>20</v>
      </c>
      <c r="AG2752" s="1">
        <v>42125</v>
      </c>
      <c r="AH2752" s="1">
        <v>42125</v>
      </c>
      <c r="AI2752" s="1">
        <v>42125</v>
      </c>
      <c r="AJ2752" s="1">
        <v>49430</v>
      </c>
      <c r="AK2752" t="s">
        <v>51</v>
      </c>
      <c r="AN2752">
        <v>0</v>
      </c>
      <c r="AO2752" t="s">
        <v>54</v>
      </c>
      <c r="AP2752" t="s">
        <v>53</v>
      </c>
      <c r="AQ2752">
        <v>0</v>
      </c>
      <c r="AR2752" t="s">
        <v>53</v>
      </c>
      <c r="AS2752">
        <v>0</v>
      </c>
      <c r="AT2752">
        <v>0</v>
      </c>
      <c r="AW2752" t="s">
        <v>172</v>
      </c>
      <c r="AX2752">
        <v>15</v>
      </c>
      <c r="AY2752" s="1">
        <v>42125</v>
      </c>
      <c r="AZ2752" s="1">
        <v>42125</v>
      </c>
      <c r="BA2752" s="1">
        <v>42125</v>
      </c>
      <c r="BB2752" s="1">
        <v>47604</v>
      </c>
      <c r="BC2752" t="s">
        <v>51</v>
      </c>
      <c r="BE2752" t="s">
        <v>54</v>
      </c>
      <c r="BF2752">
        <v>40</v>
      </c>
      <c r="BG2752">
        <v>0</v>
      </c>
      <c r="BH2752" t="s">
        <v>145</v>
      </c>
      <c r="CC2752" t="s">
        <v>1066</v>
      </c>
      <c r="CD2752">
        <v>100000</v>
      </c>
      <c r="CE2752" s="1">
        <v>42125</v>
      </c>
      <c r="CF2752" s="1">
        <v>42125</v>
      </c>
      <c r="CG2752" s="1">
        <v>42125</v>
      </c>
      <c r="CH2752" s="1">
        <v>51108</v>
      </c>
      <c r="CI2752" t="s">
        <v>51</v>
      </c>
      <c r="CK2752" t="s">
        <v>78</v>
      </c>
      <c r="CM2752" t="s">
        <v>54</v>
      </c>
      <c r="CN2752" t="s">
        <v>174</v>
      </c>
      <c r="CR2752">
        <v>11</v>
      </c>
      <c r="CS2752">
        <v>1600</v>
      </c>
      <c r="CT2752">
        <v>0</v>
      </c>
      <c r="CU2752">
        <v>16</v>
      </c>
    </row>
    <row r="2753" spans="1:99" x14ac:dyDescent="0.2">
      <c r="A2753" t="s">
        <v>1012</v>
      </c>
      <c r="B2753" t="s">
        <v>1013</v>
      </c>
      <c r="C2753" t="s">
        <v>1014</v>
      </c>
      <c r="D2753" t="s">
        <v>1154</v>
      </c>
      <c r="F2753" t="str">
        <f>"253499"</f>
        <v>253499</v>
      </c>
      <c r="G2753" t="s">
        <v>49</v>
      </c>
      <c r="H2753">
        <v>45</v>
      </c>
      <c r="K2753" t="s">
        <v>51</v>
      </c>
      <c r="L2753" t="s">
        <v>52</v>
      </c>
      <c r="M2753">
        <v>131333.79</v>
      </c>
      <c r="N2753">
        <v>475383.99</v>
      </c>
      <c r="O2753" t="s">
        <v>53</v>
      </c>
      <c r="P2753" t="s">
        <v>54</v>
      </c>
      <c r="Q2753" t="s">
        <v>55</v>
      </c>
      <c r="T2753" t="s">
        <v>246</v>
      </c>
      <c r="U2753">
        <v>40</v>
      </c>
      <c r="V2753" s="1">
        <v>42125</v>
      </c>
      <c r="W2753" s="1">
        <v>42125</v>
      </c>
      <c r="X2753" s="1">
        <v>42125</v>
      </c>
      <c r="Y2753" s="1">
        <v>56735</v>
      </c>
      <c r="Z2753" t="s">
        <v>51</v>
      </c>
      <c r="AB2753" t="s">
        <v>54</v>
      </c>
      <c r="AE2753" t="s">
        <v>1065</v>
      </c>
      <c r="AF2753">
        <v>20</v>
      </c>
      <c r="AG2753" s="1">
        <v>42125</v>
      </c>
      <c r="AH2753" s="1">
        <v>42125</v>
      </c>
      <c r="AI2753" s="1">
        <v>42125</v>
      </c>
      <c r="AJ2753" s="1">
        <v>49430</v>
      </c>
      <c r="AK2753" t="s">
        <v>51</v>
      </c>
      <c r="AN2753">
        <v>0</v>
      </c>
      <c r="AO2753" t="s">
        <v>54</v>
      </c>
      <c r="AP2753" t="s">
        <v>53</v>
      </c>
      <c r="AQ2753">
        <v>0</v>
      </c>
      <c r="AR2753" t="s">
        <v>53</v>
      </c>
      <c r="AS2753">
        <v>0</v>
      </c>
      <c r="AT2753">
        <v>0</v>
      </c>
      <c r="AW2753" t="s">
        <v>172</v>
      </c>
      <c r="AX2753">
        <v>15</v>
      </c>
      <c r="AY2753" s="1">
        <v>42125</v>
      </c>
      <c r="AZ2753" s="1">
        <v>42125</v>
      </c>
      <c r="BA2753" s="1">
        <v>42125</v>
      </c>
      <c r="BB2753" s="1">
        <v>47604</v>
      </c>
      <c r="BC2753" t="s">
        <v>51</v>
      </c>
      <c r="BE2753" t="s">
        <v>54</v>
      </c>
      <c r="BF2753">
        <v>40</v>
      </c>
      <c r="BG2753">
        <v>0</v>
      </c>
      <c r="BH2753" t="s">
        <v>145</v>
      </c>
      <c r="CC2753" t="s">
        <v>1066</v>
      </c>
      <c r="CD2753">
        <v>100000</v>
      </c>
      <c r="CE2753" s="1">
        <v>42125</v>
      </c>
      <c r="CF2753" s="1">
        <v>42125</v>
      </c>
      <c r="CG2753" s="1">
        <v>42125</v>
      </c>
      <c r="CH2753" s="1">
        <v>51108</v>
      </c>
      <c r="CI2753" t="s">
        <v>51</v>
      </c>
      <c r="CK2753" t="s">
        <v>78</v>
      </c>
      <c r="CM2753" t="s">
        <v>54</v>
      </c>
      <c r="CN2753" t="s">
        <v>174</v>
      </c>
      <c r="CR2753">
        <v>11</v>
      </c>
      <c r="CS2753">
        <v>1600</v>
      </c>
      <c r="CT2753">
        <v>0</v>
      </c>
      <c r="CU2753">
        <v>16</v>
      </c>
    </row>
    <row r="2754" spans="1:99" x14ac:dyDescent="0.2">
      <c r="A2754" t="s">
        <v>1012</v>
      </c>
      <c r="B2754" t="s">
        <v>1013</v>
      </c>
      <c r="C2754" t="s">
        <v>1014</v>
      </c>
      <c r="D2754" t="s">
        <v>1154</v>
      </c>
      <c r="F2754" t="str">
        <f>"253500"</f>
        <v>253500</v>
      </c>
      <c r="G2754" t="s">
        <v>49</v>
      </c>
      <c r="K2754" t="s">
        <v>51</v>
      </c>
      <c r="L2754" t="s">
        <v>52</v>
      </c>
      <c r="M2754">
        <v>131352.42000000001</v>
      </c>
      <c r="N2754">
        <v>475394.44</v>
      </c>
      <c r="O2754" t="s">
        <v>53</v>
      </c>
      <c r="P2754" t="s">
        <v>54</v>
      </c>
      <c r="Q2754" t="s">
        <v>55</v>
      </c>
      <c r="T2754" t="s">
        <v>246</v>
      </c>
      <c r="U2754">
        <v>40</v>
      </c>
      <c r="V2754" s="1">
        <v>42125</v>
      </c>
      <c r="W2754" s="1">
        <v>42125</v>
      </c>
      <c r="X2754" s="1">
        <v>42125</v>
      </c>
      <c r="Y2754" s="1">
        <v>56735</v>
      </c>
      <c r="Z2754" t="s">
        <v>51</v>
      </c>
      <c r="AB2754" t="s">
        <v>54</v>
      </c>
      <c r="AE2754" t="s">
        <v>1065</v>
      </c>
      <c r="AF2754">
        <v>20</v>
      </c>
      <c r="AG2754" s="1">
        <v>42125</v>
      </c>
      <c r="AH2754" s="1">
        <v>42125</v>
      </c>
      <c r="AI2754" s="1">
        <v>42125</v>
      </c>
      <c r="AJ2754" s="1">
        <v>49430</v>
      </c>
      <c r="AK2754" t="s">
        <v>51</v>
      </c>
      <c r="AN2754">
        <v>0</v>
      </c>
      <c r="AO2754" t="s">
        <v>54</v>
      </c>
      <c r="AP2754" t="s">
        <v>53</v>
      </c>
      <c r="AQ2754">
        <v>0</v>
      </c>
      <c r="AR2754" t="s">
        <v>53</v>
      </c>
      <c r="AS2754">
        <v>0</v>
      </c>
      <c r="AT2754">
        <v>0</v>
      </c>
      <c r="AW2754" t="s">
        <v>172</v>
      </c>
      <c r="AX2754">
        <v>15</v>
      </c>
      <c r="AY2754" s="1">
        <v>42125</v>
      </c>
      <c r="AZ2754" s="1">
        <v>42125</v>
      </c>
      <c r="BA2754" s="1">
        <v>42125</v>
      </c>
      <c r="BB2754" s="1">
        <v>47604</v>
      </c>
      <c r="BC2754" t="s">
        <v>51</v>
      </c>
      <c r="BE2754" t="s">
        <v>54</v>
      </c>
      <c r="BF2754">
        <v>40</v>
      </c>
      <c r="BG2754">
        <v>0</v>
      </c>
      <c r="BH2754" t="s">
        <v>145</v>
      </c>
      <c r="CC2754" t="s">
        <v>1066</v>
      </c>
      <c r="CD2754">
        <v>100000</v>
      </c>
      <c r="CE2754" s="1">
        <v>42125</v>
      </c>
      <c r="CF2754" s="1">
        <v>42125</v>
      </c>
      <c r="CG2754" s="1">
        <v>42125</v>
      </c>
      <c r="CH2754" s="1">
        <v>51108</v>
      </c>
      <c r="CI2754" t="s">
        <v>51</v>
      </c>
      <c r="CK2754" t="s">
        <v>78</v>
      </c>
      <c r="CM2754" t="s">
        <v>54</v>
      </c>
      <c r="CN2754" t="s">
        <v>174</v>
      </c>
      <c r="CR2754">
        <v>11</v>
      </c>
      <c r="CS2754">
        <v>1600</v>
      </c>
      <c r="CT2754">
        <v>0</v>
      </c>
      <c r="CU2754">
        <v>16</v>
      </c>
    </row>
    <row r="2755" spans="1:99" x14ac:dyDescent="0.2">
      <c r="A2755" t="s">
        <v>1012</v>
      </c>
      <c r="B2755" t="s">
        <v>1013</v>
      </c>
      <c r="C2755" t="s">
        <v>1014</v>
      </c>
      <c r="D2755" t="s">
        <v>1154</v>
      </c>
      <c r="F2755" t="str">
        <f>"253501"</f>
        <v>253501</v>
      </c>
      <c r="G2755" t="s">
        <v>49</v>
      </c>
      <c r="K2755" t="s">
        <v>51</v>
      </c>
      <c r="L2755" t="s">
        <v>52</v>
      </c>
      <c r="M2755">
        <v>131371.22</v>
      </c>
      <c r="N2755">
        <v>475384.48</v>
      </c>
      <c r="O2755" t="s">
        <v>53</v>
      </c>
      <c r="P2755" t="s">
        <v>54</v>
      </c>
      <c r="Q2755" t="s">
        <v>55</v>
      </c>
      <c r="T2755" t="s">
        <v>246</v>
      </c>
      <c r="U2755">
        <v>40</v>
      </c>
      <c r="V2755" s="1">
        <v>42125</v>
      </c>
      <c r="W2755" s="1">
        <v>42125</v>
      </c>
      <c r="X2755" s="1">
        <v>42125</v>
      </c>
      <c r="Y2755" s="1">
        <v>56735</v>
      </c>
      <c r="Z2755" t="s">
        <v>51</v>
      </c>
      <c r="AB2755" t="s">
        <v>54</v>
      </c>
      <c r="AE2755" t="s">
        <v>1065</v>
      </c>
      <c r="AF2755">
        <v>20</v>
      </c>
      <c r="AG2755" s="1">
        <v>42125</v>
      </c>
      <c r="AH2755" s="1">
        <v>42125</v>
      </c>
      <c r="AI2755" s="1">
        <v>42125</v>
      </c>
      <c r="AJ2755" s="1">
        <v>49430</v>
      </c>
      <c r="AK2755" t="s">
        <v>51</v>
      </c>
      <c r="AN2755">
        <v>0</v>
      </c>
      <c r="AO2755" t="s">
        <v>54</v>
      </c>
      <c r="AP2755" t="s">
        <v>53</v>
      </c>
      <c r="AQ2755">
        <v>0</v>
      </c>
      <c r="AR2755" t="s">
        <v>53</v>
      </c>
      <c r="AS2755">
        <v>0</v>
      </c>
      <c r="AT2755">
        <v>0</v>
      </c>
      <c r="AW2755" t="s">
        <v>172</v>
      </c>
      <c r="AX2755">
        <v>15</v>
      </c>
      <c r="AY2755" s="1">
        <v>42125</v>
      </c>
      <c r="AZ2755" s="1">
        <v>42125</v>
      </c>
      <c r="BA2755" s="1">
        <v>42125</v>
      </c>
      <c r="BB2755" s="1">
        <v>47604</v>
      </c>
      <c r="BC2755" t="s">
        <v>51</v>
      </c>
      <c r="BE2755" t="s">
        <v>54</v>
      </c>
      <c r="BF2755">
        <v>40</v>
      </c>
      <c r="BG2755">
        <v>0</v>
      </c>
      <c r="BH2755" t="s">
        <v>145</v>
      </c>
      <c r="CC2755" t="s">
        <v>1066</v>
      </c>
      <c r="CD2755">
        <v>100000</v>
      </c>
      <c r="CE2755" s="1">
        <v>42125</v>
      </c>
      <c r="CF2755" s="1">
        <v>42125</v>
      </c>
      <c r="CG2755" s="1">
        <v>42125</v>
      </c>
      <c r="CH2755" s="1">
        <v>51108</v>
      </c>
      <c r="CI2755" t="s">
        <v>51</v>
      </c>
      <c r="CK2755" t="s">
        <v>78</v>
      </c>
      <c r="CM2755" t="s">
        <v>54</v>
      </c>
      <c r="CN2755" t="s">
        <v>174</v>
      </c>
      <c r="CR2755">
        <v>11</v>
      </c>
      <c r="CS2755">
        <v>1600</v>
      </c>
      <c r="CT2755">
        <v>0</v>
      </c>
      <c r="CU2755">
        <v>16</v>
      </c>
    </row>
    <row r="2756" spans="1:99" x14ac:dyDescent="0.2">
      <c r="A2756" t="s">
        <v>1012</v>
      </c>
      <c r="B2756" t="s">
        <v>1013</v>
      </c>
      <c r="C2756" t="s">
        <v>1014</v>
      </c>
      <c r="D2756" t="s">
        <v>1154</v>
      </c>
      <c r="F2756" t="str">
        <f>"253502"</f>
        <v>253502</v>
      </c>
      <c r="G2756" t="s">
        <v>49</v>
      </c>
      <c r="H2756">
        <v>14</v>
      </c>
      <c r="K2756" t="s">
        <v>51</v>
      </c>
      <c r="L2756" t="s">
        <v>52</v>
      </c>
      <c r="M2756">
        <v>131391.85999999999</v>
      </c>
      <c r="N2756">
        <v>475394.55</v>
      </c>
      <c r="O2756" t="s">
        <v>53</v>
      </c>
      <c r="P2756" t="s">
        <v>54</v>
      </c>
      <c r="Q2756" t="s">
        <v>55</v>
      </c>
      <c r="T2756" t="s">
        <v>246</v>
      </c>
      <c r="U2756">
        <v>40</v>
      </c>
      <c r="V2756" s="1">
        <v>42125</v>
      </c>
      <c r="W2756" s="1">
        <v>42125</v>
      </c>
      <c r="X2756" s="1">
        <v>42125</v>
      </c>
      <c r="Y2756" s="1">
        <v>56735</v>
      </c>
      <c r="Z2756" t="s">
        <v>51</v>
      </c>
      <c r="AB2756" t="s">
        <v>54</v>
      </c>
      <c r="AE2756" t="s">
        <v>1065</v>
      </c>
      <c r="AF2756">
        <v>20</v>
      </c>
      <c r="AG2756" s="1">
        <v>42125</v>
      </c>
      <c r="AH2756" s="1">
        <v>42125</v>
      </c>
      <c r="AI2756" s="1">
        <v>42125</v>
      </c>
      <c r="AJ2756" s="1">
        <v>49430</v>
      </c>
      <c r="AK2756" t="s">
        <v>51</v>
      </c>
      <c r="AN2756">
        <v>0</v>
      </c>
      <c r="AO2756" t="s">
        <v>54</v>
      </c>
      <c r="AP2756" t="s">
        <v>53</v>
      </c>
      <c r="AQ2756">
        <v>0</v>
      </c>
      <c r="AR2756" t="s">
        <v>53</v>
      </c>
      <c r="AS2756">
        <v>0</v>
      </c>
      <c r="AT2756">
        <v>0</v>
      </c>
      <c r="AW2756" t="s">
        <v>172</v>
      </c>
      <c r="AX2756">
        <v>15</v>
      </c>
      <c r="AY2756" s="1">
        <v>42125</v>
      </c>
      <c r="AZ2756" s="1">
        <v>42125</v>
      </c>
      <c r="BA2756" s="1">
        <v>42125</v>
      </c>
      <c r="BB2756" s="1">
        <v>47604</v>
      </c>
      <c r="BC2756" t="s">
        <v>51</v>
      </c>
      <c r="BE2756" t="s">
        <v>54</v>
      </c>
      <c r="BF2756">
        <v>40</v>
      </c>
      <c r="BG2756">
        <v>0</v>
      </c>
      <c r="BH2756" t="s">
        <v>145</v>
      </c>
      <c r="CC2756" t="s">
        <v>1066</v>
      </c>
      <c r="CD2756">
        <v>100000</v>
      </c>
      <c r="CE2756" s="1">
        <v>42125</v>
      </c>
      <c r="CF2756" s="1">
        <v>42125</v>
      </c>
      <c r="CG2756" s="1">
        <v>42125</v>
      </c>
      <c r="CH2756" s="1">
        <v>51108</v>
      </c>
      <c r="CI2756" t="s">
        <v>51</v>
      </c>
      <c r="CK2756" t="s">
        <v>78</v>
      </c>
      <c r="CM2756" t="s">
        <v>54</v>
      </c>
      <c r="CN2756" t="s">
        <v>174</v>
      </c>
      <c r="CR2756">
        <v>11</v>
      </c>
      <c r="CS2756">
        <v>1600</v>
      </c>
      <c r="CT2756">
        <v>0</v>
      </c>
      <c r="CU2756">
        <v>16</v>
      </c>
    </row>
    <row r="2757" spans="1:99" x14ac:dyDescent="0.2">
      <c r="A2757" t="s">
        <v>1012</v>
      </c>
      <c r="B2757" t="s">
        <v>1013</v>
      </c>
      <c r="C2757" t="s">
        <v>1014</v>
      </c>
      <c r="D2757" t="s">
        <v>1154</v>
      </c>
      <c r="F2757" t="str">
        <f>"253503"</f>
        <v>253503</v>
      </c>
      <c r="G2757" t="s">
        <v>49</v>
      </c>
      <c r="H2757">
        <v>32</v>
      </c>
      <c r="K2757" t="s">
        <v>51</v>
      </c>
      <c r="L2757" t="s">
        <v>52</v>
      </c>
      <c r="M2757">
        <v>131402.60999999999</v>
      </c>
      <c r="N2757">
        <v>475385.08</v>
      </c>
      <c r="O2757" t="s">
        <v>53</v>
      </c>
      <c r="P2757" t="s">
        <v>54</v>
      </c>
      <c r="Q2757" t="s">
        <v>55</v>
      </c>
      <c r="T2757" t="s">
        <v>246</v>
      </c>
      <c r="U2757">
        <v>40</v>
      </c>
      <c r="V2757" s="1">
        <v>42125</v>
      </c>
      <c r="W2757" s="1">
        <v>42125</v>
      </c>
      <c r="X2757" s="1">
        <v>42125</v>
      </c>
      <c r="Y2757" s="1">
        <v>56735</v>
      </c>
      <c r="Z2757" t="s">
        <v>51</v>
      </c>
      <c r="AB2757" t="s">
        <v>54</v>
      </c>
      <c r="AE2757" t="s">
        <v>1065</v>
      </c>
      <c r="AF2757">
        <v>20</v>
      </c>
      <c r="AG2757" s="1">
        <v>42125</v>
      </c>
      <c r="AH2757" s="1">
        <v>42125</v>
      </c>
      <c r="AI2757" s="1">
        <v>42125</v>
      </c>
      <c r="AJ2757" s="1">
        <v>49430</v>
      </c>
      <c r="AK2757" t="s">
        <v>51</v>
      </c>
      <c r="AN2757">
        <v>0</v>
      </c>
      <c r="AO2757" t="s">
        <v>54</v>
      </c>
      <c r="AP2757" t="s">
        <v>53</v>
      </c>
      <c r="AQ2757">
        <v>0</v>
      </c>
      <c r="AR2757" t="s">
        <v>53</v>
      </c>
      <c r="AS2757">
        <v>0</v>
      </c>
      <c r="AT2757">
        <v>0</v>
      </c>
      <c r="AW2757" t="s">
        <v>172</v>
      </c>
      <c r="AX2757">
        <v>15</v>
      </c>
      <c r="AY2757" s="1">
        <v>42125</v>
      </c>
      <c r="AZ2757" s="1">
        <v>42125</v>
      </c>
      <c r="BA2757" s="1">
        <v>42125</v>
      </c>
      <c r="BB2757" s="1">
        <v>47604</v>
      </c>
      <c r="BC2757" t="s">
        <v>51</v>
      </c>
      <c r="BE2757" t="s">
        <v>54</v>
      </c>
      <c r="BF2757">
        <v>40</v>
      </c>
      <c r="BG2757">
        <v>0</v>
      </c>
      <c r="BH2757" t="s">
        <v>145</v>
      </c>
      <c r="CC2757" t="s">
        <v>1066</v>
      </c>
      <c r="CD2757">
        <v>100000</v>
      </c>
      <c r="CE2757" s="1">
        <v>42125</v>
      </c>
      <c r="CF2757" s="1">
        <v>42125</v>
      </c>
      <c r="CG2757" s="1">
        <v>42125</v>
      </c>
      <c r="CH2757" s="1">
        <v>51108</v>
      </c>
      <c r="CI2757" t="s">
        <v>51</v>
      </c>
      <c r="CK2757" t="s">
        <v>78</v>
      </c>
      <c r="CM2757" t="s">
        <v>54</v>
      </c>
      <c r="CN2757" t="s">
        <v>174</v>
      </c>
      <c r="CR2757">
        <v>11</v>
      </c>
      <c r="CS2757">
        <v>1600</v>
      </c>
      <c r="CT2757">
        <v>0</v>
      </c>
      <c r="CU2757">
        <v>16</v>
      </c>
    </row>
    <row r="2758" spans="1:99" x14ac:dyDescent="0.2">
      <c r="A2758" t="s">
        <v>1012</v>
      </c>
      <c r="B2758" t="s">
        <v>1013</v>
      </c>
      <c r="C2758" t="s">
        <v>1014</v>
      </c>
      <c r="D2758" t="s">
        <v>1154</v>
      </c>
      <c r="F2758" t="str">
        <f>"253504"</f>
        <v>253504</v>
      </c>
      <c r="G2758" t="s">
        <v>49</v>
      </c>
      <c r="H2758">
        <v>30</v>
      </c>
      <c r="K2758" t="s">
        <v>51</v>
      </c>
      <c r="L2758" t="s">
        <v>52</v>
      </c>
      <c r="M2758">
        <v>131402.5</v>
      </c>
      <c r="N2758">
        <v>475410.27</v>
      </c>
      <c r="O2758" t="s">
        <v>53</v>
      </c>
      <c r="P2758" t="s">
        <v>54</v>
      </c>
      <c r="Q2758" t="s">
        <v>55</v>
      </c>
      <c r="T2758" t="s">
        <v>246</v>
      </c>
      <c r="U2758">
        <v>40</v>
      </c>
      <c r="V2758" s="1">
        <v>42125</v>
      </c>
      <c r="W2758" s="1">
        <v>42125</v>
      </c>
      <c r="X2758" s="1">
        <v>42125</v>
      </c>
      <c r="Y2758" s="1">
        <v>56735</v>
      </c>
      <c r="Z2758" t="s">
        <v>51</v>
      </c>
      <c r="AB2758" t="s">
        <v>54</v>
      </c>
      <c r="AE2758" t="s">
        <v>1065</v>
      </c>
      <c r="AF2758">
        <v>20</v>
      </c>
      <c r="AG2758" s="1">
        <v>42125</v>
      </c>
      <c r="AH2758" s="1">
        <v>42125</v>
      </c>
      <c r="AI2758" s="1">
        <v>42125</v>
      </c>
      <c r="AJ2758" s="1">
        <v>49430</v>
      </c>
      <c r="AK2758" t="s">
        <v>51</v>
      </c>
      <c r="AN2758">
        <v>0</v>
      </c>
      <c r="AO2758" t="s">
        <v>54</v>
      </c>
      <c r="AP2758" t="s">
        <v>53</v>
      </c>
      <c r="AQ2758">
        <v>0</v>
      </c>
      <c r="AR2758" t="s">
        <v>53</v>
      </c>
      <c r="AS2758">
        <v>0</v>
      </c>
      <c r="AT2758">
        <v>0</v>
      </c>
      <c r="AW2758" t="s">
        <v>172</v>
      </c>
      <c r="AX2758">
        <v>15</v>
      </c>
      <c r="AY2758" s="1">
        <v>42125</v>
      </c>
      <c r="AZ2758" s="1">
        <v>42125</v>
      </c>
      <c r="BA2758" s="1">
        <v>42125</v>
      </c>
      <c r="BB2758" s="1">
        <v>47604</v>
      </c>
      <c r="BC2758" t="s">
        <v>51</v>
      </c>
      <c r="BE2758" t="s">
        <v>54</v>
      </c>
      <c r="BF2758">
        <v>40</v>
      </c>
      <c r="BG2758">
        <v>0</v>
      </c>
      <c r="BH2758" t="s">
        <v>145</v>
      </c>
      <c r="CC2758" t="s">
        <v>1066</v>
      </c>
      <c r="CD2758">
        <v>100000</v>
      </c>
      <c r="CE2758" s="1">
        <v>42125</v>
      </c>
      <c r="CF2758" s="1">
        <v>42125</v>
      </c>
      <c r="CG2758" s="1">
        <v>42125</v>
      </c>
      <c r="CH2758" s="1">
        <v>51108</v>
      </c>
      <c r="CI2758" t="s">
        <v>51</v>
      </c>
      <c r="CK2758" t="s">
        <v>78</v>
      </c>
      <c r="CM2758" t="s">
        <v>54</v>
      </c>
      <c r="CN2758" t="s">
        <v>174</v>
      </c>
      <c r="CR2758">
        <v>11</v>
      </c>
      <c r="CS2758">
        <v>1600</v>
      </c>
      <c r="CT2758">
        <v>0</v>
      </c>
      <c r="CU2758">
        <v>16</v>
      </c>
    </row>
    <row r="2759" spans="1:99" x14ac:dyDescent="0.2">
      <c r="A2759" t="s">
        <v>1012</v>
      </c>
      <c r="B2759" t="s">
        <v>1013</v>
      </c>
      <c r="C2759" t="s">
        <v>1014</v>
      </c>
      <c r="D2759" t="s">
        <v>1154</v>
      </c>
      <c r="F2759" t="str">
        <f>"253505"</f>
        <v>253505</v>
      </c>
      <c r="G2759" t="s">
        <v>49</v>
      </c>
      <c r="H2759">
        <v>22</v>
      </c>
      <c r="K2759" t="s">
        <v>51</v>
      </c>
      <c r="L2759" t="s">
        <v>52</v>
      </c>
      <c r="M2759">
        <v>131402.87</v>
      </c>
      <c r="N2759">
        <v>475434.39</v>
      </c>
      <c r="O2759" t="s">
        <v>53</v>
      </c>
      <c r="P2759" t="s">
        <v>54</v>
      </c>
      <c r="Q2759" t="s">
        <v>55</v>
      </c>
      <c r="T2759" t="s">
        <v>246</v>
      </c>
      <c r="U2759">
        <v>40</v>
      </c>
      <c r="V2759" s="1">
        <v>42125</v>
      </c>
      <c r="W2759" s="1">
        <v>42125</v>
      </c>
      <c r="X2759" s="1">
        <v>42125</v>
      </c>
      <c r="Y2759" s="1">
        <v>56735</v>
      </c>
      <c r="Z2759" t="s">
        <v>51</v>
      </c>
      <c r="AB2759" t="s">
        <v>54</v>
      </c>
      <c r="AE2759" t="s">
        <v>1065</v>
      </c>
      <c r="AF2759">
        <v>20</v>
      </c>
      <c r="AG2759" s="1">
        <v>42125</v>
      </c>
      <c r="AH2759" s="1">
        <v>42125</v>
      </c>
      <c r="AI2759" s="1">
        <v>42125</v>
      </c>
      <c r="AJ2759" s="1">
        <v>49430</v>
      </c>
      <c r="AK2759" t="s">
        <v>51</v>
      </c>
      <c r="AN2759">
        <v>0</v>
      </c>
      <c r="AO2759" t="s">
        <v>54</v>
      </c>
      <c r="AP2759" t="s">
        <v>53</v>
      </c>
      <c r="AQ2759">
        <v>0</v>
      </c>
      <c r="AR2759" t="s">
        <v>53</v>
      </c>
      <c r="AS2759">
        <v>0</v>
      </c>
      <c r="AT2759">
        <v>0</v>
      </c>
      <c r="AW2759" t="s">
        <v>172</v>
      </c>
      <c r="AX2759">
        <v>15</v>
      </c>
      <c r="AY2759" s="1">
        <v>42125</v>
      </c>
      <c r="AZ2759" s="1">
        <v>42125</v>
      </c>
      <c r="BA2759" s="1">
        <v>42125</v>
      </c>
      <c r="BB2759" s="1">
        <v>47604</v>
      </c>
      <c r="BC2759" t="s">
        <v>51</v>
      </c>
      <c r="BE2759" t="s">
        <v>54</v>
      </c>
      <c r="BF2759">
        <v>40</v>
      </c>
      <c r="BG2759">
        <v>0</v>
      </c>
      <c r="BH2759" t="s">
        <v>145</v>
      </c>
      <c r="CC2759" t="s">
        <v>1066</v>
      </c>
      <c r="CD2759">
        <v>100000</v>
      </c>
      <c r="CE2759" s="1">
        <v>42125</v>
      </c>
      <c r="CF2759" s="1">
        <v>42125</v>
      </c>
      <c r="CG2759" s="1">
        <v>42125</v>
      </c>
      <c r="CH2759" s="1">
        <v>51108</v>
      </c>
      <c r="CI2759" t="s">
        <v>51</v>
      </c>
      <c r="CK2759" t="s">
        <v>78</v>
      </c>
      <c r="CM2759" t="s">
        <v>54</v>
      </c>
      <c r="CN2759" t="s">
        <v>174</v>
      </c>
      <c r="CR2759">
        <v>11</v>
      </c>
      <c r="CS2759">
        <v>1600</v>
      </c>
      <c r="CT2759">
        <v>0</v>
      </c>
      <c r="CU2759">
        <v>16</v>
      </c>
    </row>
    <row r="2760" spans="1:99" x14ac:dyDescent="0.2">
      <c r="A2760" t="s">
        <v>1012</v>
      </c>
      <c r="B2760" t="s">
        <v>1013</v>
      </c>
      <c r="C2760" t="s">
        <v>1014</v>
      </c>
      <c r="D2760" t="s">
        <v>1154</v>
      </c>
      <c r="F2760" t="str">
        <f>"253506"</f>
        <v>253506</v>
      </c>
      <c r="G2760" t="s">
        <v>49</v>
      </c>
      <c r="H2760">
        <v>10</v>
      </c>
      <c r="K2760" t="s">
        <v>51</v>
      </c>
      <c r="L2760" t="s">
        <v>52</v>
      </c>
      <c r="M2760">
        <v>131390.74</v>
      </c>
      <c r="N2760">
        <v>475368.6</v>
      </c>
      <c r="O2760" t="s">
        <v>53</v>
      </c>
      <c r="P2760" t="s">
        <v>54</v>
      </c>
      <c r="Q2760" t="s">
        <v>55</v>
      </c>
      <c r="T2760" t="s">
        <v>246</v>
      </c>
      <c r="U2760">
        <v>40</v>
      </c>
      <c r="V2760" s="1">
        <v>42125</v>
      </c>
      <c r="W2760" s="1">
        <v>42125</v>
      </c>
      <c r="X2760" s="1">
        <v>42125</v>
      </c>
      <c r="Y2760" s="1">
        <v>56735</v>
      </c>
      <c r="Z2760" t="s">
        <v>51</v>
      </c>
      <c r="AB2760" t="s">
        <v>54</v>
      </c>
      <c r="AE2760" t="s">
        <v>1065</v>
      </c>
      <c r="AF2760">
        <v>20</v>
      </c>
      <c r="AG2760" s="1">
        <v>42125</v>
      </c>
      <c r="AH2760" s="1">
        <v>42125</v>
      </c>
      <c r="AI2760" s="1">
        <v>42125</v>
      </c>
      <c r="AJ2760" s="1">
        <v>49430</v>
      </c>
      <c r="AK2760" t="s">
        <v>51</v>
      </c>
      <c r="AN2760">
        <v>0</v>
      </c>
      <c r="AO2760" t="s">
        <v>54</v>
      </c>
      <c r="AP2760" t="s">
        <v>53</v>
      </c>
      <c r="AQ2760">
        <v>0</v>
      </c>
      <c r="AR2760" t="s">
        <v>53</v>
      </c>
      <c r="AS2760">
        <v>0</v>
      </c>
      <c r="AT2760">
        <v>0</v>
      </c>
      <c r="AW2760" t="s">
        <v>172</v>
      </c>
      <c r="AX2760">
        <v>15</v>
      </c>
      <c r="AY2760" s="1">
        <v>42125</v>
      </c>
      <c r="AZ2760" s="1">
        <v>42125</v>
      </c>
      <c r="BA2760" s="1">
        <v>42125</v>
      </c>
      <c r="BB2760" s="1">
        <v>47604</v>
      </c>
      <c r="BC2760" t="s">
        <v>51</v>
      </c>
      <c r="BE2760" t="s">
        <v>54</v>
      </c>
      <c r="BF2760">
        <v>40</v>
      </c>
      <c r="BG2760">
        <v>0</v>
      </c>
      <c r="BH2760" t="s">
        <v>145</v>
      </c>
      <c r="CC2760" t="s">
        <v>1066</v>
      </c>
      <c r="CD2760">
        <v>100000</v>
      </c>
      <c r="CE2760" s="1">
        <v>42125</v>
      </c>
      <c r="CF2760" s="1">
        <v>42125</v>
      </c>
      <c r="CG2760" s="1">
        <v>42125</v>
      </c>
      <c r="CH2760" s="1">
        <v>51108</v>
      </c>
      <c r="CI2760" t="s">
        <v>51</v>
      </c>
      <c r="CK2760" t="s">
        <v>78</v>
      </c>
      <c r="CM2760" t="s">
        <v>54</v>
      </c>
      <c r="CN2760" t="s">
        <v>174</v>
      </c>
      <c r="CR2760">
        <v>11</v>
      </c>
      <c r="CS2760">
        <v>1600</v>
      </c>
      <c r="CT2760">
        <v>0</v>
      </c>
      <c r="CU2760">
        <v>16</v>
      </c>
    </row>
    <row r="2761" spans="1:99" x14ac:dyDescent="0.2">
      <c r="A2761" t="s">
        <v>1012</v>
      </c>
      <c r="B2761" t="s">
        <v>1013</v>
      </c>
      <c r="C2761" t="s">
        <v>1014</v>
      </c>
      <c r="D2761" t="s">
        <v>1154</v>
      </c>
      <c r="F2761" t="str">
        <f>"253507"</f>
        <v>253507</v>
      </c>
      <c r="G2761" t="s">
        <v>49</v>
      </c>
      <c r="H2761">
        <v>2</v>
      </c>
      <c r="K2761" t="s">
        <v>51</v>
      </c>
      <c r="L2761" t="s">
        <v>52</v>
      </c>
      <c r="M2761">
        <v>131390.85999999999</v>
      </c>
      <c r="N2761">
        <v>475347.72</v>
      </c>
      <c r="O2761" t="s">
        <v>53</v>
      </c>
      <c r="P2761" t="s">
        <v>54</v>
      </c>
      <c r="Q2761" t="s">
        <v>55</v>
      </c>
      <c r="T2761" t="s">
        <v>246</v>
      </c>
      <c r="U2761">
        <v>40</v>
      </c>
      <c r="V2761" s="1">
        <v>42125</v>
      </c>
      <c r="W2761" s="1">
        <v>42125</v>
      </c>
      <c r="X2761" s="1">
        <v>42125</v>
      </c>
      <c r="Y2761" s="1">
        <v>56735</v>
      </c>
      <c r="Z2761" t="s">
        <v>51</v>
      </c>
      <c r="AB2761" t="s">
        <v>54</v>
      </c>
      <c r="AE2761" t="s">
        <v>1065</v>
      </c>
      <c r="AF2761">
        <v>20</v>
      </c>
      <c r="AG2761" s="1">
        <v>42125</v>
      </c>
      <c r="AH2761" s="1">
        <v>42125</v>
      </c>
      <c r="AI2761" s="1">
        <v>42125</v>
      </c>
      <c r="AJ2761" s="1">
        <v>49430</v>
      </c>
      <c r="AK2761" t="s">
        <v>51</v>
      </c>
      <c r="AN2761">
        <v>0</v>
      </c>
      <c r="AO2761" t="s">
        <v>54</v>
      </c>
      <c r="AP2761" t="s">
        <v>53</v>
      </c>
      <c r="AQ2761">
        <v>0</v>
      </c>
      <c r="AR2761" t="s">
        <v>53</v>
      </c>
      <c r="AS2761">
        <v>0</v>
      </c>
      <c r="AT2761">
        <v>0</v>
      </c>
      <c r="AW2761" t="s">
        <v>172</v>
      </c>
      <c r="AX2761">
        <v>15</v>
      </c>
      <c r="AY2761" s="1">
        <v>42125</v>
      </c>
      <c r="AZ2761" s="1">
        <v>42125</v>
      </c>
      <c r="BA2761" s="1">
        <v>42125</v>
      </c>
      <c r="BB2761" s="1">
        <v>47604</v>
      </c>
      <c r="BC2761" t="s">
        <v>51</v>
      </c>
      <c r="BE2761" t="s">
        <v>54</v>
      </c>
      <c r="BF2761">
        <v>40</v>
      </c>
      <c r="BG2761">
        <v>0</v>
      </c>
      <c r="BH2761" t="s">
        <v>145</v>
      </c>
      <c r="CC2761" t="s">
        <v>1066</v>
      </c>
      <c r="CD2761">
        <v>100000</v>
      </c>
      <c r="CE2761" s="1">
        <v>42125</v>
      </c>
      <c r="CF2761" s="1">
        <v>42125</v>
      </c>
      <c r="CG2761" s="1">
        <v>42125</v>
      </c>
      <c r="CH2761" s="1">
        <v>51108</v>
      </c>
      <c r="CI2761" t="s">
        <v>51</v>
      </c>
      <c r="CK2761" t="s">
        <v>78</v>
      </c>
      <c r="CM2761" t="s">
        <v>54</v>
      </c>
      <c r="CN2761" t="s">
        <v>174</v>
      </c>
      <c r="CR2761">
        <v>11</v>
      </c>
      <c r="CS2761">
        <v>1600</v>
      </c>
      <c r="CT2761">
        <v>0</v>
      </c>
      <c r="CU2761">
        <v>16</v>
      </c>
    </row>
    <row r="2762" spans="1:99" x14ac:dyDescent="0.2">
      <c r="A2762" t="s">
        <v>1012</v>
      </c>
      <c r="B2762" t="s">
        <v>1013</v>
      </c>
      <c r="C2762" t="s">
        <v>1014</v>
      </c>
      <c r="D2762" t="s">
        <v>1151</v>
      </c>
      <c r="F2762" t="str">
        <f>"253508"</f>
        <v>253508</v>
      </c>
      <c r="G2762" t="s">
        <v>49</v>
      </c>
      <c r="H2762">
        <v>10</v>
      </c>
      <c r="K2762" t="s">
        <v>51</v>
      </c>
      <c r="L2762" t="s">
        <v>52</v>
      </c>
      <c r="M2762">
        <v>131380.67000000001</v>
      </c>
      <c r="N2762">
        <v>475335.36</v>
      </c>
      <c r="O2762" t="s">
        <v>53</v>
      </c>
      <c r="P2762" t="s">
        <v>54</v>
      </c>
      <c r="Q2762" t="s">
        <v>55</v>
      </c>
      <c r="T2762" t="s">
        <v>170</v>
      </c>
      <c r="U2762">
        <v>40</v>
      </c>
      <c r="V2762" s="1">
        <v>42125</v>
      </c>
      <c r="W2762" s="1">
        <v>42125</v>
      </c>
      <c r="X2762" s="1">
        <v>42125</v>
      </c>
      <c r="Y2762" s="1">
        <v>56735</v>
      </c>
      <c r="Z2762" t="s">
        <v>51</v>
      </c>
      <c r="AB2762" t="s">
        <v>54</v>
      </c>
      <c r="AE2762" t="s">
        <v>342</v>
      </c>
      <c r="AF2762">
        <v>20</v>
      </c>
      <c r="AG2762" s="1">
        <v>42125</v>
      </c>
      <c r="AH2762" s="1">
        <v>42125</v>
      </c>
      <c r="AI2762" s="1">
        <v>42125</v>
      </c>
      <c r="AJ2762" s="1">
        <v>49430</v>
      </c>
      <c r="AK2762" t="s">
        <v>51</v>
      </c>
      <c r="AN2762">
        <v>0</v>
      </c>
      <c r="AO2762" t="s">
        <v>54</v>
      </c>
      <c r="AP2762" t="s">
        <v>53</v>
      </c>
      <c r="AQ2762">
        <v>0</v>
      </c>
      <c r="AR2762" t="s">
        <v>145</v>
      </c>
      <c r="AS2762">
        <v>19</v>
      </c>
      <c r="AT2762">
        <v>1800</v>
      </c>
      <c r="AW2762" t="s">
        <v>172</v>
      </c>
      <c r="AX2762">
        <v>15</v>
      </c>
      <c r="AY2762" s="1">
        <v>42125</v>
      </c>
      <c r="AZ2762" s="1">
        <v>42125</v>
      </c>
      <c r="BA2762" s="1">
        <v>42125</v>
      </c>
      <c r="BB2762" s="1">
        <v>47604</v>
      </c>
      <c r="BC2762" t="s">
        <v>51</v>
      </c>
      <c r="BE2762" t="s">
        <v>54</v>
      </c>
      <c r="BF2762">
        <v>40</v>
      </c>
      <c r="BG2762">
        <v>0</v>
      </c>
      <c r="BH2762" t="s">
        <v>145</v>
      </c>
      <c r="CC2762" t="s">
        <v>173</v>
      </c>
      <c r="CD2762">
        <v>100000</v>
      </c>
      <c r="CE2762" s="1">
        <v>42125</v>
      </c>
      <c r="CF2762" s="1">
        <v>42125</v>
      </c>
      <c r="CG2762" s="1">
        <v>42125</v>
      </c>
      <c r="CH2762" s="1">
        <v>51108</v>
      </c>
      <c r="CI2762" t="s">
        <v>51</v>
      </c>
      <c r="CK2762" t="s">
        <v>78</v>
      </c>
      <c r="CM2762" t="s">
        <v>54</v>
      </c>
      <c r="CN2762" t="s">
        <v>174</v>
      </c>
      <c r="CO2762" t="s">
        <v>86</v>
      </c>
      <c r="CP2762">
        <v>830</v>
      </c>
      <c r="CR2762">
        <v>19</v>
      </c>
      <c r="CS2762">
        <v>1800</v>
      </c>
      <c r="CT2762">
        <v>0</v>
      </c>
      <c r="CU2762">
        <v>16</v>
      </c>
    </row>
    <row r="2763" spans="1:99" x14ac:dyDescent="0.2">
      <c r="A2763" t="s">
        <v>1012</v>
      </c>
      <c r="B2763" t="s">
        <v>1013</v>
      </c>
      <c r="C2763" t="s">
        <v>1014</v>
      </c>
      <c r="D2763" t="s">
        <v>1151</v>
      </c>
      <c r="F2763" t="str">
        <f>"253509"</f>
        <v>253509</v>
      </c>
      <c r="G2763" t="s">
        <v>49</v>
      </c>
      <c r="H2763">
        <v>2</v>
      </c>
      <c r="K2763" t="s">
        <v>51</v>
      </c>
      <c r="L2763" t="s">
        <v>52</v>
      </c>
      <c r="M2763">
        <v>131403.82</v>
      </c>
      <c r="N2763">
        <v>475335.45</v>
      </c>
      <c r="O2763" t="s">
        <v>53</v>
      </c>
      <c r="P2763" t="s">
        <v>54</v>
      </c>
      <c r="Q2763" t="s">
        <v>55</v>
      </c>
      <c r="T2763" t="s">
        <v>170</v>
      </c>
      <c r="U2763">
        <v>40</v>
      </c>
      <c r="V2763" s="1">
        <v>42125</v>
      </c>
      <c r="W2763" s="1">
        <v>42125</v>
      </c>
      <c r="X2763" s="1">
        <v>42125</v>
      </c>
      <c r="Y2763" s="1">
        <v>56735</v>
      </c>
      <c r="Z2763" t="s">
        <v>51</v>
      </c>
      <c r="AB2763" t="s">
        <v>54</v>
      </c>
      <c r="AE2763" t="s">
        <v>342</v>
      </c>
      <c r="AF2763">
        <v>20</v>
      </c>
      <c r="AG2763" s="1">
        <v>42125</v>
      </c>
      <c r="AH2763" s="1">
        <v>42125</v>
      </c>
      <c r="AI2763" s="1">
        <v>42125</v>
      </c>
      <c r="AJ2763" s="1">
        <v>49430</v>
      </c>
      <c r="AK2763" t="s">
        <v>51</v>
      </c>
      <c r="AN2763">
        <v>0</v>
      </c>
      <c r="AO2763" t="s">
        <v>54</v>
      </c>
      <c r="AP2763" t="s">
        <v>53</v>
      </c>
      <c r="AQ2763">
        <v>0</v>
      </c>
      <c r="AR2763" t="s">
        <v>145</v>
      </c>
      <c r="AS2763">
        <v>19</v>
      </c>
      <c r="AT2763">
        <v>1800</v>
      </c>
      <c r="AW2763" t="s">
        <v>172</v>
      </c>
      <c r="AX2763">
        <v>15</v>
      </c>
      <c r="AY2763" s="1">
        <v>42125</v>
      </c>
      <c r="AZ2763" s="1">
        <v>42125</v>
      </c>
      <c r="BA2763" s="1">
        <v>42125</v>
      </c>
      <c r="BB2763" s="1">
        <v>47604</v>
      </c>
      <c r="BC2763" t="s">
        <v>51</v>
      </c>
      <c r="BE2763" t="s">
        <v>54</v>
      </c>
      <c r="BF2763">
        <v>40</v>
      </c>
      <c r="BG2763">
        <v>0</v>
      </c>
      <c r="BH2763" t="s">
        <v>145</v>
      </c>
      <c r="CC2763" t="s">
        <v>173</v>
      </c>
      <c r="CD2763">
        <v>100000</v>
      </c>
      <c r="CE2763" s="1">
        <v>42125</v>
      </c>
      <c r="CF2763" s="1">
        <v>42125</v>
      </c>
      <c r="CG2763" s="1">
        <v>42125</v>
      </c>
      <c r="CH2763" s="1">
        <v>51108</v>
      </c>
      <c r="CI2763" t="s">
        <v>51</v>
      </c>
      <c r="CK2763" t="s">
        <v>78</v>
      </c>
      <c r="CM2763" t="s">
        <v>54</v>
      </c>
      <c r="CN2763" t="s">
        <v>174</v>
      </c>
      <c r="CO2763" t="s">
        <v>86</v>
      </c>
      <c r="CP2763">
        <v>830</v>
      </c>
      <c r="CR2763">
        <v>19</v>
      </c>
      <c r="CS2763">
        <v>1800</v>
      </c>
      <c r="CT2763">
        <v>0</v>
      </c>
      <c r="CU2763">
        <v>16</v>
      </c>
    </row>
    <row r="2764" spans="1:99" x14ac:dyDescent="0.2">
      <c r="A2764" t="s">
        <v>1012</v>
      </c>
      <c r="B2764" t="s">
        <v>1013</v>
      </c>
      <c r="C2764" t="s">
        <v>1014</v>
      </c>
      <c r="D2764" t="s">
        <v>1151</v>
      </c>
      <c r="F2764" t="str">
        <f>"253510"</f>
        <v>253510</v>
      </c>
      <c r="G2764" t="s">
        <v>49</v>
      </c>
      <c r="H2764">
        <v>3</v>
      </c>
      <c r="K2764" t="s">
        <v>51</v>
      </c>
      <c r="L2764" t="s">
        <v>52</v>
      </c>
      <c r="M2764">
        <v>131357.82999999999</v>
      </c>
      <c r="N2764">
        <v>475327.78</v>
      </c>
      <c r="O2764" t="s">
        <v>53</v>
      </c>
      <c r="P2764" t="s">
        <v>54</v>
      </c>
      <c r="Q2764" t="s">
        <v>55</v>
      </c>
      <c r="T2764" t="s">
        <v>170</v>
      </c>
      <c r="U2764">
        <v>40</v>
      </c>
      <c r="V2764" s="1">
        <v>42125</v>
      </c>
      <c r="W2764" s="1">
        <v>42125</v>
      </c>
      <c r="X2764" s="1">
        <v>42125</v>
      </c>
      <c r="Y2764" s="1">
        <v>56735</v>
      </c>
      <c r="Z2764" t="s">
        <v>51</v>
      </c>
      <c r="AB2764" t="s">
        <v>54</v>
      </c>
      <c r="AE2764" t="s">
        <v>342</v>
      </c>
      <c r="AF2764">
        <v>20</v>
      </c>
      <c r="AG2764" s="1">
        <v>42125</v>
      </c>
      <c r="AH2764" s="1">
        <v>42125</v>
      </c>
      <c r="AI2764" s="1">
        <v>42125</v>
      </c>
      <c r="AJ2764" s="1">
        <v>49430</v>
      </c>
      <c r="AK2764" t="s">
        <v>51</v>
      </c>
      <c r="AN2764">
        <v>0</v>
      </c>
      <c r="AO2764" t="s">
        <v>54</v>
      </c>
      <c r="AP2764" t="s">
        <v>53</v>
      </c>
      <c r="AQ2764">
        <v>0</v>
      </c>
      <c r="AR2764" t="s">
        <v>145</v>
      </c>
      <c r="AS2764">
        <v>19</v>
      </c>
      <c r="AT2764">
        <v>1800</v>
      </c>
      <c r="AW2764" t="s">
        <v>172</v>
      </c>
      <c r="AX2764">
        <v>15</v>
      </c>
      <c r="AY2764" s="1">
        <v>42125</v>
      </c>
      <c r="AZ2764" s="1">
        <v>42125</v>
      </c>
      <c r="BA2764" s="1">
        <v>42125</v>
      </c>
      <c r="BB2764" s="1">
        <v>47604</v>
      </c>
      <c r="BC2764" t="s">
        <v>51</v>
      </c>
      <c r="BE2764" t="s">
        <v>54</v>
      </c>
      <c r="BF2764">
        <v>40</v>
      </c>
      <c r="BG2764">
        <v>0</v>
      </c>
      <c r="BH2764" t="s">
        <v>145</v>
      </c>
      <c r="CC2764" t="s">
        <v>173</v>
      </c>
      <c r="CD2764">
        <v>100000</v>
      </c>
      <c r="CE2764" s="1">
        <v>42125</v>
      </c>
      <c r="CF2764" s="1">
        <v>42125</v>
      </c>
      <c r="CG2764" s="1">
        <v>42125</v>
      </c>
      <c r="CH2764" s="1">
        <v>51108</v>
      </c>
      <c r="CI2764" t="s">
        <v>51</v>
      </c>
      <c r="CK2764" t="s">
        <v>78</v>
      </c>
      <c r="CM2764" t="s">
        <v>54</v>
      </c>
      <c r="CN2764" t="s">
        <v>174</v>
      </c>
      <c r="CO2764" t="s">
        <v>86</v>
      </c>
      <c r="CP2764">
        <v>830</v>
      </c>
      <c r="CR2764">
        <v>19</v>
      </c>
      <c r="CS2764">
        <v>1800</v>
      </c>
      <c r="CT2764">
        <v>0</v>
      </c>
      <c r="CU2764">
        <v>16</v>
      </c>
    </row>
    <row r="2765" spans="1:99" x14ac:dyDescent="0.2">
      <c r="A2765" t="s">
        <v>1012</v>
      </c>
      <c r="B2765" t="s">
        <v>1013</v>
      </c>
      <c r="C2765" t="s">
        <v>1014</v>
      </c>
      <c r="D2765" t="s">
        <v>1151</v>
      </c>
      <c r="F2765" t="str">
        <f>"253511"</f>
        <v>253511</v>
      </c>
      <c r="G2765" t="s">
        <v>49</v>
      </c>
      <c r="H2765">
        <v>22</v>
      </c>
      <c r="K2765" t="s">
        <v>51</v>
      </c>
      <c r="L2765" t="s">
        <v>52</v>
      </c>
      <c r="M2765">
        <v>131334.98000000001</v>
      </c>
      <c r="N2765">
        <v>475334.59</v>
      </c>
      <c r="O2765" t="s">
        <v>53</v>
      </c>
      <c r="P2765" t="s">
        <v>54</v>
      </c>
      <c r="Q2765" t="s">
        <v>55</v>
      </c>
      <c r="T2765" t="s">
        <v>170</v>
      </c>
      <c r="U2765">
        <v>40</v>
      </c>
      <c r="V2765" s="1">
        <v>42125</v>
      </c>
      <c r="W2765" s="1">
        <v>42125</v>
      </c>
      <c r="X2765" s="1">
        <v>42125</v>
      </c>
      <c r="Y2765" s="1">
        <v>56735</v>
      </c>
      <c r="Z2765" t="s">
        <v>51</v>
      </c>
      <c r="AB2765" t="s">
        <v>54</v>
      </c>
      <c r="AE2765" t="s">
        <v>342</v>
      </c>
      <c r="AF2765">
        <v>20</v>
      </c>
      <c r="AG2765" s="1">
        <v>42125</v>
      </c>
      <c r="AH2765" s="1">
        <v>42125</v>
      </c>
      <c r="AI2765" s="1">
        <v>42125</v>
      </c>
      <c r="AJ2765" s="1">
        <v>49430</v>
      </c>
      <c r="AK2765" t="s">
        <v>51</v>
      </c>
      <c r="AN2765">
        <v>0</v>
      </c>
      <c r="AO2765" t="s">
        <v>54</v>
      </c>
      <c r="AP2765" t="s">
        <v>53</v>
      </c>
      <c r="AQ2765">
        <v>0</v>
      </c>
      <c r="AR2765" t="s">
        <v>145</v>
      </c>
      <c r="AS2765">
        <v>19</v>
      </c>
      <c r="AT2765">
        <v>1800</v>
      </c>
      <c r="AW2765" t="s">
        <v>172</v>
      </c>
      <c r="AX2765">
        <v>15</v>
      </c>
      <c r="AY2765" s="1">
        <v>42125</v>
      </c>
      <c r="AZ2765" s="1">
        <v>42125</v>
      </c>
      <c r="BA2765" s="1">
        <v>42125</v>
      </c>
      <c r="BB2765" s="1">
        <v>47604</v>
      </c>
      <c r="BC2765" t="s">
        <v>51</v>
      </c>
      <c r="BE2765" t="s">
        <v>54</v>
      </c>
      <c r="BF2765">
        <v>40</v>
      </c>
      <c r="BG2765">
        <v>0</v>
      </c>
      <c r="BH2765" t="s">
        <v>145</v>
      </c>
      <c r="CC2765" t="s">
        <v>173</v>
      </c>
      <c r="CD2765">
        <v>100000</v>
      </c>
      <c r="CE2765" s="1">
        <v>42125</v>
      </c>
      <c r="CF2765" s="1">
        <v>42125</v>
      </c>
      <c r="CG2765" s="1">
        <v>42125</v>
      </c>
      <c r="CH2765" s="1">
        <v>51108</v>
      </c>
      <c r="CI2765" t="s">
        <v>51</v>
      </c>
      <c r="CK2765" t="s">
        <v>78</v>
      </c>
      <c r="CM2765" t="s">
        <v>54</v>
      </c>
      <c r="CN2765" t="s">
        <v>174</v>
      </c>
      <c r="CO2765" t="s">
        <v>86</v>
      </c>
      <c r="CP2765">
        <v>830</v>
      </c>
      <c r="CR2765">
        <v>19</v>
      </c>
      <c r="CS2765">
        <v>1800</v>
      </c>
      <c r="CT2765">
        <v>0</v>
      </c>
      <c r="CU2765">
        <v>16</v>
      </c>
    </row>
    <row r="2766" spans="1:99" x14ac:dyDescent="0.2">
      <c r="A2766" t="s">
        <v>1012</v>
      </c>
      <c r="B2766" t="s">
        <v>1013</v>
      </c>
      <c r="C2766" t="s">
        <v>1014</v>
      </c>
      <c r="D2766" t="s">
        <v>1151</v>
      </c>
      <c r="F2766" t="str">
        <f>"253512"</f>
        <v>253512</v>
      </c>
      <c r="G2766" t="s">
        <v>49</v>
      </c>
      <c r="H2766">
        <v>13</v>
      </c>
      <c r="K2766" t="s">
        <v>51</v>
      </c>
      <c r="L2766" t="s">
        <v>52</v>
      </c>
      <c r="M2766">
        <v>131313.89000000001</v>
      </c>
      <c r="N2766">
        <v>475327.77</v>
      </c>
      <c r="O2766" t="s">
        <v>53</v>
      </c>
      <c r="P2766" t="s">
        <v>54</v>
      </c>
      <c r="Q2766" t="s">
        <v>55</v>
      </c>
      <c r="T2766" t="s">
        <v>170</v>
      </c>
      <c r="U2766">
        <v>40</v>
      </c>
      <c r="V2766" s="1">
        <v>42125</v>
      </c>
      <c r="W2766" s="1">
        <v>42125</v>
      </c>
      <c r="X2766" s="1">
        <v>42125</v>
      </c>
      <c r="Y2766" s="1">
        <v>56735</v>
      </c>
      <c r="Z2766" t="s">
        <v>51</v>
      </c>
      <c r="AB2766" t="s">
        <v>54</v>
      </c>
      <c r="AE2766" t="s">
        <v>342</v>
      </c>
      <c r="AF2766">
        <v>20</v>
      </c>
      <c r="AG2766" s="1">
        <v>42125</v>
      </c>
      <c r="AH2766" s="1">
        <v>42125</v>
      </c>
      <c r="AI2766" s="1">
        <v>42125</v>
      </c>
      <c r="AJ2766" s="1">
        <v>49430</v>
      </c>
      <c r="AK2766" t="s">
        <v>51</v>
      </c>
      <c r="AN2766">
        <v>0</v>
      </c>
      <c r="AO2766" t="s">
        <v>54</v>
      </c>
      <c r="AP2766" t="s">
        <v>53</v>
      </c>
      <c r="AQ2766">
        <v>0</v>
      </c>
      <c r="AR2766" t="s">
        <v>145</v>
      </c>
      <c r="AS2766">
        <v>19</v>
      </c>
      <c r="AT2766">
        <v>1800</v>
      </c>
      <c r="AW2766" t="s">
        <v>172</v>
      </c>
      <c r="AX2766">
        <v>15</v>
      </c>
      <c r="AY2766" s="1">
        <v>42125</v>
      </c>
      <c r="AZ2766" s="1">
        <v>42125</v>
      </c>
      <c r="BA2766" s="1">
        <v>42125</v>
      </c>
      <c r="BB2766" s="1">
        <v>47604</v>
      </c>
      <c r="BC2766" t="s">
        <v>51</v>
      </c>
      <c r="BE2766" t="s">
        <v>54</v>
      </c>
      <c r="BF2766">
        <v>40</v>
      </c>
      <c r="BG2766">
        <v>0</v>
      </c>
      <c r="BH2766" t="s">
        <v>145</v>
      </c>
      <c r="CC2766" t="s">
        <v>173</v>
      </c>
      <c r="CD2766">
        <v>100000</v>
      </c>
      <c r="CE2766" s="1">
        <v>42125</v>
      </c>
      <c r="CF2766" s="1">
        <v>42125</v>
      </c>
      <c r="CG2766" s="1">
        <v>42125</v>
      </c>
      <c r="CH2766" s="1">
        <v>51108</v>
      </c>
      <c r="CI2766" t="s">
        <v>51</v>
      </c>
      <c r="CK2766" t="s">
        <v>78</v>
      </c>
      <c r="CM2766" t="s">
        <v>54</v>
      </c>
      <c r="CN2766" t="s">
        <v>174</v>
      </c>
      <c r="CO2766" t="s">
        <v>86</v>
      </c>
      <c r="CP2766">
        <v>830</v>
      </c>
      <c r="CR2766">
        <v>19</v>
      </c>
      <c r="CS2766">
        <v>1800</v>
      </c>
      <c r="CT2766">
        <v>0</v>
      </c>
      <c r="CU2766">
        <v>16</v>
      </c>
    </row>
    <row r="2767" spans="1:99" x14ac:dyDescent="0.2">
      <c r="A2767" t="s">
        <v>1012</v>
      </c>
      <c r="B2767" t="s">
        <v>1013</v>
      </c>
      <c r="C2767" t="s">
        <v>1014</v>
      </c>
      <c r="D2767" t="s">
        <v>1151</v>
      </c>
      <c r="F2767" t="str">
        <f>"253513"</f>
        <v>253513</v>
      </c>
      <c r="G2767" t="s">
        <v>49</v>
      </c>
      <c r="H2767">
        <v>29</v>
      </c>
      <c r="K2767" t="s">
        <v>51</v>
      </c>
      <c r="L2767" t="s">
        <v>52</v>
      </c>
      <c r="M2767">
        <v>131289.10999999999</v>
      </c>
      <c r="N2767">
        <v>475327.28</v>
      </c>
      <c r="O2767" t="s">
        <v>53</v>
      </c>
      <c r="P2767" t="s">
        <v>54</v>
      </c>
      <c r="Q2767" t="s">
        <v>55</v>
      </c>
      <c r="T2767" t="s">
        <v>170</v>
      </c>
      <c r="U2767">
        <v>40</v>
      </c>
      <c r="V2767" s="1">
        <v>42125</v>
      </c>
      <c r="W2767" s="1">
        <v>42125</v>
      </c>
      <c r="X2767" s="1">
        <v>42125</v>
      </c>
      <c r="Y2767" s="1">
        <v>56735</v>
      </c>
      <c r="Z2767" t="s">
        <v>51</v>
      </c>
      <c r="AB2767" t="s">
        <v>54</v>
      </c>
      <c r="AE2767" t="s">
        <v>342</v>
      </c>
      <c r="AF2767">
        <v>20</v>
      </c>
      <c r="AG2767" s="1">
        <v>42125</v>
      </c>
      <c r="AH2767" s="1">
        <v>42125</v>
      </c>
      <c r="AI2767" s="1">
        <v>42125</v>
      </c>
      <c r="AJ2767" s="1">
        <v>49430</v>
      </c>
      <c r="AK2767" t="s">
        <v>51</v>
      </c>
      <c r="AN2767">
        <v>0</v>
      </c>
      <c r="AO2767" t="s">
        <v>54</v>
      </c>
      <c r="AP2767" t="s">
        <v>53</v>
      </c>
      <c r="AQ2767">
        <v>0</v>
      </c>
      <c r="AR2767" t="s">
        <v>145</v>
      </c>
      <c r="AS2767">
        <v>19</v>
      </c>
      <c r="AT2767">
        <v>1800</v>
      </c>
      <c r="AW2767" t="s">
        <v>172</v>
      </c>
      <c r="AX2767">
        <v>15</v>
      </c>
      <c r="AY2767" s="1">
        <v>42125</v>
      </c>
      <c r="AZ2767" s="1">
        <v>42125</v>
      </c>
      <c r="BA2767" s="1">
        <v>42125</v>
      </c>
      <c r="BB2767" s="1">
        <v>47604</v>
      </c>
      <c r="BC2767" t="s">
        <v>51</v>
      </c>
      <c r="BE2767" t="s">
        <v>54</v>
      </c>
      <c r="BF2767">
        <v>40</v>
      </c>
      <c r="BG2767">
        <v>0</v>
      </c>
      <c r="BH2767" t="s">
        <v>145</v>
      </c>
      <c r="CC2767" t="s">
        <v>173</v>
      </c>
      <c r="CD2767">
        <v>100000</v>
      </c>
      <c r="CE2767" s="1">
        <v>42125</v>
      </c>
      <c r="CF2767" s="1">
        <v>42125</v>
      </c>
      <c r="CG2767" s="1">
        <v>42125</v>
      </c>
      <c r="CH2767" s="1">
        <v>51108</v>
      </c>
      <c r="CI2767" t="s">
        <v>51</v>
      </c>
      <c r="CK2767" t="s">
        <v>78</v>
      </c>
      <c r="CM2767" t="s">
        <v>54</v>
      </c>
      <c r="CN2767" t="s">
        <v>174</v>
      </c>
      <c r="CO2767" t="s">
        <v>86</v>
      </c>
      <c r="CP2767">
        <v>830</v>
      </c>
      <c r="CR2767">
        <v>19</v>
      </c>
      <c r="CS2767">
        <v>1800</v>
      </c>
      <c r="CT2767">
        <v>0</v>
      </c>
      <c r="CU2767">
        <v>16</v>
      </c>
    </row>
    <row r="2768" spans="1:99" x14ac:dyDescent="0.2">
      <c r="A2768" t="s">
        <v>1012</v>
      </c>
      <c r="B2768" t="s">
        <v>1013</v>
      </c>
      <c r="C2768" t="s">
        <v>1014</v>
      </c>
      <c r="D2768" t="s">
        <v>1155</v>
      </c>
      <c r="F2768" t="str">
        <f>"253514"</f>
        <v>253514</v>
      </c>
      <c r="G2768" t="s">
        <v>49</v>
      </c>
      <c r="H2768">
        <v>29</v>
      </c>
      <c r="K2768" t="s">
        <v>51</v>
      </c>
      <c r="L2768" t="s">
        <v>52</v>
      </c>
      <c r="M2768">
        <v>131302.99</v>
      </c>
      <c r="N2768">
        <v>475315.72</v>
      </c>
      <c r="O2768" t="s">
        <v>53</v>
      </c>
      <c r="P2768" t="s">
        <v>54</v>
      </c>
      <c r="Q2768" t="s">
        <v>55</v>
      </c>
      <c r="T2768" t="s">
        <v>246</v>
      </c>
      <c r="U2768">
        <v>40</v>
      </c>
      <c r="V2768" s="1">
        <v>42125</v>
      </c>
      <c r="W2768" s="1">
        <v>42125</v>
      </c>
      <c r="X2768" s="1">
        <v>42125</v>
      </c>
      <c r="Y2768" s="1">
        <v>56735</v>
      </c>
      <c r="Z2768" t="s">
        <v>51</v>
      </c>
      <c r="AB2768" t="s">
        <v>54</v>
      </c>
      <c r="AE2768" t="s">
        <v>1065</v>
      </c>
      <c r="AF2768">
        <v>20</v>
      </c>
      <c r="AG2768" s="1">
        <v>42125</v>
      </c>
      <c r="AH2768" s="1">
        <v>42125</v>
      </c>
      <c r="AI2768" s="1">
        <v>42125</v>
      </c>
      <c r="AJ2768" s="1">
        <v>49430</v>
      </c>
      <c r="AK2768" t="s">
        <v>51</v>
      </c>
      <c r="AN2768">
        <v>0</v>
      </c>
      <c r="AO2768" t="s">
        <v>54</v>
      </c>
      <c r="AP2768" t="s">
        <v>53</v>
      </c>
      <c r="AQ2768">
        <v>0</v>
      </c>
      <c r="AR2768" t="s">
        <v>53</v>
      </c>
      <c r="AS2768">
        <v>0</v>
      </c>
      <c r="AT2768">
        <v>0</v>
      </c>
      <c r="AW2768" t="s">
        <v>172</v>
      </c>
      <c r="AX2768">
        <v>15</v>
      </c>
      <c r="AY2768" s="1">
        <v>42125</v>
      </c>
      <c r="AZ2768" s="1">
        <v>42125</v>
      </c>
      <c r="BA2768" s="1">
        <v>42125</v>
      </c>
      <c r="BB2768" s="1">
        <v>47604</v>
      </c>
      <c r="BC2768" t="s">
        <v>51</v>
      </c>
      <c r="BE2768" t="s">
        <v>54</v>
      </c>
      <c r="BF2768">
        <v>40</v>
      </c>
      <c r="BG2768">
        <v>0</v>
      </c>
      <c r="BH2768" t="s">
        <v>145</v>
      </c>
      <c r="CC2768" t="s">
        <v>1066</v>
      </c>
      <c r="CD2768">
        <v>100000</v>
      </c>
      <c r="CE2768" s="1">
        <v>42125</v>
      </c>
      <c r="CF2768" s="1">
        <v>42125</v>
      </c>
      <c r="CG2768" s="1">
        <v>42125</v>
      </c>
      <c r="CH2768" s="1">
        <v>51108</v>
      </c>
      <c r="CI2768" t="s">
        <v>51</v>
      </c>
      <c r="CK2768" t="s">
        <v>78</v>
      </c>
      <c r="CM2768" t="s">
        <v>54</v>
      </c>
      <c r="CN2768" t="s">
        <v>174</v>
      </c>
      <c r="CR2768">
        <v>11</v>
      </c>
      <c r="CS2768">
        <v>1600</v>
      </c>
      <c r="CT2768">
        <v>0</v>
      </c>
      <c r="CU2768">
        <v>16</v>
      </c>
    </row>
    <row r="2769" spans="1:99" x14ac:dyDescent="0.2">
      <c r="A2769" t="s">
        <v>1012</v>
      </c>
      <c r="B2769" t="s">
        <v>1013</v>
      </c>
      <c r="C2769" t="s">
        <v>1014</v>
      </c>
      <c r="D2769" t="s">
        <v>1155</v>
      </c>
      <c r="F2769" t="str">
        <f>"253515"</f>
        <v>253515</v>
      </c>
      <c r="G2769" t="s">
        <v>49</v>
      </c>
      <c r="H2769">
        <v>21</v>
      </c>
      <c r="K2769" t="s">
        <v>51</v>
      </c>
      <c r="L2769" t="s">
        <v>52</v>
      </c>
      <c r="M2769">
        <v>131303.09</v>
      </c>
      <c r="N2769">
        <v>475294.52</v>
      </c>
      <c r="O2769" t="s">
        <v>53</v>
      </c>
      <c r="P2769" t="s">
        <v>54</v>
      </c>
      <c r="Q2769" t="s">
        <v>55</v>
      </c>
      <c r="T2769" t="s">
        <v>246</v>
      </c>
      <c r="U2769">
        <v>40</v>
      </c>
      <c r="V2769" s="1">
        <v>42125</v>
      </c>
      <c r="W2769" s="1">
        <v>42125</v>
      </c>
      <c r="X2769" s="1">
        <v>42125</v>
      </c>
      <c r="Y2769" s="1">
        <v>56735</v>
      </c>
      <c r="Z2769" t="s">
        <v>51</v>
      </c>
      <c r="AB2769" t="s">
        <v>54</v>
      </c>
      <c r="AE2769" t="s">
        <v>1065</v>
      </c>
      <c r="AF2769">
        <v>20</v>
      </c>
      <c r="AG2769" s="1">
        <v>42125</v>
      </c>
      <c r="AH2769" s="1">
        <v>42125</v>
      </c>
      <c r="AI2769" s="1">
        <v>42125</v>
      </c>
      <c r="AJ2769" s="1">
        <v>49430</v>
      </c>
      <c r="AK2769" t="s">
        <v>51</v>
      </c>
      <c r="AN2769">
        <v>0</v>
      </c>
      <c r="AO2769" t="s">
        <v>54</v>
      </c>
      <c r="AP2769" t="s">
        <v>53</v>
      </c>
      <c r="AQ2769">
        <v>0</v>
      </c>
      <c r="AR2769" t="s">
        <v>53</v>
      </c>
      <c r="AS2769">
        <v>0</v>
      </c>
      <c r="AT2769">
        <v>0</v>
      </c>
      <c r="AW2769" t="s">
        <v>172</v>
      </c>
      <c r="AX2769">
        <v>15</v>
      </c>
      <c r="AY2769" s="1">
        <v>42125</v>
      </c>
      <c r="AZ2769" s="1">
        <v>42125</v>
      </c>
      <c r="BA2769" s="1">
        <v>42125</v>
      </c>
      <c r="BB2769" s="1">
        <v>47604</v>
      </c>
      <c r="BC2769" t="s">
        <v>51</v>
      </c>
      <c r="BE2769" t="s">
        <v>54</v>
      </c>
      <c r="BF2769">
        <v>40</v>
      </c>
      <c r="BG2769">
        <v>0</v>
      </c>
      <c r="BH2769" t="s">
        <v>145</v>
      </c>
      <c r="CC2769" t="s">
        <v>1066</v>
      </c>
      <c r="CD2769">
        <v>100000</v>
      </c>
      <c r="CE2769" s="1">
        <v>42125</v>
      </c>
      <c r="CF2769" s="1">
        <v>42125</v>
      </c>
      <c r="CG2769" s="1">
        <v>42125</v>
      </c>
      <c r="CH2769" s="1">
        <v>51108</v>
      </c>
      <c r="CI2769" t="s">
        <v>51</v>
      </c>
      <c r="CK2769" t="s">
        <v>78</v>
      </c>
      <c r="CM2769" t="s">
        <v>54</v>
      </c>
      <c r="CN2769" t="s">
        <v>174</v>
      </c>
      <c r="CR2769">
        <v>11</v>
      </c>
      <c r="CS2769">
        <v>1600</v>
      </c>
      <c r="CT2769">
        <v>0</v>
      </c>
      <c r="CU2769">
        <v>16</v>
      </c>
    </row>
    <row r="2770" spans="1:99" x14ac:dyDescent="0.2">
      <c r="A2770" t="s">
        <v>1012</v>
      </c>
      <c r="B2770" t="s">
        <v>1013</v>
      </c>
      <c r="C2770" t="s">
        <v>1014</v>
      </c>
      <c r="D2770" t="s">
        <v>1155</v>
      </c>
      <c r="F2770" t="str">
        <f>"253516"</f>
        <v>253516</v>
      </c>
      <c r="G2770" t="s">
        <v>49</v>
      </c>
      <c r="H2770">
        <v>19</v>
      </c>
      <c r="K2770" t="s">
        <v>51</v>
      </c>
      <c r="L2770" t="s">
        <v>52</v>
      </c>
      <c r="M2770">
        <v>131291.5</v>
      </c>
      <c r="N2770">
        <v>475282.42</v>
      </c>
      <c r="O2770" t="s">
        <v>53</v>
      </c>
      <c r="P2770" t="s">
        <v>54</v>
      </c>
      <c r="Q2770" t="s">
        <v>55</v>
      </c>
      <c r="T2770" t="s">
        <v>246</v>
      </c>
      <c r="U2770">
        <v>40</v>
      </c>
      <c r="V2770" s="1">
        <v>42125</v>
      </c>
      <c r="W2770" s="1">
        <v>42125</v>
      </c>
      <c r="X2770" s="1">
        <v>42125</v>
      </c>
      <c r="Y2770" s="1">
        <v>56735</v>
      </c>
      <c r="Z2770" t="s">
        <v>51</v>
      </c>
      <c r="AB2770" t="s">
        <v>54</v>
      </c>
      <c r="AE2770" t="s">
        <v>1065</v>
      </c>
      <c r="AF2770">
        <v>20</v>
      </c>
      <c r="AG2770" s="1">
        <v>42125</v>
      </c>
      <c r="AH2770" s="1">
        <v>42125</v>
      </c>
      <c r="AI2770" s="1">
        <v>42125</v>
      </c>
      <c r="AJ2770" s="1">
        <v>49430</v>
      </c>
      <c r="AK2770" t="s">
        <v>51</v>
      </c>
      <c r="AN2770">
        <v>0</v>
      </c>
      <c r="AO2770" t="s">
        <v>54</v>
      </c>
      <c r="AP2770" t="s">
        <v>53</v>
      </c>
      <c r="AQ2770">
        <v>0</v>
      </c>
      <c r="AR2770" t="s">
        <v>53</v>
      </c>
      <c r="AS2770">
        <v>0</v>
      </c>
      <c r="AT2770">
        <v>0</v>
      </c>
      <c r="AW2770" t="s">
        <v>172</v>
      </c>
      <c r="AX2770">
        <v>15</v>
      </c>
      <c r="AY2770" s="1">
        <v>42125</v>
      </c>
      <c r="AZ2770" s="1">
        <v>42125</v>
      </c>
      <c r="BA2770" s="1">
        <v>42125</v>
      </c>
      <c r="BB2770" s="1">
        <v>47604</v>
      </c>
      <c r="BC2770" t="s">
        <v>51</v>
      </c>
      <c r="BE2770" t="s">
        <v>54</v>
      </c>
      <c r="BF2770">
        <v>40</v>
      </c>
      <c r="BG2770">
        <v>0</v>
      </c>
      <c r="BH2770" t="s">
        <v>145</v>
      </c>
      <c r="CC2770" t="s">
        <v>1066</v>
      </c>
      <c r="CD2770">
        <v>100000</v>
      </c>
      <c r="CE2770" s="1">
        <v>42125</v>
      </c>
      <c r="CF2770" s="1">
        <v>42125</v>
      </c>
      <c r="CG2770" s="1">
        <v>42125</v>
      </c>
      <c r="CH2770" s="1">
        <v>51108</v>
      </c>
      <c r="CI2770" t="s">
        <v>51</v>
      </c>
      <c r="CK2770" t="s">
        <v>78</v>
      </c>
      <c r="CM2770" t="s">
        <v>54</v>
      </c>
      <c r="CN2770" t="s">
        <v>174</v>
      </c>
      <c r="CR2770">
        <v>11</v>
      </c>
      <c r="CS2770">
        <v>1600</v>
      </c>
      <c r="CT2770">
        <v>0</v>
      </c>
      <c r="CU2770">
        <v>16</v>
      </c>
    </row>
    <row r="2771" spans="1:99" x14ac:dyDescent="0.2">
      <c r="A2771" t="s">
        <v>1012</v>
      </c>
      <c r="B2771" t="s">
        <v>1013</v>
      </c>
      <c r="C2771" t="s">
        <v>1014</v>
      </c>
      <c r="D2771" t="s">
        <v>1155</v>
      </c>
      <c r="F2771" t="str">
        <f>"253517"</f>
        <v>253517</v>
      </c>
      <c r="G2771" t="s">
        <v>49</v>
      </c>
      <c r="H2771">
        <v>41</v>
      </c>
      <c r="K2771" t="s">
        <v>51</v>
      </c>
      <c r="L2771" t="s">
        <v>52</v>
      </c>
      <c r="M2771">
        <v>131305.37</v>
      </c>
      <c r="N2771">
        <v>475268.16</v>
      </c>
      <c r="O2771" t="s">
        <v>53</v>
      </c>
      <c r="P2771" t="s">
        <v>54</v>
      </c>
      <c r="Q2771" t="s">
        <v>55</v>
      </c>
      <c r="T2771" t="s">
        <v>246</v>
      </c>
      <c r="U2771">
        <v>40</v>
      </c>
      <c r="V2771" s="1">
        <v>42125</v>
      </c>
      <c r="W2771" s="1">
        <v>42125</v>
      </c>
      <c r="X2771" s="1">
        <v>42125</v>
      </c>
      <c r="Y2771" s="1">
        <v>56735</v>
      </c>
      <c r="Z2771" t="s">
        <v>51</v>
      </c>
      <c r="AB2771" t="s">
        <v>54</v>
      </c>
      <c r="AE2771" t="s">
        <v>1065</v>
      </c>
      <c r="AF2771">
        <v>20</v>
      </c>
      <c r="AG2771" s="1">
        <v>42125</v>
      </c>
      <c r="AH2771" s="1">
        <v>42125</v>
      </c>
      <c r="AI2771" s="1">
        <v>42125</v>
      </c>
      <c r="AJ2771" s="1">
        <v>49430</v>
      </c>
      <c r="AK2771" t="s">
        <v>51</v>
      </c>
      <c r="AN2771">
        <v>0</v>
      </c>
      <c r="AO2771" t="s">
        <v>54</v>
      </c>
      <c r="AP2771" t="s">
        <v>53</v>
      </c>
      <c r="AQ2771">
        <v>0</v>
      </c>
      <c r="AR2771" t="s">
        <v>53</v>
      </c>
      <c r="AS2771">
        <v>0</v>
      </c>
      <c r="AT2771">
        <v>0</v>
      </c>
      <c r="AW2771" t="s">
        <v>172</v>
      </c>
      <c r="AX2771">
        <v>15</v>
      </c>
      <c r="AY2771" s="1">
        <v>42125</v>
      </c>
      <c r="AZ2771" s="1">
        <v>42125</v>
      </c>
      <c r="BA2771" s="1">
        <v>42125</v>
      </c>
      <c r="BB2771" s="1">
        <v>47604</v>
      </c>
      <c r="BC2771" t="s">
        <v>51</v>
      </c>
      <c r="BE2771" t="s">
        <v>54</v>
      </c>
      <c r="BF2771">
        <v>40</v>
      </c>
      <c r="BG2771">
        <v>0</v>
      </c>
      <c r="BH2771" t="s">
        <v>145</v>
      </c>
      <c r="CC2771" t="s">
        <v>1066</v>
      </c>
      <c r="CD2771">
        <v>100000</v>
      </c>
      <c r="CE2771" s="1">
        <v>42125</v>
      </c>
      <c r="CF2771" s="1">
        <v>42125</v>
      </c>
      <c r="CG2771" s="1">
        <v>42125</v>
      </c>
      <c r="CH2771" s="1">
        <v>51108</v>
      </c>
      <c r="CI2771" t="s">
        <v>51</v>
      </c>
      <c r="CK2771" t="s">
        <v>78</v>
      </c>
      <c r="CM2771" t="s">
        <v>54</v>
      </c>
      <c r="CN2771" t="s">
        <v>174</v>
      </c>
      <c r="CR2771">
        <v>11</v>
      </c>
      <c r="CS2771">
        <v>1600</v>
      </c>
      <c r="CT2771">
        <v>0</v>
      </c>
      <c r="CU2771">
        <v>16</v>
      </c>
    </row>
    <row r="2772" spans="1:99" x14ac:dyDescent="0.2">
      <c r="A2772" t="s">
        <v>1012</v>
      </c>
      <c r="B2772" t="s">
        <v>1013</v>
      </c>
      <c r="C2772" t="s">
        <v>1014</v>
      </c>
      <c r="D2772" t="s">
        <v>1155</v>
      </c>
      <c r="F2772" t="str">
        <f>"253518"</f>
        <v>253518</v>
      </c>
      <c r="G2772" t="s">
        <v>49</v>
      </c>
      <c r="H2772">
        <v>31</v>
      </c>
      <c r="K2772" t="s">
        <v>51</v>
      </c>
      <c r="L2772" t="s">
        <v>52</v>
      </c>
      <c r="M2772">
        <v>131323.68</v>
      </c>
      <c r="N2772">
        <v>475278.45</v>
      </c>
      <c r="O2772" t="s">
        <v>53</v>
      </c>
      <c r="P2772" t="s">
        <v>54</v>
      </c>
      <c r="Q2772" t="s">
        <v>55</v>
      </c>
      <c r="T2772" t="s">
        <v>246</v>
      </c>
      <c r="U2772">
        <v>40</v>
      </c>
      <c r="V2772" s="1">
        <v>42125</v>
      </c>
      <c r="W2772" s="1">
        <v>42125</v>
      </c>
      <c r="X2772" s="1">
        <v>42125</v>
      </c>
      <c r="Y2772" s="1">
        <v>56735</v>
      </c>
      <c r="Z2772" t="s">
        <v>51</v>
      </c>
      <c r="AB2772" t="s">
        <v>54</v>
      </c>
      <c r="AE2772" t="s">
        <v>1065</v>
      </c>
      <c r="AF2772">
        <v>20</v>
      </c>
      <c r="AG2772" s="1">
        <v>42125</v>
      </c>
      <c r="AH2772" s="1">
        <v>42125</v>
      </c>
      <c r="AI2772" s="1">
        <v>42125</v>
      </c>
      <c r="AJ2772" s="1">
        <v>49430</v>
      </c>
      <c r="AK2772" t="s">
        <v>51</v>
      </c>
      <c r="AN2772">
        <v>0</v>
      </c>
      <c r="AO2772" t="s">
        <v>54</v>
      </c>
      <c r="AP2772" t="s">
        <v>53</v>
      </c>
      <c r="AQ2772">
        <v>0</v>
      </c>
      <c r="AR2772" t="s">
        <v>53</v>
      </c>
      <c r="AS2772">
        <v>0</v>
      </c>
      <c r="AT2772">
        <v>0</v>
      </c>
      <c r="AW2772" t="s">
        <v>172</v>
      </c>
      <c r="AX2772">
        <v>15</v>
      </c>
      <c r="AY2772" s="1">
        <v>42125</v>
      </c>
      <c r="AZ2772" s="1">
        <v>42125</v>
      </c>
      <c r="BA2772" s="1">
        <v>42125</v>
      </c>
      <c r="BB2772" s="1">
        <v>47604</v>
      </c>
      <c r="BC2772" t="s">
        <v>51</v>
      </c>
      <c r="BE2772" t="s">
        <v>54</v>
      </c>
      <c r="BF2772">
        <v>40</v>
      </c>
      <c r="BG2772">
        <v>0</v>
      </c>
      <c r="BH2772" t="s">
        <v>145</v>
      </c>
      <c r="CC2772" t="s">
        <v>1066</v>
      </c>
      <c r="CD2772">
        <v>100000</v>
      </c>
      <c r="CE2772" s="1">
        <v>42125</v>
      </c>
      <c r="CF2772" s="1">
        <v>42125</v>
      </c>
      <c r="CG2772" s="1">
        <v>42125</v>
      </c>
      <c r="CH2772" s="1">
        <v>51108</v>
      </c>
      <c r="CI2772" t="s">
        <v>51</v>
      </c>
      <c r="CK2772" t="s">
        <v>78</v>
      </c>
      <c r="CM2772" t="s">
        <v>54</v>
      </c>
      <c r="CN2772" t="s">
        <v>174</v>
      </c>
      <c r="CR2772">
        <v>11</v>
      </c>
      <c r="CS2772">
        <v>1600</v>
      </c>
      <c r="CT2772">
        <v>0</v>
      </c>
      <c r="CU2772">
        <v>16</v>
      </c>
    </row>
    <row r="2773" spans="1:99" x14ac:dyDescent="0.2">
      <c r="A2773" t="s">
        <v>1012</v>
      </c>
      <c r="B2773" t="s">
        <v>1013</v>
      </c>
      <c r="C2773" t="s">
        <v>1014</v>
      </c>
      <c r="D2773" t="s">
        <v>1155</v>
      </c>
      <c r="F2773" t="str">
        <f>"253519"</f>
        <v>253519</v>
      </c>
      <c r="G2773" t="s">
        <v>49</v>
      </c>
      <c r="H2773">
        <v>44</v>
      </c>
      <c r="K2773" t="s">
        <v>51</v>
      </c>
      <c r="L2773" t="s">
        <v>52</v>
      </c>
      <c r="M2773">
        <v>131342.69</v>
      </c>
      <c r="N2773">
        <v>475268.47</v>
      </c>
      <c r="O2773" t="s">
        <v>53</v>
      </c>
      <c r="P2773" t="s">
        <v>54</v>
      </c>
      <c r="Q2773" t="s">
        <v>55</v>
      </c>
      <c r="T2773" t="s">
        <v>246</v>
      </c>
      <c r="U2773">
        <v>40</v>
      </c>
      <c r="V2773" s="1">
        <v>42125</v>
      </c>
      <c r="W2773" s="1">
        <v>42125</v>
      </c>
      <c r="X2773" s="1">
        <v>42125</v>
      </c>
      <c r="Y2773" s="1">
        <v>56735</v>
      </c>
      <c r="Z2773" t="s">
        <v>51</v>
      </c>
      <c r="AB2773" t="s">
        <v>54</v>
      </c>
      <c r="AE2773" t="s">
        <v>1065</v>
      </c>
      <c r="AF2773">
        <v>20</v>
      </c>
      <c r="AG2773" s="1">
        <v>42125</v>
      </c>
      <c r="AH2773" s="1">
        <v>42125</v>
      </c>
      <c r="AI2773" s="1">
        <v>42125</v>
      </c>
      <c r="AJ2773" s="1">
        <v>49430</v>
      </c>
      <c r="AK2773" t="s">
        <v>51</v>
      </c>
      <c r="AN2773">
        <v>0</v>
      </c>
      <c r="AO2773" t="s">
        <v>54</v>
      </c>
      <c r="AP2773" t="s">
        <v>53</v>
      </c>
      <c r="AQ2773">
        <v>0</v>
      </c>
      <c r="AR2773" t="s">
        <v>53</v>
      </c>
      <c r="AS2773">
        <v>0</v>
      </c>
      <c r="AT2773">
        <v>0</v>
      </c>
      <c r="AW2773" t="s">
        <v>172</v>
      </c>
      <c r="AX2773">
        <v>15</v>
      </c>
      <c r="AY2773" s="1">
        <v>42125</v>
      </c>
      <c r="AZ2773" s="1">
        <v>42125</v>
      </c>
      <c r="BA2773" s="1">
        <v>42125</v>
      </c>
      <c r="BB2773" s="1">
        <v>47604</v>
      </c>
      <c r="BC2773" t="s">
        <v>51</v>
      </c>
      <c r="BE2773" t="s">
        <v>54</v>
      </c>
      <c r="BF2773">
        <v>40</v>
      </c>
      <c r="BG2773">
        <v>0</v>
      </c>
      <c r="BH2773" t="s">
        <v>145</v>
      </c>
      <c r="CC2773" t="s">
        <v>1066</v>
      </c>
      <c r="CD2773">
        <v>100000</v>
      </c>
      <c r="CE2773" s="1">
        <v>42125</v>
      </c>
      <c r="CF2773" s="1">
        <v>42125</v>
      </c>
      <c r="CG2773" s="1">
        <v>42125</v>
      </c>
      <c r="CH2773" s="1">
        <v>51108</v>
      </c>
      <c r="CI2773" t="s">
        <v>51</v>
      </c>
      <c r="CK2773" t="s">
        <v>78</v>
      </c>
      <c r="CM2773" t="s">
        <v>54</v>
      </c>
      <c r="CN2773" t="s">
        <v>174</v>
      </c>
      <c r="CR2773">
        <v>11</v>
      </c>
      <c r="CS2773">
        <v>1600</v>
      </c>
      <c r="CT2773">
        <v>0</v>
      </c>
      <c r="CU2773">
        <v>16</v>
      </c>
    </row>
    <row r="2774" spans="1:99" x14ac:dyDescent="0.2">
      <c r="A2774" t="s">
        <v>1012</v>
      </c>
      <c r="B2774" t="s">
        <v>1013</v>
      </c>
      <c r="C2774" t="s">
        <v>1014</v>
      </c>
      <c r="D2774" t="s">
        <v>1155</v>
      </c>
      <c r="F2774" t="str">
        <f>"253520"</f>
        <v>253520</v>
      </c>
      <c r="G2774" t="s">
        <v>49</v>
      </c>
      <c r="H2774">
        <v>36</v>
      </c>
      <c r="K2774" t="s">
        <v>51</v>
      </c>
      <c r="L2774" t="s">
        <v>52</v>
      </c>
      <c r="M2774">
        <v>131358.38</v>
      </c>
      <c r="N2774">
        <v>475278.82</v>
      </c>
      <c r="O2774" t="s">
        <v>53</v>
      </c>
      <c r="P2774" t="s">
        <v>54</v>
      </c>
      <c r="Q2774" t="s">
        <v>55</v>
      </c>
      <c r="T2774" t="s">
        <v>246</v>
      </c>
      <c r="U2774">
        <v>40</v>
      </c>
      <c r="V2774" s="1">
        <v>42125</v>
      </c>
      <c r="W2774" s="1">
        <v>42125</v>
      </c>
      <c r="X2774" s="1">
        <v>42125</v>
      </c>
      <c r="Y2774" s="1">
        <v>56735</v>
      </c>
      <c r="Z2774" t="s">
        <v>51</v>
      </c>
      <c r="AB2774" t="s">
        <v>54</v>
      </c>
      <c r="AE2774" t="s">
        <v>1065</v>
      </c>
      <c r="AF2774">
        <v>20</v>
      </c>
      <c r="AG2774" s="1">
        <v>42125</v>
      </c>
      <c r="AH2774" s="1">
        <v>42125</v>
      </c>
      <c r="AI2774" s="1">
        <v>42125</v>
      </c>
      <c r="AJ2774" s="1">
        <v>49430</v>
      </c>
      <c r="AK2774" t="s">
        <v>51</v>
      </c>
      <c r="AN2774">
        <v>0</v>
      </c>
      <c r="AO2774" t="s">
        <v>54</v>
      </c>
      <c r="AP2774" t="s">
        <v>53</v>
      </c>
      <c r="AQ2774">
        <v>0</v>
      </c>
      <c r="AR2774" t="s">
        <v>53</v>
      </c>
      <c r="AS2774">
        <v>0</v>
      </c>
      <c r="AT2774">
        <v>0</v>
      </c>
      <c r="AW2774" t="s">
        <v>172</v>
      </c>
      <c r="AX2774">
        <v>15</v>
      </c>
      <c r="AY2774" s="1">
        <v>42125</v>
      </c>
      <c r="AZ2774" s="1">
        <v>42125</v>
      </c>
      <c r="BA2774" s="1">
        <v>42125</v>
      </c>
      <c r="BB2774" s="1">
        <v>47604</v>
      </c>
      <c r="BC2774" t="s">
        <v>51</v>
      </c>
      <c r="BE2774" t="s">
        <v>54</v>
      </c>
      <c r="BF2774">
        <v>40</v>
      </c>
      <c r="BG2774">
        <v>0</v>
      </c>
      <c r="BH2774" t="s">
        <v>145</v>
      </c>
      <c r="CC2774" t="s">
        <v>1066</v>
      </c>
      <c r="CD2774">
        <v>100000</v>
      </c>
      <c r="CE2774" s="1">
        <v>42125</v>
      </c>
      <c r="CF2774" s="1">
        <v>42125</v>
      </c>
      <c r="CG2774" s="1">
        <v>42125</v>
      </c>
      <c r="CH2774" s="1">
        <v>51108</v>
      </c>
      <c r="CI2774" t="s">
        <v>51</v>
      </c>
      <c r="CK2774" t="s">
        <v>78</v>
      </c>
      <c r="CM2774" t="s">
        <v>54</v>
      </c>
      <c r="CN2774" t="s">
        <v>174</v>
      </c>
      <c r="CR2774">
        <v>11</v>
      </c>
      <c r="CS2774">
        <v>1600</v>
      </c>
      <c r="CT2774">
        <v>0</v>
      </c>
      <c r="CU2774">
        <v>16</v>
      </c>
    </row>
    <row r="2775" spans="1:99" x14ac:dyDescent="0.2">
      <c r="A2775" t="s">
        <v>1012</v>
      </c>
      <c r="B2775" t="s">
        <v>1013</v>
      </c>
      <c r="C2775" t="s">
        <v>1014</v>
      </c>
      <c r="D2775" t="s">
        <v>1155</v>
      </c>
      <c r="F2775" t="str">
        <f>"253521"</f>
        <v>253521</v>
      </c>
      <c r="G2775" t="s">
        <v>49</v>
      </c>
      <c r="H2775">
        <v>22</v>
      </c>
      <c r="K2775" t="s">
        <v>51</v>
      </c>
      <c r="L2775" t="s">
        <v>52</v>
      </c>
      <c r="M2775">
        <v>131370.78</v>
      </c>
      <c r="N2775">
        <v>475293.18</v>
      </c>
      <c r="O2775" t="s">
        <v>53</v>
      </c>
      <c r="P2775" t="s">
        <v>54</v>
      </c>
      <c r="Q2775" t="s">
        <v>55</v>
      </c>
      <c r="T2775" t="s">
        <v>246</v>
      </c>
      <c r="U2775">
        <v>40</v>
      </c>
      <c r="V2775" s="1">
        <v>42125</v>
      </c>
      <c r="W2775" s="1">
        <v>42125</v>
      </c>
      <c r="X2775" s="1">
        <v>42125</v>
      </c>
      <c r="Y2775" s="1">
        <v>56735</v>
      </c>
      <c r="Z2775" t="s">
        <v>51</v>
      </c>
      <c r="AB2775" t="s">
        <v>54</v>
      </c>
      <c r="AE2775" t="s">
        <v>1065</v>
      </c>
      <c r="AF2775">
        <v>20</v>
      </c>
      <c r="AG2775" s="1">
        <v>42125</v>
      </c>
      <c r="AH2775" s="1">
        <v>42125</v>
      </c>
      <c r="AI2775" s="1">
        <v>42125</v>
      </c>
      <c r="AJ2775" s="1">
        <v>49430</v>
      </c>
      <c r="AK2775" t="s">
        <v>51</v>
      </c>
      <c r="AN2775">
        <v>0</v>
      </c>
      <c r="AO2775" t="s">
        <v>54</v>
      </c>
      <c r="AP2775" t="s">
        <v>53</v>
      </c>
      <c r="AQ2775">
        <v>0</v>
      </c>
      <c r="AR2775" t="s">
        <v>53</v>
      </c>
      <c r="AS2775">
        <v>0</v>
      </c>
      <c r="AT2775">
        <v>0</v>
      </c>
      <c r="AW2775" t="s">
        <v>172</v>
      </c>
      <c r="AX2775">
        <v>15</v>
      </c>
      <c r="AY2775" s="1">
        <v>42125</v>
      </c>
      <c r="AZ2775" s="1">
        <v>42125</v>
      </c>
      <c r="BA2775" s="1">
        <v>42125</v>
      </c>
      <c r="BB2775" s="1">
        <v>47604</v>
      </c>
      <c r="BC2775" t="s">
        <v>51</v>
      </c>
      <c r="BE2775" t="s">
        <v>54</v>
      </c>
      <c r="BF2775">
        <v>40</v>
      </c>
      <c r="BG2775">
        <v>0</v>
      </c>
      <c r="BH2775" t="s">
        <v>145</v>
      </c>
      <c r="CC2775" t="s">
        <v>1066</v>
      </c>
      <c r="CD2775">
        <v>100000</v>
      </c>
      <c r="CE2775" s="1">
        <v>42125</v>
      </c>
      <c r="CF2775" s="1">
        <v>42125</v>
      </c>
      <c r="CG2775" s="1">
        <v>42125</v>
      </c>
      <c r="CH2775" s="1">
        <v>51108</v>
      </c>
      <c r="CI2775" t="s">
        <v>51</v>
      </c>
      <c r="CK2775" t="s">
        <v>78</v>
      </c>
      <c r="CM2775" t="s">
        <v>54</v>
      </c>
      <c r="CN2775" t="s">
        <v>174</v>
      </c>
      <c r="CR2775">
        <v>11</v>
      </c>
      <c r="CS2775">
        <v>1600</v>
      </c>
      <c r="CT2775">
        <v>0</v>
      </c>
      <c r="CU2775">
        <v>16</v>
      </c>
    </row>
    <row r="2776" spans="1:99" x14ac:dyDescent="0.2">
      <c r="A2776" t="s">
        <v>1012</v>
      </c>
      <c r="B2776" t="s">
        <v>1013</v>
      </c>
      <c r="C2776" t="s">
        <v>1014</v>
      </c>
      <c r="D2776" t="s">
        <v>1155</v>
      </c>
      <c r="F2776" t="str">
        <f>"253522"</f>
        <v>253522</v>
      </c>
      <c r="G2776" t="s">
        <v>49</v>
      </c>
      <c r="H2776">
        <v>30</v>
      </c>
      <c r="K2776" t="s">
        <v>51</v>
      </c>
      <c r="L2776" t="s">
        <v>52</v>
      </c>
      <c r="M2776">
        <v>131370.43</v>
      </c>
      <c r="N2776">
        <v>475316.8</v>
      </c>
      <c r="O2776" t="s">
        <v>53</v>
      </c>
      <c r="P2776" t="s">
        <v>54</v>
      </c>
      <c r="Q2776" t="s">
        <v>55</v>
      </c>
      <c r="T2776" t="s">
        <v>246</v>
      </c>
      <c r="U2776">
        <v>40</v>
      </c>
      <c r="V2776" s="1">
        <v>42125</v>
      </c>
      <c r="W2776" s="1">
        <v>42125</v>
      </c>
      <c r="X2776" s="1">
        <v>42125</v>
      </c>
      <c r="Y2776" s="1">
        <v>56735</v>
      </c>
      <c r="Z2776" t="s">
        <v>51</v>
      </c>
      <c r="AB2776" t="s">
        <v>54</v>
      </c>
      <c r="AE2776" t="s">
        <v>1065</v>
      </c>
      <c r="AF2776">
        <v>20</v>
      </c>
      <c r="AG2776" s="1">
        <v>42125</v>
      </c>
      <c r="AH2776" s="1">
        <v>42125</v>
      </c>
      <c r="AI2776" s="1">
        <v>42125</v>
      </c>
      <c r="AJ2776" s="1">
        <v>49430</v>
      </c>
      <c r="AK2776" t="s">
        <v>51</v>
      </c>
      <c r="AN2776">
        <v>0</v>
      </c>
      <c r="AO2776" t="s">
        <v>54</v>
      </c>
      <c r="AP2776" t="s">
        <v>53</v>
      </c>
      <c r="AQ2776">
        <v>0</v>
      </c>
      <c r="AR2776" t="s">
        <v>53</v>
      </c>
      <c r="AS2776">
        <v>0</v>
      </c>
      <c r="AT2776">
        <v>0</v>
      </c>
      <c r="AW2776" t="s">
        <v>172</v>
      </c>
      <c r="AX2776">
        <v>15</v>
      </c>
      <c r="AY2776" s="1">
        <v>42125</v>
      </c>
      <c r="AZ2776" s="1">
        <v>42125</v>
      </c>
      <c r="BA2776" s="1">
        <v>42125</v>
      </c>
      <c r="BB2776" s="1">
        <v>47604</v>
      </c>
      <c r="BC2776" t="s">
        <v>51</v>
      </c>
      <c r="BE2776" t="s">
        <v>54</v>
      </c>
      <c r="BF2776">
        <v>40</v>
      </c>
      <c r="BG2776">
        <v>0</v>
      </c>
      <c r="BH2776" t="s">
        <v>145</v>
      </c>
      <c r="CC2776" t="s">
        <v>1066</v>
      </c>
      <c r="CD2776">
        <v>100000</v>
      </c>
      <c r="CE2776" s="1">
        <v>42125</v>
      </c>
      <c r="CF2776" s="1">
        <v>42125</v>
      </c>
      <c r="CG2776" s="1">
        <v>42125</v>
      </c>
      <c r="CH2776" s="1">
        <v>51108</v>
      </c>
      <c r="CI2776" t="s">
        <v>51</v>
      </c>
      <c r="CK2776" t="s">
        <v>78</v>
      </c>
      <c r="CM2776" t="s">
        <v>54</v>
      </c>
      <c r="CN2776" t="s">
        <v>174</v>
      </c>
      <c r="CR2776">
        <v>11</v>
      </c>
      <c r="CS2776">
        <v>1600</v>
      </c>
      <c r="CT2776">
        <v>0</v>
      </c>
      <c r="CU2776">
        <v>16</v>
      </c>
    </row>
    <row r="2777" spans="1:99" x14ac:dyDescent="0.2">
      <c r="A2777" t="s">
        <v>1012</v>
      </c>
      <c r="B2777" t="s">
        <v>1013</v>
      </c>
      <c r="C2777" t="s">
        <v>1014</v>
      </c>
      <c r="D2777" t="s">
        <v>1155</v>
      </c>
      <c r="F2777" t="str">
        <f>"253523"</f>
        <v>253523</v>
      </c>
      <c r="G2777" t="s">
        <v>49</v>
      </c>
      <c r="H2777">
        <v>14</v>
      </c>
      <c r="K2777" t="s">
        <v>51</v>
      </c>
      <c r="L2777" t="s">
        <v>52</v>
      </c>
      <c r="M2777">
        <v>131372.75</v>
      </c>
      <c r="N2777">
        <v>475265.25</v>
      </c>
      <c r="O2777" t="s">
        <v>53</v>
      </c>
      <c r="P2777" t="s">
        <v>54</v>
      </c>
      <c r="Q2777" t="s">
        <v>55</v>
      </c>
      <c r="T2777" t="s">
        <v>246</v>
      </c>
      <c r="U2777">
        <v>40</v>
      </c>
      <c r="V2777" s="1">
        <v>42125</v>
      </c>
      <c r="W2777" s="1">
        <v>42125</v>
      </c>
      <c r="X2777" s="1">
        <v>42125</v>
      </c>
      <c r="Y2777" s="1">
        <v>56735</v>
      </c>
      <c r="Z2777" t="s">
        <v>51</v>
      </c>
      <c r="AB2777" t="s">
        <v>54</v>
      </c>
      <c r="AE2777" t="s">
        <v>1065</v>
      </c>
      <c r="AF2777">
        <v>20</v>
      </c>
      <c r="AG2777" s="1">
        <v>42125</v>
      </c>
      <c r="AH2777" s="1">
        <v>42125</v>
      </c>
      <c r="AI2777" s="1">
        <v>42125</v>
      </c>
      <c r="AJ2777" s="1">
        <v>49430</v>
      </c>
      <c r="AK2777" t="s">
        <v>51</v>
      </c>
      <c r="AN2777">
        <v>0</v>
      </c>
      <c r="AO2777" t="s">
        <v>54</v>
      </c>
      <c r="AP2777" t="s">
        <v>53</v>
      </c>
      <c r="AQ2777">
        <v>0</v>
      </c>
      <c r="AR2777" t="s">
        <v>53</v>
      </c>
      <c r="AS2777">
        <v>0</v>
      </c>
      <c r="AT2777">
        <v>0</v>
      </c>
      <c r="AW2777" t="s">
        <v>172</v>
      </c>
      <c r="AX2777">
        <v>15</v>
      </c>
      <c r="AY2777" s="1">
        <v>42125</v>
      </c>
      <c r="AZ2777" s="1">
        <v>42125</v>
      </c>
      <c r="BA2777" s="1">
        <v>42125</v>
      </c>
      <c r="BB2777" s="1">
        <v>47604</v>
      </c>
      <c r="BC2777" t="s">
        <v>51</v>
      </c>
      <c r="BE2777" t="s">
        <v>54</v>
      </c>
      <c r="BF2777">
        <v>40</v>
      </c>
      <c r="BG2777">
        <v>0</v>
      </c>
      <c r="BH2777" t="s">
        <v>145</v>
      </c>
      <c r="CC2777" t="s">
        <v>1066</v>
      </c>
      <c r="CD2777">
        <v>100000</v>
      </c>
      <c r="CE2777" s="1">
        <v>42125</v>
      </c>
      <c r="CF2777" s="1">
        <v>42125</v>
      </c>
      <c r="CG2777" s="1">
        <v>42125</v>
      </c>
      <c r="CH2777" s="1">
        <v>51108</v>
      </c>
      <c r="CI2777" t="s">
        <v>51</v>
      </c>
      <c r="CK2777" t="s">
        <v>78</v>
      </c>
      <c r="CM2777" t="s">
        <v>54</v>
      </c>
      <c r="CN2777" t="s">
        <v>174</v>
      </c>
      <c r="CR2777">
        <v>11</v>
      </c>
      <c r="CS2777">
        <v>1600</v>
      </c>
      <c r="CT2777">
        <v>0</v>
      </c>
      <c r="CU2777">
        <v>16</v>
      </c>
    </row>
    <row r="2778" spans="1:99" x14ac:dyDescent="0.2">
      <c r="A2778" t="s">
        <v>1012</v>
      </c>
      <c r="B2778" t="s">
        <v>1013</v>
      </c>
      <c r="C2778" t="s">
        <v>1014</v>
      </c>
      <c r="D2778" t="s">
        <v>1155</v>
      </c>
      <c r="F2778" t="str">
        <f>"253524"</f>
        <v>253524</v>
      </c>
      <c r="G2778" t="s">
        <v>49</v>
      </c>
      <c r="H2778">
        <v>10</v>
      </c>
      <c r="K2778" t="s">
        <v>51</v>
      </c>
      <c r="L2778" t="s">
        <v>52</v>
      </c>
      <c r="M2778">
        <v>131361.20000000001</v>
      </c>
      <c r="N2778">
        <v>475253.66</v>
      </c>
      <c r="O2778" t="s">
        <v>53</v>
      </c>
      <c r="P2778" t="s">
        <v>54</v>
      </c>
      <c r="Q2778" t="s">
        <v>55</v>
      </c>
      <c r="T2778" t="s">
        <v>246</v>
      </c>
      <c r="U2778">
        <v>40</v>
      </c>
      <c r="V2778" s="1">
        <v>42125</v>
      </c>
      <c r="W2778" s="1">
        <v>42125</v>
      </c>
      <c r="X2778" s="1">
        <v>42125</v>
      </c>
      <c r="Y2778" s="1">
        <v>56735</v>
      </c>
      <c r="Z2778" t="s">
        <v>51</v>
      </c>
      <c r="AB2778" t="s">
        <v>54</v>
      </c>
      <c r="AE2778" t="s">
        <v>1065</v>
      </c>
      <c r="AF2778">
        <v>20</v>
      </c>
      <c r="AG2778" s="1">
        <v>42125</v>
      </c>
      <c r="AH2778" s="1">
        <v>42125</v>
      </c>
      <c r="AI2778" s="1">
        <v>42125</v>
      </c>
      <c r="AJ2778" s="1">
        <v>49430</v>
      </c>
      <c r="AK2778" t="s">
        <v>51</v>
      </c>
      <c r="AN2778">
        <v>0</v>
      </c>
      <c r="AO2778" t="s">
        <v>54</v>
      </c>
      <c r="AP2778" t="s">
        <v>53</v>
      </c>
      <c r="AQ2778">
        <v>0</v>
      </c>
      <c r="AR2778" t="s">
        <v>53</v>
      </c>
      <c r="AS2778">
        <v>0</v>
      </c>
      <c r="AT2778">
        <v>0</v>
      </c>
      <c r="AW2778" t="s">
        <v>172</v>
      </c>
      <c r="AX2778">
        <v>15</v>
      </c>
      <c r="AY2778" s="1">
        <v>42125</v>
      </c>
      <c r="AZ2778" s="1">
        <v>42125</v>
      </c>
      <c r="BA2778" s="1">
        <v>42125</v>
      </c>
      <c r="BB2778" s="1">
        <v>47604</v>
      </c>
      <c r="BC2778" t="s">
        <v>51</v>
      </c>
      <c r="BE2778" t="s">
        <v>54</v>
      </c>
      <c r="BF2778">
        <v>40</v>
      </c>
      <c r="BG2778">
        <v>0</v>
      </c>
      <c r="BH2778" t="s">
        <v>145</v>
      </c>
      <c r="CC2778" t="s">
        <v>1066</v>
      </c>
      <c r="CD2778">
        <v>100000</v>
      </c>
      <c r="CE2778" s="1">
        <v>42125</v>
      </c>
      <c r="CF2778" s="1">
        <v>42125</v>
      </c>
      <c r="CG2778" s="1">
        <v>42125</v>
      </c>
      <c r="CH2778" s="1">
        <v>51108</v>
      </c>
      <c r="CI2778" t="s">
        <v>51</v>
      </c>
      <c r="CK2778" t="s">
        <v>78</v>
      </c>
      <c r="CM2778" t="s">
        <v>54</v>
      </c>
      <c r="CN2778" t="s">
        <v>174</v>
      </c>
      <c r="CR2778">
        <v>11</v>
      </c>
      <c r="CS2778">
        <v>1600</v>
      </c>
      <c r="CT2778">
        <v>0</v>
      </c>
      <c r="CU2778">
        <v>16</v>
      </c>
    </row>
    <row r="2779" spans="1:99" x14ac:dyDescent="0.2">
      <c r="A2779" t="s">
        <v>1012</v>
      </c>
      <c r="B2779" t="s">
        <v>1013</v>
      </c>
      <c r="C2779" t="s">
        <v>1014</v>
      </c>
      <c r="D2779" t="s">
        <v>1155</v>
      </c>
      <c r="F2779" t="str">
        <f>"253525"</f>
        <v>253525</v>
      </c>
      <c r="G2779" t="s">
        <v>49</v>
      </c>
      <c r="H2779">
        <v>2</v>
      </c>
      <c r="K2779" t="s">
        <v>51</v>
      </c>
      <c r="L2779" t="s">
        <v>52</v>
      </c>
      <c r="M2779">
        <v>131362.32</v>
      </c>
      <c r="N2779">
        <v>475231.68</v>
      </c>
      <c r="O2779" t="s">
        <v>53</v>
      </c>
      <c r="P2779" t="s">
        <v>54</v>
      </c>
      <c r="Q2779" t="s">
        <v>55</v>
      </c>
      <c r="T2779" t="s">
        <v>246</v>
      </c>
      <c r="U2779">
        <v>40</v>
      </c>
      <c r="V2779" s="1">
        <v>42125</v>
      </c>
      <c r="W2779" s="1">
        <v>42125</v>
      </c>
      <c r="X2779" s="1">
        <v>42125</v>
      </c>
      <c r="Y2779" s="1">
        <v>56735</v>
      </c>
      <c r="Z2779" t="s">
        <v>51</v>
      </c>
      <c r="AB2779" t="s">
        <v>54</v>
      </c>
      <c r="AE2779" t="s">
        <v>1065</v>
      </c>
      <c r="AF2779">
        <v>20</v>
      </c>
      <c r="AG2779" s="1">
        <v>42125</v>
      </c>
      <c r="AH2779" s="1">
        <v>42125</v>
      </c>
      <c r="AI2779" s="1">
        <v>42125</v>
      </c>
      <c r="AJ2779" s="1">
        <v>49430</v>
      </c>
      <c r="AK2779" t="s">
        <v>51</v>
      </c>
      <c r="AN2779">
        <v>0</v>
      </c>
      <c r="AO2779" t="s">
        <v>54</v>
      </c>
      <c r="AP2779" t="s">
        <v>53</v>
      </c>
      <c r="AQ2779">
        <v>0</v>
      </c>
      <c r="AR2779" t="s">
        <v>53</v>
      </c>
      <c r="AS2779">
        <v>0</v>
      </c>
      <c r="AT2779">
        <v>0</v>
      </c>
      <c r="AW2779" t="s">
        <v>172</v>
      </c>
      <c r="AX2779">
        <v>15</v>
      </c>
      <c r="AY2779" s="1">
        <v>42125</v>
      </c>
      <c r="AZ2779" s="1">
        <v>42125</v>
      </c>
      <c r="BA2779" s="1">
        <v>42125</v>
      </c>
      <c r="BB2779" s="1">
        <v>47604</v>
      </c>
      <c r="BC2779" t="s">
        <v>51</v>
      </c>
      <c r="BE2779" t="s">
        <v>54</v>
      </c>
      <c r="BF2779">
        <v>40</v>
      </c>
      <c r="BG2779">
        <v>0</v>
      </c>
      <c r="BH2779" t="s">
        <v>145</v>
      </c>
      <c r="CC2779" t="s">
        <v>1066</v>
      </c>
      <c r="CD2779">
        <v>100000</v>
      </c>
      <c r="CE2779" s="1">
        <v>42125</v>
      </c>
      <c r="CF2779" s="1">
        <v>42125</v>
      </c>
      <c r="CG2779" s="1">
        <v>42125</v>
      </c>
      <c r="CH2779" s="1">
        <v>51108</v>
      </c>
      <c r="CI2779" t="s">
        <v>51</v>
      </c>
      <c r="CK2779" t="s">
        <v>78</v>
      </c>
      <c r="CM2779" t="s">
        <v>54</v>
      </c>
      <c r="CN2779" t="s">
        <v>174</v>
      </c>
      <c r="CR2779">
        <v>11</v>
      </c>
      <c r="CS2779">
        <v>1600</v>
      </c>
      <c r="CT2779">
        <v>0</v>
      </c>
      <c r="CU2779">
        <v>16</v>
      </c>
    </row>
    <row r="2780" spans="1:99" x14ac:dyDescent="0.2">
      <c r="A2780" t="s">
        <v>1012</v>
      </c>
      <c r="B2780" t="s">
        <v>1013</v>
      </c>
      <c r="C2780" t="s">
        <v>1014</v>
      </c>
      <c r="D2780" t="s">
        <v>1155</v>
      </c>
      <c r="F2780" t="str">
        <f>"253526"</f>
        <v>253526</v>
      </c>
      <c r="G2780" t="s">
        <v>49</v>
      </c>
      <c r="H2780">
        <v>11</v>
      </c>
      <c r="K2780" t="s">
        <v>51</v>
      </c>
      <c r="L2780" t="s">
        <v>52</v>
      </c>
      <c r="M2780">
        <v>131293.64000000001</v>
      </c>
      <c r="N2780">
        <v>475231.22</v>
      </c>
      <c r="O2780" t="s">
        <v>53</v>
      </c>
      <c r="P2780" t="s">
        <v>54</v>
      </c>
      <c r="Q2780" t="s">
        <v>55</v>
      </c>
      <c r="T2780" t="s">
        <v>246</v>
      </c>
      <c r="U2780">
        <v>40</v>
      </c>
      <c r="V2780" s="1">
        <v>42125</v>
      </c>
      <c r="W2780" s="1">
        <v>42125</v>
      </c>
      <c r="X2780" s="1">
        <v>42125</v>
      </c>
      <c r="Y2780" s="1">
        <v>56735</v>
      </c>
      <c r="Z2780" t="s">
        <v>51</v>
      </c>
      <c r="AB2780" t="s">
        <v>54</v>
      </c>
      <c r="AE2780" t="s">
        <v>1065</v>
      </c>
      <c r="AF2780">
        <v>20</v>
      </c>
      <c r="AG2780" s="1">
        <v>42125</v>
      </c>
      <c r="AH2780" s="1">
        <v>42125</v>
      </c>
      <c r="AI2780" s="1">
        <v>42125</v>
      </c>
      <c r="AJ2780" s="1">
        <v>49430</v>
      </c>
      <c r="AK2780" t="s">
        <v>51</v>
      </c>
      <c r="AN2780">
        <v>0</v>
      </c>
      <c r="AO2780" t="s">
        <v>54</v>
      </c>
      <c r="AP2780" t="s">
        <v>53</v>
      </c>
      <c r="AQ2780">
        <v>0</v>
      </c>
      <c r="AR2780" t="s">
        <v>53</v>
      </c>
      <c r="AS2780">
        <v>0</v>
      </c>
      <c r="AT2780">
        <v>0</v>
      </c>
      <c r="AW2780" t="s">
        <v>172</v>
      </c>
      <c r="AX2780">
        <v>15</v>
      </c>
      <c r="AY2780" s="1">
        <v>42125</v>
      </c>
      <c r="AZ2780" s="1">
        <v>42125</v>
      </c>
      <c r="BA2780" s="1">
        <v>42125</v>
      </c>
      <c r="BB2780" s="1">
        <v>47604</v>
      </c>
      <c r="BC2780" t="s">
        <v>51</v>
      </c>
      <c r="BE2780" t="s">
        <v>54</v>
      </c>
      <c r="BF2780">
        <v>40</v>
      </c>
      <c r="BG2780">
        <v>0</v>
      </c>
      <c r="BH2780" t="s">
        <v>145</v>
      </c>
      <c r="CC2780" t="s">
        <v>1066</v>
      </c>
      <c r="CD2780">
        <v>100000</v>
      </c>
      <c r="CE2780" s="1">
        <v>42125</v>
      </c>
      <c r="CF2780" s="1">
        <v>42125</v>
      </c>
      <c r="CG2780" s="1">
        <v>42125</v>
      </c>
      <c r="CH2780" s="1">
        <v>51108</v>
      </c>
      <c r="CI2780" t="s">
        <v>51</v>
      </c>
      <c r="CK2780" t="s">
        <v>78</v>
      </c>
      <c r="CM2780" t="s">
        <v>54</v>
      </c>
      <c r="CN2780" t="s">
        <v>174</v>
      </c>
      <c r="CR2780">
        <v>11</v>
      </c>
      <c r="CS2780">
        <v>1600</v>
      </c>
      <c r="CT2780">
        <v>0</v>
      </c>
      <c r="CU2780">
        <v>16</v>
      </c>
    </row>
    <row r="2781" spans="1:99" x14ac:dyDescent="0.2">
      <c r="A2781" t="s">
        <v>1012</v>
      </c>
      <c r="B2781" t="s">
        <v>1013</v>
      </c>
      <c r="C2781" t="s">
        <v>1014</v>
      </c>
      <c r="D2781" t="s">
        <v>1155</v>
      </c>
      <c r="F2781" t="str">
        <f>"253527"</f>
        <v>253527</v>
      </c>
      <c r="G2781" t="s">
        <v>49</v>
      </c>
      <c r="H2781">
        <v>1</v>
      </c>
      <c r="K2781" t="s">
        <v>51</v>
      </c>
      <c r="L2781" t="s">
        <v>52</v>
      </c>
      <c r="M2781">
        <v>131293.82999999999</v>
      </c>
      <c r="N2781">
        <v>475254.63</v>
      </c>
      <c r="O2781" t="s">
        <v>53</v>
      </c>
      <c r="P2781" t="s">
        <v>54</v>
      </c>
      <c r="Q2781" t="s">
        <v>55</v>
      </c>
      <c r="T2781" t="s">
        <v>246</v>
      </c>
      <c r="U2781">
        <v>40</v>
      </c>
      <c r="V2781" s="1">
        <v>42125</v>
      </c>
      <c r="W2781" s="1">
        <v>42125</v>
      </c>
      <c r="X2781" s="1">
        <v>42125</v>
      </c>
      <c r="Y2781" s="1">
        <v>56735</v>
      </c>
      <c r="Z2781" t="s">
        <v>51</v>
      </c>
      <c r="AB2781" t="s">
        <v>54</v>
      </c>
      <c r="AE2781" t="s">
        <v>1065</v>
      </c>
      <c r="AF2781">
        <v>20</v>
      </c>
      <c r="AG2781" s="1">
        <v>42125</v>
      </c>
      <c r="AH2781" s="1">
        <v>42125</v>
      </c>
      <c r="AI2781" s="1">
        <v>42125</v>
      </c>
      <c r="AJ2781" s="1">
        <v>49430</v>
      </c>
      <c r="AK2781" t="s">
        <v>51</v>
      </c>
      <c r="AN2781">
        <v>0</v>
      </c>
      <c r="AO2781" t="s">
        <v>54</v>
      </c>
      <c r="AP2781" t="s">
        <v>53</v>
      </c>
      <c r="AQ2781">
        <v>0</v>
      </c>
      <c r="AR2781" t="s">
        <v>53</v>
      </c>
      <c r="AS2781">
        <v>0</v>
      </c>
      <c r="AT2781">
        <v>0</v>
      </c>
      <c r="AW2781" t="s">
        <v>172</v>
      </c>
      <c r="AX2781">
        <v>15</v>
      </c>
      <c r="AY2781" s="1">
        <v>42125</v>
      </c>
      <c r="AZ2781" s="1">
        <v>42125</v>
      </c>
      <c r="BA2781" s="1">
        <v>42125</v>
      </c>
      <c r="BB2781" s="1">
        <v>47604</v>
      </c>
      <c r="BC2781" t="s">
        <v>51</v>
      </c>
      <c r="BE2781" t="s">
        <v>54</v>
      </c>
      <c r="BF2781">
        <v>40</v>
      </c>
      <c r="BG2781">
        <v>0</v>
      </c>
      <c r="BH2781" t="s">
        <v>145</v>
      </c>
      <c r="CC2781" t="s">
        <v>1066</v>
      </c>
      <c r="CD2781">
        <v>100000</v>
      </c>
      <c r="CE2781" s="1">
        <v>42125</v>
      </c>
      <c r="CF2781" s="1">
        <v>42125</v>
      </c>
      <c r="CG2781" s="1">
        <v>42125</v>
      </c>
      <c r="CH2781" s="1">
        <v>51108</v>
      </c>
      <c r="CI2781" t="s">
        <v>51</v>
      </c>
      <c r="CK2781" t="s">
        <v>78</v>
      </c>
      <c r="CM2781" t="s">
        <v>54</v>
      </c>
      <c r="CN2781" t="s">
        <v>174</v>
      </c>
      <c r="CR2781">
        <v>11</v>
      </c>
      <c r="CS2781">
        <v>1600</v>
      </c>
      <c r="CT2781">
        <v>0</v>
      </c>
      <c r="CU2781">
        <v>16</v>
      </c>
    </row>
    <row r="2782" spans="1:99" x14ac:dyDescent="0.2">
      <c r="A2782" t="s">
        <v>1012</v>
      </c>
      <c r="B2782" t="s">
        <v>1013</v>
      </c>
      <c r="C2782" t="s">
        <v>1014</v>
      </c>
      <c r="D2782" t="s">
        <v>1150</v>
      </c>
      <c r="F2782" t="str">
        <f>"253528"</f>
        <v>253528</v>
      </c>
      <c r="G2782" t="s">
        <v>49</v>
      </c>
      <c r="K2782" t="s">
        <v>51</v>
      </c>
      <c r="L2782" t="s">
        <v>52</v>
      </c>
      <c r="M2782">
        <v>131322.19</v>
      </c>
      <c r="N2782">
        <v>475347.33</v>
      </c>
      <c r="O2782" t="s">
        <v>53</v>
      </c>
      <c r="P2782" t="s">
        <v>54</v>
      </c>
      <c r="Q2782" t="s">
        <v>55</v>
      </c>
      <c r="T2782" t="s">
        <v>246</v>
      </c>
      <c r="U2782">
        <v>40</v>
      </c>
      <c r="V2782" s="1">
        <v>42125</v>
      </c>
      <c r="W2782" s="1">
        <v>42125</v>
      </c>
      <c r="X2782" s="1">
        <v>42125</v>
      </c>
      <c r="Y2782" s="1">
        <v>56735</v>
      </c>
      <c r="Z2782" t="s">
        <v>51</v>
      </c>
      <c r="AB2782" t="s">
        <v>54</v>
      </c>
      <c r="AE2782" t="s">
        <v>1065</v>
      </c>
      <c r="AF2782">
        <v>20</v>
      </c>
      <c r="AG2782" s="1">
        <v>42125</v>
      </c>
      <c r="AH2782" s="1">
        <v>42125</v>
      </c>
      <c r="AI2782" s="1">
        <v>42125</v>
      </c>
      <c r="AJ2782" s="1">
        <v>49430</v>
      </c>
      <c r="AK2782" t="s">
        <v>51</v>
      </c>
      <c r="AN2782">
        <v>0</v>
      </c>
      <c r="AO2782" t="s">
        <v>54</v>
      </c>
      <c r="AP2782" t="s">
        <v>53</v>
      </c>
      <c r="AQ2782">
        <v>0</v>
      </c>
      <c r="AR2782" t="s">
        <v>53</v>
      </c>
      <c r="AS2782">
        <v>0</v>
      </c>
      <c r="AT2782">
        <v>0</v>
      </c>
      <c r="AW2782" t="s">
        <v>172</v>
      </c>
      <c r="AX2782">
        <v>15</v>
      </c>
      <c r="AY2782" s="1">
        <v>42125</v>
      </c>
      <c r="AZ2782" s="1">
        <v>42125</v>
      </c>
      <c r="BA2782" s="1">
        <v>42125</v>
      </c>
      <c r="BB2782" s="1">
        <v>47604</v>
      </c>
      <c r="BC2782" t="s">
        <v>51</v>
      </c>
      <c r="BE2782" t="s">
        <v>54</v>
      </c>
      <c r="BF2782">
        <v>40</v>
      </c>
      <c r="BG2782">
        <v>0</v>
      </c>
      <c r="BH2782" t="s">
        <v>145</v>
      </c>
      <c r="CC2782" t="s">
        <v>1066</v>
      </c>
      <c r="CD2782">
        <v>100000</v>
      </c>
      <c r="CE2782" s="1">
        <v>42125</v>
      </c>
      <c r="CF2782" s="1">
        <v>42125</v>
      </c>
      <c r="CG2782" s="1">
        <v>42125</v>
      </c>
      <c r="CH2782" s="1">
        <v>51108</v>
      </c>
      <c r="CI2782" t="s">
        <v>51</v>
      </c>
      <c r="CK2782" t="s">
        <v>78</v>
      </c>
      <c r="CM2782" t="s">
        <v>54</v>
      </c>
      <c r="CN2782" t="s">
        <v>174</v>
      </c>
      <c r="CR2782">
        <v>11</v>
      </c>
      <c r="CS2782">
        <v>1600</v>
      </c>
      <c r="CT2782">
        <v>0</v>
      </c>
      <c r="CU2782">
        <v>16</v>
      </c>
    </row>
    <row r="2783" spans="1:99" x14ac:dyDescent="0.2">
      <c r="A2783" t="s">
        <v>1012</v>
      </c>
      <c r="B2783" t="s">
        <v>1013</v>
      </c>
      <c r="C2783" t="s">
        <v>1014</v>
      </c>
      <c r="D2783" t="s">
        <v>1154</v>
      </c>
      <c r="F2783" t="str">
        <f>"253529"</f>
        <v>253529</v>
      </c>
      <c r="G2783" t="s">
        <v>49</v>
      </c>
      <c r="H2783">
        <v>33</v>
      </c>
      <c r="K2783" t="s">
        <v>51</v>
      </c>
      <c r="L2783" t="s">
        <v>52</v>
      </c>
      <c r="M2783">
        <v>131321.54999999999</v>
      </c>
      <c r="N2783">
        <v>475373.66</v>
      </c>
      <c r="O2783" t="s">
        <v>53</v>
      </c>
      <c r="P2783" t="s">
        <v>54</v>
      </c>
      <c r="Q2783" t="s">
        <v>55</v>
      </c>
      <c r="T2783" t="s">
        <v>246</v>
      </c>
      <c r="U2783">
        <v>40</v>
      </c>
      <c r="V2783" s="1">
        <v>42125</v>
      </c>
      <c r="W2783" s="1">
        <v>42125</v>
      </c>
      <c r="X2783" s="1">
        <v>42125</v>
      </c>
      <c r="Y2783" s="1">
        <v>56735</v>
      </c>
      <c r="Z2783" t="s">
        <v>51</v>
      </c>
      <c r="AB2783" t="s">
        <v>54</v>
      </c>
      <c r="AE2783" t="s">
        <v>1065</v>
      </c>
      <c r="AF2783">
        <v>20</v>
      </c>
      <c r="AG2783" s="1">
        <v>42125</v>
      </c>
      <c r="AH2783" s="1">
        <v>42125</v>
      </c>
      <c r="AI2783" s="1">
        <v>42125</v>
      </c>
      <c r="AJ2783" s="1">
        <v>49430</v>
      </c>
      <c r="AK2783" t="s">
        <v>51</v>
      </c>
      <c r="AN2783">
        <v>0</v>
      </c>
      <c r="AO2783" t="s">
        <v>54</v>
      </c>
      <c r="AP2783" t="s">
        <v>53</v>
      </c>
      <c r="AQ2783">
        <v>0</v>
      </c>
      <c r="AR2783" t="s">
        <v>53</v>
      </c>
      <c r="AS2783">
        <v>0</v>
      </c>
      <c r="AT2783">
        <v>0</v>
      </c>
      <c r="AW2783" t="s">
        <v>172</v>
      </c>
      <c r="AX2783">
        <v>15</v>
      </c>
      <c r="AY2783" s="1">
        <v>42125</v>
      </c>
      <c r="AZ2783" s="1">
        <v>42125</v>
      </c>
      <c r="BA2783" s="1">
        <v>42125</v>
      </c>
      <c r="BB2783" s="1">
        <v>47604</v>
      </c>
      <c r="BC2783" t="s">
        <v>51</v>
      </c>
      <c r="BE2783" t="s">
        <v>54</v>
      </c>
      <c r="BF2783">
        <v>40</v>
      </c>
      <c r="BG2783">
        <v>0</v>
      </c>
      <c r="BH2783" t="s">
        <v>145</v>
      </c>
      <c r="CC2783" t="s">
        <v>1066</v>
      </c>
      <c r="CD2783">
        <v>100000</v>
      </c>
      <c r="CE2783" s="1">
        <v>42125</v>
      </c>
      <c r="CF2783" s="1">
        <v>42125</v>
      </c>
      <c r="CG2783" s="1">
        <v>42125</v>
      </c>
      <c r="CH2783" s="1">
        <v>51108</v>
      </c>
      <c r="CI2783" t="s">
        <v>51</v>
      </c>
      <c r="CK2783" t="s">
        <v>78</v>
      </c>
      <c r="CM2783" t="s">
        <v>54</v>
      </c>
      <c r="CN2783" t="s">
        <v>174</v>
      </c>
      <c r="CR2783">
        <v>11</v>
      </c>
      <c r="CS2783">
        <v>1600</v>
      </c>
      <c r="CT2783">
        <v>0</v>
      </c>
      <c r="CU2783">
        <v>16</v>
      </c>
    </row>
    <row r="2784" spans="1:99" x14ac:dyDescent="0.2">
      <c r="A2784" t="s">
        <v>1012</v>
      </c>
      <c r="B2784" t="s">
        <v>1013</v>
      </c>
      <c r="C2784" t="s">
        <v>1014</v>
      </c>
      <c r="D2784" t="s">
        <v>1151</v>
      </c>
      <c r="F2784" t="str">
        <f>"253531"</f>
        <v>253531</v>
      </c>
      <c r="G2784" t="s">
        <v>49</v>
      </c>
      <c r="H2784">
        <v>6</v>
      </c>
      <c r="K2784" t="s">
        <v>51</v>
      </c>
      <c r="L2784" t="s">
        <v>52</v>
      </c>
      <c r="M2784">
        <v>131427.22</v>
      </c>
      <c r="N2784">
        <v>475335.76</v>
      </c>
      <c r="O2784" t="s">
        <v>53</v>
      </c>
      <c r="P2784" t="s">
        <v>54</v>
      </c>
      <c r="Q2784" t="s">
        <v>55</v>
      </c>
      <c r="T2784" t="s">
        <v>170</v>
      </c>
      <c r="U2784">
        <v>40</v>
      </c>
      <c r="V2784" s="1">
        <v>42125</v>
      </c>
      <c r="W2784" s="1">
        <v>42125</v>
      </c>
      <c r="X2784" s="1">
        <v>42125</v>
      </c>
      <c r="Y2784" s="1">
        <v>56735</v>
      </c>
      <c r="Z2784" t="s">
        <v>51</v>
      </c>
      <c r="AB2784" t="s">
        <v>54</v>
      </c>
      <c r="AE2784" t="s">
        <v>342</v>
      </c>
      <c r="AF2784">
        <v>20</v>
      </c>
      <c r="AG2784" s="1">
        <v>42125</v>
      </c>
      <c r="AH2784" s="1">
        <v>42125</v>
      </c>
      <c r="AI2784" s="1">
        <v>42125</v>
      </c>
      <c r="AJ2784" s="1">
        <v>49430</v>
      </c>
      <c r="AK2784" t="s">
        <v>51</v>
      </c>
      <c r="AN2784">
        <v>0</v>
      </c>
      <c r="AO2784" t="s">
        <v>54</v>
      </c>
      <c r="AP2784" t="s">
        <v>53</v>
      </c>
      <c r="AQ2784">
        <v>0</v>
      </c>
      <c r="AR2784" t="s">
        <v>145</v>
      </c>
      <c r="AS2784">
        <v>19</v>
      </c>
      <c r="AT2784">
        <v>1800</v>
      </c>
      <c r="AW2784" t="s">
        <v>172</v>
      </c>
      <c r="AX2784">
        <v>15</v>
      </c>
      <c r="AY2784" s="1">
        <v>42125</v>
      </c>
      <c r="AZ2784" s="1">
        <v>42125</v>
      </c>
      <c r="BA2784" s="1">
        <v>42125</v>
      </c>
      <c r="BB2784" s="1">
        <v>47604</v>
      </c>
      <c r="BC2784" t="s">
        <v>51</v>
      </c>
      <c r="BE2784" t="s">
        <v>54</v>
      </c>
      <c r="BF2784">
        <v>40</v>
      </c>
      <c r="BG2784">
        <v>0</v>
      </c>
      <c r="BH2784" t="s">
        <v>145</v>
      </c>
      <c r="CC2784" t="s">
        <v>173</v>
      </c>
      <c r="CD2784">
        <v>100000</v>
      </c>
      <c r="CE2784" s="1">
        <v>42125</v>
      </c>
      <c r="CF2784" s="1">
        <v>42125</v>
      </c>
      <c r="CG2784" s="1">
        <v>42125</v>
      </c>
      <c r="CH2784" s="1">
        <v>51108</v>
      </c>
      <c r="CI2784" t="s">
        <v>51</v>
      </c>
      <c r="CK2784" t="s">
        <v>78</v>
      </c>
      <c r="CM2784" t="s">
        <v>54</v>
      </c>
      <c r="CN2784" t="s">
        <v>174</v>
      </c>
      <c r="CO2784" t="s">
        <v>86</v>
      </c>
      <c r="CP2784">
        <v>830</v>
      </c>
      <c r="CR2784">
        <v>19</v>
      </c>
      <c r="CS2784">
        <v>1800</v>
      </c>
      <c r="CT2784">
        <v>0</v>
      </c>
      <c r="CU2784">
        <v>16</v>
      </c>
    </row>
    <row r="2785" spans="1:99" x14ac:dyDescent="0.2">
      <c r="A2785" t="s">
        <v>1012</v>
      </c>
      <c r="B2785" t="s">
        <v>1013</v>
      </c>
      <c r="C2785" t="s">
        <v>1014</v>
      </c>
      <c r="D2785" t="s">
        <v>1156</v>
      </c>
      <c r="F2785" t="str">
        <f>"253532"</f>
        <v>253532</v>
      </c>
      <c r="G2785" t="s">
        <v>49</v>
      </c>
      <c r="K2785" t="s">
        <v>51</v>
      </c>
      <c r="L2785" t="s">
        <v>52</v>
      </c>
      <c r="M2785">
        <v>131463.21</v>
      </c>
      <c r="N2785">
        <v>475332.14</v>
      </c>
      <c r="O2785" t="s">
        <v>53</v>
      </c>
      <c r="P2785" t="s">
        <v>54</v>
      </c>
      <c r="Q2785" t="s">
        <v>55</v>
      </c>
      <c r="T2785" t="s">
        <v>170</v>
      </c>
      <c r="U2785">
        <v>40</v>
      </c>
      <c r="V2785" s="1">
        <v>42125</v>
      </c>
      <c r="W2785" s="1">
        <v>42125</v>
      </c>
      <c r="X2785" s="1">
        <v>42125</v>
      </c>
      <c r="Y2785" s="1">
        <v>56735</v>
      </c>
      <c r="Z2785" t="s">
        <v>51</v>
      </c>
      <c r="AB2785" t="s">
        <v>54</v>
      </c>
      <c r="AE2785" t="s">
        <v>342</v>
      </c>
      <c r="AF2785">
        <v>20</v>
      </c>
      <c r="AG2785" s="1">
        <v>42125</v>
      </c>
      <c r="AH2785" s="1">
        <v>42125</v>
      </c>
      <c r="AI2785" s="1">
        <v>42125</v>
      </c>
      <c r="AJ2785" s="1">
        <v>49430</v>
      </c>
      <c r="AK2785" t="s">
        <v>51</v>
      </c>
      <c r="AN2785">
        <v>0</v>
      </c>
      <c r="AO2785" t="s">
        <v>54</v>
      </c>
      <c r="AP2785" t="s">
        <v>53</v>
      </c>
      <c r="AQ2785">
        <v>0</v>
      </c>
      <c r="AR2785" t="s">
        <v>145</v>
      </c>
      <c r="AS2785">
        <v>19</v>
      </c>
      <c r="AT2785">
        <v>1800</v>
      </c>
      <c r="AW2785" t="s">
        <v>172</v>
      </c>
      <c r="AX2785">
        <v>15</v>
      </c>
      <c r="AY2785" s="1">
        <v>42125</v>
      </c>
      <c r="AZ2785" s="1">
        <v>42125</v>
      </c>
      <c r="BA2785" s="1">
        <v>42125</v>
      </c>
      <c r="BB2785" s="1">
        <v>47604</v>
      </c>
      <c r="BC2785" t="s">
        <v>51</v>
      </c>
      <c r="BE2785" t="s">
        <v>54</v>
      </c>
      <c r="BF2785">
        <v>40</v>
      </c>
      <c r="BG2785">
        <v>0</v>
      </c>
      <c r="BH2785" t="s">
        <v>145</v>
      </c>
      <c r="CC2785" t="s">
        <v>173</v>
      </c>
      <c r="CD2785">
        <v>100000</v>
      </c>
      <c r="CE2785" s="1">
        <v>42125</v>
      </c>
      <c r="CF2785" s="1">
        <v>42125</v>
      </c>
      <c r="CG2785" s="1">
        <v>42125</v>
      </c>
      <c r="CH2785" s="1">
        <v>51108</v>
      </c>
      <c r="CI2785" t="s">
        <v>51</v>
      </c>
      <c r="CK2785" t="s">
        <v>78</v>
      </c>
      <c r="CM2785" t="s">
        <v>54</v>
      </c>
      <c r="CN2785" t="s">
        <v>174</v>
      </c>
      <c r="CO2785" t="s">
        <v>86</v>
      </c>
      <c r="CP2785">
        <v>830</v>
      </c>
      <c r="CR2785">
        <v>19</v>
      </c>
      <c r="CS2785">
        <v>1800</v>
      </c>
      <c r="CT2785">
        <v>0</v>
      </c>
      <c r="CU2785">
        <v>16</v>
      </c>
    </row>
    <row r="2786" spans="1:99" x14ac:dyDescent="0.2">
      <c r="A2786" t="s">
        <v>1012</v>
      </c>
      <c r="B2786" t="s">
        <v>1013</v>
      </c>
      <c r="C2786" t="s">
        <v>1014</v>
      </c>
      <c r="D2786" t="s">
        <v>1156</v>
      </c>
      <c r="F2786" t="str">
        <f>"253533"</f>
        <v>253533</v>
      </c>
      <c r="G2786" t="s">
        <v>49</v>
      </c>
      <c r="K2786" t="s">
        <v>51</v>
      </c>
      <c r="L2786" t="s">
        <v>52</v>
      </c>
      <c r="M2786">
        <v>131462.69</v>
      </c>
      <c r="N2786">
        <v>475359.79</v>
      </c>
      <c r="O2786" t="s">
        <v>53</v>
      </c>
      <c r="P2786" t="s">
        <v>54</v>
      </c>
      <c r="Q2786" t="s">
        <v>55</v>
      </c>
      <c r="T2786" t="s">
        <v>170</v>
      </c>
      <c r="U2786">
        <v>40</v>
      </c>
      <c r="V2786" s="1">
        <v>42125</v>
      </c>
      <c r="W2786" s="1">
        <v>42125</v>
      </c>
      <c r="X2786" s="1">
        <v>42125</v>
      </c>
      <c r="Y2786" s="1">
        <v>56735</v>
      </c>
      <c r="Z2786" t="s">
        <v>51</v>
      </c>
      <c r="AB2786" t="s">
        <v>54</v>
      </c>
      <c r="AE2786" t="s">
        <v>342</v>
      </c>
      <c r="AF2786">
        <v>20</v>
      </c>
      <c r="AG2786" s="1">
        <v>42125</v>
      </c>
      <c r="AH2786" s="1">
        <v>42125</v>
      </c>
      <c r="AI2786" s="1">
        <v>42125</v>
      </c>
      <c r="AJ2786" s="1">
        <v>49430</v>
      </c>
      <c r="AK2786" t="s">
        <v>51</v>
      </c>
      <c r="AN2786">
        <v>0</v>
      </c>
      <c r="AO2786" t="s">
        <v>54</v>
      </c>
      <c r="AP2786" t="s">
        <v>53</v>
      </c>
      <c r="AQ2786">
        <v>0</v>
      </c>
      <c r="AR2786" t="s">
        <v>145</v>
      </c>
      <c r="AS2786">
        <v>19</v>
      </c>
      <c r="AT2786">
        <v>1800</v>
      </c>
      <c r="AW2786" t="s">
        <v>172</v>
      </c>
      <c r="AX2786">
        <v>15</v>
      </c>
      <c r="AY2786" s="1">
        <v>42125</v>
      </c>
      <c r="AZ2786" s="1">
        <v>42125</v>
      </c>
      <c r="BA2786" s="1">
        <v>42125</v>
      </c>
      <c r="BB2786" s="1">
        <v>47604</v>
      </c>
      <c r="BC2786" t="s">
        <v>51</v>
      </c>
      <c r="BE2786" t="s">
        <v>54</v>
      </c>
      <c r="BF2786">
        <v>40</v>
      </c>
      <c r="BG2786">
        <v>0</v>
      </c>
      <c r="BH2786" t="s">
        <v>145</v>
      </c>
      <c r="CC2786" t="s">
        <v>173</v>
      </c>
      <c r="CD2786">
        <v>100000</v>
      </c>
      <c r="CE2786" s="1">
        <v>42125</v>
      </c>
      <c r="CF2786" s="1">
        <v>42125</v>
      </c>
      <c r="CG2786" s="1">
        <v>42125</v>
      </c>
      <c r="CH2786" s="1">
        <v>51108</v>
      </c>
      <c r="CI2786" t="s">
        <v>51</v>
      </c>
      <c r="CK2786" t="s">
        <v>78</v>
      </c>
      <c r="CM2786" t="s">
        <v>54</v>
      </c>
      <c r="CN2786" t="s">
        <v>174</v>
      </c>
      <c r="CO2786" t="s">
        <v>86</v>
      </c>
      <c r="CP2786">
        <v>830</v>
      </c>
      <c r="CR2786">
        <v>19</v>
      </c>
      <c r="CS2786">
        <v>1800</v>
      </c>
      <c r="CT2786">
        <v>0</v>
      </c>
      <c r="CU2786">
        <v>16</v>
      </c>
    </row>
    <row r="2787" spans="1:99" x14ac:dyDescent="0.2">
      <c r="A2787" t="s">
        <v>1012</v>
      </c>
      <c r="B2787" t="s">
        <v>1013</v>
      </c>
      <c r="C2787" t="s">
        <v>1014</v>
      </c>
      <c r="D2787" t="s">
        <v>1156</v>
      </c>
      <c r="F2787" t="str">
        <f>"253534"</f>
        <v>253534</v>
      </c>
      <c r="G2787" t="s">
        <v>49</v>
      </c>
      <c r="K2787" t="s">
        <v>51</v>
      </c>
      <c r="L2787" t="s">
        <v>52</v>
      </c>
      <c r="M2787">
        <v>131455.20000000001</v>
      </c>
      <c r="N2787">
        <v>475380.25</v>
      </c>
      <c r="O2787" t="s">
        <v>53</v>
      </c>
      <c r="P2787" t="s">
        <v>54</v>
      </c>
      <c r="Q2787" t="s">
        <v>55</v>
      </c>
      <c r="T2787" t="s">
        <v>170</v>
      </c>
      <c r="U2787">
        <v>40</v>
      </c>
      <c r="V2787" s="1">
        <v>42125</v>
      </c>
      <c r="W2787" s="1">
        <v>42125</v>
      </c>
      <c r="X2787" s="1">
        <v>42125</v>
      </c>
      <c r="Y2787" s="1">
        <v>56735</v>
      </c>
      <c r="Z2787" t="s">
        <v>51</v>
      </c>
      <c r="AB2787" t="s">
        <v>54</v>
      </c>
      <c r="AE2787" t="s">
        <v>342</v>
      </c>
      <c r="AF2787">
        <v>20</v>
      </c>
      <c r="AG2787" s="1">
        <v>42125</v>
      </c>
      <c r="AH2787" s="1">
        <v>42125</v>
      </c>
      <c r="AI2787" s="1">
        <v>42125</v>
      </c>
      <c r="AJ2787" s="1">
        <v>49430</v>
      </c>
      <c r="AK2787" t="s">
        <v>51</v>
      </c>
      <c r="AN2787">
        <v>0</v>
      </c>
      <c r="AO2787" t="s">
        <v>54</v>
      </c>
      <c r="AP2787" t="s">
        <v>53</v>
      </c>
      <c r="AQ2787">
        <v>0</v>
      </c>
      <c r="AR2787" t="s">
        <v>145</v>
      </c>
      <c r="AS2787">
        <v>19</v>
      </c>
      <c r="AT2787">
        <v>1800</v>
      </c>
      <c r="AW2787" t="s">
        <v>172</v>
      </c>
      <c r="AX2787">
        <v>15</v>
      </c>
      <c r="AY2787" s="1">
        <v>42125</v>
      </c>
      <c r="AZ2787" s="1">
        <v>42125</v>
      </c>
      <c r="BA2787" s="1">
        <v>42125</v>
      </c>
      <c r="BB2787" s="1">
        <v>47604</v>
      </c>
      <c r="BC2787" t="s">
        <v>51</v>
      </c>
      <c r="BE2787" t="s">
        <v>54</v>
      </c>
      <c r="BF2787">
        <v>40</v>
      </c>
      <c r="BG2787">
        <v>0</v>
      </c>
      <c r="BH2787" t="s">
        <v>145</v>
      </c>
      <c r="CC2787" t="s">
        <v>173</v>
      </c>
      <c r="CD2787">
        <v>100000</v>
      </c>
      <c r="CE2787" s="1">
        <v>42125</v>
      </c>
      <c r="CF2787" s="1">
        <v>42125</v>
      </c>
      <c r="CG2787" s="1">
        <v>42125</v>
      </c>
      <c r="CH2787" s="1">
        <v>51108</v>
      </c>
      <c r="CI2787" t="s">
        <v>51</v>
      </c>
      <c r="CK2787" t="s">
        <v>78</v>
      </c>
      <c r="CM2787" t="s">
        <v>54</v>
      </c>
      <c r="CN2787" t="s">
        <v>174</v>
      </c>
      <c r="CO2787" t="s">
        <v>86</v>
      </c>
      <c r="CP2787">
        <v>830</v>
      </c>
      <c r="CR2787">
        <v>19</v>
      </c>
      <c r="CS2787">
        <v>1800</v>
      </c>
      <c r="CT2787">
        <v>0</v>
      </c>
      <c r="CU2787">
        <v>16</v>
      </c>
    </row>
    <row r="2788" spans="1:99" x14ac:dyDescent="0.2">
      <c r="A2788" t="s">
        <v>1012</v>
      </c>
      <c r="B2788" t="s">
        <v>1013</v>
      </c>
      <c r="C2788" t="s">
        <v>1014</v>
      </c>
      <c r="D2788" t="s">
        <v>1157</v>
      </c>
      <c r="F2788" t="str">
        <f>"253535"</f>
        <v>253535</v>
      </c>
      <c r="G2788" t="s">
        <v>49</v>
      </c>
      <c r="H2788">
        <v>25</v>
      </c>
      <c r="K2788" t="s">
        <v>51</v>
      </c>
      <c r="L2788" t="s">
        <v>52</v>
      </c>
      <c r="M2788">
        <v>131472.09</v>
      </c>
      <c r="N2788">
        <v>475382.02</v>
      </c>
      <c r="O2788" t="s">
        <v>53</v>
      </c>
      <c r="P2788" t="s">
        <v>54</v>
      </c>
      <c r="Q2788" t="s">
        <v>55</v>
      </c>
      <c r="T2788" t="s">
        <v>246</v>
      </c>
      <c r="U2788">
        <v>40</v>
      </c>
      <c r="V2788" s="1">
        <v>42125</v>
      </c>
      <c r="W2788" s="1">
        <v>42125</v>
      </c>
      <c r="X2788" s="1">
        <v>42125</v>
      </c>
      <c r="Y2788" s="1">
        <v>56735</v>
      </c>
      <c r="Z2788" t="s">
        <v>51</v>
      </c>
      <c r="AB2788" t="s">
        <v>54</v>
      </c>
      <c r="AE2788" t="s">
        <v>1065</v>
      </c>
      <c r="AF2788">
        <v>20</v>
      </c>
      <c r="AG2788" s="1">
        <v>42125</v>
      </c>
      <c r="AH2788" s="1">
        <v>42125</v>
      </c>
      <c r="AI2788" s="1">
        <v>42125</v>
      </c>
      <c r="AJ2788" s="1">
        <v>49430</v>
      </c>
      <c r="AK2788" t="s">
        <v>51</v>
      </c>
      <c r="AN2788">
        <v>0</v>
      </c>
      <c r="AO2788" t="s">
        <v>54</v>
      </c>
      <c r="AP2788" t="s">
        <v>53</v>
      </c>
      <c r="AQ2788">
        <v>0</v>
      </c>
      <c r="AR2788" t="s">
        <v>53</v>
      </c>
      <c r="AS2788">
        <v>0</v>
      </c>
      <c r="AT2788">
        <v>0</v>
      </c>
      <c r="AW2788" t="s">
        <v>172</v>
      </c>
      <c r="AX2788">
        <v>15</v>
      </c>
      <c r="AY2788" s="1">
        <v>42125</v>
      </c>
      <c r="AZ2788" s="1">
        <v>42125</v>
      </c>
      <c r="BA2788" s="1">
        <v>42125</v>
      </c>
      <c r="BB2788" s="1">
        <v>47604</v>
      </c>
      <c r="BC2788" t="s">
        <v>51</v>
      </c>
      <c r="BE2788" t="s">
        <v>54</v>
      </c>
      <c r="BF2788">
        <v>40</v>
      </c>
      <c r="BG2788">
        <v>0</v>
      </c>
      <c r="BH2788" t="s">
        <v>145</v>
      </c>
      <c r="CC2788" t="s">
        <v>1066</v>
      </c>
      <c r="CD2788">
        <v>100000</v>
      </c>
      <c r="CE2788" s="1">
        <v>42125</v>
      </c>
      <c r="CF2788" s="1">
        <v>42125</v>
      </c>
      <c r="CG2788" s="1">
        <v>42125</v>
      </c>
      <c r="CH2788" s="1">
        <v>51108</v>
      </c>
      <c r="CI2788" t="s">
        <v>51</v>
      </c>
      <c r="CK2788" t="s">
        <v>78</v>
      </c>
      <c r="CM2788" t="s">
        <v>54</v>
      </c>
      <c r="CN2788" t="s">
        <v>174</v>
      </c>
      <c r="CR2788">
        <v>11</v>
      </c>
      <c r="CS2788">
        <v>1600</v>
      </c>
      <c r="CT2788">
        <v>0</v>
      </c>
      <c r="CU2788">
        <v>16</v>
      </c>
    </row>
    <row r="2789" spans="1:99" x14ac:dyDescent="0.2">
      <c r="A2789" t="s">
        <v>1012</v>
      </c>
      <c r="B2789" t="s">
        <v>1013</v>
      </c>
      <c r="C2789" t="s">
        <v>1014</v>
      </c>
      <c r="D2789" t="s">
        <v>1156</v>
      </c>
      <c r="F2789" t="str">
        <f>"253536"</f>
        <v>253536</v>
      </c>
      <c r="G2789" t="s">
        <v>49</v>
      </c>
      <c r="K2789" t="s">
        <v>51</v>
      </c>
      <c r="L2789" t="s">
        <v>52</v>
      </c>
      <c r="M2789">
        <v>131462.28</v>
      </c>
      <c r="N2789">
        <v>475401.39</v>
      </c>
      <c r="O2789" t="s">
        <v>53</v>
      </c>
      <c r="P2789" t="s">
        <v>54</v>
      </c>
      <c r="Q2789" t="s">
        <v>55</v>
      </c>
      <c r="T2789" t="s">
        <v>170</v>
      </c>
      <c r="U2789">
        <v>40</v>
      </c>
      <c r="V2789" s="1">
        <v>42125</v>
      </c>
      <c r="W2789" s="1">
        <v>42125</v>
      </c>
      <c r="X2789" s="1">
        <v>42125</v>
      </c>
      <c r="Y2789" s="1">
        <v>56735</v>
      </c>
      <c r="Z2789" t="s">
        <v>51</v>
      </c>
      <c r="AB2789" t="s">
        <v>54</v>
      </c>
      <c r="AE2789" t="s">
        <v>342</v>
      </c>
      <c r="AF2789">
        <v>20</v>
      </c>
      <c r="AG2789" s="1">
        <v>42125</v>
      </c>
      <c r="AH2789" s="1">
        <v>42125</v>
      </c>
      <c r="AI2789" s="1">
        <v>42125</v>
      </c>
      <c r="AJ2789" s="1">
        <v>49430</v>
      </c>
      <c r="AK2789" t="s">
        <v>51</v>
      </c>
      <c r="AN2789">
        <v>0</v>
      </c>
      <c r="AO2789" t="s">
        <v>54</v>
      </c>
      <c r="AP2789" t="s">
        <v>53</v>
      </c>
      <c r="AQ2789">
        <v>0</v>
      </c>
      <c r="AR2789" t="s">
        <v>145</v>
      </c>
      <c r="AS2789">
        <v>19</v>
      </c>
      <c r="AT2789">
        <v>1800</v>
      </c>
      <c r="AW2789" t="s">
        <v>172</v>
      </c>
      <c r="AX2789">
        <v>15</v>
      </c>
      <c r="AY2789" s="1">
        <v>42125</v>
      </c>
      <c r="AZ2789" s="1">
        <v>42125</v>
      </c>
      <c r="BA2789" s="1">
        <v>42125</v>
      </c>
      <c r="BB2789" s="1">
        <v>47604</v>
      </c>
      <c r="BC2789" t="s">
        <v>51</v>
      </c>
      <c r="BE2789" t="s">
        <v>54</v>
      </c>
      <c r="BF2789">
        <v>40</v>
      </c>
      <c r="BG2789">
        <v>0</v>
      </c>
      <c r="BH2789" t="s">
        <v>145</v>
      </c>
      <c r="CC2789" t="s">
        <v>173</v>
      </c>
      <c r="CD2789">
        <v>100000</v>
      </c>
      <c r="CE2789" s="1">
        <v>42125</v>
      </c>
      <c r="CF2789" s="1">
        <v>42125</v>
      </c>
      <c r="CG2789" s="1">
        <v>42125</v>
      </c>
      <c r="CH2789" s="1">
        <v>51108</v>
      </c>
      <c r="CI2789" t="s">
        <v>51</v>
      </c>
      <c r="CK2789" t="s">
        <v>78</v>
      </c>
      <c r="CM2789" t="s">
        <v>54</v>
      </c>
      <c r="CN2789" t="s">
        <v>174</v>
      </c>
      <c r="CO2789" t="s">
        <v>86</v>
      </c>
      <c r="CP2789">
        <v>830</v>
      </c>
      <c r="CR2789">
        <v>19</v>
      </c>
      <c r="CS2789">
        <v>1800</v>
      </c>
      <c r="CT2789">
        <v>0</v>
      </c>
      <c r="CU2789">
        <v>16</v>
      </c>
    </row>
    <row r="2790" spans="1:99" x14ac:dyDescent="0.2">
      <c r="A2790" t="s">
        <v>1012</v>
      </c>
      <c r="B2790" t="s">
        <v>1013</v>
      </c>
      <c r="C2790" t="s">
        <v>1014</v>
      </c>
      <c r="D2790" t="s">
        <v>1156</v>
      </c>
      <c r="F2790" t="str">
        <f>"253537"</f>
        <v>253537</v>
      </c>
      <c r="G2790" t="s">
        <v>49</v>
      </c>
      <c r="K2790" t="s">
        <v>51</v>
      </c>
      <c r="L2790" t="s">
        <v>52</v>
      </c>
      <c r="M2790">
        <v>131454.44</v>
      </c>
      <c r="N2790">
        <v>475421.05</v>
      </c>
      <c r="O2790" t="s">
        <v>53</v>
      </c>
      <c r="P2790" t="s">
        <v>54</v>
      </c>
      <c r="Q2790" t="s">
        <v>55</v>
      </c>
      <c r="T2790" t="s">
        <v>170</v>
      </c>
      <c r="U2790">
        <v>40</v>
      </c>
      <c r="V2790" s="1">
        <v>42125</v>
      </c>
      <c r="W2790" s="1">
        <v>42125</v>
      </c>
      <c r="X2790" s="1">
        <v>42125</v>
      </c>
      <c r="Y2790" s="1">
        <v>56735</v>
      </c>
      <c r="Z2790" t="s">
        <v>51</v>
      </c>
      <c r="AB2790" t="s">
        <v>54</v>
      </c>
      <c r="AE2790" t="s">
        <v>342</v>
      </c>
      <c r="AF2790">
        <v>20</v>
      </c>
      <c r="AG2790" s="1">
        <v>42125</v>
      </c>
      <c r="AH2790" s="1">
        <v>42125</v>
      </c>
      <c r="AI2790" s="1">
        <v>42125</v>
      </c>
      <c r="AJ2790" s="1">
        <v>49430</v>
      </c>
      <c r="AK2790" t="s">
        <v>51</v>
      </c>
      <c r="AN2790">
        <v>0</v>
      </c>
      <c r="AO2790" t="s">
        <v>54</v>
      </c>
      <c r="AP2790" t="s">
        <v>53</v>
      </c>
      <c r="AQ2790">
        <v>0</v>
      </c>
      <c r="AR2790" t="s">
        <v>145</v>
      </c>
      <c r="AS2790">
        <v>19</v>
      </c>
      <c r="AT2790">
        <v>1800</v>
      </c>
      <c r="AW2790" t="s">
        <v>172</v>
      </c>
      <c r="AX2790">
        <v>15</v>
      </c>
      <c r="AY2790" s="1">
        <v>42125</v>
      </c>
      <c r="AZ2790" s="1">
        <v>42125</v>
      </c>
      <c r="BA2790" s="1">
        <v>42125</v>
      </c>
      <c r="BB2790" s="1">
        <v>47604</v>
      </c>
      <c r="BC2790" t="s">
        <v>51</v>
      </c>
      <c r="BE2790" t="s">
        <v>54</v>
      </c>
      <c r="BF2790">
        <v>40</v>
      </c>
      <c r="BG2790">
        <v>0</v>
      </c>
      <c r="BH2790" t="s">
        <v>145</v>
      </c>
      <c r="CC2790" t="s">
        <v>173</v>
      </c>
      <c r="CD2790">
        <v>100000</v>
      </c>
      <c r="CE2790" s="1">
        <v>42125</v>
      </c>
      <c r="CF2790" s="1">
        <v>42125</v>
      </c>
      <c r="CG2790" s="1">
        <v>42125</v>
      </c>
      <c r="CH2790" s="1">
        <v>51108</v>
      </c>
      <c r="CI2790" t="s">
        <v>51</v>
      </c>
      <c r="CK2790" t="s">
        <v>78</v>
      </c>
      <c r="CM2790" t="s">
        <v>54</v>
      </c>
      <c r="CN2790" t="s">
        <v>174</v>
      </c>
      <c r="CO2790" t="s">
        <v>86</v>
      </c>
      <c r="CP2790">
        <v>830</v>
      </c>
      <c r="CR2790">
        <v>19</v>
      </c>
      <c r="CS2790">
        <v>1800</v>
      </c>
      <c r="CT2790">
        <v>0</v>
      </c>
      <c r="CU2790">
        <v>16</v>
      </c>
    </row>
    <row r="2791" spans="1:99" x14ac:dyDescent="0.2">
      <c r="A2791" t="s">
        <v>1012</v>
      </c>
      <c r="B2791" t="s">
        <v>1013</v>
      </c>
      <c r="C2791" t="s">
        <v>1014</v>
      </c>
      <c r="D2791" t="s">
        <v>1153</v>
      </c>
      <c r="F2791" t="str">
        <f>"253538"</f>
        <v>253538</v>
      </c>
      <c r="G2791" t="s">
        <v>49</v>
      </c>
      <c r="H2791">
        <v>16</v>
      </c>
      <c r="K2791" t="s">
        <v>51</v>
      </c>
      <c r="L2791" t="s">
        <v>52</v>
      </c>
      <c r="M2791">
        <v>131461.10999999999</v>
      </c>
      <c r="N2791">
        <v>475451.84</v>
      </c>
      <c r="O2791" t="s">
        <v>53</v>
      </c>
      <c r="P2791" t="s">
        <v>54</v>
      </c>
      <c r="Q2791" t="s">
        <v>55</v>
      </c>
      <c r="T2791" t="s">
        <v>246</v>
      </c>
      <c r="U2791">
        <v>40</v>
      </c>
      <c r="V2791" s="1">
        <v>42125</v>
      </c>
      <c r="W2791" s="1">
        <v>42125</v>
      </c>
      <c r="X2791" s="1">
        <v>42125</v>
      </c>
      <c r="Y2791" s="1">
        <v>56735</v>
      </c>
      <c r="Z2791" t="s">
        <v>51</v>
      </c>
      <c r="AB2791" t="s">
        <v>54</v>
      </c>
      <c r="AE2791" t="s">
        <v>1065</v>
      </c>
      <c r="AF2791">
        <v>20</v>
      </c>
      <c r="AG2791" s="1">
        <v>42125</v>
      </c>
      <c r="AH2791" s="1">
        <v>42125</v>
      </c>
      <c r="AI2791" s="1">
        <v>42125</v>
      </c>
      <c r="AJ2791" s="1">
        <v>49430</v>
      </c>
      <c r="AK2791" t="s">
        <v>51</v>
      </c>
      <c r="AN2791">
        <v>0</v>
      </c>
      <c r="AO2791" t="s">
        <v>54</v>
      </c>
      <c r="AP2791" t="s">
        <v>53</v>
      </c>
      <c r="AQ2791">
        <v>0</v>
      </c>
      <c r="AR2791" t="s">
        <v>53</v>
      </c>
      <c r="AS2791">
        <v>0</v>
      </c>
      <c r="AT2791">
        <v>0</v>
      </c>
      <c r="AW2791" t="s">
        <v>172</v>
      </c>
      <c r="AX2791">
        <v>15</v>
      </c>
      <c r="AY2791" s="1">
        <v>42125</v>
      </c>
      <c r="AZ2791" s="1">
        <v>42125</v>
      </c>
      <c r="BA2791" s="1">
        <v>42125</v>
      </c>
      <c r="BB2791" s="1">
        <v>47604</v>
      </c>
      <c r="BC2791" t="s">
        <v>51</v>
      </c>
      <c r="BE2791" t="s">
        <v>54</v>
      </c>
      <c r="BF2791">
        <v>40</v>
      </c>
      <c r="BG2791">
        <v>0</v>
      </c>
      <c r="BH2791" t="s">
        <v>145</v>
      </c>
      <c r="CC2791" t="s">
        <v>1066</v>
      </c>
      <c r="CD2791">
        <v>100000</v>
      </c>
      <c r="CE2791" s="1">
        <v>42125</v>
      </c>
      <c r="CF2791" s="1">
        <v>42125</v>
      </c>
      <c r="CG2791" s="1">
        <v>42125</v>
      </c>
      <c r="CH2791" s="1">
        <v>51108</v>
      </c>
      <c r="CI2791" t="s">
        <v>51</v>
      </c>
      <c r="CK2791" t="s">
        <v>78</v>
      </c>
      <c r="CM2791" t="s">
        <v>54</v>
      </c>
      <c r="CN2791" t="s">
        <v>174</v>
      </c>
      <c r="CR2791">
        <v>11</v>
      </c>
      <c r="CS2791">
        <v>1600</v>
      </c>
      <c r="CT2791">
        <v>0</v>
      </c>
      <c r="CU2791">
        <v>16</v>
      </c>
    </row>
    <row r="2792" spans="1:99" x14ac:dyDescent="0.2">
      <c r="A2792" t="s">
        <v>1012</v>
      </c>
      <c r="B2792" t="s">
        <v>1013</v>
      </c>
      <c r="C2792" t="s">
        <v>1014</v>
      </c>
      <c r="D2792" t="s">
        <v>1153</v>
      </c>
      <c r="F2792" t="str">
        <f>"253539"</f>
        <v>253539</v>
      </c>
      <c r="G2792" t="s">
        <v>49</v>
      </c>
      <c r="H2792">
        <v>23</v>
      </c>
      <c r="K2792" t="s">
        <v>51</v>
      </c>
      <c r="L2792" t="s">
        <v>52</v>
      </c>
      <c r="M2792">
        <v>131433.49</v>
      </c>
      <c r="N2792">
        <v>475451.7</v>
      </c>
      <c r="O2792" t="s">
        <v>53</v>
      </c>
      <c r="P2792" t="s">
        <v>54</v>
      </c>
      <c r="Q2792" t="s">
        <v>55</v>
      </c>
      <c r="T2792" t="s">
        <v>246</v>
      </c>
      <c r="U2792">
        <v>40</v>
      </c>
      <c r="V2792" s="1">
        <v>42125</v>
      </c>
      <c r="W2792" s="1">
        <v>42125</v>
      </c>
      <c r="X2792" s="1">
        <v>42125</v>
      </c>
      <c r="Y2792" s="1">
        <v>56735</v>
      </c>
      <c r="Z2792" t="s">
        <v>51</v>
      </c>
      <c r="AB2792" t="s">
        <v>54</v>
      </c>
      <c r="AE2792" t="s">
        <v>1065</v>
      </c>
      <c r="AF2792">
        <v>20</v>
      </c>
      <c r="AG2792" s="1">
        <v>42125</v>
      </c>
      <c r="AH2792" s="1">
        <v>42125</v>
      </c>
      <c r="AI2792" s="1">
        <v>42125</v>
      </c>
      <c r="AJ2792" s="1">
        <v>49430</v>
      </c>
      <c r="AK2792" t="s">
        <v>51</v>
      </c>
      <c r="AN2792">
        <v>0</v>
      </c>
      <c r="AO2792" t="s">
        <v>54</v>
      </c>
      <c r="AP2792" t="s">
        <v>53</v>
      </c>
      <c r="AQ2792">
        <v>0</v>
      </c>
      <c r="AR2792" t="s">
        <v>53</v>
      </c>
      <c r="AS2792">
        <v>0</v>
      </c>
      <c r="AT2792">
        <v>0</v>
      </c>
      <c r="AW2792" t="s">
        <v>172</v>
      </c>
      <c r="AX2792">
        <v>15</v>
      </c>
      <c r="AY2792" s="1">
        <v>42125</v>
      </c>
      <c r="AZ2792" s="1">
        <v>42125</v>
      </c>
      <c r="BA2792" s="1">
        <v>42125</v>
      </c>
      <c r="BB2792" s="1">
        <v>47604</v>
      </c>
      <c r="BC2792" t="s">
        <v>51</v>
      </c>
      <c r="BE2792" t="s">
        <v>54</v>
      </c>
      <c r="BF2792">
        <v>40</v>
      </c>
      <c r="BG2792">
        <v>0</v>
      </c>
      <c r="BH2792" t="s">
        <v>145</v>
      </c>
      <c r="CC2792" t="s">
        <v>1066</v>
      </c>
      <c r="CD2792">
        <v>100000</v>
      </c>
      <c r="CE2792" s="1">
        <v>42125</v>
      </c>
      <c r="CF2792" s="1">
        <v>42125</v>
      </c>
      <c r="CG2792" s="1">
        <v>42125</v>
      </c>
      <c r="CH2792" s="1">
        <v>51108</v>
      </c>
      <c r="CI2792" t="s">
        <v>51</v>
      </c>
      <c r="CK2792" t="s">
        <v>78</v>
      </c>
      <c r="CM2792" t="s">
        <v>54</v>
      </c>
      <c r="CN2792" t="s">
        <v>174</v>
      </c>
      <c r="CR2792">
        <v>11</v>
      </c>
      <c r="CS2792">
        <v>1600</v>
      </c>
      <c r="CT2792">
        <v>0</v>
      </c>
      <c r="CU2792">
        <v>16</v>
      </c>
    </row>
    <row r="2793" spans="1:99" x14ac:dyDescent="0.2">
      <c r="A2793" t="s">
        <v>1012</v>
      </c>
      <c r="B2793" t="s">
        <v>1013</v>
      </c>
      <c r="C2793" t="s">
        <v>1014</v>
      </c>
      <c r="D2793" t="s">
        <v>1153</v>
      </c>
      <c r="F2793" t="str">
        <f>"253540"</f>
        <v>253540</v>
      </c>
      <c r="G2793" t="s">
        <v>49</v>
      </c>
      <c r="H2793">
        <v>30</v>
      </c>
      <c r="K2793" t="s">
        <v>51</v>
      </c>
      <c r="L2793" t="s">
        <v>52</v>
      </c>
      <c r="M2793">
        <v>131409.54</v>
      </c>
      <c r="N2793">
        <v>475451.51</v>
      </c>
      <c r="O2793" t="s">
        <v>53</v>
      </c>
      <c r="P2793" t="s">
        <v>54</v>
      </c>
      <c r="Q2793" t="s">
        <v>55</v>
      </c>
      <c r="T2793" t="s">
        <v>246</v>
      </c>
      <c r="U2793">
        <v>40</v>
      </c>
      <c r="V2793" s="1">
        <v>42125</v>
      </c>
      <c r="W2793" s="1">
        <v>42125</v>
      </c>
      <c r="X2793" s="1">
        <v>42125</v>
      </c>
      <c r="Y2793" s="1">
        <v>56735</v>
      </c>
      <c r="Z2793" t="s">
        <v>51</v>
      </c>
      <c r="AB2793" t="s">
        <v>54</v>
      </c>
      <c r="AE2793" t="s">
        <v>1065</v>
      </c>
      <c r="AF2793">
        <v>20</v>
      </c>
      <c r="AG2793" s="1">
        <v>42125</v>
      </c>
      <c r="AH2793" s="1">
        <v>42125</v>
      </c>
      <c r="AI2793" s="1">
        <v>42125</v>
      </c>
      <c r="AJ2793" s="1">
        <v>49430</v>
      </c>
      <c r="AK2793" t="s">
        <v>51</v>
      </c>
      <c r="AN2793">
        <v>0</v>
      </c>
      <c r="AO2793" t="s">
        <v>54</v>
      </c>
      <c r="AP2793" t="s">
        <v>53</v>
      </c>
      <c r="AQ2793">
        <v>0</v>
      </c>
      <c r="AR2793" t="s">
        <v>53</v>
      </c>
      <c r="AS2793">
        <v>0</v>
      </c>
      <c r="AT2793">
        <v>0</v>
      </c>
      <c r="AW2793" t="s">
        <v>172</v>
      </c>
      <c r="AX2793">
        <v>15</v>
      </c>
      <c r="AY2793" s="1">
        <v>42125</v>
      </c>
      <c r="AZ2793" s="1">
        <v>42125</v>
      </c>
      <c r="BA2793" s="1">
        <v>42125</v>
      </c>
      <c r="BB2793" s="1">
        <v>47604</v>
      </c>
      <c r="BC2793" t="s">
        <v>51</v>
      </c>
      <c r="BE2793" t="s">
        <v>54</v>
      </c>
      <c r="BF2793">
        <v>40</v>
      </c>
      <c r="BG2793">
        <v>0</v>
      </c>
      <c r="BH2793" t="s">
        <v>145</v>
      </c>
      <c r="CC2793" t="s">
        <v>1066</v>
      </c>
      <c r="CD2793">
        <v>100000</v>
      </c>
      <c r="CE2793" s="1">
        <v>42125</v>
      </c>
      <c r="CF2793" s="1">
        <v>42125</v>
      </c>
      <c r="CG2793" s="1">
        <v>42125</v>
      </c>
      <c r="CH2793" s="1">
        <v>51108</v>
      </c>
      <c r="CI2793" t="s">
        <v>51</v>
      </c>
      <c r="CK2793" t="s">
        <v>78</v>
      </c>
      <c r="CM2793" t="s">
        <v>54</v>
      </c>
      <c r="CN2793" t="s">
        <v>174</v>
      </c>
      <c r="CR2793">
        <v>11</v>
      </c>
      <c r="CS2793">
        <v>1600</v>
      </c>
      <c r="CT2793">
        <v>0</v>
      </c>
      <c r="CU2793">
        <v>16</v>
      </c>
    </row>
    <row r="2794" spans="1:99" x14ac:dyDescent="0.2">
      <c r="A2794" t="s">
        <v>1012</v>
      </c>
      <c r="B2794" t="s">
        <v>1013</v>
      </c>
      <c r="C2794" t="s">
        <v>1014</v>
      </c>
      <c r="D2794" t="s">
        <v>1158</v>
      </c>
      <c r="F2794" t="str">
        <f>"253541"</f>
        <v>253541</v>
      </c>
      <c r="G2794" t="s">
        <v>49</v>
      </c>
      <c r="H2794">
        <v>10</v>
      </c>
      <c r="K2794" t="s">
        <v>51</v>
      </c>
      <c r="L2794" t="s">
        <v>52</v>
      </c>
      <c r="M2794">
        <v>131467.9</v>
      </c>
      <c r="N2794">
        <v>475426.81</v>
      </c>
      <c r="O2794" t="s">
        <v>53</v>
      </c>
      <c r="P2794" t="s">
        <v>54</v>
      </c>
      <c r="Q2794" t="s">
        <v>55</v>
      </c>
      <c r="T2794" t="s">
        <v>170</v>
      </c>
      <c r="U2794">
        <v>40</v>
      </c>
      <c r="V2794" s="1">
        <v>42125</v>
      </c>
      <c r="W2794" s="1">
        <v>42125</v>
      </c>
      <c r="X2794" s="1">
        <v>42125</v>
      </c>
      <c r="Y2794" s="1">
        <v>56735</v>
      </c>
      <c r="Z2794" t="s">
        <v>51</v>
      </c>
      <c r="AB2794" t="s">
        <v>54</v>
      </c>
      <c r="AE2794" t="s">
        <v>342</v>
      </c>
      <c r="AF2794">
        <v>20</v>
      </c>
      <c r="AG2794" s="1">
        <v>42125</v>
      </c>
      <c r="AH2794" s="1">
        <v>42125</v>
      </c>
      <c r="AI2794" s="1">
        <v>42125</v>
      </c>
      <c r="AJ2794" s="1">
        <v>49430</v>
      </c>
      <c r="AK2794" t="s">
        <v>51</v>
      </c>
      <c r="AN2794">
        <v>0</v>
      </c>
      <c r="AO2794" t="s">
        <v>54</v>
      </c>
      <c r="AP2794" t="s">
        <v>53</v>
      </c>
      <c r="AQ2794">
        <v>0</v>
      </c>
      <c r="AR2794" t="s">
        <v>145</v>
      </c>
      <c r="AS2794">
        <v>19</v>
      </c>
      <c r="AT2794">
        <v>1800</v>
      </c>
      <c r="AW2794" t="s">
        <v>172</v>
      </c>
      <c r="AX2794">
        <v>15</v>
      </c>
      <c r="AY2794" s="1">
        <v>42125</v>
      </c>
      <c r="AZ2794" s="1">
        <v>42125</v>
      </c>
      <c r="BA2794" s="1">
        <v>42125</v>
      </c>
      <c r="BB2794" s="1">
        <v>47604</v>
      </c>
      <c r="BC2794" t="s">
        <v>51</v>
      </c>
      <c r="BE2794" t="s">
        <v>54</v>
      </c>
      <c r="BF2794">
        <v>40</v>
      </c>
      <c r="BG2794">
        <v>0</v>
      </c>
      <c r="BH2794" t="s">
        <v>145</v>
      </c>
      <c r="CC2794" t="s">
        <v>173</v>
      </c>
      <c r="CD2794">
        <v>100000</v>
      </c>
      <c r="CE2794" s="1">
        <v>42125</v>
      </c>
      <c r="CF2794" s="1">
        <v>42125</v>
      </c>
      <c r="CG2794" s="1">
        <v>42125</v>
      </c>
      <c r="CH2794" s="1">
        <v>51108</v>
      </c>
      <c r="CI2794" t="s">
        <v>51</v>
      </c>
      <c r="CK2794" t="s">
        <v>78</v>
      </c>
      <c r="CM2794" t="s">
        <v>54</v>
      </c>
      <c r="CN2794" t="s">
        <v>174</v>
      </c>
      <c r="CO2794" t="s">
        <v>86</v>
      </c>
      <c r="CP2794">
        <v>830</v>
      </c>
      <c r="CR2794">
        <v>19</v>
      </c>
      <c r="CS2794">
        <v>1800</v>
      </c>
      <c r="CT2794">
        <v>0</v>
      </c>
      <c r="CU2794">
        <v>16</v>
      </c>
    </row>
    <row r="2795" spans="1:99" x14ac:dyDescent="0.2">
      <c r="A2795" t="s">
        <v>1012</v>
      </c>
      <c r="B2795" t="s">
        <v>1013</v>
      </c>
      <c r="C2795" t="s">
        <v>1014</v>
      </c>
      <c r="D2795" t="s">
        <v>1158</v>
      </c>
      <c r="F2795" t="str">
        <f>"253542"</f>
        <v>253542</v>
      </c>
      <c r="G2795" t="s">
        <v>49</v>
      </c>
      <c r="H2795">
        <v>10</v>
      </c>
      <c r="K2795" t="s">
        <v>51</v>
      </c>
      <c r="L2795" t="s">
        <v>52</v>
      </c>
      <c r="M2795">
        <v>131490.88</v>
      </c>
      <c r="N2795">
        <v>475426.96</v>
      </c>
      <c r="O2795" t="s">
        <v>53</v>
      </c>
      <c r="P2795" t="s">
        <v>54</v>
      </c>
      <c r="Q2795" t="s">
        <v>55</v>
      </c>
      <c r="T2795" t="s">
        <v>170</v>
      </c>
      <c r="U2795">
        <v>40</v>
      </c>
      <c r="V2795" s="1">
        <v>42125</v>
      </c>
      <c r="W2795" s="1">
        <v>42125</v>
      </c>
      <c r="X2795" s="1">
        <v>42125</v>
      </c>
      <c r="Y2795" s="1">
        <v>56735</v>
      </c>
      <c r="Z2795" t="s">
        <v>51</v>
      </c>
      <c r="AB2795" t="s">
        <v>54</v>
      </c>
      <c r="AE2795" t="s">
        <v>342</v>
      </c>
      <c r="AF2795">
        <v>20</v>
      </c>
      <c r="AG2795" s="1">
        <v>42125</v>
      </c>
      <c r="AH2795" s="1">
        <v>42125</v>
      </c>
      <c r="AI2795" s="1">
        <v>42125</v>
      </c>
      <c r="AJ2795" s="1">
        <v>49430</v>
      </c>
      <c r="AK2795" t="s">
        <v>51</v>
      </c>
      <c r="AN2795">
        <v>0</v>
      </c>
      <c r="AO2795" t="s">
        <v>54</v>
      </c>
      <c r="AP2795" t="s">
        <v>53</v>
      </c>
      <c r="AQ2795">
        <v>0</v>
      </c>
      <c r="AR2795" t="s">
        <v>145</v>
      </c>
      <c r="AS2795">
        <v>19</v>
      </c>
      <c r="AT2795">
        <v>1800</v>
      </c>
      <c r="AW2795" t="s">
        <v>172</v>
      </c>
      <c r="AX2795">
        <v>15</v>
      </c>
      <c r="AY2795" s="1">
        <v>42125</v>
      </c>
      <c r="AZ2795" s="1">
        <v>42125</v>
      </c>
      <c r="BA2795" s="1">
        <v>42125</v>
      </c>
      <c r="BB2795" s="1">
        <v>47604</v>
      </c>
      <c r="BC2795" t="s">
        <v>51</v>
      </c>
      <c r="BE2795" t="s">
        <v>54</v>
      </c>
      <c r="BF2795">
        <v>40</v>
      </c>
      <c r="BG2795">
        <v>0</v>
      </c>
      <c r="BH2795" t="s">
        <v>145</v>
      </c>
      <c r="CC2795" t="s">
        <v>173</v>
      </c>
      <c r="CD2795">
        <v>100000</v>
      </c>
      <c r="CE2795" s="1">
        <v>42125</v>
      </c>
      <c r="CF2795" s="1">
        <v>42125</v>
      </c>
      <c r="CG2795" s="1">
        <v>42125</v>
      </c>
      <c r="CH2795" s="1">
        <v>51108</v>
      </c>
      <c r="CI2795" t="s">
        <v>51</v>
      </c>
      <c r="CK2795" t="s">
        <v>78</v>
      </c>
      <c r="CM2795" t="s">
        <v>54</v>
      </c>
      <c r="CN2795" t="s">
        <v>174</v>
      </c>
      <c r="CO2795" t="s">
        <v>86</v>
      </c>
      <c r="CP2795">
        <v>830</v>
      </c>
      <c r="CR2795">
        <v>19</v>
      </c>
      <c r="CS2795">
        <v>1800</v>
      </c>
      <c r="CT2795">
        <v>0</v>
      </c>
      <c r="CU2795">
        <v>16</v>
      </c>
    </row>
    <row r="2796" spans="1:99" x14ac:dyDescent="0.2">
      <c r="A2796" t="s">
        <v>1012</v>
      </c>
      <c r="B2796" t="s">
        <v>1013</v>
      </c>
      <c r="C2796" t="s">
        <v>1014</v>
      </c>
      <c r="D2796" t="s">
        <v>1158</v>
      </c>
      <c r="F2796" t="str">
        <f>"253543"</f>
        <v>253543</v>
      </c>
      <c r="G2796" t="s">
        <v>49</v>
      </c>
      <c r="H2796">
        <v>2</v>
      </c>
      <c r="K2796" t="s">
        <v>51</v>
      </c>
      <c r="L2796" t="s">
        <v>52</v>
      </c>
      <c r="M2796">
        <v>131517.32</v>
      </c>
      <c r="N2796">
        <v>475426.74</v>
      </c>
      <c r="O2796" t="s">
        <v>53</v>
      </c>
      <c r="P2796" t="s">
        <v>54</v>
      </c>
      <c r="Q2796" t="s">
        <v>55</v>
      </c>
      <c r="T2796" t="s">
        <v>170</v>
      </c>
      <c r="U2796">
        <v>40</v>
      </c>
      <c r="V2796" s="1">
        <v>42125</v>
      </c>
      <c r="W2796" s="1">
        <v>42125</v>
      </c>
      <c r="X2796" s="1">
        <v>42125</v>
      </c>
      <c r="Y2796" s="1">
        <v>56735</v>
      </c>
      <c r="Z2796" t="s">
        <v>51</v>
      </c>
      <c r="AB2796" t="s">
        <v>54</v>
      </c>
      <c r="AE2796" t="s">
        <v>342</v>
      </c>
      <c r="AF2796">
        <v>20</v>
      </c>
      <c r="AG2796" s="1">
        <v>42125</v>
      </c>
      <c r="AH2796" s="1">
        <v>42125</v>
      </c>
      <c r="AI2796" s="1">
        <v>42125</v>
      </c>
      <c r="AJ2796" s="1">
        <v>49430</v>
      </c>
      <c r="AK2796" t="s">
        <v>51</v>
      </c>
      <c r="AN2796">
        <v>0</v>
      </c>
      <c r="AO2796" t="s">
        <v>54</v>
      </c>
      <c r="AP2796" t="s">
        <v>53</v>
      </c>
      <c r="AQ2796">
        <v>0</v>
      </c>
      <c r="AR2796" t="s">
        <v>145</v>
      </c>
      <c r="AS2796">
        <v>19</v>
      </c>
      <c r="AT2796">
        <v>1800</v>
      </c>
      <c r="AW2796" t="s">
        <v>172</v>
      </c>
      <c r="AX2796">
        <v>15</v>
      </c>
      <c r="AY2796" s="1">
        <v>42125</v>
      </c>
      <c r="AZ2796" s="1">
        <v>42125</v>
      </c>
      <c r="BA2796" s="1">
        <v>42125</v>
      </c>
      <c r="BB2796" s="1">
        <v>47604</v>
      </c>
      <c r="BC2796" t="s">
        <v>51</v>
      </c>
      <c r="BE2796" t="s">
        <v>54</v>
      </c>
      <c r="BF2796">
        <v>40</v>
      </c>
      <c r="BG2796">
        <v>0</v>
      </c>
      <c r="BH2796" t="s">
        <v>145</v>
      </c>
      <c r="CC2796" t="s">
        <v>173</v>
      </c>
      <c r="CD2796">
        <v>100000</v>
      </c>
      <c r="CE2796" s="1">
        <v>42125</v>
      </c>
      <c r="CF2796" s="1">
        <v>42125</v>
      </c>
      <c r="CG2796" s="1">
        <v>42125</v>
      </c>
      <c r="CH2796" s="1">
        <v>51108</v>
      </c>
      <c r="CI2796" t="s">
        <v>51</v>
      </c>
      <c r="CK2796" t="s">
        <v>78</v>
      </c>
      <c r="CM2796" t="s">
        <v>54</v>
      </c>
      <c r="CN2796" t="s">
        <v>174</v>
      </c>
      <c r="CO2796" t="s">
        <v>86</v>
      </c>
      <c r="CP2796">
        <v>830</v>
      </c>
      <c r="CR2796">
        <v>19</v>
      </c>
      <c r="CS2796">
        <v>1800</v>
      </c>
      <c r="CT2796">
        <v>0</v>
      </c>
      <c r="CU2796">
        <v>16</v>
      </c>
    </row>
    <row r="2797" spans="1:99" x14ac:dyDescent="0.2">
      <c r="A2797" t="s">
        <v>1012</v>
      </c>
      <c r="B2797" t="s">
        <v>1013</v>
      </c>
      <c r="C2797" t="s">
        <v>1014</v>
      </c>
      <c r="D2797" t="s">
        <v>1158</v>
      </c>
      <c r="F2797" t="str">
        <f>"253544"</f>
        <v>253544</v>
      </c>
      <c r="G2797" t="s">
        <v>49</v>
      </c>
      <c r="K2797" t="s">
        <v>51</v>
      </c>
      <c r="L2797" t="s">
        <v>52</v>
      </c>
      <c r="M2797">
        <v>131516.95000000001</v>
      </c>
      <c r="N2797">
        <v>475441.23</v>
      </c>
      <c r="O2797" t="s">
        <v>53</v>
      </c>
      <c r="P2797" t="s">
        <v>54</v>
      </c>
      <c r="Q2797" t="s">
        <v>55</v>
      </c>
      <c r="T2797" t="s">
        <v>246</v>
      </c>
      <c r="U2797">
        <v>40</v>
      </c>
      <c r="V2797" s="1">
        <v>42125</v>
      </c>
      <c r="W2797" s="1">
        <v>42125</v>
      </c>
      <c r="X2797" s="1">
        <v>42125</v>
      </c>
      <c r="Y2797" s="1">
        <v>56735</v>
      </c>
      <c r="Z2797" t="s">
        <v>51</v>
      </c>
      <c r="AB2797" t="s">
        <v>54</v>
      </c>
      <c r="AE2797" t="s">
        <v>1065</v>
      </c>
      <c r="AF2797">
        <v>20</v>
      </c>
      <c r="AG2797" s="1">
        <v>42125</v>
      </c>
      <c r="AH2797" s="1">
        <v>42125</v>
      </c>
      <c r="AI2797" s="1">
        <v>42125</v>
      </c>
      <c r="AJ2797" s="1">
        <v>49430</v>
      </c>
      <c r="AK2797" t="s">
        <v>51</v>
      </c>
      <c r="AN2797">
        <v>0</v>
      </c>
      <c r="AO2797" t="s">
        <v>54</v>
      </c>
      <c r="AP2797" t="s">
        <v>53</v>
      </c>
      <c r="AQ2797">
        <v>0</v>
      </c>
      <c r="AR2797" t="s">
        <v>53</v>
      </c>
      <c r="AS2797">
        <v>0</v>
      </c>
      <c r="AT2797">
        <v>0</v>
      </c>
      <c r="AW2797" t="s">
        <v>172</v>
      </c>
      <c r="AX2797">
        <v>15</v>
      </c>
      <c r="AY2797" s="1">
        <v>42125</v>
      </c>
      <c r="AZ2797" s="1">
        <v>42125</v>
      </c>
      <c r="BA2797" s="1">
        <v>42125</v>
      </c>
      <c r="BB2797" s="1">
        <v>47604</v>
      </c>
      <c r="BC2797" t="s">
        <v>51</v>
      </c>
      <c r="BE2797" t="s">
        <v>54</v>
      </c>
      <c r="BF2797">
        <v>40</v>
      </c>
      <c r="BG2797">
        <v>0</v>
      </c>
      <c r="BH2797" t="s">
        <v>145</v>
      </c>
      <c r="CC2797" t="s">
        <v>1066</v>
      </c>
      <c r="CD2797">
        <v>100000</v>
      </c>
      <c r="CE2797" s="1">
        <v>42125</v>
      </c>
      <c r="CF2797" s="1">
        <v>42125</v>
      </c>
      <c r="CG2797" s="1">
        <v>42125</v>
      </c>
      <c r="CH2797" s="1">
        <v>51108</v>
      </c>
      <c r="CI2797" t="s">
        <v>51</v>
      </c>
      <c r="CK2797" t="s">
        <v>78</v>
      </c>
      <c r="CM2797" t="s">
        <v>54</v>
      </c>
      <c r="CN2797" t="s">
        <v>174</v>
      </c>
      <c r="CR2797">
        <v>11</v>
      </c>
      <c r="CS2797">
        <v>1600</v>
      </c>
      <c r="CT2797">
        <v>0</v>
      </c>
      <c r="CU2797">
        <v>16</v>
      </c>
    </row>
    <row r="2798" spans="1:99" x14ac:dyDescent="0.2">
      <c r="A2798" t="s">
        <v>1012</v>
      </c>
      <c r="B2798" t="s">
        <v>1013</v>
      </c>
      <c r="C2798" t="s">
        <v>1014</v>
      </c>
      <c r="D2798" t="s">
        <v>1158</v>
      </c>
      <c r="F2798" t="str">
        <f>"253545"</f>
        <v>253545</v>
      </c>
      <c r="G2798" t="s">
        <v>49</v>
      </c>
      <c r="H2798">
        <v>2</v>
      </c>
      <c r="K2798" t="s">
        <v>51</v>
      </c>
      <c r="L2798" t="s">
        <v>52</v>
      </c>
      <c r="M2798">
        <v>131539.79999999999</v>
      </c>
      <c r="N2798">
        <v>475426.2</v>
      </c>
      <c r="O2798" t="s">
        <v>53</v>
      </c>
      <c r="P2798" t="s">
        <v>54</v>
      </c>
      <c r="Q2798" t="s">
        <v>55</v>
      </c>
      <c r="T2798" t="s">
        <v>170</v>
      </c>
      <c r="U2798">
        <v>40</v>
      </c>
      <c r="V2798" s="1">
        <v>42125</v>
      </c>
      <c r="W2798" s="1">
        <v>42125</v>
      </c>
      <c r="X2798" s="1">
        <v>42125</v>
      </c>
      <c r="Y2798" s="1">
        <v>56735</v>
      </c>
      <c r="Z2798" t="s">
        <v>51</v>
      </c>
      <c r="AB2798" t="s">
        <v>54</v>
      </c>
      <c r="AE2798" t="s">
        <v>342</v>
      </c>
      <c r="AF2798">
        <v>20</v>
      </c>
      <c r="AG2798" s="1">
        <v>42125</v>
      </c>
      <c r="AH2798" s="1">
        <v>42125</v>
      </c>
      <c r="AI2798" s="1">
        <v>42125</v>
      </c>
      <c r="AJ2798" s="1">
        <v>49430</v>
      </c>
      <c r="AK2798" t="s">
        <v>51</v>
      </c>
      <c r="AN2798">
        <v>0</v>
      </c>
      <c r="AO2798" t="s">
        <v>54</v>
      </c>
      <c r="AP2798" t="s">
        <v>53</v>
      </c>
      <c r="AQ2798">
        <v>0</v>
      </c>
      <c r="AR2798" t="s">
        <v>145</v>
      </c>
      <c r="AS2798">
        <v>19</v>
      </c>
      <c r="AT2798">
        <v>1800</v>
      </c>
      <c r="AW2798" t="s">
        <v>172</v>
      </c>
      <c r="AX2798">
        <v>15</v>
      </c>
      <c r="AY2798" s="1">
        <v>44662</v>
      </c>
      <c r="AZ2798" s="1">
        <v>44662</v>
      </c>
      <c r="BA2798" s="1">
        <v>44662</v>
      </c>
      <c r="BB2798" s="1">
        <v>50141</v>
      </c>
      <c r="BC2798" t="s">
        <v>51</v>
      </c>
      <c r="BE2798" t="s">
        <v>54</v>
      </c>
      <c r="BF2798">
        <v>40</v>
      </c>
      <c r="BG2798">
        <v>0</v>
      </c>
      <c r="BH2798" t="s">
        <v>145</v>
      </c>
      <c r="CC2798" t="s">
        <v>173</v>
      </c>
      <c r="CD2798">
        <v>100000</v>
      </c>
      <c r="CE2798" s="1">
        <v>42125</v>
      </c>
      <c r="CF2798" s="1">
        <v>42125</v>
      </c>
      <c r="CG2798" s="1">
        <v>44662</v>
      </c>
      <c r="CH2798" s="1">
        <v>51108</v>
      </c>
      <c r="CI2798" t="s">
        <v>51</v>
      </c>
      <c r="CK2798" t="s">
        <v>78</v>
      </c>
      <c r="CM2798" t="s">
        <v>54</v>
      </c>
      <c r="CN2798" t="s">
        <v>174</v>
      </c>
      <c r="CO2798" t="s">
        <v>86</v>
      </c>
      <c r="CP2798">
        <v>830</v>
      </c>
      <c r="CR2798">
        <v>19</v>
      </c>
      <c r="CS2798">
        <v>1800</v>
      </c>
      <c r="CT2798">
        <v>0</v>
      </c>
      <c r="CU2798">
        <v>16</v>
      </c>
    </row>
    <row r="2799" spans="1:99" x14ac:dyDescent="0.2">
      <c r="A2799" t="s">
        <v>1012</v>
      </c>
      <c r="B2799" t="s">
        <v>1013</v>
      </c>
      <c r="C2799" t="s">
        <v>1014</v>
      </c>
      <c r="D2799" t="s">
        <v>1158</v>
      </c>
      <c r="F2799" t="str">
        <f>"253546"</f>
        <v>253546</v>
      </c>
      <c r="G2799" t="s">
        <v>49</v>
      </c>
      <c r="H2799">
        <v>8</v>
      </c>
      <c r="K2799" t="s">
        <v>51</v>
      </c>
      <c r="L2799" t="s">
        <v>52</v>
      </c>
      <c r="M2799">
        <v>131562.46</v>
      </c>
      <c r="N2799">
        <v>475426.4</v>
      </c>
      <c r="O2799" t="s">
        <v>53</v>
      </c>
      <c r="P2799" t="s">
        <v>54</v>
      </c>
      <c r="Q2799" t="s">
        <v>55</v>
      </c>
      <c r="T2799" t="s">
        <v>170</v>
      </c>
      <c r="U2799">
        <v>40</v>
      </c>
      <c r="V2799" s="1">
        <v>42125</v>
      </c>
      <c r="W2799" s="1">
        <v>42125</v>
      </c>
      <c r="X2799" s="1">
        <v>42125</v>
      </c>
      <c r="Y2799" s="1">
        <v>56735</v>
      </c>
      <c r="Z2799" t="s">
        <v>51</v>
      </c>
      <c r="AB2799" t="s">
        <v>54</v>
      </c>
      <c r="AE2799" t="s">
        <v>342</v>
      </c>
      <c r="AF2799">
        <v>20</v>
      </c>
      <c r="AG2799" s="1">
        <v>42125</v>
      </c>
      <c r="AH2799" s="1">
        <v>42125</v>
      </c>
      <c r="AI2799" s="1">
        <v>42125</v>
      </c>
      <c r="AJ2799" s="1">
        <v>49430</v>
      </c>
      <c r="AK2799" t="s">
        <v>51</v>
      </c>
      <c r="AN2799">
        <v>0</v>
      </c>
      <c r="AO2799" t="s">
        <v>54</v>
      </c>
      <c r="AP2799" t="s">
        <v>53</v>
      </c>
      <c r="AQ2799">
        <v>0</v>
      </c>
      <c r="AR2799" t="s">
        <v>145</v>
      </c>
      <c r="AS2799">
        <v>19</v>
      </c>
      <c r="AT2799">
        <v>1800</v>
      </c>
      <c r="AW2799" t="s">
        <v>172</v>
      </c>
      <c r="AX2799">
        <v>15</v>
      </c>
      <c r="AY2799" s="1">
        <v>42125</v>
      </c>
      <c r="AZ2799" s="1">
        <v>42125</v>
      </c>
      <c r="BA2799" s="1">
        <v>42125</v>
      </c>
      <c r="BB2799" s="1">
        <v>47604</v>
      </c>
      <c r="BC2799" t="s">
        <v>51</v>
      </c>
      <c r="BE2799" t="s">
        <v>54</v>
      </c>
      <c r="BF2799">
        <v>40</v>
      </c>
      <c r="BG2799">
        <v>0</v>
      </c>
      <c r="BH2799" t="s">
        <v>145</v>
      </c>
      <c r="CC2799" t="s">
        <v>173</v>
      </c>
      <c r="CD2799">
        <v>100000</v>
      </c>
      <c r="CE2799" s="1">
        <v>42125</v>
      </c>
      <c r="CF2799" s="1">
        <v>42125</v>
      </c>
      <c r="CG2799" s="1">
        <v>42125</v>
      </c>
      <c r="CH2799" s="1">
        <v>51108</v>
      </c>
      <c r="CI2799" t="s">
        <v>51</v>
      </c>
      <c r="CK2799" t="s">
        <v>78</v>
      </c>
      <c r="CM2799" t="s">
        <v>54</v>
      </c>
      <c r="CN2799" t="s">
        <v>174</v>
      </c>
      <c r="CO2799" t="s">
        <v>86</v>
      </c>
      <c r="CP2799">
        <v>830</v>
      </c>
      <c r="CR2799">
        <v>19</v>
      </c>
      <c r="CS2799">
        <v>1800</v>
      </c>
      <c r="CT2799">
        <v>0</v>
      </c>
      <c r="CU2799">
        <v>16</v>
      </c>
    </row>
    <row r="2800" spans="1:99" x14ac:dyDescent="0.2">
      <c r="A2800" t="s">
        <v>1012</v>
      </c>
      <c r="B2800" t="s">
        <v>1013</v>
      </c>
      <c r="C2800" t="s">
        <v>1014</v>
      </c>
      <c r="D2800" t="s">
        <v>1159</v>
      </c>
      <c r="F2800" t="str">
        <f>"253547"</f>
        <v>253547</v>
      </c>
      <c r="G2800" t="s">
        <v>49</v>
      </c>
      <c r="K2800" t="s">
        <v>51</v>
      </c>
      <c r="L2800" t="s">
        <v>52</v>
      </c>
      <c r="M2800">
        <v>131572.29999999999</v>
      </c>
      <c r="N2800">
        <v>475442.45</v>
      </c>
      <c r="O2800" t="s">
        <v>53</v>
      </c>
      <c r="P2800" t="s">
        <v>54</v>
      </c>
      <c r="Q2800" t="s">
        <v>55</v>
      </c>
      <c r="T2800" t="s">
        <v>246</v>
      </c>
      <c r="U2800">
        <v>40</v>
      </c>
      <c r="V2800" s="1">
        <v>42125</v>
      </c>
      <c r="W2800" s="1">
        <v>42125</v>
      </c>
      <c r="X2800" s="1">
        <v>42125</v>
      </c>
      <c r="Y2800" s="1">
        <v>56735</v>
      </c>
      <c r="Z2800" t="s">
        <v>51</v>
      </c>
      <c r="AB2800" t="s">
        <v>54</v>
      </c>
      <c r="AE2800" t="s">
        <v>1065</v>
      </c>
      <c r="AF2800">
        <v>20</v>
      </c>
      <c r="AG2800" s="1">
        <v>42125</v>
      </c>
      <c r="AH2800" s="1">
        <v>42125</v>
      </c>
      <c r="AI2800" s="1">
        <v>42125</v>
      </c>
      <c r="AJ2800" s="1">
        <v>49430</v>
      </c>
      <c r="AK2800" t="s">
        <v>51</v>
      </c>
      <c r="AN2800">
        <v>0</v>
      </c>
      <c r="AO2800" t="s">
        <v>54</v>
      </c>
      <c r="AP2800" t="s">
        <v>53</v>
      </c>
      <c r="AQ2800">
        <v>0</v>
      </c>
      <c r="AR2800" t="s">
        <v>53</v>
      </c>
      <c r="AS2800">
        <v>0</v>
      </c>
      <c r="AT2800">
        <v>0</v>
      </c>
      <c r="AW2800" t="s">
        <v>172</v>
      </c>
      <c r="AX2800">
        <v>15</v>
      </c>
      <c r="AY2800" s="1">
        <v>42125</v>
      </c>
      <c r="AZ2800" s="1">
        <v>42125</v>
      </c>
      <c r="BA2800" s="1">
        <v>42125</v>
      </c>
      <c r="BB2800" s="1">
        <v>47604</v>
      </c>
      <c r="BC2800" t="s">
        <v>51</v>
      </c>
      <c r="BE2800" t="s">
        <v>54</v>
      </c>
      <c r="BF2800">
        <v>40</v>
      </c>
      <c r="BG2800">
        <v>0</v>
      </c>
      <c r="BH2800" t="s">
        <v>145</v>
      </c>
      <c r="CC2800" t="s">
        <v>1066</v>
      </c>
      <c r="CD2800">
        <v>100000</v>
      </c>
      <c r="CE2800" s="1">
        <v>42125</v>
      </c>
      <c r="CF2800" s="1">
        <v>42125</v>
      </c>
      <c r="CG2800" s="1">
        <v>42125</v>
      </c>
      <c r="CH2800" s="1">
        <v>51108</v>
      </c>
      <c r="CI2800" t="s">
        <v>51</v>
      </c>
      <c r="CK2800" t="s">
        <v>78</v>
      </c>
      <c r="CM2800" t="s">
        <v>54</v>
      </c>
      <c r="CN2800" t="s">
        <v>174</v>
      </c>
      <c r="CR2800">
        <v>11</v>
      </c>
      <c r="CS2800">
        <v>1600</v>
      </c>
      <c r="CT2800">
        <v>0</v>
      </c>
      <c r="CU2800">
        <v>16</v>
      </c>
    </row>
    <row r="2801" spans="1:99" x14ac:dyDescent="0.2">
      <c r="A2801" t="s">
        <v>1012</v>
      </c>
      <c r="B2801" t="s">
        <v>1013</v>
      </c>
      <c r="C2801" t="s">
        <v>1014</v>
      </c>
      <c r="D2801" t="s">
        <v>1159</v>
      </c>
      <c r="F2801" t="str">
        <f>"253548"</f>
        <v>253548</v>
      </c>
      <c r="G2801" t="s">
        <v>49</v>
      </c>
      <c r="H2801">
        <v>9</v>
      </c>
      <c r="K2801" t="s">
        <v>51</v>
      </c>
      <c r="L2801" t="s">
        <v>52</v>
      </c>
      <c r="M2801">
        <v>131576.72</v>
      </c>
      <c r="N2801">
        <v>475423.87099999998</v>
      </c>
      <c r="O2801" t="s">
        <v>53</v>
      </c>
      <c r="P2801" t="s">
        <v>54</v>
      </c>
      <c r="Q2801" t="s">
        <v>55</v>
      </c>
      <c r="T2801" t="s">
        <v>170</v>
      </c>
      <c r="U2801">
        <v>40</v>
      </c>
      <c r="V2801" s="1">
        <v>42125</v>
      </c>
      <c r="W2801" s="1">
        <v>42125</v>
      </c>
      <c r="X2801" s="1">
        <v>42125</v>
      </c>
      <c r="Y2801" s="1">
        <v>56735</v>
      </c>
      <c r="Z2801" t="s">
        <v>51</v>
      </c>
      <c r="AB2801" t="s">
        <v>54</v>
      </c>
      <c r="AE2801" t="s">
        <v>342</v>
      </c>
      <c r="AF2801">
        <v>20</v>
      </c>
      <c r="AG2801" s="1">
        <v>42125</v>
      </c>
      <c r="AH2801" s="1">
        <v>42125</v>
      </c>
      <c r="AI2801" s="1">
        <v>42125</v>
      </c>
      <c r="AJ2801" s="1">
        <v>49430</v>
      </c>
      <c r="AK2801" t="s">
        <v>51</v>
      </c>
      <c r="AN2801">
        <v>0</v>
      </c>
      <c r="AO2801" t="s">
        <v>54</v>
      </c>
      <c r="AP2801" t="s">
        <v>53</v>
      </c>
      <c r="AQ2801">
        <v>0</v>
      </c>
      <c r="AR2801" t="s">
        <v>145</v>
      </c>
      <c r="AS2801">
        <v>19</v>
      </c>
      <c r="AT2801">
        <v>1800</v>
      </c>
      <c r="AW2801" t="s">
        <v>172</v>
      </c>
      <c r="AX2801">
        <v>15</v>
      </c>
      <c r="AY2801" s="1">
        <v>44908</v>
      </c>
      <c r="AZ2801" s="1">
        <v>44908</v>
      </c>
      <c r="BA2801" s="1">
        <v>44908</v>
      </c>
      <c r="BB2801" s="1">
        <v>50387</v>
      </c>
      <c r="BC2801" t="s">
        <v>51</v>
      </c>
      <c r="BE2801" t="s">
        <v>54</v>
      </c>
      <c r="BF2801">
        <v>40</v>
      </c>
      <c r="BG2801">
        <v>0</v>
      </c>
      <c r="BH2801" t="s">
        <v>145</v>
      </c>
      <c r="CC2801" t="s">
        <v>173</v>
      </c>
      <c r="CD2801">
        <v>100000</v>
      </c>
      <c r="CE2801" s="1">
        <v>42125</v>
      </c>
      <c r="CF2801" s="1">
        <v>42125</v>
      </c>
      <c r="CG2801" s="1">
        <v>44908</v>
      </c>
      <c r="CH2801" s="1">
        <v>51108</v>
      </c>
      <c r="CI2801" t="s">
        <v>51</v>
      </c>
      <c r="CK2801" t="s">
        <v>78</v>
      </c>
      <c r="CM2801" t="s">
        <v>54</v>
      </c>
      <c r="CN2801" t="s">
        <v>174</v>
      </c>
      <c r="CO2801" t="s">
        <v>86</v>
      </c>
      <c r="CP2801">
        <v>830</v>
      </c>
      <c r="CR2801">
        <v>19</v>
      </c>
      <c r="CS2801">
        <v>1800</v>
      </c>
      <c r="CT2801">
        <v>0</v>
      </c>
      <c r="CU2801">
        <v>16</v>
      </c>
    </row>
    <row r="2802" spans="1:99" x14ac:dyDescent="0.2">
      <c r="A2802" t="s">
        <v>1012</v>
      </c>
      <c r="B2802" t="s">
        <v>1013</v>
      </c>
      <c r="C2802" t="s">
        <v>1014</v>
      </c>
      <c r="D2802" t="s">
        <v>1159</v>
      </c>
      <c r="F2802" t="str">
        <f>"253549"</f>
        <v>253549</v>
      </c>
      <c r="G2802" t="s">
        <v>49</v>
      </c>
      <c r="H2802">
        <v>7</v>
      </c>
      <c r="K2802" t="s">
        <v>51</v>
      </c>
      <c r="L2802" t="s">
        <v>52</v>
      </c>
      <c r="M2802">
        <v>131600.93</v>
      </c>
      <c r="N2802">
        <v>475433.39</v>
      </c>
      <c r="O2802" t="s">
        <v>53</v>
      </c>
      <c r="P2802" t="s">
        <v>54</v>
      </c>
      <c r="Q2802" t="s">
        <v>55</v>
      </c>
      <c r="T2802" t="s">
        <v>170</v>
      </c>
      <c r="U2802">
        <v>40</v>
      </c>
      <c r="V2802" s="1">
        <v>42125</v>
      </c>
      <c r="W2802" s="1">
        <v>42125</v>
      </c>
      <c r="X2802" s="1">
        <v>42125</v>
      </c>
      <c r="Y2802" s="1">
        <v>56735</v>
      </c>
      <c r="Z2802" t="s">
        <v>51</v>
      </c>
      <c r="AB2802" t="s">
        <v>54</v>
      </c>
      <c r="AE2802" t="s">
        <v>342</v>
      </c>
      <c r="AF2802">
        <v>20</v>
      </c>
      <c r="AG2802" s="1">
        <v>42125</v>
      </c>
      <c r="AH2802" s="1">
        <v>42125</v>
      </c>
      <c r="AI2802" s="1">
        <v>42125</v>
      </c>
      <c r="AJ2802" s="1">
        <v>49430</v>
      </c>
      <c r="AK2802" t="s">
        <v>51</v>
      </c>
      <c r="AN2802">
        <v>0</v>
      </c>
      <c r="AO2802" t="s">
        <v>54</v>
      </c>
      <c r="AP2802" t="s">
        <v>53</v>
      </c>
      <c r="AQ2802">
        <v>0</v>
      </c>
      <c r="AR2802" t="s">
        <v>145</v>
      </c>
      <c r="AS2802">
        <v>19</v>
      </c>
      <c r="AT2802">
        <v>1800</v>
      </c>
      <c r="AW2802" t="s">
        <v>172</v>
      </c>
      <c r="AX2802">
        <v>15</v>
      </c>
      <c r="AY2802" s="1">
        <v>42125</v>
      </c>
      <c r="AZ2802" s="1">
        <v>42125</v>
      </c>
      <c r="BA2802" s="1">
        <v>42125</v>
      </c>
      <c r="BB2802" s="1">
        <v>47604</v>
      </c>
      <c r="BC2802" t="s">
        <v>51</v>
      </c>
      <c r="BE2802" t="s">
        <v>54</v>
      </c>
      <c r="BF2802">
        <v>40</v>
      </c>
      <c r="BG2802">
        <v>0</v>
      </c>
      <c r="BH2802" t="s">
        <v>145</v>
      </c>
      <c r="CC2802" t="s">
        <v>173</v>
      </c>
      <c r="CD2802">
        <v>100000</v>
      </c>
      <c r="CE2802" s="1">
        <v>42125</v>
      </c>
      <c r="CF2802" s="1">
        <v>42125</v>
      </c>
      <c r="CG2802" s="1">
        <v>42125</v>
      </c>
      <c r="CH2802" s="1">
        <v>51108</v>
      </c>
      <c r="CI2802" t="s">
        <v>51</v>
      </c>
      <c r="CK2802" t="s">
        <v>78</v>
      </c>
      <c r="CM2802" t="s">
        <v>54</v>
      </c>
      <c r="CN2802" t="s">
        <v>174</v>
      </c>
      <c r="CO2802" t="s">
        <v>86</v>
      </c>
      <c r="CP2802">
        <v>830</v>
      </c>
      <c r="CR2802">
        <v>19</v>
      </c>
      <c r="CS2802">
        <v>1800</v>
      </c>
      <c r="CT2802">
        <v>0</v>
      </c>
      <c r="CU2802">
        <v>16</v>
      </c>
    </row>
    <row r="2803" spans="1:99" x14ac:dyDescent="0.2">
      <c r="A2803" t="s">
        <v>1012</v>
      </c>
      <c r="B2803" t="s">
        <v>1013</v>
      </c>
      <c r="C2803" t="s">
        <v>1014</v>
      </c>
      <c r="D2803" t="s">
        <v>1159</v>
      </c>
      <c r="F2803" t="str">
        <f>"253550"</f>
        <v>253550</v>
      </c>
      <c r="G2803" t="s">
        <v>49</v>
      </c>
      <c r="H2803">
        <v>12</v>
      </c>
      <c r="K2803" t="s">
        <v>51</v>
      </c>
      <c r="L2803" t="s">
        <v>52</v>
      </c>
      <c r="M2803">
        <v>131569.04</v>
      </c>
      <c r="N2803">
        <v>475402.27</v>
      </c>
      <c r="O2803" t="s">
        <v>53</v>
      </c>
      <c r="P2803" t="s">
        <v>54</v>
      </c>
      <c r="Q2803" t="s">
        <v>55</v>
      </c>
      <c r="T2803" t="s">
        <v>170</v>
      </c>
      <c r="U2803">
        <v>40</v>
      </c>
      <c r="V2803" s="1">
        <v>42125</v>
      </c>
      <c r="W2803" s="1">
        <v>42125</v>
      </c>
      <c r="X2803" s="1">
        <v>42125</v>
      </c>
      <c r="Y2803" s="1">
        <v>56735</v>
      </c>
      <c r="Z2803" t="s">
        <v>51</v>
      </c>
      <c r="AB2803" t="s">
        <v>54</v>
      </c>
      <c r="AE2803" t="s">
        <v>342</v>
      </c>
      <c r="AF2803">
        <v>20</v>
      </c>
      <c r="AG2803" s="1">
        <v>42125</v>
      </c>
      <c r="AH2803" s="1">
        <v>42125</v>
      </c>
      <c r="AI2803" s="1">
        <v>42125</v>
      </c>
      <c r="AJ2803" s="1">
        <v>49430</v>
      </c>
      <c r="AK2803" t="s">
        <v>51</v>
      </c>
      <c r="AN2803">
        <v>0</v>
      </c>
      <c r="AO2803" t="s">
        <v>54</v>
      </c>
      <c r="AP2803" t="s">
        <v>53</v>
      </c>
      <c r="AQ2803">
        <v>0</v>
      </c>
      <c r="AR2803" t="s">
        <v>145</v>
      </c>
      <c r="AS2803">
        <v>19</v>
      </c>
      <c r="AT2803">
        <v>1800</v>
      </c>
      <c r="AW2803" t="s">
        <v>172</v>
      </c>
      <c r="AX2803">
        <v>15</v>
      </c>
      <c r="AY2803" s="1">
        <v>42125</v>
      </c>
      <c r="AZ2803" s="1">
        <v>42125</v>
      </c>
      <c r="BA2803" s="1">
        <v>42125</v>
      </c>
      <c r="BB2803" s="1">
        <v>47604</v>
      </c>
      <c r="BC2803" t="s">
        <v>51</v>
      </c>
      <c r="BE2803" t="s">
        <v>54</v>
      </c>
      <c r="BF2803">
        <v>40</v>
      </c>
      <c r="BG2803">
        <v>0</v>
      </c>
      <c r="BH2803" t="s">
        <v>145</v>
      </c>
      <c r="CC2803" t="s">
        <v>173</v>
      </c>
      <c r="CD2803">
        <v>100000</v>
      </c>
      <c r="CE2803" s="1">
        <v>42125</v>
      </c>
      <c r="CF2803" s="1">
        <v>42125</v>
      </c>
      <c r="CG2803" s="1">
        <v>42125</v>
      </c>
      <c r="CH2803" s="1">
        <v>51108</v>
      </c>
      <c r="CI2803" t="s">
        <v>51</v>
      </c>
      <c r="CK2803" t="s">
        <v>78</v>
      </c>
      <c r="CM2803" t="s">
        <v>54</v>
      </c>
      <c r="CN2803" t="s">
        <v>174</v>
      </c>
      <c r="CO2803" t="s">
        <v>86</v>
      </c>
      <c r="CP2803">
        <v>830</v>
      </c>
      <c r="CR2803">
        <v>19</v>
      </c>
      <c r="CS2803">
        <v>1800</v>
      </c>
      <c r="CT2803">
        <v>0</v>
      </c>
      <c r="CU2803">
        <v>16</v>
      </c>
    </row>
    <row r="2804" spans="1:99" x14ac:dyDescent="0.2">
      <c r="A2804" t="s">
        <v>1012</v>
      </c>
      <c r="B2804" t="s">
        <v>1013</v>
      </c>
      <c r="C2804" t="s">
        <v>1014</v>
      </c>
      <c r="D2804" t="s">
        <v>1159</v>
      </c>
      <c r="F2804" t="str">
        <f>"253551"</f>
        <v>253551</v>
      </c>
      <c r="G2804" t="s">
        <v>49</v>
      </c>
      <c r="H2804">
        <v>25</v>
      </c>
      <c r="K2804" t="s">
        <v>51</v>
      </c>
      <c r="L2804" t="s">
        <v>52</v>
      </c>
      <c r="M2804">
        <v>131577.12</v>
      </c>
      <c r="N2804">
        <v>475377.41</v>
      </c>
      <c r="O2804" t="s">
        <v>53</v>
      </c>
      <c r="P2804" t="s">
        <v>54</v>
      </c>
      <c r="Q2804" t="s">
        <v>55</v>
      </c>
      <c r="T2804" t="s">
        <v>170</v>
      </c>
      <c r="U2804">
        <v>40</v>
      </c>
      <c r="V2804" s="1">
        <v>42125</v>
      </c>
      <c r="W2804" s="1">
        <v>42125</v>
      </c>
      <c r="X2804" s="1">
        <v>42125</v>
      </c>
      <c r="Y2804" s="1">
        <v>56735</v>
      </c>
      <c r="Z2804" t="s">
        <v>51</v>
      </c>
      <c r="AB2804" t="s">
        <v>54</v>
      </c>
      <c r="AE2804" t="s">
        <v>342</v>
      </c>
      <c r="AF2804">
        <v>20</v>
      </c>
      <c r="AG2804" s="1">
        <v>42125</v>
      </c>
      <c r="AH2804" s="1">
        <v>42125</v>
      </c>
      <c r="AI2804" s="1">
        <v>42125</v>
      </c>
      <c r="AJ2804" s="1">
        <v>49430</v>
      </c>
      <c r="AK2804" t="s">
        <v>51</v>
      </c>
      <c r="AN2804">
        <v>0</v>
      </c>
      <c r="AO2804" t="s">
        <v>54</v>
      </c>
      <c r="AP2804" t="s">
        <v>53</v>
      </c>
      <c r="AQ2804">
        <v>0</v>
      </c>
      <c r="AR2804" t="s">
        <v>145</v>
      </c>
      <c r="AS2804">
        <v>19</v>
      </c>
      <c r="AT2804">
        <v>1800</v>
      </c>
      <c r="AW2804" t="s">
        <v>172</v>
      </c>
      <c r="AX2804">
        <v>15</v>
      </c>
      <c r="AY2804" s="1">
        <v>42125</v>
      </c>
      <c r="AZ2804" s="1">
        <v>42125</v>
      </c>
      <c r="BA2804" s="1">
        <v>42125</v>
      </c>
      <c r="BB2804" s="1">
        <v>47604</v>
      </c>
      <c r="BC2804" t="s">
        <v>51</v>
      </c>
      <c r="BE2804" t="s">
        <v>54</v>
      </c>
      <c r="BF2804">
        <v>40</v>
      </c>
      <c r="BG2804">
        <v>0</v>
      </c>
      <c r="BH2804" t="s">
        <v>145</v>
      </c>
      <c r="CC2804" t="s">
        <v>173</v>
      </c>
      <c r="CD2804">
        <v>100000</v>
      </c>
      <c r="CE2804" s="1">
        <v>42125</v>
      </c>
      <c r="CF2804" s="1">
        <v>42125</v>
      </c>
      <c r="CG2804" s="1">
        <v>42125</v>
      </c>
      <c r="CH2804" s="1">
        <v>51108</v>
      </c>
      <c r="CI2804" t="s">
        <v>51</v>
      </c>
      <c r="CK2804" t="s">
        <v>78</v>
      </c>
      <c r="CM2804" t="s">
        <v>54</v>
      </c>
      <c r="CN2804" t="s">
        <v>174</v>
      </c>
      <c r="CO2804" t="s">
        <v>86</v>
      </c>
      <c r="CP2804">
        <v>830</v>
      </c>
      <c r="CR2804">
        <v>19</v>
      </c>
      <c r="CS2804">
        <v>1800</v>
      </c>
      <c r="CT2804">
        <v>0</v>
      </c>
      <c r="CU2804">
        <v>16</v>
      </c>
    </row>
    <row r="2805" spans="1:99" x14ac:dyDescent="0.2">
      <c r="A2805" t="s">
        <v>1012</v>
      </c>
      <c r="B2805" t="s">
        <v>1013</v>
      </c>
      <c r="C2805" t="s">
        <v>1014</v>
      </c>
      <c r="D2805" t="s">
        <v>1157</v>
      </c>
      <c r="F2805" t="str">
        <f>"253552"</f>
        <v>253552</v>
      </c>
      <c r="G2805" t="s">
        <v>49</v>
      </c>
      <c r="H2805">
        <v>1</v>
      </c>
      <c r="K2805" t="s">
        <v>51</v>
      </c>
      <c r="L2805" t="s">
        <v>52</v>
      </c>
      <c r="M2805">
        <v>131562.69</v>
      </c>
      <c r="N2805">
        <v>475382.66</v>
      </c>
      <c r="O2805" t="s">
        <v>53</v>
      </c>
      <c r="P2805" t="s">
        <v>54</v>
      </c>
      <c r="Q2805" t="s">
        <v>55</v>
      </c>
      <c r="T2805" t="s">
        <v>170</v>
      </c>
      <c r="U2805">
        <v>40</v>
      </c>
      <c r="V2805" s="1">
        <v>42125</v>
      </c>
      <c r="W2805" s="1">
        <v>42125</v>
      </c>
      <c r="X2805" s="1">
        <v>42125</v>
      </c>
      <c r="Y2805" s="1">
        <v>56735</v>
      </c>
      <c r="Z2805" t="s">
        <v>51</v>
      </c>
      <c r="AB2805" t="s">
        <v>54</v>
      </c>
      <c r="AE2805" t="s">
        <v>342</v>
      </c>
      <c r="AF2805">
        <v>20</v>
      </c>
      <c r="AG2805" s="1">
        <v>42125</v>
      </c>
      <c r="AH2805" s="1">
        <v>42125</v>
      </c>
      <c r="AI2805" s="1">
        <v>42125</v>
      </c>
      <c r="AJ2805" s="1">
        <v>49430</v>
      </c>
      <c r="AK2805" t="s">
        <v>51</v>
      </c>
      <c r="AN2805">
        <v>0</v>
      </c>
      <c r="AO2805" t="s">
        <v>54</v>
      </c>
      <c r="AP2805" t="s">
        <v>53</v>
      </c>
      <c r="AQ2805">
        <v>0</v>
      </c>
      <c r="AR2805" t="s">
        <v>145</v>
      </c>
      <c r="AS2805">
        <v>19</v>
      </c>
      <c r="AT2805">
        <v>1800</v>
      </c>
      <c r="AW2805" t="s">
        <v>172</v>
      </c>
      <c r="AX2805">
        <v>15</v>
      </c>
      <c r="AY2805" s="1">
        <v>42125</v>
      </c>
      <c r="AZ2805" s="1">
        <v>42125</v>
      </c>
      <c r="BA2805" s="1">
        <v>42125</v>
      </c>
      <c r="BB2805" s="1">
        <v>47604</v>
      </c>
      <c r="BC2805" t="s">
        <v>51</v>
      </c>
      <c r="BE2805" t="s">
        <v>54</v>
      </c>
      <c r="BF2805">
        <v>40</v>
      </c>
      <c r="BG2805">
        <v>0</v>
      </c>
      <c r="BH2805" t="s">
        <v>145</v>
      </c>
      <c r="CC2805" t="s">
        <v>173</v>
      </c>
      <c r="CD2805">
        <v>100000</v>
      </c>
      <c r="CE2805" s="1">
        <v>42125</v>
      </c>
      <c r="CF2805" s="1">
        <v>42125</v>
      </c>
      <c r="CG2805" s="1">
        <v>42125</v>
      </c>
      <c r="CH2805" s="1">
        <v>51108</v>
      </c>
      <c r="CI2805" t="s">
        <v>51</v>
      </c>
      <c r="CK2805" t="s">
        <v>78</v>
      </c>
      <c r="CM2805" t="s">
        <v>54</v>
      </c>
      <c r="CN2805" t="s">
        <v>174</v>
      </c>
      <c r="CO2805" t="s">
        <v>86</v>
      </c>
      <c r="CP2805">
        <v>830</v>
      </c>
      <c r="CR2805">
        <v>19</v>
      </c>
      <c r="CS2805">
        <v>1800</v>
      </c>
      <c r="CT2805">
        <v>0</v>
      </c>
      <c r="CU2805">
        <v>16</v>
      </c>
    </row>
    <row r="2806" spans="1:99" x14ac:dyDescent="0.2">
      <c r="A2806" t="s">
        <v>1012</v>
      </c>
      <c r="B2806" t="s">
        <v>1013</v>
      </c>
      <c r="C2806" t="s">
        <v>1014</v>
      </c>
      <c r="D2806" t="s">
        <v>1157</v>
      </c>
      <c r="F2806" t="str">
        <f>"253553"</f>
        <v>253553</v>
      </c>
      <c r="G2806" t="s">
        <v>49</v>
      </c>
      <c r="H2806">
        <v>9</v>
      </c>
      <c r="K2806" t="s">
        <v>51</v>
      </c>
      <c r="L2806" t="s">
        <v>52</v>
      </c>
      <c r="M2806">
        <v>131538.19</v>
      </c>
      <c r="N2806">
        <v>475389.87</v>
      </c>
      <c r="O2806" t="s">
        <v>53</v>
      </c>
      <c r="P2806" t="s">
        <v>54</v>
      </c>
      <c r="Q2806" t="s">
        <v>55</v>
      </c>
      <c r="T2806" t="s">
        <v>246</v>
      </c>
      <c r="U2806">
        <v>40</v>
      </c>
      <c r="V2806" s="1">
        <v>42125</v>
      </c>
      <c r="W2806" s="1">
        <v>42125</v>
      </c>
      <c r="X2806" s="1">
        <v>42125</v>
      </c>
      <c r="Y2806" s="1">
        <v>56735</v>
      </c>
      <c r="Z2806" t="s">
        <v>51</v>
      </c>
      <c r="AB2806" t="s">
        <v>54</v>
      </c>
      <c r="AE2806" t="s">
        <v>1065</v>
      </c>
      <c r="AF2806">
        <v>20</v>
      </c>
      <c r="AG2806" s="1">
        <v>42125</v>
      </c>
      <c r="AH2806" s="1">
        <v>42125</v>
      </c>
      <c r="AI2806" s="1">
        <v>42125</v>
      </c>
      <c r="AJ2806" s="1">
        <v>49430</v>
      </c>
      <c r="AK2806" t="s">
        <v>51</v>
      </c>
      <c r="AN2806">
        <v>0</v>
      </c>
      <c r="AO2806" t="s">
        <v>54</v>
      </c>
      <c r="AP2806" t="s">
        <v>53</v>
      </c>
      <c r="AQ2806">
        <v>0</v>
      </c>
      <c r="AR2806" t="s">
        <v>53</v>
      </c>
      <c r="AS2806">
        <v>0</v>
      </c>
      <c r="AT2806">
        <v>0</v>
      </c>
      <c r="AW2806" t="s">
        <v>172</v>
      </c>
      <c r="AX2806">
        <v>15</v>
      </c>
      <c r="AY2806" s="1">
        <v>42125</v>
      </c>
      <c r="AZ2806" s="1">
        <v>42125</v>
      </c>
      <c r="BA2806" s="1">
        <v>42125</v>
      </c>
      <c r="BB2806" s="1">
        <v>47604</v>
      </c>
      <c r="BC2806" t="s">
        <v>51</v>
      </c>
      <c r="BE2806" t="s">
        <v>54</v>
      </c>
      <c r="BF2806">
        <v>40</v>
      </c>
      <c r="BG2806">
        <v>0</v>
      </c>
      <c r="BH2806" t="s">
        <v>145</v>
      </c>
      <c r="CC2806" t="s">
        <v>1066</v>
      </c>
      <c r="CD2806">
        <v>100000</v>
      </c>
      <c r="CE2806" s="1">
        <v>42125</v>
      </c>
      <c r="CF2806" s="1">
        <v>42125</v>
      </c>
      <c r="CG2806" s="1">
        <v>42125</v>
      </c>
      <c r="CH2806" s="1">
        <v>51108</v>
      </c>
      <c r="CI2806" t="s">
        <v>51</v>
      </c>
      <c r="CK2806" t="s">
        <v>78</v>
      </c>
      <c r="CM2806" t="s">
        <v>54</v>
      </c>
      <c r="CN2806" t="s">
        <v>174</v>
      </c>
      <c r="CR2806">
        <v>11</v>
      </c>
      <c r="CS2806">
        <v>1600</v>
      </c>
      <c r="CT2806">
        <v>0</v>
      </c>
      <c r="CU2806">
        <v>16</v>
      </c>
    </row>
    <row r="2807" spans="1:99" x14ac:dyDescent="0.2">
      <c r="A2807" t="s">
        <v>1012</v>
      </c>
      <c r="B2807" t="s">
        <v>1013</v>
      </c>
      <c r="C2807" t="s">
        <v>1014</v>
      </c>
      <c r="D2807" t="s">
        <v>1157</v>
      </c>
      <c r="F2807" t="str">
        <f>"253554"</f>
        <v>253554</v>
      </c>
      <c r="G2807" t="s">
        <v>49</v>
      </c>
      <c r="H2807">
        <v>17</v>
      </c>
      <c r="K2807" t="s">
        <v>51</v>
      </c>
      <c r="L2807" t="s">
        <v>52</v>
      </c>
      <c r="M2807">
        <v>131516.95000000001</v>
      </c>
      <c r="N2807">
        <v>475387.94</v>
      </c>
      <c r="O2807" t="s">
        <v>53</v>
      </c>
      <c r="P2807" t="s">
        <v>54</v>
      </c>
      <c r="Q2807" t="s">
        <v>55</v>
      </c>
      <c r="T2807" t="s">
        <v>246</v>
      </c>
      <c r="U2807">
        <v>40</v>
      </c>
      <c r="V2807" s="1">
        <v>42125</v>
      </c>
      <c r="W2807" s="1">
        <v>42125</v>
      </c>
      <c r="X2807" s="1">
        <v>42125</v>
      </c>
      <c r="Y2807" s="1">
        <v>56735</v>
      </c>
      <c r="Z2807" t="s">
        <v>51</v>
      </c>
      <c r="AB2807" t="s">
        <v>54</v>
      </c>
      <c r="AE2807" t="s">
        <v>1065</v>
      </c>
      <c r="AF2807">
        <v>20</v>
      </c>
      <c r="AG2807" s="1">
        <v>42125</v>
      </c>
      <c r="AH2807" s="1">
        <v>42125</v>
      </c>
      <c r="AI2807" s="1">
        <v>42125</v>
      </c>
      <c r="AJ2807" s="1">
        <v>49430</v>
      </c>
      <c r="AK2807" t="s">
        <v>51</v>
      </c>
      <c r="AN2807">
        <v>0</v>
      </c>
      <c r="AO2807" t="s">
        <v>54</v>
      </c>
      <c r="AP2807" t="s">
        <v>53</v>
      </c>
      <c r="AQ2807">
        <v>0</v>
      </c>
      <c r="AR2807" t="s">
        <v>53</v>
      </c>
      <c r="AS2807">
        <v>0</v>
      </c>
      <c r="AT2807">
        <v>0</v>
      </c>
      <c r="AW2807" t="s">
        <v>172</v>
      </c>
      <c r="AX2807">
        <v>15</v>
      </c>
      <c r="AY2807" s="1">
        <v>42125</v>
      </c>
      <c r="AZ2807" s="1">
        <v>42125</v>
      </c>
      <c r="BA2807" s="1">
        <v>42125</v>
      </c>
      <c r="BB2807" s="1">
        <v>47604</v>
      </c>
      <c r="BC2807" t="s">
        <v>51</v>
      </c>
      <c r="BE2807" t="s">
        <v>54</v>
      </c>
      <c r="BF2807">
        <v>40</v>
      </c>
      <c r="BG2807">
        <v>0</v>
      </c>
      <c r="BH2807" t="s">
        <v>145</v>
      </c>
      <c r="CC2807" t="s">
        <v>1066</v>
      </c>
      <c r="CD2807">
        <v>100000</v>
      </c>
      <c r="CE2807" s="1">
        <v>42125</v>
      </c>
      <c r="CF2807" s="1">
        <v>42125</v>
      </c>
      <c r="CG2807" s="1">
        <v>42125</v>
      </c>
      <c r="CH2807" s="1">
        <v>51108</v>
      </c>
      <c r="CI2807" t="s">
        <v>51</v>
      </c>
      <c r="CK2807" t="s">
        <v>78</v>
      </c>
      <c r="CM2807" t="s">
        <v>54</v>
      </c>
      <c r="CN2807" t="s">
        <v>174</v>
      </c>
      <c r="CR2807">
        <v>11</v>
      </c>
      <c r="CS2807">
        <v>1600</v>
      </c>
      <c r="CT2807">
        <v>0</v>
      </c>
      <c r="CU2807">
        <v>16</v>
      </c>
    </row>
    <row r="2808" spans="1:99" x14ac:dyDescent="0.2">
      <c r="A2808" t="s">
        <v>1012</v>
      </c>
      <c r="B2808" t="s">
        <v>1013</v>
      </c>
      <c r="C2808" t="s">
        <v>1014</v>
      </c>
      <c r="D2808" t="s">
        <v>1158</v>
      </c>
      <c r="F2808" t="str">
        <f>"253555"</f>
        <v>253555</v>
      </c>
      <c r="G2808" t="s">
        <v>49</v>
      </c>
      <c r="H2808" t="s">
        <v>1160</v>
      </c>
      <c r="K2808" t="s">
        <v>51</v>
      </c>
      <c r="L2808" t="s">
        <v>52</v>
      </c>
      <c r="M2808">
        <v>131517.24</v>
      </c>
      <c r="N2808">
        <v>475406.98</v>
      </c>
      <c r="O2808" t="s">
        <v>53</v>
      </c>
      <c r="P2808" t="s">
        <v>54</v>
      </c>
      <c r="Q2808" t="s">
        <v>55</v>
      </c>
      <c r="T2808" t="s">
        <v>246</v>
      </c>
      <c r="U2808">
        <v>40</v>
      </c>
      <c r="V2808" s="1">
        <v>42125</v>
      </c>
      <c r="W2808" s="1">
        <v>42125</v>
      </c>
      <c r="X2808" s="1">
        <v>42125</v>
      </c>
      <c r="Y2808" s="1">
        <v>56735</v>
      </c>
      <c r="Z2808" t="s">
        <v>51</v>
      </c>
      <c r="AB2808" t="s">
        <v>54</v>
      </c>
      <c r="AE2808" t="s">
        <v>1065</v>
      </c>
      <c r="AF2808">
        <v>20</v>
      </c>
      <c r="AG2808" s="1">
        <v>42125</v>
      </c>
      <c r="AH2808" s="1">
        <v>42125</v>
      </c>
      <c r="AI2808" s="1">
        <v>42125</v>
      </c>
      <c r="AJ2808" s="1">
        <v>49430</v>
      </c>
      <c r="AK2808" t="s">
        <v>51</v>
      </c>
      <c r="AN2808">
        <v>0</v>
      </c>
      <c r="AO2808" t="s">
        <v>54</v>
      </c>
      <c r="AP2808" t="s">
        <v>53</v>
      </c>
      <c r="AQ2808">
        <v>0</v>
      </c>
      <c r="AR2808" t="s">
        <v>53</v>
      </c>
      <c r="AS2808">
        <v>0</v>
      </c>
      <c r="AT2808">
        <v>0</v>
      </c>
      <c r="AW2808" t="s">
        <v>172</v>
      </c>
      <c r="AX2808">
        <v>15</v>
      </c>
      <c r="AY2808" s="1">
        <v>42125</v>
      </c>
      <c r="AZ2808" s="1">
        <v>42125</v>
      </c>
      <c r="BA2808" s="1">
        <v>42125</v>
      </c>
      <c r="BB2808" s="1">
        <v>47604</v>
      </c>
      <c r="BC2808" t="s">
        <v>51</v>
      </c>
      <c r="BE2808" t="s">
        <v>54</v>
      </c>
      <c r="BF2808">
        <v>40</v>
      </c>
      <c r="BG2808">
        <v>0</v>
      </c>
      <c r="BH2808" t="s">
        <v>145</v>
      </c>
      <c r="CC2808" t="s">
        <v>1066</v>
      </c>
      <c r="CD2808">
        <v>100000</v>
      </c>
      <c r="CE2808" s="1">
        <v>42125</v>
      </c>
      <c r="CF2808" s="1">
        <v>42125</v>
      </c>
      <c r="CG2808" s="1">
        <v>42125</v>
      </c>
      <c r="CH2808" s="1">
        <v>51108</v>
      </c>
      <c r="CI2808" t="s">
        <v>51</v>
      </c>
      <c r="CK2808" t="s">
        <v>78</v>
      </c>
      <c r="CM2808" t="s">
        <v>54</v>
      </c>
      <c r="CN2808" t="s">
        <v>174</v>
      </c>
      <c r="CR2808">
        <v>11</v>
      </c>
      <c r="CS2808">
        <v>1600</v>
      </c>
      <c r="CT2808">
        <v>0</v>
      </c>
      <c r="CU2808">
        <v>16</v>
      </c>
    </row>
    <row r="2809" spans="1:99" x14ac:dyDescent="0.2">
      <c r="A2809" t="s">
        <v>1012</v>
      </c>
      <c r="B2809" t="s">
        <v>1013</v>
      </c>
      <c r="C2809" t="s">
        <v>1014</v>
      </c>
      <c r="D2809" t="s">
        <v>1157</v>
      </c>
      <c r="F2809" t="str">
        <f>"253556"</f>
        <v>253556</v>
      </c>
      <c r="G2809" t="s">
        <v>49</v>
      </c>
      <c r="H2809">
        <v>17</v>
      </c>
      <c r="K2809" t="s">
        <v>51</v>
      </c>
      <c r="L2809" t="s">
        <v>52</v>
      </c>
      <c r="M2809">
        <v>131495.32999999999</v>
      </c>
      <c r="N2809">
        <v>475389.44</v>
      </c>
      <c r="O2809" t="s">
        <v>53</v>
      </c>
      <c r="P2809" t="s">
        <v>54</v>
      </c>
      <c r="Q2809" t="s">
        <v>55</v>
      </c>
      <c r="T2809" t="s">
        <v>246</v>
      </c>
      <c r="U2809">
        <v>40</v>
      </c>
      <c r="V2809" s="1">
        <v>42125</v>
      </c>
      <c r="W2809" s="1">
        <v>42125</v>
      </c>
      <c r="X2809" s="1">
        <v>42125</v>
      </c>
      <c r="Y2809" s="1">
        <v>56735</v>
      </c>
      <c r="Z2809" t="s">
        <v>51</v>
      </c>
      <c r="AB2809" t="s">
        <v>54</v>
      </c>
      <c r="AE2809" t="s">
        <v>1065</v>
      </c>
      <c r="AF2809">
        <v>20</v>
      </c>
      <c r="AG2809" s="1">
        <v>42125</v>
      </c>
      <c r="AH2809" s="1">
        <v>42125</v>
      </c>
      <c r="AI2809" s="1">
        <v>42125</v>
      </c>
      <c r="AJ2809" s="1">
        <v>49430</v>
      </c>
      <c r="AK2809" t="s">
        <v>51</v>
      </c>
      <c r="AN2809">
        <v>0</v>
      </c>
      <c r="AO2809" t="s">
        <v>54</v>
      </c>
      <c r="AP2809" t="s">
        <v>53</v>
      </c>
      <c r="AQ2809">
        <v>0</v>
      </c>
      <c r="AR2809" t="s">
        <v>53</v>
      </c>
      <c r="AS2809">
        <v>0</v>
      </c>
      <c r="AT2809">
        <v>0</v>
      </c>
      <c r="AW2809" t="s">
        <v>172</v>
      </c>
      <c r="AX2809">
        <v>15</v>
      </c>
      <c r="AY2809" s="1">
        <v>42125</v>
      </c>
      <c r="AZ2809" s="1">
        <v>42125</v>
      </c>
      <c r="BA2809" s="1">
        <v>42125</v>
      </c>
      <c r="BB2809" s="1">
        <v>47604</v>
      </c>
      <c r="BC2809" t="s">
        <v>51</v>
      </c>
      <c r="BE2809" t="s">
        <v>54</v>
      </c>
      <c r="BF2809">
        <v>40</v>
      </c>
      <c r="BG2809">
        <v>0</v>
      </c>
      <c r="BH2809" t="s">
        <v>145</v>
      </c>
      <c r="CC2809" t="s">
        <v>1066</v>
      </c>
      <c r="CD2809">
        <v>100000</v>
      </c>
      <c r="CE2809" s="1">
        <v>42125</v>
      </c>
      <c r="CF2809" s="1">
        <v>42125</v>
      </c>
      <c r="CG2809" s="1">
        <v>42125</v>
      </c>
      <c r="CH2809" s="1">
        <v>51108</v>
      </c>
      <c r="CI2809" t="s">
        <v>51</v>
      </c>
      <c r="CK2809" t="s">
        <v>78</v>
      </c>
      <c r="CM2809" t="s">
        <v>54</v>
      </c>
      <c r="CN2809" t="s">
        <v>174</v>
      </c>
      <c r="CR2809">
        <v>11</v>
      </c>
      <c r="CS2809">
        <v>1600</v>
      </c>
      <c r="CT2809">
        <v>0</v>
      </c>
      <c r="CU2809">
        <v>16</v>
      </c>
    </row>
    <row r="2810" spans="1:99" x14ac:dyDescent="0.2">
      <c r="A2810" t="s">
        <v>1012</v>
      </c>
      <c r="B2810" t="s">
        <v>1013</v>
      </c>
      <c r="C2810" t="s">
        <v>1014</v>
      </c>
      <c r="D2810" t="s">
        <v>1161</v>
      </c>
      <c r="F2810" t="str">
        <f>"253557"</f>
        <v>253557</v>
      </c>
      <c r="G2810" t="s">
        <v>49</v>
      </c>
      <c r="K2810" t="s">
        <v>51</v>
      </c>
      <c r="L2810" t="s">
        <v>52</v>
      </c>
      <c r="M2810">
        <v>131504.318</v>
      </c>
      <c r="N2810">
        <v>475349.21500000003</v>
      </c>
      <c r="O2810" t="s">
        <v>53</v>
      </c>
      <c r="P2810" t="s">
        <v>54</v>
      </c>
      <c r="Q2810" t="s">
        <v>55</v>
      </c>
      <c r="T2810" t="s">
        <v>170</v>
      </c>
      <c r="U2810">
        <v>40</v>
      </c>
      <c r="V2810" s="1">
        <v>42125</v>
      </c>
      <c r="W2810" s="1">
        <v>42125</v>
      </c>
      <c r="X2810" s="1">
        <v>42125</v>
      </c>
      <c r="Y2810" s="1">
        <v>56735</v>
      </c>
      <c r="Z2810" t="s">
        <v>51</v>
      </c>
      <c r="AB2810" t="s">
        <v>54</v>
      </c>
      <c r="AE2810" t="s">
        <v>342</v>
      </c>
      <c r="AF2810">
        <v>20</v>
      </c>
      <c r="AG2810" s="1">
        <v>42125</v>
      </c>
      <c r="AH2810" s="1">
        <v>42125</v>
      </c>
      <c r="AI2810" s="1">
        <v>42125</v>
      </c>
      <c r="AJ2810" s="1">
        <v>49430</v>
      </c>
      <c r="AK2810" t="s">
        <v>51</v>
      </c>
      <c r="AN2810">
        <v>0</v>
      </c>
      <c r="AO2810" t="s">
        <v>54</v>
      </c>
      <c r="AP2810" t="s">
        <v>53</v>
      </c>
      <c r="AQ2810">
        <v>0</v>
      </c>
      <c r="AR2810" t="s">
        <v>145</v>
      </c>
      <c r="AS2810">
        <v>19</v>
      </c>
      <c r="AT2810">
        <v>1800</v>
      </c>
      <c r="AW2810" t="s">
        <v>172</v>
      </c>
      <c r="AX2810">
        <v>15</v>
      </c>
      <c r="AY2810" s="1">
        <v>42125</v>
      </c>
      <c r="AZ2810" s="1">
        <v>42125</v>
      </c>
      <c r="BA2810" s="1">
        <v>42125</v>
      </c>
      <c r="BB2810" s="1">
        <v>47604</v>
      </c>
      <c r="BC2810" t="s">
        <v>51</v>
      </c>
      <c r="BE2810" t="s">
        <v>54</v>
      </c>
      <c r="BF2810">
        <v>40</v>
      </c>
      <c r="BG2810">
        <v>0</v>
      </c>
      <c r="BH2810" t="s">
        <v>145</v>
      </c>
      <c r="CC2810" t="s">
        <v>173</v>
      </c>
      <c r="CD2810">
        <v>100000</v>
      </c>
      <c r="CE2810" s="1">
        <v>42125</v>
      </c>
      <c r="CF2810" s="1">
        <v>42125</v>
      </c>
      <c r="CG2810" s="1">
        <v>42125</v>
      </c>
      <c r="CH2810" s="1">
        <v>51108</v>
      </c>
      <c r="CI2810" t="s">
        <v>51</v>
      </c>
      <c r="CK2810" t="s">
        <v>78</v>
      </c>
      <c r="CM2810" t="s">
        <v>54</v>
      </c>
      <c r="CN2810" t="s">
        <v>174</v>
      </c>
      <c r="CO2810" t="s">
        <v>86</v>
      </c>
      <c r="CP2810">
        <v>830</v>
      </c>
      <c r="CR2810">
        <v>19</v>
      </c>
      <c r="CS2810">
        <v>1800</v>
      </c>
      <c r="CT2810">
        <v>0</v>
      </c>
      <c r="CU2810">
        <v>16</v>
      </c>
    </row>
    <row r="2811" spans="1:99" x14ac:dyDescent="0.2">
      <c r="A2811" t="s">
        <v>1012</v>
      </c>
      <c r="B2811" t="s">
        <v>1013</v>
      </c>
      <c r="C2811" t="s">
        <v>1014</v>
      </c>
      <c r="D2811" t="s">
        <v>1157</v>
      </c>
      <c r="F2811" t="str">
        <f>"253558"</f>
        <v>253558</v>
      </c>
      <c r="G2811" t="s">
        <v>49</v>
      </c>
      <c r="H2811">
        <v>9</v>
      </c>
      <c r="K2811" t="s">
        <v>51</v>
      </c>
      <c r="L2811" t="s">
        <v>52</v>
      </c>
      <c r="M2811">
        <v>131528.65</v>
      </c>
      <c r="N2811">
        <v>475349.5</v>
      </c>
      <c r="O2811" t="s">
        <v>53</v>
      </c>
      <c r="P2811" t="s">
        <v>54</v>
      </c>
      <c r="Q2811" t="s">
        <v>55</v>
      </c>
      <c r="T2811" t="s">
        <v>170</v>
      </c>
      <c r="U2811">
        <v>40</v>
      </c>
      <c r="V2811" s="1">
        <v>42125</v>
      </c>
      <c r="W2811" s="1">
        <v>42125</v>
      </c>
      <c r="X2811" s="1">
        <v>42125</v>
      </c>
      <c r="Y2811" s="1">
        <v>56735</v>
      </c>
      <c r="Z2811" t="s">
        <v>51</v>
      </c>
      <c r="AB2811" t="s">
        <v>54</v>
      </c>
      <c r="AE2811" t="s">
        <v>342</v>
      </c>
      <c r="AF2811">
        <v>20</v>
      </c>
      <c r="AG2811" s="1">
        <v>42125</v>
      </c>
      <c r="AH2811" s="1">
        <v>42125</v>
      </c>
      <c r="AI2811" s="1">
        <v>42125</v>
      </c>
      <c r="AJ2811" s="1">
        <v>49430</v>
      </c>
      <c r="AK2811" t="s">
        <v>51</v>
      </c>
      <c r="AN2811">
        <v>0</v>
      </c>
      <c r="AO2811" t="s">
        <v>54</v>
      </c>
      <c r="AP2811" t="s">
        <v>53</v>
      </c>
      <c r="AQ2811">
        <v>0</v>
      </c>
      <c r="AR2811" t="s">
        <v>145</v>
      </c>
      <c r="AS2811">
        <v>19</v>
      </c>
      <c r="AT2811">
        <v>1800</v>
      </c>
      <c r="AW2811" t="s">
        <v>172</v>
      </c>
      <c r="AX2811">
        <v>15</v>
      </c>
      <c r="AY2811" s="1">
        <v>42125</v>
      </c>
      <c r="AZ2811" s="1">
        <v>42125</v>
      </c>
      <c r="BA2811" s="1">
        <v>42125</v>
      </c>
      <c r="BB2811" s="1">
        <v>47604</v>
      </c>
      <c r="BC2811" t="s">
        <v>51</v>
      </c>
      <c r="BE2811" t="s">
        <v>54</v>
      </c>
      <c r="BF2811">
        <v>40</v>
      </c>
      <c r="BG2811">
        <v>0</v>
      </c>
      <c r="BH2811" t="s">
        <v>145</v>
      </c>
      <c r="CC2811" t="s">
        <v>173</v>
      </c>
      <c r="CD2811">
        <v>100000</v>
      </c>
      <c r="CE2811" s="1">
        <v>42125</v>
      </c>
      <c r="CF2811" s="1">
        <v>42125</v>
      </c>
      <c r="CG2811" s="1">
        <v>42125</v>
      </c>
      <c r="CH2811" s="1">
        <v>51108</v>
      </c>
      <c r="CI2811" t="s">
        <v>51</v>
      </c>
      <c r="CK2811" t="s">
        <v>78</v>
      </c>
      <c r="CM2811" t="s">
        <v>54</v>
      </c>
      <c r="CN2811" t="s">
        <v>174</v>
      </c>
      <c r="CO2811" t="s">
        <v>86</v>
      </c>
      <c r="CP2811">
        <v>830</v>
      </c>
      <c r="CR2811">
        <v>19</v>
      </c>
      <c r="CS2811">
        <v>1800</v>
      </c>
      <c r="CT2811">
        <v>0</v>
      </c>
      <c r="CU2811">
        <v>16</v>
      </c>
    </row>
    <row r="2812" spans="1:99" x14ac:dyDescent="0.2">
      <c r="A2812" t="s">
        <v>1012</v>
      </c>
      <c r="B2812" t="s">
        <v>1013</v>
      </c>
      <c r="C2812" t="s">
        <v>1014</v>
      </c>
      <c r="D2812" t="s">
        <v>1159</v>
      </c>
      <c r="F2812" t="str">
        <f>"253559"</f>
        <v>253559</v>
      </c>
      <c r="G2812" t="s">
        <v>49</v>
      </c>
      <c r="H2812">
        <v>18</v>
      </c>
      <c r="K2812" t="s">
        <v>51</v>
      </c>
      <c r="L2812" t="s">
        <v>52</v>
      </c>
      <c r="M2812">
        <v>131569.43</v>
      </c>
      <c r="N2812">
        <v>475355.2</v>
      </c>
      <c r="O2812" t="s">
        <v>53</v>
      </c>
      <c r="P2812" t="s">
        <v>54</v>
      </c>
      <c r="Q2812" t="s">
        <v>55</v>
      </c>
      <c r="T2812" t="s">
        <v>170</v>
      </c>
      <c r="U2812">
        <v>40</v>
      </c>
      <c r="V2812" s="1">
        <v>42125</v>
      </c>
      <c r="W2812" s="1">
        <v>42125</v>
      </c>
      <c r="X2812" s="1">
        <v>42125</v>
      </c>
      <c r="Y2812" s="1">
        <v>56735</v>
      </c>
      <c r="Z2812" t="s">
        <v>51</v>
      </c>
      <c r="AB2812" t="s">
        <v>54</v>
      </c>
      <c r="AE2812" t="s">
        <v>342</v>
      </c>
      <c r="AF2812">
        <v>20</v>
      </c>
      <c r="AG2812" s="1">
        <v>42125</v>
      </c>
      <c r="AH2812" s="1">
        <v>42125</v>
      </c>
      <c r="AI2812" s="1">
        <v>42125</v>
      </c>
      <c r="AJ2812" s="1">
        <v>49430</v>
      </c>
      <c r="AK2812" t="s">
        <v>51</v>
      </c>
      <c r="AN2812">
        <v>0</v>
      </c>
      <c r="AO2812" t="s">
        <v>54</v>
      </c>
      <c r="AP2812" t="s">
        <v>53</v>
      </c>
      <c r="AQ2812">
        <v>0</v>
      </c>
      <c r="AR2812" t="s">
        <v>145</v>
      </c>
      <c r="AS2812">
        <v>19</v>
      </c>
      <c r="AT2812">
        <v>1800</v>
      </c>
      <c r="AW2812" t="s">
        <v>172</v>
      </c>
      <c r="AX2812">
        <v>15</v>
      </c>
      <c r="AY2812" s="1">
        <v>42125</v>
      </c>
      <c r="AZ2812" s="1">
        <v>42125</v>
      </c>
      <c r="BA2812" s="1">
        <v>42125</v>
      </c>
      <c r="BB2812" s="1">
        <v>47604</v>
      </c>
      <c r="BC2812" t="s">
        <v>51</v>
      </c>
      <c r="BE2812" t="s">
        <v>54</v>
      </c>
      <c r="BF2812">
        <v>40</v>
      </c>
      <c r="BG2812">
        <v>0</v>
      </c>
      <c r="BH2812" t="s">
        <v>145</v>
      </c>
      <c r="CC2812" t="s">
        <v>173</v>
      </c>
      <c r="CD2812">
        <v>100000</v>
      </c>
      <c r="CE2812" s="1">
        <v>42125</v>
      </c>
      <c r="CF2812" s="1">
        <v>42125</v>
      </c>
      <c r="CG2812" s="1">
        <v>42125</v>
      </c>
      <c r="CH2812" s="1">
        <v>51108</v>
      </c>
      <c r="CI2812" t="s">
        <v>51</v>
      </c>
      <c r="CK2812" t="s">
        <v>78</v>
      </c>
      <c r="CM2812" t="s">
        <v>54</v>
      </c>
      <c r="CN2812" t="s">
        <v>174</v>
      </c>
      <c r="CO2812" t="s">
        <v>86</v>
      </c>
      <c r="CP2812">
        <v>830</v>
      </c>
      <c r="CR2812">
        <v>19</v>
      </c>
      <c r="CS2812">
        <v>1800</v>
      </c>
      <c r="CT2812">
        <v>0</v>
      </c>
      <c r="CU2812">
        <v>16</v>
      </c>
    </row>
    <row r="2813" spans="1:99" x14ac:dyDescent="0.2">
      <c r="A2813" t="s">
        <v>1012</v>
      </c>
      <c r="B2813" t="s">
        <v>1013</v>
      </c>
      <c r="C2813" t="s">
        <v>1014</v>
      </c>
      <c r="D2813" t="s">
        <v>1159</v>
      </c>
      <c r="F2813" t="str">
        <f>"253560"</f>
        <v>253560</v>
      </c>
      <c r="G2813" t="s">
        <v>49</v>
      </c>
      <c r="K2813" t="s">
        <v>51</v>
      </c>
      <c r="L2813" t="s">
        <v>52</v>
      </c>
      <c r="M2813">
        <v>131577.12</v>
      </c>
      <c r="N2813">
        <v>475335.36</v>
      </c>
      <c r="O2813" t="s">
        <v>53</v>
      </c>
      <c r="P2813" t="s">
        <v>54</v>
      </c>
      <c r="Q2813" t="s">
        <v>55</v>
      </c>
      <c r="T2813" t="s">
        <v>170</v>
      </c>
      <c r="U2813">
        <v>40</v>
      </c>
      <c r="V2813" s="1">
        <v>42125</v>
      </c>
      <c r="W2813" s="1">
        <v>42125</v>
      </c>
      <c r="X2813" s="1">
        <v>42125</v>
      </c>
      <c r="Y2813" s="1">
        <v>56735</v>
      </c>
      <c r="Z2813" t="s">
        <v>51</v>
      </c>
      <c r="AB2813" t="s">
        <v>54</v>
      </c>
      <c r="AE2813" t="s">
        <v>342</v>
      </c>
      <c r="AF2813">
        <v>20</v>
      </c>
      <c r="AG2813" s="1">
        <v>42125</v>
      </c>
      <c r="AH2813" s="1">
        <v>42125</v>
      </c>
      <c r="AI2813" s="1">
        <v>42125</v>
      </c>
      <c r="AJ2813" s="1">
        <v>49430</v>
      </c>
      <c r="AK2813" t="s">
        <v>51</v>
      </c>
      <c r="AN2813">
        <v>0</v>
      </c>
      <c r="AO2813" t="s">
        <v>54</v>
      </c>
      <c r="AP2813" t="s">
        <v>53</v>
      </c>
      <c r="AQ2813">
        <v>0</v>
      </c>
      <c r="AR2813" t="s">
        <v>145</v>
      </c>
      <c r="AS2813">
        <v>19</v>
      </c>
      <c r="AT2813">
        <v>1800</v>
      </c>
      <c r="AW2813" t="s">
        <v>172</v>
      </c>
      <c r="AX2813">
        <v>15</v>
      </c>
      <c r="AY2813" s="1">
        <v>42125</v>
      </c>
      <c r="AZ2813" s="1">
        <v>42125</v>
      </c>
      <c r="BA2813" s="1">
        <v>42125</v>
      </c>
      <c r="BB2813" s="1">
        <v>47604</v>
      </c>
      <c r="BC2813" t="s">
        <v>51</v>
      </c>
      <c r="BE2813" t="s">
        <v>54</v>
      </c>
      <c r="BF2813">
        <v>40</v>
      </c>
      <c r="BG2813">
        <v>0</v>
      </c>
      <c r="BH2813" t="s">
        <v>145</v>
      </c>
      <c r="CC2813" t="s">
        <v>173</v>
      </c>
      <c r="CD2813">
        <v>100000</v>
      </c>
      <c r="CE2813" s="1">
        <v>42125</v>
      </c>
      <c r="CF2813" s="1">
        <v>42125</v>
      </c>
      <c r="CG2813" s="1">
        <v>42125</v>
      </c>
      <c r="CH2813" s="1">
        <v>51108</v>
      </c>
      <c r="CI2813" t="s">
        <v>51</v>
      </c>
      <c r="CK2813" t="s">
        <v>78</v>
      </c>
      <c r="CM2813" t="s">
        <v>54</v>
      </c>
      <c r="CN2813" t="s">
        <v>174</v>
      </c>
      <c r="CO2813" t="s">
        <v>86</v>
      </c>
      <c r="CP2813">
        <v>830</v>
      </c>
      <c r="CR2813">
        <v>19</v>
      </c>
      <c r="CS2813">
        <v>1800</v>
      </c>
      <c r="CT2813">
        <v>0</v>
      </c>
      <c r="CU2813">
        <v>16</v>
      </c>
    </row>
    <row r="2814" spans="1:99" x14ac:dyDescent="0.2">
      <c r="A2814" t="s">
        <v>1012</v>
      </c>
      <c r="B2814" t="s">
        <v>1013</v>
      </c>
      <c r="C2814" t="s">
        <v>1014</v>
      </c>
      <c r="D2814" t="s">
        <v>1159</v>
      </c>
      <c r="F2814" t="str">
        <f>"253561"</f>
        <v>253561</v>
      </c>
      <c r="G2814" t="s">
        <v>49</v>
      </c>
      <c r="H2814">
        <v>24</v>
      </c>
      <c r="K2814" t="s">
        <v>51</v>
      </c>
      <c r="L2814" t="s">
        <v>52</v>
      </c>
      <c r="M2814">
        <v>131569.13</v>
      </c>
      <c r="N2814">
        <v>475314.74</v>
      </c>
      <c r="O2814" t="s">
        <v>53</v>
      </c>
      <c r="P2814" t="s">
        <v>54</v>
      </c>
      <c r="Q2814" t="s">
        <v>55</v>
      </c>
      <c r="T2814" t="s">
        <v>170</v>
      </c>
      <c r="U2814">
        <v>40</v>
      </c>
      <c r="V2814" s="1">
        <v>42125</v>
      </c>
      <c r="W2814" s="1">
        <v>42125</v>
      </c>
      <c r="X2814" s="1">
        <v>42125</v>
      </c>
      <c r="Y2814" s="1">
        <v>56735</v>
      </c>
      <c r="Z2814" t="s">
        <v>51</v>
      </c>
      <c r="AB2814" t="s">
        <v>54</v>
      </c>
      <c r="AE2814" t="s">
        <v>342</v>
      </c>
      <c r="AF2814">
        <v>20</v>
      </c>
      <c r="AG2814" s="1">
        <v>42125</v>
      </c>
      <c r="AH2814" s="1">
        <v>42125</v>
      </c>
      <c r="AI2814" s="1">
        <v>42125</v>
      </c>
      <c r="AJ2814" s="1">
        <v>49430</v>
      </c>
      <c r="AK2814" t="s">
        <v>51</v>
      </c>
      <c r="AN2814">
        <v>0</v>
      </c>
      <c r="AO2814" t="s">
        <v>54</v>
      </c>
      <c r="AP2814" t="s">
        <v>53</v>
      </c>
      <c r="AQ2814">
        <v>0</v>
      </c>
      <c r="AR2814" t="s">
        <v>145</v>
      </c>
      <c r="AS2814">
        <v>19</v>
      </c>
      <c r="AT2814">
        <v>1800</v>
      </c>
      <c r="AW2814" t="s">
        <v>172</v>
      </c>
      <c r="AX2814">
        <v>15</v>
      </c>
      <c r="AY2814" s="1">
        <v>44452</v>
      </c>
      <c r="AZ2814" s="1">
        <v>44452</v>
      </c>
      <c r="BA2814" s="1">
        <v>44452</v>
      </c>
      <c r="BB2814" s="1">
        <v>49931</v>
      </c>
      <c r="BC2814" t="s">
        <v>51</v>
      </c>
      <c r="BE2814" t="s">
        <v>54</v>
      </c>
      <c r="BF2814">
        <v>40</v>
      </c>
      <c r="BG2814">
        <v>0</v>
      </c>
      <c r="BH2814" t="s">
        <v>145</v>
      </c>
      <c r="CC2814" t="s">
        <v>173</v>
      </c>
      <c r="CD2814">
        <v>100000</v>
      </c>
      <c r="CE2814" s="1">
        <v>42125</v>
      </c>
      <c r="CF2814" s="1">
        <v>42125</v>
      </c>
      <c r="CG2814" s="1">
        <v>44452</v>
      </c>
      <c r="CH2814" s="1">
        <v>51108</v>
      </c>
      <c r="CI2814" t="s">
        <v>51</v>
      </c>
      <c r="CK2814" t="s">
        <v>78</v>
      </c>
      <c r="CM2814" t="s">
        <v>54</v>
      </c>
      <c r="CN2814" t="s">
        <v>174</v>
      </c>
      <c r="CO2814" t="s">
        <v>86</v>
      </c>
      <c r="CP2814">
        <v>830</v>
      </c>
      <c r="CR2814">
        <v>19</v>
      </c>
      <c r="CS2814">
        <v>1800</v>
      </c>
      <c r="CT2814">
        <v>0</v>
      </c>
      <c r="CU2814">
        <v>16</v>
      </c>
    </row>
    <row r="2815" spans="1:99" x14ac:dyDescent="0.2">
      <c r="A2815" t="s">
        <v>1012</v>
      </c>
      <c r="B2815" t="s">
        <v>1013</v>
      </c>
      <c r="C2815" t="s">
        <v>1014</v>
      </c>
      <c r="D2815" t="s">
        <v>1159</v>
      </c>
      <c r="F2815" t="str">
        <f>"253562"</f>
        <v>253562</v>
      </c>
      <c r="G2815" t="s">
        <v>49</v>
      </c>
      <c r="H2815">
        <v>39</v>
      </c>
      <c r="K2815" t="s">
        <v>51</v>
      </c>
      <c r="L2815" t="s">
        <v>52</v>
      </c>
      <c r="M2815">
        <v>131578.38</v>
      </c>
      <c r="N2815">
        <v>475293.5</v>
      </c>
      <c r="O2815" t="s">
        <v>53</v>
      </c>
      <c r="P2815" t="s">
        <v>54</v>
      </c>
      <c r="Q2815" t="s">
        <v>55</v>
      </c>
      <c r="T2815" t="s">
        <v>170</v>
      </c>
      <c r="U2815">
        <v>40</v>
      </c>
      <c r="V2815" s="1">
        <v>42125</v>
      </c>
      <c r="W2815" s="1">
        <v>42125</v>
      </c>
      <c r="X2815" s="1">
        <v>42125</v>
      </c>
      <c r="Y2815" s="1">
        <v>56735</v>
      </c>
      <c r="Z2815" t="s">
        <v>51</v>
      </c>
      <c r="AB2815" t="s">
        <v>54</v>
      </c>
      <c r="AE2815" t="s">
        <v>342</v>
      </c>
      <c r="AF2815">
        <v>20</v>
      </c>
      <c r="AG2815" s="1">
        <v>42125</v>
      </c>
      <c r="AH2815" s="1">
        <v>42125</v>
      </c>
      <c r="AI2815" s="1">
        <v>42125</v>
      </c>
      <c r="AJ2815" s="1">
        <v>49430</v>
      </c>
      <c r="AK2815" t="s">
        <v>51</v>
      </c>
      <c r="AN2815">
        <v>0</v>
      </c>
      <c r="AO2815" t="s">
        <v>54</v>
      </c>
      <c r="AP2815" t="s">
        <v>53</v>
      </c>
      <c r="AQ2815">
        <v>0</v>
      </c>
      <c r="AR2815" t="s">
        <v>145</v>
      </c>
      <c r="AS2815">
        <v>19</v>
      </c>
      <c r="AT2815">
        <v>1800</v>
      </c>
      <c r="AW2815" t="s">
        <v>172</v>
      </c>
      <c r="AX2815">
        <v>15</v>
      </c>
      <c r="AY2815" s="1">
        <v>42125</v>
      </c>
      <c r="AZ2815" s="1">
        <v>42125</v>
      </c>
      <c r="BA2815" s="1">
        <v>42125</v>
      </c>
      <c r="BB2815" s="1">
        <v>47604</v>
      </c>
      <c r="BC2815" t="s">
        <v>51</v>
      </c>
      <c r="BE2815" t="s">
        <v>54</v>
      </c>
      <c r="BF2815">
        <v>40</v>
      </c>
      <c r="BG2815">
        <v>0</v>
      </c>
      <c r="BH2815" t="s">
        <v>145</v>
      </c>
      <c r="CC2815" t="s">
        <v>173</v>
      </c>
      <c r="CD2815">
        <v>100000</v>
      </c>
      <c r="CE2815" s="1">
        <v>42125</v>
      </c>
      <c r="CF2815" s="1">
        <v>42125</v>
      </c>
      <c r="CG2815" s="1">
        <v>42125</v>
      </c>
      <c r="CH2815" s="1">
        <v>51108</v>
      </c>
      <c r="CI2815" t="s">
        <v>51</v>
      </c>
      <c r="CK2815" t="s">
        <v>78</v>
      </c>
      <c r="CM2815" t="s">
        <v>54</v>
      </c>
      <c r="CN2815" t="s">
        <v>174</v>
      </c>
      <c r="CO2815" t="s">
        <v>86</v>
      </c>
      <c r="CP2815">
        <v>830</v>
      </c>
      <c r="CR2815">
        <v>19</v>
      </c>
      <c r="CS2815">
        <v>1800</v>
      </c>
      <c r="CT2815">
        <v>0</v>
      </c>
      <c r="CU2815">
        <v>16</v>
      </c>
    </row>
    <row r="2816" spans="1:99" x14ac:dyDescent="0.2">
      <c r="A2816" t="s">
        <v>1012</v>
      </c>
      <c r="B2816" t="s">
        <v>1013</v>
      </c>
      <c r="C2816" t="s">
        <v>1014</v>
      </c>
      <c r="D2816" t="s">
        <v>1137</v>
      </c>
      <c r="F2816" t="str">
        <f>"253563"</f>
        <v>253563</v>
      </c>
      <c r="G2816" t="s">
        <v>49</v>
      </c>
      <c r="H2816">
        <v>31</v>
      </c>
      <c r="K2816" t="s">
        <v>51</v>
      </c>
      <c r="L2816" t="s">
        <v>52</v>
      </c>
      <c r="M2816">
        <v>131582.16</v>
      </c>
      <c r="N2816">
        <v>475280.43</v>
      </c>
      <c r="O2816" t="s">
        <v>53</v>
      </c>
      <c r="P2816" t="s">
        <v>54</v>
      </c>
      <c r="Q2816" t="s">
        <v>55</v>
      </c>
      <c r="T2816" t="s">
        <v>170</v>
      </c>
      <c r="U2816">
        <v>40</v>
      </c>
      <c r="V2816" s="1">
        <v>42125</v>
      </c>
      <c r="W2816" s="1">
        <v>42125</v>
      </c>
      <c r="X2816" s="1">
        <v>42125</v>
      </c>
      <c r="Y2816" s="1">
        <v>56735</v>
      </c>
      <c r="Z2816" t="s">
        <v>51</v>
      </c>
      <c r="AB2816" t="s">
        <v>54</v>
      </c>
      <c r="AE2816" t="s">
        <v>342</v>
      </c>
      <c r="AF2816">
        <v>20</v>
      </c>
      <c r="AG2816" s="1">
        <v>42125</v>
      </c>
      <c r="AH2816" s="1">
        <v>42125</v>
      </c>
      <c r="AI2816" s="1">
        <v>42125</v>
      </c>
      <c r="AJ2816" s="1">
        <v>49430</v>
      </c>
      <c r="AK2816" t="s">
        <v>51</v>
      </c>
      <c r="AN2816">
        <v>0</v>
      </c>
      <c r="AO2816" t="s">
        <v>54</v>
      </c>
      <c r="AP2816" t="s">
        <v>53</v>
      </c>
      <c r="AQ2816">
        <v>0</v>
      </c>
      <c r="AR2816" t="s">
        <v>145</v>
      </c>
      <c r="AS2816">
        <v>19</v>
      </c>
      <c r="AT2816">
        <v>1800</v>
      </c>
      <c r="AW2816" t="s">
        <v>172</v>
      </c>
      <c r="AX2816">
        <v>15</v>
      </c>
      <c r="AY2816" s="1">
        <v>42125</v>
      </c>
      <c r="AZ2816" s="1">
        <v>42125</v>
      </c>
      <c r="BA2816" s="1">
        <v>42125</v>
      </c>
      <c r="BB2816" s="1">
        <v>47604</v>
      </c>
      <c r="BC2816" t="s">
        <v>51</v>
      </c>
      <c r="BE2816" t="s">
        <v>54</v>
      </c>
      <c r="BF2816">
        <v>40</v>
      </c>
      <c r="BG2816">
        <v>0</v>
      </c>
      <c r="BH2816" t="s">
        <v>145</v>
      </c>
      <c r="CC2816" t="s">
        <v>173</v>
      </c>
      <c r="CD2816">
        <v>100000</v>
      </c>
      <c r="CE2816" s="1">
        <v>42125</v>
      </c>
      <c r="CF2816" s="1">
        <v>42125</v>
      </c>
      <c r="CG2816" s="1">
        <v>42125</v>
      </c>
      <c r="CH2816" s="1">
        <v>51108</v>
      </c>
      <c r="CI2816" t="s">
        <v>51</v>
      </c>
      <c r="CK2816" t="s">
        <v>78</v>
      </c>
      <c r="CM2816" t="s">
        <v>54</v>
      </c>
      <c r="CN2816" t="s">
        <v>174</v>
      </c>
      <c r="CO2816" t="s">
        <v>86</v>
      </c>
      <c r="CP2816">
        <v>830</v>
      </c>
      <c r="CR2816">
        <v>19</v>
      </c>
      <c r="CS2816">
        <v>1800</v>
      </c>
      <c r="CT2816">
        <v>0</v>
      </c>
      <c r="CU2816">
        <v>16</v>
      </c>
    </row>
    <row r="2817" spans="1:112" x14ac:dyDescent="0.2">
      <c r="A2817" t="s">
        <v>1012</v>
      </c>
      <c r="B2817" t="s">
        <v>1013</v>
      </c>
      <c r="C2817" t="s">
        <v>1014</v>
      </c>
      <c r="D2817" t="s">
        <v>1137</v>
      </c>
      <c r="F2817" t="str">
        <f>"253564"</f>
        <v>253564</v>
      </c>
      <c r="G2817" t="s">
        <v>49</v>
      </c>
      <c r="H2817" t="s">
        <v>78</v>
      </c>
      <c r="K2817" t="s">
        <v>51</v>
      </c>
      <c r="L2817" t="s">
        <v>52</v>
      </c>
      <c r="M2817">
        <v>131600.71</v>
      </c>
      <c r="N2817">
        <v>475287.7</v>
      </c>
      <c r="O2817" t="s">
        <v>53</v>
      </c>
      <c r="P2817" t="s">
        <v>54</v>
      </c>
      <c r="Q2817" t="s">
        <v>55</v>
      </c>
      <c r="T2817" t="s">
        <v>170</v>
      </c>
      <c r="U2817">
        <v>40</v>
      </c>
      <c r="V2817" s="1">
        <v>42125</v>
      </c>
      <c r="W2817" s="1">
        <v>42125</v>
      </c>
      <c r="X2817" s="1">
        <v>42125</v>
      </c>
      <c r="Y2817" s="1">
        <v>56735</v>
      </c>
      <c r="Z2817" t="s">
        <v>51</v>
      </c>
      <c r="AB2817" t="s">
        <v>54</v>
      </c>
      <c r="AE2817" t="s">
        <v>342</v>
      </c>
      <c r="AF2817">
        <v>20</v>
      </c>
      <c r="AG2817" s="1">
        <v>42125</v>
      </c>
      <c r="AH2817" s="1">
        <v>42125</v>
      </c>
      <c r="AI2817" s="1">
        <v>42125</v>
      </c>
      <c r="AJ2817" s="1">
        <v>49430</v>
      </c>
      <c r="AK2817" t="s">
        <v>51</v>
      </c>
      <c r="AN2817">
        <v>0</v>
      </c>
      <c r="AO2817" t="s">
        <v>54</v>
      </c>
      <c r="AP2817" t="s">
        <v>53</v>
      </c>
      <c r="AQ2817">
        <v>0</v>
      </c>
      <c r="AR2817" t="s">
        <v>145</v>
      </c>
      <c r="AS2817">
        <v>19</v>
      </c>
      <c r="AT2817">
        <v>1800</v>
      </c>
      <c r="AW2817" t="s">
        <v>172</v>
      </c>
      <c r="AX2817">
        <v>15</v>
      </c>
      <c r="AY2817" s="1">
        <v>42125</v>
      </c>
      <c r="AZ2817" s="1">
        <v>42125</v>
      </c>
      <c r="BA2817" s="1">
        <v>42125</v>
      </c>
      <c r="BB2817" s="1">
        <v>47604</v>
      </c>
      <c r="BC2817" t="s">
        <v>51</v>
      </c>
      <c r="BE2817" t="s">
        <v>54</v>
      </c>
      <c r="BF2817">
        <v>40</v>
      </c>
      <c r="BG2817">
        <v>0</v>
      </c>
      <c r="BH2817" t="s">
        <v>145</v>
      </c>
      <c r="CC2817" t="s">
        <v>173</v>
      </c>
      <c r="CD2817">
        <v>100000</v>
      </c>
      <c r="CE2817" s="1">
        <v>42125</v>
      </c>
      <c r="CF2817" s="1">
        <v>42125</v>
      </c>
      <c r="CG2817" s="1">
        <v>42125</v>
      </c>
      <c r="CH2817" s="1">
        <v>51108</v>
      </c>
      <c r="CI2817" t="s">
        <v>51</v>
      </c>
      <c r="CK2817" t="s">
        <v>78</v>
      </c>
      <c r="CM2817" t="s">
        <v>54</v>
      </c>
      <c r="CN2817" t="s">
        <v>174</v>
      </c>
      <c r="CO2817" t="s">
        <v>86</v>
      </c>
      <c r="CP2817">
        <v>830</v>
      </c>
      <c r="CR2817">
        <v>19</v>
      </c>
      <c r="CS2817">
        <v>1800</v>
      </c>
      <c r="CT2817">
        <v>0</v>
      </c>
      <c r="CU2817">
        <v>16</v>
      </c>
    </row>
    <row r="2818" spans="1:112" x14ac:dyDescent="0.2">
      <c r="A2818" t="s">
        <v>1012</v>
      </c>
      <c r="B2818" t="s">
        <v>1013</v>
      </c>
      <c r="C2818" t="s">
        <v>1014</v>
      </c>
      <c r="D2818" t="s">
        <v>1137</v>
      </c>
      <c r="F2818" t="str">
        <f>"253565"</f>
        <v>253565</v>
      </c>
      <c r="G2818" t="s">
        <v>49</v>
      </c>
      <c r="H2818">
        <v>1</v>
      </c>
      <c r="K2818" t="s">
        <v>51</v>
      </c>
      <c r="L2818" t="s">
        <v>52</v>
      </c>
      <c r="M2818">
        <v>131623.75</v>
      </c>
      <c r="N2818">
        <v>475288.59</v>
      </c>
      <c r="O2818" t="s">
        <v>53</v>
      </c>
      <c r="P2818" t="s">
        <v>54</v>
      </c>
      <c r="Q2818" t="s">
        <v>55</v>
      </c>
      <c r="T2818" t="s">
        <v>170</v>
      </c>
      <c r="U2818">
        <v>40</v>
      </c>
      <c r="V2818" s="1">
        <v>42125</v>
      </c>
      <c r="W2818" s="1">
        <v>42125</v>
      </c>
      <c r="X2818" s="1">
        <v>42125</v>
      </c>
      <c r="Y2818" s="1">
        <v>56735</v>
      </c>
      <c r="Z2818" t="s">
        <v>51</v>
      </c>
      <c r="AB2818" t="s">
        <v>54</v>
      </c>
      <c r="AE2818" t="s">
        <v>342</v>
      </c>
      <c r="AF2818">
        <v>20</v>
      </c>
      <c r="AG2818" s="1">
        <v>42125</v>
      </c>
      <c r="AH2818" s="1">
        <v>42125</v>
      </c>
      <c r="AI2818" s="1">
        <v>42125</v>
      </c>
      <c r="AJ2818" s="1">
        <v>49430</v>
      </c>
      <c r="AK2818" t="s">
        <v>51</v>
      </c>
      <c r="AN2818">
        <v>0</v>
      </c>
      <c r="AO2818" t="s">
        <v>54</v>
      </c>
      <c r="AP2818" t="s">
        <v>53</v>
      </c>
      <c r="AQ2818">
        <v>0</v>
      </c>
      <c r="AR2818" t="s">
        <v>145</v>
      </c>
      <c r="AS2818">
        <v>19</v>
      </c>
      <c r="AT2818">
        <v>1800</v>
      </c>
      <c r="AW2818" t="s">
        <v>172</v>
      </c>
      <c r="AX2818">
        <v>15</v>
      </c>
      <c r="AY2818" s="1">
        <v>42125</v>
      </c>
      <c r="AZ2818" s="1">
        <v>42125</v>
      </c>
      <c r="BA2818" s="1">
        <v>42125</v>
      </c>
      <c r="BB2818" s="1">
        <v>47604</v>
      </c>
      <c r="BC2818" t="s">
        <v>51</v>
      </c>
      <c r="BE2818" t="s">
        <v>54</v>
      </c>
      <c r="BF2818">
        <v>40</v>
      </c>
      <c r="BG2818">
        <v>0</v>
      </c>
      <c r="BH2818" t="s">
        <v>145</v>
      </c>
      <c r="CC2818" t="s">
        <v>173</v>
      </c>
      <c r="CD2818">
        <v>100000</v>
      </c>
      <c r="CE2818" s="1">
        <v>42125</v>
      </c>
      <c r="CF2818" s="1">
        <v>42125</v>
      </c>
      <c r="CG2818" s="1">
        <v>42125</v>
      </c>
      <c r="CH2818" s="1">
        <v>51108</v>
      </c>
      <c r="CI2818" t="s">
        <v>51</v>
      </c>
      <c r="CK2818" t="s">
        <v>78</v>
      </c>
      <c r="CM2818" t="s">
        <v>54</v>
      </c>
      <c r="CN2818" t="s">
        <v>174</v>
      </c>
      <c r="CO2818" t="s">
        <v>86</v>
      </c>
      <c r="CP2818">
        <v>830</v>
      </c>
      <c r="CR2818">
        <v>19</v>
      </c>
      <c r="CS2818">
        <v>1800</v>
      </c>
      <c r="CT2818">
        <v>0</v>
      </c>
      <c r="CU2818">
        <v>16</v>
      </c>
    </row>
    <row r="2819" spans="1:112" x14ac:dyDescent="0.2">
      <c r="A2819" t="s">
        <v>1012</v>
      </c>
      <c r="B2819" t="s">
        <v>1013</v>
      </c>
      <c r="C2819" t="s">
        <v>1014</v>
      </c>
      <c r="D2819" t="s">
        <v>1137</v>
      </c>
      <c r="F2819" t="str">
        <f>"253566"</f>
        <v>253566</v>
      </c>
      <c r="G2819" t="s">
        <v>49</v>
      </c>
      <c r="H2819">
        <v>2</v>
      </c>
      <c r="K2819" t="s">
        <v>51</v>
      </c>
      <c r="L2819" t="s">
        <v>52</v>
      </c>
      <c r="M2819">
        <v>131645.70000000001</v>
      </c>
      <c r="N2819">
        <v>475288.78</v>
      </c>
      <c r="O2819" t="s">
        <v>53</v>
      </c>
      <c r="P2819" t="s">
        <v>54</v>
      </c>
      <c r="Q2819" t="s">
        <v>55</v>
      </c>
      <c r="T2819" t="s">
        <v>170</v>
      </c>
      <c r="U2819">
        <v>40</v>
      </c>
      <c r="V2819" s="1">
        <v>42125</v>
      </c>
      <c r="W2819" s="1">
        <v>42125</v>
      </c>
      <c r="X2819" s="1">
        <v>42125</v>
      </c>
      <c r="Y2819" s="1">
        <v>56735</v>
      </c>
      <c r="Z2819" t="s">
        <v>51</v>
      </c>
      <c r="AB2819" t="s">
        <v>54</v>
      </c>
      <c r="AE2819" t="s">
        <v>342</v>
      </c>
      <c r="AF2819">
        <v>20</v>
      </c>
      <c r="AG2819" s="1">
        <v>42125</v>
      </c>
      <c r="AH2819" s="1">
        <v>42125</v>
      </c>
      <c r="AI2819" s="1">
        <v>42125</v>
      </c>
      <c r="AJ2819" s="1">
        <v>49430</v>
      </c>
      <c r="AK2819" t="s">
        <v>51</v>
      </c>
      <c r="AN2819">
        <v>0</v>
      </c>
      <c r="AO2819" t="s">
        <v>54</v>
      </c>
      <c r="AP2819" t="s">
        <v>53</v>
      </c>
      <c r="AQ2819">
        <v>0</v>
      </c>
      <c r="AR2819" t="s">
        <v>145</v>
      </c>
      <c r="AS2819">
        <v>19</v>
      </c>
      <c r="AT2819">
        <v>1800</v>
      </c>
      <c r="AW2819" t="s">
        <v>172</v>
      </c>
      <c r="AX2819">
        <v>15</v>
      </c>
      <c r="AY2819" s="1">
        <v>42125</v>
      </c>
      <c r="AZ2819" s="1">
        <v>42125</v>
      </c>
      <c r="BA2819" s="1">
        <v>42125</v>
      </c>
      <c r="BB2819" s="1">
        <v>47604</v>
      </c>
      <c r="BC2819" t="s">
        <v>51</v>
      </c>
      <c r="BE2819" t="s">
        <v>54</v>
      </c>
      <c r="BF2819">
        <v>40</v>
      </c>
      <c r="BG2819">
        <v>0</v>
      </c>
      <c r="BH2819" t="s">
        <v>145</v>
      </c>
      <c r="CC2819" t="s">
        <v>173</v>
      </c>
      <c r="CD2819">
        <v>100000</v>
      </c>
      <c r="CE2819" s="1">
        <v>42125</v>
      </c>
      <c r="CF2819" s="1">
        <v>42125</v>
      </c>
      <c r="CG2819" s="1">
        <v>42125</v>
      </c>
      <c r="CH2819" s="1">
        <v>51108</v>
      </c>
      <c r="CI2819" t="s">
        <v>51</v>
      </c>
      <c r="CK2819" t="s">
        <v>78</v>
      </c>
      <c r="CM2819" t="s">
        <v>54</v>
      </c>
      <c r="CN2819" t="s">
        <v>174</v>
      </c>
      <c r="CO2819" t="s">
        <v>86</v>
      </c>
      <c r="CP2819">
        <v>830</v>
      </c>
      <c r="CR2819">
        <v>19</v>
      </c>
      <c r="CS2819">
        <v>1800</v>
      </c>
      <c r="CT2819">
        <v>0</v>
      </c>
      <c r="CU2819">
        <v>16</v>
      </c>
      <c r="CX2819" t="s">
        <v>360</v>
      </c>
      <c r="CY2819">
        <v>40</v>
      </c>
      <c r="CZ2819" s="1">
        <v>42125</v>
      </c>
      <c r="DA2819" s="1">
        <v>42125</v>
      </c>
      <c r="DB2819" s="1">
        <v>42125</v>
      </c>
      <c r="DC2819" s="1">
        <v>56735</v>
      </c>
      <c r="DD2819" t="s">
        <v>51</v>
      </c>
      <c r="DF2819" t="s">
        <v>54</v>
      </c>
      <c r="DG2819">
        <v>0</v>
      </c>
      <c r="DH2819">
        <v>0</v>
      </c>
    </row>
    <row r="2820" spans="1:112" x14ac:dyDescent="0.2">
      <c r="A2820" t="s">
        <v>1012</v>
      </c>
      <c r="B2820" t="s">
        <v>1013</v>
      </c>
      <c r="C2820" t="s">
        <v>1014</v>
      </c>
      <c r="D2820" t="s">
        <v>1159</v>
      </c>
      <c r="F2820" t="str">
        <f>"253567"</f>
        <v>253567</v>
      </c>
      <c r="G2820" t="s">
        <v>49</v>
      </c>
      <c r="H2820">
        <v>41</v>
      </c>
      <c r="K2820" t="s">
        <v>51</v>
      </c>
      <c r="L2820" t="s">
        <v>52</v>
      </c>
      <c r="M2820">
        <v>131573.95000000001</v>
      </c>
      <c r="N2820">
        <v>475261.56</v>
      </c>
      <c r="O2820" t="s">
        <v>53</v>
      </c>
      <c r="P2820" t="s">
        <v>54</v>
      </c>
      <c r="Q2820" t="s">
        <v>55</v>
      </c>
      <c r="T2820" t="s">
        <v>246</v>
      </c>
      <c r="U2820">
        <v>40</v>
      </c>
      <c r="V2820" s="1">
        <v>42125</v>
      </c>
      <c r="W2820" s="1">
        <v>42125</v>
      </c>
      <c r="X2820" s="1">
        <v>42125</v>
      </c>
      <c r="Y2820" s="1">
        <v>56735</v>
      </c>
      <c r="Z2820" t="s">
        <v>51</v>
      </c>
      <c r="AB2820" t="s">
        <v>54</v>
      </c>
      <c r="AE2820" t="s">
        <v>1065</v>
      </c>
      <c r="AF2820">
        <v>20</v>
      </c>
      <c r="AG2820" s="1">
        <v>42125</v>
      </c>
      <c r="AH2820" s="1">
        <v>42125</v>
      </c>
      <c r="AI2820" s="1">
        <v>42125</v>
      </c>
      <c r="AJ2820" s="1">
        <v>49430</v>
      </c>
      <c r="AK2820" t="s">
        <v>51</v>
      </c>
      <c r="AN2820">
        <v>0</v>
      </c>
      <c r="AO2820" t="s">
        <v>54</v>
      </c>
      <c r="AP2820" t="s">
        <v>53</v>
      </c>
      <c r="AQ2820">
        <v>0</v>
      </c>
      <c r="AR2820" t="s">
        <v>53</v>
      </c>
      <c r="AS2820">
        <v>0</v>
      </c>
      <c r="AT2820">
        <v>0</v>
      </c>
      <c r="AW2820" t="s">
        <v>172</v>
      </c>
      <c r="AX2820">
        <v>15</v>
      </c>
      <c r="AY2820" s="1">
        <v>42125</v>
      </c>
      <c r="AZ2820" s="1">
        <v>42125</v>
      </c>
      <c r="BA2820" s="1">
        <v>42125</v>
      </c>
      <c r="BB2820" s="1">
        <v>47604</v>
      </c>
      <c r="BC2820" t="s">
        <v>51</v>
      </c>
      <c r="BE2820" t="s">
        <v>54</v>
      </c>
      <c r="BF2820">
        <v>40</v>
      </c>
      <c r="BG2820">
        <v>0</v>
      </c>
      <c r="BH2820" t="s">
        <v>145</v>
      </c>
      <c r="CC2820" t="s">
        <v>1066</v>
      </c>
      <c r="CD2820">
        <v>100000</v>
      </c>
      <c r="CE2820" s="1">
        <v>42125</v>
      </c>
      <c r="CF2820" s="1">
        <v>42125</v>
      </c>
      <c r="CG2820" s="1">
        <v>42125</v>
      </c>
      <c r="CH2820" s="1">
        <v>51108</v>
      </c>
      <c r="CI2820" t="s">
        <v>51</v>
      </c>
      <c r="CK2820" t="s">
        <v>78</v>
      </c>
      <c r="CM2820" t="s">
        <v>54</v>
      </c>
      <c r="CN2820" t="s">
        <v>174</v>
      </c>
      <c r="CR2820">
        <v>11</v>
      </c>
      <c r="CS2820">
        <v>1600</v>
      </c>
      <c r="CT2820">
        <v>0</v>
      </c>
      <c r="CU2820">
        <v>16</v>
      </c>
    </row>
    <row r="2821" spans="1:112" x14ac:dyDescent="0.2">
      <c r="A2821" t="s">
        <v>1012</v>
      </c>
      <c r="B2821" t="s">
        <v>1013</v>
      </c>
      <c r="C2821" t="s">
        <v>1014</v>
      </c>
      <c r="D2821" t="s">
        <v>1159</v>
      </c>
      <c r="F2821" t="str">
        <f>"253568"</f>
        <v>253568</v>
      </c>
      <c r="G2821" t="s">
        <v>49</v>
      </c>
      <c r="H2821">
        <v>36</v>
      </c>
      <c r="K2821" t="s">
        <v>51</v>
      </c>
      <c r="L2821" t="s">
        <v>52</v>
      </c>
      <c r="M2821">
        <v>131564.82999999999</v>
      </c>
      <c r="N2821">
        <v>475218.59</v>
      </c>
      <c r="O2821" t="s">
        <v>53</v>
      </c>
      <c r="P2821" t="s">
        <v>54</v>
      </c>
      <c r="Q2821" t="s">
        <v>55</v>
      </c>
      <c r="T2821" t="s">
        <v>246</v>
      </c>
      <c r="U2821">
        <v>40</v>
      </c>
      <c r="V2821" s="1">
        <v>42125</v>
      </c>
      <c r="W2821" s="1">
        <v>42125</v>
      </c>
      <c r="X2821" s="1">
        <v>42125</v>
      </c>
      <c r="Y2821" s="1">
        <v>56735</v>
      </c>
      <c r="Z2821" t="s">
        <v>51</v>
      </c>
      <c r="AB2821" t="s">
        <v>54</v>
      </c>
      <c r="AE2821" t="s">
        <v>1065</v>
      </c>
      <c r="AF2821">
        <v>20</v>
      </c>
      <c r="AG2821" s="1">
        <v>42125</v>
      </c>
      <c r="AH2821" s="1">
        <v>42125</v>
      </c>
      <c r="AI2821" s="1">
        <v>42125</v>
      </c>
      <c r="AJ2821" s="1">
        <v>49430</v>
      </c>
      <c r="AK2821" t="s">
        <v>51</v>
      </c>
      <c r="AN2821">
        <v>0</v>
      </c>
      <c r="AO2821" t="s">
        <v>54</v>
      </c>
      <c r="AP2821" t="s">
        <v>53</v>
      </c>
      <c r="AQ2821">
        <v>0</v>
      </c>
      <c r="AR2821" t="s">
        <v>53</v>
      </c>
      <c r="AS2821">
        <v>0</v>
      </c>
      <c r="AT2821">
        <v>0</v>
      </c>
      <c r="AW2821" t="s">
        <v>172</v>
      </c>
      <c r="AX2821">
        <v>15</v>
      </c>
      <c r="AY2821" s="1">
        <v>42125</v>
      </c>
      <c r="AZ2821" s="1">
        <v>42125</v>
      </c>
      <c r="BA2821" s="1">
        <v>42125</v>
      </c>
      <c r="BB2821" s="1">
        <v>47604</v>
      </c>
      <c r="BC2821" t="s">
        <v>51</v>
      </c>
      <c r="BE2821" t="s">
        <v>54</v>
      </c>
      <c r="BF2821">
        <v>40</v>
      </c>
      <c r="BG2821">
        <v>0</v>
      </c>
      <c r="BH2821" t="s">
        <v>145</v>
      </c>
      <c r="CC2821" t="s">
        <v>1066</v>
      </c>
      <c r="CD2821">
        <v>100000</v>
      </c>
      <c r="CE2821" s="1">
        <v>42125</v>
      </c>
      <c r="CF2821" s="1">
        <v>42125</v>
      </c>
      <c r="CG2821" s="1">
        <v>42125</v>
      </c>
      <c r="CH2821" s="1">
        <v>51108</v>
      </c>
      <c r="CI2821" t="s">
        <v>51</v>
      </c>
      <c r="CK2821" t="s">
        <v>78</v>
      </c>
      <c r="CM2821" t="s">
        <v>54</v>
      </c>
      <c r="CN2821" t="s">
        <v>174</v>
      </c>
      <c r="CR2821">
        <v>11</v>
      </c>
      <c r="CS2821">
        <v>1600</v>
      </c>
      <c r="CT2821">
        <v>0</v>
      </c>
      <c r="CU2821">
        <v>16</v>
      </c>
    </row>
    <row r="2822" spans="1:112" x14ac:dyDescent="0.2">
      <c r="A2822" t="s">
        <v>1012</v>
      </c>
      <c r="B2822" t="s">
        <v>1013</v>
      </c>
      <c r="C2822" t="s">
        <v>1014</v>
      </c>
      <c r="D2822" t="s">
        <v>1137</v>
      </c>
      <c r="F2822" t="str">
        <f>"253569"</f>
        <v>253569</v>
      </c>
      <c r="G2822" t="s">
        <v>49</v>
      </c>
      <c r="H2822">
        <v>26</v>
      </c>
      <c r="K2822" t="s">
        <v>51</v>
      </c>
      <c r="L2822" t="s">
        <v>52</v>
      </c>
      <c r="M2822">
        <v>131562.81</v>
      </c>
      <c r="N2822">
        <v>475289.19</v>
      </c>
      <c r="O2822" t="s">
        <v>53</v>
      </c>
      <c r="P2822" t="s">
        <v>54</v>
      </c>
      <c r="Q2822" t="s">
        <v>55</v>
      </c>
      <c r="T2822" t="s">
        <v>170</v>
      </c>
      <c r="U2822">
        <v>40</v>
      </c>
      <c r="V2822" s="1">
        <v>42125</v>
      </c>
      <c r="W2822" s="1">
        <v>42125</v>
      </c>
      <c r="X2822" s="1">
        <v>42125</v>
      </c>
      <c r="Y2822" s="1">
        <v>56735</v>
      </c>
      <c r="Z2822" t="s">
        <v>51</v>
      </c>
      <c r="AB2822" t="s">
        <v>54</v>
      </c>
      <c r="AE2822" t="s">
        <v>342</v>
      </c>
      <c r="AF2822">
        <v>20</v>
      </c>
      <c r="AG2822" s="1">
        <v>42125</v>
      </c>
      <c r="AH2822" s="1">
        <v>42125</v>
      </c>
      <c r="AI2822" s="1">
        <v>42125</v>
      </c>
      <c r="AJ2822" s="1">
        <v>49430</v>
      </c>
      <c r="AK2822" t="s">
        <v>51</v>
      </c>
      <c r="AN2822">
        <v>0</v>
      </c>
      <c r="AO2822" t="s">
        <v>54</v>
      </c>
      <c r="AP2822" t="s">
        <v>53</v>
      </c>
      <c r="AQ2822">
        <v>0</v>
      </c>
      <c r="AR2822" t="s">
        <v>145</v>
      </c>
      <c r="AS2822">
        <v>19</v>
      </c>
      <c r="AT2822">
        <v>1800</v>
      </c>
      <c r="AW2822" t="s">
        <v>172</v>
      </c>
      <c r="AX2822">
        <v>15</v>
      </c>
      <c r="AY2822" s="1">
        <v>42125</v>
      </c>
      <c r="AZ2822" s="1">
        <v>42125</v>
      </c>
      <c r="BA2822" s="1">
        <v>42125</v>
      </c>
      <c r="BB2822" s="1">
        <v>47604</v>
      </c>
      <c r="BC2822" t="s">
        <v>51</v>
      </c>
      <c r="BE2822" t="s">
        <v>54</v>
      </c>
      <c r="BF2822">
        <v>40</v>
      </c>
      <c r="BG2822">
        <v>0</v>
      </c>
      <c r="BH2822" t="s">
        <v>145</v>
      </c>
      <c r="CC2822" t="s">
        <v>173</v>
      </c>
      <c r="CD2822">
        <v>100000</v>
      </c>
      <c r="CE2822" s="1">
        <v>42125</v>
      </c>
      <c r="CF2822" s="1">
        <v>42125</v>
      </c>
      <c r="CG2822" s="1">
        <v>42125</v>
      </c>
      <c r="CH2822" s="1">
        <v>51108</v>
      </c>
      <c r="CI2822" t="s">
        <v>51</v>
      </c>
      <c r="CK2822" t="s">
        <v>78</v>
      </c>
      <c r="CM2822" t="s">
        <v>54</v>
      </c>
      <c r="CN2822" t="s">
        <v>174</v>
      </c>
      <c r="CO2822" t="s">
        <v>86</v>
      </c>
      <c r="CP2822">
        <v>830</v>
      </c>
      <c r="CR2822">
        <v>19</v>
      </c>
      <c r="CS2822">
        <v>1800</v>
      </c>
      <c r="CT2822">
        <v>0</v>
      </c>
      <c r="CU2822">
        <v>16</v>
      </c>
    </row>
    <row r="2823" spans="1:112" x14ac:dyDescent="0.2">
      <c r="A2823" t="s">
        <v>1012</v>
      </c>
      <c r="B2823" t="s">
        <v>1013</v>
      </c>
      <c r="C2823" t="s">
        <v>1014</v>
      </c>
      <c r="D2823" t="s">
        <v>1137</v>
      </c>
      <c r="F2823" t="str">
        <f>"253570"</f>
        <v>253570</v>
      </c>
      <c r="G2823" t="s">
        <v>49</v>
      </c>
      <c r="H2823">
        <v>26</v>
      </c>
      <c r="K2823" t="s">
        <v>51</v>
      </c>
      <c r="L2823" t="s">
        <v>52</v>
      </c>
      <c r="M2823">
        <v>131537.47</v>
      </c>
      <c r="N2823">
        <v>475289.19</v>
      </c>
      <c r="O2823" t="s">
        <v>53</v>
      </c>
      <c r="P2823" t="s">
        <v>54</v>
      </c>
      <c r="Q2823" t="s">
        <v>55</v>
      </c>
      <c r="T2823" t="s">
        <v>170</v>
      </c>
      <c r="U2823">
        <v>40</v>
      </c>
      <c r="V2823" s="1">
        <v>42125</v>
      </c>
      <c r="W2823" s="1">
        <v>42125</v>
      </c>
      <c r="X2823" s="1">
        <v>42125</v>
      </c>
      <c r="Y2823" s="1">
        <v>56735</v>
      </c>
      <c r="Z2823" t="s">
        <v>51</v>
      </c>
      <c r="AB2823" t="s">
        <v>54</v>
      </c>
      <c r="AE2823" t="s">
        <v>342</v>
      </c>
      <c r="AF2823">
        <v>20</v>
      </c>
      <c r="AG2823" s="1">
        <v>42125</v>
      </c>
      <c r="AH2823" s="1">
        <v>42125</v>
      </c>
      <c r="AI2823" s="1">
        <v>42125</v>
      </c>
      <c r="AJ2823" s="1">
        <v>49430</v>
      </c>
      <c r="AK2823" t="s">
        <v>51</v>
      </c>
      <c r="AN2823">
        <v>0</v>
      </c>
      <c r="AO2823" t="s">
        <v>54</v>
      </c>
      <c r="AP2823" t="s">
        <v>53</v>
      </c>
      <c r="AQ2823">
        <v>0</v>
      </c>
      <c r="AR2823" t="s">
        <v>145</v>
      </c>
      <c r="AS2823">
        <v>19</v>
      </c>
      <c r="AT2823">
        <v>1800</v>
      </c>
      <c r="AW2823" t="s">
        <v>172</v>
      </c>
      <c r="AX2823">
        <v>15</v>
      </c>
      <c r="AY2823" s="1">
        <v>42125</v>
      </c>
      <c r="AZ2823" s="1">
        <v>42125</v>
      </c>
      <c r="BA2823" s="1">
        <v>42125</v>
      </c>
      <c r="BB2823" s="1">
        <v>47604</v>
      </c>
      <c r="BC2823" t="s">
        <v>51</v>
      </c>
      <c r="BE2823" t="s">
        <v>54</v>
      </c>
      <c r="BF2823">
        <v>40</v>
      </c>
      <c r="BG2823">
        <v>0</v>
      </c>
      <c r="BH2823" t="s">
        <v>145</v>
      </c>
      <c r="CC2823" t="s">
        <v>173</v>
      </c>
      <c r="CD2823">
        <v>100000</v>
      </c>
      <c r="CE2823" s="1">
        <v>42125</v>
      </c>
      <c r="CF2823" s="1">
        <v>42125</v>
      </c>
      <c r="CG2823" s="1">
        <v>42125</v>
      </c>
      <c r="CH2823" s="1">
        <v>51108</v>
      </c>
      <c r="CI2823" t="s">
        <v>51</v>
      </c>
      <c r="CK2823" t="s">
        <v>78</v>
      </c>
      <c r="CM2823" t="s">
        <v>54</v>
      </c>
      <c r="CN2823" t="s">
        <v>174</v>
      </c>
      <c r="CO2823" t="s">
        <v>86</v>
      </c>
      <c r="CP2823">
        <v>830</v>
      </c>
      <c r="CR2823">
        <v>19</v>
      </c>
      <c r="CS2823">
        <v>1800</v>
      </c>
      <c r="CT2823">
        <v>0</v>
      </c>
      <c r="CU2823">
        <v>16</v>
      </c>
    </row>
    <row r="2824" spans="1:112" x14ac:dyDescent="0.2">
      <c r="A2824" t="s">
        <v>1012</v>
      </c>
      <c r="B2824" t="s">
        <v>1013</v>
      </c>
      <c r="C2824" t="s">
        <v>1014</v>
      </c>
      <c r="D2824" t="s">
        <v>1137</v>
      </c>
      <c r="F2824" t="str">
        <f>"253571"</f>
        <v>253571</v>
      </c>
      <c r="G2824" t="s">
        <v>49</v>
      </c>
      <c r="K2824" t="s">
        <v>51</v>
      </c>
      <c r="L2824" t="s">
        <v>52</v>
      </c>
      <c r="M2824">
        <v>131515.49</v>
      </c>
      <c r="N2824">
        <v>475302.89</v>
      </c>
      <c r="O2824" t="s">
        <v>53</v>
      </c>
      <c r="P2824" t="s">
        <v>54</v>
      </c>
      <c r="Q2824" t="s">
        <v>55</v>
      </c>
      <c r="T2824" t="s">
        <v>170</v>
      </c>
      <c r="U2824">
        <v>40</v>
      </c>
      <c r="V2824" s="1">
        <v>42125</v>
      </c>
      <c r="W2824" s="1">
        <v>42125</v>
      </c>
      <c r="X2824" s="1">
        <v>42125</v>
      </c>
      <c r="Y2824" s="1">
        <v>56735</v>
      </c>
      <c r="Z2824" t="s">
        <v>51</v>
      </c>
      <c r="AB2824" t="s">
        <v>54</v>
      </c>
      <c r="AE2824" t="s">
        <v>342</v>
      </c>
      <c r="AF2824">
        <v>20</v>
      </c>
      <c r="AG2824" s="1">
        <v>42125</v>
      </c>
      <c r="AH2824" s="1">
        <v>42125</v>
      </c>
      <c r="AI2824" s="1">
        <v>42125</v>
      </c>
      <c r="AJ2824" s="1">
        <v>49430</v>
      </c>
      <c r="AK2824" t="s">
        <v>51</v>
      </c>
      <c r="AN2824">
        <v>0</v>
      </c>
      <c r="AO2824" t="s">
        <v>54</v>
      </c>
      <c r="AP2824" t="s">
        <v>53</v>
      </c>
      <c r="AQ2824">
        <v>0</v>
      </c>
      <c r="AR2824" t="s">
        <v>145</v>
      </c>
      <c r="AS2824">
        <v>19</v>
      </c>
      <c r="AT2824">
        <v>1800</v>
      </c>
      <c r="AW2824" t="s">
        <v>172</v>
      </c>
      <c r="AX2824">
        <v>15</v>
      </c>
      <c r="AY2824" s="1">
        <v>42125</v>
      </c>
      <c r="AZ2824" s="1">
        <v>42125</v>
      </c>
      <c r="BA2824" s="1">
        <v>42125</v>
      </c>
      <c r="BB2824" s="1">
        <v>47604</v>
      </c>
      <c r="BC2824" t="s">
        <v>51</v>
      </c>
      <c r="BE2824" t="s">
        <v>54</v>
      </c>
      <c r="BF2824">
        <v>40</v>
      </c>
      <c r="BG2824">
        <v>0</v>
      </c>
      <c r="BH2824" t="s">
        <v>145</v>
      </c>
      <c r="CC2824" t="s">
        <v>173</v>
      </c>
      <c r="CD2824">
        <v>100000</v>
      </c>
      <c r="CE2824" s="1">
        <v>42125</v>
      </c>
      <c r="CF2824" s="1">
        <v>42125</v>
      </c>
      <c r="CG2824" s="1">
        <v>42125</v>
      </c>
      <c r="CH2824" s="1">
        <v>51108</v>
      </c>
      <c r="CI2824" t="s">
        <v>51</v>
      </c>
      <c r="CK2824" t="s">
        <v>78</v>
      </c>
      <c r="CM2824" t="s">
        <v>54</v>
      </c>
      <c r="CN2824" t="s">
        <v>174</v>
      </c>
      <c r="CO2824" t="s">
        <v>86</v>
      </c>
      <c r="CP2824">
        <v>830</v>
      </c>
      <c r="CR2824">
        <v>19</v>
      </c>
      <c r="CS2824">
        <v>1800</v>
      </c>
      <c r="CT2824">
        <v>0</v>
      </c>
      <c r="CU2824">
        <v>16</v>
      </c>
    </row>
    <row r="2825" spans="1:112" x14ac:dyDescent="0.2">
      <c r="A2825" t="s">
        <v>1012</v>
      </c>
      <c r="B2825" t="s">
        <v>1013</v>
      </c>
      <c r="C2825" t="s">
        <v>1014</v>
      </c>
      <c r="D2825" t="s">
        <v>1137</v>
      </c>
      <c r="F2825" t="str">
        <f>"253572"</f>
        <v>253572</v>
      </c>
      <c r="G2825" t="s">
        <v>49</v>
      </c>
      <c r="H2825">
        <v>20</v>
      </c>
      <c r="K2825" t="s">
        <v>51</v>
      </c>
      <c r="L2825" t="s">
        <v>52</v>
      </c>
      <c r="M2825">
        <v>131490.76999999999</v>
      </c>
      <c r="N2825">
        <v>475304.24</v>
      </c>
      <c r="O2825" t="s">
        <v>53</v>
      </c>
      <c r="P2825" t="s">
        <v>54</v>
      </c>
      <c r="Q2825" t="s">
        <v>55</v>
      </c>
      <c r="T2825" t="s">
        <v>170</v>
      </c>
      <c r="U2825">
        <v>40</v>
      </c>
      <c r="V2825" s="1">
        <v>42125</v>
      </c>
      <c r="W2825" s="1">
        <v>42125</v>
      </c>
      <c r="X2825" s="1">
        <v>42125</v>
      </c>
      <c r="Y2825" s="1">
        <v>56735</v>
      </c>
      <c r="Z2825" t="s">
        <v>51</v>
      </c>
      <c r="AB2825" t="s">
        <v>54</v>
      </c>
      <c r="AE2825" t="s">
        <v>342</v>
      </c>
      <c r="AF2825">
        <v>20</v>
      </c>
      <c r="AG2825" s="1">
        <v>42125</v>
      </c>
      <c r="AH2825" s="1">
        <v>42125</v>
      </c>
      <c r="AI2825" s="1">
        <v>42125</v>
      </c>
      <c r="AJ2825" s="1">
        <v>49430</v>
      </c>
      <c r="AK2825" t="s">
        <v>51</v>
      </c>
      <c r="AN2825">
        <v>0</v>
      </c>
      <c r="AO2825" t="s">
        <v>54</v>
      </c>
      <c r="AP2825" t="s">
        <v>53</v>
      </c>
      <c r="AQ2825">
        <v>0</v>
      </c>
      <c r="AR2825" t="s">
        <v>145</v>
      </c>
      <c r="AS2825">
        <v>19</v>
      </c>
      <c r="AT2825">
        <v>1800</v>
      </c>
      <c r="AW2825" t="s">
        <v>172</v>
      </c>
      <c r="AX2825">
        <v>15</v>
      </c>
      <c r="AY2825" s="1">
        <v>42125</v>
      </c>
      <c r="AZ2825" s="1">
        <v>42125</v>
      </c>
      <c r="BA2825" s="1">
        <v>42125</v>
      </c>
      <c r="BB2825" s="1">
        <v>47604</v>
      </c>
      <c r="BC2825" t="s">
        <v>51</v>
      </c>
      <c r="BE2825" t="s">
        <v>54</v>
      </c>
      <c r="BF2825">
        <v>40</v>
      </c>
      <c r="BG2825">
        <v>0</v>
      </c>
      <c r="BH2825" t="s">
        <v>145</v>
      </c>
      <c r="CC2825" t="s">
        <v>173</v>
      </c>
      <c r="CD2825">
        <v>100000</v>
      </c>
      <c r="CE2825" s="1">
        <v>42125</v>
      </c>
      <c r="CF2825" s="1">
        <v>42125</v>
      </c>
      <c r="CG2825" s="1">
        <v>42125</v>
      </c>
      <c r="CH2825" s="1">
        <v>51108</v>
      </c>
      <c r="CI2825" t="s">
        <v>51</v>
      </c>
      <c r="CK2825" t="s">
        <v>78</v>
      </c>
      <c r="CM2825" t="s">
        <v>54</v>
      </c>
      <c r="CN2825" t="s">
        <v>174</v>
      </c>
      <c r="CO2825" t="s">
        <v>86</v>
      </c>
      <c r="CP2825">
        <v>830</v>
      </c>
      <c r="CR2825">
        <v>19</v>
      </c>
      <c r="CS2825">
        <v>1800</v>
      </c>
      <c r="CT2825">
        <v>0</v>
      </c>
      <c r="CU2825">
        <v>16</v>
      </c>
    </row>
    <row r="2826" spans="1:112" x14ac:dyDescent="0.2">
      <c r="A2826" t="s">
        <v>1012</v>
      </c>
      <c r="B2826" t="s">
        <v>1013</v>
      </c>
      <c r="C2826" t="s">
        <v>1014</v>
      </c>
      <c r="D2826" t="s">
        <v>1137</v>
      </c>
      <c r="F2826" t="str">
        <f>"253573"</f>
        <v>253573</v>
      </c>
      <c r="G2826" t="s">
        <v>49</v>
      </c>
      <c r="H2826">
        <v>7</v>
      </c>
      <c r="K2826" t="s">
        <v>51</v>
      </c>
      <c r="L2826" t="s">
        <v>52</v>
      </c>
      <c r="M2826">
        <v>131470.09</v>
      </c>
      <c r="N2826">
        <v>475315.51</v>
      </c>
      <c r="O2826" t="s">
        <v>53</v>
      </c>
      <c r="P2826" t="s">
        <v>54</v>
      </c>
      <c r="Q2826" t="s">
        <v>55</v>
      </c>
      <c r="T2826" t="s">
        <v>170</v>
      </c>
      <c r="U2826">
        <v>40</v>
      </c>
      <c r="V2826" s="1">
        <v>42125</v>
      </c>
      <c r="W2826" s="1">
        <v>42125</v>
      </c>
      <c r="X2826" s="1">
        <v>42125</v>
      </c>
      <c r="Y2826" s="1">
        <v>56735</v>
      </c>
      <c r="Z2826" t="s">
        <v>51</v>
      </c>
      <c r="AB2826" t="s">
        <v>54</v>
      </c>
      <c r="AE2826" t="s">
        <v>342</v>
      </c>
      <c r="AF2826">
        <v>20</v>
      </c>
      <c r="AG2826" s="1">
        <v>42125</v>
      </c>
      <c r="AH2826" s="1">
        <v>42125</v>
      </c>
      <c r="AI2826" s="1">
        <v>42125</v>
      </c>
      <c r="AJ2826" s="1">
        <v>49430</v>
      </c>
      <c r="AK2826" t="s">
        <v>51</v>
      </c>
      <c r="AN2826">
        <v>0</v>
      </c>
      <c r="AO2826" t="s">
        <v>54</v>
      </c>
      <c r="AP2826" t="s">
        <v>53</v>
      </c>
      <c r="AQ2826">
        <v>0</v>
      </c>
      <c r="AR2826" t="s">
        <v>145</v>
      </c>
      <c r="AS2826">
        <v>19</v>
      </c>
      <c r="AT2826">
        <v>1800</v>
      </c>
      <c r="AW2826" t="s">
        <v>172</v>
      </c>
      <c r="AX2826">
        <v>15</v>
      </c>
      <c r="AY2826" s="1">
        <v>44627</v>
      </c>
      <c r="AZ2826" s="1">
        <v>44627</v>
      </c>
      <c r="BA2826" s="1">
        <v>44627</v>
      </c>
      <c r="BB2826" s="1">
        <v>50106</v>
      </c>
      <c r="BC2826" t="s">
        <v>51</v>
      </c>
      <c r="BE2826" t="s">
        <v>54</v>
      </c>
      <c r="BF2826">
        <v>40</v>
      </c>
      <c r="BG2826">
        <v>0</v>
      </c>
      <c r="BH2826" t="s">
        <v>145</v>
      </c>
      <c r="CC2826" t="s">
        <v>173</v>
      </c>
      <c r="CD2826">
        <v>100000</v>
      </c>
      <c r="CE2826" s="1">
        <v>42125</v>
      </c>
      <c r="CF2826" s="1">
        <v>42125</v>
      </c>
      <c r="CG2826" s="1">
        <v>44627</v>
      </c>
      <c r="CH2826" s="1">
        <v>51108</v>
      </c>
      <c r="CI2826" t="s">
        <v>51</v>
      </c>
      <c r="CK2826" t="s">
        <v>78</v>
      </c>
      <c r="CM2826" t="s">
        <v>54</v>
      </c>
      <c r="CN2826" t="s">
        <v>174</v>
      </c>
      <c r="CO2826" t="s">
        <v>86</v>
      </c>
      <c r="CP2826">
        <v>830</v>
      </c>
      <c r="CR2826">
        <v>19</v>
      </c>
      <c r="CS2826">
        <v>1800</v>
      </c>
      <c r="CT2826">
        <v>0</v>
      </c>
      <c r="CU2826">
        <v>16</v>
      </c>
    </row>
    <row r="2827" spans="1:112" x14ac:dyDescent="0.2">
      <c r="A2827" t="s">
        <v>1012</v>
      </c>
      <c r="B2827" t="s">
        <v>1013</v>
      </c>
      <c r="C2827" t="s">
        <v>1014</v>
      </c>
      <c r="D2827" t="s">
        <v>1137</v>
      </c>
      <c r="F2827" t="str">
        <f>"253574"</f>
        <v>253574</v>
      </c>
      <c r="G2827" t="s">
        <v>49</v>
      </c>
      <c r="K2827" t="s">
        <v>51</v>
      </c>
      <c r="L2827" t="s">
        <v>52</v>
      </c>
      <c r="M2827">
        <v>131476.21</v>
      </c>
      <c r="N2827">
        <v>475328.56</v>
      </c>
      <c r="O2827" t="s">
        <v>53</v>
      </c>
      <c r="P2827" t="s">
        <v>54</v>
      </c>
      <c r="Q2827" t="s">
        <v>55</v>
      </c>
      <c r="T2827" t="s">
        <v>246</v>
      </c>
      <c r="U2827">
        <v>40</v>
      </c>
      <c r="V2827" s="1">
        <v>42125</v>
      </c>
      <c r="W2827" s="1">
        <v>42125</v>
      </c>
      <c r="X2827" s="1">
        <v>42125</v>
      </c>
      <c r="Y2827" s="1">
        <v>56735</v>
      </c>
      <c r="Z2827" t="s">
        <v>51</v>
      </c>
      <c r="AB2827" t="s">
        <v>54</v>
      </c>
      <c r="AE2827" t="s">
        <v>1065</v>
      </c>
      <c r="AF2827">
        <v>20</v>
      </c>
      <c r="AG2827" s="1">
        <v>42125</v>
      </c>
      <c r="AH2827" s="1">
        <v>42125</v>
      </c>
      <c r="AI2827" s="1">
        <v>42125</v>
      </c>
      <c r="AJ2827" s="1">
        <v>49430</v>
      </c>
      <c r="AK2827" t="s">
        <v>51</v>
      </c>
      <c r="AN2827">
        <v>0</v>
      </c>
      <c r="AO2827" t="s">
        <v>54</v>
      </c>
      <c r="AP2827" t="s">
        <v>53</v>
      </c>
      <c r="AQ2827">
        <v>0</v>
      </c>
      <c r="AR2827" t="s">
        <v>53</v>
      </c>
      <c r="AS2827">
        <v>0</v>
      </c>
      <c r="AT2827">
        <v>0</v>
      </c>
      <c r="AW2827" t="s">
        <v>172</v>
      </c>
      <c r="AX2827">
        <v>15</v>
      </c>
      <c r="AY2827" s="1">
        <v>42125</v>
      </c>
      <c r="AZ2827" s="1">
        <v>42125</v>
      </c>
      <c r="BA2827" s="1">
        <v>42125</v>
      </c>
      <c r="BB2827" s="1">
        <v>47604</v>
      </c>
      <c r="BC2827" t="s">
        <v>51</v>
      </c>
      <c r="BE2827" t="s">
        <v>54</v>
      </c>
      <c r="BF2827">
        <v>40</v>
      </c>
      <c r="BG2827">
        <v>0</v>
      </c>
      <c r="BH2827" t="s">
        <v>145</v>
      </c>
      <c r="CC2827" t="s">
        <v>1066</v>
      </c>
      <c r="CD2827">
        <v>100000</v>
      </c>
      <c r="CE2827" s="1">
        <v>42125</v>
      </c>
      <c r="CF2827" s="1">
        <v>42125</v>
      </c>
      <c r="CG2827" s="1">
        <v>42125</v>
      </c>
      <c r="CH2827" s="1">
        <v>51108</v>
      </c>
      <c r="CI2827" t="s">
        <v>51</v>
      </c>
      <c r="CK2827" t="s">
        <v>78</v>
      </c>
      <c r="CM2827" t="s">
        <v>54</v>
      </c>
      <c r="CN2827" t="s">
        <v>174</v>
      </c>
      <c r="CR2827">
        <v>11</v>
      </c>
      <c r="CS2827">
        <v>1600</v>
      </c>
      <c r="CT2827">
        <v>0</v>
      </c>
      <c r="CU2827">
        <v>16</v>
      </c>
    </row>
    <row r="2828" spans="1:112" x14ac:dyDescent="0.2">
      <c r="A2828" t="s">
        <v>1012</v>
      </c>
      <c r="B2828" t="s">
        <v>1013</v>
      </c>
      <c r="C2828" t="s">
        <v>1014</v>
      </c>
      <c r="D2828" t="s">
        <v>1137</v>
      </c>
      <c r="F2828" t="str">
        <f>"253575"</f>
        <v>253575</v>
      </c>
      <c r="G2828" t="s">
        <v>49</v>
      </c>
      <c r="K2828" t="s">
        <v>51</v>
      </c>
      <c r="L2828" t="s">
        <v>52</v>
      </c>
      <c r="M2828">
        <v>131495.78</v>
      </c>
      <c r="N2828">
        <v>475328</v>
      </c>
      <c r="O2828" t="s">
        <v>53</v>
      </c>
      <c r="P2828" t="s">
        <v>54</v>
      </c>
      <c r="Q2828" t="s">
        <v>55</v>
      </c>
      <c r="T2828" t="s">
        <v>246</v>
      </c>
      <c r="U2828">
        <v>40</v>
      </c>
      <c r="V2828" s="1">
        <v>42125</v>
      </c>
      <c r="W2828" s="1">
        <v>42125</v>
      </c>
      <c r="X2828" s="1">
        <v>42125</v>
      </c>
      <c r="Y2828" s="1">
        <v>56735</v>
      </c>
      <c r="Z2828" t="s">
        <v>51</v>
      </c>
      <c r="AB2828" t="s">
        <v>54</v>
      </c>
      <c r="AE2828" t="s">
        <v>1065</v>
      </c>
      <c r="AF2828">
        <v>20</v>
      </c>
      <c r="AG2828" s="1">
        <v>42125</v>
      </c>
      <c r="AH2828" s="1">
        <v>42125</v>
      </c>
      <c r="AI2828" s="1">
        <v>42125</v>
      </c>
      <c r="AJ2828" s="1">
        <v>49430</v>
      </c>
      <c r="AK2828" t="s">
        <v>51</v>
      </c>
      <c r="AN2828">
        <v>0</v>
      </c>
      <c r="AO2828" t="s">
        <v>54</v>
      </c>
      <c r="AP2828" t="s">
        <v>53</v>
      </c>
      <c r="AQ2828">
        <v>0</v>
      </c>
      <c r="AR2828" t="s">
        <v>53</v>
      </c>
      <c r="AS2828">
        <v>0</v>
      </c>
      <c r="AT2828">
        <v>0</v>
      </c>
      <c r="AW2828" t="s">
        <v>172</v>
      </c>
      <c r="AX2828">
        <v>15</v>
      </c>
      <c r="AY2828" s="1">
        <v>42125</v>
      </c>
      <c r="AZ2828" s="1">
        <v>42125</v>
      </c>
      <c r="BA2828" s="1">
        <v>42125</v>
      </c>
      <c r="BB2828" s="1">
        <v>47604</v>
      </c>
      <c r="BC2828" t="s">
        <v>51</v>
      </c>
      <c r="BE2828" t="s">
        <v>54</v>
      </c>
      <c r="BF2828">
        <v>40</v>
      </c>
      <c r="BG2828">
        <v>0</v>
      </c>
      <c r="BH2828" t="s">
        <v>145</v>
      </c>
      <c r="CC2828" t="s">
        <v>1066</v>
      </c>
      <c r="CD2828">
        <v>100000</v>
      </c>
      <c r="CE2828" s="1">
        <v>42125</v>
      </c>
      <c r="CF2828" s="1">
        <v>42125</v>
      </c>
      <c r="CG2828" s="1">
        <v>42125</v>
      </c>
      <c r="CH2828" s="1">
        <v>51108</v>
      </c>
      <c r="CI2828" t="s">
        <v>51</v>
      </c>
      <c r="CK2828" t="s">
        <v>78</v>
      </c>
      <c r="CM2828" t="s">
        <v>54</v>
      </c>
      <c r="CN2828" t="s">
        <v>174</v>
      </c>
      <c r="CR2828">
        <v>11</v>
      </c>
      <c r="CS2828">
        <v>1600</v>
      </c>
      <c r="CT2828">
        <v>0</v>
      </c>
      <c r="CU2828">
        <v>16</v>
      </c>
    </row>
    <row r="2829" spans="1:112" x14ac:dyDescent="0.2">
      <c r="A2829" t="s">
        <v>1012</v>
      </c>
      <c r="B2829" t="s">
        <v>1013</v>
      </c>
      <c r="C2829" t="s">
        <v>1014</v>
      </c>
      <c r="D2829" t="s">
        <v>1137</v>
      </c>
      <c r="F2829" t="str">
        <f>"253576"</f>
        <v>253576</v>
      </c>
      <c r="G2829" t="s">
        <v>49</v>
      </c>
      <c r="K2829" t="s">
        <v>51</v>
      </c>
      <c r="L2829" t="s">
        <v>52</v>
      </c>
      <c r="M2829">
        <v>131517.26999999999</v>
      </c>
      <c r="N2829">
        <v>475323.87</v>
      </c>
      <c r="O2829" t="s">
        <v>53</v>
      </c>
      <c r="P2829" t="s">
        <v>54</v>
      </c>
      <c r="Q2829" t="s">
        <v>55</v>
      </c>
      <c r="T2829" t="s">
        <v>246</v>
      </c>
      <c r="U2829">
        <v>40</v>
      </c>
      <c r="V2829" s="1">
        <v>42125</v>
      </c>
      <c r="W2829" s="1">
        <v>42125</v>
      </c>
      <c r="X2829" s="1">
        <v>42125</v>
      </c>
      <c r="Y2829" s="1">
        <v>56735</v>
      </c>
      <c r="Z2829" t="s">
        <v>51</v>
      </c>
      <c r="AB2829" t="s">
        <v>54</v>
      </c>
      <c r="AE2829" t="s">
        <v>1065</v>
      </c>
      <c r="AF2829">
        <v>20</v>
      </c>
      <c r="AG2829" s="1">
        <v>42125</v>
      </c>
      <c r="AH2829" s="1">
        <v>42125</v>
      </c>
      <c r="AI2829" s="1">
        <v>42125</v>
      </c>
      <c r="AJ2829" s="1">
        <v>49430</v>
      </c>
      <c r="AK2829" t="s">
        <v>51</v>
      </c>
      <c r="AN2829">
        <v>0</v>
      </c>
      <c r="AO2829" t="s">
        <v>54</v>
      </c>
      <c r="AP2829" t="s">
        <v>53</v>
      </c>
      <c r="AQ2829">
        <v>0</v>
      </c>
      <c r="AR2829" t="s">
        <v>53</v>
      </c>
      <c r="AS2829">
        <v>0</v>
      </c>
      <c r="AT2829">
        <v>0</v>
      </c>
      <c r="AW2829" t="s">
        <v>172</v>
      </c>
      <c r="AX2829">
        <v>15</v>
      </c>
      <c r="AY2829" s="1">
        <v>42125</v>
      </c>
      <c r="AZ2829" s="1">
        <v>42125</v>
      </c>
      <c r="BA2829" s="1">
        <v>42125</v>
      </c>
      <c r="BB2829" s="1">
        <v>47604</v>
      </c>
      <c r="BC2829" t="s">
        <v>51</v>
      </c>
      <c r="BE2829" t="s">
        <v>54</v>
      </c>
      <c r="BF2829">
        <v>40</v>
      </c>
      <c r="BG2829">
        <v>0</v>
      </c>
      <c r="BH2829" t="s">
        <v>145</v>
      </c>
      <c r="CC2829" t="s">
        <v>1066</v>
      </c>
      <c r="CD2829">
        <v>100000</v>
      </c>
      <c r="CE2829" s="1">
        <v>42125</v>
      </c>
      <c r="CF2829" s="1">
        <v>42125</v>
      </c>
      <c r="CG2829" s="1">
        <v>42125</v>
      </c>
      <c r="CH2829" s="1">
        <v>51108</v>
      </c>
      <c r="CI2829" t="s">
        <v>51</v>
      </c>
      <c r="CK2829" t="s">
        <v>78</v>
      </c>
      <c r="CM2829" t="s">
        <v>54</v>
      </c>
      <c r="CN2829" t="s">
        <v>174</v>
      </c>
      <c r="CR2829">
        <v>11</v>
      </c>
      <c r="CS2829">
        <v>1600</v>
      </c>
      <c r="CT2829">
        <v>0</v>
      </c>
      <c r="CU2829">
        <v>16</v>
      </c>
    </row>
    <row r="2830" spans="1:112" x14ac:dyDescent="0.2">
      <c r="A2830" t="s">
        <v>1012</v>
      </c>
      <c r="B2830" t="s">
        <v>1013</v>
      </c>
      <c r="C2830" t="s">
        <v>1014</v>
      </c>
      <c r="D2830" t="s">
        <v>1137</v>
      </c>
      <c r="F2830" t="str">
        <f>"253577"</f>
        <v>253577</v>
      </c>
      <c r="G2830" t="s">
        <v>49</v>
      </c>
      <c r="K2830" t="s">
        <v>51</v>
      </c>
      <c r="L2830" t="s">
        <v>52</v>
      </c>
      <c r="M2830">
        <v>131538.14000000001</v>
      </c>
      <c r="N2830">
        <v>475318.65</v>
      </c>
      <c r="O2830" t="s">
        <v>53</v>
      </c>
      <c r="P2830" t="s">
        <v>54</v>
      </c>
      <c r="Q2830" t="s">
        <v>55</v>
      </c>
      <c r="T2830" t="s">
        <v>246</v>
      </c>
      <c r="U2830">
        <v>40</v>
      </c>
      <c r="V2830" s="1">
        <v>42125</v>
      </c>
      <c r="W2830" s="1">
        <v>42125</v>
      </c>
      <c r="X2830" s="1">
        <v>42125</v>
      </c>
      <c r="Y2830" s="1">
        <v>56735</v>
      </c>
      <c r="Z2830" t="s">
        <v>51</v>
      </c>
      <c r="AB2830" t="s">
        <v>54</v>
      </c>
      <c r="AE2830" t="s">
        <v>1065</v>
      </c>
      <c r="AF2830">
        <v>20</v>
      </c>
      <c r="AG2830" s="1">
        <v>42125</v>
      </c>
      <c r="AH2830" s="1">
        <v>42125</v>
      </c>
      <c r="AI2830" s="1">
        <v>42125</v>
      </c>
      <c r="AJ2830" s="1">
        <v>49430</v>
      </c>
      <c r="AK2830" t="s">
        <v>51</v>
      </c>
      <c r="AN2830">
        <v>0</v>
      </c>
      <c r="AO2830" t="s">
        <v>54</v>
      </c>
      <c r="AP2830" t="s">
        <v>53</v>
      </c>
      <c r="AQ2830">
        <v>0</v>
      </c>
      <c r="AR2830" t="s">
        <v>53</v>
      </c>
      <c r="AS2830">
        <v>0</v>
      </c>
      <c r="AT2830">
        <v>0</v>
      </c>
      <c r="AW2830" t="s">
        <v>172</v>
      </c>
      <c r="AX2830">
        <v>15</v>
      </c>
      <c r="AY2830" s="1">
        <v>42125</v>
      </c>
      <c r="AZ2830" s="1">
        <v>42125</v>
      </c>
      <c r="BA2830" s="1">
        <v>42125</v>
      </c>
      <c r="BB2830" s="1">
        <v>47604</v>
      </c>
      <c r="BC2830" t="s">
        <v>51</v>
      </c>
      <c r="BE2830" t="s">
        <v>54</v>
      </c>
      <c r="BF2830">
        <v>40</v>
      </c>
      <c r="BG2830">
        <v>0</v>
      </c>
      <c r="BH2830" t="s">
        <v>145</v>
      </c>
      <c r="CC2830" t="s">
        <v>1066</v>
      </c>
      <c r="CD2830">
        <v>100000</v>
      </c>
      <c r="CE2830" s="1">
        <v>42125</v>
      </c>
      <c r="CF2830" s="1">
        <v>42125</v>
      </c>
      <c r="CG2830" s="1">
        <v>42125</v>
      </c>
      <c r="CH2830" s="1">
        <v>51108</v>
      </c>
      <c r="CI2830" t="s">
        <v>51</v>
      </c>
      <c r="CK2830" t="s">
        <v>78</v>
      </c>
      <c r="CM2830" t="s">
        <v>54</v>
      </c>
      <c r="CN2830" t="s">
        <v>174</v>
      </c>
      <c r="CR2830">
        <v>11</v>
      </c>
      <c r="CS2830">
        <v>1600</v>
      </c>
      <c r="CT2830">
        <v>0</v>
      </c>
      <c r="CU2830">
        <v>16</v>
      </c>
    </row>
    <row r="2831" spans="1:112" x14ac:dyDescent="0.2">
      <c r="A2831" t="s">
        <v>1012</v>
      </c>
      <c r="B2831" t="s">
        <v>1013</v>
      </c>
      <c r="C2831" t="s">
        <v>1014</v>
      </c>
      <c r="D2831" t="s">
        <v>1137</v>
      </c>
      <c r="F2831" t="str">
        <f>"253578"</f>
        <v>253578</v>
      </c>
      <c r="G2831" t="s">
        <v>49</v>
      </c>
      <c r="K2831" t="s">
        <v>51</v>
      </c>
      <c r="L2831" t="s">
        <v>52</v>
      </c>
      <c r="M2831">
        <v>131559.41</v>
      </c>
      <c r="N2831">
        <v>475318.9</v>
      </c>
      <c r="O2831" t="s">
        <v>53</v>
      </c>
      <c r="P2831" t="s">
        <v>54</v>
      </c>
      <c r="Q2831" t="s">
        <v>55</v>
      </c>
      <c r="T2831" t="s">
        <v>246</v>
      </c>
      <c r="U2831">
        <v>40</v>
      </c>
      <c r="V2831" s="1">
        <v>42125</v>
      </c>
      <c r="W2831" s="1">
        <v>42125</v>
      </c>
      <c r="X2831" s="1">
        <v>42125</v>
      </c>
      <c r="Y2831" s="1">
        <v>56735</v>
      </c>
      <c r="Z2831" t="s">
        <v>51</v>
      </c>
      <c r="AB2831" t="s">
        <v>54</v>
      </c>
      <c r="AE2831" t="s">
        <v>1065</v>
      </c>
      <c r="AF2831">
        <v>20</v>
      </c>
      <c r="AG2831" s="1">
        <v>42125</v>
      </c>
      <c r="AH2831" s="1">
        <v>42125</v>
      </c>
      <c r="AI2831" s="1">
        <v>42125</v>
      </c>
      <c r="AJ2831" s="1">
        <v>49430</v>
      </c>
      <c r="AK2831" t="s">
        <v>51</v>
      </c>
      <c r="AN2831">
        <v>0</v>
      </c>
      <c r="AO2831" t="s">
        <v>54</v>
      </c>
      <c r="AP2831" t="s">
        <v>53</v>
      </c>
      <c r="AQ2831">
        <v>0</v>
      </c>
      <c r="AR2831" t="s">
        <v>53</v>
      </c>
      <c r="AS2831">
        <v>0</v>
      </c>
      <c r="AT2831">
        <v>0</v>
      </c>
      <c r="AW2831" t="s">
        <v>172</v>
      </c>
      <c r="AX2831">
        <v>15</v>
      </c>
      <c r="AY2831" s="1">
        <v>42125</v>
      </c>
      <c r="AZ2831" s="1">
        <v>42125</v>
      </c>
      <c r="BA2831" s="1">
        <v>42125</v>
      </c>
      <c r="BB2831" s="1">
        <v>47604</v>
      </c>
      <c r="BC2831" t="s">
        <v>51</v>
      </c>
      <c r="BE2831" t="s">
        <v>54</v>
      </c>
      <c r="BF2831">
        <v>40</v>
      </c>
      <c r="BG2831">
        <v>0</v>
      </c>
      <c r="BH2831" t="s">
        <v>145</v>
      </c>
      <c r="CC2831" t="s">
        <v>1066</v>
      </c>
      <c r="CD2831">
        <v>100000</v>
      </c>
      <c r="CE2831" s="1">
        <v>42125</v>
      </c>
      <c r="CF2831" s="1">
        <v>42125</v>
      </c>
      <c r="CG2831" s="1">
        <v>42125</v>
      </c>
      <c r="CH2831" s="1">
        <v>51108</v>
      </c>
      <c r="CI2831" t="s">
        <v>51</v>
      </c>
      <c r="CK2831" t="s">
        <v>78</v>
      </c>
      <c r="CM2831" t="s">
        <v>54</v>
      </c>
      <c r="CN2831" t="s">
        <v>174</v>
      </c>
      <c r="CR2831">
        <v>11</v>
      </c>
      <c r="CS2831">
        <v>1600</v>
      </c>
      <c r="CT2831">
        <v>0</v>
      </c>
      <c r="CU2831">
        <v>16</v>
      </c>
    </row>
    <row r="2832" spans="1:112" x14ac:dyDescent="0.2">
      <c r="A2832" t="s">
        <v>1012</v>
      </c>
      <c r="B2832" t="s">
        <v>1013</v>
      </c>
      <c r="C2832" t="s">
        <v>1014</v>
      </c>
      <c r="D2832" t="s">
        <v>1156</v>
      </c>
      <c r="F2832" t="str">
        <f>"253579"</f>
        <v>253579</v>
      </c>
      <c r="G2832" t="s">
        <v>49</v>
      </c>
      <c r="K2832" t="s">
        <v>51</v>
      </c>
      <c r="L2832" t="s">
        <v>52</v>
      </c>
      <c r="M2832">
        <v>131414.32999999999</v>
      </c>
      <c r="N2832">
        <v>475362.06</v>
      </c>
      <c r="O2832" t="s">
        <v>53</v>
      </c>
      <c r="P2832" t="s">
        <v>54</v>
      </c>
      <c r="Q2832" t="s">
        <v>55</v>
      </c>
      <c r="T2832" t="s">
        <v>170</v>
      </c>
      <c r="U2832">
        <v>40</v>
      </c>
      <c r="V2832" s="1">
        <v>42125</v>
      </c>
      <c r="W2832" s="1">
        <v>42125</v>
      </c>
      <c r="X2832" s="1">
        <v>42125</v>
      </c>
      <c r="Y2832" s="1">
        <v>56735</v>
      </c>
      <c r="Z2832" t="s">
        <v>51</v>
      </c>
      <c r="AB2832" t="s">
        <v>54</v>
      </c>
      <c r="AE2832" t="s">
        <v>171</v>
      </c>
      <c r="AF2832">
        <v>20</v>
      </c>
      <c r="AG2832" s="1">
        <v>42125</v>
      </c>
      <c r="AH2832" s="1">
        <v>42125</v>
      </c>
      <c r="AI2832" s="1">
        <v>42125</v>
      </c>
      <c r="AJ2832" s="1">
        <v>49430</v>
      </c>
      <c r="AK2832" t="s">
        <v>51</v>
      </c>
      <c r="AN2832">
        <v>0</v>
      </c>
      <c r="AO2832" t="s">
        <v>54</v>
      </c>
      <c r="AP2832" t="s">
        <v>53</v>
      </c>
      <c r="AQ2832">
        <v>0</v>
      </c>
      <c r="AR2832" t="s">
        <v>53</v>
      </c>
      <c r="AS2832">
        <v>0</v>
      </c>
      <c r="AT2832">
        <v>0</v>
      </c>
      <c r="CC2832" t="s">
        <v>173</v>
      </c>
      <c r="CD2832">
        <v>100000</v>
      </c>
      <c r="CE2832" s="1">
        <v>42125</v>
      </c>
      <c r="CF2832" s="1">
        <v>42125</v>
      </c>
      <c r="CG2832" s="1">
        <v>42125</v>
      </c>
      <c r="CH2832" s="1">
        <v>51108</v>
      </c>
      <c r="CI2832" t="s">
        <v>51</v>
      </c>
      <c r="CK2832" t="s">
        <v>78</v>
      </c>
      <c r="CM2832" t="s">
        <v>54</v>
      </c>
      <c r="CN2832" t="s">
        <v>174</v>
      </c>
      <c r="CO2832" t="s">
        <v>86</v>
      </c>
      <c r="CP2832">
        <v>830</v>
      </c>
      <c r="CR2832">
        <v>19</v>
      </c>
      <c r="CS2832">
        <v>1800</v>
      </c>
      <c r="CT2832">
        <v>0</v>
      </c>
      <c r="CU2832">
        <v>16</v>
      </c>
    </row>
    <row r="2833" spans="1:99" x14ac:dyDescent="0.2">
      <c r="A2833" t="s">
        <v>1012</v>
      </c>
      <c r="B2833" t="s">
        <v>1013</v>
      </c>
      <c r="C2833" t="s">
        <v>1014</v>
      </c>
      <c r="D2833" t="s">
        <v>1162</v>
      </c>
      <c r="F2833" t="str">
        <f>"253580"</f>
        <v>253580</v>
      </c>
      <c r="G2833" t="s">
        <v>49</v>
      </c>
      <c r="H2833">
        <v>21</v>
      </c>
      <c r="K2833" t="s">
        <v>51</v>
      </c>
      <c r="L2833" t="s">
        <v>52</v>
      </c>
      <c r="M2833">
        <v>131424.06</v>
      </c>
      <c r="N2833">
        <v>475311.5</v>
      </c>
      <c r="O2833" t="s">
        <v>53</v>
      </c>
      <c r="P2833" t="s">
        <v>54</v>
      </c>
      <c r="Q2833" t="s">
        <v>55</v>
      </c>
      <c r="T2833" t="s">
        <v>170</v>
      </c>
      <c r="U2833">
        <v>40</v>
      </c>
      <c r="V2833" s="1">
        <v>42125</v>
      </c>
      <c r="W2833" s="1">
        <v>42125</v>
      </c>
      <c r="X2833" s="1">
        <v>42125</v>
      </c>
      <c r="Y2833" s="1">
        <v>56735</v>
      </c>
      <c r="Z2833" t="s">
        <v>51</v>
      </c>
      <c r="AB2833" t="s">
        <v>54</v>
      </c>
      <c r="AE2833" t="s">
        <v>342</v>
      </c>
      <c r="AF2833">
        <v>20</v>
      </c>
      <c r="AG2833" s="1">
        <v>42125</v>
      </c>
      <c r="AH2833" s="1">
        <v>42125</v>
      </c>
      <c r="AI2833" s="1">
        <v>42125</v>
      </c>
      <c r="AJ2833" s="1">
        <v>49430</v>
      </c>
      <c r="AK2833" t="s">
        <v>51</v>
      </c>
      <c r="AN2833">
        <v>0</v>
      </c>
      <c r="AO2833" t="s">
        <v>54</v>
      </c>
      <c r="AP2833" t="s">
        <v>53</v>
      </c>
      <c r="AQ2833">
        <v>0</v>
      </c>
      <c r="AR2833" t="s">
        <v>145</v>
      </c>
      <c r="AS2833">
        <v>19</v>
      </c>
      <c r="AT2833">
        <v>1800</v>
      </c>
      <c r="AW2833" t="s">
        <v>172</v>
      </c>
      <c r="AX2833">
        <v>15</v>
      </c>
      <c r="AY2833" s="1">
        <v>42125</v>
      </c>
      <c r="AZ2833" s="1">
        <v>42125</v>
      </c>
      <c r="BA2833" s="1">
        <v>42125</v>
      </c>
      <c r="BB2833" s="1">
        <v>47604</v>
      </c>
      <c r="BC2833" t="s">
        <v>51</v>
      </c>
      <c r="BE2833" t="s">
        <v>54</v>
      </c>
      <c r="BF2833">
        <v>40</v>
      </c>
      <c r="BG2833">
        <v>0</v>
      </c>
      <c r="BH2833" t="s">
        <v>145</v>
      </c>
      <c r="CC2833" t="s">
        <v>173</v>
      </c>
      <c r="CD2833">
        <v>100000</v>
      </c>
      <c r="CE2833" s="1">
        <v>42125</v>
      </c>
      <c r="CF2833" s="1">
        <v>42125</v>
      </c>
      <c r="CG2833" s="1">
        <v>42125</v>
      </c>
      <c r="CH2833" s="1">
        <v>51108</v>
      </c>
      <c r="CI2833" t="s">
        <v>51</v>
      </c>
      <c r="CK2833" t="s">
        <v>78</v>
      </c>
      <c r="CM2833" t="s">
        <v>54</v>
      </c>
      <c r="CN2833" t="s">
        <v>174</v>
      </c>
      <c r="CO2833" t="s">
        <v>86</v>
      </c>
      <c r="CP2833">
        <v>830</v>
      </c>
      <c r="CR2833">
        <v>19</v>
      </c>
      <c r="CS2833">
        <v>1800</v>
      </c>
      <c r="CT2833">
        <v>0</v>
      </c>
      <c r="CU2833">
        <v>16</v>
      </c>
    </row>
    <row r="2834" spans="1:99" x14ac:dyDescent="0.2">
      <c r="A2834" t="s">
        <v>1012</v>
      </c>
      <c r="B2834" t="s">
        <v>1013</v>
      </c>
      <c r="C2834" t="s">
        <v>1014</v>
      </c>
      <c r="D2834" t="s">
        <v>1137</v>
      </c>
      <c r="F2834" t="str">
        <f>"253581"</f>
        <v>253581</v>
      </c>
      <c r="G2834" t="s">
        <v>49</v>
      </c>
      <c r="H2834" t="s">
        <v>1127</v>
      </c>
      <c r="K2834" t="s">
        <v>51</v>
      </c>
      <c r="L2834" t="s">
        <v>52</v>
      </c>
      <c r="M2834">
        <v>131447.01999999999</v>
      </c>
      <c r="N2834">
        <v>475308.1</v>
      </c>
      <c r="O2834" t="s">
        <v>53</v>
      </c>
      <c r="P2834" t="s">
        <v>54</v>
      </c>
      <c r="Q2834" t="s">
        <v>55</v>
      </c>
      <c r="T2834" t="s">
        <v>170</v>
      </c>
      <c r="U2834">
        <v>40</v>
      </c>
      <c r="V2834" s="1">
        <v>42125</v>
      </c>
      <c r="W2834" s="1">
        <v>42125</v>
      </c>
      <c r="X2834" s="1">
        <v>42125</v>
      </c>
      <c r="Y2834" s="1">
        <v>56735</v>
      </c>
      <c r="Z2834" t="s">
        <v>51</v>
      </c>
      <c r="AB2834" t="s">
        <v>54</v>
      </c>
      <c r="AE2834" t="s">
        <v>342</v>
      </c>
      <c r="AF2834">
        <v>20</v>
      </c>
      <c r="AG2834" s="1">
        <v>42125</v>
      </c>
      <c r="AH2834" s="1">
        <v>42125</v>
      </c>
      <c r="AI2834" s="1">
        <v>42125</v>
      </c>
      <c r="AJ2834" s="1">
        <v>49430</v>
      </c>
      <c r="AK2834" t="s">
        <v>51</v>
      </c>
      <c r="AN2834">
        <v>0</v>
      </c>
      <c r="AO2834" t="s">
        <v>54</v>
      </c>
      <c r="AP2834" t="s">
        <v>53</v>
      </c>
      <c r="AQ2834">
        <v>0</v>
      </c>
      <c r="AR2834" t="s">
        <v>145</v>
      </c>
      <c r="AS2834">
        <v>19</v>
      </c>
      <c r="AT2834">
        <v>1800</v>
      </c>
      <c r="AW2834" t="s">
        <v>172</v>
      </c>
      <c r="AX2834">
        <v>15</v>
      </c>
      <c r="AY2834" s="1">
        <v>42125</v>
      </c>
      <c r="AZ2834" s="1">
        <v>42125</v>
      </c>
      <c r="BA2834" s="1">
        <v>42125</v>
      </c>
      <c r="BB2834" s="1">
        <v>47604</v>
      </c>
      <c r="BC2834" t="s">
        <v>51</v>
      </c>
      <c r="BE2834" t="s">
        <v>54</v>
      </c>
      <c r="BF2834">
        <v>40</v>
      </c>
      <c r="BG2834">
        <v>0</v>
      </c>
      <c r="BH2834" t="s">
        <v>145</v>
      </c>
      <c r="CC2834" t="s">
        <v>173</v>
      </c>
      <c r="CD2834">
        <v>100000</v>
      </c>
      <c r="CE2834" s="1">
        <v>42125</v>
      </c>
      <c r="CF2834" s="1">
        <v>42125</v>
      </c>
      <c r="CG2834" s="1">
        <v>42125</v>
      </c>
      <c r="CH2834" s="1">
        <v>51108</v>
      </c>
      <c r="CI2834" t="s">
        <v>51</v>
      </c>
      <c r="CK2834" t="s">
        <v>78</v>
      </c>
      <c r="CM2834" t="s">
        <v>54</v>
      </c>
      <c r="CN2834" t="s">
        <v>174</v>
      </c>
      <c r="CO2834" t="s">
        <v>86</v>
      </c>
      <c r="CP2834">
        <v>830</v>
      </c>
      <c r="CR2834">
        <v>19</v>
      </c>
      <c r="CS2834">
        <v>1800</v>
      </c>
      <c r="CT2834">
        <v>0</v>
      </c>
      <c r="CU2834">
        <v>16</v>
      </c>
    </row>
    <row r="2835" spans="1:99" x14ac:dyDescent="0.2">
      <c r="A2835" t="s">
        <v>1012</v>
      </c>
      <c r="B2835" t="s">
        <v>1013</v>
      </c>
      <c r="C2835" t="s">
        <v>1014</v>
      </c>
      <c r="D2835" t="s">
        <v>1162</v>
      </c>
      <c r="F2835" t="str">
        <f>"253582"</f>
        <v>253582</v>
      </c>
      <c r="G2835" t="s">
        <v>49</v>
      </c>
      <c r="H2835">
        <v>13</v>
      </c>
      <c r="K2835" t="s">
        <v>51</v>
      </c>
      <c r="L2835" t="s">
        <v>52</v>
      </c>
      <c r="M2835">
        <v>131424.09</v>
      </c>
      <c r="N2835">
        <v>475286.56</v>
      </c>
      <c r="O2835" t="s">
        <v>53</v>
      </c>
      <c r="P2835" t="s">
        <v>54</v>
      </c>
      <c r="Q2835" t="s">
        <v>55</v>
      </c>
      <c r="T2835" t="s">
        <v>170</v>
      </c>
      <c r="U2835">
        <v>40</v>
      </c>
      <c r="V2835" s="1">
        <v>42125</v>
      </c>
      <c r="W2835" s="1">
        <v>42125</v>
      </c>
      <c r="X2835" s="1">
        <v>42125</v>
      </c>
      <c r="Y2835" s="1">
        <v>56735</v>
      </c>
      <c r="Z2835" t="s">
        <v>51</v>
      </c>
      <c r="AB2835" t="s">
        <v>54</v>
      </c>
      <c r="AE2835" t="s">
        <v>342</v>
      </c>
      <c r="AF2835">
        <v>20</v>
      </c>
      <c r="AG2835" s="1">
        <v>42125</v>
      </c>
      <c r="AH2835" s="1">
        <v>42125</v>
      </c>
      <c r="AI2835" s="1">
        <v>42125</v>
      </c>
      <c r="AJ2835" s="1">
        <v>49430</v>
      </c>
      <c r="AK2835" t="s">
        <v>51</v>
      </c>
      <c r="AN2835">
        <v>0</v>
      </c>
      <c r="AO2835" t="s">
        <v>54</v>
      </c>
      <c r="AP2835" t="s">
        <v>53</v>
      </c>
      <c r="AQ2835">
        <v>0</v>
      </c>
      <c r="AR2835" t="s">
        <v>145</v>
      </c>
      <c r="AS2835">
        <v>19</v>
      </c>
      <c r="AT2835">
        <v>1800</v>
      </c>
      <c r="AW2835" t="s">
        <v>172</v>
      </c>
      <c r="AX2835">
        <v>15</v>
      </c>
      <c r="AY2835" s="1">
        <v>42125</v>
      </c>
      <c r="AZ2835" s="1">
        <v>42125</v>
      </c>
      <c r="BA2835" s="1">
        <v>42125</v>
      </c>
      <c r="BB2835" s="1">
        <v>47604</v>
      </c>
      <c r="BC2835" t="s">
        <v>51</v>
      </c>
      <c r="BE2835" t="s">
        <v>54</v>
      </c>
      <c r="BF2835">
        <v>40</v>
      </c>
      <c r="BG2835">
        <v>0</v>
      </c>
      <c r="BH2835" t="s">
        <v>145</v>
      </c>
      <c r="CC2835" t="s">
        <v>173</v>
      </c>
      <c r="CD2835">
        <v>100000</v>
      </c>
      <c r="CE2835" s="1">
        <v>42125</v>
      </c>
      <c r="CF2835" s="1">
        <v>42125</v>
      </c>
      <c r="CG2835" s="1">
        <v>42125</v>
      </c>
      <c r="CH2835" s="1">
        <v>51108</v>
      </c>
      <c r="CI2835" t="s">
        <v>51</v>
      </c>
      <c r="CK2835" t="s">
        <v>78</v>
      </c>
      <c r="CM2835" t="s">
        <v>54</v>
      </c>
      <c r="CN2835" t="s">
        <v>174</v>
      </c>
      <c r="CO2835" t="s">
        <v>86</v>
      </c>
      <c r="CP2835">
        <v>830</v>
      </c>
      <c r="CR2835">
        <v>19</v>
      </c>
      <c r="CS2835">
        <v>1800</v>
      </c>
      <c r="CT2835">
        <v>0</v>
      </c>
      <c r="CU2835">
        <v>16</v>
      </c>
    </row>
    <row r="2836" spans="1:99" x14ac:dyDescent="0.2">
      <c r="A2836" t="s">
        <v>1012</v>
      </c>
      <c r="B2836" t="s">
        <v>1013</v>
      </c>
      <c r="C2836" t="s">
        <v>1014</v>
      </c>
      <c r="D2836" t="s">
        <v>1162</v>
      </c>
      <c r="F2836" t="str">
        <f>"253583"</f>
        <v>253583</v>
      </c>
      <c r="G2836" t="s">
        <v>49</v>
      </c>
      <c r="H2836">
        <v>5</v>
      </c>
      <c r="K2836" t="s">
        <v>51</v>
      </c>
      <c r="L2836" t="s">
        <v>52</v>
      </c>
      <c r="M2836">
        <v>131423.75</v>
      </c>
      <c r="N2836">
        <v>475263.75</v>
      </c>
      <c r="O2836" t="s">
        <v>53</v>
      </c>
      <c r="P2836" t="s">
        <v>54</v>
      </c>
      <c r="Q2836" t="s">
        <v>55</v>
      </c>
      <c r="T2836" t="s">
        <v>170</v>
      </c>
      <c r="U2836">
        <v>40</v>
      </c>
      <c r="V2836" s="1">
        <v>42125</v>
      </c>
      <c r="W2836" s="1">
        <v>42125</v>
      </c>
      <c r="X2836" s="1">
        <v>42125</v>
      </c>
      <c r="Y2836" s="1">
        <v>56735</v>
      </c>
      <c r="Z2836" t="s">
        <v>51</v>
      </c>
      <c r="AB2836" t="s">
        <v>54</v>
      </c>
      <c r="AE2836" t="s">
        <v>342</v>
      </c>
      <c r="AF2836">
        <v>20</v>
      </c>
      <c r="AG2836" s="1">
        <v>42125</v>
      </c>
      <c r="AH2836" s="1">
        <v>42125</v>
      </c>
      <c r="AI2836" s="1">
        <v>42125</v>
      </c>
      <c r="AJ2836" s="1">
        <v>49430</v>
      </c>
      <c r="AK2836" t="s">
        <v>51</v>
      </c>
      <c r="AN2836">
        <v>0</v>
      </c>
      <c r="AO2836" t="s">
        <v>54</v>
      </c>
      <c r="AP2836" t="s">
        <v>53</v>
      </c>
      <c r="AQ2836">
        <v>0</v>
      </c>
      <c r="AR2836" t="s">
        <v>145</v>
      </c>
      <c r="AS2836">
        <v>19</v>
      </c>
      <c r="AT2836">
        <v>1800</v>
      </c>
      <c r="AW2836" t="s">
        <v>172</v>
      </c>
      <c r="AX2836">
        <v>15</v>
      </c>
      <c r="AY2836" s="1">
        <v>42125</v>
      </c>
      <c r="AZ2836" s="1">
        <v>42125</v>
      </c>
      <c r="BA2836" s="1">
        <v>42125</v>
      </c>
      <c r="BB2836" s="1">
        <v>47604</v>
      </c>
      <c r="BC2836" t="s">
        <v>51</v>
      </c>
      <c r="BE2836" t="s">
        <v>54</v>
      </c>
      <c r="BF2836">
        <v>40</v>
      </c>
      <c r="BG2836">
        <v>0</v>
      </c>
      <c r="BH2836" t="s">
        <v>145</v>
      </c>
      <c r="CC2836" t="s">
        <v>173</v>
      </c>
      <c r="CD2836">
        <v>100000</v>
      </c>
      <c r="CE2836" s="1">
        <v>42125</v>
      </c>
      <c r="CF2836" s="1">
        <v>42125</v>
      </c>
      <c r="CG2836" s="1">
        <v>42125</v>
      </c>
      <c r="CH2836" s="1">
        <v>51108</v>
      </c>
      <c r="CI2836" t="s">
        <v>51</v>
      </c>
      <c r="CK2836" t="s">
        <v>78</v>
      </c>
      <c r="CM2836" t="s">
        <v>54</v>
      </c>
      <c r="CN2836" t="s">
        <v>174</v>
      </c>
      <c r="CO2836" t="s">
        <v>86</v>
      </c>
      <c r="CP2836">
        <v>830</v>
      </c>
      <c r="CR2836">
        <v>19</v>
      </c>
      <c r="CS2836">
        <v>1800</v>
      </c>
      <c r="CT2836">
        <v>0</v>
      </c>
      <c r="CU2836">
        <v>16</v>
      </c>
    </row>
    <row r="2837" spans="1:99" x14ac:dyDescent="0.2">
      <c r="A2837" t="s">
        <v>1012</v>
      </c>
      <c r="B2837" t="s">
        <v>1013</v>
      </c>
      <c r="C2837" t="s">
        <v>1014</v>
      </c>
      <c r="D2837" t="s">
        <v>1162</v>
      </c>
      <c r="F2837" t="str">
        <f>"253584"</f>
        <v>253584</v>
      </c>
      <c r="G2837" t="s">
        <v>49</v>
      </c>
      <c r="K2837" t="s">
        <v>51</v>
      </c>
      <c r="L2837" t="s">
        <v>52</v>
      </c>
      <c r="M2837">
        <v>131468.10999999999</v>
      </c>
      <c r="N2837">
        <v>475282.75</v>
      </c>
      <c r="O2837" t="s">
        <v>53</v>
      </c>
      <c r="P2837" t="s">
        <v>54</v>
      </c>
      <c r="Q2837" t="s">
        <v>55</v>
      </c>
      <c r="T2837" t="s">
        <v>246</v>
      </c>
      <c r="U2837">
        <v>40</v>
      </c>
      <c r="V2837" s="1">
        <v>42125</v>
      </c>
      <c r="W2837" s="1">
        <v>42125</v>
      </c>
      <c r="X2837" s="1">
        <v>42125</v>
      </c>
      <c r="Y2837" s="1">
        <v>56735</v>
      </c>
      <c r="Z2837" t="s">
        <v>51</v>
      </c>
      <c r="AB2837" t="s">
        <v>54</v>
      </c>
      <c r="AE2837" t="s">
        <v>1065</v>
      </c>
      <c r="AF2837">
        <v>20</v>
      </c>
      <c r="AG2837" s="1">
        <v>42125</v>
      </c>
      <c r="AH2837" s="1">
        <v>42125</v>
      </c>
      <c r="AI2837" s="1">
        <v>42125</v>
      </c>
      <c r="AJ2837" s="1">
        <v>49430</v>
      </c>
      <c r="AK2837" t="s">
        <v>51</v>
      </c>
      <c r="AN2837">
        <v>0</v>
      </c>
      <c r="AO2837" t="s">
        <v>54</v>
      </c>
      <c r="AP2837" t="s">
        <v>53</v>
      </c>
      <c r="AQ2837">
        <v>0</v>
      </c>
      <c r="AR2837" t="s">
        <v>53</v>
      </c>
      <c r="AS2837">
        <v>0</v>
      </c>
      <c r="AT2837">
        <v>0</v>
      </c>
      <c r="AW2837" t="s">
        <v>172</v>
      </c>
      <c r="AX2837">
        <v>15</v>
      </c>
      <c r="AY2837" s="1">
        <v>42125</v>
      </c>
      <c r="AZ2837" s="1">
        <v>42125</v>
      </c>
      <c r="BA2837" s="1">
        <v>42125</v>
      </c>
      <c r="BB2837" s="1">
        <v>47604</v>
      </c>
      <c r="BC2837" t="s">
        <v>51</v>
      </c>
      <c r="BE2837" t="s">
        <v>54</v>
      </c>
      <c r="BF2837">
        <v>40</v>
      </c>
      <c r="BG2837">
        <v>0</v>
      </c>
      <c r="BH2837" t="s">
        <v>145</v>
      </c>
      <c r="CC2837" t="s">
        <v>1066</v>
      </c>
      <c r="CD2837">
        <v>100000</v>
      </c>
      <c r="CE2837" s="1">
        <v>42125</v>
      </c>
      <c r="CF2837" s="1">
        <v>42125</v>
      </c>
      <c r="CG2837" s="1">
        <v>42125</v>
      </c>
      <c r="CH2837" s="1">
        <v>51108</v>
      </c>
      <c r="CI2837" t="s">
        <v>51</v>
      </c>
      <c r="CK2837" t="s">
        <v>78</v>
      </c>
      <c r="CM2837" t="s">
        <v>54</v>
      </c>
      <c r="CN2837" t="s">
        <v>174</v>
      </c>
      <c r="CR2837">
        <v>11</v>
      </c>
      <c r="CS2837">
        <v>1600</v>
      </c>
      <c r="CT2837">
        <v>0</v>
      </c>
      <c r="CU2837">
        <v>16</v>
      </c>
    </row>
    <row r="2838" spans="1:99" x14ac:dyDescent="0.2">
      <c r="A2838" t="s">
        <v>1012</v>
      </c>
      <c r="B2838" t="s">
        <v>1013</v>
      </c>
      <c r="C2838" t="s">
        <v>1014</v>
      </c>
      <c r="D2838" t="s">
        <v>1162</v>
      </c>
      <c r="F2838" t="str">
        <f>"253585"</f>
        <v>253585</v>
      </c>
      <c r="G2838" t="s">
        <v>49</v>
      </c>
      <c r="H2838">
        <v>6</v>
      </c>
      <c r="K2838" t="s">
        <v>51</v>
      </c>
      <c r="L2838" t="s">
        <v>52</v>
      </c>
      <c r="M2838">
        <v>131446.16699999999</v>
      </c>
      <c r="N2838">
        <v>475256.12099999998</v>
      </c>
      <c r="O2838" t="s">
        <v>53</v>
      </c>
      <c r="P2838" t="s">
        <v>54</v>
      </c>
      <c r="Q2838" t="s">
        <v>55</v>
      </c>
      <c r="T2838" t="s">
        <v>246</v>
      </c>
      <c r="U2838">
        <v>40</v>
      </c>
      <c r="V2838" s="1">
        <v>42125</v>
      </c>
      <c r="W2838" s="1">
        <v>42125</v>
      </c>
      <c r="X2838" s="1">
        <v>42125</v>
      </c>
      <c r="Y2838" s="1">
        <v>56735</v>
      </c>
      <c r="Z2838" t="s">
        <v>51</v>
      </c>
      <c r="AB2838" t="s">
        <v>54</v>
      </c>
      <c r="AE2838" t="s">
        <v>1065</v>
      </c>
      <c r="AF2838">
        <v>20</v>
      </c>
      <c r="AG2838" s="1">
        <v>42125</v>
      </c>
      <c r="AH2838" s="1">
        <v>42125</v>
      </c>
      <c r="AI2838" s="1">
        <v>42125</v>
      </c>
      <c r="AJ2838" s="1">
        <v>49430</v>
      </c>
      <c r="AK2838" t="s">
        <v>51</v>
      </c>
      <c r="AN2838">
        <v>0</v>
      </c>
      <c r="AO2838" t="s">
        <v>54</v>
      </c>
      <c r="AP2838" t="s">
        <v>53</v>
      </c>
      <c r="AQ2838">
        <v>0</v>
      </c>
      <c r="AR2838" t="s">
        <v>53</v>
      </c>
      <c r="AS2838">
        <v>0</v>
      </c>
      <c r="AT2838">
        <v>0</v>
      </c>
      <c r="AW2838" t="s">
        <v>172</v>
      </c>
      <c r="AX2838">
        <v>15</v>
      </c>
      <c r="AY2838" s="1">
        <v>42125</v>
      </c>
      <c r="AZ2838" s="1">
        <v>42125</v>
      </c>
      <c r="BA2838" s="1">
        <v>42125</v>
      </c>
      <c r="BB2838" s="1">
        <v>47604</v>
      </c>
      <c r="BC2838" t="s">
        <v>51</v>
      </c>
      <c r="BE2838" t="s">
        <v>54</v>
      </c>
      <c r="BF2838">
        <v>40</v>
      </c>
      <c r="BG2838">
        <v>0</v>
      </c>
      <c r="BH2838" t="s">
        <v>145</v>
      </c>
      <c r="CC2838" t="s">
        <v>1066</v>
      </c>
      <c r="CD2838">
        <v>100000</v>
      </c>
      <c r="CE2838" s="1">
        <v>42125</v>
      </c>
      <c r="CF2838" s="1">
        <v>42125</v>
      </c>
      <c r="CG2838" s="1">
        <v>42125</v>
      </c>
      <c r="CH2838" s="1">
        <v>51108</v>
      </c>
      <c r="CI2838" t="s">
        <v>51</v>
      </c>
      <c r="CK2838" t="s">
        <v>78</v>
      </c>
      <c r="CM2838" t="s">
        <v>54</v>
      </c>
      <c r="CN2838" t="s">
        <v>174</v>
      </c>
      <c r="CR2838">
        <v>11</v>
      </c>
      <c r="CS2838">
        <v>1600</v>
      </c>
      <c r="CT2838">
        <v>0</v>
      </c>
      <c r="CU2838">
        <v>16</v>
      </c>
    </row>
    <row r="2839" spans="1:99" x14ac:dyDescent="0.2">
      <c r="A2839" t="s">
        <v>1012</v>
      </c>
      <c r="B2839" t="s">
        <v>1013</v>
      </c>
      <c r="C2839" t="s">
        <v>1014</v>
      </c>
      <c r="D2839" t="s">
        <v>1162</v>
      </c>
      <c r="F2839" t="str">
        <f>"253586"</f>
        <v>253586</v>
      </c>
      <c r="G2839" t="s">
        <v>49</v>
      </c>
      <c r="H2839">
        <v>12</v>
      </c>
      <c r="K2839" t="s">
        <v>51</v>
      </c>
      <c r="L2839" t="s">
        <v>52</v>
      </c>
      <c r="M2839">
        <v>131471.72</v>
      </c>
      <c r="N2839">
        <v>475259.31</v>
      </c>
      <c r="O2839" t="s">
        <v>53</v>
      </c>
      <c r="P2839" t="s">
        <v>54</v>
      </c>
      <c r="Q2839" t="s">
        <v>55</v>
      </c>
      <c r="T2839" t="s">
        <v>246</v>
      </c>
      <c r="U2839">
        <v>40</v>
      </c>
      <c r="V2839" s="1">
        <v>42125</v>
      </c>
      <c r="W2839" s="1">
        <v>42125</v>
      </c>
      <c r="X2839" s="1">
        <v>42125</v>
      </c>
      <c r="Y2839" s="1">
        <v>56735</v>
      </c>
      <c r="Z2839" t="s">
        <v>51</v>
      </c>
      <c r="AB2839" t="s">
        <v>54</v>
      </c>
      <c r="AE2839" t="s">
        <v>1065</v>
      </c>
      <c r="AF2839">
        <v>20</v>
      </c>
      <c r="AG2839" s="1">
        <v>42125</v>
      </c>
      <c r="AH2839" s="1">
        <v>42125</v>
      </c>
      <c r="AI2839" s="1">
        <v>42125</v>
      </c>
      <c r="AJ2839" s="1">
        <v>49430</v>
      </c>
      <c r="AK2839" t="s">
        <v>51</v>
      </c>
      <c r="AN2839">
        <v>0</v>
      </c>
      <c r="AO2839" t="s">
        <v>54</v>
      </c>
      <c r="AP2839" t="s">
        <v>53</v>
      </c>
      <c r="AQ2839">
        <v>0</v>
      </c>
      <c r="AR2839" t="s">
        <v>53</v>
      </c>
      <c r="AS2839">
        <v>0</v>
      </c>
      <c r="AT2839">
        <v>0</v>
      </c>
      <c r="AW2839" t="s">
        <v>172</v>
      </c>
      <c r="AX2839">
        <v>15</v>
      </c>
      <c r="AY2839" s="1">
        <v>42125</v>
      </c>
      <c r="AZ2839" s="1">
        <v>42125</v>
      </c>
      <c r="BA2839" s="1">
        <v>42125</v>
      </c>
      <c r="BB2839" s="1">
        <v>47604</v>
      </c>
      <c r="BC2839" t="s">
        <v>51</v>
      </c>
      <c r="BE2839" t="s">
        <v>54</v>
      </c>
      <c r="BF2839">
        <v>40</v>
      </c>
      <c r="BG2839">
        <v>0</v>
      </c>
      <c r="BH2839" t="s">
        <v>145</v>
      </c>
      <c r="CC2839" t="s">
        <v>1066</v>
      </c>
      <c r="CD2839">
        <v>100000</v>
      </c>
      <c r="CE2839" s="1">
        <v>42125</v>
      </c>
      <c r="CF2839" s="1">
        <v>42125</v>
      </c>
      <c r="CG2839" s="1">
        <v>42125</v>
      </c>
      <c r="CH2839" s="1">
        <v>51108</v>
      </c>
      <c r="CI2839" t="s">
        <v>51</v>
      </c>
      <c r="CK2839" t="s">
        <v>78</v>
      </c>
      <c r="CM2839" t="s">
        <v>54</v>
      </c>
      <c r="CN2839" t="s">
        <v>174</v>
      </c>
      <c r="CR2839">
        <v>11</v>
      </c>
      <c r="CS2839">
        <v>1600</v>
      </c>
      <c r="CT2839">
        <v>0</v>
      </c>
      <c r="CU2839">
        <v>16</v>
      </c>
    </row>
    <row r="2840" spans="1:99" x14ac:dyDescent="0.2">
      <c r="A2840" t="s">
        <v>1012</v>
      </c>
      <c r="B2840" t="s">
        <v>1013</v>
      </c>
      <c r="C2840" t="s">
        <v>1014</v>
      </c>
      <c r="D2840" t="s">
        <v>1162</v>
      </c>
      <c r="F2840" t="str">
        <f>"253587"</f>
        <v>253587</v>
      </c>
      <c r="G2840" t="s">
        <v>49</v>
      </c>
      <c r="H2840">
        <v>1</v>
      </c>
      <c r="K2840" t="s">
        <v>51</v>
      </c>
      <c r="L2840" t="s">
        <v>52</v>
      </c>
      <c r="M2840">
        <v>131432.06</v>
      </c>
      <c r="N2840">
        <v>475241.19</v>
      </c>
      <c r="O2840" t="s">
        <v>53</v>
      </c>
      <c r="P2840" t="s">
        <v>54</v>
      </c>
      <c r="Q2840" t="s">
        <v>55</v>
      </c>
      <c r="T2840" t="s">
        <v>170</v>
      </c>
      <c r="U2840">
        <v>40</v>
      </c>
      <c r="V2840" s="1">
        <v>42125</v>
      </c>
      <c r="W2840" s="1">
        <v>42125</v>
      </c>
      <c r="X2840" s="1">
        <v>42125</v>
      </c>
      <c r="Y2840" s="1">
        <v>56735</v>
      </c>
      <c r="Z2840" t="s">
        <v>51</v>
      </c>
      <c r="AB2840" t="s">
        <v>54</v>
      </c>
      <c r="AE2840" t="s">
        <v>342</v>
      </c>
      <c r="AF2840">
        <v>20</v>
      </c>
      <c r="AG2840" s="1">
        <v>42125</v>
      </c>
      <c r="AH2840" s="1">
        <v>42125</v>
      </c>
      <c r="AI2840" s="1">
        <v>42125</v>
      </c>
      <c r="AJ2840" s="1">
        <v>49430</v>
      </c>
      <c r="AK2840" t="s">
        <v>51</v>
      </c>
      <c r="AN2840">
        <v>0</v>
      </c>
      <c r="AO2840" t="s">
        <v>54</v>
      </c>
      <c r="AP2840" t="s">
        <v>53</v>
      </c>
      <c r="AQ2840">
        <v>0</v>
      </c>
      <c r="AR2840" t="s">
        <v>145</v>
      </c>
      <c r="AS2840">
        <v>19</v>
      </c>
      <c r="AT2840">
        <v>1800</v>
      </c>
      <c r="AW2840" t="s">
        <v>172</v>
      </c>
      <c r="AX2840">
        <v>15</v>
      </c>
      <c r="AY2840" s="1">
        <v>42125</v>
      </c>
      <c r="AZ2840" s="1">
        <v>42125</v>
      </c>
      <c r="BA2840" s="1">
        <v>42125</v>
      </c>
      <c r="BB2840" s="1">
        <v>47604</v>
      </c>
      <c r="BC2840" t="s">
        <v>51</v>
      </c>
      <c r="BE2840" t="s">
        <v>54</v>
      </c>
      <c r="BF2840">
        <v>40</v>
      </c>
      <c r="BG2840">
        <v>0</v>
      </c>
      <c r="BH2840" t="s">
        <v>145</v>
      </c>
      <c r="CC2840" t="s">
        <v>173</v>
      </c>
      <c r="CD2840">
        <v>100000</v>
      </c>
      <c r="CE2840" s="1">
        <v>42125</v>
      </c>
      <c r="CF2840" s="1">
        <v>42125</v>
      </c>
      <c r="CG2840" s="1">
        <v>42125</v>
      </c>
      <c r="CH2840" s="1">
        <v>51108</v>
      </c>
      <c r="CI2840" t="s">
        <v>51</v>
      </c>
      <c r="CK2840" t="s">
        <v>78</v>
      </c>
      <c r="CM2840" t="s">
        <v>54</v>
      </c>
      <c r="CN2840" t="s">
        <v>174</v>
      </c>
      <c r="CO2840" t="s">
        <v>86</v>
      </c>
      <c r="CP2840">
        <v>830</v>
      </c>
      <c r="CR2840">
        <v>19</v>
      </c>
      <c r="CS2840">
        <v>1800</v>
      </c>
      <c r="CT2840">
        <v>0</v>
      </c>
      <c r="CU2840">
        <v>16</v>
      </c>
    </row>
    <row r="2841" spans="1:99" x14ac:dyDescent="0.2">
      <c r="A2841" t="s">
        <v>1012</v>
      </c>
      <c r="B2841" t="s">
        <v>1013</v>
      </c>
      <c r="C2841" t="s">
        <v>1014</v>
      </c>
      <c r="D2841" t="s">
        <v>1094</v>
      </c>
      <c r="F2841" t="str">
        <f>"253588"</f>
        <v>253588</v>
      </c>
      <c r="G2841" t="s">
        <v>49</v>
      </c>
      <c r="H2841" t="s">
        <v>567</v>
      </c>
      <c r="K2841" t="s">
        <v>51</v>
      </c>
      <c r="L2841" t="s">
        <v>52</v>
      </c>
      <c r="M2841">
        <v>131626.65</v>
      </c>
      <c r="N2841">
        <v>475059.54</v>
      </c>
      <c r="O2841" t="s">
        <v>53</v>
      </c>
      <c r="P2841" t="s">
        <v>54</v>
      </c>
      <c r="Q2841" t="s">
        <v>55</v>
      </c>
      <c r="S2841" t="s">
        <v>989</v>
      </c>
      <c r="T2841" t="s">
        <v>989</v>
      </c>
      <c r="U2841">
        <v>30</v>
      </c>
      <c r="V2841" s="1">
        <v>41821</v>
      </c>
      <c r="W2841" s="1">
        <v>41821</v>
      </c>
      <c r="X2841" s="1">
        <v>41821</v>
      </c>
      <c r="Y2841" s="1">
        <v>52779</v>
      </c>
      <c r="Z2841" t="s">
        <v>51</v>
      </c>
      <c r="AB2841" t="s">
        <v>54</v>
      </c>
      <c r="AC2841">
        <v>1</v>
      </c>
      <c r="AE2841" t="s">
        <v>171</v>
      </c>
      <c r="AF2841">
        <v>20</v>
      </c>
      <c r="AG2841" s="1">
        <v>41821</v>
      </c>
      <c r="AH2841" s="1">
        <v>41821</v>
      </c>
      <c r="AI2841" s="1">
        <v>41821</v>
      </c>
      <c r="AJ2841" s="1">
        <v>49126</v>
      </c>
      <c r="AK2841" t="s">
        <v>51</v>
      </c>
      <c r="AN2841">
        <v>0</v>
      </c>
      <c r="AO2841" t="s">
        <v>54</v>
      </c>
      <c r="AP2841" t="s">
        <v>53</v>
      </c>
      <c r="AQ2841">
        <v>0</v>
      </c>
      <c r="AR2841" t="s">
        <v>53</v>
      </c>
      <c r="AS2841">
        <v>0</v>
      </c>
      <c r="AT2841">
        <v>0</v>
      </c>
      <c r="CC2841" t="s">
        <v>432</v>
      </c>
      <c r="CD2841">
        <v>85000</v>
      </c>
      <c r="CE2841" s="1">
        <v>41821</v>
      </c>
      <c r="CF2841" s="1">
        <v>41821</v>
      </c>
      <c r="CG2841" s="1">
        <v>41821</v>
      </c>
      <c r="CH2841" s="1">
        <v>49408</v>
      </c>
      <c r="CI2841" t="s">
        <v>51</v>
      </c>
      <c r="CK2841" t="s">
        <v>78</v>
      </c>
      <c r="CM2841" t="s">
        <v>54</v>
      </c>
      <c r="CN2841" t="s">
        <v>174</v>
      </c>
      <c r="CO2841" t="s">
        <v>86</v>
      </c>
      <c r="CR2841">
        <v>24</v>
      </c>
      <c r="CS2841">
        <v>0</v>
      </c>
      <c r="CT2841">
        <v>0</v>
      </c>
      <c r="CU2841">
        <v>0</v>
      </c>
    </row>
    <row r="2842" spans="1:99" x14ac:dyDescent="0.2">
      <c r="A2842" t="s">
        <v>1012</v>
      </c>
      <c r="B2842" t="s">
        <v>1013</v>
      </c>
      <c r="C2842" t="s">
        <v>1014</v>
      </c>
      <c r="D2842" t="s">
        <v>1094</v>
      </c>
      <c r="F2842" t="str">
        <f>"253589"</f>
        <v>253589</v>
      </c>
      <c r="G2842" t="s">
        <v>49</v>
      </c>
      <c r="K2842" t="s">
        <v>51</v>
      </c>
      <c r="L2842" t="s">
        <v>52</v>
      </c>
      <c r="M2842">
        <v>131618.52499999999</v>
      </c>
      <c r="N2842">
        <v>475067.72</v>
      </c>
      <c r="O2842" t="s">
        <v>53</v>
      </c>
      <c r="P2842" t="s">
        <v>54</v>
      </c>
      <c r="Q2842" t="s">
        <v>55</v>
      </c>
      <c r="S2842" t="s">
        <v>989</v>
      </c>
      <c r="T2842" t="s">
        <v>989</v>
      </c>
      <c r="U2842">
        <v>30</v>
      </c>
      <c r="V2842" s="1">
        <v>41821</v>
      </c>
      <c r="W2842" s="1">
        <v>41821</v>
      </c>
      <c r="X2842" s="1">
        <v>41821</v>
      </c>
      <c r="Y2842" s="1">
        <v>52779</v>
      </c>
      <c r="Z2842" t="s">
        <v>51</v>
      </c>
      <c r="AB2842" t="s">
        <v>54</v>
      </c>
      <c r="AC2842" t="s">
        <v>1163</v>
      </c>
      <c r="AE2842" t="s">
        <v>171</v>
      </c>
      <c r="AF2842">
        <v>20</v>
      </c>
      <c r="AG2842" s="1">
        <v>41821</v>
      </c>
      <c r="AH2842" s="1">
        <v>41821</v>
      </c>
      <c r="AI2842" s="1">
        <v>41821</v>
      </c>
      <c r="AJ2842" s="1">
        <v>49126</v>
      </c>
      <c r="AK2842" t="s">
        <v>51</v>
      </c>
      <c r="AN2842">
        <v>0</v>
      </c>
      <c r="AO2842" t="s">
        <v>54</v>
      </c>
      <c r="AP2842" t="s">
        <v>53</v>
      </c>
      <c r="AQ2842">
        <v>0</v>
      </c>
      <c r="AR2842" t="s">
        <v>53</v>
      </c>
      <c r="AS2842">
        <v>0</v>
      </c>
      <c r="AT2842">
        <v>0</v>
      </c>
      <c r="CA2842" t="s">
        <v>1164</v>
      </c>
      <c r="CC2842" t="s">
        <v>432</v>
      </c>
      <c r="CD2842">
        <v>85000</v>
      </c>
      <c r="CE2842" s="1">
        <v>41821</v>
      </c>
      <c r="CF2842" s="1">
        <v>41821</v>
      </c>
      <c r="CG2842" s="1">
        <v>41821</v>
      </c>
      <c r="CH2842" s="1">
        <v>49408</v>
      </c>
      <c r="CI2842" t="s">
        <v>51</v>
      </c>
      <c r="CK2842" t="s">
        <v>78</v>
      </c>
      <c r="CM2842" t="s">
        <v>54</v>
      </c>
      <c r="CN2842" t="s">
        <v>174</v>
      </c>
      <c r="CO2842" t="s">
        <v>86</v>
      </c>
      <c r="CR2842">
        <v>24</v>
      </c>
      <c r="CS2842">
        <v>0</v>
      </c>
      <c r="CT2842">
        <v>0</v>
      </c>
      <c r="CU2842">
        <v>0</v>
      </c>
    </row>
    <row r="2843" spans="1:99" x14ac:dyDescent="0.2">
      <c r="A2843" t="s">
        <v>1012</v>
      </c>
      <c r="B2843" t="s">
        <v>1013</v>
      </c>
      <c r="C2843" t="s">
        <v>1014</v>
      </c>
      <c r="D2843" t="s">
        <v>1094</v>
      </c>
      <c r="F2843" t="str">
        <f>"253590"</f>
        <v>253590</v>
      </c>
      <c r="G2843" t="s">
        <v>49</v>
      </c>
      <c r="H2843" t="s">
        <v>567</v>
      </c>
      <c r="K2843" t="s">
        <v>51</v>
      </c>
      <c r="L2843" t="s">
        <v>52</v>
      </c>
      <c r="M2843">
        <v>131593.274</v>
      </c>
      <c r="N2843">
        <v>475057.38400000002</v>
      </c>
      <c r="O2843" t="s">
        <v>53</v>
      </c>
      <c r="P2843" t="s">
        <v>54</v>
      </c>
      <c r="Q2843" t="s">
        <v>55</v>
      </c>
      <c r="S2843" t="s">
        <v>989</v>
      </c>
      <c r="T2843" t="s">
        <v>989</v>
      </c>
      <c r="U2843">
        <v>30</v>
      </c>
      <c r="V2843" s="1">
        <v>41821</v>
      </c>
      <c r="W2843" s="1">
        <v>41821</v>
      </c>
      <c r="X2843" s="1">
        <v>41821</v>
      </c>
      <c r="Y2843" s="1">
        <v>52779</v>
      </c>
      <c r="Z2843" t="s">
        <v>51</v>
      </c>
      <c r="AB2843" t="s">
        <v>54</v>
      </c>
      <c r="AC2843">
        <v>1</v>
      </c>
      <c r="AE2843" t="s">
        <v>171</v>
      </c>
      <c r="AF2843">
        <v>20</v>
      </c>
      <c r="AG2843" s="1">
        <v>41821</v>
      </c>
      <c r="AH2843" s="1">
        <v>41821</v>
      </c>
      <c r="AI2843" s="1">
        <v>41821</v>
      </c>
      <c r="AJ2843" s="1">
        <v>49126</v>
      </c>
      <c r="AK2843" t="s">
        <v>51</v>
      </c>
      <c r="AN2843">
        <v>0</v>
      </c>
      <c r="AO2843" t="s">
        <v>54</v>
      </c>
      <c r="AP2843" t="s">
        <v>53</v>
      </c>
      <c r="AQ2843">
        <v>0</v>
      </c>
      <c r="AR2843" t="s">
        <v>53</v>
      </c>
      <c r="AS2843">
        <v>0</v>
      </c>
      <c r="AT2843">
        <v>0</v>
      </c>
      <c r="CC2843" t="s">
        <v>432</v>
      </c>
      <c r="CD2843">
        <v>85000</v>
      </c>
      <c r="CE2843" s="1">
        <v>41821</v>
      </c>
      <c r="CF2843" s="1">
        <v>41821</v>
      </c>
      <c r="CG2843" s="1">
        <v>41821</v>
      </c>
      <c r="CH2843" s="1">
        <v>48983</v>
      </c>
      <c r="CI2843" t="s">
        <v>51</v>
      </c>
      <c r="CK2843" t="s">
        <v>78</v>
      </c>
      <c r="CM2843" t="s">
        <v>54</v>
      </c>
      <c r="CN2843" t="s">
        <v>174</v>
      </c>
      <c r="CO2843" t="s">
        <v>86</v>
      </c>
      <c r="CR2843">
        <v>24</v>
      </c>
      <c r="CS2843">
        <v>0</v>
      </c>
      <c r="CT2843">
        <v>0</v>
      </c>
      <c r="CU2843">
        <v>0</v>
      </c>
    </row>
    <row r="2844" spans="1:99" x14ac:dyDescent="0.2">
      <c r="A2844" t="s">
        <v>1012</v>
      </c>
      <c r="B2844" t="s">
        <v>1013</v>
      </c>
      <c r="C2844" t="s">
        <v>1014</v>
      </c>
      <c r="D2844" t="s">
        <v>1072</v>
      </c>
      <c r="F2844" t="str">
        <f>"253591"</f>
        <v>253591</v>
      </c>
      <c r="G2844" t="s">
        <v>49</v>
      </c>
      <c r="K2844" t="s">
        <v>51</v>
      </c>
      <c r="L2844" t="s">
        <v>52</v>
      </c>
      <c r="M2844">
        <v>131564.70600000001</v>
      </c>
      <c r="N2844">
        <v>475053.451</v>
      </c>
      <c r="O2844" t="s">
        <v>53</v>
      </c>
      <c r="P2844" t="s">
        <v>54</v>
      </c>
      <c r="Q2844" t="s">
        <v>55</v>
      </c>
      <c r="S2844" t="s">
        <v>989</v>
      </c>
      <c r="T2844" t="s">
        <v>989</v>
      </c>
      <c r="U2844">
        <v>30</v>
      </c>
      <c r="V2844" s="1">
        <v>41821</v>
      </c>
      <c r="W2844" s="1">
        <v>41821</v>
      </c>
      <c r="X2844" s="1">
        <v>41821</v>
      </c>
      <c r="Y2844" s="1">
        <v>52779</v>
      </c>
      <c r="Z2844" t="s">
        <v>51</v>
      </c>
      <c r="AB2844" t="s">
        <v>54</v>
      </c>
      <c r="AC2844">
        <v>1</v>
      </c>
      <c r="AE2844" t="s">
        <v>171</v>
      </c>
      <c r="AF2844">
        <v>20</v>
      </c>
      <c r="AG2844" s="1">
        <v>41821</v>
      </c>
      <c r="AH2844" s="1">
        <v>41821</v>
      </c>
      <c r="AI2844" s="1">
        <v>41821</v>
      </c>
      <c r="AJ2844" s="1">
        <v>49126</v>
      </c>
      <c r="AK2844" t="s">
        <v>51</v>
      </c>
      <c r="AN2844">
        <v>0</v>
      </c>
      <c r="AO2844" t="s">
        <v>54</v>
      </c>
      <c r="AP2844" t="s">
        <v>53</v>
      </c>
      <c r="AQ2844">
        <v>0</v>
      </c>
      <c r="AR2844" t="s">
        <v>53</v>
      </c>
      <c r="AS2844">
        <v>0</v>
      </c>
      <c r="AT2844">
        <v>0</v>
      </c>
      <c r="CC2844" t="s">
        <v>432</v>
      </c>
      <c r="CD2844">
        <v>85000</v>
      </c>
      <c r="CE2844" s="1">
        <v>41821</v>
      </c>
      <c r="CF2844" s="1">
        <v>41821</v>
      </c>
      <c r="CG2844" s="1">
        <v>41821</v>
      </c>
      <c r="CH2844" s="1">
        <v>48983</v>
      </c>
      <c r="CI2844" t="s">
        <v>51</v>
      </c>
      <c r="CK2844" t="s">
        <v>78</v>
      </c>
      <c r="CM2844" t="s">
        <v>54</v>
      </c>
      <c r="CN2844" t="s">
        <v>174</v>
      </c>
      <c r="CO2844" t="s">
        <v>86</v>
      </c>
      <c r="CR2844">
        <v>24</v>
      </c>
      <c r="CS2844">
        <v>0</v>
      </c>
      <c r="CT2844">
        <v>0</v>
      </c>
      <c r="CU2844">
        <v>0</v>
      </c>
    </row>
    <row r="2845" spans="1:99" x14ac:dyDescent="0.2">
      <c r="A2845" t="s">
        <v>1012</v>
      </c>
      <c r="B2845" t="s">
        <v>1013</v>
      </c>
      <c r="C2845" t="s">
        <v>1014</v>
      </c>
      <c r="D2845" t="s">
        <v>1165</v>
      </c>
      <c r="F2845" t="str">
        <f>"253592"</f>
        <v>253592</v>
      </c>
      <c r="G2845" t="s">
        <v>49</v>
      </c>
      <c r="H2845" t="s">
        <v>1166</v>
      </c>
      <c r="K2845" t="s">
        <v>51</v>
      </c>
      <c r="L2845" t="s">
        <v>52</v>
      </c>
      <c r="M2845">
        <v>131535.9</v>
      </c>
      <c r="N2845">
        <v>475052.69799999997</v>
      </c>
      <c r="O2845" t="s">
        <v>53</v>
      </c>
      <c r="P2845" t="s">
        <v>54</v>
      </c>
      <c r="Q2845" t="s">
        <v>55</v>
      </c>
      <c r="S2845" t="s">
        <v>989</v>
      </c>
      <c r="T2845" t="s">
        <v>989</v>
      </c>
      <c r="U2845">
        <v>30</v>
      </c>
      <c r="V2845" s="1">
        <v>41821</v>
      </c>
      <c r="W2845" s="1">
        <v>41821</v>
      </c>
      <c r="X2845" s="1">
        <v>41821</v>
      </c>
      <c r="Y2845" s="1">
        <v>52779</v>
      </c>
      <c r="Z2845" t="s">
        <v>51</v>
      </c>
      <c r="AB2845" t="s">
        <v>54</v>
      </c>
      <c r="AC2845">
        <v>1</v>
      </c>
      <c r="AE2845" t="s">
        <v>171</v>
      </c>
      <c r="AF2845">
        <v>20</v>
      </c>
      <c r="AG2845" s="1">
        <v>41821</v>
      </c>
      <c r="AH2845" s="1">
        <v>41821</v>
      </c>
      <c r="AI2845" s="1">
        <v>41821</v>
      </c>
      <c r="AJ2845" s="1">
        <v>49126</v>
      </c>
      <c r="AK2845" t="s">
        <v>51</v>
      </c>
      <c r="AN2845">
        <v>0</v>
      </c>
      <c r="AO2845" t="s">
        <v>54</v>
      </c>
      <c r="AP2845" t="s">
        <v>53</v>
      </c>
      <c r="AQ2845">
        <v>0</v>
      </c>
      <c r="AR2845" t="s">
        <v>53</v>
      </c>
      <c r="AS2845">
        <v>0</v>
      </c>
      <c r="AT2845">
        <v>0</v>
      </c>
      <c r="CA2845">
        <v>1</v>
      </c>
      <c r="CC2845" t="s">
        <v>850</v>
      </c>
      <c r="CD2845">
        <v>1</v>
      </c>
      <c r="CE2845" s="1">
        <v>41821</v>
      </c>
      <c r="CF2845" s="1">
        <v>41821</v>
      </c>
      <c r="CG2845" s="1">
        <v>41821</v>
      </c>
      <c r="CH2845" s="1">
        <v>48983</v>
      </c>
      <c r="CI2845" t="s">
        <v>51</v>
      </c>
      <c r="CK2845" t="s">
        <v>78</v>
      </c>
      <c r="CM2845" t="s">
        <v>54</v>
      </c>
      <c r="CN2845" t="s">
        <v>174</v>
      </c>
      <c r="CO2845" t="s">
        <v>86</v>
      </c>
      <c r="CR2845">
        <v>18</v>
      </c>
      <c r="CS2845">
        <v>0</v>
      </c>
      <c r="CT2845">
        <v>0</v>
      </c>
      <c r="CU2845">
        <v>0</v>
      </c>
    </row>
    <row r="2846" spans="1:99" x14ac:dyDescent="0.2">
      <c r="A2846" t="s">
        <v>1012</v>
      </c>
      <c r="B2846" t="s">
        <v>1013</v>
      </c>
      <c r="C2846" t="s">
        <v>1014</v>
      </c>
      <c r="D2846" t="s">
        <v>1165</v>
      </c>
      <c r="F2846" t="str">
        <f>"253592"</f>
        <v>253592</v>
      </c>
      <c r="G2846" t="s">
        <v>49</v>
      </c>
      <c r="H2846" t="s">
        <v>1166</v>
      </c>
      <c r="K2846" t="s">
        <v>51</v>
      </c>
      <c r="L2846" t="s">
        <v>52</v>
      </c>
      <c r="M2846">
        <v>131535.9</v>
      </c>
      <c r="N2846">
        <v>475052.69799999997</v>
      </c>
      <c r="O2846" t="s">
        <v>53</v>
      </c>
      <c r="P2846" t="s">
        <v>54</v>
      </c>
      <c r="Q2846" t="s">
        <v>55</v>
      </c>
      <c r="S2846" t="s">
        <v>989</v>
      </c>
      <c r="T2846" t="s">
        <v>989</v>
      </c>
      <c r="U2846">
        <v>30</v>
      </c>
      <c r="V2846" s="1">
        <v>41821</v>
      </c>
      <c r="W2846" s="1">
        <v>41821</v>
      </c>
      <c r="X2846" s="1">
        <v>41821</v>
      </c>
      <c r="Y2846" s="1">
        <v>52779</v>
      </c>
      <c r="Z2846" t="s">
        <v>51</v>
      </c>
      <c r="AB2846" t="s">
        <v>54</v>
      </c>
      <c r="AC2846">
        <v>1</v>
      </c>
      <c r="AE2846" t="s">
        <v>171</v>
      </c>
      <c r="AF2846">
        <v>20</v>
      </c>
      <c r="AG2846" s="1">
        <v>41821</v>
      </c>
      <c r="AH2846" s="1">
        <v>41821</v>
      </c>
      <c r="AI2846" s="1">
        <v>41821</v>
      </c>
      <c r="AJ2846" s="1">
        <v>49126</v>
      </c>
      <c r="AK2846" t="s">
        <v>51</v>
      </c>
      <c r="AN2846">
        <v>0</v>
      </c>
      <c r="AO2846" t="s">
        <v>54</v>
      </c>
      <c r="AP2846" t="s">
        <v>53</v>
      </c>
      <c r="AQ2846">
        <v>0</v>
      </c>
      <c r="AR2846" t="s">
        <v>53</v>
      </c>
      <c r="AS2846">
        <v>0</v>
      </c>
      <c r="AT2846">
        <v>0</v>
      </c>
      <c r="CA2846">
        <v>2</v>
      </c>
      <c r="CC2846" t="s">
        <v>850</v>
      </c>
      <c r="CD2846">
        <v>1</v>
      </c>
      <c r="CE2846" s="1">
        <v>41821</v>
      </c>
      <c r="CF2846" s="1">
        <v>41821</v>
      </c>
      <c r="CG2846" s="1">
        <v>41821</v>
      </c>
      <c r="CH2846" s="1">
        <v>48983</v>
      </c>
      <c r="CI2846" t="s">
        <v>51</v>
      </c>
      <c r="CK2846" t="s">
        <v>78</v>
      </c>
      <c r="CM2846" t="s">
        <v>54</v>
      </c>
      <c r="CN2846" t="s">
        <v>174</v>
      </c>
      <c r="CO2846" t="s">
        <v>86</v>
      </c>
      <c r="CR2846">
        <v>18</v>
      </c>
      <c r="CS2846">
        <v>0</v>
      </c>
      <c r="CT2846">
        <v>0</v>
      </c>
      <c r="CU2846">
        <v>0</v>
      </c>
    </row>
    <row r="2847" spans="1:99" x14ac:dyDescent="0.2">
      <c r="A2847" t="s">
        <v>1012</v>
      </c>
      <c r="B2847" t="s">
        <v>1013</v>
      </c>
      <c r="C2847" t="s">
        <v>1014</v>
      </c>
      <c r="D2847" t="s">
        <v>1165</v>
      </c>
      <c r="F2847" t="str">
        <f>"253593"</f>
        <v>253593</v>
      </c>
      <c r="G2847" t="s">
        <v>49</v>
      </c>
      <c r="K2847" t="s">
        <v>51</v>
      </c>
      <c r="L2847" t="s">
        <v>52</v>
      </c>
      <c r="M2847">
        <v>131509.16</v>
      </c>
      <c r="N2847">
        <v>475072.53</v>
      </c>
      <c r="O2847" t="s">
        <v>53</v>
      </c>
      <c r="P2847" t="s">
        <v>54</v>
      </c>
      <c r="Q2847" t="s">
        <v>55</v>
      </c>
      <c r="S2847" t="s">
        <v>989</v>
      </c>
      <c r="T2847" t="s">
        <v>989</v>
      </c>
      <c r="U2847">
        <v>30</v>
      </c>
      <c r="V2847" s="1">
        <v>41821</v>
      </c>
      <c r="W2847" s="1">
        <v>41821</v>
      </c>
      <c r="X2847" s="1">
        <v>41821</v>
      </c>
      <c r="Y2847" s="1">
        <v>52779</v>
      </c>
      <c r="Z2847" t="s">
        <v>51</v>
      </c>
      <c r="AB2847" t="s">
        <v>54</v>
      </c>
      <c r="AC2847">
        <v>1</v>
      </c>
      <c r="AE2847" t="s">
        <v>171</v>
      </c>
      <c r="AF2847">
        <v>20</v>
      </c>
      <c r="AG2847" s="1">
        <v>41821</v>
      </c>
      <c r="AH2847" s="1">
        <v>41821</v>
      </c>
      <c r="AI2847" s="1">
        <v>41821</v>
      </c>
      <c r="AJ2847" s="1">
        <v>49126</v>
      </c>
      <c r="AK2847" t="s">
        <v>51</v>
      </c>
      <c r="AN2847">
        <v>0</v>
      </c>
      <c r="AO2847" t="s">
        <v>54</v>
      </c>
      <c r="AP2847" t="s">
        <v>53</v>
      </c>
      <c r="AQ2847">
        <v>0</v>
      </c>
      <c r="AR2847" t="s">
        <v>53</v>
      </c>
      <c r="AS2847">
        <v>0</v>
      </c>
      <c r="AT2847">
        <v>0</v>
      </c>
      <c r="CC2847" t="s">
        <v>850</v>
      </c>
      <c r="CD2847">
        <v>1</v>
      </c>
      <c r="CE2847" s="1">
        <v>41821</v>
      </c>
      <c r="CF2847" s="1">
        <v>41821</v>
      </c>
      <c r="CG2847" s="1">
        <v>41821</v>
      </c>
      <c r="CH2847" s="1">
        <v>48983</v>
      </c>
      <c r="CI2847" t="s">
        <v>51</v>
      </c>
      <c r="CK2847" t="s">
        <v>78</v>
      </c>
      <c r="CM2847" t="s">
        <v>54</v>
      </c>
      <c r="CN2847" t="s">
        <v>174</v>
      </c>
      <c r="CO2847" t="s">
        <v>86</v>
      </c>
      <c r="CR2847">
        <v>18</v>
      </c>
      <c r="CS2847">
        <v>0</v>
      </c>
      <c r="CT2847">
        <v>0</v>
      </c>
      <c r="CU2847">
        <v>0</v>
      </c>
    </row>
    <row r="2848" spans="1:99" x14ac:dyDescent="0.2">
      <c r="A2848" t="s">
        <v>1012</v>
      </c>
      <c r="B2848" t="s">
        <v>1013</v>
      </c>
      <c r="C2848" t="s">
        <v>1014</v>
      </c>
      <c r="D2848" t="s">
        <v>1165</v>
      </c>
      <c r="F2848" t="str">
        <f>"253594"</f>
        <v>253594</v>
      </c>
      <c r="G2848" t="s">
        <v>49</v>
      </c>
      <c r="K2848" t="s">
        <v>51</v>
      </c>
      <c r="L2848" t="s">
        <v>52</v>
      </c>
      <c r="M2848">
        <v>131488.011</v>
      </c>
      <c r="N2848">
        <v>475042.995</v>
      </c>
      <c r="O2848" t="s">
        <v>53</v>
      </c>
      <c r="P2848" t="s">
        <v>54</v>
      </c>
      <c r="Q2848" t="s">
        <v>55</v>
      </c>
      <c r="S2848" t="s">
        <v>989</v>
      </c>
      <c r="T2848" t="s">
        <v>989</v>
      </c>
      <c r="U2848">
        <v>30</v>
      </c>
      <c r="V2848" s="1">
        <v>41821</v>
      </c>
      <c r="W2848" s="1">
        <v>41821</v>
      </c>
      <c r="X2848" s="1">
        <v>41821</v>
      </c>
      <c r="Y2848" s="1">
        <v>52779</v>
      </c>
      <c r="Z2848" t="s">
        <v>51</v>
      </c>
      <c r="AB2848" t="s">
        <v>54</v>
      </c>
      <c r="AC2848">
        <v>1</v>
      </c>
      <c r="AE2848" t="s">
        <v>171</v>
      </c>
      <c r="AF2848">
        <v>20</v>
      </c>
      <c r="AG2848" s="1">
        <v>41821</v>
      </c>
      <c r="AH2848" s="1">
        <v>41821</v>
      </c>
      <c r="AI2848" s="1">
        <v>41821</v>
      </c>
      <c r="AJ2848" s="1">
        <v>49126</v>
      </c>
      <c r="AK2848" t="s">
        <v>51</v>
      </c>
      <c r="AN2848">
        <v>0</v>
      </c>
      <c r="AO2848" t="s">
        <v>54</v>
      </c>
      <c r="AP2848" t="s">
        <v>53</v>
      </c>
      <c r="AQ2848">
        <v>0</v>
      </c>
      <c r="AR2848" t="s">
        <v>53</v>
      </c>
      <c r="AS2848">
        <v>0</v>
      </c>
      <c r="AT2848">
        <v>0</v>
      </c>
      <c r="CC2848" t="s">
        <v>850</v>
      </c>
      <c r="CD2848">
        <v>1</v>
      </c>
      <c r="CE2848" s="1">
        <v>41821</v>
      </c>
      <c r="CF2848" s="1">
        <v>41821</v>
      </c>
      <c r="CG2848" s="1">
        <v>41821</v>
      </c>
      <c r="CH2848" s="1">
        <v>48983</v>
      </c>
      <c r="CI2848" t="s">
        <v>51</v>
      </c>
      <c r="CK2848" t="s">
        <v>78</v>
      </c>
      <c r="CM2848" t="s">
        <v>54</v>
      </c>
      <c r="CN2848" t="s">
        <v>174</v>
      </c>
      <c r="CO2848" t="s">
        <v>86</v>
      </c>
      <c r="CR2848">
        <v>18</v>
      </c>
      <c r="CS2848">
        <v>0</v>
      </c>
      <c r="CT2848">
        <v>0</v>
      </c>
      <c r="CU2848">
        <v>0</v>
      </c>
    </row>
    <row r="2849" spans="1:112" x14ac:dyDescent="0.2">
      <c r="A2849" t="s">
        <v>1012</v>
      </c>
      <c r="B2849" t="s">
        <v>1013</v>
      </c>
      <c r="C2849" t="s">
        <v>1014</v>
      </c>
      <c r="D2849" t="s">
        <v>1165</v>
      </c>
      <c r="F2849" t="str">
        <f>"253595"</f>
        <v>253595</v>
      </c>
      <c r="G2849" t="s">
        <v>49</v>
      </c>
      <c r="H2849" t="s">
        <v>1121</v>
      </c>
      <c r="K2849" t="s">
        <v>51</v>
      </c>
      <c r="L2849" t="s">
        <v>52</v>
      </c>
      <c r="M2849">
        <v>131482.33100000001</v>
      </c>
      <c r="N2849">
        <v>475008.01400000002</v>
      </c>
      <c r="O2849" t="s">
        <v>53</v>
      </c>
      <c r="P2849" t="s">
        <v>54</v>
      </c>
      <c r="Q2849" t="s">
        <v>55</v>
      </c>
      <c r="S2849" t="s">
        <v>989</v>
      </c>
      <c r="T2849" t="s">
        <v>989</v>
      </c>
      <c r="U2849">
        <v>30</v>
      </c>
      <c r="V2849" s="1">
        <v>41821</v>
      </c>
      <c r="W2849" s="1">
        <v>41821</v>
      </c>
      <c r="X2849" s="1">
        <v>41821</v>
      </c>
      <c r="Y2849" s="1">
        <v>52779</v>
      </c>
      <c r="Z2849" t="s">
        <v>51</v>
      </c>
      <c r="AB2849" t="s">
        <v>54</v>
      </c>
      <c r="AC2849">
        <v>1</v>
      </c>
      <c r="AE2849" t="s">
        <v>171</v>
      </c>
      <c r="AF2849">
        <v>20</v>
      </c>
      <c r="AG2849" s="1">
        <v>41821</v>
      </c>
      <c r="AH2849" s="1">
        <v>41821</v>
      </c>
      <c r="AI2849" s="1">
        <v>41821</v>
      </c>
      <c r="AJ2849" s="1">
        <v>49126</v>
      </c>
      <c r="AK2849" t="s">
        <v>51</v>
      </c>
      <c r="AN2849">
        <v>0</v>
      </c>
      <c r="AO2849" t="s">
        <v>54</v>
      </c>
      <c r="AP2849" t="s">
        <v>53</v>
      </c>
      <c r="AQ2849">
        <v>0</v>
      </c>
      <c r="AR2849" t="s">
        <v>53</v>
      </c>
      <c r="AS2849">
        <v>0</v>
      </c>
      <c r="AT2849">
        <v>0</v>
      </c>
      <c r="CC2849" t="s">
        <v>850</v>
      </c>
      <c r="CD2849">
        <v>1</v>
      </c>
      <c r="CE2849" s="1">
        <v>41821</v>
      </c>
      <c r="CF2849" s="1">
        <v>41821</v>
      </c>
      <c r="CG2849" s="1">
        <v>41821</v>
      </c>
      <c r="CH2849" s="1">
        <v>48983</v>
      </c>
      <c r="CI2849" t="s">
        <v>51</v>
      </c>
      <c r="CK2849" t="s">
        <v>78</v>
      </c>
      <c r="CM2849" t="s">
        <v>54</v>
      </c>
      <c r="CN2849" t="s">
        <v>174</v>
      </c>
      <c r="CO2849" t="s">
        <v>86</v>
      </c>
      <c r="CR2849">
        <v>18</v>
      </c>
      <c r="CS2849">
        <v>0</v>
      </c>
      <c r="CT2849">
        <v>0</v>
      </c>
      <c r="CU2849">
        <v>0</v>
      </c>
    </row>
    <row r="2850" spans="1:112" x14ac:dyDescent="0.2">
      <c r="A2850" t="s">
        <v>1012</v>
      </c>
      <c r="B2850" t="s">
        <v>1013</v>
      </c>
      <c r="C2850" t="s">
        <v>1014</v>
      </c>
      <c r="D2850" t="s">
        <v>1133</v>
      </c>
      <c r="F2850" t="str">
        <f>"253596"</f>
        <v>253596</v>
      </c>
      <c r="G2850" t="s">
        <v>49</v>
      </c>
      <c r="H2850" t="s">
        <v>1030</v>
      </c>
      <c r="K2850" t="s">
        <v>51</v>
      </c>
      <c r="L2850" t="s">
        <v>52</v>
      </c>
      <c r="M2850">
        <v>131489.16</v>
      </c>
      <c r="N2850">
        <v>475082.01</v>
      </c>
      <c r="O2850" t="s">
        <v>53</v>
      </c>
      <c r="P2850" t="s">
        <v>54</v>
      </c>
      <c r="Q2850" t="s">
        <v>55</v>
      </c>
      <c r="S2850" t="s">
        <v>989</v>
      </c>
      <c r="T2850" t="s">
        <v>989</v>
      </c>
      <c r="U2850">
        <v>30</v>
      </c>
      <c r="V2850" s="1">
        <v>41821</v>
      </c>
      <c r="W2850" s="1">
        <v>41821</v>
      </c>
      <c r="X2850" s="1">
        <v>41821</v>
      </c>
      <c r="Y2850" s="1">
        <v>52779</v>
      </c>
      <c r="Z2850" t="s">
        <v>51</v>
      </c>
      <c r="AB2850" t="s">
        <v>54</v>
      </c>
      <c r="AC2850">
        <v>1</v>
      </c>
      <c r="AE2850" t="s">
        <v>171</v>
      </c>
      <c r="AF2850">
        <v>20</v>
      </c>
      <c r="AG2850" s="1">
        <v>41821</v>
      </c>
      <c r="AH2850" s="1">
        <v>41821</v>
      </c>
      <c r="AI2850" s="1">
        <v>41821</v>
      </c>
      <c r="AJ2850" s="1">
        <v>49126</v>
      </c>
      <c r="AK2850" t="s">
        <v>51</v>
      </c>
      <c r="AN2850">
        <v>0</v>
      </c>
      <c r="AO2850" t="s">
        <v>54</v>
      </c>
      <c r="AP2850" t="s">
        <v>53</v>
      </c>
      <c r="AQ2850">
        <v>0</v>
      </c>
      <c r="AR2850" t="s">
        <v>53</v>
      </c>
      <c r="AS2850">
        <v>0</v>
      </c>
      <c r="AT2850">
        <v>0</v>
      </c>
      <c r="CC2850" t="s">
        <v>850</v>
      </c>
      <c r="CD2850">
        <v>1</v>
      </c>
      <c r="CE2850" s="1">
        <v>41821</v>
      </c>
      <c r="CF2850" s="1">
        <v>41821</v>
      </c>
      <c r="CG2850" s="1">
        <v>41821</v>
      </c>
      <c r="CH2850" s="1">
        <v>48983</v>
      </c>
      <c r="CI2850" t="s">
        <v>51</v>
      </c>
      <c r="CK2850" t="s">
        <v>78</v>
      </c>
      <c r="CM2850" t="s">
        <v>54</v>
      </c>
      <c r="CN2850" t="s">
        <v>174</v>
      </c>
      <c r="CO2850" t="s">
        <v>86</v>
      </c>
      <c r="CR2850">
        <v>18</v>
      </c>
      <c r="CS2850">
        <v>0</v>
      </c>
      <c r="CT2850">
        <v>0</v>
      </c>
      <c r="CU2850">
        <v>0</v>
      </c>
    </row>
    <row r="2851" spans="1:112" x14ac:dyDescent="0.2">
      <c r="A2851" t="s">
        <v>1012</v>
      </c>
      <c r="B2851" t="s">
        <v>1013</v>
      </c>
      <c r="C2851" t="s">
        <v>1014</v>
      </c>
      <c r="D2851" t="s">
        <v>1133</v>
      </c>
      <c r="F2851" t="str">
        <f>"253597"</f>
        <v>253597</v>
      </c>
      <c r="G2851" t="s">
        <v>49</v>
      </c>
      <c r="H2851" t="s">
        <v>1167</v>
      </c>
      <c r="K2851" t="s">
        <v>51</v>
      </c>
      <c r="L2851" t="s">
        <v>52</v>
      </c>
      <c r="M2851">
        <v>131455</v>
      </c>
      <c r="N2851">
        <v>475076.72</v>
      </c>
      <c r="O2851" t="s">
        <v>53</v>
      </c>
      <c r="P2851" t="s">
        <v>54</v>
      </c>
      <c r="Q2851" t="s">
        <v>55</v>
      </c>
      <c r="S2851" t="s">
        <v>989</v>
      </c>
      <c r="T2851" t="s">
        <v>989</v>
      </c>
      <c r="U2851">
        <v>30</v>
      </c>
      <c r="V2851" s="1">
        <v>41821</v>
      </c>
      <c r="W2851" s="1">
        <v>41821</v>
      </c>
      <c r="X2851" s="1">
        <v>41821</v>
      </c>
      <c r="Y2851" s="1">
        <v>52779</v>
      </c>
      <c r="Z2851" t="s">
        <v>51</v>
      </c>
      <c r="AB2851" t="s">
        <v>54</v>
      </c>
      <c r="AC2851">
        <v>1</v>
      </c>
      <c r="AE2851" t="s">
        <v>171</v>
      </c>
      <c r="AF2851">
        <v>20</v>
      </c>
      <c r="AG2851" s="1">
        <v>41821</v>
      </c>
      <c r="AH2851" s="1">
        <v>41821</v>
      </c>
      <c r="AI2851" s="1">
        <v>41821</v>
      </c>
      <c r="AJ2851" s="1">
        <v>49126</v>
      </c>
      <c r="AK2851" t="s">
        <v>51</v>
      </c>
      <c r="AN2851">
        <v>0</v>
      </c>
      <c r="AO2851" t="s">
        <v>54</v>
      </c>
      <c r="AP2851" t="s">
        <v>53</v>
      </c>
      <c r="AQ2851">
        <v>0</v>
      </c>
      <c r="AR2851" t="s">
        <v>53</v>
      </c>
      <c r="AS2851">
        <v>0</v>
      </c>
      <c r="AT2851">
        <v>0</v>
      </c>
      <c r="CC2851" t="s">
        <v>850</v>
      </c>
      <c r="CD2851">
        <v>1</v>
      </c>
      <c r="CE2851" s="1">
        <v>41821</v>
      </c>
      <c r="CF2851" s="1">
        <v>41821</v>
      </c>
      <c r="CG2851" s="1">
        <v>41821</v>
      </c>
      <c r="CH2851" s="1">
        <v>48983</v>
      </c>
      <c r="CI2851" t="s">
        <v>51</v>
      </c>
      <c r="CK2851" t="s">
        <v>78</v>
      </c>
      <c r="CM2851" t="s">
        <v>54</v>
      </c>
      <c r="CN2851" t="s">
        <v>174</v>
      </c>
      <c r="CO2851" t="s">
        <v>86</v>
      </c>
      <c r="CR2851">
        <v>18</v>
      </c>
      <c r="CS2851">
        <v>0</v>
      </c>
      <c r="CT2851">
        <v>0</v>
      </c>
      <c r="CU2851">
        <v>0</v>
      </c>
    </row>
    <row r="2852" spans="1:112" x14ac:dyDescent="0.2">
      <c r="A2852" t="s">
        <v>1012</v>
      </c>
      <c r="B2852" t="s">
        <v>1013</v>
      </c>
      <c r="C2852" t="s">
        <v>1014</v>
      </c>
      <c r="D2852" t="s">
        <v>1133</v>
      </c>
      <c r="F2852" t="str">
        <f>"253598"</f>
        <v>253598</v>
      </c>
      <c r="G2852" t="s">
        <v>49</v>
      </c>
      <c r="H2852" t="s">
        <v>1126</v>
      </c>
      <c r="K2852" t="s">
        <v>51</v>
      </c>
      <c r="L2852" t="s">
        <v>52</v>
      </c>
      <c r="M2852">
        <v>131426.07</v>
      </c>
      <c r="N2852">
        <v>475074.52</v>
      </c>
      <c r="O2852" t="s">
        <v>53</v>
      </c>
      <c r="P2852" t="s">
        <v>54</v>
      </c>
      <c r="Q2852" t="s">
        <v>55</v>
      </c>
      <c r="S2852" t="s">
        <v>989</v>
      </c>
      <c r="T2852" t="s">
        <v>989</v>
      </c>
      <c r="U2852">
        <v>30</v>
      </c>
      <c r="V2852" s="1">
        <v>41821</v>
      </c>
      <c r="W2852" s="1">
        <v>41821</v>
      </c>
      <c r="X2852" s="1">
        <v>41821</v>
      </c>
      <c r="Y2852" s="1">
        <v>52779</v>
      </c>
      <c r="Z2852" t="s">
        <v>51</v>
      </c>
      <c r="AB2852" t="s">
        <v>54</v>
      </c>
      <c r="AC2852">
        <v>1</v>
      </c>
      <c r="AE2852" t="s">
        <v>171</v>
      </c>
      <c r="AF2852">
        <v>20</v>
      </c>
      <c r="AG2852" s="1">
        <v>41821</v>
      </c>
      <c r="AH2852" s="1">
        <v>41821</v>
      </c>
      <c r="AI2852" s="1">
        <v>41821</v>
      </c>
      <c r="AJ2852" s="1">
        <v>49126</v>
      </c>
      <c r="AK2852" t="s">
        <v>51</v>
      </c>
      <c r="AN2852">
        <v>0</v>
      </c>
      <c r="AO2852" t="s">
        <v>54</v>
      </c>
      <c r="AP2852" t="s">
        <v>53</v>
      </c>
      <c r="AQ2852">
        <v>0</v>
      </c>
      <c r="AR2852" t="s">
        <v>53</v>
      </c>
      <c r="AS2852">
        <v>0</v>
      </c>
      <c r="AT2852">
        <v>0</v>
      </c>
      <c r="CC2852" t="s">
        <v>850</v>
      </c>
      <c r="CD2852">
        <v>1</v>
      </c>
      <c r="CE2852" s="1">
        <v>41821</v>
      </c>
      <c r="CF2852" s="1">
        <v>41821</v>
      </c>
      <c r="CG2852" s="1">
        <v>41821</v>
      </c>
      <c r="CH2852" s="1">
        <v>41821</v>
      </c>
      <c r="CI2852" t="s">
        <v>51</v>
      </c>
      <c r="CK2852" t="s">
        <v>78</v>
      </c>
      <c r="CM2852" t="s">
        <v>54</v>
      </c>
      <c r="CN2852" t="s">
        <v>174</v>
      </c>
      <c r="CO2852" t="s">
        <v>86</v>
      </c>
      <c r="CR2852">
        <v>18</v>
      </c>
      <c r="CS2852">
        <v>0</v>
      </c>
      <c r="CT2852">
        <v>0</v>
      </c>
      <c r="CU2852">
        <v>0</v>
      </c>
    </row>
    <row r="2853" spans="1:112" x14ac:dyDescent="0.2">
      <c r="A2853" t="s">
        <v>1012</v>
      </c>
      <c r="B2853" t="s">
        <v>1013</v>
      </c>
      <c r="C2853" t="s">
        <v>1014</v>
      </c>
      <c r="D2853" t="s">
        <v>1133</v>
      </c>
      <c r="F2853" t="str">
        <f>"253599"</f>
        <v>253599</v>
      </c>
      <c r="G2853" t="s">
        <v>49</v>
      </c>
      <c r="H2853" t="s">
        <v>569</v>
      </c>
      <c r="K2853" t="s">
        <v>51</v>
      </c>
      <c r="L2853" t="s">
        <v>52</v>
      </c>
      <c r="M2853">
        <v>131398.38</v>
      </c>
      <c r="N2853">
        <v>475072.62</v>
      </c>
      <c r="O2853" t="s">
        <v>53</v>
      </c>
      <c r="P2853" t="s">
        <v>54</v>
      </c>
      <c r="Q2853" t="s">
        <v>55</v>
      </c>
      <c r="T2853" t="s">
        <v>170</v>
      </c>
      <c r="U2853">
        <v>40</v>
      </c>
      <c r="V2853" s="1">
        <v>41821</v>
      </c>
      <c r="W2853" s="1">
        <v>41821</v>
      </c>
      <c r="X2853" s="1">
        <v>41821</v>
      </c>
      <c r="Y2853" s="1">
        <v>56431</v>
      </c>
      <c r="Z2853" t="s">
        <v>51</v>
      </c>
      <c r="AB2853" t="s">
        <v>54</v>
      </c>
      <c r="AC2853">
        <v>1</v>
      </c>
      <c r="AE2853" t="s">
        <v>356</v>
      </c>
      <c r="AF2853">
        <v>20</v>
      </c>
      <c r="AG2853" s="1">
        <v>44238</v>
      </c>
      <c r="AH2853" s="1">
        <v>44238</v>
      </c>
      <c r="AI2853" s="1">
        <v>44238</v>
      </c>
      <c r="AJ2853" s="1">
        <v>51543</v>
      </c>
      <c r="AK2853" t="s">
        <v>51</v>
      </c>
      <c r="AN2853">
        <v>0</v>
      </c>
      <c r="AO2853" t="s">
        <v>54</v>
      </c>
      <c r="AP2853" t="s">
        <v>53</v>
      </c>
      <c r="AQ2853">
        <v>0</v>
      </c>
      <c r="AR2853" t="s">
        <v>145</v>
      </c>
      <c r="AS2853">
        <v>0</v>
      </c>
      <c r="AT2853">
        <v>0</v>
      </c>
      <c r="CC2853" t="s">
        <v>850</v>
      </c>
      <c r="CD2853">
        <v>1</v>
      </c>
      <c r="CE2853" s="1">
        <v>41821</v>
      </c>
      <c r="CF2853" s="1">
        <v>41821</v>
      </c>
      <c r="CG2853" s="1">
        <v>44238</v>
      </c>
      <c r="CH2853" s="1">
        <v>48983</v>
      </c>
      <c r="CI2853" t="s">
        <v>51</v>
      </c>
      <c r="CK2853" t="s">
        <v>78</v>
      </c>
      <c r="CM2853" t="s">
        <v>54</v>
      </c>
      <c r="CN2853" t="s">
        <v>174</v>
      </c>
      <c r="CO2853" t="s">
        <v>86</v>
      </c>
      <c r="CR2853">
        <v>18</v>
      </c>
      <c r="CS2853">
        <v>0</v>
      </c>
      <c r="CT2853">
        <v>0</v>
      </c>
      <c r="CU2853">
        <v>0</v>
      </c>
      <c r="CX2853" t="s">
        <v>360</v>
      </c>
      <c r="CY2853">
        <v>40</v>
      </c>
      <c r="CZ2853" s="1">
        <v>44320</v>
      </c>
      <c r="DA2853" s="1">
        <v>44320</v>
      </c>
      <c r="DB2853" s="1">
        <v>44320</v>
      </c>
      <c r="DC2853" s="1">
        <v>58930</v>
      </c>
      <c r="DD2853" t="s">
        <v>51</v>
      </c>
      <c r="DF2853" t="s">
        <v>54</v>
      </c>
      <c r="DG2853">
        <v>0</v>
      </c>
      <c r="DH2853">
        <v>0</v>
      </c>
    </row>
    <row r="2854" spans="1:112" x14ac:dyDescent="0.2">
      <c r="A2854" t="s">
        <v>1012</v>
      </c>
      <c r="B2854" t="s">
        <v>1013</v>
      </c>
      <c r="C2854" t="s">
        <v>1014</v>
      </c>
      <c r="D2854" t="s">
        <v>1162</v>
      </c>
      <c r="F2854" t="str">
        <f>"253600"</f>
        <v>253600</v>
      </c>
      <c r="G2854" t="s">
        <v>49</v>
      </c>
      <c r="H2854">
        <v>1</v>
      </c>
      <c r="K2854" t="s">
        <v>51</v>
      </c>
      <c r="L2854" t="s">
        <v>52</v>
      </c>
      <c r="M2854">
        <v>131384.5</v>
      </c>
      <c r="N2854">
        <v>475246.5</v>
      </c>
      <c r="O2854" t="s">
        <v>53</v>
      </c>
      <c r="P2854" t="s">
        <v>54</v>
      </c>
      <c r="Q2854" t="s">
        <v>55</v>
      </c>
      <c r="T2854" t="s">
        <v>170</v>
      </c>
      <c r="U2854">
        <v>40</v>
      </c>
      <c r="V2854" s="1">
        <v>42125</v>
      </c>
      <c r="W2854" s="1">
        <v>42125</v>
      </c>
      <c r="X2854" s="1">
        <v>42125</v>
      </c>
      <c r="Y2854" s="1">
        <v>56735</v>
      </c>
      <c r="Z2854" t="s">
        <v>51</v>
      </c>
      <c r="AB2854" t="s">
        <v>54</v>
      </c>
      <c r="AE2854" t="s">
        <v>342</v>
      </c>
      <c r="AF2854">
        <v>20</v>
      </c>
      <c r="AG2854" s="1">
        <v>42125</v>
      </c>
      <c r="AH2854" s="1">
        <v>42125</v>
      </c>
      <c r="AI2854" s="1">
        <v>42125</v>
      </c>
      <c r="AJ2854" s="1">
        <v>49430</v>
      </c>
      <c r="AK2854" t="s">
        <v>51</v>
      </c>
      <c r="AN2854">
        <v>0</v>
      </c>
      <c r="AO2854" t="s">
        <v>54</v>
      </c>
      <c r="AP2854" t="s">
        <v>53</v>
      </c>
      <c r="AQ2854">
        <v>0</v>
      </c>
      <c r="AR2854" t="s">
        <v>145</v>
      </c>
      <c r="AS2854">
        <v>19</v>
      </c>
      <c r="AT2854">
        <v>1800</v>
      </c>
      <c r="AW2854" t="s">
        <v>172</v>
      </c>
      <c r="AX2854">
        <v>15</v>
      </c>
      <c r="AY2854" s="1">
        <v>42125</v>
      </c>
      <c r="AZ2854" s="1">
        <v>42125</v>
      </c>
      <c r="BA2854" s="1">
        <v>42125</v>
      </c>
      <c r="BB2854" s="1">
        <v>47604</v>
      </c>
      <c r="BC2854" t="s">
        <v>51</v>
      </c>
      <c r="BE2854" t="s">
        <v>54</v>
      </c>
      <c r="BF2854">
        <v>40</v>
      </c>
      <c r="BG2854">
        <v>0</v>
      </c>
      <c r="BH2854" t="s">
        <v>145</v>
      </c>
      <c r="CC2854" t="s">
        <v>173</v>
      </c>
      <c r="CD2854">
        <v>100000</v>
      </c>
      <c r="CE2854" s="1">
        <v>42125</v>
      </c>
      <c r="CF2854" s="1">
        <v>42125</v>
      </c>
      <c r="CG2854" s="1">
        <v>42125</v>
      </c>
      <c r="CH2854" s="1">
        <v>51108</v>
      </c>
      <c r="CI2854" t="s">
        <v>51</v>
      </c>
      <c r="CK2854" t="s">
        <v>78</v>
      </c>
      <c r="CM2854" t="s">
        <v>54</v>
      </c>
      <c r="CN2854" t="s">
        <v>174</v>
      </c>
      <c r="CO2854" t="s">
        <v>86</v>
      </c>
      <c r="CP2854">
        <v>830</v>
      </c>
      <c r="CR2854">
        <v>19</v>
      </c>
      <c r="CS2854">
        <v>1800</v>
      </c>
      <c r="CT2854">
        <v>0</v>
      </c>
      <c r="CU2854">
        <v>16</v>
      </c>
    </row>
    <row r="2855" spans="1:112" x14ac:dyDescent="0.2">
      <c r="A2855" t="s">
        <v>1012</v>
      </c>
      <c r="B2855" t="s">
        <v>1013</v>
      </c>
      <c r="C2855" t="s">
        <v>1014</v>
      </c>
      <c r="D2855" t="s">
        <v>1020</v>
      </c>
      <c r="F2855" t="str">
        <f>"253601"</f>
        <v>253601</v>
      </c>
      <c r="G2855" t="s">
        <v>49</v>
      </c>
      <c r="H2855">
        <v>30</v>
      </c>
      <c r="K2855" t="s">
        <v>51</v>
      </c>
      <c r="L2855" t="s">
        <v>52</v>
      </c>
      <c r="M2855">
        <v>131729.75</v>
      </c>
      <c r="N2855">
        <v>475639.73700000002</v>
      </c>
      <c r="O2855" t="s">
        <v>53</v>
      </c>
      <c r="P2855" t="s">
        <v>54</v>
      </c>
      <c r="Q2855" t="s">
        <v>55</v>
      </c>
      <c r="T2855" t="s">
        <v>1076</v>
      </c>
      <c r="U2855">
        <v>30</v>
      </c>
      <c r="V2855" s="1">
        <v>41821</v>
      </c>
      <c r="W2855" s="1">
        <v>41821</v>
      </c>
      <c r="X2855" s="1">
        <v>41821</v>
      </c>
      <c r="Y2855" s="1">
        <v>52779</v>
      </c>
      <c r="Z2855" t="s">
        <v>51</v>
      </c>
      <c r="AB2855" t="s">
        <v>54</v>
      </c>
      <c r="AC2855">
        <v>1</v>
      </c>
      <c r="AE2855" t="s">
        <v>934</v>
      </c>
      <c r="AF2855">
        <v>20</v>
      </c>
      <c r="AG2855" s="1">
        <v>41821</v>
      </c>
      <c r="AH2855" s="1">
        <v>41821</v>
      </c>
      <c r="AI2855" s="1">
        <v>41821</v>
      </c>
      <c r="AJ2855" s="1">
        <v>49126</v>
      </c>
      <c r="AK2855" t="s">
        <v>51</v>
      </c>
      <c r="AN2855">
        <v>0</v>
      </c>
      <c r="AO2855" t="s">
        <v>54</v>
      </c>
      <c r="AP2855" t="s">
        <v>53</v>
      </c>
      <c r="AQ2855">
        <v>0</v>
      </c>
      <c r="AR2855" t="s">
        <v>53</v>
      </c>
      <c r="AS2855">
        <v>0</v>
      </c>
      <c r="AT2855">
        <v>0</v>
      </c>
      <c r="CC2855" t="s">
        <v>850</v>
      </c>
      <c r="CD2855">
        <v>1</v>
      </c>
      <c r="CE2855" s="1">
        <v>41821</v>
      </c>
      <c r="CF2855" s="1">
        <v>41821</v>
      </c>
      <c r="CG2855" s="1">
        <v>41821</v>
      </c>
      <c r="CH2855" s="1">
        <v>48983</v>
      </c>
      <c r="CI2855" t="s">
        <v>51</v>
      </c>
      <c r="CK2855" t="s">
        <v>78</v>
      </c>
      <c r="CM2855" t="s">
        <v>54</v>
      </c>
      <c r="CN2855" t="s">
        <v>174</v>
      </c>
      <c r="CO2855" t="s">
        <v>86</v>
      </c>
      <c r="CR2855">
        <v>18</v>
      </c>
      <c r="CS2855">
        <v>0</v>
      </c>
      <c r="CT2855">
        <v>0</v>
      </c>
      <c r="CU2855">
        <v>0</v>
      </c>
      <c r="CX2855" t="s">
        <v>360</v>
      </c>
      <c r="CY2855">
        <v>40</v>
      </c>
      <c r="CZ2855" s="1">
        <v>43423</v>
      </c>
      <c r="DA2855" s="1">
        <v>43423</v>
      </c>
      <c r="DB2855" s="1">
        <v>43423</v>
      </c>
      <c r="DC2855" s="1">
        <v>58033</v>
      </c>
      <c r="DD2855" t="s">
        <v>51</v>
      </c>
      <c r="DF2855" t="s">
        <v>54</v>
      </c>
      <c r="DG2855">
        <v>0</v>
      </c>
      <c r="DH2855">
        <v>0</v>
      </c>
    </row>
    <row r="2856" spans="1:112" x14ac:dyDescent="0.2">
      <c r="A2856" t="s">
        <v>1012</v>
      </c>
      <c r="B2856" t="s">
        <v>1013</v>
      </c>
      <c r="C2856" t="s">
        <v>1019</v>
      </c>
      <c r="D2856" t="s">
        <v>1020</v>
      </c>
      <c r="F2856" t="str">
        <f>"253602"</f>
        <v>253602</v>
      </c>
      <c r="G2856" t="s">
        <v>49</v>
      </c>
      <c r="H2856">
        <v>32</v>
      </c>
      <c r="K2856" t="s">
        <v>51</v>
      </c>
      <c r="L2856" t="s">
        <v>52</v>
      </c>
      <c r="M2856">
        <v>131746.12100000001</v>
      </c>
      <c r="N2856">
        <v>475660.83500000002</v>
      </c>
      <c r="O2856" t="s">
        <v>53</v>
      </c>
      <c r="P2856" t="s">
        <v>54</v>
      </c>
      <c r="Q2856" t="s">
        <v>55</v>
      </c>
      <c r="T2856" t="s">
        <v>1076</v>
      </c>
      <c r="U2856">
        <v>30</v>
      </c>
      <c r="V2856" s="1">
        <v>41821</v>
      </c>
      <c r="W2856" s="1">
        <v>41821</v>
      </c>
      <c r="X2856" s="1">
        <v>41821</v>
      </c>
      <c r="Y2856" s="1">
        <v>52779</v>
      </c>
      <c r="Z2856" t="s">
        <v>51</v>
      </c>
      <c r="AB2856" t="s">
        <v>54</v>
      </c>
      <c r="AC2856">
        <v>1</v>
      </c>
      <c r="AE2856" t="s">
        <v>934</v>
      </c>
      <c r="AF2856">
        <v>20</v>
      </c>
      <c r="AG2856" s="1">
        <v>41821</v>
      </c>
      <c r="AH2856" s="1">
        <v>41821</v>
      </c>
      <c r="AI2856" s="1">
        <v>41821</v>
      </c>
      <c r="AJ2856" s="1">
        <v>49126</v>
      </c>
      <c r="AK2856" t="s">
        <v>51</v>
      </c>
      <c r="AN2856">
        <v>0</v>
      </c>
      <c r="AO2856" t="s">
        <v>54</v>
      </c>
      <c r="AP2856" t="s">
        <v>53</v>
      </c>
      <c r="AQ2856">
        <v>0</v>
      </c>
      <c r="AR2856" t="s">
        <v>53</v>
      </c>
      <c r="AS2856">
        <v>0</v>
      </c>
      <c r="AT2856">
        <v>0</v>
      </c>
      <c r="CC2856" t="s">
        <v>850</v>
      </c>
      <c r="CD2856">
        <v>1</v>
      </c>
      <c r="CE2856" s="1">
        <v>41821</v>
      </c>
      <c r="CF2856" s="1">
        <v>41821</v>
      </c>
      <c r="CG2856" s="1">
        <v>41821</v>
      </c>
      <c r="CH2856" s="1">
        <v>48983</v>
      </c>
      <c r="CI2856" t="s">
        <v>51</v>
      </c>
      <c r="CK2856" t="s">
        <v>78</v>
      </c>
      <c r="CM2856" t="s">
        <v>54</v>
      </c>
      <c r="CN2856" t="s">
        <v>174</v>
      </c>
      <c r="CO2856" t="s">
        <v>86</v>
      </c>
      <c r="CR2856">
        <v>18</v>
      </c>
      <c r="CS2856">
        <v>0</v>
      </c>
      <c r="CT2856">
        <v>0</v>
      </c>
      <c r="CU2856">
        <v>0</v>
      </c>
      <c r="CX2856" t="s">
        <v>360</v>
      </c>
      <c r="CY2856">
        <v>40</v>
      </c>
      <c r="CZ2856" s="1">
        <v>43423</v>
      </c>
      <c r="DA2856" s="1">
        <v>43423</v>
      </c>
      <c r="DB2856" s="1">
        <v>43423</v>
      </c>
      <c r="DC2856" s="1">
        <v>58033</v>
      </c>
      <c r="DD2856" t="s">
        <v>51</v>
      </c>
      <c r="DF2856" t="s">
        <v>54</v>
      </c>
      <c r="DG2856">
        <v>0</v>
      </c>
      <c r="DH2856">
        <v>0</v>
      </c>
    </row>
    <row r="2857" spans="1:112" x14ac:dyDescent="0.2">
      <c r="A2857" t="s">
        <v>1012</v>
      </c>
      <c r="B2857" t="s">
        <v>1013</v>
      </c>
      <c r="C2857" t="s">
        <v>1014</v>
      </c>
      <c r="D2857" t="s">
        <v>1020</v>
      </c>
      <c r="F2857" t="str">
        <f>"253603"</f>
        <v>253603</v>
      </c>
      <c r="G2857" t="s">
        <v>49</v>
      </c>
      <c r="H2857">
        <v>39</v>
      </c>
      <c r="K2857" t="s">
        <v>51</v>
      </c>
      <c r="L2857" t="s">
        <v>52</v>
      </c>
      <c r="M2857">
        <v>131736.77299999999</v>
      </c>
      <c r="N2857">
        <v>475685.842</v>
      </c>
      <c r="O2857" t="s">
        <v>53</v>
      </c>
      <c r="P2857" t="s">
        <v>54</v>
      </c>
      <c r="Q2857" t="s">
        <v>55</v>
      </c>
      <c r="T2857" t="s">
        <v>1076</v>
      </c>
      <c r="U2857">
        <v>30</v>
      </c>
      <c r="V2857" s="1">
        <v>41821</v>
      </c>
      <c r="W2857" s="1">
        <v>41821</v>
      </c>
      <c r="X2857" s="1">
        <v>41821</v>
      </c>
      <c r="Y2857" s="1">
        <v>52779</v>
      </c>
      <c r="Z2857" t="s">
        <v>51</v>
      </c>
      <c r="AB2857" t="s">
        <v>54</v>
      </c>
      <c r="AC2857">
        <v>1</v>
      </c>
      <c r="AE2857" t="s">
        <v>934</v>
      </c>
      <c r="AF2857">
        <v>20</v>
      </c>
      <c r="AG2857" s="1">
        <v>41821</v>
      </c>
      <c r="AH2857" s="1">
        <v>41821</v>
      </c>
      <c r="AI2857" s="1">
        <v>41821</v>
      </c>
      <c r="AJ2857" s="1">
        <v>49126</v>
      </c>
      <c r="AK2857" t="s">
        <v>51</v>
      </c>
      <c r="AN2857">
        <v>0</v>
      </c>
      <c r="AO2857" t="s">
        <v>54</v>
      </c>
      <c r="AP2857" t="s">
        <v>53</v>
      </c>
      <c r="AQ2857">
        <v>0</v>
      </c>
      <c r="AR2857" t="s">
        <v>53</v>
      </c>
      <c r="AS2857">
        <v>0</v>
      </c>
      <c r="AT2857">
        <v>0</v>
      </c>
      <c r="CC2857" t="s">
        <v>850</v>
      </c>
      <c r="CD2857">
        <v>1</v>
      </c>
      <c r="CE2857" s="1">
        <v>41821</v>
      </c>
      <c r="CF2857" s="1">
        <v>41821</v>
      </c>
      <c r="CG2857" s="1">
        <v>41821</v>
      </c>
      <c r="CH2857" s="1">
        <v>48983</v>
      </c>
      <c r="CI2857" t="s">
        <v>51</v>
      </c>
      <c r="CK2857" t="s">
        <v>78</v>
      </c>
      <c r="CM2857" t="s">
        <v>54</v>
      </c>
      <c r="CN2857" t="s">
        <v>174</v>
      </c>
      <c r="CO2857" t="s">
        <v>86</v>
      </c>
      <c r="CR2857">
        <v>18</v>
      </c>
      <c r="CS2857">
        <v>0</v>
      </c>
      <c r="CT2857">
        <v>0</v>
      </c>
      <c r="CU2857">
        <v>0</v>
      </c>
      <c r="CX2857" t="s">
        <v>360</v>
      </c>
      <c r="CY2857">
        <v>40</v>
      </c>
      <c r="CZ2857" s="1">
        <v>43423</v>
      </c>
      <c r="DA2857" s="1">
        <v>43423</v>
      </c>
      <c r="DB2857" s="1">
        <v>43423</v>
      </c>
      <c r="DC2857" s="1">
        <v>58033</v>
      </c>
      <c r="DD2857" t="s">
        <v>51</v>
      </c>
      <c r="DF2857" t="s">
        <v>54</v>
      </c>
      <c r="DG2857">
        <v>0</v>
      </c>
      <c r="DH2857">
        <v>0</v>
      </c>
    </row>
    <row r="2858" spans="1:112" x14ac:dyDescent="0.2">
      <c r="A2858" t="s">
        <v>1012</v>
      </c>
      <c r="B2858" t="s">
        <v>1013</v>
      </c>
      <c r="C2858" t="s">
        <v>1019</v>
      </c>
      <c r="D2858" t="s">
        <v>1020</v>
      </c>
      <c r="F2858" t="str">
        <f>"253604"</f>
        <v>253604</v>
      </c>
      <c r="G2858" t="s">
        <v>49</v>
      </c>
      <c r="H2858">
        <v>42</v>
      </c>
      <c r="K2858" t="s">
        <v>51</v>
      </c>
      <c r="L2858" t="s">
        <v>52</v>
      </c>
      <c r="M2858">
        <v>131752.95000000001</v>
      </c>
      <c r="N2858">
        <v>475706.86</v>
      </c>
      <c r="O2858" t="s">
        <v>53</v>
      </c>
      <c r="P2858" t="s">
        <v>54</v>
      </c>
      <c r="Q2858" t="s">
        <v>55</v>
      </c>
      <c r="T2858" t="s">
        <v>1076</v>
      </c>
      <c r="U2858">
        <v>30</v>
      </c>
      <c r="V2858" s="1">
        <v>41821</v>
      </c>
      <c r="W2858" s="1">
        <v>41821</v>
      </c>
      <c r="X2858" s="1">
        <v>41821</v>
      </c>
      <c r="Y2858" s="1">
        <v>52779</v>
      </c>
      <c r="Z2858" t="s">
        <v>51</v>
      </c>
      <c r="AB2858" t="s">
        <v>54</v>
      </c>
      <c r="AC2858">
        <v>1</v>
      </c>
      <c r="AE2858" t="s">
        <v>934</v>
      </c>
      <c r="AF2858">
        <v>20</v>
      </c>
      <c r="AG2858" s="1">
        <v>41821</v>
      </c>
      <c r="AH2858" s="1">
        <v>41821</v>
      </c>
      <c r="AI2858" s="1">
        <v>41821</v>
      </c>
      <c r="AJ2858" s="1">
        <v>49126</v>
      </c>
      <c r="AK2858" t="s">
        <v>51</v>
      </c>
      <c r="AN2858">
        <v>0</v>
      </c>
      <c r="AO2858" t="s">
        <v>54</v>
      </c>
      <c r="AP2858" t="s">
        <v>53</v>
      </c>
      <c r="AQ2858">
        <v>0</v>
      </c>
      <c r="AR2858" t="s">
        <v>53</v>
      </c>
      <c r="AS2858">
        <v>0</v>
      </c>
      <c r="AT2858">
        <v>0</v>
      </c>
      <c r="CC2858" t="s">
        <v>850</v>
      </c>
      <c r="CD2858">
        <v>1</v>
      </c>
      <c r="CE2858" s="1">
        <v>41821</v>
      </c>
      <c r="CF2858" s="1">
        <v>41821</v>
      </c>
      <c r="CG2858" s="1">
        <v>41821</v>
      </c>
      <c r="CH2858" s="1">
        <v>48983</v>
      </c>
      <c r="CI2858" t="s">
        <v>51</v>
      </c>
      <c r="CK2858" t="s">
        <v>78</v>
      </c>
      <c r="CM2858" t="s">
        <v>54</v>
      </c>
      <c r="CN2858" t="s">
        <v>174</v>
      </c>
      <c r="CO2858" t="s">
        <v>86</v>
      </c>
      <c r="CR2858">
        <v>18</v>
      </c>
      <c r="CS2858">
        <v>0</v>
      </c>
      <c r="CT2858">
        <v>0</v>
      </c>
      <c r="CU2858">
        <v>0</v>
      </c>
      <c r="CX2858" t="s">
        <v>360</v>
      </c>
      <c r="CY2858">
        <v>40</v>
      </c>
      <c r="CZ2858" s="1">
        <v>43423</v>
      </c>
      <c r="DA2858" s="1">
        <v>43423</v>
      </c>
      <c r="DB2858" s="1">
        <v>43423</v>
      </c>
      <c r="DC2858" s="1">
        <v>58033</v>
      </c>
      <c r="DD2858" t="s">
        <v>51</v>
      </c>
      <c r="DF2858" t="s">
        <v>54</v>
      </c>
      <c r="DG2858">
        <v>0</v>
      </c>
      <c r="DH2858">
        <v>0</v>
      </c>
    </row>
    <row r="2859" spans="1:112" x14ac:dyDescent="0.2">
      <c r="A2859" t="s">
        <v>1012</v>
      </c>
      <c r="B2859" t="s">
        <v>1013</v>
      </c>
      <c r="C2859" t="s">
        <v>1014</v>
      </c>
      <c r="D2859" t="s">
        <v>1020</v>
      </c>
      <c r="F2859" t="str">
        <f>"253605"</f>
        <v>253605</v>
      </c>
      <c r="G2859" t="s">
        <v>49</v>
      </c>
      <c r="H2859">
        <v>45</v>
      </c>
      <c r="K2859" t="s">
        <v>51</v>
      </c>
      <c r="L2859" t="s">
        <v>52</v>
      </c>
      <c r="M2859">
        <v>131743.60999999999</v>
      </c>
      <c r="N2859">
        <v>475732.09</v>
      </c>
      <c r="O2859" t="s">
        <v>53</v>
      </c>
      <c r="P2859" t="s">
        <v>54</v>
      </c>
      <c r="Q2859" t="s">
        <v>55</v>
      </c>
      <c r="T2859" t="s">
        <v>1076</v>
      </c>
      <c r="U2859">
        <v>30</v>
      </c>
      <c r="V2859" s="1">
        <v>41821</v>
      </c>
      <c r="W2859" s="1">
        <v>41821</v>
      </c>
      <c r="X2859" s="1">
        <v>41821</v>
      </c>
      <c r="Y2859" s="1">
        <v>52779</v>
      </c>
      <c r="Z2859" t="s">
        <v>51</v>
      </c>
      <c r="AB2859" t="s">
        <v>54</v>
      </c>
      <c r="AC2859">
        <v>1</v>
      </c>
      <c r="AE2859" t="s">
        <v>934</v>
      </c>
      <c r="AF2859">
        <v>20</v>
      </c>
      <c r="AG2859" s="1">
        <v>41821</v>
      </c>
      <c r="AH2859" s="1">
        <v>41821</v>
      </c>
      <c r="AI2859" s="1">
        <v>41821</v>
      </c>
      <c r="AJ2859" s="1">
        <v>49126</v>
      </c>
      <c r="AK2859" t="s">
        <v>51</v>
      </c>
      <c r="AN2859">
        <v>0</v>
      </c>
      <c r="AO2859" t="s">
        <v>54</v>
      </c>
      <c r="AP2859" t="s">
        <v>53</v>
      </c>
      <c r="AQ2859">
        <v>0</v>
      </c>
      <c r="AR2859" t="s">
        <v>53</v>
      </c>
      <c r="AS2859">
        <v>0</v>
      </c>
      <c r="AT2859">
        <v>0</v>
      </c>
      <c r="CC2859" t="s">
        <v>850</v>
      </c>
      <c r="CD2859">
        <v>1</v>
      </c>
      <c r="CE2859" s="1">
        <v>41821</v>
      </c>
      <c r="CF2859" s="1">
        <v>41821</v>
      </c>
      <c r="CG2859" s="1">
        <v>41821</v>
      </c>
      <c r="CH2859" s="1">
        <v>48983</v>
      </c>
      <c r="CI2859" t="s">
        <v>51</v>
      </c>
      <c r="CK2859" t="s">
        <v>78</v>
      </c>
      <c r="CM2859" t="s">
        <v>54</v>
      </c>
      <c r="CN2859" t="s">
        <v>174</v>
      </c>
      <c r="CO2859" t="s">
        <v>86</v>
      </c>
      <c r="CR2859">
        <v>18</v>
      </c>
      <c r="CS2859">
        <v>0</v>
      </c>
      <c r="CT2859">
        <v>0</v>
      </c>
      <c r="CU2859">
        <v>0</v>
      </c>
      <c r="CX2859" t="s">
        <v>360</v>
      </c>
      <c r="CY2859">
        <v>40</v>
      </c>
      <c r="CZ2859" s="1">
        <v>43423</v>
      </c>
      <c r="DA2859" s="1">
        <v>43423</v>
      </c>
      <c r="DB2859" s="1">
        <v>43423</v>
      </c>
      <c r="DC2859" s="1">
        <v>58033</v>
      </c>
      <c r="DD2859" t="s">
        <v>51</v>
      </c>
      <c r="DF2859" t="s">
        <v>54</v>
      </c>
      <c r="DG2859">
        <v>0</v>
      </c>
      <c r="DH2859">
        <v>0</v>
      </c>
    </row>
    <row r="2860" spans="1:112" x14ac:dyDescent="0.2">
      <c r="A2860" t="s">
        <v>1012</v>
      </c>
      <c r="B2860" t="s">
        <v>1013</v>
      </c>
      <c r="C2860" t="s">
        <v>1019</v>
      </c>
      <c r="D2860" t="s">
        <v>1020</v>
      </c>
      <c r="F2860" t="str">
        <f>"253606"</f>
        <v>253606</v>
      </c>
      <c r="G2860" t="s">
        <v>49</v>
      </c>
      <c r="H2860">
        <v>47</v>
      </c>
      <c r="K2860" t="s">
        <v>51</v>
      </c>
      <c r="L2860" t="s">
        <v>52</v>
      </c>
      <c r="M2860">
        <v>131759.649</v>
      </c>
      <c r="N2860">
        <v>475752.685</v>
      </c>
      <c r="O2860" t="s">
        <v>53</v>
      </c>
      <c r="P2860" t="s">
        <v>54</v>
      </c>
      <c r="Q2860" t="s">
        <v>55</v>
      </c>
      <c r="T2860" t="s">
        <v>1076</v>
      </c>
      <c r="U2860">
        <v>30</v>
      </c>
      <c r="V2860" s="1">
        <v>41821</v>
      </c>
      <c r="W2860" s="1">
        <v>41821</v>
      </c>
      <c r="X2860" s="1">
        <v>41821</v>
      </c>
      <c r="Y2860" s="1">
        <v>52779</v>
      </c>
      <c r="Z2860" t="s">
        <v>51</v>
      </c>
      <c r="AB2860" t="s">
        <v>54</v>
      </c>
      <c r="AC2860">
        <v>1</v>
      </c>
      <c r="AE2860" t="s">
        <v>934</v>
      </c>
      <c r="AF2860">
        <v>20</v>
      </c>
      <c r="AG2860" s="1">
        <v>41821</v>
      </c>
      <c r="AH2860" s="1">
        <v>41821</v>
      </c>
      <c r="AI2860" s="1">
        <v>41821</v>
      </c>
      <c r="AJ2860" s="1">
        <v>49126</v>
      </c>
      <c r="AK2860" t="s">
        <v>51</v>
      </c>
      <c r="AN2860">
        <v>0</v>
      </c>
      <c r="AO2860" t="s">
        <v>54</v>
      </c>
      <c r="AP2860" t="s">
        <v>53</v>
      </c>
      <c r="AQ2860">
        <v>0</v>
      </c>
      <c r="AR2860" t="s">
        <v>53</v>
      </c>
      <c r="AS2860">
        <v>0</v>
      </c>
      <c r="AT2860">
        <v>0</v>
      </c>
      <c r="CC2860" t="s">
        <v>850</v>
      </c>
      <c r="CD2860">
        <v>1</v>
      </c>
      <c r="CE2860" s="1">
        <v>41821</v>
      </c>
      <c r="CF2860" s="1">
        <v>41821</v>
      </c>
      <c r="CG2860" s="1">
        <v>41821</v>
      </c>
      <c r="CH2860" s="1">
        <v>48983</v>
      </c>
      <c r="CI2860" t="s">
        <v>51</v>
      </c>
      <c r="CK2860" t="s">
        <v>78</v>
      </c>
      <c r="CM2860" t="s">
        <v>54</v>
      </c>
      <c r="CN2860" t="s">
        <v>174</v>
      </c>
      <c r="CO2860" t="s">
        <v>86</v>
      </c>
      <c r="CR2860">
        <v>18</v>
      </c>
      <c r="CS2860">
        <v>0</v>
      </c>
      <c r="CT2860">
        <v>0</v>
      </c>
      <c r="CU2860">
        <v>0</v>
      </c>
      <c r="CX2860" t="s">
        <v>360</v>
      </c>
      <c r="CY2860">
        <v>40</v>
      </c>
      <c r="CZ2860" s="1">
        <v>43423</v>
      </c>
      <c r="DA2860" s="1">
        <v>43423</v>
      </c>
      <c r="DB2860" s="1">
        <v>43423</v>
      </c>
      <c r="DC2860" s="1">
        <v>58033</v>
      </c>
      <c r="DD2860" t="s">
        <v>51</v>
      </c>
      <c r="DF2860" t="s">
        <v>54</v>
      </c>
      <c r="DG2860">
        <v>0</v>
      </c>
      <c r="DH2860">
        <v>0</v>
      </c>
    </row>
    <row r="2861" spans="1:112" x14ac:dyDescent="0.2">
      <c r="A2861" t="s">
        <v>1012</v>
      </c>
      <c r="B2861" t="s">
        <v>1013</v>
      </c>
      <c r="C2861" t="s">
        <v>1014</v>
      </c>
      <c r="D2861" t="s">
        <v>1020</v>
      </c>
      <c r="F2861" t="str">
        <f>"253607"</f>
        <v>253607</v>
      </c>
      <c r="G2861" t="s">
        <v>49</v>
      </c>
      <c r="H2861">
        <v>49</v>
      </c>
      <c r="K2861" t="s">
        <v>51</v>
      </c>
      <c r="L2861" t="s">
        <v>52</v>
      </c>
      <c r="M2861">
        <v>131750.34</v>
      </c>
      <c r="N2861">
        <v>475777.51</v>
      </c>
      <c r="O2861" t="s">
        <v>53</v>
      </c>
      <c r="P2861" t="s">
        <v>54</v>
      </c>
      <c r="Q2861" t="s">
        <v>55</v>
      </c>
      <c r="T2861" t="s">
        <v>1076</v>
      </c>
      <c r="U2861">
        <v>30</v>
      </c>
      <c r="V2861" s="1">
        <v>41821</v>
      </c>
      <c r="W2861" s="1">
        <v>41821</v>
      </c>
      <c r="X2861" s="1">
        <v>41821</v>
      </c>
      <c r="Y2861" s="1">
        <v>52779</v>
      </c>
      <c r="Z2861" t="s">
        <v>51</v>
      </c>
      <c r="AB2861" t="s">
        <v>54</v>
      </c>
      <c r="AC2861">
        <v>1</v>
      </c>
      <c r="AE2861" t="s">
        <v>934</v>
      </c>
      <c r="AF2861">
        <v>20</v>
      </c>
      <c r="AG2861" s="1">
        <v>41821</v>
      </c>
      <c r="AH2861" s="1">
        <v>41821</v>
      </c>
      <c r="AI2861" s="1">
        <v>41821</v>
      </c>
      <c r="AJ2861" s="1">
        <v>49126</v>
      </c>
      <c r="AK2861" t="s">
        <v>51</v>
      </c>
      <c r="AN2861">
        <v>0</v>
      </c>
      <c r="AO2861" t="s">
        <v>54</v>
      </c>
      <c r="AP2861" t="s">
        <v>53</v>
      </c>
      <c r="AQ2861">
        <v>0</v>
      </c>
      <c r="AR2861" t="s">
        <v>53</v>
      </c>
      <c r="AS2861">
        <v>0</v>
      </c>
      <c r="AT2861">
        <v>0</v>
      </c>
      <c r="CC2861" t="s">
        <v>850</v>
      </c>
      <c r="CD2861">
        <v>1</v>
      </c>
      <c r="CE2861" s="1">
        <v>41821</v>
      </c>
      <c r="CF2861" s="1">
        <v>41821</v>
      </c>
      <c r="CG2861" s="1">
        <v>41821</v>
      </c>
      <c r="CH2861" s="1">
        <v>48983</v>
      </c>
      <c r="CI2861" t="s">
        <v>51</v>
      </c>
      <c r="CK2861" t="s">
        <v>78</v>
      </c>
      <c r="CM2861" t="s">
        <v>54</v>
      </c>
      <c r="CN2861" t="s">
        <v>174</v>
      </c>
      <c r="CO2861" t="s">
        <v>86</v>
      </c>
      <c r="CR2861">
        <v>18</v>
      </c>
      <c r="CS2861">
        <v>0</v>
      </c>
      <c r="CT2861">
        <v>0</v>
      </c>
      <c r="CU2861">
        <v>0</v>
      </c>
      <c r="CX2861" t="s">
        <v>360</v>
      </c>
      <c r="CY2861">
        <v>40</v>
      </c>
      <c r="CZ2861" s="1">
        <v>43423</v>
      </c>
      <c r="DA2861" s="1">
        <v>43423</v>
      </c>
      <c r="DB2861" s="1">
        <v>43423</v>
      </c>
      <c r="DC2861" s="1">
        <v>58033</v>
      </c>
      <c r="DD2861" t="s">
        <v>51</v>
      </c>
      <c r="DF2861" t="s">
        <v>54</v>
      </c>
      <c r="DG2861">
        <v>0</v>
      </c>
      <c r="DH2861">
        <v>0</v>
      </c>
    </row>
    <row r="2862" spans="1:112" x14ac:dyDescent="0.2">
      <c r="A2862" t="s">
        <v>1012</v>
      </c>
      <c r="B2862" t="s">
        <v>1013</v>
      </c>
      <c r="C2862" t="s">
        <v>1019</v>
      </c>
      <c r="D2862" t="s">
        <v>1020</v>
      </c>
      <c r="F2862" t="str">
        <f>"253608"</f>
        <v>253608</v>
      </c>
      <c r="G2862" t="s">
        <v>49</v>
      </c>
      <c r="H2862">
        <v>52</v>
      </c>
      <c r="K2862" t="s">
        <v>51</v>
      </c>
      <c r="L2862" t="s">
        <v>52</v>
      </c>
      <c r="M2862">
        <v>131766.38099999999</v>
      </c>
      <c r="N2862">
        <v>475798.52899999998</v>
      </c>
      <c r="O2862" t="s">
        <v>53</v>
      </c>
      <c r="P2862" t="s">
        <v>54</v>
      </c>
      <c r="Q2862" t="s">
        <v>55</v>
      </c>
      <c r="T2862" t="s">
        <v>1076</v>
      </c>
      <c r="U2862">
        <v>30</v>
      </c>
      <c r="V2862" s="1">
        <v>41821</v>
      </c>
      <c r="W2862" s="1">
        <v>41821</v>
      </c>
      <c r="X2862" s="1">
        <v>41821</v>
      </c>
      <c r="Y2862" s="1">
        <v>52779</v>
      </c>
      <c r="Z2862" t="s">
        <v>51</v>
      </c>
      <c r="AB2862" t="s">
        <v>54</v>
      </c>
      <c r="AC2862">
        <v>1</v>
      </c>
      <c r="AE2862" t="s">
        <v>934</v>
      </c>
      <c r="AF2862">
        <v>20</v>
      </c>
      <c r="AG2862" s="1">
        <v>41821</v>
      </c>
      <c r="AH2862" s="1">
        <v>41821</v>
      </c>
      <c r="AI2862" s="1">
        <v>41821</v>
      </c>
      <c r="AJ2862" s="1">
        <v>49126</v>
      </c>
      <c r="AK2862" t="s">
        <v>51</v>
      </c>
      <c r="AN2862">
        <v>0</v>
      </c>
      <c r="AO2862" t="s">
        <v>54</v>
      </c>
      <c r="AP2862" t="s">
        <v>53</v>
      </c>
      <c r="AQ2862">
        <v>0</v>
      </c>
      <c r="AR2862" t="s">
        <v>53</v>
      </c>
      <c r="AS2862">
        <v>0</v>
      </c>
      <c r="AT2862">
        <v>0</v>
      </c>
      <c r="CC2862" t="s">
        <v>850</v>
      </c>
      <c r="CD2862">
        <v>1</v>
      </c>
      <c r="CE2862" s="1">
        <v>41821</v>
      </c>
      <c r="CF2862" s="1">
        <v>41821</v>
      </c>
      <c r="CG2862" s="1">
        <v>41821</v>
      </c>
      <c r="CH2862" s="1">
        <v>48983</v>
      </c>
      <c r="CI2862" t="s">
        <v>51</v>
      </c>
      <c r="CK2862" t="s">
        <v>78</v>
      </c>
      <c r="CM2862" t="s">
        <v>54</v>
      </c>
      <c r="CN2862" t="s">
        <v>174</v>
      </c>
      <c r="CO2862" t="s">
        <v>86</v>
      </c>
      <c r="CR2862">
        <v>18</v>
      </c>
      <c r="CS2862">
        <v>0</v>
      </c>
      <c r="CT2862">
        <v>0</v>
      </c>
      <c r="CU2862">
        <v>0</v>
      </c>
      <c r="CX2862" t="s">
        <v>360</v>
      </c>
      <c r="CY2862">
        <v>40</v>
      </c>
      <c r="CZ2862" s="1">
        <v>43423</v>
      </c>
      <c r="DA2862" s="1">
        <v>43423</v>
      </c>
      <c r="DB2862" s="1">
        <v>43423</v>
      </c>
      <c r="DC2862" s="1">
        <v>58033</v>
      </c>
      <c r="DD2862" t="s">
        <v>51</v>
      </c>
      <c r="DF2862" t="s">
        <v>54</v>
      </c>
      <c r="DG2862">
        <v>0</v>
      </c>
      <c r="DH2862">
        <v>0</v>
      </c>
    </row>
    <row r="2863" spans="1:112" x14ac:dyDescent="0.2">
      <c r="A2863" t="s">
        <v>1012</v>
      </c>
      <c r="B2863" t="s">
        <v>1013</v>
      </c>
      <c r="C2863" t="s">
        <v>1014</v>
      </c>
      <c r="D2863" t="s">
        <v>1020</v>
      </c>
      <c r="F2863" t="str">
        <f>"253609"</f>
        <v>253609</v>
      </c>
      <c r="G2863" t="s">
        <v>49</v>
      </c>
      <c r="H2863">
        <v>55</v>
      </c>
      <c r="K2863" t="s">
        <v>51</v>
      </c>
      <c r="L2863" t="s">
        <v>52</v>
      </c>
      <c r="M2863">
        <v>131757.04</v>
      </c>
      <c r="N2863">
        <v>475822.66</v>
      </c>
      <c r="O2863" t="s">
        <v>53</v>
      </c>
      <c r="P2863" t="s">
        <v>54</v>
      </c>
      <c r="Q2863" t="s">
        <v>55</v>
      </c>
      <c r="T2863" t="s">
        <v>1076</v>
      </c>
      <c r="U2863">
        <v>30</v>
      </c>
      <c r="V2863" s="1">
        <v>41821</v>
      </c>
      <c r="W2863" s="1">
        <v>41821</v>
      </c>
      <c r="X2863" s="1">
        <v>41821</v>
      </c>
      <c r="Y2863" s="1">
        <v>52779</v>
      </c>
      <c r="Z2863" t="s">
        <v>51</v>
      </c>
      <c r="AB2863" t="s">
        <v>54</v>
      </c>
      <c r="AC2863">
        <v>1</v>
      </c>
      <c r="AE2863" t="s">
        <v>934</v>
      </c>
      <c r="AF2863">
        <v>20</v>
      </c>
      <c r="AG2863" s="1">
        <v>41821</v>
      </c>
      <c r="AH2863" s="1">
        <v>41821</v>
      </c>
      <c r="AI2863" s="1">
        <v>41821</v>
      </c>
      <c r="AJ2863" s="1">
        <v>49126</v>
      </c>
      <c r="AK2863" t="s">
        <v>51</v>
      </c>
      <c r="AN2863">
        <v>0</v>
      </c>
      <c r="AO2863" t="s">
        <v>54</v>
      </c>
      <c r="AP2863" t="s">
        <v>53</v>
      </c>
      <c r="AQ2863">
        <v>0</v>
      </c>
      <c r="AR2863" t="s">
        <v>53</v>
      </c>
      <c r="AS2863">
        <v>0</v>
      </c>
      <c r="AT2863">
        <v>0</v>
      </c>
      <c r="CC2863" t="s">
        <v>850</v>
      </c>
      <c r="CD2863">
        <v>1</v>
      </c>
      <c r="CE2863" s="1">
        <v>41821</v>
      </c>
      <c r="CF2863" s="1">
        <v>41821</v>
      </c>
      <c r="CG2863" s="1">
        <v>41821</v>
      </c>
      <c r="CH2863" s="1">
        <v>48983</v>
      </c>
      <c r="CI2863" t="s">
        <v>51</v>
      </c>
      <c r="CK2863" t="s">
        <v>78</v>
      </c>
      <c r="CM2863" t="s">
        <v>54</v>
      </c>
      <c r="CN2863" t="s">
        <v>174</v>
      </c>
      <c r="CO2863" t="s">
        <v>86</v>
      </c>
      <c r="CR2863">
        <v>18</v>
      </c>
      <c r="CS2863">
        <v>0</v>
      </c>
      <c r="CT2863">
        <v>0</v>
      </c>
      <c r="CU2863">
        <v>0</v>
      </c>
      <c r="CX2863" t="s">
        <v>360</v>
      </c>
      <c r="CY2863">
        <v>40</v>
      </c>
      <c r="CZ2863" s="1">
        <v>43423</v>
      </c>
      <c r="DA2863" s="1">
        <v>43423</v>
      </c>
      <c r="DB2863" s="1">
        <v>43423</v>
      </c>
      <c r="DC2863" s="1">
        <v>58033</v>
      </c>
      <c r="DD2863" t="s">
        <v>51</v>
      </c>
      <c r="DF2863" t="s">
        <v>54</v>
      </c>
      <c r="DG2863">
        <v>0</v>
      </c>
      <c r="DH2863">
        <v>0</v>
      </c>
    </row>
    <row r="2864" spans="1:112" x14ac:dyDescent="0.2">
      <c r="A2864" t="s">
        <v>1012</v>
      </c>
      <c r="B2864" t="s">
        <v>1013</v>
      </c>
      <c r="C2864" t="s">
        <v>1019</v>
      </c>
      <c r="D2864" t="s">
        <v>1020</v>
      </c>
      <c r="F2864" t="str">
        <f>"253610"</f>
        <v>253610</v>
      </c>
      <c r="G2864" t="s">
        <v>49</v>
      </c>
      <c r="H2864">
        <v>57</v>
      </c>
      <c r="K2864" t="s">
        <v>51</v>
      </c>
      <c r="L2864" t="s">
        <v>52</v>
      </c>
      <c r="M2864">
        <v>131773.54</v>
      </c>
      <c r="N2864">
        <v>475844.23</v>
      </c>
      <c r="O2864" t="s">
        <v>53</v>
      </c>
      <c r="P2864" t="s">
        <v>54</v>
      </c>
      <c r="Q2864" t="s">
        <v>55</v>
      </c>
      <c r="T2864" t="s">
        <v>1076</v>
      </c>
      <c r="U2864">
        <v>30</v>
      </c>
      <c r="V2864" s="1">
        <v>41821</v>
      </c>
      <c r="W2864" s="1">
        <v>41821</v>
      </c>
      <c r="X2864" s="1">
        <v>41821</v>
      </c>
      <c r="Y2864" s="1">
        <v>52779</v>
      </c>
      <c r="Z2864" t="s">
        <v>51</v>
      </c>
      <c r="AB2864" t="s">
        <v>54</v>
      </c>
      <c r="AC2864">
        <v>1</v>
      </c>
      <c r="AE2864" t="s">
        <v>934</v>
      </c>
      <c r="AF2864">
        <v>20</v>
      </c>
      <c r="AG2864" s="1">
        <v>41821</v>
      </c>
      <c r="AH2864" s="1">
        <v>41821</v>
      </c>
      <c r="AI2864" s="1">
        <v>41821</v>
      </c>
      <c r="AJ2864" s="1">
        <v>49126</v>
      </c>
      <c r="AK2864" t="s">
        <v>51</v>
      </c>
      <c r="AN2864">
        <v>0</v>
      </c>
      <c r="AO2864" t="s">
        <v>54</v>
      </c>
      <c r="AP2864" t="s">
        <v>53</v>
      </c>
      <c r="AQ2864">
        <v>0</v>
      </c>
      <c r="AR2864" t="s">
        <v>53</v>
      </c>
      <c r="AS2864">
        <v>0</v>
      </c>
      <c r="AT2864">
        <v>0</v>
      </c>
      <c r="CC2864" t="s">
        <v>850</v>
      </c>
      <c r="CD2864">
        <v>1</v>
      </c>
      <c r="CE2864" s="1">
        <v>41821</v>
      </c>
      <c r="CF2864" s="1">
        <v>41821</v>
      </c>
      <c r="CG2864" s="1">
        <v>41821</v>
      </c>
      <c r="CH2864" s="1">
        <v>48983</v>
      </c>
      <c r="CI2864" t="s">
        <v>51</v>
      </c>
      <c r="CK2864" t="s">
        <v>78</v>
      </c>
      <c r="CM2864" t="s">
        <v>54</v>
      </c>
      <c r="CN2864" t="s">
        <v>174</v>
      </c>
      <c r="CO2864" t="s">
        <v>86</v>
      </c>
      <c r="CR2864">
        <v>18</v>
      </c>
      <c r="CS2864">
        <v>0</v>
      </c>
      <c r="CT2864">
        <v>0</v>
      </c>
      <c r="CU2864">
        <v>0</v>
      </c>
      <c r="CX2864" t="s">
        <v>360</v>
      </c>
      <c r="CY2864">
        <v>40</v>
      </c>
      <c r="CZ2864" s="1">
        <v>43423</v>
      </c>
      <c r="DA2864" s="1">
        <v>43423</v>
      </c>
      <c r="DB2864" s="1">
        <v>43423</v>
      </c>
      <c r="DC2864" s="1">
        <v>58033</v>
      </c>
      <c r="DD2864" t="s">
        <v>51</v>
      </c>
      <c r="DF2864" t="s">
        <v>54</v>
      </c>
      <c r="DG2864">
        <v>0</v>
      </c>
      <c r="DH2864">
        <v>0</v>
      </c>
    </row>
    <row r="2865" spans="1:112" x14ac:dyDescent="0.2">
      <c r="A2865" t="s">
        <v>1012</v>
      </c>
      <c r="B2865" t="s">
        <v>1013</v>
      </c>
      <c r="C2865" t="s">
        <v>1014</v>
      </c>
      <c r="D2865" t="s">
        <v>1020</v>
      </c>
      <c r="F2865" t="str">
        <f>"253611"</f>
        <v>253611</v>
      </c>
      <c r="G2865" t="s">
        <v>49</v>
      </c>
      <c r="H2865">
        <v>59</v>
      </c>
      <c r="K2865" t="s">
        <v>51</v>
      </c>
      <c r="L2865" t="s">
        <v>52</v>
      </c>
      <c r="M2865">
        <v>131763.76999999999</v>
      </c>
      <c r="N2865">
        <v>475869.45</v>
      </c>
      <c r="O2865" t="s">
        <v>53</v>
      </c>
      <c r="P2865" t="s">
        <v>54</v>
      </c>
      <c r="Q2865" t="s">
        <v>55</v>
      </c>
      <c r="T2865" t="s">
        <v>1076</v>
      </c>
      <c r="U2865">
        <v>30</v>
      </c>
      <c r="V2865" s="1">
        <v>41821</v>
      </c>
      <c r="W2865" s="1">
        <v>41821</v>
      </c>
      <c r="X2865" s="1">
        <v>41821</v>
      </c>
      <c r="Y2865" s="1">
        <v>52779</v>
      </c>
      <c r="Z2865" t="s">
        <v>51</v>
      </c>
      <c r="AB2865" t="s">
        <v>54</v>
      </c>
      <c r="AC2865">
        <v>1</v>
      </c>
      <c r="AE2865" t="s">
        <v>934</v>
      </c>
      <c r="AF2865">
        <v>20</v>
      </c>
      <c r="AG2865" s="1">
        <v>41821</v>
      </c>
      <c r="AH2865" s="1">
        <v>41821</v>
      </c>
      <c r="AI2865" s="1">
        <v>41821</v>
      </c>
      <c r="AJ2865" s="1">
        <v>49126</v>
      </c>
      <c r="AK2865" t="s">
        <v>51</v>
      </c>
      <c r="AN2865">
        <v>0</v>
      </c>
      <c r="AO2865" t="s">
        <v>54</v>
      </c>
      <c r="AP2865" t="s">
        <v>53</v>
      </c>
      <c r="AQ2865">
        <v>0</v>
      </c>
      <c r="AR2865" t="s">
        <v>53</v>
      </c>
      <c r="AS2865">
        <v>0</v>
      </c>
      <c r="AT2865">
        <v>0</v>
      </c>
      <c r="CC2865" t="s">
        <v>432</v>
      </c>
      <c r="CD2865">
        <v>85000</v>
      </c>
      <c r="CE2865" s="1">
        <v>41821</v>
      </c>
      <c r="CF2865" s="1">
        <v>41821</v>
      </c>
      <c r="CG2865" s="1">
        <v>41821</v>
      </c>
      <c r="CH2865" s="1">
        <v>48983</v>
      </c>
      <c r="CI2865" t="s">
        <v>51</v>
      </c>
      <c r="CK2865" t="s">
        <v>78</v>
      </c>
      <c r="CM2865" t="s">
        <v>54</v>
      </c>
      <c r="CN2865" t="s">
        <v>174</v>
      </c>
      <c r="CO2865" t="s">
        <v>86</v>
      </c>
      <c r="CR2865">
        <v>24</v>
      </c>
      <c r="CS2865">
        <v>0</v>
      </c>
      <c r="CT2865">
        <v>0</v>
      </c>
      <c r="CU2865">
        <v>0</v>
      </c>
      <c r="CX2865" t="s">
        <v>360</v>
      </c>
      <c r="CY2865">
        <v>40</v>
      </c>
      <c r="CZ2865" s="1">
        <v>43423</v>
      </c>
      <c r="DA2865" s="1">
        <v>43423</v>
      </c>
      <c r="DB2865" s="1">
        <v>43423</v>
      </c>
      <c r="DC2865" s="1">
        <v>58033</v>
      </c>
      <c r="DD2865" t="s">
        <v>51</v>
      </c>
      <c r="DF2865" t="s">
        <v>54</v>
      </c>
      <c r="DG2865">
        <v>0</v>
      </c>
      <c r="DH2865">
        <v>0</v>
      </c>
    </row>
    <row r="2866" spans="1:112" x14ac:dyDescent="0.2">
      <c r="A2866" t="s">
        <v>1012</v>
      </c>
      <c r="B2866" t="s">
        <v>1013</v>
      </c>
      <c r="C2866" t="s">
        <v>1019</v>
      </c>
      <c r="D2866" t="s">
        <v>1020</v>
      </c>
      <c r="F2866" t="str">
        <f>"253612"</f>
        <v>253612</v>
      </c>
      <c r="G2866" t="s">
        <v>49</v>
      </c>
      <c r="H2866">
        <v>60</v>
      </c>
      <c r="K2866" t="s">
        <v>51</v>
      </c>
      <c r="L2866" t="s">
        <v>52</v>
      </c>
      <c r="M2866">
        <v>131777.476</v>
      </c>
      <c r="N2866">
        <v>475871.18400000001</v>
      </c>
      <c r="O2866" t="s">
        <v>53</v>
      </c>
      <c r="P2866" t="s">
        <v>54</v>
      </c>
      <c r="Q2866" t="s">
        <v>55</v>
      </c>
      <c r="T2866" t="s">
        <v>1076</v>
      </c>
      <c r="U2866">
        <v>30</v>
      </c>
      <c r="V2866" s="1">
        <v>41821</v>
      </c>
      <c r="W2866" s="1">
        <v>41821</v>
      </c>
      <c r="X2866" s="1">
        <v>41821</v>
      </c>
      <c r="Y2866" s="1">
        <v>52779</v>
      </c>
      <c r="Z2866" t="s">
        <v>51</v>
      </c>
      <c r="AB2866" t="s">
        <v>54</v>
      </c>
      <c r="AC2866">
        <v>1</v>
      </c>
      <c r="AE2866" t="s">
        <v>934</v>
      </c>
      <c r="AF2866">
        <v>20</v>
      </c>
      <c r="AG2866" s="1">
        <v>41821</v>
      </c>
      <c r="AH2866" s="1">
        <v>41821</v>
      </c>
      <c r="AI2866" s="1">
        <v>41821</v>
      </c>
      <c r="AJ2866" s="1">
        <v>49126</v>
      </c>
      <c r="AK2866" t="s">
        <v>51</v>
      </c>
      <c r="AN2866">
        <v>0</v>
      </c>
      <c r="AO2866" t="s">
        <v>54</v>
      </c>
      <c r="AP2866" t="s">
        <v>53</v>
      </c>
      <c r="AQ2866">
        <v>0</v>
      </c>
      <c r="AR2866" t="s">
        <v>53</v>
      </c>
      <c r="AS2866">
        <v>0</v>
      </c>
      <c r="AT2866">
        <v>0</v>
      </c>
      <c r="CC2866" t="s">
        <v>850</v>
      </c>
      <c r="CD2866">
        <v>1</v>
      </c>
      <c r="CE2866" s="1">
        <v>41821</v>
      </c>
      <c r="CF2866" s="1">
        <v>41821</v>
      </c>
      <c r="CG2866" s="1">
        <v>41821</v>
      </c>
      <c r="CH2866" s="1">
        <v>48983</v>
      </c>
      <c r="CI2866" t="s">
        <v>51</v>
      </c>
      <c r="CK2866" t="s">
        <v>78</v>
      </c>
      <c r="CM2866" t="s">
        <v>54</v>
      </c>
      <c r="CN2866" t="s">
        <v>174</v>
      </c>
      <c r="CO2866" t="s">
        <v>86</v>
      </c>
      <c r="CR2866">
        <v>18</v>
      </c>
      <c r="CS2866">
        <v>0</v>
      </c>
      <c r="CT2866">
        <v>0</v>
      </c>
      <c r="CU2866">
        <v>0</v>
      </c>
      <c r="CX2866" t="s">
        <v>360</v>
      </c>
      <c r="CY2866">
        <v>40</v>
      </c>
      <c r="CZ2866" s="1">
        <v>43423</v>
      </c>
      <c r="DA2866" s="1">
        <v>43423</v>
      </c>
      <c r="DB2866" s="1">
        <v>43423</v>
      </c>
      <c r="DC2866" s="1">
        <v>58033</v>
      </c>
      <c r="DD2866" t="s">
        <v>51</v>
      </c>
      <c r="DF2866" t="s">
        <v>54</v>
      </c>
      <c r="DG2866">
        <v>0</v>
      </c>
      <c r="DH2866">
        <v>0</v>
      </c>
    </row>
    <row r="2867" spans="1:112" x14ac:dyDescent="0.2">
      <c r="A2867" t="s">
        <v>1012</v>
      </c>
      <c r="B2867" t="s">
        <v>1013</v>
      </c>
      <c r="C2867" t="s">
        <v>1019</v>
      </c>
      <c r="D2867" t="s">
        <v>1020</v>
      </c>
      <c r="F2867" t="str">
        <f>"253613"</f>
        <v>253613</v>
      </c>
      <c r="G2867" t="s">
        <v>49</v>
      </c>
      <c r="H2867">
        <v>62</v>
      </c>
      <c r="K2867" t="s">
        <v>51</v>
      </c>
      <c r="L2867" t="s">
        <v>52</v>
      </c>
      <c r="M2867">
        <v>131772.76</v>
      </c>
      <c r="N2867">
        <v>475900.17</v>
      </c>
      <c r="O2867" t="s">
        <v>53</v>
      </c>
      <c r="P2867" t="s">
        <v>54</v>
      </c>
      <c r="Q2867" t="s">
        <v>55</v>
      </c>
      <c r="T2867" t="s">
        <v>1076</v>
      </c>
      <c r="U2867">
        <v>30</v>
      </c>
      <c r="V2867" s="1">
        <v>41821</v>
      </c>
      <c r="W2867" s="1">
        <v>41821</v>
      </c>
      <c r="X2867" s="1">
        <v>41821</v>
      </c>
      <c r="Y2867" s="1">
        <v>52779</v>
      </c>
      <c r="Z2867" t="s">
        <v>51</v>
      </c>
      <c r="AB2867" t="s">
        <v>54</v>
      </c>
      <c r="AC2867">
        <v>1</v>
      </c>
      <c r="AE2867" t="s">
        <v>934</v>
      </c>
      <c r="AF2867">
        <v>20</v>
      </c>
      <c r="AG2867" s="1">
        <v>41821</v>
      </c>
      <c r="AH2867" s="1">
        <v>41821</v>
      </c>
      <c r="AI2867" s="1">
        <v>41821</v>
      </c>
      <c r="AJ2867" s="1">
        <v>49126</v>
      </c>
      <c r="AK2867" t="s">
        <v>51</v>
      </c>
      <c r="AN2867">
        <v>0</v>
      </c>
      <c r="AO2867" t="s">
        <v>54</v>
      </c>
      <c r="AP2867" t="s">
        <v>53</v>
      </c>
      <c r="AQ2867">
        <v>0</v>
      </c>
      <c r="AR2867" t="s">
        <v>53</v>
      </c>
      <c r="AS2867">
        <v>0</v>
      </c>
      <c r="AT2867">
        <v>0</v>
      </c>
      <c r="CC2867" t="s">
        <v>250</v>
      </c>
      <c r="CD2867">
        <v>100000</v>
      </c>
      <c r="CE2867" s="1">
        <v>41821</v>
      </c>
      <c r="CF2867" s="1">
        <v>41821</v>
      </c>
      <c r="CG2867" s="1">
        <v>41821</v>
      </c>
      <c r="CH2867" s="1">
        <v>50293</v>
      </c>
      <c r="CI2867" t="s">
        <v>51</v>
      </c>
      <c r="CK2867" t="s">
        <v>78</v>
      </c>
      <c r="CM2867" t="s">
        <v>54</v>
      </c>
      <c r="CN2867" t="s">
        <v>174</v>
      </c>
      <c r="CR2867">
        <v>13.2</v>
      </c>
      <c r="CS2867">
        <v>1800</v>
      </c>
      <c r="CT2867">
        <v>0</v>
      </c>
      <c r="CU2867">
        <v>16</v>
      </c>
      <c r="CX2867" t="s">
        <v>360</v>
      </c>
      <c r="CY2867">
        <v>40</v>
      </c>
      <c r="CZ2867" s="1">
        <v>41821</v>
      </c>
      <c r="DA2867" s="1">
        <v>41821</v>
      </c>
      <c r="DB2867" s="1">
        <v>41821</v>
      </c>
      <c r="DC2867" s="1">
        <v>56431</v>
      </c>
      <c r="DD2867" t="s">
        <v>51</v>
      </c>
      <c r="DF2867" t="s">
        <v>54</v>
      </c>
      <c r="DG2867">
        <v>0</v>
      </c>
      <c r="DH2867">
        <v>0</v>
      </c>
    </row>
    <row r="2868" spans="1:112" x14ac:dyDescent="0.2">
      <c r="A2868" t="s">
        <v>1012</v>
      </c>
      <c r="B2868" t="s">
        <v>1013</v>
      </c>
      <c r="C2868" t="s">
        <v>1014</v>
      </c>
      <c r="D2868" t="s">
        <v>1020</v>
      </c>
      <c r="F2868" t="str">
        <f>"253614"</f>
        <v>253614</v>
      </c>
      <c r="G2868" t="s">
        <v>49</v>
      </c>
      <c r="H2868">
        <v>62</v>
      </c>
      <c r="K2868" t="s">
        <v>51</v>
      </c>
      <c r="L2868" t="s">
        <v>52</v>
      </c>
      <c r="M2868">
        <v>131769.92600000001</v>
      </c>
      <c r="N2868">
        <v>475919.76500000001</v>
      </c>
      <c r="O2868" t="s">
        <v>53</v>
      </c>
      <c r="P2868" t="s">
        <v>54</v>
      </c>
      <c r="Q2868" t="s">
        <v>55</v>
      </c>
      <c r="T2868" t="s">
        <v>1076</v>
      </c>
      <c r="U2868">
        <v>30</v>
      </c>
      <c r="V2868" s="1">
        <v>41821</v>
      </c>
      <c r="W2868" s="1">
        <v>41821</v>
      </c>
      <c r="X2868" s="1">
        <v>41821</v>
      </c>
      <c r="Y2868" s="1">
        <v>52779</v>
      </c>
      <c r="Z2868" t="s">
        <v>51</v>
      </c>
      <c r="AB2868" t="s">
        <v>54</v>
      </c>
      <c r="AC2868">
        <v>1</v>
      </c>
      <c r="AE2868" t="s">
        <v>934</v>
      </c>
      <c r="AF2868">
        <v>20</v>
      </c>
      <c r="AG2868" s="1">
        <v>41821</v>
      </c>
      <c r="AH2868" s="1">
        <v>41821</v>
      </c>
      <c r="AI2868" s="1">
        <v>41821</v>
      </c>
      <c r="AJ2868" s="1">
        <v>49126</v>
      </c>
      <c r="AK2868" t="s">
        <v>51</v>
      </c>
      <c r="AN2868">
        <v>0</v>
      </c>
      <c r="AO2868" t="s">
        <v>54</v>
      </c>
      <c r="AP2868" t="s">
        <v>53</v>
      </c>
      <c r="AQ2868">
        <v>0</v>
      </c>
      <c r="AR2868" t="s">
        <v>53</v>
      </c>
      <c r="AS2868">
        <v>0</v>
      </c>
      <c r="AT2868">
        <v>0</v>
      </c>
      <c r="CC2868" t="s">
        <v>850</v>
      </c>
      <c r="CD2868">
        <v>1</v>
      </c>
      <c r="CE2868" s="1">
        <v>41821</v>
      </c>
      <c r="CF2868" s="1">
        <v>41821</v>
      </c>
      <c r="CG2868" s="1">
        <v>41821</v>
      </c>
      <c r="CH2868" s="1">
        <v>48983</v>
      </c>
      <c r="CI2868" t="s">
        <v>51</v>
      </c>
      <c r="CK2868" t="s">
        <v>78</v>
      </c>
      <c r="CM2868" t="s">
        <v>54</v>
      </c>
      <c r="CN2868" t="s">
        <v>174</v>
      </c>
      <c r="CO2868" t="s">
        <v>86</v>
      </c>
      <c r="CR2868">
        <v>18</v>
      </c>
      <c r="CS2868">
        <v>0</v>
      </c>
      <c r="CT2868">
        <v>0</v>
      </c>
      <c r="CU2868">
        <v>0</v>
      </c>
      <c r="CX2868" t="s">
        <v>360</v>
      </c>
      <c r="CY2868">
        <v>40</v>
      </c>
      <c r="CZ2868" s="1">
        <v>41821</v>
      </c>
      <c r="DA2868" s="1">
        <v>41821</v>
      </c>
      <c r="DB2868" s="1">
        <v>41821</v>
      </c>
      <c r="DC2868" s="1">
        <v>56431</v>
      </c>
      <c r="DD2868" t="s">
        <v>51</v>
      </c>
      <c r="DF2868" t="s">
        <v>54</v>
      </c>
      <c r="DG2868">
        <v>0</v>
      </c>
      <c r="DH2868">
        <v>0</v>
      </c>
    </row>
    <row r="2869" spans="1:112" x14ac:dyDescent="0.2">
      <c r="A2869" t="s">
        <v>1012</v>
      </c>
      <c r="B2869" t="s">
        <v>1013</v>
      </c>
      <c r="C2869" t="s">
        <v>1019</v>
      </c>
      <c r="D2869" t="s">
        <v>1071</v>
      </c>
      <c r="F2869" t="str">
        <f>"253615"</f>
        <v>253615</v>
      </c>
      <c r="G2869" t="s">
        <v>49</v>
      </c>
      <c r="H2869">
        <v>97</v>
      </c>
      <c r="K2869" t="s">
        <v>51</v>
      </c>
      <c r="L2869" t="s">
        <v>52</v>
      </c>
      <c r="M2869">
        <v>131564.533</v>
      </c>
      <c r="N2869">
        <v>474157.38400000002</v>
      </c>
      <c r="O2869" t="s">
        <v>53</v>
      </c>
      <c r="P2869" t="s">
        <v>54</v>
      </c>
      <c r="Q2869" t="s">
        <v>55</v>
      </c>
      <c r="T2869" t="s">
        <v>246</v>
      </c>
      <c r="U2869">
        <v>40</v>
      </c>
      <c r="V2869" s="1">
        <v>41821</v>
      </c>
      <c r="W2869" s="1">
        <v>41821</v>
      </c>
      <c r="X2869" s="1">
        <v>41821</v>
      </c>
      <c r="Y2869" s="1">
        <v>56431</v>
      </c>
      <c r="Z2869" t="s">
        <v>51</v>
      </c>
      <c r="AB2869" t="s">
        <v>54</v>
      </c>
      <c r="AC2869">
        <v>1</v>
      </c>
      <c r="AE2869" t="s">
        <v>243</v>
      </c>
      <c r="AF2869">
        <v>20</v>
      </c>
      <c r="AG2869" s="1">
        <v>41821</v>
      </c>
      <c r="AH2869" s="1">
        <v>41821</v>
      </c>
      <c r="AI2869" s="1">
        <v>41821</v>
      </c>
      <c r="AJ2869" s="1">
        <v>49126</v>
      </c>
      <c r="AK2869" t="s">
        <v>51</v>
      </c>
      <c r="AN2869">
        <v>0</v>
      </c>
      <c r="AO2869" t="s">
        <v>54</v>
      </c>
      <c r="AP2869" t="s">
        <v>53</v>
      </c>
      <c r="AQ2869">
        <v>0</v>
      </c>
      <c r="AR2869" t="s">
        <v>53</v>
      </c>
      <c r="AS2869">
        <v>0</v>
      </c>
      <c r="AT2869">
        <v>0</v>
      </c>
      <c r="CC2869" t="s">
        <v>244</v>
      </c>
      <c r="CD2869">
        <v>100000</v>
      </c>
      <c r="CE2869" s="1">
        <v>41821</v>
      </c>
      <c r="CF2869" s="1">
        <v>41821</v>
      </c>
      <c r="CG2869" s="1">
        <v>41821</v>
      </c>
      <c r="CH2869" s="1">
        <v>50293</v>
      </c>
      <c r="CI2869" t="s">
        <v>51</v>
      </c>
      <c r="CK2869" t="s">
        <v>78</v>
      </c>
      <c r="CM2869" t="s">
        <v>54</v>
      </c>
      <c r="CN2869" t="s">
        <v>174</v>
      </c>
      <c r="CR2869">
        <v>0</v>
      </c>
      <c r="CS2869">
        <v>2150</v>
      </c>
      <c r="CT2869">
        <v>0</v>
      </c>
      <c r="CU2869">
        <v>16</v>
      </c>
      <c r="CX2869" t="s">
        <v>360</v>
      </c>
      <c r="CY2869">
        <v>40</v>
      </c>
      <c r="CZ2869" s="1">
        <v>44320</v>
      </c>
      <c r="DA2869" s="1">
        <v>44320</v>
      </c>
      <c r="DB2869" s="1">
        <v>44320</v>
      </c>
      <c r="DC2869" s="1">
        <v>58930</v>
      </c>
      <c r="DD2869" t="s">
        <v>51</v>
      </c>
      <c r="DF2869" t="s">
        <v>54</v>
      </c>
      <c r="DG2869">
        <v>0</v>
      </c>
      <c r="DH2869">
        <v>0</v>
      </c>
    </row>
    <row r="2870" spans="1:112" x14ac:dyDescent="0.2">
      <c r="A2870" t="s">
        <v>1012</v>
      </c>
      <c r="B2870" t="s">
        <v>1013</v>
      </c>
      <c r="C2870" t="s">
        <v>1019</v>
      </c>
      <c r="D2870" t="s">
        <v>1071</v>
      </c>
      <c r="F2870" t="str">
        <f>"253616"</f>
        <v>253616</v>
      </c>
      <c r="G2870" t="s">
        <v>49</v>
      </c>
      <c r="H2870">
        <v>97</v>
      </c>
      <c r="K2870" t="s">
        <v>51</v>
      </c>
      <c r="L2870" t="s">
        <v>52</v>
      </c>
      <c r="M2870">
        <v>131570.739</v>
      </c>
      <c r="N2870">
        <v>474168.06199999998</v>
      </c>
      <c r="O2870" t="s">
        <v>53</v>
      </c>
      <c r="P2870" t="s">
        <v>54</v>
      </c>
      <c r="Q2870" t="s">
        <v>55</v>
      </c>
      <c r="T2870" t="s">
        <v>246</v>
      </c>
      <c r="U2870">
        <v>40</v>
      </c>
      <c r="V2870" s="1">
        <v>41821</v>
      </c>
      <c r="W2870" s="1">
        <v>41821</v>
      </c>
      <c r="X2870" s="1">
        <v>41821</v>
      </c>
      <c r="Y2870" s="1">
        <v>56431</v>
      </c>
      <c r="Z2870" t="s">
        <v>51</v>
      </c>
      <c r="AB2870" t="s">
        <v>54</v>
      </c>
      <c r="AC2870">
        <v>1</v>
      </c>
      <c r="AE2870" t="s">
        <v>243</v>
      </c>
      <c r="AF2870">
        <v>20</v>
      </c>
      <c r="AG2870" s="1">
        <v>41821</v>
      </c>
      <c r="AH2870" s="1">
        <v>41821</v>
      </c>
      <c r="AI2870" s="1">
        <v>41821</v>
      </c>
      <c r="AJ2870" s="1">
        <v>49126</v>
      </c>
      <c r="AK2870" t="s">
        <v>51</v>
      </c>
      <c r="AN2870">
        <v>0</v>
      </c>
      <c r="AO2870" t="s">
        <v>54</v>
      </c>
      <c r="AP2870" t="s">
        <v>53</v>
      </c>
      <c r="AQ2870">
        <v>0</v>
      </c>
      <c r="AR2870" t="s">
        <v>53</v>
      </c>
      <c r="AS2870">
        <v>0</v>
      </c>
      <c r="AT2870">
        <v>0</v>
      </c>
      <c r="CC2870" t="s">
        <v>244</v>
      </c>
      <c r="CD2870">
        <v>100000</v>
      </c>
      <c r="CE2870" s="1">
        <v>41821</v>
      </c>
      <c r="CF2870" s="1">
        <v>41821</v>
      </c>
      <c r="CG2870" s="1">
        <v>41821</v>
      </c>
      <c r="CH2870" s="1">
        <v>50293</v>
      </c>
      <c r="CI2870" t="s">
        <v>51</v>
      </c>
      <c r="CK2870" t="s">
        <v>78</v>
      </c>
      <c r="CM2870" t="s">
        <v>54</v>
      </c>
      <c r="CN2870" t="s">
        <v>174</v>
      </c>
      <c r="CR2870">
        <v>0</v>
      </c>
      <c r="CS2870">
        <v>2150</v>
      </c>
      <c r="CT2870">
        <v>0</v>
      </c>
      <c r="CU2870">
        <v>16</v>
      </c>
      <c r="CX2870" t="s">
        <v>360</v>
      </c>
      <c r="CY2870">
        <v>40</v>
      </c>
      <c r="CZ2870" s="1">
        <v>44320</v>
      </c>
      <c r="DA2870" s="1">
        <v>44320</v>
      </c>
      <c r="DB2870" s="1">
        <v>44320</v>
      </c>
      <c r="DC2870" s="1">
        <v>58930</v>
      </c>
      <c r="DD2870" t="s">
        <v>51</v>
      </c>
      <c r="DF2870" t="s">
        <v>54</v>
      </c>
      <c r="DG2870">
        <v>0</v>
      </c>
      <c r="DH2870">
        <v>0</v>
      </c>
    </row>
    <row r="2871" spans="1:112" x14ac:dyDescent="0.2">
      <c r="A2871" t="s">
        <v>1012</v>
      </c>
      <c r="B2871" t="s">
        <v>1013</v>
      </c>
      <c r="C2871" t="s">
        <v>1019</v>
      </c>
      <c r="D2871" t="s">
        <v>1071</v>
      </c>
      <c r="F2871" t="str">
        <f>"253617"</f>
        <v>253617</v>
      </c>
      <c r="G2871" t="s">
        <v>49</v>
      </c>
      <c r="K2871" t="s">
        <v>51</v>
      </c>
      <c r="L2871" t="s">
        <v>52</v>
      </c>
      <c r="M2871">
        <v>131587.63399999999</v>
      </c>
      <c r="N2871">
        <v>474135.25</v>
      </c>
      <c r="O2871" t="s">
        <v>53</v>
      </c>
      <c r="P2871" t="s">
        <v>54</v>
      </c>
      <c r="Q2871" t="s">
        <v>55</v>
      </c>
      <c r="T2871" t="s">
        <v>246</v>
      </c>
      <c r="U2871">
        <v>40</v>
      </c>
      <c r="V2871" s="1">
        <v>41821</v>
      </c>
      <c r="W2871" s="1">
        <v>41821</v>
      </c>
      <c r="X2871" s="1">
        <v>41821</v>
      </c>
      <c r="Y2871" s="1">
        <v>56431</v>
      </c>
      <c r="Z2871" t="s">
        <v>51</v>
      </c>
      <c r="AB2871" t="s">
        <v>54</v>
      </c>
      <c r="AC2871">
        <v>1</v>
      </c>
      <c r="AE2871" t="s">
        <v>243</v>
      </c>
      <c r="AF2871">
        <v>20</v>
      </c>
      <c r="AG2871" s="1">
        <v>41821</v>
      </c>
      <c r="AH2871" s="1">
        <v>41821</v>
      </c>
      <c r="AI2871" s="1">
        <v>41821</v>
      </c>
      <c r="AJ2871" s="1">
        <v>49126</v>
      </c>
      <c r="AK2871" t="s">
        <v>51</v>
      </c>
      <c r="AN2871">
        <v>0</v>
      </c>
      <c r="AO2871" t="s">
        <v>54</v>
      </c>
      <c r="AP2871" t="s">
        <v>53</v>
      </c>
      <c r="AQ2871">
        <v>0</v>
      </c>
      <c r="AR2871" t="s">
        <v>53</v>
      </c>
      <c r="AS2871">
        <v>0</v>
      </c>
      <c r="AT2871">
        <v>0</v>
      </c>
      <c r="CC2871" t="s">
        <v>244</v>
      </c>
      <c r="CD2871">
        <v>100000</v>
      </c>
      <c r="CE2871" s="1">
        <v>41821</v>
      </c>
      <c r="CF2871" s="1">
        <v>41821</v>
      </c>
      <c r="CG2871" s="1">
        <v>41821</v>
      </c>
      <c r="CH2871" s="1">
        <v>50293</v>
      </c>
      <c r="CI2871" t="s">
        <v>51</v>
      </c>
      <c r="CK2871" t="s">
        <v>78</v>
      </c>
      <c r="CM2871" t="s">
        <v>54</v>
      </c>
      <c r="CN2871" t="s">
        <v>174</v>
      </c>
      <c r="CR2871">
        <v>0</v>
      </c>
      <c r="CS2871">
        <v>2150</v>
      </c>
      <c r="CT2871">
        <v>0</v>
      </c>
      <c r="CU2871">
        <v>16</v>
      </c>
      <c r="CX2871" t="s">
        <v>360</v>
      </c>
      <c r="CY2871">
        <v>40</v>
      </c>
      <c r="CZ2871" s="1">
        <v>44320</v>
      </c>
      <c r="DA2871" s="1">
        <v>44320</v>
      </c>
      <c r="DB2871" s="1">
        <v>44320</v>
      </c>
      <c r="DC2871" s="1">
        <v>58930</v>
      </c>
      <c r="DD2871" t="s">
        <v>51</v>
      </c>
      <c r="DF2871" t="s">
        <v>54</v>
      </c>
      <c r="DG2871">
        <v>0</v>
      </c>
      <c r="DH2871">
        <v>0</v>
      </c>
    </row>
    <row r="2872" spans="1:112" x14ac:dyDescent="0.2">
      <c r="A2872" t="s">
        <v>1012</v>
      </c>
      <c r="B2872" t="s">
        <v>1013</v>
      </c>
      <c r="C2872" t="s">
        <v>1019</v>
      </c>
      <c r="D2872" t="s">
        <v>1071</v>
      </c>
      <c r="F2872" t="str">
        <f>"254284"</f>
        <v>254284</v>
      </c>
      <c r="G2872" t="s">
        <v>49</v>
      </c>
      <c r="H2872">
        <v>106</v>
      </c>
      <c r="K2872" t="s">
        <v>51</v>
      </c>
      <c r="L2872" t="s">
        <v>52</v>
      </c>
      <c r="M2872">
        <v>131606.38</v>
      </c>
      <c r="N2872">
        <v>474092.33299999998</v>
      </c>
      <c r="O2872" t="s">
        <v>53</v>
      </c>
      <c r="P2872" t="s">
        <v>54</v>
      </c>
      <c r="Q2872" t="s">
        <v>55</v>
      </c>
      <c r="T2872" t="s">
        <v>246</v>
      </c>
      <c r="U2872">
        <v>40</v>
      </c>
      <c r="V2872" s="1">
        <v>41821</v>
      </c>
      <c r="W2872" s="1">
        <v>41821</v>
      </c>
      <c r="X2872" s="1">
        <v>41821</v>
      </c>
      <c r="Y2872" s="1">
        <v>56431</v>
      </c>
      <c r="Z2872" t="s">
        <v>51</v>
      </c>
      <c r="AB2872" t="s">
        <v>54</v>
      </c>
      <c r="AC2872">
        <v>1</v>
      </c>
      <c r="AE2872" t="s">
        <v>243</v>
      </c>
      <c r="AF2872">
        <v>20</v>
      </c>
      <c r="AG2872" s="1">
        <v>41821</v>
      </c>
      <c r="AH2872" s="1">
        <v>41821</v>
      </c>
      <c r="AI2872" s="1">
        <v>41821</v>
      </c>
      <c r="AJ2872" s="1">
        <v>49126</v>
      </c>
      <c r="AK2872" t="s">
        <v>51</v>
      </c>
      <c r="AN2872">
        <v>0</v>
      </c>
      <c r="AO2872" t="s">
        <v>54</v>
      </c>
      <c r="AP2872" t="s">
        <v>53</v>
      </c>
      <c r="AQ2872">
        <v>0</v>
      </c>
      <c r="AR2872" t="s">
        <v>53</v>
      </c>
      <c r="AS2872">
        <v>0</v>
      </c>
      <c r="AT2872">
        <v>0</v>
      </c>
      <c r="CC2872" t="s">
        <v>244</v>
      </c>
      <c r="CD2872">
        <v>100000</v>
      </c>
      <c r="CE2872" s="1">
        <v>41821</v>
      </c>
      <c r="CF2872" s="1">
        <v>41821</v>
      </c>
      <c r="CG2872" s="1">
        <v>41821</v>
      </c>
      <c r="CH2872" s="1">
        <v>50293</v>
      </c>
      <c r="CI2872" t="s">
        <v>51</v>
      </c>
      <c r="CK2872" t="s">
        <v>78</v>
      </c>
      <c r="CM2872" t="s">
        <v>54</v>
      </c>
      <c r="CN2872" t="s">
        <v>174</v>
      </c>
      <c r="CR2872">
        <v>0</v>
      </c>
      <c r="CS2872">
        <v>2150</v>
      </c>
      <c r="CT2872">
        <v>0</v>
      </c>
      <c r="CU2872">
        <v>16</v>
      </c>
      <c r="CX2872" t="s">
        <v>360</v>
      </c>
      <c r="CY2872">
        <v>40</v>
      </c>
      <c r="CZ2872" s="1">
        <v>44320</v>
      </c>
      <c r="DA2872" s="1">
        <v>44320</v>
      </c>
      <c r="DB2872" s="1">
        <v>44320</v>
      </c>
      <c r="DC2872" s="1">
        <v>58930</v>
      </c>
      <c r="DD2872" t="s">
        <v>51</v>
      </c>
      <c r="DF2872" t="s">
        <v>54</v>
      </c>
      <c r="DG2872">
        <v>0</v>
      </c>
      <c r="DH2872">
        <v>0</v>
      </c>
    </row>
    <row r="2873" spans="1:112" x14ac:dyDescent="0.2">
      <c r="A2873" t="s">
        <v>1012</v>
      </c>
      <c r="B2873" t="s">
        <v>1013</v>
      </c>
      <c r="C2873" t="s">
        <v>1019</v>
      </c>
      <c r="D2873" t="s">
        <v>1071</v>
      </c>
      <c r="F2873" t="str">
        <f>"253620"</f>
        <v>253620</v>
      </c>
      <c r="G2873" t="s">
        <v>49</v>
      </c>
      <c r="K2873" t="s">
        <v>51</v>
      </c>
      <c r="L2873" t="s">
        <v>52</v>
      </c>
      <c r="M2873">
        <v>131615.79</v>
      </c>
      <c r="N2873">
        <v>474063.67599999998</v>
      </c>
      <c r="O2873" t="s">
        <v>53</v>
      </c>
      <c r="P2873" t="s">
        <v>54</v>
      </c>
      <c r="Q2873" t="s">
        <v>55</v>
      </c>
      <c r="S2873" t="s">
        <v>1074</v>
      </c>
      <c r="T2873" t="s">
        <v>1074</v>
      </c>
      <c r="U2873">
        <v>30</v>
      </c>
      <c r="V2873" s="1">
        <v>44225</v>
      </c>
      <c r="W2873" s="1">
        <v>44225</v>
      </c>
      <c r="X2873" s="1">
        <v>44225</v>
      </c>
      <c r="Y2873" s="1">
        <v>55182</v>
      </c>
      <c r="Z2873" t="s">
        <v>51</v>
      </c>
      <c r="AB2873" t="s">
        <v>54</v>
      </c>
      <c r="AC2873">
        <v>1</v>
      </c>
      <c r="AE2873" t="s">
        <v>243</v>
      </c>
      <c r="AF2873">
        <v>20</v>
      </c>
      <c r="AG2873" s="1">
        <v>41821</v>
      </c>
      <c r="AH2873" s="1">
        <v>41821</v>
      </c>
      <c r="AI2873" s="1">
        <v>44225</v>
      </c>
      <c r="AJ2873" s="1">
        <v>49126</v>
      </c>
      <c r="AK2873" t="s">
        <v>51</v>
      </c>
      <c r="AN2873">
        <v>0</v>
      </c>
      <c r="AO2873" t="s">
        <v>54</v>
      </c>
      <c r="AP2873" t="s">
        <v>53</v>
      </c>
      <c r="AQ2873">
        <v>0</v>
      </c>
      <c r="AR2873" t="s">
        <v>53</v>
      </c>
      <c r="AS2873">
        <v>0</v>
      </c>
      <c r="AT2873">
        <v>0</v>
      </c>
      <c r="CC2873" t="s">
        <v>560</v>
      </c>
      <c r="CD2873">
        <v>85000</v>
      </c>
      <c r="CE2873" s="1">
        <v>41821</v>
      </c>
      <c r="CF2873" s="1">
        <v>41821</v>
      </c>
      <c r="CG2873" s="1">
        <v>44225</v>
      </c>
      <c r="CH2873" s="1">
        <v>48983</v>
      </c>
      <c r="CI2873" t="s">
        <v>51</v>
      </c>
      <c r="CK2873" t="s">
        <v>78</v>
      </c>
      <c r="CM2873" t="s">
        <v>54</v>
      </c>
      <c r="CN2873" t="s">
        <v>174</v>
      </c>
      <c r="CO2873" t="s">
        <v>86</v>
      </c>
      <c r="CR2873">
        <v>36</v>
      </c>
      <c r="CS2873">
        <v>0</v>
      </c>
      <c r="CT2873">
        <v>0</v>
      </c>
      <c r="CU2873">
        <v>0</v>
      </c>
      <c r="CX2873" t="s">
        <v>360</v>
      </c>
      <c r="CY2873">
        <v>40</v>
      </c>
      <c r="CZ2873" s="1">
        <v>44320</v>
      </c>
      <c r="DA2873" s="1">
        <v>44320</v>
      </c>
      <c r="DB2873" s="1">
        <v>44320</v>
      </c>
      <c r="DC2873" s="1">
        <v>58930</v>
      </c>
      <c r="DD2873" t="s">
        <v>51</v>
      </c>
      <c r="DF2873" t="s">
        <v>54</v>
      </c>
      <c r="DG2873">
        <v>0</v>
      </c>
      <c r="DH2873">
        <v>0</v>
      </c>
    </row>
    <row r="2874" spans="1:112" x14ac:dyDescent="0.2">
      <c r="A2874" t="s">
        <v>1012</v>
      </c>
      <c r="B2874" t="s">
        <v>1013</v>
      </c>
      <c r="C2874" t="s">
        <v>1019</v>
      </c>
      <c r="D2874" t="s">
        <v>1071</v>
      </c>
      <c r="F2874" t="str">
        <f>"253622"</f>
        <v>253622</v>
      </c>
      <c r="G2874" t="s">
        <v>49</v>
      </c>
      <c r="K2874" t="s">
        <v>51</v>
      </c>
      <c r="L2874" t="s">
        <v>52</v>
      </c>
      <c r="M2874">
        <v>131641.94899999999</v>
      </c>
      <c r="N2874">
        <v>474025.69099999999</v>
      </c>
      <c r="O2874" t="s">
        <v>53</v>
      </c>
      <c r="P2874" t="s">
        <v>54</v>
      </c>
      <c r="Q2874" t="s">
        <v>55</v>
      </c>
      <c r="T2874" t="s">
        <v>246</v>
      </c>
      <c r="U2874">
        <v>40</v>
      </c>
      <c r="V2874" s="1">
        <v>41821</v>
      </c>
      <c r="W2874" s="1">
        <v>41821</v>
      </c>
      <c r="X2874" s="1">
        <v>41821</v>
      </c>
      <c r="Y2874" s="1">
        <v>56431</v>
      </c>
      <c r="Z2874" t="s">
        <v>51</v>
      </c>
      <c r="AB2874" t="s">
        <v>54</v>
      </c>
      <c r="AC2874">
        <v>1</v>
      </c>
      <c r="AE2874" t="s">
        <v>243</v>
      </c>
      <c r="AF2874">
        <v>20</v>
      </c>
      <c r="AG2874" s="1">
        <v>41821</v>
      </c>
      <c r="AH2874" s="1">
        <v>41821</v>
      </c>
      <c r="AI2874" s="1">
        <v>41821</v>
      </c>
      <c r="AJ2874" s="1">
        <v>49126</v>
      </c>
      <c r="AK2874" t="s">
        <v>51</v>
      </c>
      <c r="AN2874">
        <v>0</v>
      </c>
      <c r="AO2874" t="s">
        <v>54</v>
      </c>
      <c r="AP2874" t="s">
        <v>53</v>
      </c>
      <c r="AQ2874">
        <v>0</v>
      </c>
      <c r="AR2874" t="s">
        <v>53</v>
      </c>
      <c r="AS2874">
        <v>0</v>
      </c>
      <c r="AT2874">
        <v>0</v>
      </c>
      <c r="CC2874" t="s">
        <v>244</v>
      </c>
      <c r="CD2874">
        <v>100000</v>
      </c>
      <c r="CE2874" s="1">
        <v>41821</v>
      </c>
      <c r="CF2874" s="1">
        <v>41821</v>
      </c>
      <c r="CG2874" s="1">
        <v>41821</v>
      </c>
      <c r="CH2874" s="1">
        <v>50293</v>
      </c>
      <c r="CI2874" t="s">
        <v>51</v>
      </c>
      <c r="CK2874" t="s">
        <v>78</v>
      </c>
      <c r="CM2874" t="s">
        <v>54</v>
      </c>
      <c r="CN2874" t="s">
        <v>174</v>
      </c>
      <c r="CR2874">
        <v>0</v>
      </c>
      <c r="CS2874">
        <v>2150</v>
      </c>
      <c r="CT2874">
        <v>0</v>
      </c>
      <c r="CU2874">
        <v>16</v>
      </c>
      <c r="CX2874" t="s">
        <v>360</v>
      </c>
      <c r="CY2874">
        <v>40</v>
      </c>
      <c r="CZ2874" s="1">
        <v>44320</v>
      </c>
      <c r="DA2874" s="1">
        <v>44320</v>
      </c>
      <c r="DB2874" s="1">
        <v>44320</v>
      </c>
      <c r="DC2874" s="1">
        <v>58930</v>
      </c>
      <c r="DD2874" t="s">
        <v>51</v>
      </c>
      <c r="DF2874" t="s">
        <v>54</v>
      </c>
      <c r="DG2874">
        <v>0</v>
      </c>
      <c r="DH2874">
        <v>0</v>
      </c>
    </row>
    <row r="2875" spans="1:112" x14ac:dyDescent="0.2">
      <c r="A2875" t="s">
        <v>1012</v>
      </c>
      <c r="B2875" t="s">
        <v>1013</v>
      </c>
      <c r="C2875" t="s">
        <v>1019</v>
      </c>
      <c r="D2875" t="s">
        <v>1071</v>
      </c>
      <c r="F2875" t="str">
        <f>"253624"</f>
        <v>253624</v>
      </c>
      <c r="G2875" t="s">
        <v>49</v>
      </c>
      <c r="K2875" t="s">
        <v>51</v>
      </c>
      <c r="L2875" t="s">
        <v>52</v>
      </c>
      <c r="M2875">
        <v>131668.005</v>
      </c>
      <c r="N2875">
        <v>473987.446</v>
      </c>
      <c r="O2875" t="s">
        <v>53</v>
      </c>
      <c r="P2875" t="s">
        <v>54</v>
      </c>
      <c r="Q2875" t="s">
        <v>55</v>
      </c>
      <c r="T2875" t="s">
        <v>246</v>
      </c>
      <c r="U2875">
        <v>40</v>
      </c>
      <c r="V2875" s="1">
        <v>41821</v>
      </c>
      <c r="W2875" s="1">
        <v>41821</v>
      </c>
      <c r="X2875" s="1">
        <v>41821</v>
      </c>
      <c r="Y2875" s="1">
        <v>56431</v>
      </c>
      <c r="Z2875" t="s">
        <v>51</v>
      </c>
      <c r="AB2875" t="s">
        <v>54</v>
      </c>
      <c r="AC2875">
        <v>1</v>
      </c>
      <c r="AE2875" t="s">
        <v>243</v>
      </c>
      <c r="AF2875">
        <v>20</v>
      </c>
      <c r="AG2875" s="1">
        <v>41821</v>
      </c>
      <c r="AH2875" s="1">
        <v>41821</v>
      </c>
      <c r="AI2875" s="1">
        <v>41821</v>
      </c>
      <c r="AJ2875" s="1">
        <v>49126</v>
      </c>
      <c r="AK2875" t="s">
        <v>51</v>
      </c>
      <c r="AN2875">
        <v>0</v>
      </c>
      <c r="AO2875" t="s">
        <v>54</v>
      </c>
      <c r="AP2875" t="s">
        <v>53</v>
      </c>
      <c r="AQ2875">
        <v>0</v>
      </c>
      <c r="AR2875" t="s">
        <v>53</v>
      </c>
      <c r="AS2875">
        <v>0</v>
      </c>
      <c r="AT2875">
        <v>0</v>
      </c>
      <c r="CC2875" t="s">
        <v>244</v>
      </c>
      <c r="CD2875">
        <v>100000</v>
      </c>
      <c r="CE2875" s="1">
        <v>41821</v>
      </c>
      <c r="CF2875" s="1">
        <v>41821</v>
      </c>
      <c r="CG2875" s="1">
        <v>41821</v>
      </c>
      <c r="CH2875" s="1">
        <v>50293</v>
      </c>
      <c r="CI2875" t="s">
        <v>51</v>
      </c>
      <c r="CK2875" t="s">
        <v>78</v>
      </c>
      <c r="CM2875" t="s">
        <v>54</v>
      </c>
      <c r="CN2875" t="s">
        <v>174</v>
      </c>
      <c r="CR2875">
        <v>0</v>
      </c>
      <c r="CS2875">
        <v>2150</v>
      </c>
      <c r="CT2875">
        <v>0</v>
      </c>
      <c r="CU2875">
        <v>16</v>
      </c>
      <c r="CX2875" t="s">
        <v>360</v>
      </c>
      <c r="CY2875">
        <v>40</v>
      </c>
      <c r="CZ2875" s="1">
        <v>44320</v>
      </c>
      <c r="DA2875" s="1">
        <v>44320</v>
      </c>
      <c r="DB2875" s="1">
        <v>44320</v>
      </c>
      <c r="DC2875" s="1">
        <v>58930</v>
      </c>
      <c r="DD2875" t="s">
        <v>51</v>
      </c>
      <c r="DF2875" t="s">
        <v>54</v>
      </c>
      <c r="DG2875">
        <v>0</v>
      </c>
      <c r="DH2875">
        <v>0</v>
      </c>
    </row>
    <row r="2876" spans="1:112" x14ac:dyDescent="0.2">
      <c r="A2876" t="s">
        <v>1012</v>
      </c>
      <c r="B2876" t="s">
        <v>1013</v>
      </c>
      <c r="C2876" t="s">
        <v>1019</v>
      </c>
      <c r="D2876" t="s">
        <v>1071</v>
      </c>
      <c r="F2876" t="str">
        <f>"253625"</f>
        <v>253625</v>
      </c>
      <c r="G2876" t="s">
        <v>49</v>
      </c>
      <c r="K2876" t="s">
        <v>51</v>
      </c>
      <c r="L2876" t="s">
        <v>52</v>
      </c>
      <c r="M2876">
        <v>131693.68299999999</v>
      </c>
      <c r="N2876">
        <v>473964.24800000002</v>
      </c>
      <c r="O2876" t="s">
        <v>53</v>
      </c>
      <c r="P2876" t="s">
        <v>54</v>
      </c>
      <c r="Q2876" t="s">
        <v>55</v>
      </c>
      <c r="T2876" t="s">
        <v>246</v>
      </c>
      <c r="U2876">
        <v>40</v>
      </c>
      <c r="V2876" s="1">
        <v>41821</v>
      </c>
      <c r="W2876" s="1">
        <v>41821</v>
      </c>
      <c r="X2876" s="1">
        <v>41821</v>
      </c>
      <c r="Y2876" s="1">
        <v>56431</v>
      </c>
      <c r="Z2876" t="s">
        <v>51</v>
      </c>
      <c r="AB2876" t="s">
        <v>54</v>
      </c>
      <c r="AC2876">
        <v>1</v>
      </c>
      <c r="AE2876" t="s">
        <v>243</v>
      </c>
      <c r="AF2876">
        <v>20</v>
      </c>
      <c r="AG2876" s="1">
        <v>41821</v>
      </c>
      <c r="AH2876" s="1">
        <v>41821</v>
      </c>
      <c r="AI2876" s="1">
        <v>41821</v>
      </c>
      <c r="AJ2876" s="1">
        <v>49126</v>
      </c>
      <c r="AK2876" t="s">
        <v>51</v>
      </c>
      <c r="AN2876">
        <v>0</v>
      </c>
      <c r="AO2876" t="s">
        <v>54</v>
      </c>
      <c r="AP2876" t="s">
        <v>53</v>
      </c>
      <c r="AQ2876">
        <v>0</v>
      </c>
      <c r="AR2876" t="s">
        <v>53</v>
      </c>
      <c r="AS2876">
        <v>0</v>
      </c>
      <c r="AT2876">
        <v>0</v>
      </c>
      <c r="CC2876" t="s">
        <v>244</v>
      </c>
      <c r="CD2876">
        <v>100000</v>
      </c>
      <c r="CE2876" s="1">
        <v>41821</v>
      </c>
      <c r="CF2876" s="1">
        <v>41821</v>
      </c>
      <c r="CG2876" s="1">
        <v>41821</v>
      </c>
      <c r="CH2876" s="1">
        <v>50770</v>
      </c>
      <c r="CI2876" t="s">
        <v>51</v>
      </c>
      <c r="CK2876" t="s">
        <v>78</v>
      </c>
      <c r="CM2876" t="s">
        <v>54</v>
      </c>
      <c r="CN2876" t="s">
        <v>174</v>
      </c>
      <c r="CR2876">
        <v>0</v>
      </c>
      <c r="CS2876">
        <v>2150</v>
      </c>
      <c r="CT2876">
        <v>0</v>
      </c>
      <c r="CU2876">
        <v>16</v>
      </c>
      <c r="CX2876" t="s">
        <v>360</v>
      </c>
      <c r="CY2876">
        <v>40</v>
      </c>
      <c r="CZ2876" s="1">
        <v>44320</v>
      </c>
      <c r="DA2876" s="1">
        <v>44320</v>
      </c>
      <c r="DB2876" s="1">
        <v>44320</v>
      </c>
      <c r="DC2876" s="1">
        <v>58930</v>
      </c>
      <c r="DD2876" t="s">
        <v>51</v>
      </c>
      <c r="DF2876" t="s">
        <v>54</v>
      </c>
      <c r="DG2876">
        <v>0</v>
      </c>
      <c r="DH2876">
        <v>0</v>
      </c>
    </row>
    <row r="2877" spans="1:112" x14ac:dyDescent="0.2">
      <c r="A2877" t="s">
        <v>1012</v>
      </c>
      <c r="B2877" t="s">
        <v>1013</v>
      </c>
      <c r="C2877" t="s">
        <v>1019</v>
      </c>
      <c r="D2877" t="s">
        <v>1168</v>
      </c>
      <c r="F2877" t="str">
        <f>"253626"</f>
        <v>253626</v>
      </c>
      <c r="G2877" t="s">
        <v>49</v>
      </c>
      <c r="K2877" t="s">
        <v>51</v>
      </c>
      <c r="L2877" t="s">
        <v>52</v>
      </c>
      <c r="M2877">
        <v>131728.66699999999</v>
      </c>
      <c r="N2877">
        <v>473940.69500000001</v>
      </c>
      <c r="O2877" t="s">
        <v>53</v>
      </c>
      <c r="P2877" t="s">
        <v>54</v>
      </c>
      <c r="Q2877" t="s">
        <v>55</v>
      </c>
      <c r="S2877" t="s">
        <v>989</v>
      </c>
      <c r="T2877" t="s">
        <v>989</v>
      </c>
      <c r="U2877">
        <v>30</v>
      </c>
      <c r="V2877" s="1">
        <v>41821</v>
      </c>
      <c r="W2877" s="1">
        <v>41821</v>
      </c>
      <c r="X2877" s="1">
        <v>41821</v>
      </c>
      <c r="Y2877" s="1">
        <v>52779</v>
      </c>
      <c r="Z2877" t="s">
        <v>51</v>
      </c>
      <c r="AB2877" t="s">
        <v>54</v>
      </c>
      <c r="AC2877">
        <v>1</v>
      </c>
      <c r="AE2877" t="s">
        <v>171</v>
      </c>
      <c r="AF2877">
        <v>20</v>
      </c>
      <c r="AG2877" s="1">
        <v>41821</v>
      </c>
      <c r="AH2877" s="1">
        <v>41821</v>
      </c>
      <c r="AI2877" s="1">
        <v>41821</v>
      </c>
      <c r="AJ2877" s="1">
        <v>49126</v>
      </c>
      <c r="AK2877" t="s">
        <v>51</v>
      </c>
      <c r="AN2877">
        <v>0</v>
      </c>
      <c r="AO2877" t="s">
        <v>54</v>
      </c>
      <c r="AP2877" t="s">
        <v>53</v>
      </c>
      <c r="AQ2877">
        <v>0</v>
      </c>
      <c r="AR2877" t="s">
        <v>53</v>
      </c>
      <c r="AS2877">
        <v>0</v>
      </c>
      <c r="AT2877">
        <v>0</v>
      </c>
      <c r="CC2877" t="s">
        <v>173</v>
      </c>
      <c r="CD2877">
        <v>100000</v>
      </c>
      <c r="CE2877" s="1">
        <v>41821</v>
      </c>
      <c r="CF2877" s="1">
        <v>41821</v>
      </c>
      <c r="CG2877" s="1">
        <v>41821</v>
      </c>
      <c r="CH2877" s="1">
        <v>50770</v>
      </c>
      <c r="CI2877" t="s">
        <v>51</v>
      </c>
      <c r="CK2877" t="s">
        <v>78</v>
      </c>
      <c r="CM2877" t="s">
        <v>54</v>
      </c>
      <c r="CN2877" t="s">
        <v>174</v>
      </c>
      <c r="CO2877" t="s">
        <v>86</v>
      </c>
      <c r="CP2877">
        <v>830</v>
      </c>
      <c r="CR2877">
        <v>19</v>
      </c>
      <c r="CS2877">
        <v>1800</v>
      </c>
      <c r="CT2877">
        <v>0</v>
      </c>
      <c r="CU2877">
        <v>16</v>
      </c>
    </row>
    <row r="2878" spans="1:112" x14ac:dyDescent="0.2">
      <c r="A2878" t="s">
        <v>1012</v>
      </c>
      <c r="B2878" t="s">
        <v>1013</v>
      </c>
      <c r="C2878" t="s">
        <v>1019</v>
      </c>
      <c r="D2878" t="s">
        <v>1169</v>
      </c>
      <c r="F2878" t="str">
        <f>"253627"</f>
        <v>253627</v>
      </c>
      <c r="G2878" t="s">
        <v>49</v>
      </c>
      <c r="H2878">
        <v>1</v>
      </c>
      <c r="K2878" t="s">
        <v>51</v>
      </c>
      <c r="L2878" t="s">
        <v>52</v>
      </c>
      <c r="M2878">
        <v>131724.04999999999</v>
      </c>
      <c r="N2878">
        <v>473952.55</v>
      </c>
      <c r="O2878" t="s">
        <v>53</v>
      </c>
      <c r="P2878" t="s">
        <v>54</v>
      </c>
      <c r="Q2878" t="s">
        <v>55</v>
      </c>
      <c r="S2878" t="s">
        <v>989</v>
      </c>
      <c r="T2878" t="s">
        <v>989</v>
      </c>
      <c r="U2878">
        <v>30</v>
      </c>
      <c r="V2878" s="1">
        <v>41821</v>
      </c>
      <c r="W2878" s="1">
        <v>41821</v>
      </c>
      <c r="X2878" s="1">
        <v>41821</v>
      </c>
      <c r="Y2878" s="1">
        <v>52779</v>
      </c>
      <c r="Z2878" t="s">
        <v>51</v>
      </c>
      <c r="AB2878" t="s">
        <v>54</v>
      </c>
      <c r="AC2878">
        <v>1</v>
      </c>
      <c r="AE2878" t="s">
        <v>171</v>
      </c>
      <c r="AF2878">
        <v>20</v>
      </c>
      <c r="AG2878" s="1">
        <v>41821</v>
      </c>
      <c r="AH2878" s="1">
        <v>41821</v>
      </c>
      <c r="AI2878" s="1">
        <v>41821</v>
      </c>
      <c r="AJ2878" s="1">
        <v>49126</v>
      </c>
      <c r="AK2878" t="s">
        <v>51</v>
      </c>
      <c r="AN2878">
        <v>0</v>
      </c>
      <c r="AO2878" t="s">
        <v>54</v>
      </c>
      <c r="AP2878" t="s">
        <v>53</v>
      </c>
      <c r="AQ2878">
        <v>0</v>
      </c>
      <c r="AR2878" t="s">
        <v>53</v>
      </c>
      <c r="AS2878">
        <v>0</v>
      </c>
      <c r="AT2878">
        <v>0</v>
      </c>
      <c r="CC2878" t="s">
        <v>173</v>
      </c>
      <c r="CD2878">
        <v>100000</v>
      </c>
      <c r="CE2878" s="1">
        <v>44320</v>
      </c>
      <c r="CF2878" s="1">
        <v>44320</v>
      </c>
      <c r="CG2878" s="1">
        <v>44320</v>
      </c>
      <c r="CH2878" s="1">
        <v>52802</v>
      </c>
      <c r="CI2878" t="s">
        <v>51</v>
      </c>
      <c r="CK2878" t="s">
        <v>78</v>
      </c>
      <c r="CM2878" t="s">
        <v>54</v>
      </c>
      <c r="CN2878" t="s">
        <v>174</v>
      </c>
      <c r="CO2878" t="s">
        <v>86</v>
      </c>
      <c r="CP2878">
        <v>830</v>
      </c>
      <c r="CR2878">
        <v>19</v>
      </c>
      <c r="CS2878">
        <v>1800</v>
      </c>
      <c r="CT2878">
        <v>0</v>
      </c>
      <c r="CU2878">
        <v>16</v>
      </c>
    </row>
    <row r="2879" spans="1:112" x14ac:dyDescent="0.2">
      <c r="A2879" t="s">
        <v>1012</v>
      </c>
      <c r="B2879" t="s">
        <v>1013</v>
      </c>
      <c r="C2879" t="s">
        <v>1019</v>
      </c>
      <c r="D2879" t="s">
        <v>1169</v>
      </c>
      <c r="F2879" t="str">
        <f>"253628"</f>
        <v>253628</v>
      </c>
      <c r="G2879" t="s">
        <v>49</v>
      </c>
      <c r="H2879">
        <v>4</v>
      </c>
      <c r="K2879" t="s">
        <v>51</v>
      </c>
      <c r="L2879" t="s">
        <v>52</v>
      </c>
      <c r="M2879">
        <v>131744.47</v>
      </c>
      <c r="N2879">
        <v>473975.63</v>
      </c>
      <c r="O2879" t="s">
        <v>53</v>
      </c>
      <c r="P2879" t="s">
        <v>54</v>
      </c>
      <c r="Q2879" t="s">
        <v>55</v>
      </c>
      <c r="S2879" t="s">
        <v>989</v>
      </c>
      <c r="T2879" t="s">
        <v>989</v>
      </c>
      <c r="U2879">
        <v>30</v>
      </c>
      <c r="V2879" s="1">
        <v>41821</v>
      </c>
      <c r="W2879" s="1">
        <v>41821</v>
      </c>
      <c r="X2879" s="1">
        <v>41821</v>
      </c>
      <c r="Y2879" s="1">
        <v>52779</v>
      </c>
      <c r="Z2879" t="s">
        <v>51</v>
      </c>
      <c r="AB2879" t="s">
        <v>54</v>
      </c>
      <c r="AC2879">
        <v>1</v>
      </c>
      <c r="AE2879" t="s">
        <v>356</v>
      </c>
      <c r="AF2879">
        <v>20</v>
      </c>
      <c r="AG2879" s="1">
        <v>44474</v>
      </c>
      <c r="AH2879" s="1">
        <v>44474</v>
      </c>
      <c r="AI2879" s="1">
        <v>44474</v>
      </c>
      <c r="AJ2879" s="1">
        <v>51779</v>
      </c>
      <c r="AK2879" t="s">
        <v>51</v>
      </c>
      <c r="AN2879">
        <v>0</v>
      </c>
      <c r="AO2879" t="s">
        <v>54</v>
      </c>
      <c r="AP2879" t="s">
        <v>53</v>
      </c>
      <c r="AQ2879">
        <v>0</v>
      </c>
      <c r="AR2879" t="s">
        <v>145</v>
      </c>
      <c r="AS2879">
        <v>0</v>
      </c>
      <c r="AT2879">
        <v>0</v>
      </c>
      <c r="CC2879" t="s">
        <v>432</v>
      </c>
      <c r="CD2879">
        <v>85000</v>
      </c>
      <c r="CE2879" s="1">
        <v>43780</v>
      </c>
      <c r="CF2879" s="1">
        <v>43780</v>
      </c>
      <c r="CG2879" s="1">
        <v>44474</v>
      </c>
      <c r="CH2879" s="1">
        <v>50958</v>
      </c>
      <c r="CI2879" t="s">
        <v>51</v>
      </c>
      <c r="CK2879" t="s">
        <v>78</v>
      </c>
      <c r="CM2879" t="s">
        <v>54</v>
      </c>
      <c r="CN2879" t="s">
        <v>174</v>
      </c>
      <c r="CO2879" t="s">
        <v>86</v>
      </c>
      <c r="CR2879">
        <v>24</v>
      </c>
      <c r="CS2879">
        <v>0</v>
      </c>
      <c r="CT2879">
        <v>0</v>
      </c>
      <c r="CU2879">
        <v>0</v>
      </c>
    </row>
    <row r="2880" spans="1:112" x14ac:dyDescent="0.2">
      <c r="A2880" t="s">
        <v>1012</v>
      </c>
      <c r="B2880" t="s">
        <v>1013</v>
      </c>
      <c r="C2880" t="s">
        <v>1019</v>
      </c>
      <c r="D2880" t="s">
        <v>1169</v>
      </c>
      <c r="F2880" t="str">
        <f>"253629"</f>
        <v>253629</v>
      </c>
      <c r="G2880" t="s">
        <v>49</v>
      </c>
      <c r="H2880">
        <v>13</v>
      </c>
      <c r="K2880" t="s">
        <v>51</v>
      </c>
      <c r="L2880" t="s">
        <v>52</v>
      </c>
      <c r="M2880">
        <v>131740.068</v>
      </c>
      <c r="N2880">
        <v>473996.37699999998</v>
      </c>
      <c r="O2880" t="s">
        <v>53</v>
      </c>
      <c r="P2880" t="s">
        <v>54</v>
      </c>
      <c r="Q2880" t="s">
        <v>55</v>
      </c>
      <c r="S2880" t="s">
        <v>989</v>
      </c>
      <c r="T2880" t="s">
        <v>989</v>
      </c>
      <c r="U2880">
        <v>30</v>
      </c>
      <c r="V2880" s="1">
        <v>41821</v>
      </c>
      <c r="W2880" s="1">
        <v>41821</v>
      </c>
      <c r="X2880" s="1">
        <v>41821</v>
      </c>
      <c r="Y2880" s="1">
        <v>52779</v>
      </c>
      <c r="Z2880" t="s">
        <v>51</v>
      </c>
      <c r="AB2880" t="s">
        <v>54</v>
      </c>
      <c r="AC2880">
        <v>1</v>
      </c>
      <c r="AE2880" t="s">
        <v>171</v>
      </c>
      <c r="AF2880">
        <v>20</v>
      </c>
      <c r="AG2880" s="1">
        <v>41821</v>
      </c>
      <c r="AH2880" s="1">
        <v>41821</v>
      </c>
      <c r="AI2880" s="1">
        <v>41821</v>
      </c>
      <c r="AJ2880" s="1">
        <v>49126</v>
      </c>
      <c r="AK2880" t="s">
        <v>51</v>
      </c>
      <c r="AN2880">
        <v>0</v>
      </c>
      <c r="AO2880" t="s">
        <v>54</v>
      </c>
      <c r="AP2880" t="s">
        <v>53</v>
      </c>
      <c r="AQ2880">
        <v>0</v>
      </c>
      <c r="AR2880" t="s">
        <v>53</v>
      </c>
      <c r="AS2880">
        <v>0</v>
      </c>
      <c r="AT2880">
        <v>0</v>
      </c>
      <c r="CC2880" t="s">
        <v>173</v>
      </c>
      <c r="CD2880">
        <v>100000</v>
      </c>
      <c r="CE2880" s="1">
        <v>41821</v>
      </c>
      <c r="CF2880" s="1">
        <v>41821</v>
      </c>
      <c r="CG2880" s="1">
        <v>41821</v>
      </c>
      <c r="CH2880" s="1">
        <v>50293</v>
      </c>
      <c r="CI2880" t="s">
        <v>51</v>
      </c>
      <c r="CK2880" t="s">
        <v>78</v>
      </c>
      <c r="CM2880" t="s">
        <v>54</v>
      </c>
      <c r="CN2880" t="s">
        <v>174</v>
      </c>
      <c r="CO2880" t="s">
        <v>86</v>
      </c>
      <c r="CP2880">
        <v>830</v>
      </c>
      <c r="CR2880">
        <v>19</v>
      </c>
      <c r="CS2880">
        <v>1800</v>
      </c>
      <c r="CT2880">
        <v>0</v>
      </c>
      <c r="CU2880">
        <v>16</v>
      </c>
    </row>
    <row r="2881" spans="1:99" x14ac:dyDescent="0.2">
      <c r="A2881" t="s">
        <v>1012</v>
      </c>
      <c r="B2881" t="s">
        <v>1013</v>
      </c>
      <c r="C2881" t="s">
        <v>1019</v>
      </c>
      <c r="D2881" t="s">
        <v>1169</v>
      </c>
      <c r="F2881" t="str">
        <f>"253630"</f>
        <v>253630</v>
      </c>
      <c r="G2881" t="s">
        <v>49</v>
      </c>
      <c r="H2881">
        <v>14</v>
      </c>
      <c r="K2881" t="s">
        <v>51</v>
      </c>
      <c r="L2881" t="s">
        <v>52</v>
      </c>
      <c r="M2881">
        <v>131754.67600000001</v>
      </c>
      <c r="N2881">
        <v>474020.97700000001</v>
      </c>
      <c r="O2881" t="s">
        <v>53</v>
      </c>
      <c r="P2881" t="s">
        <v>54</v>
      </c>
      <c r="Q2881" t="s">
        <v>55</v>
      </c>
      <c r="S2881" t="s">
        <v>989</v>
      </c>
      <c r="T2881" t="s">
        <v>989</v>
      </c>
      <c r="U2881">
        <v>30</v>
      </c>
      <c r="V2881" s="1">
        <v>41821</v>
      </c>
      <c r="W2881" s="1">
        <v>41821</v>
      </c>
      <c r="X2881" s="1">
        <v>41821</v>
      </c>
      <c r="Y2881" s="1">
        <v>52779</v>
      </c>
      <c r="Z2881" t="s">
        <v>51</v>
      </c>
      <c r="AB2881" t="s">
        <v>54</v>
      </c>
      <c r="AC2881">
        <v>1</v>
      </c>
      <c r="AE2881" t="s">
        <v>171</v>
      </c>
      <c r="AF2881">
        <v>20</v>
      </c>
      <c r="AG2881" s="1">
        <v>41821</v>
      </c>
      <c r="AH2881" s="1">
        <v>41821</v>
      </c>
      <c r="AI2881" s="1">
        <v>41821</v>
      </c>
      <c r="AJ2881" s="1">
        <v>49126</v>
      </c>
      <c r="AK2881" t="s">
        <v>51</v>
      </c>
      <c r="AN2881">
        <v>0</v>
      </c>
      <c r="AO2881" t="s">
        <v>54</v>
      </c>
      <c r="AP2881" t="s">
        <v>53</v>
      </c>
      <c r="AQ2881">
        <v>0</v>
      </c>
      <c r="AR2881" t="s">
        <v>53</v>
      </c>
      <c r="AS2881">
        <v>0</v>
      </c>
      <c r="AT2881">
        <v>0</v>
      </c>
      <c r="CC2881" t="s">
        <v>173</v>
      </c>
      <c r="CD2881">
        <v>100000</v>
      </c>
      <c r="CE2881" s="1">
        <v>41821</v>
      </c>
      <c r="CF2881" s="1">
        <v>41821</v>
      </c>
      <c r="CG2881" s="1">
        <v>41821</v>
      </c>
      <c r="CH2881" s="1">
        <v>50293</v>
      </c>
      <c r="CI2881" t="s">
        <v>51</v>
      </c>
      <c r="CK2881" t="s">
        <v>78</v>
      </c>
      <c r="CM2881" t="s">
        <v>54</v>
      </c>
      <c r="CN2881" t="s">
        <v>174</v>
      </c>
      <c r="CO2881" t="s">
        <v>86</v>
      </c>
      <c r="CP2881">
        <v>830</v>
      </c>
      <c r="CR2881">
        <v>19</v>
      </c>
      <c r="CS2881">
        <v>1800</v>
      </c>
      <c r="CT2881">
        <v>0</v>
      </c>
      <c r="CU2881">
        <v>16</v>
      </c>
    </row>
    <row r="2882" spans="1:99" x14ac:dyDescent="0.2">
      <c r="A2882" t="s">
        <v>1012</v>
      </c>
      <c r="B2882" t="s">
        <v>1013</v>
      </c>
      <c r="C2882" t="s">
        <v>1019</v>
      </c>
      <c r="D2882" t="s">
        <v>1170</v>
      </c>
      <c r="F2882" t="str">
        <f>"253631"</f>
        <v>253631</v>
      </c>
      <c r="G2882" t="s">
        <v>49</v>
      </c>
      <c r="H2882">
        <v>1</v>
      </c>
      <c r="K2882" t="s">
        <v>51</v>
      </c>
      <c r="L2882" t="s">
        <v>52</v>
      </c>
      <c r="M2882">
        <v>131761.68799999999</v>
      </c>
      <c r="N2882">
        <v>474036.33299999998</v>
      </c>
      <c r="O2882" t="s">
        <v>53</v>
      </c>
      <c r="P2882" t="s">
        <v>54</v>
      </c>
      <c r="Q2882" t="s">
        <v>55</v>
      </c>
      <c r="S2882" t="s">
        <v>989</v>
      </c>
      <c r="T2882" t="s">
        <v>989</v>
      </c>
      <c r="U2882">
        <v>30</v>
      </c>
      <c r="V2882" s="1">
        <v>41821</v>
      </c>
      <c r="W2882" s="1">
        <v>41821</v>
      </c>
      <c r="X2882" s="1">
        <v>41821</v>
      </c>
      <c r="Y2882" s="1">
        <v>52779</v>
      </c>
      <c r="Z2882" t="s">
        <v>51</v>
      </c>
      <c r="AB2882" t="s">
        <v>54</v>
      </c>
      <c r="AC2882">
        <v>1</v>
      </c>
      <c r="AE2882" t="s">
        <v>171</v>
      </c>
      <c r="AF2882">
        <v>20</v>
      </c>
      <c r="AG2882" s="1">
        <v>41821</v>
      </c>
      <c r="AH2882" s="1">
        <v>41821</v>
      </c>
      <c r="AI2882" s="1">
        <v>41821</v>
      </c>
      <c r="AJ2882" s="1">
        <v>49126</v>
      </c>
      <c r="AK2882" t="s">
        <v>51</v>
      </c>
      <c r="AN2882">
        <v>0</v>
      </c>
      <c r="AO2882" t="s">
        <v>54</v>
      </c>
      <c r="AP2882" t="s">
        <v>53</v>
      </c>
      <c r="AQ2882">
        <v>0</v>
      </c>
      <c r="AR2882" t="s">
        <v>53</v>
      </c>
      <c r="AS2882">
        <v>0</v>
      </c>
      <c r="AT2882">
        <v>0</v>
      </c>
      <c r="CC2882" t="s">
        <v>173</v>
      </c>
      <c r="CD2882">
        <v>100000</v>
      </c>
      <c r="CE2882" s="1">
        <v>41821</v>
      </c>
      <c r="CF2882" s="1">
        <v>41821</v>
      </c>
      <c r="CG2882" s="1">
        <v>41821</v>
      </c>
      <c r="CH2882" s="1">
        <v>50293</v>
      </c>
      <c r="CI2882" t="s">
        <v>51</v>
      </c>
      <c r="CK2882" t="s">
        <v>78</v>
      </c>
      <c r="CM2882" t="s">
        <v>54</v>
      </c>
      <c r="CN2882" t="s">
        <v>174</v>
      </c>
      <c r="CO2882" t="s">
        <v>86</v>
      </c>
      <c r="CP2882">
        <v>830</v>
      </c>
      <c r="CR2882">
        <v>19</v>
      </c>
      <c r="CS2882">
        <v>1800</v>
      </c>
      <c r="CT2882">
        <v>0</v>
      </c>
      <c r="CU2882">
        <v>16</v>
      </c>
    </row>
    <row r="2883" spans="1:99" x14ac:dyDescent="0.2">
      <c r="A2883" t="s">
        <v>1012</v>
      </c>
      <c r="B2883" t="s">
        <v>1013</v>
      </c>
      <c r="C2883" t="s">
        <v>1019</v>
      </c>
      <c r="D2883" t="s">
        <v>1169</v>
      </c>
      <c r="F2883" t="str">
        <f>"253632"</f>
        <v>253632</v>
      </c>
      <c r="G2883" t="s">
        <v>49</v>
      </c>
      <c r="H2883">
        <v>17</v>
      </c>
      <c r="K2883" t="s">
        <v>51</v>
      </c>
      <c r="L2883" t="s">
        <v>52</v>
      </c>
      <c r="M2883">
        <v>131744.58499999999</v>
      </c>
      <c r="N2883">
        <v>474028.82699999999</v>
      </c>
      <c r="O2883" t="s">
        <v>53</v>
      </c>
      <c r="P2883" t="s">
        <v>54</v>
      </c>
      <c r="Q2883" t="s">
        <v>55</v>
      </c>
      <c r="S2883" t="s">
        <v>989</v>
      </c>
      <c r="T2883" t="s">
        <v>989</v>
      </c>
      <c r="U2883">
        <v>30</v>
      </c>
      <c r="V2883" s="1">
        <v>41821</v>
      </c>
      <c r="W2883" s="1">
        <v>41821</v>
      </c>
      <c r="X2883" s="1">
        <v>41821</v>
      </c>
      <c r="Y2883" s="1">
        <v>52779</v>
      </c>
      <c r="Z2883" t="s">
        <v>51</v>
      </c>
      <c r="AB2883" t="s">
        <v>54</v>
      </c>
      <c r="AC2883">
        <v>1</v>
      </c>
      <c r="AE2883" t="s">
        <v>171</v>
      </c>
      <c r="AF2883">
        <v>20</v>
      </c>
      <c r="AG2883" s="1">
        <v>41821</v>
      </c>
      <c r="AH2883" s="1">
        <v>41821</v>
      </c>
      <c r="AI2883" s="1">
        <v>41821</v>
      </c>
      <c r="AJ2883" s="1">
        <v>49126</v>
      </c>
      <c r="AK2883" t="s">
        <v>51</v>
      </c>
      <c r="AN2883">
        <v>0</v>
      </c>
      <c r="AO2883" t="s">
        <v>54</v>
      </c>
      <c r="AP2883" t="s">
        <v>53</v>
      </c>
      <c r="AQ2883">
        <v>0</v>
      </c>
      <c r="AR2883" t="s">
        <v>53</v>
      </c>
      <c r="AS2883">
        <v>0</v>
      </c>
      <c r="AT2883">
        <v>0</v>
      </c>
      <c r="CC2883" t="s">
        <v>173</v>
      </c>
      <c r="CD2883">
        <v>100000</v>
      </c>
      <c r="CE2883" s="1">
        <v>41821</v>
      </c>
      <c r="CF2883" s="1">
        <v>41821</v>
      </c>
      <c r="CG2883" s="1">
        <v>41821</v>
      </c>
      <c r="CH2883" s="1">
        <v>50293</v>
      </c>
      <c r="CI2883" t="s">
        <v>51</v>
      </c>
      <c r="CK2883" t="s">
        <v>78</v>
      </c>
      <c r="CM2883" t="s">
        <v>54</v>
      </c>
      <c r="CN2883" t="s">
        <v>174</v>
      </c>
      <c r="CO2883" t="s">
        <v>86</v>
      </c>
      <c r="CP2883">
        <v>830</v>
      </c>
      <c r="CR2883">
        <v>19</v>
      </c>
      <c r="CS2883">
        <v>1800</v>
      </c>
      <c r="CT2883">
        <v>0</v>
      </c>
      <c r="CU2883">
        <v>16</v>
      </c>
    </row>
    <row r="2884" spans="1:99" x14ac:dyDescent="0.2">
      <c r="A2884" t="s">
        <v>1012</v>
      </c>
      <c r="B2884" t="s">
        <v>1013</v>
      </c>
      <c r="C2884" t="s">
        <v>1019</v>
      </c>
      <c r="D2884" t="s">
        <v>1169</v>
      </c>
      <c r="F2884" t="str">
        <f>"253633"</f>
        <v>253633</v>
      </c>
      <c r="G2884" t="s">
        <v>49</v>
      </c>
      <c r="H2884">
        <v>25</v>
      </c>
      <c r="K2884" t="s">
        <v>51</v>
      </c>
      <c r="L2884" t="s">
        <v>52</v>
      </c>
      <c r="M2884">
        <v>131746.76300000001</v>
      </c>
      <c r="N2884">
        <v>474044.44900000002</v>
      </c>
      <c r="O2884" t="s">
        <v>53</v>
      </c>
      <c r="P2884" t="s">
        <v>54</v>
      </c>
      <c r="Q2884" t="s">
        <v>55</v>
      </c>
      <c r="S2884" t="s">
        <v>989</v>
      </c>
      <c r="T2884" t="s">
        <v>989</v>
      </c>
      <c r="U2884">
        <v>30</v>
      </c>
      <c r="V2884" s="1">
        <v>41821</v>
      </c>
      <c r="W2884" s="1">
        <v>41821</v>
      </c>
      <c r="X2884" s="1">
        <v>41821</v>
      </c>
      <c r="Y2884" s="1">
        <v>52779</v>
      </c>
      <c r="Z2884" t="s">
        <v>51</v>
      </c>
      <c r="AB2884" t="s">
        <v>54</v>
      </c>
      <c r="AC2884">
        <v>1</v>
      </c>
      <c r="AE2884" t="s">
        <v>171</v>
      </c>
      <c r="AF2884">
        <v>20</v>
      </c>
      <c r="AG2884" s="1">
        <v>41821</v>
      </c>
      <c r="AH2884" s="1">
        <v>41821</v>
      </c>
      <c r="AI2884" s="1">
        <v>41821</v>
      </c>
      <c r="AJ2884" s="1">
        <v>49126</v>
      </c>
      <c r="AK2884" t="s">
        <v>51</v>
      </c>
      <c r="AN2884">
        <v>0</v>
      </c>
      <c r="AO2884" t="s">
        <v>54</v>
      </c>
      <c r="AP2884" t="s">
        <v>53</v>
      </c>
      <c r="AQ2884">
        <v>0</v>
      </c>
      <c r="AR2884" t="s">
        <v>53</v>
      </c>
      <c r="AS2884">
        <v>0</v>
      </c>
      <c r="AT2884">
        <v>0</v>
      </c>
      <c r="CC2884" t="s">
        <v>173</v>
      </c>
      <c r="CD2884">
        <v>100000</v>
      </c>
      <c r="CE2884" s="1">
        <v>41821</v>
      </c>
      <c r="CF2884" s="1">
        <v>41821</v>
      </c>
      <c r="CG2884" s="1">
        <v>41821</v>
      </c>
      <c r="CH2884" s="1">
        <v>50293</v>
      </c>
      <c r="CI2884" t="s">
        <v>51</v>
      </c>
      <c r="CK2884" t="s">
        <v>78</v>
      </c>
      <c r="CM2884" t="s">
        <v>54</v>
      </c>
      <c r="CN2884" t="s">
        <v>174</v>
      </c>
      <c r="CO2884" t="s">
        <v>86</v>
      </c>
      <c r="CP2884">
        <v>830</v>
      </c>
      <c r="CR2884">
        <v>19</v>
      </c>
      <c r="CS2884">
        <v>1800</v>
      </c>
      <c r="CT2884">
        <v>0</v>
      </c>
      <c r="CU2884">
        <v>16</v>
      </c>
    </row>
    <row r="2885" spans="1:99" x14ac:dyDescent="0.2">
      <c r="A2885" t="s">
        <v>1012</v>
      </c>
      <c r="B2885" t="s">
        <v>1013</v>
      </c>
      <c r="C2885" t="s">
        <v>1019</v>
      </c>
      <c r="D2885" t="s">
        <v>1139</v>
      </c>
      <c r="F2885" t="str">
        <f>"253635"</f>
        <v>253635</v>
      </c>
      <c r="G2885" t="s">
        <v>49</v>
      </c>
      <c r="K2885" t="s">
        <v>51</v>
      </c>
      <c r="L2885" t="s">
        <v>52</v>
      </c>
      <c r="M2885">
        <v>131803.644</v>
      </c>
      <c r="N2885">
        <v>474108.087</v>
      </c>
      <c r="O2885" t="s">
        <v>53</v>
      </c>
      <c r="P2885" t="s">
        <v>54</v>
      </c>
      <c r="Q2885" t="s">
        <v>55</v>
      </c>
      <c r="S2885" t="s">
        <v>1074</v>
      </c>
      <c r="T2885" t="s">
        <v>1074</v>
      </c>
      <c r="U2885">
        <v>30</v>
      </c>
      <c r="V2885" s="1">
        <v>41821</v>
      </c>
      <c r="W2885" s="1">
        <v>41821</v>
      </c>
      <c r="X2885" s="1">
        <v>41821</v>
      </c>
      <c r="Y2885" s="1">
        <v>52779</v>
      </c>
      <c r="Z2885" t="s">
        <v>51</v>
      </c>
      <c r="AB2885" t="s">
        <v>54</v>
      </c>
      <c r="AC2885">
        <v>1</v>
      </c>
      <c r="AE2885" t="s">
        <v>243</v>
      </c>
      <c r="AF2885">
        <v>20</v>
      </c>
      <c r="AG2885" s="1">
        <v>41821</v>
      </c>
      <c r="AH2885" s="1">
        <v>41821</v>
      </c>
      <c r="AI2885" s="1">
        <v>41821</v>
      </c>
      <c r="AJ2885" s="1">
        <v>49126</v>
      </c>
      <c r="AK2885" t="s">
        <v>51</v>
      </c>
      <c r="AN2885">
        <v>0</v>
      </c>
      <c r="AO2885" t="s">
        <v>54</v>
      </c>
      <c r="AP2885" t="s">
        <v>53</v>
      </c>
      <c r="AQ2885">
        <v>0</v>
      </c>
      <c r="AR2885" t="s">
        <v>53</v>
      </c>
      <c r="AS2885">
        <v>0</v>
      </c>
      <c r="AT2885">
        <v>0</v>
      </c>
      <c r="CC2885" t="s">
        <v>250</v>
      </c>
      <c r="CD2885">
        <v>100000</v>
      </c>
      <c r="CE2885" s="1">
        <v>41821</v>
      </c>
      <c r="CF2885" s="1">
        <v>41821</v>
      </c>
      <c r="CG2885" s="1">
        <v>41821</v>
      </c>
      <c r="CH2885" s="1">
        <v>50293</v>
      </c>
      <c r="CI2885" t="s">
        <v>51</v>
      </c>
      <c r="CK2885" t="s">
        <v>78</v>
      </c>
      <c r="CM2885" t="s">
        <v>54</v>
      </c>
      <c r="CN2885" t="s">
        <v>174</v>
      </c>
      <c r="CR2885">
        <v>13.2</v>
      </c>
      <c r="CS2885">
        <v>1800</v>
      </c>
      <c r="CT2885">
        <v>0</v>
      </c>
      <c r="CU2885">
        <v>16</v>
      </c>
    </row>
    <row r="2886" spans="1:99" x14ac:dyDescent="0.2">
      <c r="A2886" t="s">
        <v>1012</v>
      </c>
      <c r="B2886" t="s">
        <v>1013</v>
      </c>
      <c r="C2886" t="s">
        <v>1019</v>
      </c>
      <c r="D2886" t="s">
        <v>1169</v>
      </c>
      <c r="F2886" t="str">
        <f>"253636"</f>
        <v>253636</v>
      </c>
      <c r="G2886" t="s">
        <v>49</v>
      </c>
      <c r="H2886">
        <v>31</v>
      </c>
      <c r="K2886" t="s">
        <v>51</v>
      </c>
      <c r="L2886" t="s">
        <v>52</v>
      </c>
      <c r="M2886">
        <v>131713.867</v>
      </c>
      <c r="N2886">
        <v>474072.33600000001</v>
      </c>
      <c r="O2886" t="s">
        <v>53</v>
      </c>
      <c r="P2886" t="s">
        <v>54</v>
      </c>
      <c r="Q2886" t="s">
        <v>55</v>
      </c>
      <c r="S2886" t="s">
        <v>989</v>
      </c>
      <c r="T2886" t="s">
        <v>989</v>
      </c>
      <c r="U2886">
        <v>30</v>
      </c>
      <c r="V2886" s="1">
        <v>41821</v>
      </c>
      <c r="W2886" s="1">
        <v>41821</v>
      </c>
      <c r="X2886" s="1">
        <v>41821</v>
      </c>
      <c r="Y2886" s="1">
        <v>52779</v>
      </c>
      <c r="Z2886" t="s">
        <v>51</v>
      </c>
      <c r="AB2886" t="s">
        <v>54</v>
      </c>
      <c r="AC2886">
        <v>1</v>
      </c>
      <c r="AE2886" t="s">
        <v>171</v>
      </c>
      <c r="AF2886">
        <v>20</v>
      </c>
      <c r="AG2886" s="1">
        <v>41821</v>
      </c>
      <c r="AH2886" s="1">
        <v>41821</v>
      </c>
      <c r="AI2886" s="1">
        <v>41821</v>
      </c>
      <c r="AJ2886" s="1">
        <v>49126</v>
      </c>
      <c r="AK2886" t="s">
        <v>51</v>
      </c>
      <c r="AN2886">
        <v>0</v>
      </c>
      <c r="AO2886" t="s">
        <v>54</v>
      </c>
      <c r="AP2886" t="s">
        <v>53</v>
      </c>
      <c r="AQ2886">
        <v>0</v>
      </c>
      <c r="AR2886" t="s">
        <v>53</v>
      </c>
      <c r="AS2886">
        <v>0</v>
      </c>
      <c r="AT2886">
        <v>0</v>
      </c>
      <c r="CC2886" t="s">
        <v>432</v>
      </c>
      <c r="CD2886">
        <v>85000</v>
      </c>
      <c r="CE2886" s="1">
        <v>43864</v>
      </c>
      <c r="CF2886" s="1">
        <v>43864</v>
      </c>
      <c r="CG2886" s="1">
        <v>43864</v>
      </c>
      <c r="CH2886" s="1">
        <v>51080</v>
      </c>
      <c r="CI2886" t="s">
        <v>51</v>
      </c>
      <c r="CK2886" t="s">
        <v>78</v>
      </c>
      <c r="CM2886" t="s">
        <v>54</v>
      </c>
      <c r="CN2886" t="s">
        <v>174</v>
      </c>
      <c r="CO2886" t="s">
        <v>86</v>
      </c>
      <c r="CR2886">
        <v>24</v>
      </c>
      <c r="CS2886">
        <v>0</v>
      </c>
      <c r="CT2886">
        <v>0</v>
      </c>
      <c r="CU2886">
        <v>0</v>
      </c>
    </row>
    <row r="2887" spans="1:99" x14ac:dyDescent="0.2">
      <c r="A2887" t="s">
        <v>1012</v>
      </c>
      <c r="B2887" t="s">
        <v>1013</v>
      </c>
      <c r="C2887" t="s">
        <v>1019</v>
      </c>
      <c r="D2887" t="s">
        <v>1169</v>
      </c>
      <c r="F2887" t="str">
        <f>"253637"</f>
        <v>253637</v>
      </c>
      <c r="G2887" t="s">
        <v>49</v>
      </c>
      <c r="H2887">
        <v>39</v>
      </c>
      <c r="K2887" t="s">
        <v>51</v>
      </c>
      <c r="L2887" t="s">
        <v>52</v>
      </c>
      <c r="M2887">
        <v>131707.82999999999</v>
      </c>
      <c r="N2887">
        <v>474096.06</v>
      </c>
      <c r="O2887" t="s">
        <v>53</v>
      </c>
      <c r="P2887" t="s">
        <v>54</v>
      </c>
      <c r="Q2887" t="s">
        <v>55</v>
      </c>
      <c r="S2887" t="s">
        <v>989</v>
      </c>
      <c r="T2887" t="s">
        <v>989</v>
      </c>
      <c r="U2887">
        <v>30</v>
      </c>
      <c r="V2887" s="1">
        <v>41821</v>
      </c>
      <c r="W2887" s="1">
        <v>41821</v>
      </c>
      <c r="X2887" s="1">
        <v>41821</v>
      </c>
      <c r="Y2887" s="1">
        <v>52779</v>
      </c>
      <c r="Z2887" t="s">
        <v>51</v>
      </c>
      <c r="AB2887" t="s">
        <v>54</v>
      </c>
      <c r="AC2887">
        <v>1</v>
      </c>
      <c r="AE2887" t="s">
        <v>171</v>
      </c>
      <c r="AF2887">
        <v>20</v>
      </c>
      <c r="AG2887" s="1">
        <v>41821</v>
      </c>
      <c r="AH2887" s="1">
        <v>41821</v>
      </c>
      <c r="AI2887" s="1">
        <v>41821</v>
      </c>
      <c r="AJ2887" s="1">
        <v>49126</v>
      </c>
      <c r="AK2887" t="s">
        <v>51</v>
      </c>
      <c r="AN2887">
        <v>0</v>
      </c>
      <c r="AO2887" t="s">
        <v>54</v>
      </c>
      <c r="AP2887" t="s">
        <v>53</v>
      </c>
      <c r="AQ2887">
        <v>0</v>
      </c>
      <c r="AR2887" t="s">
        <v>53</v>
      </c>
      <c r="AS2887">
        <v>0</v>
      </c>
      <c r="AT2887">
        <v>0</v>
      </c>
      <c r="CC2887" t="s">
        <v>173</v>
      </c>
      <c r="CD2887">
        <v>100000</v>
      </c>
      <c r="CE2887" s="1">
        <v>41821</v>
      </c>
      <c r="CF2887" s="1">
        <v>41821</v>
      </c>
      <c r="CG2887" s="1">
        <v>41821</v>
      </c>
      <c r="CH2887" s="1">
        <v>50293</v>
      </c>
      <c r="CI2887" t="s">
        <v>51</v>
      </c>
      <c r="CK2887" t="s">
        <v>78</v>
      </c>
      <c r="CM2887" t="s">
        <v>54</v>
      </c>
      <c r="CN2887" t="s">
        <v>174</v>
      </c>
      <c r="CO2887" t="s">
        <v>86</v>
      </c>
      <c r="CP2887">
        <v>830</v>
      </c>
      <c r="CR2887">
        <v>19</v>
      </c>
      <c r="CS2887">
        <v>1800</v>
      </c>
      <c r="CT2887">
        <v>0</v>
      </c>
      <c r="CU2887">
        <v>16</v>
      </c>
    </row>
    <row r="2888" spans="1:99" x14ac:dyDescent="0.2">
      <c r="A2888" t="s">
        <v>1012</v>
      </c>
      <c r="B2888" t="s">
        <v>1013</v>
      </c>
      <c r="C2888" t="s">
        <v>1019</v>
      </c>
      <c r="D2888" t="s">
        <v>1169</v>
      </c>
      <c r="F2888" t="str">
        <f>"253638"</f>
        <v>253638</v>
      </c>
      <c r="G2888" t="s">
        <v>49</v>
      </c>
      <c r="H2888">
        <v>45</v>
      </c>
      <c r="K2888" t="s">
        <v>51</v>
      </c>
      <c r="L2888" t="s">
        <v>52</v>
      </c>
      <c r="M2888">
        <v>131684.59</v>
      </c>
      <c r="N2888">
        <v>474110.16</v>
      </c>
      <c r="O2888" t="s">
        <v>53</v>
      </c>
      <c r="P2888" t="s">
        <v>54</v>
      </c>
      <c r="Q2888" t="s">
        <v>55</v>
      </c>
      <c r="S2888" t="s">
        <v>989</v>
      </c>
      <c r="T2888" t="s">
        <v>989</v>
      </c>
      <c r="U2888">
        <v>30</v>
      </c>
      <c r="V2888" s="1">
        <v>41821</v>
      </c>
      <c r="W2888" s="1">
        <v>41821</v>
      </c>
      <c r="X2888" s="1">
        <v>41821</v>
      </c>
      <c r="Y2888" s="1">
        <v>52779</v>
      </c>
      <c r="Z2888" t="s">
        <v>51</v>
      </c>
      <c r="AB2888" t="s">
        <v>54</v>
      </c>
      <c r="AC2888">
        <v>1</v>
      </c>
      <c r="AE2888" t="s">
        <v>171</v>
      </c>
      <c r="AF2888">
        <v>20</v>
      </c>
      <c r="AG2888" s="1">
        <v>41821</v>
      </c>
      <c r="AH2888" s="1">
        <v>41821</v>
      </c>
      <c r="AI2888" s="1">
        <v>41821</v>
      </c>
      <c r="AJ2888" s="1">
        <v>49126</v>
      </c>
      <c r="AK2888" t="s">
        <v>51</v>
      </c>
      <c r="AN2888">
        <v>0</v>
      </c>
      <c r="AO2888" t="s">
        <v>54</v>
      </c>
      <c r="AP2888" t="s">
        <v>53</v>
      </c>
      <c r="AQ2888">
        <v>0</v>
      </c>
      <c r="AR2888" t="s">
        <v>53</v>
      </c>
      <c r="AS2888">
        <v>0</v>
      </c>
      <c r="AT2888">
        <v>0</v>
      </c>
      <c r="CC2888" t="s">
        <v>173</v>
      </c>
      <c r="CD2888">
        <v>100000</v>
      </c>
      <c r="CE2888" s="1">
        <v>41821</v>
      </c>
      <c r="CF2888" s="1">
        <v>41821</v>
      </c>
      <c r="CG2888" s="1">
        <v>41821</v>
      </c>
      <c r="CH2888" s="1">
        <v>50293</v>
      </c>
      <c r="CI2888" t="s">
        <v>51</v>
      </c>
      <c r="CK2888" t="s">
        <v>78</v>
      </c>
      <c r="CM2888" t="s">
        <v>54</v>
      </c>
      <c r="CN2888" t="s">
        <v>174</v>
      </c>
      <c r="CO2888" t="s">
        <v>86</v>
      </c>
      <c r="CP2888">
        <v>830</v>
      </c>
      <c r="CR2888">
        <v>19</v>
      </c>
      <c r="CS2888">
        <v>1800</v>
      </c>
      <c r="CT2888">
        <v>0</v>
      </c>
      <c r="CU2888">
        <v>16</v>
      </c>
    </row>
    <row r="2889" spans="1:99" x14ac:dyDescent="0.2">
      <c r="A2889" t="s">
        <v>1012</v>
      </c>
      <c r="B2889" t="s">
        <v>1013</v>
      </c>
      <c r="C2889" t="s">
        <v>1019</v>
      </c>
      <c r="D2889" t="s">
        <v>1169</v>
      </c>
      <c r="F2889" t="str">
        <f>"253639"</f>
        <v>253639</v>
      </c>
      <c r="G2889" t="s">
        <v>49</v>
      </c>
      <c r="H2889">
        <v>55</v>
      </c>
      <c r="K2889" t="s">
        <v>51</v>
      </c>
      <c r="L2889" t="s">
        <v>52</v>
      </c>
      <c r="M2889">
        <v>131669.26</v>
      </c>
      <c r="N2889">
        <v>474129.66</v>
      </c>
      <c r="O2889" t="s">
        <v>53</v>
      </c>
      <c r="P2889" t="s">
        <v>54</v>
      </c>
      <c r="Q2889" t="s">
        <v>55</v>
      </c>
      <c r="S2889" t="s">
        <v>989</v>
      </c>
      <c r="T2889" t="s">
        <v>989</v>
      </c>
      <c r="U2889">
        <v>30</v>
      </c>
      <c r="V2889" s="1">
        <v>41821</v>
      </c>
      <c r="W2889" s="1">
        <v>41821</v>
      </c>
      <c r="X2889" s="1">
        <v>41821</v>
      </c>
      <c r="Y2889" s="1">
        <v>52779</v>
      </c>
      <c r="Z2889" t="s">
        <v>51</v>
      </c>
      <c r="AB2889" t="s">
        <v>54</v>
      </c>
      <c r="AC2889">
        <v>1</v>
      </c>
      <c r="AE2889" t="s">
        <v>171</v>
      </c>
      <c r="AF2889">
        <v>20</v>
      </c>
      <c r="AG2889" s="1">
        <v>41821</v>
      </c>
      <c r="AH2889" s="1">
        <v>41821</v>
      </c>
      <c r="AI2889" s="1">
        <v>41821</v>
      </c>
      <c r="AJ2889" s="1">
        <v>49126</v>
      </c>
      <c r="AK2889" t="s">
        <v>51</v>
      </c>
      <c r="AN2889">
        <v>0</v>
      </c>
      <c r="AO2889" t="s">
        <v>54</v>
      </c>
      <c r="AP2889" t="s">
        <v>53</v>
      </c>
      <c r="AQ2889">
        <v>0</v>
      </c>
      <c r="AR2889" t="s">
        <v>53</v>
      </c>
      <c r="AS2889">
        <v>0</v>
      </c>
      <c r="AT2889">
        <v>0</v>
      </c>
      <c r="CC2889" t="s">
        <v>173</v>
      </c>
      <c r="CD2889">
        <v>100000</v>
      </c>
      <c r="CE2889" s="1">
        <v>41821</v>
      </c>
      <c r="CF2889" s="1">
        <v>41821</v>
      </c>
      <c r="CG2889" s="1">
        <v>41821</v>
      </c>
      <c r="CH2889" s="1">
        <v>50293</v>
      </c>
      <c r="CI2889" t="s">
        <v>51</v>
      </c>
      <c r="CK2889" t="s">
        <v>78</v>
      </c>
      <c r="CM2889" t="s">
        <v>54</v>
      </c>
      <c r="CN2889" t="s">
        <v>174</v>
      </c>
      <c r="CO2889" t="s">
        <v>86</v>
      </c>
      <c r="CP2889">
        <v>830</v>
      </c>
      <c r="CR2889">
        <v>19</v>
      </c>
      <c r="CS2889">
        <v>1800</v>
      </c>
      <c r="CT2889">
        <v>0</v>
      </c>
      <c r="CU2889">
        <v>16</v>
      </c>
    </row>
    <row r="2890" spans="1:99" x14ac:dyDescent="0.2">
      <c r="A2890" t="s">
        <v>1012</v>
      </c>
      <c r="B2890" t="s">
        <v>1013</v>
      </c>
      <c r="C2890" t="s">
        <v>1019</v>
      </c>
      <c r="D2890" t="s">
        <v>1169</v>
      </c>
      <c r="F2890" t="str">
        <f>"253640"</f>
        <v>253640</v>
      </c>
      <c r="G2890" t="s">
        <v>49</v>
      </c>
      <c r="H2890">
        <v>24</v>
      </c>
      <c r="K2890" t="s">
        <v>51</v>
      </c>
      <c r="L2890" t="s">
        <v>52</v>
      </c>
      <c r="M2890">
        <v>131660.198</v>
      </c>
      <c r="N2890">
        <v>474153.48700000002</v>
      </c>
      <c r="O2890" t="s">
        <v>53</v>
      </c>
      <c r="P2890" t="s">
        <v>54</v>
      </c>
      <c r="Q2890" t="s">
        <v>55</v>
      </c>
      <c r="S2890" t="s">
        <v>989</v>
      </c>
      <c r="T2890" t="s">
        <v>989</v>
      </c>
      <c r="U2890">
        <v>30</v>
      </c>
      <c r="V2890" s="1">
        <v>41821</v>
      </c>
      <c r="W2890" s="1">
        <v>41821</v>
      </c>
      <c r="X2890" s="1">
        <v>41821</v>
      </c>
      <c r="Y2890" s="1">
        <v>52779</v>
      </c>
      <c r="Z2890" t="s">
        <v>51</v>
      </c>
      <c r="AB2890" t="s">
        <v>54</v>
      </c>
      <c r="AC2890">
        <v>1</v>
      </c>
      <c r="AE2890" t="s">
        <v>171</v>
      </c>
      <c r="AF2890">
        <v>20</v>
      </c>
      <c r="AG2890" s="1">
        <v>41821</v>
      </c>
      <c r="AH2890" s="1">
        <v>41821</v>
      </c>
      <c r="AI2890" s="1">
        <v>41821</v>
      </c>
      <c r="AJ2890" s="1">
        <v>49126</v>
      </c>
      <c r="AK2890" t="s">
        <v>51</v>
      </c>
      <c r="AN2890">
        <v>0</v>
      </c>
      <c r="AO2890" t="s">
        <v>54</v>
      </c>
      <c r="AP2890" t="s">
        <v>53</v>
      </c>
      <c r="AQ2890">
        <v>0</v>
      </c>
      <c r="AR2890" t="s">
        <v>53</v>
      </c>
      <c r="AS2890">
        <v>0</v>
      </c>
      <c r="AT2890">
        <v>0</v>
      </c>
      <c r="CC2890" t="s">
        <v>173</v>
      </c>
      <c r="CD2890">
        <v>100000</v>
      </c>
      <c r="CE2890" s="1">
        <v>43340</v>
      </c>
      <c r="CF2890" s="1">
        <v>43340</v>
      </c>
      <c r="CG2890" s="1">
        <v>43340</v>
      </c>
      <c r="CH2890" s="1">
        <v>51791</v>
      </c>
      <c r="CI2890" t="s">
        <v>51</v>
      </c>
      <c r="CK2890" t="s">
        <v>78</v>
      </c>
      <c r="CM2890" t="s">
        <v>54</v>
      </c>
      <c r="CN2890" t="s">
        <v>174</v>
      </c>
      <c r="CO2890" t="s">
        <v>86</v>
      </c>
      <c r="CP2890">
        <v>830</v>
      </c>
      <c r="CR2890">
        <v>19</v>
      </c>
      <c r="CS2890">
        <v>1800</v>
      </c>
      <c r="CT2890">
        <v>0</v>
      </c>
      <c r="CU2890">
        <v>16</v>
      </c>
    </row>
    <row r="2891" spans="1:99" x14ac:dyDescent="0.2">
      <c r="A2891" t="s">
        <v>1012</v>
      </c>
      <c r="B2891" t="s">
        <v>1013</v>
      </c>
      <c r="C2891" t="s">
        <v>1019</v>
      </c>
      <c r="D2891" t="s">
        <v>1169</v>
      </c>
      <c r="F2891" t="str">
        <f>"253641"</f>
        <v>253641</v>
      </c>
      <c r="G2891" t="s">
        <v>49</v>
      </c>
      <c r="H2891">
        <v>67</v>
      </c>
      <c r="K2891" t="s">
        <v>51</v>
      </c>
      <c r="L2891" t="s">
        <v>52</v>
      </c>
      <c r="M2891">
        <v>131639.70499999999</v>
      </c>
      <c r="N2891">
        <v>474168.495</v>
      </c>
      <c r="O2891" t="s">
        <v>53</v>
      </c>
      <c r="P2891" t="s">
        <v>54</v>
      </c>
      <c r="Q2891" t="s">
        <v>55</v>
      </c>
      <c r="S2891" t="s">
        <v>989</v>
      </c>
      <c r="T2891" t="s">
        <v>989</v>
      </c>
      <c r="U2891">
        <v>30</v>
      </c>
      <c r="V2891" s="1">
        <v>41821</v>
      </c>
      <c r="W2891" s="1">
        <v>41821</v>
      </c>
      <c r="X2891" s="1">
        <v>41821</v>
      </c>
      <c r="Y2891" s="1">
        <v>52779</v>
      </c>
      <c r="Z2891" t="s">
        <v>51</v>
      </c>
      <c r="AB2891" t="s">
        <v>54</v>
      </c>
      <c r="AC2891">
        <v>1</v>
      </c>
      <c r="AE2891" t="s">
        <v>171</v>
      </c>
      <c r="AF2891">
        <v>20</v>
      </c>
      <c r="AG2891" s="1">
        <v>41821</v>
      </c>
      <c r="AH2891" s="1">
        <v>41821</v>
      </c>
      <c r="AI2891" s="1">
        <v>41821</v>
      </c>
      <c r="AJ2891" s="1">
        <v>49126</v>
      </c>
      <c r="AK2891" t="s">
        <v>51</v>
      </c>
      <c r="AN2891">
        <v>0</v>
      </c>
      <c r="AO2891" t="s">
        <v>54</v>
      </c>
      <c r="AP2891" t="s">
        <v>53</v>
      </c>
      <c r="AQ2891">
        <v>0</v>
      </c>
      <c r="AR2891" t="s">
        <v>53</v>
      </c>
      <c r="AS2891">
        <v>0</v>
      </c>
      <c r="AT2891">
        <v>0</v>
      </c>
      <c r="CC2891" t="s">
        <v>173</v>
      </c>
      <c r="CD2891">
        <v>100000</v>
      </c>
      <c r="CE2891" s="1">
        <v>43340</v>
      </c>
      <c r="CF2891" s="1">
        <v>43340</v>
      </c>
      <c r="CG2891" s="1">
        <v>43340</v>
      </c>
      <c r="CH2891" s="1">
        <v>51791</v>
      </c>
      <c r="CI2891" t="s">
        <v>51</v>
      </c>
      <c r="CK2891" t="s">
        <v>78</v>
      </c>
      <c r="CM2891" t="s">
        <v>54</v>
      </c>
      <c r="CN2891" t="s">
        <v>174</v>
      </c>
      <c r="CO2891" t="s">
        <v>86</v>
      </c>
      <c r="CP2891">
        <v>830</v>
      </c>
      <c r="CR2891">
        <v>19</v>
      </c>
      <c r="CS2891">
        <v>1800</v>
      </c>
      <c r="CT2891">
        <v>0</v>
      </c>
      <c r="CU2891">
        <v>16</v>
      </c>
    </row>
    <row r="2892" spans="1:99" x14ac:dyDescent="0.2">
      <c r="A2892" t="s">
        <v>1012</v>
      </c>
      <c r="B2892" t="s">
        <v>1013</v>
      </c>
      <c r="C2892" t="s">
        <v>1019</v>
      </c>
      <c r="D2892" t="s">
        <v>590</v>
      </c>
      <c r="F2892" t="str">
        <f>"253642"</f>
        <v>253642</v>
      </c>
      <c r="G2892" t="s">
        <v>49</v>
      </c>
      <c r="K2892" t="s">
        <v>51</v>
      </c>
      <c r="L2892" t="s">
        <v>52</v>
      </c>
      <c r="M2892">
        <v>131627.66500000001</v>
      </c>
      <c r="N2892">
        <v>474192.67300000001</v>
      </c>
      <c r="O2892" t="s">
        <v>53</v>
      </c>
      <c r="P2892" t="s">
        <v>54</v>
      </c>
      <c r="Q2892" t="s">
        <v>55</v>
      </c>
      <c r="S2892" t="s">
        <v>989</v>
      </c>
      <c r="T2892" t="s">
        <v>989</v>
      </c>
      <c r="U2892">
        <v>30</v>
      </c>
      <c r="V2892" s="1">
        <v>41821</v>
      </c>
      <c r="W2892" s="1">
        <v>41821</v>
      </c>
      <c r="X2892" s="1">
        <v>41821</v>
      </c>
      <c r="Y2892" s="1">
        <v>52779</v>
      </c>
      <c r="Z2892" t="s">
        <v>51</v>
      </c>
      <c r="AB2892" t="s">
        <v>54</v>
      </c>
      <c r="AC2892">
        <v>1</v>
      </c>
      <c r="AE2892" t="s">
        <v>171</v>
      </c>
      <c r="AF2892">
        <v>20</v>
      </c>
      <c r="AG2892" s="1">
        <v>41821</v>
      </c>
      <c r="AH2892" s="1">
        <v>41821</v>
      </c>
      <c r="AI2892" s="1">
        <v>41821</v>
      </c>
      <c r="AJ2892" s="1">
        <v>49126</v>
      </c>
      <c r="AK2892" t="s">
        <v>51</v>
      </c>
      <c r="AN2892">
        <v>0</v>
      </c>
      <c r="AO2892" t="s">
        <v>54</v>
      </c>
      <c r="AP2892" t="s">
        <v>53</v>
      </c>
      <c r="AQ2892">
        <v>0</v>
      </c>
      <c r="AR2892" t="s">
        <v>53</v>
      </c>
      <c r="AS2892">
        <v>0</v>
      </c>
      <c r="AT2892">
        <v>0</v>
      </c>
      <c r="CC2892" t="s">
        <v>173</v>
      </c>
      <c r="CD2892">
        <v>100000</v>
      </c>
      <c r="CE2892" s="1">
        <v>44823</v>
      </c>
      <c r="CF2892" s="1">
        <v>44823</v>
      </c>
      <c r="CG2892" s="1">
        <v>44823</v>
      </c>
      <c r="CH2892" s="1">
        <v>53269</v>
      </c>
      <c r="CI2892" t="s">
        <v>51</v>
      </c>
      <c r="CK2892" t="s">
        <v>78</v>
      </c>
      <c r="CM2892" t="s">
        <v>54</v>
      </c>
      <c r="CN2892" t="s">
        <v>174</v>
      </c>
      <c r="CO2892" t="s">
        <v>86</v>
      </c>
      <c r="CP2892">
        <v>830</v>
      </c>
      <c r="CR2892">
        <v>19</v>
      </c>
      <c r="CS2892">
        <v>1800</v>
      </c>
      <c r="CT2892">
        <v>0</v>
      </c>
      <c r="CU2892">
        <v>16</v>
      </c>
    </row>
    <row r="2893" spans="1:99" x14ac:dyDescent="0.2">
      <c r="A2893" t="s">
        <v>1012</v>
      </c>
      <c r="B2893" t="s">
        <v>1013</v>
      </c>
      <c r="C2893" t="s">
        <v>1019</v>
      </c>
      <c r="D2893" t="s">
        <v>1169</v>
      </c>
      <c r="F2893" t="str">
        <f>"253643"</f>
        <v>253643</v>
      </c>
      <c r="G2893" t="s">
        <v>49</v>
      </c>
      <c r="H2893">
        <v>34</v>
      </c>
      <c r="K2893" t="s">
        <v>51</v>
      </c>
      <c r="L2893" t="s">
        <v>52</v>
      </c>
      <c r="M2893">
        <v>131606.46299999999</v>
      </c>
      <c r="N2893">
        <v>474183.89500000002</v>
      </c>
      <c r="O2893" t="s">
        <v>53</v>
      </c>
      <c r="P2893" t="s">
        <v>54</v>
      </c>
      <c r="Q2893" t="s">
        <v>55</v>
      </c>
      <c r="S2893" t="s">
        <v>989</v>
      </c>
      <c r="T2893" t="s">
        <v>989</v>
      </c>
      <c r="U2893">
        <v>30</v>
      </c>
      <c r="V2893" s="1">
        <v>41821</v>
      </c>
      <c r="W2893" s="1">
        <v>41821</v>
      </c>
      <c r="X2893" s="1">
        <v>41821</v>
      </c>
      <c r="Y2893" s="1">
        <v>52779</v>
      </c>
      <c r="Z2893" t="s">
        <v>51</v>
      </c>
      <c r="AB2893" t="s">
        <v>54</v>
      </c>
      <c r="AC2893">
        <v>1</v>
      </c>
      <c r="AE2893" t="s">
        <v>171</v>
      </c>
      <c r="AF2893">
        <v>20</v>
      </c>
      <c r="AG2893" s="1">
        <v>41821</v>
      </c>
      <c r="AH2893" s="1">
        <v>41821</v>
      </c>
      <c r="AI2893" s="1">
        <v>41821</v>
      </c>
      <c r="AJ2893" s="1">
        <v>49126</v>
      </c>
      <c r="AK2893" t="s">
        <v>51</v>
      </c>
      <c r="AN2893">
        <v>0</v>
      </c>
      <c r="AO2893" t="s">
        <v>54</v>
      </c>
      <c r="AP2893" t="s">
        <v>53</v>
      </c>
      <c r="AQ2893">
        <v>0</v>
      </c>
      <c r="AR2893" t="s">
        <v>53</v>
      </c>
      <c r="AS2893">
        <v>0</v>
      </c>
      <c r="AT2893">
        <v>0</v>
      </c>
      <c r="CC2893" t="s">
        <v>173</v>
      </c>
      <c r="CD2893">
        <v>100000</v>
      </c>
      <c r="CE2893" s="1">
        <v>41821</v>
      </c>
      <c r="CF2893" s="1">
        <v>41821</v>
      </c>
      <c r="CG2893" s="1">
        <v>41821</v>
      </c>
      <c r="CH2893" s="1">
        <v>50293</v>
      </c>
      <c r="CI2893" t="s">
        <v>51</v>
      </c>
      <c r="CK2893" t="s">
        <v>78</v>
      </c>
      <c r="CM2893" t="s">
        <v>54</v>
      </c>
      <c r="CN2893" t="s">
        <v>174</v>
      </c>
      <c r="CO2893" t="s">
        <v>86</v>
      </c>
      <c r="CP2893">
        <v>830</v>
      </c>
      <c r="CR2893">
        <v>19</v>
      </c>
      <c r="CS2893">
        <v>1800</v>
      </c>
      <c r="CT2893">
        <v>0</v>
      </c>
      <c r="CU2893">
        <v>16</v>
      </c>
    </row>
    <row r="2894" spans="1:99" x14ac:dyDescent="0.2">
      <c r="A2894" t="s">
        <v>1012</v>
      </c>
      <c r="B2894" t="s">
        <v>1013</v>
      </c>
      <c r="C2894" t="s">
        <v>1019</v>
      </c>
      <c r="D2894" t="s">
        <v>1169</v>
      </c>
      <c r="F2894" t="str">
        <f>"253644"</f>
        <v>253644</v>
      </c>
      <c r="G2894" t="s">
        <v>49</v>
      </c>
      <c r="H2894">
        <v>19</v>
      </c>
      <c r="K2894" t="s">
        <v>51</v>
      </c>
      <c r="L2894" t="s">
        <v>52</v>
      </c>
      <c r="M2894">
        <v>131584.25</v>
      </c>
      <c r="N2894">
        <v>474168.57</v>
      </c>
      <c r="O2894" t="s">
        <v>53</v>
      </c>
      <c r="P2894" t="s">
        <v>54</v>
      </c>
      <c r="Q2894" t="s">
        <v>55</v>
      </c>
      <c r="S2894" t="s">
        <v>989</v>
      </c>
      <c r="T2894" t="s">
        <v>989</v>
      </c>
      <c r="U2894">
        <v>30</v>
      </c>
      <c r="V2894" s="1">
        <v>41821</v>
      </c>
      <c r="W2894" s="1">
        <v>41821</v>
      </c>
      <c r="X2894" s="1">
        <v>41821</v>
      </c>
      <c r="Y2894" s="1">
        <v>52779</v>
      </c>
      <c r="Z2894" t="s">
        <v>51</v>
      </c>
      <c r="AB2894" t="s">
        <v>54</v>
      </c>
      <c r="AC2894">
        <v>1</v>
      </c>
      <c r="AE2894" t="s">
        <v>171</v>
      </c>
      <c r="AF2894">
        <v>20</v>
      </c>
      <c r="AG2894" s="1">
        <v>41821</v>
      </c>
      <c r="AH2894" s="1">
        <v>41821</v>
      </c>
      <c r="AI2894" s="1">
        <v>41821</v>
      </c>
      <c r="AJ2894" s="1">
        <v>49126</v>
      </c>
      <c r="AK2894" t="s">
        <v>51</v>
      </c>
      <c r="AN2894">
        <v>0</v>
      </c>
      <c r="AO2894" t="s">
        <v>54</v>
      </c>
      <c r="AP2894" t="s">
        <v>53</v>
      </c>
      <c r="AQ2894">
        <v>0</v>
      </c>
      <c r="AR2894" t="s">
        <v>53</v>
      </c>
      <c r="AS2894">
        <v>0</v>
      </c>
      <c r="AT2894">
        <v>0</v>
      </c>
      <c r="CC2894" t="s">
        <v>173</v>
      </c>
      <c r="CD2894">
        <v>100000</v>
      </c>
      <c r="CE2894" s="1">
        <v>41821</v>
      </c>
      <c r="CF2894" s="1">
        <v>41821</v>
      </c>
      <c r="CG2894" s="1">
        <v>41821</v>
      </c>
      <c r="CH2894" s="1">
        <v>50293</v>
      </c>
      <c r="CI2894" t="s">
        <v>51</v>
      </c>
      <c r="CK2894" t="s">
        <v>78</v>
      </c>
      <c r="CM2894" t="s">
        <v>54</v>
      </c>
      <c r="CN2894" t="s">
        <v>174</v>
      </c>
      <c r="CO2894" t="s">
        <v>86</v>
      </c>
      <c r="CP2894">
        <v>830</v>
      </c>
      <c r="CR2894">
        <v>19</v>
      </c>
      <c r="CS2894">
        <v>1800</v>
      </c>
      <c r="CT2894">
        <v>0</v>
      </c>
      <c r="CU2894">
        <v>16</v>
      </c>
    </row>
    <row r="2895" spans="1:99" x14ac:dyDescent="0.2">
      <c r="A2895" t="s">
        <v>1012</v>
      </c>
      <c r="B2895" t="s">
        <v>1013</v>
      </c>
      <c r="C2895" t="s">
        <v>1019</v>
      </c>
      <c r="D2895" t="s">
        <v>590</v>
      </c>
      <c r="F2895" t="str">
        <f>"253645"</f>
        <v>253645</v>
      </c>
      <c r="G2895" t="s">
        <v>49</v>
      </c>
      <c r="K2895" t="s">
        <v>51</v>
      </c>
      <c r="L2895" t="s">
        <v>52</v>
      </c>
      <c r="M2895">
        <v>131652.95000000001</v>
      </c>
      <c r="N2895">
        <v>474201.23</v>
      </c>
      <c r="O2895" t="s">
        <v>53</v>
      </c>
      <c r="P2895" t="s">
        <v>54</v>
      </c>
      <c r="Q2895" t="s">
        <v>55</v>
      </c>
      <c r="S2895" t="s">
        <v>989</v>
      </c>
      <c r="T2895" t="s">
        <v>989</v>
      </c>
      <c r="U2895">
        <v>30</v>
      </c>
      <c r="V2895" s="1">
        <v>41821</v>
      </c>
      <c r="W2895" s="1">
        <v>41821</v>
      </c>
      <c r="X2895" s="1">
        <v>41821</v>
      </c>
      <c r="Y2895" s="1">
        <v>52779</v>
      </c>
      <c r="Z2895" t="s">
        <v>51</v>
      </c>
      <c r="AB2895" t="s">
        <v>54</v>
      </c>
      <c r="AC2895">
        <v>1</v>
      </c>
      <c r="AE2895" t="s">
        <v>171</v>
      </c>
      <c r="AF2895">
        <v>20</v>
      </c>
      <c r="AG2895" s="1">
        <v>41821</v>
      </c>
      <c r="AH2895" s="1">
        <v>41821</v>
      </c>
      <c r="AI2895" s="1">
        <v>41821</v>
      </c>
      <c r="AJ2895" s="1">
        <v>49126</v>
      </c>
      <c r="AK2895" t="s">
        <v>51</v>
      </c>
      <c r="AN2895">
        <v>0</v>
      </c>
      <c r="AO2895" t="s">
        <v>54</v>
      </c>
      <c r="AP2895" t="s">
        <v>53</v>
      </c>
      <c r="AQ2895">
        <v>0</v>
      </c>
      <c r="AR2895" t="s">
        <v>53</v>
      </c>
      <c r="AS2895">
        <v>0</v>
      </c>
      <c r="AT2895">
        <v>0</v>
      </c>
      <c r="CC2895" t="s">
        <v>173</v>
      </c>
      <c r="CD2895">
        <v>100000</v>
      </c>
      <c r="CE2895" s="1">
        <v>41821</v>
      </c>
      <c r="CF2895" s="1">
        <v>41821</v>
      </c>
      <c r="CG2895" s="1">
        <v>41821</v>
      </c>
      <c r="CH2895" s="1">
        <v>50293</v>
      </c>
      <c r="CI2895" t="s">
        <v>51</v>
      </c>
      <c r="CK2895" t="s">
        <v>78</v>
      </c>
      <c r="CM2895" t="s">
        <v>54</v>
      </c>
      <c r="CN2895" t="s">
        <v>174</v>
      </c>
      <c r="CO2895" t="s">
        <v>86</v>
      </c>
      <c r="CP2895">
        <v>830</v>
      </c>
      <c r="CR2895">
        <v>19</v>
      </c>
      <c r="CS2895">
        <v>1800</v>
      </c>
      <c r="CT2895">
        <v>0</v>
      </c>
      <c r="CU2895">
        <v>16</v>
      </c>
    </row>
    <row r="2896" spans="1:99" x14ac:dyDescent="0.2">
      <c r="A2896" t="s">
        <v>1012</v>
      </c>
      <c r="B2896" t="s">
        <v>1013</v>
      </c>
      <c r="C2896" t="s">
        <v>1019</v>
      </c>
      <c r="D2896" t="s">
        <v>590</v>
      </c>
      <c r="F2896" t="str">
        <f>"253646"</f>
        <v>253646</v>
      </c>
      <c r="G2896" t="s">
        <v>49</v>
      </c>
      <c r="K2896" t="s">
        <v>51</v>
      </c>
      <c r="L2896" t="s">
        <v>52</v>
      </c>
      <c r="M2896">
        <v>131666.53</v>
      </c>
      <c r="N2896">
        <v>474221.53</v>
      </c>
      <c r="O2896" t="s">
        <v>53</v>
      </c>
      <c r="P2896" t="s">
        <v>54</v>
      </c>
      <c r="Q2896" t="s">
        <v>55</v>
      </c>
      <c r="S2896" t="s">
        <v>989</v>
      </c>
      <c r="T2896" t="s">
        <v>989</v>
      </c>
      <c r="U2896">
        <v>30</v>
      </c>
      <c r="V2896" s="1">
        <v>41821</v>
      </c>
      <c r="W2896" s="1">
        <v>41821</v>
      </c>
      <c r="X2896" s="1">
        <v>41821</v>
      </c>
      <c r="Y2896" s="1">
        <v>52779</v>
      </c>
      <c r="Z2896" t="s">
        <v>51</v>
      </c>
      <c r="AB2896" t="s">
        <v>54</v>
      </c>
      <c r="AC2896">
        <v>1</v>
      </c>
      <c r="AE2896" t="s">
        <v>171</v>
      </c>
      <c r="AF2896">
        <v>20</v>
      </c>
      <c r="AG2896" s="1">
        <v>41821</v>
      </c>
      <c r="AH2896" s="1">
        <v>41821</v>
      </c>
      <c r="AI2896" s="1">
        <v>41821</v>
      </c>
      <c r="AJ2896" s="1">
        <v>49126</v>
      </c>
      <c r="AK2896" t="s">
        <v>51</v>
      </c>
      <c r="AN2896">
        <v>0</v>
      </c>
      <c r="AO2896" t="s">
        <v>54</v>
      </c>
      <c r="AP2896" t="s">
        <v>53</v>
      </c>
      <c r="AQ2896">
        <v>0</v>
      </c>
      <c r="AR2896" t="s">
        <v>53</v>
      </c>
      <c r="AS2896">
        <v>0</v>
      </c>
      <c r="AT2896">
        <v>0</v>
      </c>
      <c r="CC2896" t="s">
        <v>173</v>
      </c>
      <c r="CD2896">
        <v>100000</v>
      </c>
      <c r="CE2896" s="1">
        <v>41821</v>
      </c>
      <c r="CF2896" s="1">
        <v>41821</v>
      </c>
      <c r="CG2896" s="1">
        <v>41821</v>
      </c>
      <c r="CH2896" s="1">
        <v>50293</v>
      </c>
      <c r="CI2896" t="s">
        <v>51</v>
      </c>
      <c r="CK2896" t="s">
        <v>78</v>
      </c>
      <c r="CM2896" t="s">
        <v>54</v>
      </c>
      <c r="CN2896" t="s">
        <v>174</v>
      </c>
      <c r="CO2896" t="s">
        <v>86</v>
      </c>
      <c r="CP2896">
        <v>830</v>
      </c>
      <c r="CR2896">
        <v>19</v>
      </c>
      <c r="CS2896">
        <v>1800</v>
      </c>
      <c r="CT2896">
        <v>0</v>
      </c>
      <c r="CU2896">
        <v>16</v>
      </c>
    </row>
    <row r="2897" spans="1:112" x14ac:dyDescent="0.2">
      <c r="A2897" t="s">
        <v>1012</v>
      </c>
      <c r="B2897" t="s">
        <v>1013</v>
      </c>
      <c r="C2897" t="s">
        <v>1019</v>
      </c>
      <c r="D2897" t="s">
        <v>590</v>
      </c>
      <c r="F2897" t="str">
        <f>"253647"</f>
        <v>253647</v>
      </c>
      <c r="G2897" t="s">
        <v>49</v>
      </c>
      <c r="K2897" t="s">
        <v>51</v>
      </c>
      <c r="L2897" t="s">
        <v>52</v>
      </c>
      <c r="M2897">
        <v>131687.19</v>
      </c>
      <c r="N2897">
        <v>474236.97</v>
      </c>
      <c r="O2897" t="s">
        <v>53</v>
      </c>
      <c r="P2897" t="s">
        <v>54</v>
      </c>
      <c r="Q2897" t="s">
        <v>55</v>
      </c>
      <c r="S2897" t="s">
        <v>989</v>
      </c>
      <c r="T2897" t="s">
        <v>989</v>
      </c>
      <c r="U2897">
        <v>30</v>
      </c>
      <c r="V2897" s="1">
        <v>41821</v>
      </c>
      <c r="W2897" s="1">
        <v>41821</v>
      </c>
      <c r="X2897" s="1">
        <v>41821</v>
      </c>
      <c r="Y2897" s="1">
        <v>52779</v>
      </c>
      <c r="Z2897" t="s">
        <v>51</v>
      </c>
      <c r="AB2897" t="s">
        <v>54</v>
      </c>
      <c r="AC2897">
        <v>1</v>
      </c>
      <c r="AE2897" t="s">
        <v>171</v>
      </c>
      <c r="AF2897">
        <v>20</v>
      </c>
      <c r="AG2897" s="1">
        <v>41821</v>
      </c>
      <c r="AH2897" s="1">
        <v>41821</v>
      </c>
      <c r="AI2897" s="1">
        <v>41821</v>
      </c>
      <c r="AJ2897" s="1">
        <v>49126</v>
      </c>
      <c r="AK2897" t="s">
        <v>51</v>
      </c>
      <c r="AN2897">
        <v>0</v>
      </c>
      <c r="AO2897" t="s">
        <v>54</v>
      </c>
      <c r="AP2897" t="s">
        <v>53</v>
      </c>
      <c r="AQ2897">
        <v>0</v>
      </c>
      <c r="AR2897" t="s">
        <v>53</v>
      </c>
      <c r="AS2897">
        <v>0</v>
      </c>
      <c r="AT2897">
        <v>0</v>
      </c>
      <c r="CC2897" t="s">
        <v>173</v>
      </c>
      <c r="CD2897">
        <v>100000</v>
      </c>
      <c r="CE2897" s="1">
        <v>41821</v>
      </c>
      <c r="CF2897" s="1">
        <v>41821</v>
      </c>
      <c r="CG2897" s="1">
        <v>41821</v>
      </c>
      <c r="CH2897" s="1">
        <v>50293</v>
      </c>
      <c r="CI2897" t="s">
        <v>51</v>
      </c>
      <c r="CK2897" t="s">
        <v>78</v>
      </c>
      <c r="CM2897" t="s">
        <v>54</v>
      </c>
      <c r="CN2897" t="s">
        <v>174</v>
      </c>
      <c r="CO2897" t="s">
        <v>86</v>
      </c>
      <c r="CP2897">
        <v>830</v>
      </c>
      <c r="CR2897">
        <v>19</v>
      </c>
      <c r="CS2897">
        <v>1800</v>
      </c>
      <c r="CT2897">
        <v>0</v>
      </c>
      <c r="CU2897">
        <v>16</v>
      </c>
    </row>
    <row r="2898" spans="1:112" x14ac:dyDescent="0.2">
      <c r="A2898" t="s">
        <v>1012</v>
      </c>
      <c r="B2898" t="s">
        <v>1013</v>
      </c>
      <c r="C2898" t="s">
        <v>1019</v>
      </c>
      <c r="D2898" t="s">
        <v>1139</v>
      </c>
      <c r="F2898" t="str">
        <f>"253648"</f>
        <v>253648</v>
      </c>
      <c r="G2898" t="s">
        <v>49</v>
      </c>
      <c r="K2898" t="s">
        <v>51</v>
      </c>
      <c r="L2898" t="s">
        <v>52</v>
      </c>
      <c r="M2898">
        <v>131705.64799999999</v>
      </c>
      <c r="N2898">
        <v>474219.61</v>
      </c>
      <c r="O2898" t="s">
        <v>53</v>
      </c>
      <c r="P2898" t="s">
        <v>54</v>
      </c>
      <c r="Q2898" t="s">
        <v>55</v>
      </c>
      <c r="S2898" t="s">
        <v>1074</v>
      </c>
      <c r="T2898" t="s">
        <v>1074</v>
      </c>
      <c r="U2898">
        <v>30</v>
      </c>
      <c r="V2898" s="1">
        <v>41821</v>
      </c>
      <c r="W2898" s="1">
        <v>41821</v>
      </c>
      <c r="X2898" s="1">
        <v>41821</v>
      </c>
      <c r="Y2898" s="1">
        <v>52779</v>
      </c>
      <c r="Z2898" t="s">
        <v>51</v>
      </c>
      <c r="AB2898" t="s">
        <v>54</v>
      </c>
      <c r="AC2898">
        <v>1</v>
      </c>
      <c r="AE2898" t="s">
        <v>243</v>
      </c>
      <c r="AF2898">
        <v>20</v>
      </c>
      <c r="AG2898" s="1">
        <v>41821</v>
      </c>
      <c r="AH2898" s="1">
        <v>41821</v>
      </c>
      <c r="AI2898" s="1">
        <v>41821</v>
      </c>
      <c r="AJ2898" s="1">
        <v>49126</v>
      </c>
      <c r="AK2898" t="s">
        <v>51</v>
      </c>
      <c r="AN2898">
        <v>0</v>
      </c>
      <c r="AO2898" t="s">
        <v>54</v>
      </c>
      <c r="AP2898" t="s">
        <v>53</v>
      </c>
      <c r="AQ2898">
        <v>0</v>
      </c>
      <c r="AR2898" t="s">
        <v>53</v>
      </c>
      <c r="AS2898">
        <v>0</v>
      </c>
      <c r="AT2898">
        <v>0</v>
      </c>
      <c r="CC2898" t="s">
        <v>250</v>
      </c>
      <c r="CD2898">
        <v>100000</v>
      </c>
      <c r="CE2898" s="1">
        <v>41821</v>
      </c>
      <c r="CF2898" s="1">
        <v>41821</v>
      </c>
      <c r="CG2898" s="1">
        <v>41821</v>
      </c>
      <c r="CH2898" s="1">
        <v>50770</v>
      </c>
      <c r="CI2898" t="s">
        <v>51</v>
      </c>
      <c r="CK2898" t="s">
        <v>78</v>
      </c>
      <c r="CM2898" t="s">
        <v>54</v>
      </c>
      <c r="CN2898" t="s">
        <v>174</v>
      </c>
      <c r="CR2898">
        <v>13.2</v>
      </c>
      <c r="CS2898">
        <v>1800</v>
      </c>
      <c r="CT2898">
        <v>0</v>
      </c>
      <c r="CU2898">
        <v>16</v>
      </c>
    </row>
    <row r="2899" spans="1:112" x14ac:dyDescent="0.2">
      <c r="A2899" t="s">
        <v>1012</v>
      </c>
      <c r="B2899" t="s">
        <v>1013</v>
      </c>
      <c r="C2899" t="s">
        <v>1019</v>
      </c>
      <c r="D2899" t="s">
        <v>1139</v>
      </c>
      <c r="F2899" t="str">
        <f>"253649"</f>
        <v>253649</v>
      </c>
      <c r="G2899" t="s">
        <v>49</v>
      </c>
      <c r="K2899" t="s">
        <v>51</v>
      </c>
      <c r="L2899" t="s">
        <v>52</v>
      </c>
      <c r="M2899">
        <v>131721.60500000001</v>
      </c>
      <c r="N2899">
        <v>474199.88199999998</v>
      </c>
      <c r="O2899" t="s">
        <v>53</v>
      </c>
      <c r="P2899" t="s">
        <v>54</v>
      </c>
      <c r="Q2899" t="s">
        <v>55</v>
      </c>
      <c r="S2899" t="s">
        <v>1074</v>
      </c>
      <c r="T2899" t="s">
        <v>1074</v>
      </c>
      <c r="U2899">
        <v>30</v>
      </c>
      <c r="V2899" s="1">
        <v>41821</v>
      </c>
      <c r="W2899" s="1">
        <v>41821</v>
      </c>
      <c r="X2899" s="1">
        <v>41821</v>
      </c>
      <c r="Y2899" s="1">
        <v>52779</v>
      </c>
      <c r="Z2899" t="s">
        <v>51</v>
      </c>
      <c r="AB2899" t="s">
        <v>54</v>
      </c>
      <c r="AC2899">
        <v>1</v>
      </c>
      <c r="AE2899" t="s">
        <v>243</v>
      </c>
      <c r="AF2899">
        <v>20</v>
      </c>
      <c r="AG2899" s="1">
        <v>41821</v>
      </c>
      <c r="AH2899" s="1">
        <v>41821</v>
      </c>
      <c r="AI2899" s="1">
        <v>41821</v>
      </c>
      <c r="AJ2899" s="1">
        <v>49126</v>
      </c>
      <c r="AK2899" t="s">
        <v>51</v>
      </c>
      <c r="AN2899">
        <v>0</v>
      </c>
      <c r="AO2899" t="s">
        <v>54</v>
      </c>
      <c r="AP2899" t="s">
        <v>53</v>
      </c>
      <c r="AQ2899">
        <v>0</v>
      </c>
      <c r="AR2899" t="s">
        <v>53</v>
      </c>
      <c r="AS2899">
        <v>0</v>
      </c>
      <c r="AT2899">
        <v>0</v>
      </c>
      <c r="CC2899" t="s">
        <v>250</v>
      </c>
      <c r="CD2899">
        <v>100000</v>
      </c>
      <c r="CE2899" s="1">
        <v>41821</v>
      </c>
      <c r="CF2899" s="1">
        <v>41821</v>
      </c>
      <c r="CG2899" s="1">
        <v>41821</v>
      </c>
      <c r="CH2899" s="1">
        <v>50293</v>
      </c>
      <c r="CI2899" t="s">
        <v>51</v>
      </c>
      <c r="CK2899" t="s">
        <v>78</v>
      </c>
      <c r="CM2899" t="s">
        <v>54</v>
      </c>
      <c r="CN2899" t="s">
        <v>174</v>
      </c>
      <c r="CR2899">
        <v>13.2</v>
      </c>
      <c r="CS2899">
        <v>1800</v>
      </c>
      <c r="CT2899">
        <v>0</v>
      </c>
      <c r="CU2899">
        <v>16</v>
      </c>
    </row>
    <row r="2900" spans="1:112" x14ac:dyDescent="0.2">
      <c r="A2900" t="s">
        <v>1012</v>
      </c>
      <c r="B2900" t="s">
        <v>1013</v>
      </c>
      <c r="C2900" t="s">
        <v>1019</v>
      </c>
      <c r="D2900" t="s">
        <v>1139</v>
      </c>
      <c r="F2900" t="str">
        <f>"253650"</f>
        <v>253650</v>
      </c>
      <c r="G2900" t="s">
        <v>49</v>
      </c>
      <c r="H2900">
        <v>12</v>
      </c>
      <c r="K2900" t="s">
        <v>51</v>
      </c>
      <c r="L2900" t="s">
        <v>52</v>
      </c>
      <c r="M2900">
        <v>131737.45300000001</v>
      </c>
      <c r="N2900">
        <v>474182.375</v>
      </c>
      <c r="O2900" t="s">
        <v>53</v>
      </c>
      <c r="P2900" t="s">
        <v>54</v>
      </c>
      <c r="Q2900" t="s">
        <v>55</v>
      </c>
      <c r="S2900" t="s">
        <v>1074</v>
      </c>
      <c r="T2900" t="s">
        <v>1074</v>
      </c>
      <c r="U2900">
        <v>30</v>
      </c>
      <c r="V2900" s="1">
        <v>41821</v>
      </c>
      <c r="W2900" s="1">
        <v>41821</v>
      </c>
      <c r="X2900" s="1">
        <v>41821</v>
      </c>
      <c r="Y2900" s="1">
        <v>52779</v>
      </c>
      <c r="Z2900" t="s">
        <v>51</v>
      </c>
      <c r="AB2900" t="s">
        <v>54</v>
      </c>
      <c r="AC2900">
        <v>1</v>
      </c>
      <c r="AE2900" t="s">
        <v>243</v>
      </c>
      <c r="AF2900">
        <v>20</v>
      </c>
      <c r="AG2900" s="1">
        <v>41821</v>
      </c>
      <c r="AH2900" s="1">
        <v>41821</v>
      </c>
      <c r="AI2900" s="1">
        <v>41821</v>
      </c>
      <c r="AJ2900" s="1">
        <v>49126</v>
      </c>
      <c r="AK2900" t="s">
        <v>51</v>
      </c>
      <c r="AN2900">
        <v>0</v>
      </c>
      <c r="AO2900" t="s">
        <v>54</v>
      </c>
      <c r="AP2900" t="s">
        <v>53</v>
      </c>
      <c r="AQ2900">
        <v>0</v>
      </c>
      <c r="AR2900" t="s">
        <v>53</v>
      </c>
      <c r="AS2900">
        <v>0</v>
      </c>
      <c r="AT2900">
        <v>0</v>
      </c>
      <c r="CC2900" t="s">
        <v>250</v>
      </c>
      <c r="CD2900">
        <v>100000</v>
      </c>
      <c r="CE2900" s="1">
        <v>41821</v>
      </c>
      <c r="CF2900" s="1">
        <v>41821</v>
      </c>
      <c r="CG2900" s="1">
        <v>41821</v>
      </c>
      <c r="CH2900" s="1">
        <v>50293</v>
      </c>
      <c r="CI2900" t="s">
        <v>51</v>
      </c>
      <c r="CK2900" t="s">
        <v>78</v>
      </c>
      <c r="CM2900" t="s">
        <v>54</v>
      </c>
      <c r="CN2900" t="s">
        <v>174</v>
      </c>
      <c r="CR2900">
        <v>13.2</v>
      </c>
      <c r="CS2900">
        <v>1800</v>
      </c>
      <c r="CT2900">
        <v>0</v>
      </c>
      <c r="CU2900">
        <v>16</v>
      </c>
    </row>
    <row r="2901" spans="1:112" x14ac:dyDescent="0.2">
      <c r="A2901" t="s">
        <v>1012</v>
      </c>
      <c r="B2901" t="s">
        <v>1013</v>
      </c>
      <c r="C2901" t="s">
        <v>1019</v>
      </c>
      <c r="D2901" t="s">
        <v>1139</v>
      </c>
      <c r="F2901" t="str">
        <f>"253651"</f>
        <v>253651</v>
      </c>
      <c r="G2901" t="s">
        <v>49</v>
      </c>
      <c r="H2901">
        <v>14</v>
      </c>
      <c r="K2901" t="s">
        <v>51</v>
      </c>
      <c r="L2901" t="s">
        <v>52</v>
      </c>
      <c r="M2901">
        <v>131755.68</v>
      </c>
      <c r="N2901">
        <v>474168.14</v>
      </c>
      <c r="O2901" t="s">
        <v>53</v>
      </c>
      <c r="P2901" t="s">
        <v>54</v>
      </c>
      <c r="Q2901" t="s">
        <v>55</v>
      </c>
      <c r="S2901" t="s">
        <v>1074</v>
      </c>
      <c r="T2901" t="s">
        <v>1074</v>
      </c>
      <c r="U2901">
        <v>30</v>
      </c>
      <c r="V2901" s="1">
        <v>41821</v>
      </c>
      <c r="W2901" s="1">
        <v>41821</v>
      </c>
      <c r="X2901" s="1">
        <v>41821</v>
      </c>
      <c r="Y2901" s="1">
        <v>52779</v>
      </c>
      <c r="Z2901" t="s">
        <v>51</v>
      </c>
      <c r="AB2901" t="s">
        <v>54</v>
      </c>
      <c r="AC2901">
        <v>1</v>
      </c>
      <c r="AE2901" t="s">
        <v>243</v>
      </c>
      <c r="AF2901">
        <v>20</v>
      </c>
      <c r="AG2901" s="1">
        <v>41821</v>
      </c>
      <c r="AH2901" s="1">
        <v>41821</v>
      </c>
      <c r="AI2901" s="1">
        <v>41821</v>
      </c>
      <c r="AJ2901" s="1">
        <v>49126</v>
      </c>
      <c r="AK2901" t="s">
        <v>51</v>
      </c>
      <c r="AN2901">
        <v>0</v>
      </c>
      <c r="AO2901" t="s">
        <v>54</v>
      </c>
      <c r="AP2901" t="s">
        <v>53</v>
      </c>
      <c r="AQ2901">
        <v>0</v>
      </c>
      <c r="AR2901" t="s">
        <v>53</v>
      </c>
      <c r="AS2901">
        <v>0</v>
      </c>
      <c r="AT2901">
        <v>0</v>
      </c>
      <c r="CC2901" t="s">
        <v>250</v>
      </c>
      <c r="CD2901">
        <v>100000</v>
      </c>
      <c r="CE2901" s="1">
        <v>41821</v>
      </c>
      <c r="CF2901" s="1">
        <v>41821</v>
      </c>
      <c r="CG2901" s="1">
        <v>41821</v>
      </c>
      <c r="CH2901" s="1">
        <v>50293</v>
      </c>
      <c r="CI2901" t="s">
        <v>51</v>
      </c>
      <c r="CK2901" t="s">
        <v>78</v>
      </c>
      <c r="CM2901" t="s">
        <v>54</v>
      </c>
      <c r="CN2901" t="s">
        <v>174</v>
      </c>
      <c r="CR2901">
        <v>13.2</v>
      </c>
      <c r="CS2901">
        <v>1800</v>
      </c>
      <c r="CT2901">
        <v>0</v>
      </c>
      <c r="CU2901">
        <v>16</v>
      </c>
    </row>
    <row r="2902" spans="1:112" x14ac:dyDescent="0.2">
      <c r="A2902" t="s">
        <v>1012</v>
      </c>
      <c r="B2902" t="s">
        <v>1013</v>
      </c>
      <c r="C2902" t="s">
        <v>1019</v>
      </c>
      <c r="D2902" t="s">
        <v>1171</v>
      </c>
      <c r="F2902" t="str">
        <f>"253652"</f>
        <v>253652</v>
      </c>
      <c r="G2902" t="s">
        <v>49</v>
      </c>
      <c r="H2902">
        <v>13</v>
      </c>
      <c r="K2902" t="s">
        <v>51</v>
      </c>
      <c r="L2902" t="s">
        <v>52</v>
      </c>
      <c r="M2902">
        <v>131729.76999999999</v>
      </c>
      <c r="N2902">
        <v>474147.66</v>
      </c>
      <c r="O2902" t="s">
        <v>53</v>
      </c>
      <c r="P2902" t="s">
        <v>54</v>
      </c>
      <c r="Q2902" t="s">
        <v>55</v>
      </c>
      <c r="S2902" t="s">
        <v>1074</v>
      </c>
      <c r="T2902" t="s">
        <v>1074</v>
      </c>
      <c r="U2902">
        <v>30</v>
      </c>
      <c r="V2902" s="1">
        <v>41821</v>
      </c>
      <c r="W2902" s="1">
        <v>41821</v>
      </c>
      <c r="X2902" s="1">
        <v>41821</v>
      </c>
      <c r="Y2902" s="1">
        <v>52779</v>
      </c>
      <c r="Z2902" t="s">
        <v>51</v>
      </c>
      <c r="AB2902" t="s">
        <v>54</v>
      </c>
      <c r="AC2902">
        <v>1</v>
      </c>
      <c r="AE2902" t="s">
        <v>243</v>
      </c>
      <c r="AF2902">
        <v>20</v>
      </c>
      <c r="AG2902" s="1">
        <v>41821</v>
      </c>
      <c r="AH2902" s="1">
        <v>41821</v>
      </c>
      <c r="AI2902" s="1">
        <v>41821</v>
      </c>
      <c r="AJ2902" s="1">
        <v>49126</v>
      </c>
      <c r="AK2902" t="s">
        <v>51</v>
      </c>
      <c r="AN2902">
        <v>0</v>
      </c>
      <c r="AO2902" t="s">
        <v>54</v>
      </c>
      <c r="AP2902" t="s">
        <v>53</v>
      </c>
      <c r="AQ2902">
        <v>0</v>
      </c>
      <c r="AR2902" t="s">
        <v>53</v>
      </c>
      <c r="AS2902">
        <v>0</v>
      </c>
      <c r="AT2902">
        <v>0</v>
      </c>
      <c r="CC2902" t="s">
        <v>250</v>
      </c>
      <c r="CD2902">
        <v>100000</v>
      </c>
      <c r="CE2902" s="1">
        <v>41821</v>
      </c>
      <c r="CF2902" s="1">
        <v>41821</v>
      </c>
      <c r="CG2902" s="1">
        <v>41821</v>
      </c>
      <c r="CH2902" s="1">
        <v>50293</v>
      </c>
      <c r="CI2902" t="s">
        <v>51</v>
      </c>
      <c r="CK2902" t="s">
        <v>78</v>
      </c>
      <c r="CM2902" t="s">
        <v>54</v>
      </c>
      <c r="CN2902" t="s">
        <v>174</v>
      </c>
      <c r="CR2902">
        <v>13.2</v>
      </c>
      <c r="CS2902">
        <v>1800</v>
      </c>
      <c r="CT2902">
        <v>0</v>
      </c>
      <c r="CU2902">
        <v>16</v>
      </c>
    </row>
    <row r="2903" spans="1:112" x14ac:dyDescent="0.2">
      <c r="A2903" t="s">
        <v>1012</v>
      </c>
      <c r="B2903" t="s">
        <v>1013</v>
      </c>
      <c r="C2903" t="s">
        <v>1019</v>
      </c>
      <c r="D2903" t="s">
        <v>1171</v>
      </c>
      <c r="F2903" t="str">
        <f>"253653"</f>
        <v>253653</v>
      </c>
      <c r="G2903" t="s">
        <v>49</v>
      </c>
      <c r="H2903">
        <v>6</v>
      </c>
      <c r="K2903" t="s">
        <v>51</v>
      </c>
      <c r="L2903" t="s">
        <v>52</v>
      </c>
      <c r="M2903">
        <v>131708.93599999999</v>
      </c>
      <c r="N2903">
        <v>474125.74300000002</v>
      </c>
      <c r="O2903" t="s">
        <v>53</v>
      </c>
      <c r="P2903" t="s">
        <v>54</v>
      </c>
      <c r="Q2903" t="s">
        <v>55</v>
      </c>
      <c r="S2903" t="s">
        <v>1074</v>
      </c>
      <c r="T2903" t="s">
        <v>1074</v>
      </c>
      <c r="U2903">
        <v>30</v>
      </c>
      <c r="V2903" s="1">
        <v>41821</v>
      </c>
      <c r="W2903" s="1">
        <v>41821</v>
      </c>
      <c r="X2903" s="1">
        <v>41821</v>
      </c>
      <c r="Y2903" s="1">
        <v>52779</v>
      </c>
      <c r="Z2903" t="s">
        <v>51</v>
      </c>
      <c r="AB2903" t="s">
        <v>54</v>
      </c>
      <c r="AC2903">
        <v>1</v>
      </c>
      <c r="AE2903" t="s">
        <v>243</v>
      </c>
      <c r="AF2903">
        <v>20</v>
      </c>
      <c r="AG2903" s="1">
        <v>41821</v>
      </c>
      <c r="AH2903" s="1">
        <v>41821</v>
      </c>
      <c r="AI2903" s="1">
        <v>41821</v>
      </c>
      <c r="AJ2903" s="1">
        <v>49126</v>
      </c>
      <c r="AK2903" t="s">
        <v>51</v>
      </c>
      <c r="AN2903">
        <v>0</v>
      </c>
      <c r="AO2903" t="s">
        <v>54</v>
      </c>
      <c r="AP2903" t="s">
        <v>53</v>
      </c>
      <c r="AQ2903">
        <v>0</v>
      </c>
      <c r="AR2903" t="s">
        <v>53</v>
      </c>
      <c r="AS2903">
        <v>0</v>
      </c>
      <c r="AT2903">
        <v>0</v>
      </c>
      <c r="CC2903" t="s">
        <v>250</v>
      </c>
      <c r="CD2903">
        <v>100000</v>
      </c>
      <c r="CE2903" s="1">
        <v>44886</v>
      </c>
      <c r="CF2903" s="1">
        <v>44886</v>
      </c>
      <c r="CG2903" s="1">
        <v>44886</v>
      </c>
      <c r="CH2903" s="1">
        <v>53324</v>
      </c>
      <c r="CI2903" t="s">
        <v>51</v>
      </c>
      <c r="CK2903" t="s">
        <v>78</v>
      </c>
      <c r="CM2903" t="s">
        <v>54</v>
      </c>
      <c r="CN2903" t="s">
        <v>174</v>
      </c>
      <c r="CR2903">
        <v>13.2</v>
      </c>
      <c r="CS2903">
        <v>1800</v>
      </c>
      <c r="CT2903">
        <v>0</v>
      </c>
      <c r="CU2903">
        <v>16</v>
      </c>
    </row>
    <row r="2904" spans="1:112" x14ac:dyDescent="0.2">
      <c r="A2904" t="s">
        <v>1012</v>
      </c>
      <c r="B2904" t="s">
        <v>1013</v>
      </c>
      <c r="C2904" t="s">
        <v>1019</v>
      </c>
      <c r="D2904" t="s">
        <v>1139</v>
      </c>
      <c r="F2904" t="str">
        <f>"253654"</f>
        <v>253654</v>
      </c>
      <c r="G2904" t="s">
        <v>49</v>
      </c>
      <c r="H2904">
        <v>16</v>
      </c>
      <c r="K2904" t="s">
        <v>51</v>
      </c>
      <c r="L2904" t="s">
        <v>52</v>
      </c>
      <c r="M2904">
        <v>131770.10999999999</v>
      </c>
      <c r="N2904">
        <v>474145.09</v>
      </c>
      <c r="O2904" t="s">
        <v>53</v>
      </c>
      <c r="P2904" t="s">
        <v>54</v>
      </c>
      <c r="Q2904" t="s">
        <v>55</v>
      </c>
      <c r="S2904" t="s">
        <v>1074</v>
      </c>
      <c r="T2904" t="s">
        <v>1074</v>
      </c>
      <c r="U2904">
        <v>30</v>
      </c>
      <c r="V2904" s="1">
        <v>41821</v>
      </c>
      <c r="W2904" s="1">
        <v>41821</v>
      </c>
      <c r="X2904" s="1">
        <v>41821</v>
      </c>
      <c r="Y2904" s="1">
        <v>52779</v>
      </c>
      <c r="Z2904" t="s">
        <v>51</v>
      </c>
      <c r="AB2904" t="s">
        <v>54</v>
      </c>
      <c r="AC2904">
        <v>1</v>
      </c>
      <c r="AE2904" t="s">
        <v>243</v>
      </c>
      <c r="AF2904">
        <v>20</v>
      </c>
      <c r="AG2904" s="1">
        <v>41821</v>
      </c>
      <c r="AH2904" s="1">
        <v>41821</v>
      </c>
      <c r="AI2904" s="1">
        <v>41821</v>
      </c>
      <c r="AJ2904" s="1">
        <v>49126</v>
      </c>
      <c r="AK2904" t="s">
        <v>51</v>
      </c>
      <c r="AN2904">
        <v>0</v>
      </c>
      <c r="AO2904" t="s">
        <v>54</v>
      </c>
      <c r="AP2904" t="s">
        <v>53</v>
      </c>
      <c r="AQ2904">
        <v>0</v>
      </c>
      <c r="AR2904" t="s">
        <v>53</v>
      </c>
      <c r="AS2904">
        <v>0</v>
      </c>
      <c r="AT2904">
        <v>0</v>
      </c>
      <c r="CC2904" t="s">
        <v>250</v>
      </c>
      <c r="CD2904">
        <v>100000</v>
      </c>
      <c r="CE2904" s="1">
        <v>41821</v>
      </c>
      <c r="CF2904" s="1">
        <v>41821</v>
      </c>
      <c r="CG2904" s="1">
        <v>41821</v>
      </c>
      <c r="CH2904" s="1">
        <v>50293</v>
      </c>
      <c r="CI2904" t="s">
        <v>51</v>
      </c>
      <c r="CK2904" t="s">
        <v>78</v>
      </c>
      <c r="CM2904" t="s">
        <v>54</v>
      </c>
      <c r="CN2904" t="s">
        <v>174</v>
      </c>
      <c r="CR2904">
        <v>13.2</v>
      </c>
      <c r="CS2904">
        <v>1800</v>
      </c>
      <c r="CT2904">
        <v>0</v>
      </c>
      <c r="CU2904">
        <v>16</v>
      </c>
    </row>
    <row r="2905" spans="1:112" x14ac:dyDescent="0.2">
      <c r="A2905" t="s">
        <v>1012</v>
      </c>
      <c r="B2905" t="s">
        <v>1013</v>
      </c>
      <c r="C2905" t="s">
        <v>1019</v>
      </c>
      <c r="D2905" t="s">
        <v>1139</v>
      </c>
      <c r="F2905" t="str">
        <f>"253655"</f>
        <v>253655</v>
      </c>
      <c r="G2905" t="s">
        <v>49</v>
      </c>
      <c r="H2905">
        <v>22</v>
      </c>
      <c r="K2905" t="s">
        <v>51</v>
      </c>
      <c r="L2905" t="s">
        <v>52</v>
      </c>
      <c r="M2905">
        <v>131790.73000000001</v>
      </c>
      <c r="N2905">
        <v>474129.56</v>
      </c>
      <c r="O2905" t="s">
        <v>53</v>
      </c>
      <c r="P2905" t="s">
        <v>54</v>
      </c>
      <c r="Q2905" t="s">
        <v>55</v>
      </c>
      <c r="S2905" t="s">
        <v>1074</v>
      </c>
      <c r="T2905" t="s">
        <v>1074</v>
      </c>
      <c r="U2905">
        <v>30</v>
      </c>
      <c r="V2905" s="1">
        <v>41821</v>
      </c>
      <c r="W2905" s="1">
        <v>41821</v>
      </c>
      <c r="X2905" s="1">
        <v>41821</v>
      </c>
      <c r="Y2905" s="1">
        <v>52779</v>
      </c>
      <c r="Z2905" t="s">
        <v>51</v>
      </c>
      <c r="AB2905" t="s">
        <v>54</v>
      </c>
      <c r="AC2905">
        <v>1</v>
      </c>
      <c r="AE2905" t="s">
        <v>243</v>
      </c>
      <c r="AF2905">
        <v>20</v>
      </c>
      <c r="AG2905" s="1">
        <v>41821</v>
      </c>
      <c r="AH2905" s="1">
        <v>41821</v>
      </c>
      <c r="AI2905" s="1">
        <v>41821</v>
      </c>
      <c r="AJ2905" s="1">
        <v>49126</v>
      </c>
      <c r="AK2905" t="s">
        <v>51</v>
      </c>
      <c r="AN2905">
        <v>0</v>
      </c>
      <c r="AO2905" t="s">
        <v>54</v>
      </c>
      <c r="AP2905" t="s">
        <v>53</v>
      </c>
      <c r="AQ2905">
        <v>0</v>
      </c>
      <c r="AR2905" t="s">
        <v>53</v>
      </c>
      <c r="AS2905">
        <v>0</v>
      </c>
      <c r="AT2905">
        <v>0</v>
      </c>
      <c r="CC2905" t="s">
        <v>250</v>
      </c>
      <c r="CD2905">
        <v>100000</v>
      </c>
      <c r="CE2905" s="1">
        <v>41821</v>
      </c>
      <c r="CF2905" s="1">
        <v>41821</v>
      </c>
      <c r="CG2905" s="1">
        <v>41821</v>
      </c>
      <c r="CH2905" s="1">
        <v>50293</v>
      </c>
      <c r="CI2905" t="s">
        <v>51</v>
      </c>
      <c r="CK2905" t="s">
        <v>78</v>
      </c>
      <c r="CM2905" t="s">
        <v>54</v>
      </c>
      <c r="CN2905" t="s">
        <v>174</v>
      </c>
      <c r="CR2905">
        <v>13.2</v>
      </c>
      <c r="CS2905">
        <v>1800</v>
      </c>
      <c r="CT2905">
        <v>0</v>
      </c>
      <c r="CU2905">
        <v>16</v>
      </c>
    </row>
    <row r="2906" spans="1:112" x14ac:dyDescent="0.2">
      <c r="A2906" t="s">
        <v>1012</v>
      </c>
      <c r="B2906" t="s">
        <v>1013</v>
      </c>
      <c r="C2906" t="s">
        <v>1019</v>
      </c>
      <c r="D2906" t="s">
        <v>1172</v>
      </c>
      <c r="F2906" t="str">
        <f>"253656"</f>
        <v>253656</v>
      </c>
      <c r="G2906" t="s">
        <v>49</v>
      </c>
      <c r="H2906">
        <v>13</v>
      </c>
      <c r="K2906" t="s">
        <v>51</v>
      </c>
      <c r="L2906" t="s">
        <v>52</v>
      </c>
      <c r="M2906">
        <v>131758.486</v>
      </c>
      <c r="N2906">
        <v>474107.636</v>
      </c>
      <c r="O2906" t="s">
        <v>53</v>
      </c>
      <c r="P2906" t="s">
        <v>54</v>
      </c>
      <c r="Q2906" t="s">
        <v>55</v>
      </c>
      <c r="S2906" t="s">
        <v>1074</v>
      </c>
      <c r="T2906" t="s">
        <v>1074</v>
      </c>
      <c r="U2906">
        <v>30</v>
      </c>
      <c r="V2906" s="1">
        <v>41821</v>
      </c>
      <c r="W2906" s="1">
        <v>41821</v>
      </c>
      <c r="X2906" s="1">
        <v>41821</v>
      </c>
      <c r="Y2906" s="1">
        <v>52779</v>
      </c>
      <c r="Z2906" t="s">
        <v>51</v>
      </c>
      <c r="AB2906" t="s">
        <v>54</v>
      </c>
      <c r="AC2906">
        <v>1</v>
      </c>
      <c r="AE2906" t="s">
        <v>243</v>
      </c>
      <c r="AF2906">
        <v>20</v>
      </c>
      <c r="AG2906" s="1">
        <v>41821</v>
      </c>
      <c r="AH2906" s="1">
        <v>41821</v>
      </c>
      <c r="AI2906" s="1">
        <v>41821</v>
      </c>
      <c r="AJ2906" s="1">
        <v>49126</v>
      </c>
      <c r="AK2906" t="s">
        <v>51</v>
      </c>
      <c r="AN2906">
        <v>0</v>
      </c>
      <c r="AO2906" t="s">
        <v>54</v>
      </c>
      <c r="AP2906" t="s">
        <v>53</v>
      </c>
      <c r="AQ2906">
        <v>0</v>
      </c>
      <c r="AR2906" t="s">
        <v>53</v>
      </c>
      <c r="AS2906">
        <v>0</v>
      </c>
      <c r="AT2906">
        <v>0</v>
      </c>
      <c r="CC2906" t="s">
        <v>250</v>
      </c>
      <c r="CD2906">
        <v>100000</v>
      </c>
      <c r="CE2906" s="1">
        <v>41821</v>
      </c>
      <c r="CF2906" s="1">
        <v>41821</v>
      </c>
      <c r="CG2906" s="1">
        <v>41821</v>
      </c>
      <c r="CH2906" s="1">
        <v>50293</v>
      </c>
      <c r="CI2906" t="s">
        <v>51</v>
      </c>
      <c r="CK2906" t="s">
        <v>78</v>
      </c>
      <c r="CM2906" t="s">
        <v>54</v>
      </c>
      <c r="CN2906" t="s">
        <v>174</v>
      </c>
      <c r="CR2906">
        <v>13.2</v>
      </c>
      <c r="CS2906">
        <v>1800</v>
      </c>
      <c r="CT2906">
        <v>0</v>
      </c>
      <c r="CU2906">
        <v>16</v>
      </c>
    </row>
    <row r="2907" spans="1:112" x14ac:dyDescent="0.2">
      <c r="A2907" t="s">
        <v>1012</v>
      </c>
      <c r="B2907" t="s">
        <v>1013</v>
      </c>
      <c r="C2907" t="s">
        <v>1019</v>
      </c>
      <c r="D2907" t="s">
        <v>1172</v>
      </c>
      <c r="F2907" t="str">
        <f>"253657"</f>
        <v>253657</v>
      </c>
      <c r="G2907" t="s">
        <v>49</v>
      </c>
      <c r="H2907">
        <v>6</v>
      </c>
      <c r="K2907" t="s">
        <v>51</v>
      </c>
      <c r="L2907" t="s">
        <v>52</v>
      </c>
      <c r="M2907">
        <v>131738.641</v>
      </c>
      <c r="N2907">
        <v>474087.315</v>
      </c>
      <c r="O2907" t="s">
        <v>53</v>
      </c>
      <c r="P2907" t="s">
        <v>54</v>
      </c>
      <c r="Q2907" t="s">
        <v>55</v>
      </c>
      <c r="S2907" t="s">
        <v>1074</v>
      </c>
      <c r="T2907" t="s">
        <v>1074</v>
      </c>
      <c r="U2907">
        <v>30</v>
      </c>
      <c r="V2907" s="1">
        <v>41821</v>
      </c>
      <c r="W2907" s="1">
        <v>41821</v>
      </c>
      <c r="X2907" s="1">
        <v>41821</v>
      </c>
      <c r="Y2907" s="1">
        <v>52779</v>
      </c>
      <c r="Z2907" t="s">
        <v>51</v>
      </c>
      <c r="AB2907" t="s">
        <v>54</v>
      </c>
      <c r="AC2907">
        <v>1</v>
      </c>
      <c r="AE2907" t="s">
        <v>243</v>
      </c>
      <c r="AF2907">
        <v>20</v>
      </c>
      <c r="AG2907" s="1">
        <v>41821</v>
      </c>
      <c r="AH2907" s="1">
        <v>41821</v>
      </c>
      <c r="AI2907" s="1">
        <v>41821</v>
      </c>
      <c r="AJ2907" s="1">
        <v>49126</v>
      </c>
      <c r="AK2907" t="s">
        <v>51</v>
      </c>
      <c r="AN2907">
        <v>0</v>
      </c>
      <c r="AO2907" t="s">
        <v>54</v>
      </c>
      <c r="AP2907" t="s">
        <v>53</v>
      </c>
      <c r="AQ2907">
        <v>0</v>
      </c>
      <c r="AR2907" t="s">
        <v>53</v>
      </c>
      <c r="AS2907">
        <v>0</v>
      </c>
      <c r="AT2907">
        <v>0</v>
      </c>
      <c r="CC2907" t="s">
        <v>250</v>
      </c>
      <c r="CD2907">
        <v>100000</v>
      </c>
      <c r="CE2907" s="1">
        <v>41821</v>
      </c>
      <c r="CF2907" s="1">
        <v>41821</v>
      </c>
      <c r="CG2907" s="1">
        <v>41821</v>
      </c>
      <c r="CH2907" s="1">
        <v>50293</v>
      </c>
      <c r="CI2907" t="s">
        <v>51</v>
      </c>
      <c r="CK2907" t="s">
        <v>78</v>
      </c>
      <c r="CM2907" t="s">
        <v>54</v>
      </c>
      <c r="CN2907" t="s">
        <v>174</v>
      </c>
      <c r="CR2907">
        <v>13.2</v>
      </c>
      <c r="CS2907">
        <v>1800</v>
      </c>
      <c r="CT2907">
        <v>0</v>
      </c>
      <c r="CU2907">
        <v>16</v>
      </c>
    </row>
    <row r="2908" spans="1:112" x14ac:dyDescent="0.2">
      <c r="A2908" t="s">
        <v>1012</v>
      </c>
      <c r="B2908" t="s">
        <v>1013</v>
      </c>
      <c r="C2908" t="s">
        <v>1052</v>
      </c>
      <c r="D2908" t="s">
        <v>1170</v>
      </c>
      <c r="F2908" t="str">
        <f>"253658"</f>
        <v>253658</v>
      </c>
      <c r="G2908" t="s">
        <v>49</v>
      </c>
      <c r="H2908">
        <v>18</v>
      </c>
      <c r="K2908" t="s">
        <v>51</v>
      </c>
      <c r="L2908" t="s">
        <v>52</v>
      </c>
      <c r="M2908">
        <v>131821.54999999999</v>
      </c>
      <c r="N2908">
        <v>474090.75</v>
      </c>
      <c r="O2908" t="s">
        <v>53</v>
      </c>
      <c r="P2908" t="s">
        <v>54</v>
      </c>
      <c r="Q2908" t="s">
        <v>55</v>
      </c>
      <c r="S2908" t="s">
        <v>989</v>
      </c>
      <c r="T2908" t="s">
        <v>989</v>
      </c>
      <c r="U2908">
        <v>30</v>
      </c>
      <c r="V2908" s="1">
        <v>41821</v>
      </c>
      <c r="W2908" s="1">
        <v>41821</v>
      </c>
      <c r="X2908" s="1">
        <v>41821</v>
      </c>
      <c r="Y2908" s="1">
        <v>52779</v>
      </c>
      <c r="Z2908" t="s">
        <v>51</v>
      </c>
      <c r="AB2908" t="s">
        <v>54</v>
      </c>
      <c r="AC2908">
        <v>1</v>
      </c>
      <c r="AE2908" t="s">
        <v>171</v>
      </c>
      <c r="AF2908">
        <v>20</v>
      </c>
      <c r="AG2908" s="1">
        <v>41821</v>
      </c>
      <c r="AH2908" s="1">
        <v>41821</v>
      </c>
      <c r="AI2908" s="1">
        <v>41821</v>
      </c>
      <c r="AJ2908" s="1">
        <v>49126</v>
      </c>
      <c r="AK2908" t="s">
        <v>51</v>
      </c>
      <c r="AN2908">
        <v>0</v>
      </c>
      <c r="AO2908" t="s">
        <v>54</v>
      </c>
      <c r="AP2908" t="s">
        <v>53</v>
      </c>
      <c r="AQ2908">
        <v>0</v>
      </c>
      <c r="AR2908" t="s">
        <v>53</v>
      </c>
      <c r="AS2908">
        <v>0</v>
      </c>
      <c r="AT2908">
        <v>0</v>
      </c>
      <c r="CC2908" t="s">
        <v>173</v>
      </c>
      <c r="CD2908">
        <v>100000</v>
      </c>
      <c r="CE2908" s="1">
        <v>41821</v>
      </c>
      <c r="CF2908" s="1">
        <v>41821</v>
      </c>
      <c r="CG2908" s="1">
        <v>41821</v>
      </c>
      <c r="CH2908" s="1">
        <v>50293</v>
      </c>
      <c r="CI2908" t="s">
        <v>51</v>
      </c>
      <c r="CK2908" t="s">
        <v>78</v>
      </c>
      <c r="CM2908" t="s">
        <v>54</v>
      </c>
      <c r="CN2908" t="s">
        <v>174</v>
      </c>
      <c r="CO2908" t="s">
        <v>86</v>
      </c>
      <c r="CP2908">
        <v>830</v>
      </c>
      <c r="CR2908">
        <v>19</v>
      </c>
      <c r="CS2908">
        <v>1800</v>
      </c>
      <c r="CT2908">
        <v>0</v>
      </c>
      <c r="CU2908">
        <v>16</v>
      </c>
    </row>
    <row r="2909" spans="1:112" x14ac:dyDescent="0.2">
      <c r="A2909" t="s">
        <v>1012</v>
      </c>
      <c r="B2909" t="s">
        <v>1013</v>
      </c>
      <c r="C2909" t="s">
        <v>1019</v>
      </c>
      <c r="D2909" t="s">
        <v>1170</v>
      </c>
      <c r="F2909" t="str">
        <f>"253659"</f>
        <v>253659</v>
      </c>
      <c r="G2909" t="s">
        <v>49</v>
      </c>
      <c r="H2909">
        <v>10</v>
      </c>
      <c r="K2909" t="s">
        <v>51</v>
      </c>
      <c r="L2909" t="s">
        <v>52</v>
      </c>
      <c r="M2909">
        <v>131799.29999999999</v>
      </c>
      <c r="N2909">
        <v>474064.72</v>
      </c>
      <c r="O2909" t="s">
        <v>53</v>
      </c>
      <c r="P2909" t="s">
        <v>54</v>
      </c>
      <c r="Q2909" t="s">
        <v>55</v>
      </c>
      <c r="S2909" t="s">
        <v>989</v>
      </c>
      <c r="T2909" t="s">
        <v>989</v>
      </c>
      <c r="U2909">
        <v>30</v>
      </c>
      <c r="V2909" s="1">
        <v>41821</v>
      </c>
      <c r="W2909" s="1">
        <v>41821</v>
      </c>
      <c r="X2909" s="1">
        <v>41821</v>
      </c>
      <c r="Y2909" s="1">
        <v>52779</v>
      </c>
      <c r="Z2909" t="s">
        <v>51</v>
      </c>
      <c r="AB2909" t="s">
        <v>54</v>
      </c>
      <c r="AC2909">
        <v>1</v>
      </c>
      <c r="AE2909" t="s">
        <v>171</v>
      </c>
      <c r="AF2909">
        <v>20</v>
      </c>
      <c r="AG2909" s="1">
        <v>41821</v>
      </c>
      <c r="AH2909" s="1">
        <v>41821</v>
      </c>
      <c r="AI2909" s="1">
        <v>41821</v>
      </c>
      <c r="AJ2909" s="1">
        <v>49126</v>
      </c>
      <c r="AK2909" t="s">
        <v>51</v>
      </c>
      <c r="AN2909">
        <v>0</v>
      </c>
      <c r="AO2909" t="s">
        <v>54</v>
      </c>
      <c r="AP2909" t="s">
        <v>53</v>
      </c>
      <c r="AQ2909">
        <v>0</v>
      </c>
      <c r="AR2909" t="s">
        <v>53</v>
      </c>
      <c r="AS2909">
        <v>0</v>
      </c>
      <c r="AT2909">
        <v>0</v>
      </c>
      <c r="CC2909" t="s">
        <v>173</v>
      </c>
      <c r="CD2909">
        <v>100000</v>
      </c>
      <c r="CE2909" s="1">
        <v>41821</v>
      </c>
      <c r="CF2909" s="1">
        <v>41821</v>
      </c>
      <c r="CG2909" s="1">
        <v>41821</v>
      </c>
      <c r="CH2909" s="1">
        <v>50293</v>
      </c>
      <c r="CI2909" t="s">
        <v>51</v>
      </c>
      <c r="CK2909" t="s">
        <v>78</v>
      </c>
      <c r="CM2909" t="s">
        <v>54</v>
      </c>
      <c r="CN2909" t="s">
        <v>174</v>
      </c>
      <c r="CO2909" t="s">
        <v>86</v>
      </c>
      <c r="CP2909">
        <v>830</v>
      </c>
      <c r="CR2909">
        <v>19</v>
      </c>
      <c r="CS2909">
        <v>1800</v>
      </c>
      <c r="CT2909">
        <v>0</v>
      </c>
      <c r="CU2909">
        <v>16</v>
      </c>
    </row>
    <row r="2910" spans="1:112" x14ac:dyDescent="0.2">
      <c r="A2910" t="s">
        <v>1012</v>
      </c>
      <c r="B2910" t="s">
        <v>1013</v>
      </c>
      <c r="C2910" t="s">
        <v>1019</v>
      </c>
      <c r="D2910" t="s">
        <v>1170</v>
      </c>
      <c r="F2910" t="str">
        <f>"253660"</f>
        <v>253660</v>
      </c>
      <c r="G2910" t="s">
        <v>49</v>
      </c>
      <c r="H2910">
        <v>9</v>
      </c>
      <c r="K2910" t="s">
        <v>51</v>
      </c>
      <c r="L2910" t="s">
        <v>52</v>
      </c>
      <c r="M2910">
        <v>131775.44</v>
      </c>
      <c r="N2910">
        <v>474056.78</v>
      </c>
      <c r="O2910" t="s">
        <v>53</v>
      </c>
      <c r="P2910" t="s">
        <v>54</v>
      </c>
      <c r="Q2910" t="s">
        <v>55</v>
      </c>
      <c r="S2910" t="s">
        <v>989</v>
      </c>
      <c r="T2910" t="s">
        <v>989</v>
      </c>
      <c r="U2910">
        <v>30</v>
      </c>
      <c r="V2910" s="1">
        <v>41821</v>
      </c>
      <c r="W2910" s="1">
        <v>41821</v>
      </c>
      <c r="X2910" s="1">
        <v>41821</v>
      </c>
      <c r="Y2910" s="1">
        <v>52779</v>
      </c>
      <c r="Z2910" t="s">
        <v>51</v>
      </c>
      <c r="AB2910" t="s">
        <v>54</v>
      </c>
      <c r="AC2910">
        <v>1</v>
      </c>
      <c r="AE2910" t="s">
        <v>171</v>
      </c>
      <c r="AF2910">
        <v>20</v>
      </c>
      <c r="AG2910" s="1">
        <v>41821</v>
      </c>
      <c r="AH2910" s="1">
        <v>41821</v>
      </c>
      <c r="AI2910" s="1">
        <v>41821</v>
      </c>
      <c r="AJ2910" s="1">
        <v>49126</v>
      </c>
      <c r="AK2910" t="s">
        <v>51</v>
      </c>
      <c r="AN2910">
        <v>0</v>
      </c>
      <c r="AO2910" t="s">
        <v>54</v>
      </c>
      <c r="AP2910" t="s">
        <v>53</v>
      </c>
      <c r="AQ2910">
        <v>0</v>
      </c>
      <c r="AR2910" t="s">
        <v>53</v>
      </c>
      <c r="AS2910">
        <v>0</v>
      </c>
      <c r="AT2910">
        <v>0</v>
      </c>
      <c r="CC2910" t="s">
        <v>173</v>
      </c>
      <c r="CD2910">
        <v>100000</v>
      </c>
      <c r="CE2910" s="1">
        <v>43367</v>
      </c>
      <c r="CF2910" s="1">
        <v>43367</v>
      </c>
      <c r="CG2910" s="1">
        <v>43367</v>
      </c>
      <c r="CH2910" s="1">
        <v>51813</v>
      </c>
      <c r="CI2910" t="s">
        <v>51</v>
      </c>
      <c r="CK2910" t="s">
        <v>78</v>
      </c>
      <c r="CM2910" t="s">
        <v>54</v>
      </c>
      <c r="CN2910" t="s">
        <v>174</v>
      </c>
      <c r="CO2910" t="s">
        <v>86</v>
      </c>
      <c r="CP2910">
        <v>830</v>
      </c>
      <c r="CR2910">
        <v>19</v>
      </c>
      <c r="CS2910">
        <v>1800</v>
      </c>
      <c r="CT2910">
        <v>0</v>
      </c>
      <c r="CU2910">
        <v>16</v>
      </c>
    </row>
    <row r="2911" spans="1:112" x14ac:dyDescent="0.2">
      <c r="A2911" t="s">
        <v>1012</v>
      </c>
      <c r="B2911" t="s">
        <v>1013</v>
      </c>
      <c r="C2911" t="s">
        <v>1052</v>
      </c>
      <c r="D2911" t="s">
        <v>1173</v>
      </c>
      <c r="F2911" t="str">
        <f>"253661"</f>
        <v>253661</v>
      </c>
      <c r="G2911" t="s">
        <v>49</v>
      </c>
      <c r="K2911" t="s">
        <v>51</v>
      </c>
      <c r="L2911" t="s">
        <v>52</v>
      </c>
      <c r="M2911">
        <v>131901.50599999999</v>
      </c>
      <c r="N2911">
        <v>474915.83</v>
      </c>
      <c r="O2911" t="s">
        <v>53</v>
      </c>
      <c r="P2911" t="s">
        <v>54</v>
      </c>
      <c r="Q2911" t="s">
        <v>55</v>
      </c>
      <c r="T2911" t="s">
        <v>681</v>
      </c>
      <c r="U2911">
        <v>40</v>
      </c>
      <c r="V2911" s="1">
        <v>41821</v>
      </c>
      <c r="W2911" s="1">
        <v>41821</v>
      </c>
      <c r="X2911" s="1">
        <v>41821</v>
      </c>
      <c r="Y2911" s="1">
        <v>56431</v>
      </c>
      <c r="Z2911" t="s">
        <v>51</v>
      </c>
      <c r="AB2911" t="s">
        <v>54</v>
      </c>
      <c r="AE2911" t="s">
        <v>1174</v>
      </c>
      <c r="AF2911">
        <v>20</v>
      </c>
      <c r="AG2911" s="1">
        <v>42095</v>
      </c>
      <c r="AH2911" s="1">
        <v>42095</v>
      </c>
      <c r="AI2911" s="1">
        <v>42095</v>
      </c>
      <c r="AJ2911" s="1">
        <v>49400</v>
      </c>
      <c r="AK2911" t="s">
        <v>51</v>
      </c>
      <c r="AN2911">
        <v>0</v>
      </c>
      <c r="AO2911" t="s">
        <v>54</v>
      </c>
      <c r="AP2911" t="s">
        <v>53</v>
      </c>
      <c r="AQ2911">
        <v>0</v>
      </c>
      <c r="AR2911" t="s">
        <v>53</v>
      </c>
      <c r="AS2911">
        <v>0</v>
      </c>
      <c r="AT2911">
        <v>0</v>
      </c>
      <c r="AW2911" t="s">
        <v>172</v>
      </c>
      <c r="AX2911">
        <v>15</v>
      </c>
      <c r="AY2911" s="1">
        <v>42095</v>
      </c>
      <c r="AZ2911" s="1">
        <v>42095</v>
      </c>
      <c r="BA2911" s="1">
        <v>42095</v>
      </c>
      <c r="BB2911" s="1">
        <v>47574</v>
      </c>
      <c r="BC2911" t="s">
        <v>51</v>
      </c>
      <c r="BE2911" t="s">
        <v>54</v>
      </c>
      <c r="BF2911">
        <v>40</v>
      </c>
      <c r="BG2911">
        <v>0</v>
      </c>
      <c r="BH2911" t="s">
        <v>145</v>
      </c>
      <c r="CC2911" t="s">
        <v>1175</v>
      </c>
      <c r="CD2911">
        <v>100000</v>
      </c>
      <c r="CE2911" s="1">
        <v>42095</v>
      </c>
      <c r="CF2911" s="1">
        <v>42095</v>
      </c>
      <c r="CG2911" s="1">
        <v>42095</v>
      </c>
      <c r="CH2911" s="1">
        <v>50568</v>
      </c>
      <c r="CI2911" t="s">
        <v>51</v>
      </c>
      <c r="CK2911" t="s">
        <v>78</v>
      </c>
      <c r="CM2911" t="s">
        <v>54</v>
      </c>
      <c r="CN2911" t="s">
        <v>174</v>
      </c>
      <c r="CR2911">
        <v>0</v>
      </c>
      <c r="CS2911">
        <v>0</v>
      </c>
      <c r="CT2911">
        <v>0</v>
      </c>
      <c r="CU2911">
        <v>28</v>
      </c>
      <c r="CX2911" t="s">
        <v>360</v>
      </c>
      <c r="CY2911">
        <v>40</v>
      </c>
      <c r="CZ2911" s="1">
        <v>42095</v>
      </c>
      <c r="DA2911" s="1">
        <v>42095</v>
      </c>
      <c r="DB2911" s="1">
        <v>42095</v>
      </c>
      <c r="DC2911" s="1">
        <v>56705</v>
      </c>
      <c r="DD2911" t="s">
        <v>51</v>
      </c>
      <c r="DF2911" t="s">
        <v>54</v>
      </c>
      <c r="DG2911">
        <v>0</v>
      </c>
      <c r="DH2911">
        <v>0</v>
      </c>
    </row>
    <row r="2912" spans="1:112" x14ac:dyDescent="0.2">
      <c r="A2912" t="s">
        <v>1012</v>
      </c>
      <c r="B2912" t="s">
        <v>1013</v>
      </c>
      <c r="C2912" t="s">
        <v>1052</v>
      </c>
      <c r="D2912" t="s">
        <v>1173</v>
      </c>
      <c r="F2912" t="str">
        <f>"253662"</f>
        <v>253662</v>
      </c>
      <c r="G2912" t="s">
        <v>49</v>
      </c>
      <c r="K2912" t="s">
        <v>51</v>
      </c>
      <c r="L2912" t="s">
        <v>52</v>
      </c>
      <c r="M2912">
        <v>131905.97200000001</v>
      </c>
      <c r="N2912">
        <v>474934.55699999997</v>
      </c>
      <c r="O2912" t="s">
        <v>53</v>
      </c>
      <c r="P2912" t="s">
        <v>54</v>
      </c>
      <c r="Q2912" t="s">
        <v>55</v>
      </c>
      <c r="T2912" t="s">
        <v>681</v>
      </c>
      <c r="U2912">
        <v>40</v>
      </c>
      <c r="V2912" s="1">
        <v>41821</v>
      </c>
      <c r="W2912" s="1">
        <v>41821</v>
      </c>
      <c r="X2912" s="1">
        <v>41821</v>
      </c>
      <c r="Y2912" s="1">
        <v>56431</v>
      </c>
      <c r="Z2912" t="s">
        <v>51</v>
      </c>
      <c r="AB2912" t="s">
        <v>54</v>
      </c>
      <c r="AE2912" t="s">
        <v>1174</v>
      </c>
      <c r="AF2912">
        <v>20</v>
      </c>
      <c r="AG2912" s="1">
        <v>42095</v>
      </c>
      <c r="AH2912" s="1">
        <v>42095</v>
      </c>
      <c r="AI2912" s="1">
        <v>42095</v>
      </c>
      <c r="AJ2912" s="1">
        <v>49400</v>
      </c>
      <c r="AK2912" t="s">
        <v>51</v>
      </c>
      <c r="AN2912">
        <v>0</v>
      </c>
      <c r="AO2912" t="s">
        <v>54</v>
      </c>
      <c r="AP2912" t="s">
        <v>53</v>
      </c>
      <c r="AQ2912">
        <v>0</v>
      </c>
      <c r="AR2912" t="s">
        <v>53</v>
      </c>
      <c r="AS2912">
        <v>0</v>
      </c>
      <c r="AT2912">
        <v>0</v>
      </c>
      <c r="AW2912" t="s">
        <v>172</v>
      </c>
      <c r="AX2912">
        <v>15</v>
      </c>
      <c r="AY2912" s="1">
        <v>42095</v>
      </c>
      <c r="AZ2912" s="1">
        <v>42095</v>
      </c>
      <c r="BA2912" s="1">
        <v>42095</v>
      </c>
      <c r="BB2912" s="1">
        <v>47574</v>
      </c>
      <c r="BC2912" t="s">
        <v>51</v>
      </c>
      <c r="BE2912" t="s">
        <v>54</v>
      </c>
      <c r="BF2912">
        <v>40</v>
      </c>
      <c r="BG2912">
        <v>0</v>
      </c>
      <c r="BH2912" t="s">
        <v>145</v>
      </c>
      <c r="CC2912" t="s">
        <v>1175</v>
      </c>
      <c r="CD2912">
        <v>100000</v>
      </c>
      <c r="CE2912" s="1">
        <v>42095</v>
      </c>
      <c r="CF2912" s="1">
        <v>42095</v>
      </c>
      <c r="CG2912" s="1">
        <v>42095</v>
      </c>
      <c r="CH2912" s="1">
        <v>50568</v>
      </c>
      <c r="CI2912" t="s">
        <v>51</v>
      </c>
      <c r="CK2912" t="s">
        <v>78</v>
      </c>
      <c r="CM2912" t="s">
        <v>54</v>
      </c>
      <c r="CN2912" t="s">
        <v>174</v>
      </c>
      <c r="CR2912">
        <v>0</v>
      </c>
      <c r="CS2912">
        <v>0</v>
      </c>
      <c r="CT2912">
        <v>0</v>
      </c>
      <c r="CU2912">
        <v>28</v>
      </c>
      <c r="CX2912" t="s">
        <v>360</v>
      </c>
      <c r="CY2912">
        <v>40</v>
      </c>
      <c r="CZ2912" s="1">
        <v>42095</v>
      </c>
      <c r="DA2912" s="1">
        <v>42095</v>
      </c>
      <c r="DB2912" s="1">
        <v>42095</v>
      </c>
      <c r="DC2912" s="1">
        <v>56705</v>
      </c>
      <c r="DD2912" t="s">
        <v>51</v>
      </c>
      <c r="DF2912" t="s">
        <v>54</v>
      </c>
      <c r="DG2912">
        <v>0</v>
      </c>
      <c r="DH2912">
        <v>0</v>
      </c>
    </row>
    <row r="2913" spans="1:112" x14ac:dyDescent="0.2">
      <c r="A2913" t="s">
        <v>1012</v>
      </c>
      <c r="B2913" t="s">
        <v>1013</v>
      </c>
      <c r="C2913" t="s">
        <v>1052</v>
      </c>
      <c r="D2913" t="s">
        <v>1173</v>
      </c>
      <c r="F2913" t="str">
        <f>"253663"</f>
        <v>253663</v>
      </c>
      <c r="G2913" t="s">
        <v>49</v>
      </c>
      <c r="K2913" t="s">
        <v>51</v>
      </c>
      <c r="L2913" t="s">
        <v>52</v>
      </c>
      <c r="M2913">
        <v>131932.87899999999</v>
      </c>
      <c r="N2913">
        <v>474947.39199999999</v>
      </c>
      <c r="O2913" t="s">
        <v>53</v>
      </c>
      <c r="P2913" t="s">
        <v>54</v>
      </c>
      <c r="Q2913" t="s">
        <v>55</v>
      </c>
      <c r="T2913" t="s">
        <v>681</v>
      </c>
      <c r="U2913">
        <v>40</v>
      </c>
      <c r="V2913" s="1">
        <v>41821</v>
      </c>
      <c r="W2913" s="1">
        <v>41821</v>
      </c>
      <c r="X2913" s="1">
        <v>41821</v>
      </c>
      <c r="Y2913" s="1">
        <v>56431</v>
      </c>
      <c r="Z2913" t="s">
        <v>51</v>
      </c>
      <c r="AB2913" t="s">
        <v>54</v>
      </c>
      <c r="AE2913" t="s">
        <v>1174</v>
      </c>
      <c r="AF2913">
        <v>20</v>
      </c>
      <c r="AG2913" s="1">
        <v>42095</v>
      </c>
      <c r="AH2913" s="1">
        <v>42095</v>
      </c>
      <c r="AI2913" s="1">
        <v>42095</v>
      </c>
      <c r="AJ2913" s="1">
        <v>49400</v>
      </c>
      <c r="AK2913" t="s">
        <v>51</v>
      </c>
      <c r="AN2913">
        <v>0</v>
      </c>
      <c r="AO2913" t="s">
        <v>54</v>
      </c>
      <c r="AP2913" t="s">
        <v>53</v>
      </c>
      <c r="AQ2913">
        <v>0</v>
      </c>
      <c r="AR2913" t="s">
        <v>53</v>
      </c>
      <c r="AS2913">
        <v>0</v>
      </c>
      <c r="AT2913">
        <v>0</v>
      </c>
      <c r="AW2913" t="s">
        <v>172</v>
      </c>
      <c r="AX2913">
        <v>15</v>
      </c>
      <c r="AY2913" s="1">
        <v>42095</v>
      </c>
      <c r="AZ2913" s="1">
        <v>42095</v>
      </c>
      <c r="BA2913" s="1">
        <v>42095</v>
      </c>
      <c r="BB2913" s="1">
        <v>47574</v>
      </c>
      <c r="BC2913" t="s">
        <v>51</v>
      </c>
      <c r="BE2913" t="s">
        <v>54</v>
      </c>
      <c r="BF2913">
        <v>40</v>
      </c>
      <c r="BG2913">
        <v>0</v>
      </c>
      <c r="BH2913" t="s">
        <v>145</v>
      </c>
      <c r="CC2913" t="s">
        <v>1175</v>
      </c>
      <c r="CD2913">
        <v>100000</v>
      </c>
      <c r="CE2913" s="1">
        <v>42095</v>
      </c>
      <c r="CF2913" s="1">
        <v>42095</v>
      </c>
      <c r="CG2913" s="1">
        <v>42095</v>
      </c>
      <c r="CH2913" s="1">
        <v>50568</v>
      </c>
      <c r="CI2913" t="s">
        <v>51</v>
      </c>
      <c r="CK2913" t="s">
        <v>78</v>
      </c>
      <c r="CM2913" t="s">
        <v>54</v>
      </c>
      <c r="CN2913" t="s">
        <v>174</v>
      </c>
      <c r="CR2913">
        <v>0</v>
      </c>
      <c r="CS2913">
        <v>0</v>
      </c>
      <c r="CT2913">
        <v>0</v>
      </c>
      <c r="CU2913">
        <v>28</v>
      </c>
      <c r="CX2913" t="s">
        <v>360</v>
      </c>
      <c r="CY2913">
        <v>40</v>
      </c>
      <c r="CZ2913" s="1">
        <v>42095</v>
      </c>
      <c r="DA2913" s="1">
        <v>42095</v>
      </c>
      <c r="DB2913" s="1">
        <v>42095</v>
      </c>
      <c r="DC2913" s="1">
        <v>56705</v>
      </c>
      <c r="DD2913" t="s">
        <v>51</v>
      </c>
      <c r="DF2913" t="s">
        <v>54</v>
      </c>
      <c r="DG2913">
        <v>0</v>
      </c>
      <c r="DH2913">
        <v>0</v>
      </c>
    </row>
    <row r="2914" spans="1:112" x14ac:dyDescent="0.2">
      <c r="A2914" t="s">
        <v>1012</v>
      </c>
      <c r="B2914" t="s">
        <v>1013</v>
      </c>
      <c r="C2914" t="s">
        <v>1052</v>
      </c>
      <c r="D2914" t="s">
        <v>1173</v>
      </c>
      <c r="F2914" t="str">
        <f>"253664"</f>
        <v>253664</v>
      </c>
      <c r="G2914" t="s">
        <v>49</v>
      </c>
      <c r="K2914" t="s">
        <v>51</v>
      </c>
      <c r="L2914" t="s">
        <v>52</v>
      </c>
      <c r="M2914">
        <v>131957.913</v>
      </c>
      <c r="N2914">
        <v>474961.69699999999</v>
      </c>
      <c r="O2914" t="s">
        <v>53</v>
      </c>
      <c r="P2914" t="s">
        <v>54</v>
      </c>
      <c r="Q2914" t="s">
        <v>55</v>
      </c>
      <c r="T2914" t="s">
        <v>681</v>
      </c>
      <c r="U2914">
        <v>40</v>
      </c>
      <c r="V2914" s="1">
        <v>41821</v>
      </c>
      <c r="W2914" s="1">
        <v>41821</v>
      </c>
      <c r="X2914" s="1">
        <v>41821</v>
      </c>
      <c r="Y2914" s="1">
        <v>56431</v>
      </c>
      <c r="Z2914" t="s">
        <v>51</v>
      </c>
      <c r="AB2914" t="s">
        <v>54</v>
      </c>
      <c r="AE2914" t="s">
        <v>1174</v>
      </c>
      <c r="AF2914">
        <v>20</v>
      </c>
      <c r="AG2914" s="1">
        <v>42095</v>
      </c>
      <c r="AH2914" s="1">
        <v>42095</v>
      </c>
      <c r="AI2914" s="1">
        <v>42095</v>
      </c>
      <c r="AJ2914" s="1">
        <v>49400</v>
      </c>
      <c r="AK2914" t="s">
        <v>51</v>
      </c>
      <c r="AN2914">
        <v>0</v>
      </c>
      <c r="AO2914" t="s">
        <v>54</v>
      </c>
      <c r="AP2914" t="s">
        <v>53</v>
      </c>
      <c r="AQ2914">
        <v>0</v>
      </c>
      <c r="AR2914" t="s">
        <v>53</v>
      </c>
      <c r="AS2914">
        <v>0</v>
      </c>
      <c r="AT2914">
        <v>0</v>
      </c>
      <c r="AW2914" t="s">
        <v>172</v>
      </c>
      <c r="AX2914">
        <v>15</v>
      </c>
      <c r="AY2914" s="1">
        <v>42095</v>
      </c>
      <c r="AZ2914" s="1">
        <v>42095</v>
      </c>
      <c r="BA2914" s="1">
        <v>42095</v>
      </c>
      <c r="BB2914" s="1">
        <v>47574</v>
      </c>
      <c r="BC2914" t="s">
        <v>51</v>
      </c>
      <c r="BE2914" t="s">
        <v>54</v>
      </c>
      <c r="BF2914">
        <v>40</v>
      </c>
      <c r="BG2914">
        <v>0</v>
      </c>
      <c r="BH2914" t="s">
        <v>145</v>
      </c>
      <c r="CC2914" t="s">
        <v>1175</v>
      </c>
      <c r="CD2914">
        <v>100000</v>
      </c>
      <c r="CE2914" s="1">
        <v>42095</v>
      </c>
      <c r="CF2914" s="1">
        <v>42095</v>
      </c>
      <c r="CG2914" s="1">
        <v>42095</v>
      </c>
      <c r="CH2914" s="1">
        <v>50568</v>
      </c>
      <c r="CI2914" t="s">
        <v>51</v>
      </c>
      <c r="CK2914" t="s">
        <v>78</v>
      </c>
      <c r="CM2914" t="s">
        <v>54</v>
      </c>
      <c r="CN2914" t="s">
        <v>174</v>
      </c>
      <c r="CR2914">
        <v>0</v>
      </c>
      <c r="CS2914">
        <v>0</v>
      </c>
      <c r="CT2914">
        <v>0</v>
      </c>
      <c r="CU2914">
        <v>28</v>
      </c>
      <c r="CX2914" t="s">
        <v>360</v>
      </c>
      <c r="CY2914">
        <v>40</v>
      </c>
      <c r="CZ2914" s="1">
        <v>42095</v>
      </c>
      <c r="DA2914" s="1">
        <v>42095</v>
      </c>
      <c r="DB2914" s="1">
        <v>42095</v>
      </c>
      <c r="DC2914" s="1">
        <v>56705</v>
      </c>
      <c r="DD2914" t="s">
        <v>51</v>
      </c>
      <c r="DF2914" t="s">
        <v>54</v>
      </c>
      <c r="DG2914">
        <v>0</v>
      </c>
      <c r="DH2914">
        <v>0</v>
      </c>
    </row>
    <row r="2915" spans="1:112" x14ac:dyDescent="0.2">
      <c r="A2915" t="s">
        <v>1012</v>
      </c>
      <c r="B2915" t="s">
        <v>1013</v>
      </c>
      <c r="C2915" t="s">
        <v>1052</v>
      </c>
      <c r="D2915" t="s">
        <v>1173</v>
      </c>
      <c r="F2915" t="str">
        <f>"253665"</f>
        <v>253665</v>
      </c>
      <c r="G2915" t="s">
        <v>49</v>
      </c>
      <c r="K2915" t="s">
        <v>51</v>
      </c>
      <c r="L2915" t="s">
        <v>52</v>
      </c>
      <c r="M2915">
        <v>131978.361</v>
      </c>
      <c r="N2915">
        <v>474969.571</v>
      </c>
      <c r="O2915" t="s">
        <v>53</v>
      </c>
      <c r="P2915" t="s">
        <v>54</v>
      </c>
      <c r="Q2915" t="s">
        <v>55</v>
      </c>
      <c r="T2915" t="s">
        <v>681</v>
      </c>
      <c r="U2915">
        <v>40</v>
      </c>
      <c r="V2915" s="1">
        <v>41821</v>
      </c>
      <c r="W2915" s="1">
        <v>41821</v>
      </c>
      <c r="X2915" s="1">
        <v>41821</v>
      </c>
      <c r="Y2915" s="1">
        <v>56431</v>
      </c>
      <c r="Z2915" t="s">
        <v>51</v>
      </c>
      <c r="AB2915" t="s">
        <v>54</v>
      </c>
      <c r="AE2915" t="s">
        <v>1174</v>
      </c>
      <c r="AF2915">
        <v>20</v>
      </c>
      <c r="AG2915" s="1">
        <v>42095</v>
      </c>
      <c r="AH2915" s="1">
        <v>42095</v>
      </c>
      <c r="AI2915" s="1">
        <v>42095</v>
      </c>
      <c r="AJ2915" s="1">
        <v>49400</v>
      </c>
      <c r="AK2915" t="s">
        <v>51</v>
      </c>
      <c r="AN2915">
        <v>0</v>
      </c>
      <c r="AO2915" t="s">
        <v>54</v>
      </c>
      <c r="AP2915" t="s">
        <v>53</v>
      </c>
      <c r="AQ2915">
        <v>0</v>
      </c>
      <c r="AR2915" t="s">
        <v>53</v>
      </c>
      <c r="AS2915">
        <v>0</v>
      </c>
      <c r="AT2915">
        <v>0</v>
      </c>
      <c r="AW2915" t="s">
        <v>172</v>
      </c>
      <c r="AX2915">
        <v>15</v>
      </c>
      <c r="AY2915" s="1">
        <v>42095</v>
      </c>
      <c r="AZ2915" s="1">
        <v>42095</v>
      </c>
      <c r="BA2915" s="1">
        <v>42095</v>
      </c>
      <c r="BB2915" s="1">
        <v>47574</v>
      </c>
      <c r="BC2915" t="s">
        <v>51</v>
      </c>
      <c r="BE2915" t="s">
        <v>54</v>
      </c>
      <c r="BF2915">
        <v>40</v>
      </c>
      <c r="BG2915">
        <v>0</v>
      </c>
      <c r="BH2915" t="s">
        <v>145</v>
      </c>
      <c r="CC2915" t="s">
        <v>1175</v>
      </c>
      <c r="CD2915">
        <v>100000</v>
      </c>
      <c r="CE2915" s="1">
        <v>42095</v>
      </c>
      <c r="CF2915" s="1">
        <v>42095</v>
      </c>
      <c r="CG2915" s="1">
        <v>42095</v>
      </c>
      <c r="CH2915" s="1">
        <v>50568</v>
      </c>
      <c r="CI2915" t="s">
        <v>51</v>
      </c>
      <c r="CK2915" t="s">
        <v>78</v>
      </c>
      <c r="CM2915" t="s">
        <v>54</v>
      </c>
      <c r="CN2915" t="s">
        <v>174</v>
      </c>
      <c r="CR2915">
        <v>0</v>
      </c>
      <c r="CS2915">
        <v>0</v>
      </c>
      <c r="CT2915">
        <v>0</v>
      </c>
      <c r="CU2915">
        <v>28</v>
      </c>
      <c r="CX2915" t="s">
        <v>360</v>
      </c>
      <c r="CY2915">
        <v>40</v>
      </c>
      <c r="CZ2915" s="1">
        <v>42095</v>
      </c>
      <c r="DA2915" s="1">
        <v>42095</v>
      </c>
      <c r="DB2915" s="1">
        <v>42095</v>
      </c>
      <c r="DC2915" s="1">
        <v>56705</v>
      </c>
      <c r="DD2915" t="s">
        <v>51</v>
      </c>
      <c r="DF2915" t="s">
        <v>54</v>
      </c>
      <c r="DG2915">
        <v>0</v>
      </c>
      <c r="DH2915">
        <v>0</v>
      </c>
    </row>
    <row r="2916" spans="1:112" x14ac:dyDescent="0.2">
      <c r="A2916" t="s">
        <v>1012</v>
      </c>
      <c r="B2916" t="s">
        <v>1013</v>
      </c>
      <c r="C2916" t="s">
        <v>1052</v>
      </c>
      <c r="D2916" t="s">
        <v>1173</v>
      </c>
      <c r="F2916" t="str">
        <f>"253666"</f>
        <v>253666</v>
      </c>
      <c r="G2916" t="s">
        <v>49</v>
      </c>
      <c r="K2916" t="s">
        <v>51</v>
      </c>
      <c r="L2916" t="s">
        <v>52</v>
      </c>
      <c r="M2916">
        <v>131999.356</v>
      </c>
      <c r="N2916">
        <v>474966.15500000003</v>
      </c>
      <c r="O2916" t="s">
        <v>53</v>
      </c>
      <c r="P2916" t="s">
        <v>54</v>
      </c>
      <c r="Q2916" t="s">
        <v>55</v>
      </c>
      <c r="T2916" t="s">
        <v>681</v>
      </c>
      <c r="U2916">
        <v>40</v>
      </c>
      <c r="V2916" s="1">
        <v>41821</v>
      </c>
      <c r="W2916" s="1">
        <v>41821</v>
      </c>
      <c r="X2916" s="1">
        <v>41821</v>
      </c>
      <c r="Y2916" s="1">
        <v>56431</v>
      </c>
      <c r="Z2916" t="s">
        <v>51</v>
      </c>
      <c r="AB2916" t="s">
        <v>54</v>
      </c>
      <c r="AE2916" t="s">
        <v>1174</v>
      </c>
      <c r="AF2916">
        <v>20</v>
      </c>
      <c r="AG2916" s="1">
        <v>42095</v>
      </c>
      <c r="AH2916" s="1">
        <v>42095</v>
      </c>
      <c r="AI2916" s="1">
        <v>42095</v>
      </c>
      <c r="AJ2916" s="1">
        <v>49400</v>
      </c>
      <c r="AK2916" t="s">
        <v>51</v>
      </c>
      <c r="AN2916">
        <v>0</v>
      </c>
      <c r="AO2916" t="s">
        <v>54</v>
      </c>
      <c r="AP2916" t="s">
        <v>53</v>
      </c>
      <c r="AQ2916">
        <v>0</v>
      </c>
      <c r="AR2916" t="s">
        <v>53</v>
      </c>
      <c r="AS2916">
        <v>0</v>
      </c>
      <c r="AT2916">
        <v>0</v>
      </c>
      <c r="AW2916" t="s">
        <v>172</v>
      </c>
      <c r="AX2916">
        <v>15</v>
      </c>
      <c r="AY2916" s="1">
        <v>42095</v>
      </c>
      <c r="AZ2916" s="1">
        <v>42095</v>
      </c>
      <c r="BA2916" s="1">
        <v>42095</v>
      </c>
      <c r="BB2916" s="1">
        <v>47574</v>
      </c>
      <c r="BC2916" t="s">
        <v>51</v>
      </c>
      <c r="BE2916" t="s">
        <v>54</v>
      </c>
      <c r="BF2916">
        <v>40</v>
      </c>
      <c r="BG2916">
        <v>0</v>
      </c>
      <c r="BH2916" t="s">
        <v>145</v>
      </c>
      <c r="CC2916" t="s">
        <v>1175</v>
      </c>
      <c r="CD2916">
        <v>100000</v>
      </c>
      <c r="CE2916" s="1">
        <v>42095</v>
      </c>
      <c r="CF2916" s="1">
        <v>42095</v>
      </c>
      <c r="CG2916" s="1">
        <v>42095</v>
      </c>
      <c r="CH2916" s="1">
        <v>50568</v>
      </c>
      <c r="CI2916" t="s">
        <v>51</v>
      </c>
      <c r="CK2916" t="s">
        <v>78</v>
      </c>
      <c r="CM2916" t="s">
        <v>54</v>
      </c>
      <c r="CN2916" t="s">
        <v>174</v>
      </c>
      <c r="CR2916">
        <v>0</v>
      </c>
      <c r="CS2916">
        <v>0</v>
      </c>
      <c r="CT2916">
        <v>0</v>
      </c>
      <c r="CU2916">
        <v>28</v>
      </c>
      <c r="CX2916" t="s">
        <v>360</v>
      </c>
      <c r="CY2916">
        <v>40</v>
      </c>
      <c r="CZ2916" s="1">
        <v>42095</v>
      </c>
      <c r="DA2916" s="1">
        <v>42095</v>
      </c>
      <c r="DB2916" s="1">
        <v>42095</v>
      </c>
      <c r="DC2916" s="1">
        <v>56705</v>
      </c>
      <c r="DD2916" t="s">
        <v>51</v>
      </c>
      <c r="DF2916" t="s">
        <v>54</v>
      </c>
      <c r="DG2916">
        <v>0</v>
      </c>
      <c r="DH2916">
        <v>0</v>
      </c>
    </row>
    <row r="2917" spans="1:112" x14ac:dyDescent="0.2">
      <c r="A2917" t="s">
        <v>1012</v>
      </c>
      <c r="B2917" t="s">
        <v>1013</v>
      </c>
      <c r="C2917" t="s">
        <v>1052</v>
      </c>
      <c r="D2917" t="s">
        <v>1173</v>
      </c>
      <c r="F2917" t="str">
        <f>"253667"</f>
        <v>253667</v>
      </c>
      <c r="G2917" t="s">
        <v>49</v>
      </c>
      <c r="K2917" t="s">
        <v>51</v>
      </c>
      <c r="L2917" t="s">
        <v>52</v>
      </c>
      <c r="M2917">
        <v>131995.90299999999</v>
      </c>
      <c r="N2917">
        <v>474941.473</v>
      </c>
      <c r="O2917" t="s">
        <v>53</v>
      </c>
      <c r="P2917" t="s">
        <v>54</v>
      </c>
      <c r="Q2917" t="s">
        <v>55</v>
      </c>
      <c r="T2917" t="s">
        <v>681</v>
      </c>
      <c r="U2917">
        <v>40</v>
      </c>
      <c r="V2917" s="1">
        <v>41821</v>
      </c>
      <c r="W2917" s="1">
        <v>41821</v>
      </c>
      <c r="X2917" s="1">
        <v>41821</v>
      </c>
      <c r="Y2917" s="1">
        <v>56431</v>
      </c>
      <c r="Z2917" t="s">
        <v>51</v>
      </c>
      <c r="AB2917" t="s">
        <v>54</v>
      </c>
      <c r="AE2917" t="s">
        <v>1174</v>
      </c>
      <c r="AF2917">
        <v>20</v>
      </c>
      <c r="AG2917" s="1">
        <v>44438</v>
      </c>
      <c r="AH2917" s="1">
        <v>44438</v>
      </c>
      <c r="AI2917" s="1">
        <v>44438</v>
      </c>
      <c r="AJ2917" s="1">
        <v>51743</v>
      </c>
      <c r="AK2917" t="s">
        <v>51</v>
      </c>
      <c r="AN2917">
        <v>0</v>
      </c>
      <c r="AO2917" t="s">
        <v>54</v>
      </c>
      <c r="AP2917" t="s">
        <v>53</v>
      </c>
      <c r="AQ2917">
        <v>0</v>
      </c>
      <c r="AR2917" t="s">
        <v>53</v>
      </c>
      <c r="AS2917">
        <v>0</v>
      </c>
      <c r="AT2917">
        <v>0</v>
      </c>
      <c r="AW2917" t="s">
        <v>172</v>
      </c>
      <c r="AX2917">
        <v>15</v>
      </c>
      <c r="AY2917" s="1">
        <v>42095</v>
      </c>
      <c r="AZ2917" s="1">
        <v>42095</v>
      </c>
      <c r="BA2917" s="1">
        <v>44438</v>
      </c>
      <c r="BB2917" s="1">
        <v>47574</v>
      </c>
      <c r="BC2917" t="s">
        <v>51</v>
      </c>
      <c r="BE2917" t="s">
        <v>54</v>
      </c>
      <c r="BF2917">
        <v>40</v>
      </c>
      <c r="BG2917">
        <v>0</v>
      </c>
      <c r="BH2917" t="s">
        <v>145</v>
      </c>
      <c r="CC2917" t="s">
        <v>1175</v>
      </c>
      <c r="CD2917">
        <v>100000</v>
      </c>
      <c r="CE2917" s="1">
        <v>42095</v>
      </c>
      <c r="CF2917" s="1">
        <v>42095</v>
      </c>
      <c r="CG2917" s="1">
        <v>44438</v>
      </c>
      <c r="CH2917" s="1">
        <v>50568</v>
      </c>
      <c r="CI2917" t="s">
        <v>51</v>
      </c>
      <c r="CK2917" t="s">
        <v>78</v>
      </c>
      <c r="CM2917" t="s">
        <v>54</v>
      </c>
      <c r="CN2917" t="s">
        <v>174</v>
      </c>
      <c r="CR2917">
        <v>0</v>
      </c>
      <c r="CS2917">
        <v>0</v>
      </c>
      <c r="CT2917">
        <v>0</v>
      </c>
      <c r="CU2917">
        <v>28</v>
      </c>
      <c r="CX2917" t="s">
        <v>360</v>
      </c>
      <c r="CY2917">
        <v>40</v>
      </c>
      <c r="CZ2917" s="1">
        <v>42095</v>
      </c>
      <c r="DA2917" s="1">
        <v>42095</v>
      </c>
      <c r="DB2917" s="1">
        <v>42095</v>
      </c>
      <c r="DC2917" s="1">
        <v>56705</v>
      </c>
      <c r="DD2917" t="s">
        <v>51</v>
      </c>
      <c r="DF2917" t="s">
        <v>54</v>
      </c>
      <c r="DG2917">
        <v>0</v>
      </c>
      <c r="DH2917">
        <v>0</v>
      </c>
    </row>
    <row r="2918" spans="1:112" x14ac:dyDescent="0.2">
      <c r="A2918" t="s">
        <v>1012</v>
      </c>
      <c r="B2918" t="s">
        <v>1013</v>
      </c>
      <c r="C2918" t="s">
        <v>1052</v>
      </c>
      <c r="D2918" t="s">
        <v>1173</v>
      </c>
      <c r="F2918" t="str">
        <f>"253668"</f>
        <v>253668</v>
      </c>
      <c r="G2918" t="s">
        <v>49</v>
      </c>
      <c r="K2918" t="s">
        <v>51</v>
      </c>
      <c r="L2918" t="s">
        <v>52</v>
      </c>
      <c r="M2918">
        <v>131983.617</v>
      </c>
      <c r="N2918">
        <v>474912.28200000001</v>
      </c>
      <c r="O2918" t="s">
        <v>53</v>
      </c>
      <c r="P2918" t="s">
        <v>54</v>
      </c>
      <c r="Q2918" t="s">
        <v>55</v>
      </c>
      <c r="T2918" t="s">
        <v>681</v>
      </c>
      <c r="U2918">
        <v>40</v>
      </c>
      <c r="V2918" s="1">
        <v>41821</v>
      </c>
      <c r="W2918" s="1">
        <v>41821</v>
      </c>
      <c r="X2918" s="1">
        <v>41821</v>
      </c>
      <c r="Y2918" s="1">
        <v>56431</v>
      </c>
      <c r="Z2918" t="s">
        <v>51</v>
      </c>
      <c r="AB2918" t="s">
        <v>54</v>
      </c>
      <c r="AE2918" t="s">
        <v>1174</v>
      </c>
      <c r="AF2918">
        <v>20</v>
      </c>
      <c r="AG2918" s="1">
        <v>42095</v>
      </c>
      <c r="AH2918" s="1">
        <v>42095</v>
      </c>
      <c r="AI2918" s="1">
        <v>42095</v>
      </c>
      <c r="AJ2918" s="1">
        <v>49400</v>
      </c>
      <c r="AK2918" t="s">
        <v>51</v>
      </c>
      <c r="AN2918">
        <v>0</v>
      </c>
      <c r="AO2918" t="s">
        <v>54</v>
      </c>
      <c r="AP2918" t="s">
        <v>53</v>
      </c>
      <c r="AQ2918">
        <v>0</v>
      </c>
      <c r="AR2918" t="s">
        <v>53</v>
      </c>
      <c r="AS2918">
        <v>0</v>
      </c>
      <c r="AT2918">
        <v>0</v>
      </c>
      <c r="AW2918" t="s">
        <v>172</v>
      </c>
      <c r="AX2918">
        <v>15</v>
      </c>
      <c r="AY2918" s="1">
        <v>42095</v>
      </c>
      <c r="AZ2918" s="1">
        <v>42095</v>
      </c>
      <c r="BA2918" s="1">
        <v>42095</v>
      </c>
      <c r="BB2918" s="1">
        <v>47574</v>
      </c>
      <c r="BC2918" t="s">
        <v>51</v>
      </c>
      <c r="BE2918" t="s">
        <v>54</v>
      </c>
      <c r="BF2918">
        <v>40</v>
      </c>
      <c r="BG2918">
        <v>0</v>
      </c>
      <c r="BH2918" t="s">
        <v>145</v>
      </c>
      <c r="CC2918" t="s">
        <v>1175</v>
      </c>
      <c r="CD2918">
        <v>100000</v>
      </c>
      <c r="CE2918" s="1">
        <v>42095</v>
      </c>
      <c r="CF2918" s="1">
        <v>42095</v>
      </c>
      <c r="CG2918" s="1">
        <v>42095</v>
      </c>
      <c r="CH2918" s="1">
        <v>50568</v>
      </c>
      <c r="CI2918" t="s">
        <v>51</v>
      </c>
      <c r="CK2918" t="s">
        <v>78</v>
      </c>
      <c r="CM2918" t="s">
        <v>54</v>
      </c>
      <c r="CN2918" t="s">
        <v>174</v>
      </c>
      <c r="CR2918">
        <v>0</v>
      </c>
      <c r="CS2918">
        <v>0</v>
      </c>
      <c r="CT2918">
        <v>0</v>
      </c>
      <c r="CU2918">
        <v>28</v>
      </c>
      <c r="CX2918" t="s">
        <v>360</v>
      </c>
      <c r="CY2918">
        <v>40</v>
      </c>
      <c r="CZ2918" s="1">
        <v>42095</v>
      </c>
      <c r="DA2918" s="1">
        <v>42095</v>
      </c>
      <c r="DB2918" s="1">
        <v>42095</v>
      </c>
      <c r="DC2918" s="1">
        <v>56705</v>
      </c>
      <c r="DD2918" t="s">
        <v>51</v>
      </c>
      <c r="DF2918" t="s">
        <v>54</v>
      </c>
      <c r="DG2918">
        <v>0</v>
      </c>
      <c r="DH2918">
        <v>0</v>
      </c>
    </row>
    <row r="2919" spans="1:112" x14ac:dyDescent="0.2">
      <c r="A2919" t="s">
        <v>1012</v>
      </c>
      <c r="B2919" t="s">
        <v>1013</v>
      </c>
      <c r="C2919" t="s">
        <v>1052</v>
      </c>
      <c r="D2919" t="s">
        <v>1173</v>
      </c>
      <c r="F2919" t="str">
        <f>"253669"</f>
        <v>253669</v>
      </c>
      <c r="G2919" t="s">
        <v>49</v>
      </c>
      <c r="K2919" t="s">
        <v>51</v>
      </c>
      <c r="L2919" t="s">
        <v>52</v>
      </c>
      <c r="M2919">
        <v>131956.296</v>
      </c>
      <c r="N2919">
        <v>474900.29300000001</v>
      </c>
      <c r="O2919" t="s">
        <v>53</v>
      </c>
      <c r="P2919" t="s">
        <v>54</v>
      </c>
      <c r="Q2919" t="s">
        <v>55</v>
      </c>
      <c r="T2919" t="s">
        <v>681</v>
      </c>
      <c r="U2919">
        <v>40</v>
      </c>
      <c r="V2919" s="1">
        <v>41821</v>
      </c>
      <c r="W2919" s="1">
        <v>41821</v>
      </c>
      <c r="X2919" s="1">
        <v>41821</v>
      </c>
      <c r="Y2919" s="1">
        <v>56431</v>
      </c>
      <c r="Z2919" t="s">
        <v>51</v>
      </c>
      <c r="AB2919" t="s">
        <v>54</v>
      </c>
      <c r="AE2919" t="s">
        <v>1174</v>
      </c>
      <c r="AF2919">
        <v>20</v>
      </c>
      <c r="AG2919" s="1">
        <v>42095</v>
      </c>
      <c r="AH2919" s="1">
        <v>42095</v>
      </c>
      <c r="AI2919" s="1">
        <v>42095</v>
      </c>
      <c r="AJ2919" s="1">
        <v>49400</v>
      </c>
      <c r="AK2919" t="s">
        <v>51</v>
      </c>
      <c r="AN2919">
        <v>0</v>
      </c>
      <c r="AO2919" t="s">
        <v>54</v>
      </c>
      <c r="AP2919" t="s">
        <v>53</v>
      </c>
      <c r="AQ2919">
        <v>0</v>
      </c>
      <c r="AR2919" t="s">
        <v>53</v>
      </c>
      <c r="AS2919">
        <v>0</v>
      </c>
      <c r="AT2919">
        <v>0</v>
      </c>
      <c r="AW2919" t="s">
        <v>172</v>
      </c>
      <c r="AX2919">
        <v>15</v>
      </c>
      <c r="AY2919" s="1">
        <v>42095</v>
      </c>
      <c r="AZ2919" s="1">
        <v>42095</v>
      </c>
      <c r="BA2919" s="1">
        <v>42095</v>
      </c>
      <c r="BB2919" s="1">
        <v>47574</v>
      </c>
      <c r="BC2919" t="s">
        <v>51</v>
      </c>
      <c r="BE2919" t="s">
        <v>54</v>
      </c>
      <c r="BF2919">
        <v>40</v>
      </c>
      <c r="BG2919">
        <v>0</v>
      </c>
      <c r="BH2919" t="s">
        <v>145</v>
      </c>
      <c r="CC2919" t="s">
        <v>1175</v>
      </c>
      <c r="CD2919">
        <v>100000</v>
      </c>
      <c r="CE2919" s="1">
        <v>42095</v>
      </c>
      <c r="CF2919" s="1">
        <v>42095</v>
      </c>
      <c r="CG2919" s="1">
        <v>42095</v>
      </c>
      <c r="CH2919" s="1">
        <v>50568</v>
      </c>
      <c r="CI2919" t="s">
        <v>51</v>
      </c>
      <c r="CK2919" t="s">
        <v>78</v>
      </c>
      <c r="CM2919" t="s">
        <v>54</v>
      </c>
      <c r="CN2919" t="s">
        <v>174</v>
      </c>
      <c r="CR2919">
        <v>0</v>
      </c>
      <c r="CS2919">
        <v>0</v>
      </c>
      <c r="CT2919">
        <v>0</v>
      </c>
      <c r="CU2919">
        <v>28</v>
      </c>
      <c r="CX2919" t="s">
        <v>360</v>
      </c>
      <c r="CY2919">
        <v>40</v>
      </c>
      <c r="CZ2919" s="1">
        <v>42095</v>
      </c>
      <c r="DA2919" s="1">
        <v>42095</v>
      </c>
      <c r="DB2919" s="1">
        <v>42095</v>
      </c>
      <c r="DC2919" s="1">
        <v>56705</v>
      </c>
      <c r="DD2919" t="s">
        <v>51</v>
      </c>
      <c r="DF2919" t="s">
        <v>54</v>
      </c>
      <c r="DG2919">
        <v>0</v>
      </c>
      <c r="DH2919">
        <v>0</v>
      </c>
    </row>
    <row r="2920" spans="1:112" x14ac:dyDescent="0.2">
      <c r="A2920" t="s">
        <v>1012</v>
      </c>
      <c r="B2920" t="s">
        <v>1013</v>
      </c>
      <c r="C2920" t="s">
        <v>1052</v>
      </c>
      <c r="D2920" t="s">
        <v>1173</v>
      </c>
      <c r="F2920" t="str">
        <f>"253670"</f>
        <v>253670</v>
      </c>
      <c r="G2920" t="s">
        <v>49</v>
      </c>
      <c r="K2920" t="s">
        <v>51</v>
      </c>
      <c r="L2920" t="s">
        <v>52</v>
      </c>
      <c r="M2920">
        <v>131923.109</v>
      </c>
      <c r="N2920">
        <v>474900.37300000002</v>
      </c>
      <c r="O2920" t="s">
        <v>53</v>
      </c>
      <c r="P2920" t="s">
        <v>54</v>
      </c>
      <c r="Q2920" t="s">
        <v>55</v>
      </c>
      <c r="T2920" t="s">
        <v>681</v>
      </c>
      <c r="U2920">
        <v>40</v>
      </c>
      <c r="V2920" s="1">
        <v>41821</v>
      </c>
      <c r="W2920" s="1">
        <v>41821</v>
      </c>
      <c r="X2920" s="1">
        <v>41821</v>
      </c>
      <c r="Y2920" s="1">
        <v>56431</v>
      </c>
      <c r="Z2920" t="s">
        <v>51</v>
      </c>
      <c r="AB2920" t="s">
        <v>54</v>
      </c>
      <c r="AE2920" t="s">
        <v>1174</v>
      </c>
      <c r="AF2920">
        <v>20</v>
      </c>
      <c r="AG2920" s="1">
        <v>42095</v>
      </c>
      <c r="AH2920" s="1">
        <v>42095</v>
      </c>
      <c r="AI2920" s="1">
        <v>42095</v>
      </c>
      <c r="AJ2920" s="1">
        <v>49400</v>
      </c>
      <c r="AK2920" t="s">
        <v>51</v>
      </c>
      <c r="AN2920">
        <v>0</v>
      </c>
      <c r="AO2920" t="s">
        <v>54</v>
      </c>
      <c r="AP2920" t="s">
        <v>53</v>
      </c>
      <c r="AQ2920">
        <v>0</v>
      </c>
      <c r="AR2920" t="s">
        <v>53</v>
      </c>
      <c r="AS2920">
        <v>0</v>
      </c>
      <c r="AT2920">
        <v>0</v>
      </c>
      <c r="AW2920" t="s">
        <v>172</v>
      </c>
      <c r="AX2920">
        <v>15</v>
      </c>
      <c r="AY2920" s="1">
        <v>42095</v>
      </c>
      <c r="AZ2920" s="1">
        <v>42095</v>
      </c>
      <c r="BA2920" s="1">
        <v>42095</v>
      </c>
      <c r="BB2920" s="1">
        <v>47574</v>
      </c>
      <c r="BC2920" t="s">
        <v>51</v>
      </c>
      <c r="BE2920" t="s">
        <v>54</v>
      </c>
      <c r="BF2920">
        <v>40</v>
      </c>
      <c r="BG2920">
        <v>0</v>
      </c>
      <c r="BH2920" t="s">
        <v>145</v>
      </c>
      <c r="CC2920" t="s">
        <v>1175</v>
      </c>
      <c r="CD2920">
        <v>100000</v>
      </c>
      <c r="CE2920" s="1">
        <v>42095</v>
      </c>
      <c r="CF2920" s="1">
        <v>42095</v>
      </c>
      <c r="CG2920" s="1">
        <v>42095</v>
      </c>
      <c r="CH2920" s="1">
        <v>50568</v>
      </c>
      <c r="CI2920" t="s">
        <v>51</v>
      </c>
      <c r="CK2920" t="s">
        <v>78</v>
      </c>
      <c r="CM2920" t="s">
        <v>54</v>
      </c>
      <c r="CN2920" t="s">
        <v>174</v>
      </c>
      <c r="CR2920">
        <v>0</v>
      </c>
      <c r="CS2920">
        <v>0</v>
      </c>
      <c r="CT2920">
        <v>0</v>
      </c>
      <c r="CU2920">
        <v>28</v>
      </c>
      <c r="CX2920" t="s">
        <v>360</v>
      </c>
      <c r="CY2920">
        <v>40</v>
      </c>
      <c r="CZ2920" s="1">
        <v>42095</v>
      </c>
      <c r="DA2920" s="1">
        <v>42095</v>
      </c>
      <c r="DB2920" s="1">
        <v>42095</v>
      </c>
      <c r="DC2920" s="1">
        <v>56705</v>
      </c>
      <c r="DD2920" t="s">
        <v>51</v>
      </c>
      <c r="DF2920" t="s">
        <v>54</v>
      </c>
      <c r="DG2920">
        <v>0</v>
      </c>
      <c r="DH2920">
        <v>0</v>
      </c>
    </row>
    <row r="2921" spans="1:112" x14ac:dyDescent="0.2">
      <c r="A2921" t="s">
        <v>1012</v>
      </c>
      <c r="B2921" t="s">
        <v>1013</v>
      </c>
      <c r="C2921" t="s">
        <v>1019</v>
      </c>
      <c r="D2921" t="s">
        <v>1053</v>
      </c>
      <c r="F2921" t="str">
        <f>"253300"</f>
        <v>253300</v>
      </c>
      <c r="G2921" t="s">
        <v>49</v>
      </c>
      <c r="K2921" t="s">
        <v>51</v>
      </c>
      <c r="L2921" t="s">
        <v>52</v>
      </c>
      <c r="M2921">
        <v>131861.50399999999</v>
      </c>
      <c r="N2921">
        <v>473888.712</v>
      </c>
      <c r="O2921" t="s">
        <v>53</v>
      </c>
      <c r="P2921" t="s">
        <v>54</v>
      </c>
      <c r="Q2921" t="s">
        <v>55</v>
      </c>
      <c r="T2921" t="s">
        <v>1054</v>
      </c>
      <c r="U2921">
        <v>40</v>
      </c>
      <c r="V2921" s="1">
        <v>28126</v>
      </c>
      <c r="W2921" s="1">
        <v>28126</v>
      </c>
      <c r="X2921" s="1">
        <v>28126</v>
      </c>
      <c r="Y2921" s="1">
        <v>42736</v>
      </c>
      <c r="Z2921" t="s">
        <v>51</v>
      </c>
      <c r="AB2921" t="s">
        <v>54</v>
      </c>
      <c r="AC2921">
        <v>1</v>
      </c>
      <c r="AE2921" t="s">
        <v>1055</v>
      </c>
      <c r="AF2921">
        <v>20</v>
      </c>
      <c r="AG2921" s="1">
        <v>39785</v>
      </c>
      <c r="AH2921" s="1">
        <v>39785</v>
      </c>
      <c r="AI2921" s="1">
        <v>39785</v>
      </c>
      <c r="AJ2921" s="1">
        <v>47090</v>
      </c>
      <c r="AK2921" t="s">
        <v>51</v>
      </c>
      <c r="AN2921">
        <v>0</v>
      </c>
      <c r="AO2921" t="s">
        <v>54</v>
      </c>
      <c r="AP2921" t="s">
        <v>53</v>
      </c>
      <c r="AQ2921">
        <v>0</v>
      </c>
      <c r="AR2921" t="s">
        <v>53</v>
      </c>
      <c r="AS2921">
        <v>0</v>
      </c>
      <c r="AT2921">
        <v>0</v>
      </c>
      <c r="BK2921" t="s">
        <v>803</v>
      </c>
      <c r="BL2921">
        <v>50000</v>
      </c>
      <c r="BM2921" s="1">
        <v>43592</v>
      </c>
      <c r="BN2921" s="1">
        <v>43592</v>
      </c>
      <c r="BO2921" s="1">
        <v>43592</v>
      </c>
      <c r="BP2921" s="1">
        <v>47834</v>
      </c>
      <c r="BQ2921" t="s">
        <v>51</v>
      </c>
      <c r="BS2921" t="s">
        <v>60</v>
      </c>
      <c r="BT2921" t="s">
        <v>54</v>
      </c>
      <c r="BU2921" t="s">
        <v>362</v>
      </c>
      <c r="BX2921">
        <v>36</v>
      </c>
      <c r="BY2921">
        <v>4320</v>
      </c>
      <c r="BZ2921">
        <v>0</v>
      </c>
      <c r="CX2921" t="s">
        <v>360</v>
      </c>
      <c r="CY2921">
        <v>40</v>
      </c>
      <c r="CZ2921" s="1">
        <v>44320</v>
      </c>
      <c r="DA2921" s="1">
        <v>44320</v>
      </c>
      <c r="DB2921" s="1">
        <v>44320</v>
      </c>
      <c r="DC2921" s="1">
        <v>58930</v>
      </c>
      <c r="DD2921" t="s">
        <v>51</v>
      </c>
      <c r="DF2921" t="s">
        <v>54</v>
      </c>
      <c r="DG2921">
        <v>0</v>
      </c>
      <c r="DH2921">
        <v>0</v>
      </c>
    </row>
    <row r="2922" spans="1:112" x14ac:dyDescent="0.2">
      <c r="A2922" t="s">
        <v>1012</v>
      </c>
      <c r="B2922" t="s">
        <v>1013</v>
      </c>
      <c r="C2922" t="s">
        <v>1019</v>
      </c>
      <c r="D2922" t="s">
        <v>1053</v>
      </c>
      <c r="F2922" t="str">
        <f>"??253301"</f>
        <v>??253301</v>
      </c>
      <c r="G2922" t="s">
        <v>49</v>
      </c>
      <c r="K2922" t="s">
        <v>51</v>
      </c>
      <c r="L2922" t="s">
        <v>52</v>
      </c>
      <c r="M2922">
        <v>131851.74</v>
      </c>
      <c r="N2922">
        <v>473911.35</v>
      </c>
      <c r="O2922" t="s">
        <v>53</v>
      </c>
      <c r="P2922" t="s">
        <v>54</v>
      </c>
      <c r="Q2922" t="s">
        <v>55</v>
      </c>
      <c r="T2922" t="s">
        <v>1054</v>
      </c>
      <c r="U2922">
        <v>40</v>
      </c>
      <c r="V2922" s="1">
        <v>32874</v>
      </c>
      <c r="W2922" s="1">
        <v>32874</v>
      </c>
      <c r="X2922" s="1">
        <v>32874</v>
      </c>
      <c r="Y2922" s="1">
        <v>47484</v>
      </c>
      <c r="Z2922" t="s">
        <v>51</v>
      </c>
      <c r="AB2922" t="s">
        <v>54</v>
      </c>
      <c r="AC2922">
        <v>1</v>
      </c>
      <c r="AE2922" t="s">
        <v>1055</v>
      </c>
      <c r="AF2922">
        <v>20</v>
      </c>
      <c r="AG2922" s="1">
        <v>39785</v>
      </c>
      <c r="AH2922" s="1">
        <v>39785</v>
      </c>
      <c r="AI2922" s="1">
        <v>39785</v>
      </c>
      <c r="AJ2922" s="1">
        <v>47090</v>
      </c>
      <c r="AK2922" t="s">
        <v>51</v>
      </c>
      <c r="AN2922">
        <v>0</v>
      </c>
      <c r="AO2922" t="s">
        <v>54</v>
      </c>
      <c r="AP2922" t="s">
        <v>53</v>
      </c>
      <c r="AQ2922">
        <v>0</v>
      </c>
      <c r="AR2922" t="s">
        <v>53</v>
      </c>
      <c r="AS2922">
        <v>0</v>
      </c>
      <c r="AT2922">
        <v>0</v>
      </c>
      <c r="BK2922" t="s">
        <v>803</v>
      </c>
      <c r="BL2922">
        <v>50000</v>
      </c>
      <c r="BM2922" s="1">
        <v>43592</v>
      </c>
      <c r="BN2922" s="1">
        <v>43592</v>
      </c>
      <c r="BO2922" s="1">
        <v>43592</v>
      </c>
      <c r="BP2922" s="1">
        <v>47834</v>
      </c>
      <c r="BQ2922" t="s">
        <v>51</v>
      </c>
      <c r="BS2922" t="s">
        <v>60</v>
      </c>
      <c r="BT2922" t="s">
        <v>54</v>
      </c>
      <c r="BU2922" t="s">
        <v>362</v>
      </c>
      <c r="BX2922">
        <v>36</v>
      </c>
      <c r="BY2922">
        <v>4320</v>
      </c>
      <c r="BZ2922">
        <v>0</v>
      </c>
      <c r="CX2922" t="s">
        <v>360</v>
      </c>
      <c r="CY2922">
        <v>40</v>
      </c>
      <c r="CZ2922" s="1">
        <v>44320</v>
      </c>
      <c r="DA2922" s="1">
        <v>44320</v>
      </c>
      <c r="DB2922" s="1">
        <v>44320</v>
      </c>
      <c r="DC2922" s="1">
        <v>58930</v>
      </c>
      <c r="DD2922" t="s">
        <v>51</v>
      </c>
      <c r="DF2922" t="s">
        <v>54</v>
      </c>
      <c r="DG2922">
        <v>0</v>
      </c>
      <c r="DH2922">
        <v>0</v>
      </c>
    </row>
    <row r="2923" spans="1:112" x14ac:dyDescent="0.2">
      <c r="A2923" t="s">
        <v>1012</v>
      </c>
      <c r="B2923" t="s">
        <v>1013</v>
      </c>
      <c r="C2923" t="s">
        <v>1019</v>
      </c>
      <c r="D2923" t="s">
        <v>1139</v>
      </c>
      <c r="F2923" t="str">
        <f>"??253330"</f>
        <v>??253330</v>
      </c>
      <c r="G2923" t="s">
        <v>49</v>
      </c>
      <c r="K2923" t="s">
        <v>51</v>
      </c>
      <c r="L2923" t="s">
        <v>52</v>
      </c>
      <c r="M2923">
        <v>131624.35999999999</v>
      </c>
      <c r="N2923">
        <v>474300.94</v>
      </c>
      <c r="O2923" t="s">
        <v>53</v>
      </c>
      <c r="P2923" t="s">
        <v>54</v>
      </c>
      <c r="Q2923" t="s">
        <v>55</v>
      </c>
      <c r="T2923" t="s">
        <v>431</v>
      </c>
      <c r="U2923">
        <v>40</v>
      </c>
      <c r="V2923" s="1">
        <v>24108</v>
      </c>
      <c r="W2923" s="1">
        <v>24108</v>
      </c>
      <c r="X2923" s="1">
        <v>24108</v>
      </c>
      <c r="Y2923" s="1">
        <v>38718</v>
      </c>
      <c r="Z2923" t="s">
        <v>51</v>
      </c>
      <c r="AB2923" t="s">
        <v>54</v>
      </c>
      <c r="AC2923">
        <v>1</v>
      </c>
      <c r="AE2923" t="s">
        <v>243</v>
      </c>
      <c r="AF2923">
        <v>20</v>
      </c>
      <c r="AG2923" s="1">
        <v>31594</v>
      </c>
      <c r="AH2923" s="1">
        <v>31594</v>
      </c>
      <c r="AI2923" s="1">
        <v>31594</v>
      </c>
      <c r="AJ2923" s="1">
        <v>38899</v>
      </c>
      <c r="AK2923" t="s">
        <v>51</v>
      </c>
      <c r="AN2923">
        <v>0</v>
      </c>
      <c r="AO2923" t="s">
        <v>54</v>
      </c>
      <c r="AP2923" t="s">
        <v>53</v>
      </c>
      <c r="AQ2923">
        <v>0</v>
      </c>
      <c r="AR2923" t="s">
        <v>53</v>
      </c>
      <c r="AS2923">
        <v>0</v>
      </c>
      <c r="AT2923">
        <v>0</v>
      </c>
      <c r="BK2923" t="s">
        <v>1176</v>
      </c>
      <c r="BL2923">
        <v>14000</v>
      </c>
      <c r="BM2923" s="1">
        <v>41456</v>
      </c>
      <c r="BN2923" s="1">
        <v>41456</v>
      </c>
      <c r="BO2923" s="1">
        <v>41456</v>
      </c>
      <c r="BP2923" s="1">
        <v>42656</v>
      </c>
      <c r="BQ2923" t="s">
        <v>51</v>
      </c>
      <c r="BS2923" t="s">
        <v>60</v>
      </c>
      <c r="BT2923" t="s">
        <v>54</v>
      </c>
      <c r="BU2923" t="s">
        <v>61</v>
      </c>
      <c r="BV2923" t="s">
        <v>62</v>
      </c>
      <c r="BW2923">
        <v>830</v>
      </c>
      <c r="BX2923">
        <v>18</v>
      </c>
      <c r="BY2923">
        <v>0</v>
      </c>
      <c r="BZ2923">
        <v>0</v>
      </c>
      <c r="CC2923" t="s">
        <v>250</v>
      </c>
      <c r="CD2923">
        <v>100000</v>
      </c>
      <c r="CE2923" s="1">
        <v>42005</v>
      </c>
      <c r="CF2923" s="1">
        <v>42005</v>
      </c>
      <c r="CG2923" s="1">
        <v>42005</v>
      </c>
      <c r="CH2923" s="1">
        <v>50444</v>
      </c>
      <c r="CI2923" t="s">
        <v>51</v>
      </c>
      <c r="CK2923" t="s">
        <v>78</v>
      </c>
      <c r="CM2923" t="s">
        <v>54</v>
      </c>
      <c r="CN2923" t="s">
        <v>174</v>
      </c>
      <c r="CR2923">
        <v>13.2</v>
      </c>
      <c r="CS2923">
        <v>1800</v>
      </c>
      <c r="CT2923">
        <v>0</v>
      </c>
      <c r="CU2923">
        <v>16</v>
      </c>
    </row>
    <row r="2924" spans="1:112" x14ac:dyDescent="0.2">
      <c r="A2924" t="s">
        <v>1012</v>
      </c>
      <c r="B2924" t="s">
        <v>1013</v>
      </c>
      <c r="C2924" t="s">
        <v>1019</v>
      </c>
      <c r="D2924" t="s">
        <v>1053</v>
      </c>
      <c r="F2924" t="str">
        <f>"??253331"</f>
        <v>??253331</v>
      </c>
      <c r="G2924" t="s">
        <v>49</v>
      </c>
      <c r="K2924" t="s">
        <v>51</v>
      </c>
      <c r="L2924" t="s">
        <v>52</v>
      </c>
      <c r="M2924">
        <v>131621.52499999999</v>
      </c>
      <c r="N2924">
        <v>474319.40700000001</v>
      </c>
      <c r="O2924" t="s">
        <v>53</v>
      </c>
      <c r="P2924" t="s">
        <v>54</v>
      </c>
      <c r="Q2924" t="s">
        <v>55</v>
      </c>
      <c r="T2924" t="s">
        <v>1054</v>
      </c>
      <c r="U2924">
        <v>40</v>
      </c>
      <c r="V2924" s="1">
        <v>28126</v>
      </c>
      <c r="W2924" s="1">
        <v>28126</v>
      </c>
      <c r="X2924" s="1">
        <v>28126</v>
      </c>
      <c r="Y2924" s="1">
        <v>42736</v>
      </c>
      <c r="Z2924" t="s">
        <v>51</v>
      </c>
      <c r="AB2924" t="s">
        <v>54</v>
      </c>
      <c r="AC2924">
        <v>1</v>
      </c>
      <c r="AE2924" t="s">
        <v>1055</v>
      </c>
      <c r="AF2924">
        <v>20</v>
      </c>
      <c r="AG2924" s="1">
        <v>39785</v>
      </c>
      <c r="AH2924" s="1">
        <v>39785</v>
      </c>
      <c r="AI2924" s="1">
        <v>39785</v>
      </c>
      <c r="AJ2924" s="1">
        <v>47090</v>
      </c>
      <c r="AK2924" t="s">
        <v>51</v>
      </c>
      <c r="AN2924">
        <v>0</v>
      </c>
      <c r="AO2924" t="s">
        <v>54</v>
      </c>
      <c r="AP2924" t="s">
        <v>53</v>
      </c>
      <c r="AQ2924">
        <v>0</v>
      </c>
      <c r="AR2924" t="s">
        <v>53</v>
      </c>
      <c r="AS2924">
        <v>0</v>
      </c>
      <c r="AT2924">
        <v>0</v>
      </c>
      <c r="BK2924" t="s">
        <v>803</v>
      </c>
      <c r="BL2924">
        <v>50000</v>
      </c>
      <c r="BM2924" s="1">
        <v>43592</v>
      </c>
      <c r="BN2924" s="1">
        <v>43592</v>
      </c>
      <c r="BO2924" s="1">
        <v>43592</v>
      </c>
      <c r="BP2924" s="1">
        <v>47834</v>
      </c>
      <c r="BQ2924" t="s">
        <v>51</v>
      </c>
      <c r="BS2924" t="s">
        <v>60</v>
      </c>
      <c r="BT2924" t="s">
        <v>54</v>
      </c>
      <c r="BU2924" t="s">
        <v>362</v>
      </c>
      <c r="BX2924">
        <v>36</v>
      </c>
      <c r="BY2924">
        <v>4320</v>
      </c>
      <c r="BZ2924">
        <v>0</v>
      </c>
      <c r="CX2924" t="s">
        <v>360</v>
      </c>
      <c r="CY2924">
        <v>40</v>
      </c>
      <c r="CZ2924" s="1">
        <v>44320</v>
      </c>
      <c r="DA2924" s="1">
        <v>44320</v>
      </c>
      <c r="DB2924" s="1">
        <v>44320</v>
      </c>
      <c r="DC2924" s="1">
        <v>58930</v>
      </c>
      <c r="DD2924" t="s">
        <v>51</v>
      </c>
      <c r="DF2924" t="s">
        <v>54</v>
      </c>
      <c r="DG2924">
        <v>0</v>
      </c>
      <c r="DH2924">
        <v>0</v>
      </c>
    </row>
    <row r="2925" spans="1:112" x14ac:dyDescent="0.2">
      <c r="A2925" t="s">
        <v>1012</v>
      </c>
      <c r="B2925" t="s">
        <v>1013</v>
      </c>
      <c r="C2925" t="s">
        <v>1019</v>
      </c>
      <c r="D2925" t="s">
        <v>1062</v>
      </c>
      <c r="F2925" t="str">
        <f>"254201"</f>
        <v>254201</v>
      </c>
      <c r="G2925" t="s">
        <v>49</v>
      </c>
      <c r="H2925">
        <v>12</v>
      </c>
      <c r="K2925" t="s">
        <v>51</v>
      </c>
      <c r="L2925" t="s">
        <v>52</v>
      </c>
      <c r="M2925">
        <v>131826.89000000001</v>
      </c>
      <c r="N2925">
        <v>473788.84</v>
      </c>
      <c r="O2925" t="s">
        <v>53</v>
      </c>
      <c r="P2925" t="s">
        <v>54</v>
      </c>
      <c r="Q2925" t="s">
        <v>55</v>
      </c>
      <c r="T2925" t="s">
        <v>246</v>
      </c>
      <c r="U2925">
        <v>40</v>
      </c>
      <c r="V2925" s="1">
        <v>21916</v>
      </c>
      <c r="W2925" s="1">
        <v>21916</v>
      </c>
      <c r="X2925" s="1">
        <v>21916</v>
      </c>
      <c r="Y2925" s="1">
        <v>36526</v>
      </c>
      <c r="Z2925" t="s">
        <v>51</v>
      </c>
      <c r="AB2925" t="s">
        <v>54</v>
      </c>
      <c r="AC2925">
        <v>1</v>
      </c>
      <c r="AE2925" t="s">
        <v>243</v>
      </c>
      <c r="AF2925">
        <v>20</v>
      </c>
      <c r="AG2925" s="1">
        <v>42917</v>
      </c>
      <c r="AH2925" s="1">
        <v>42917</v>
      </c>
      <c r="AI2925" s="1">
        <v>42917</v>
      </c>
      <c r="AJ2925" s="1">
        <v>50222</v>
      </c>
      <c r="AK2925" t="s">
        <v>51</v>
      </c>
      <c r="AN2925">
        <v>0</v>
      </c>
      <c r="AO2925" t="s">
        <v>54</v>
      </c>
      <c r="AP2925" t="s">
        <v>53</v>
      </c>
      <c r="AQ2925">
        <v>0</v>
      </c>
      <c r="AR2925" t="s">
        <v>53</v>
      </c>
      <c r="AS2925">
        <v>0</v>
      </c>
      <c r="AT2925">
        <v>0</v>
      </c>
      <c r="AW2925" t="s">
        <v>172</v>
      </c>
      <c r="AX2925">
        <v>15</v>
      </c>
      <c r="AY2925" s="1">
        <v>44316</v>
      </c>
      <c r="AZ2925" s="1">
        <v>44316</v>
      </c>
      <c r="BA2925" s="1">
        <v>44316</v>
      </c>
      <c r="BB2925" s="1">
        <v>49795</v>
      </c>
      <c r="BC2925" t="s">
        <v>51</v>
      </c>
      <c r="BE2925" t="s">
        <v>54</v>
      </c>
      <c r="BF2925">
        <v>40</v>
      </c>
      <c r="BG2925">
        <v>0</v>
      </c>
      <c r="BH2925" t="s">
        <v>145</v>
      </c>
      <c r="CC2925" t="s">
        <v>244</v>
      </c>
      <c r="CD2925">
        <v>100000</v>
      </c>
      <c r="CE2925" s="1">
        <v>44316</v>
      </c>
      <c r="CF2925" s="1">
        <v>44316</v>
      </c>
      <c r="CG2925" s="1">
        <v>44316</v>
      </c>
      <c r="CH2925" s="1">
        <v>52799</v>
      </c>
      <c r="CI2925" t="s">
        <v>51</v>
      </c>
      <c r="CK2925" t="s">
        <v>78</v>
      </c>
      <c r="CM2925" t="s">
        <v>54</v>
      </c>
      <c r="CN2925" t="s">
        <v>174</v>
      </c>
      <c r="CR2925">
        <v>0</v>
      </c>
      <c r="CS2925">
        <v>2150</v>
      </c>
      <c r="CT2925">
        <v>0</v>
      </c>
      <c r="CU2925">
        <v>16</v>
      </c>
      <c r="CX2925" t="s">
        <v>360</v>
      </c>
      <c r="CY2925">
        <v>40</v>
      </c>
      <c r="CZ2925" s="1">
        <v>44316</v>
      </c>
      <c r="DA2925" s="1">
        <v>44316</v>
      </c>
      <c r="DB2925" s="1">
        <v>44316</v>
      </c>
      <c r="DC2925" s="1">
        <v>58926</v>
      </c>
      <c r="DD2925" t="s">
        <v>51</v>
      </c>
      <c r="DF2925" t="s">
        <v>54</v>
      </c>
      <c r="DG2925">
        <v>0</v>
      </c>
      <c r="DH2925">
        <v>0</v>
      </c>
    </row>
    <row r="2926" spans="1:112" x14ac:dyDescent="0.2">
      <c r="A2926" t="s">
        <v>1012</v>
      </c>
      <c r="B2926" t="s">
        <v>1013</v>
      </c>
      <c r="C2926" t="s">
        <v>1052</v>
      </c>
      <c r="D2926" t="s">
        <v>1124</v>
      </c>
      <c r="F2926" t="str">
        <f>"??253357"</f>
        <v>??253357</v>
      </c>
      <c r="G2926" t="s">
        <v>49</v>
      </c>
      <c r="K2926" t="s">
        <v>51</v>
      </c>
      <c r="L2926" t="s">
        <v>52</v>
      </c>
      <c r="M2926">
        <v>132230.79999999999</v>
      </c>
      <c r="N2926">
        <v>475204.89</v>
      </c>
      <c r="O2926" t="s">
        <v>53</v>
      </c>
      <c r="P2926" t="s">
        <v>54</v>
      </c>
      <c r="Q2926" t="s">
        <v>55</v>
      </c>
      <c r="T2926" t="s">
        <v>81</v>
      </c>
      <c r="U2926">
        <v>40</v>
      </c>
      <c r="V2926" s="1">
        <v>43409</v>
      </c>
      <c r="W2926" s="1">
        <v>43409</v>
      </c>
      <c r="X2926" s="1">
        <v>43409</v>
      </c>
      <c r="Y2926" s="1">
        <v>58019</v>
      </c>
      <c r="Z2926" t="s">
        <v>51</v>
      </c>
      <c r="AB2926" t="s">
        <v>54</v>
      </c>
      <c r="AE2926" t="s">
        <v>356</v>
      </c>
      <c r="AF2926">
        <v>20</v>
      </c>
      <c r="AG2926" s="1">
        <v>43416</v>
      </c>
      <c r="AH2926" s="1">
        <v>43416</v>
      </c>
      <c r="AI2926" s="1">
        <v>43416</v>
      </c>
      <c r="AJ2926" s="1">
        <v>50721</v>
      </c>
      <c r="AK2926" t="s">
        <v>51</v>
      </c>
      <c r="AN2926">
        <v>0</v>
      </c>
      <c r="AO2926" t="s">
        <v>54</v>
      </c>
      <c r="AP2926" t="s">
        <v>53</v>
      </c>
      <c r="AQ2926">
        <v>0</v>
      </c>
      <c r="AR2926" t="s">
        <v>145</v>
      </c>
      <c r="AS2926">
        <v>0</v>
      </c>
      <c r="AT2926">
        <v>0</v>
      </c>
      <c r="AW2926" t="s">
        <v>172</v>
      </c>
      <c r="AX2926">
        <v>15</v>
      </c>
      <c r="AY2926" s="1">
        <v>43416</v>
      </c>
      <c r="AZ2926" s="1">
        <v>43416</v>
      </c>
      <c r="BA2926" s="1">
        <v>43416</v>
      </c>
      <c r="BB2926" s="1">
        <v>48895</v>
      </c>
      <c r="BC2926" t="s">
        <v>51</v>
      </c>
      <c r="BE2926" t="s">
        <v>54</v>
      </c>
      <c r="BF2926">
        <v>40</v>
      </c>
      <c r="BG2926">
        <v>0</v>
      </c>
      <c r="BH2926" t="s">
        <v>145</v>
      </c>
      <c r="CC2926" t="s">
        <v>250</v>
      </c>
      <c r="CD2926">
        <v>100000</v>
      </c>
      <c r="CE2926" s="1">
        <v>43416</v>
      </c>
      <c r="CF2926" s="1">
        <v>43416</v>
      </c>
      <c r="CG2926" s="1">
        <v>43416</v>
      </c>
      <c r="CH2926" s="1">
        <v>51854</v>
      </c>
      <c r="CI2926" t="s">
        <v>51</v>
      </c>
      <c r="CK2926" t="s">
        <v>78</v>
      </c>
      <c r="CM2926" t="s">
        <v>54</v>
      </c>
      <c r="CN2926" t="s">
        <v>174</v>
      </c>
      <c r="CR2926">
        <v>13.2</v>
      </c>
      <c r="CS2926">
        <v>1800</v>
      </c>
      <c r="CT2926">
        <v>0</v>
      </c>
      <c r="CU2926">
        <v>16</v>
      </c>
      <c r="CX2926" t="s">
        <v>360</v>
      </c>
      <c r="CY2926">
        <v>40</v>
      </c>
      <c r="CZ2926" s="1">
        <v>43416</v>
      </c>
      <c r="DA2926" s="1">
        <v>43416</v>
      </c>
      <c r="DB2926" s="1">
        <v>43416</v>
      </c>
      <c r="DC2926" s="1">
        <v>58026</v>
      </c>
      <c r="DD2926" t="s">
        <v>51</v>
      </c>
      <c r="DF2926" t="s">
        <v>54</v>
      </c>
      <c r="DG2926">
        <v>0</v>
      </c>
      <c r="DH2926">
        <v>0</v>
      </c>
    </row>
    <row r="2927" spans="1:112" x14ac:dyDescent="0.2">
      <c r="A2927" t="s">
        <v>1012</v>
      </c>
      <c r="B2927" t="s">
        <v>1013</v>
      </c>
      <c r="C2927" t="s">
        <v>1019</v>
      </c>
      <c r="D2927" t="s">
        <v>1069</v>
      </c>
      <c r="F2927" t="str">
        <f>"251738"</f>
        <v>251738</v>
      </c>
      <c r="G2927" t="s">
        <v>49</v>
      </c>
      <c r="K2927" t="s">
        <v>51</v>
      </c>
      <c r="L2927" t="s">
        <v>52</v>
      </c>
      <c r="M2927">
        <v>131967.334</v>
      </c>
      <c r="N2927">
        <v>473735.821</v>
      </c>
      <c r="O2927" t="s">
        <v>53</v>
      </c>
      <c r="P2927" t="s">
        <v>54</v>
      </c>
      <c r="Q2927" t="s">
        <v>55</v>
      </c>
      <c r="T2927" t="s">
        <v>100</v>
      </c>
      <c r="U2927">
        <v>40</v>
      </c>
      <c r="V2927" s="1">
        <v>25569</v>
      </c>
      <c r="W2927" s="1">
        <v>25569</v>
      </c>
      <c r="X2927" s="1">
        <v>25569</v>
      </c>
      <c r="Y2927" s="1">
        <v>40179</v>
      </c>
      <c r="Z2927" t="s">
        <v>51</v>
      </c>
      <c r="AB2927" t="s">
        <v>54</v>
      </c>
      <c r="AE2927" t="s">
        <v>243</v>
      </c>
      <c r="AF2927">
        <v>20</v>
      </c>
      <c r="AG2927" s="1">
        <v>44320</v>
      </c>
      <c r="AH2927" s="1">
        <v>44320</v>
      </c>
      <c r="AI2927" s="1">
        <v>44320</v>
      </c>
      <c r="AJ2927" s="1">
        <v>51625</v>
      </c>
      <c r="AK2927" t="s">
        <v>51</v>
      </c>
      <c r="AN2927">
        <v>0</v>
      </c>
      <c r="AO2927" t="s">
        <v>54</v>
      </c>
      <c r="AP2927" t="s">
        <v>53</v>
      </c>
      <c r="AQ2927">
        <v>0</v>
      </c>
      <c r="AR2927" t="s">
        <v>53</v>
      </c>
      <c r="AS2927">
        <v>0</v>
      </c>
      <c r="AT2927">
        <v>0</v>
      </c>
      <c r="AW2927" t="s">
        <v>172</v>
      </c>
      <c r="AX2927">
        <v>15</v>
      </c>
      <c r="AY2927" s="1">
        <v>44320</v>
      </c>
      <c r="AZ2927" s="1">
        <v>44320</v>
      </c>
      <c r="BA2927" s="1">
        <v>44320</v>
      </c>
      <c r="BB2927" s="1">
        <v>49799</v>
      </c>
      <c r="BC2927" t="s">
        <v>51</v>
      </c>
      <c r="BE2927" t="s">
        <v>54</v>
      </c>
      <c r="BF2927">
        <v>40</v>
      </c>
      <c r="BG2927">
        <v>0</v>
      </c>
      <c r="BH2927" t="s">
        <v>145</v>
      </c>
      <c r="CC2927" t="s">
        <v>244</v>
      </c>
      <c r="CD2927">
        <v>100000</v>
      </c>
      <c r="CE2927" s="1">
        <v>44320</v>
      </c>
      <c r="CF2927" s="1">
        <v>44320</v>
      </c>
      <c r="CG2927" s="1">
        <v>44320</v>
      </c>
      <c r="CH2927" s="1">
        <v>52802</v>
      </c>
      <c r="CI2927" t="s">
        <v>51</v>
      </c>
      <c r="CK2927" t="s">
        <v>78</v>
      </c>
      <c r="CM2927" t="s">
        <v>54</v>
      </c>
      <c r="CN2927" t="s">
        <v>174</v>
      </c>
      <c r="CR2927">
        <v>0</v>
      </c>
      <c r="CS2927">
        <v>2150</v>
      </c>
      <c r="CT2927">
        <v>0</v>
      </c>
      <c r="CU2927">
        <v>16</v>
      </c>
      <c r="CX2927" t="s">
        <v>674</v>
      </c>
      <c r="CY2927">
        <v>0</v>
      </c>
      <c r="CZ2927" s="1">
        <v>44320</v>
      </c>
      <c r="DA2927" s="1">
        <v>44320</v>
      </c>
      <c r="DB2927" s="1">
        <v>44320</v>
      </c>
      <c r="DC2927" s="1">
        <v>44320</v>
      </c>
      <c r="DD2927" t="s">
        <v>51</v>
      </c>
      <c r="DF2927" t="s">
        <v>54</v>
      </c>
      <c r="DG2927">
        <v>0</v>
      </c>
      <c r="DH2927">
        <v>0</v>
      </c>
    </row>
    <row r="2928" spans="1:112" x14ac:dyDescent="0.2">
      <c r="A2928" t="s">
        <v>1012</v>
      </c>
      <c r="B2928" t="s">
        <v>1013</v>
      </c>
      <c r="C2928" t="s">
        <v>1014</v>
      </c>
      <c r="D2928" t="s">
        <v>1015</v>
      </c>
      <c r="F2928" t="str">
        <f>"252247"</f>
        <v>252247</v>
      </c>
      <c r="G2928" t="s">
        <v>49</v>
      </c>
      <c r="K2928" t="s">
        <v>51</v>
      </c>
      <c r="L2928" t="s">
        <v>52</v>
      </c>
      <c r="M2928">
        <v>131561.85999999999</v>
      </c>
      <c r="N2928">
        <v>475091.33</v>
      </c>
      <c r="O2928" t="s">
        <v>53</v>
      </c>
      <c r="P2928" t="s">
        <v>54</v>
      </c>
      <c r="Q2928" t="s">
        <v>55</v>
      </c>
      <c r="T2928" t="s">
        <v>431</v>
      </c>
      <c r="U2928">
        <v>40</v>
      </c>
      <c r="V2928" s="1">
        <v>29221</v>
      </c>
      <c r="W2928" s="1">
        <v>29221</v>
      </c>
      <c r="X2928" s="1">
        <v>29221</v>
      </c>
      <c r="Y2928" s="1">
        <v>43831</v>
      </c>
      <c r="Z2928" t="s">
        <v>51</v>
      </c>
      <c r="AB2928" t="s">
        <v>54</v>
      </c>
      <c r="AC2928">
        <v>1</v>
      </c>
      <c r="AE2928" t="s">
        <v>79</v>
      </c>
      <c r="AF2928">
        <v>20</v>
      </c>
      <c r="AG2928" s="1">
        <v>29221</v>
      </c>
      <c r="AH2928" s="1">
        <v>29221</v>
      </c>
      <c r="AI2928" s="1">
        <v>29221</v>
      </c>
      <c r="AJ2928" s="1">
        <v>36526</v>
      </c>
      <c r="AK2928" t="s">
        <v>51</v>
      </c>
      <c r="AN2928">
        <v>0</v>
      </c>
      <c r="AO2928" t="s">
        <v>54</v>
      </c>
      <c r="AP2928" t="s">
        <v>53</v>
      </c>
      <c r="AQ2928">
        <v>0</v>
      </c>
      <c r="AR2928" t="s">
        <v>145</v>
      </c>
      <c r="AS2928">
        <v>0</v>
      </c>
      <c r="AT2928">
        <v>0</v>
      </c>
      <c r="AW2928" t="s">
        <v>79</v>
      </c>
      <c r="AX2928">
        <v>20</v>
      </c>
      <c r="AY2928" s="1">
        <v>29221</v>
      </c>
      <c r="AZ2928" s="1">
        <v>29221</v>
      </c>
      <c r="BA2928" s="1">
        <v>29221</v>
      </c>
      <c r="BB2928" s="1">
        <v>36526</v>
      </c>
      <c r="BC2928" t="s">
        <v>51</v>
      </c>
      <c r="BE2928" t="s">
        <v>54</v>
      </c>
      <c r="BF2928">
        <v>5</v>
      </c>
      <c r="BG2928">
        <v>0</v>
      </c>
      <c r="BH2928" t="s">
        <v>53</v>
      </c>
      <c r="BK2928" t="s">
        <v>1177</v>
      </c>
      <c r="BL2928">
        <v>0</v>
      </c>
      <c r="BM2928" s="1">
        <v>44851</v>
      </c>
      <c r="BN2928" s="1">
        <v>44851</v>
      </c>
      <c r="BO2928" s="1">
        <v>44851</v>
      </c>
      <c r="BQ2928" t="s">
        <v>51</v>
      </c>
      <c r="BS2928" t="s">
        <v>60</v>
      </c>
      <c r="BT2928" t="s">
        <v>54</v>
      </c>
      <c r="BU2928" t="s">
        <v>362</v>
      </c>
      <c r="BX2928">
        <v>13</v>
      </c>
      <c r="BY2928">
        <v>0</v>
      </c>
      <c r="BZ2928">
        <v>0</v>
      </c>
    </row>
    <row r="2929" spans="1:112" x14ac:dyDescent="0.2">
      <c r="A2929" t="s">
        <v>1012</v>
      </c>
      <c r="B2929" t="s">
        <v>1013</v>
      </c>
      <c r="C2929" t="s">
        <v>1019</v>
      </c>
      <c r="D2929" t="s">
        <v>1020</v>
      </c>
      <c r="F2929" t="str">
        <f>"254064"</f>
        <v>254064</v>
      </c>
      <c r="G2929" t="s">
        <v>49</v>
      </c>
      <c r="K2929" t="s">
        <v>51</v>
      </c>
      <c r="L2929" t="s">
        <v>52</v>
      </c>
      <c r="M2929">
        <v>131675.18799999999</v>
      </c>
      <c r="N2929">
        <v>475178.97499999998</v>
      </c>
      <c r="O2929" t="s">
        <v>53</v>
      </c>
      <c r="P2929" t="s">
        <v>54</v>
      </c>
      <c r="Q2929" t="s">
        <v>55</v>
      </c>
      <c r="S2929" t="s">
        <v>514</v>
      </c>
      <c r="T2929" t="s">
        <v>514</v>
      </c>
      <c r="U2929">
        <v>30</v>
      </c>
      <c r="V2929" s="1">
        <v>43101</v>
      </c>
      <c r="W2929" s="1">
        <v>43101</v>
      </c>
      <c r="X2929" s="1">
        <v>43101</v>
      </c>
      <c r="Y2929" s="1">
        <v>54058</v>
      </c>
      <c r="Z2929" t="s">
        <v>51</v>
      </c>
      <c r="AB2929" t="s">
        <v>54</v>
      </c>
      <c r="AC2929">
        <v>1</v>
      </c>
      <c r="AE2929" t="s">
        <v>515</v>
      </c>
      <c r="AF2929">
        <v>20</v>
      </c>
      <c r="AG2929" s="1">
        <v>43101</v>
      </c>
      <c r="AH2929" s="1">
        <v>43101</v>
      </c>
      <c r="AI2929" s="1">
        <v>43101</v>
      </c>
      <c r="AJ2929" s="1">
        <v>50406</v>
      </c>
      <c r="AK2929" t="s">
        <v>51</v>
      </c>
      <c r="AN2929">
        <v>0</v>
      </c>
      <c r="AO2929" t="s">
        <v>54</v>
      </c>
      <c r="AP2929" t="s">
        <v>53</v>
      </c>
      <c r="AQ2929">
        <v>0</v>
      </c>
      <c r="AR2929" t="s">
        <v>53</v>
      </c>
      <c r="AS2929">
        <v>0</v>
      </c>
      <c r="AT2929">
        <v>0</v>
      </c>
      <c r="CC2929" t="s">
        <v>432</v>
      </c>
      <c r="CD2929">
        <v>85000</v>
      </c>
      <c r="CE2929" s="1">
        <v>43101</v>
      </c>
      <c r="CF2929" s="1">
        <v>43101</v>
      </c>
      <c r="CG2929" s="1">
        <v>43101</v>
      </c>
      <c r="CH2929" s="1">
        <v>50730</v>
      </c>
      <c r="CI2929" t="s">
        <v>51</v>
      </c>
      <c r="CK2929" t="s">
        <v>78</v>
      </c>
      <c r="CM2929" t="s">
        <v>54</v>
      </c>
      <c r="CN2929" t="s">
        <v>174</v>
      </c>
      <c r="CO2929" t="s">
        <v>86</v>
      </c>
      <c r="CR2929">
        <v>24</v>
      </c>
      <c r="CS2929">
        <v>0</v>
      </c>
      <c r="CT2929">
        <v>0</v>
      </c>
      <c r="CU2929">
        <v>0</v>
      </c>
    </row>
    <row r="2930" spans="1:112" x14ac:dyDescent="0.2">
      <c r="A2930" t="s">
        <v>1012</v>
      </c>
      <c r="B2930" t="s">
        <v>1013</v>
      </c>
      <c r="C2930" t="s">
        <v>1019</v>
      </c>
      <c r="D2930" t="s">
        <v>1020</v>
      </c>
      <c r="F2930" t="str">
        <f>"254065"</f>
        <v>254065</v>
      </c>
      <c r="G2930" t="s">
        <v>49</v>
      </c>
      <c r="K2930" t="s">
        <v>51</v>
      </c>
      <c r="L2930" t="s">
        <v>52</v>
      </c>
      <c r="M2930">
        <v>131668.01999999999</v>
      </c>
      <c r="N2930">
        <v>475185.74</v>
      </c>
      <c r="O2930" t="s">
        <v>53</v>
      </c>
      <c r="P2930" t="s">
        <v>54</v>
      </c>
      <c r="Q2930" t="s">
        <v>55</v>
      </c>
      <c r="S2930" t="s">
        <v>514</v>
      </c>
      <c r="T2930" t="s">
        <v>514</v>
      </c>
      <c r="U2930">
        <v>30</v>
      </c>
      <c r="V2930" s="1">
        <v>43282</v>
      </c>
      <c r="W2930" s="1">
        <v>43282</v>
      </c>
      <c r="X2930" s="1">
        <v>43282</v>
      </c>
      <c r="Y2930" s="1">
        <v>54240</v>
      </c>
      <c r="Z2930" t="s">
        <v>51</v>
      </c>
      <c r="AB2930" t="s">
        <v>54</v>
      </c>
      <c r="AC2930">
        <v>1</v>
      </c>
      <c r="AE2930" t="s">
        <v>515</v>
      </c>
      <c r="AF2930">
        <v>20</v>
      </c>
      <c r="AG2930" s="1">
        <v>43282</v>
      </c>
      <c r="AH2930" s="1">
        <v>43282</v>
      </c>
      <c r="AI2930" s="1">
        <v>43282</v>
      </c>
      <c r="AJ2930" s="1">
        <v>50587</v>
      </c>
      <c r="AK2930" t="s">
        <v>51</v>
      </c>
      <c r="AN2930">
        <v>0</v>
      </c>
      <c r="AO2930" t="s">
        <v>54</v>
      </c>
      <c r="AP2930" t="s">
        <v>53</v>
      </c>
      <c r="AQ2930">
        <v>0</v>
      </c>
      <c r="AR2930" t="s">
        <v>53</v>
      </c>
      <c r="AS2930">
        <v>0</v>
      </c>
      <c r="AT2930">
        <v>0</v>
      </c>
      <c r="CC2930" t="s">
        <v>432</v>
      </c>
      <c r="CD2930">
        <v>85000</v>
      </c>
      <c r="CE2930" s="1">
        <v>43282</v>
      </c>
      <c r="CF2930" s="1">
        <v>43282</v>
      </c>
      <c r="CG2930" s="1">
        <v>43282</v>
      </c>
      <c r="CH2930" s="1">
        <v>50869</v>
      </c>
      <c r="CI2930" t="s">
        <v>51</v>
      </c>
      <c r="CK2930" t="s">
        <v>78</v>
      </c>
      <c r="CM2930" t="s">
        <v>54</v>
      </c>
      <c r="CN2930" t="s">
        <v>174</v>
      </c>
      <c r="CO2930" t="s">
        <v>86</v>
      </c>
      <c r="CR2930">
        <v>24</v>
      </c>
      <c r="CS2930">
        <v>0</v>
      </c>
      <c r="CT2930">
        <v>0</v>
      </c>
      <c r="CU2930">
        <v>0</v>
      </c>
    </row>
    <row r="2931" spans="1:112" x14ac:dyDescent="0.2">
      <c r="A2931" t="s">
        <v>1012</v>
      </c>
      <c r="B2931" t="s">
        <v>1013</v>
      </c>
      <c r="C2931" t="s">
        <v>1014</v>
      </c>
      <c r="D2931" t="s">
        <v>1108</v>
      </c>
      <c r="F2931" t="str">
        <f>"254484"</f>
        <v>254484</v>
      </c>
      <c r="G2931" t="s">
        <v>49</v>
      </c>
      <c r="K2931" t="s">
        <v>51</v>
      </c>
      <c r="L2931" t="s">
        <v>52</v>
      </c>
      <c r="M2931">
        <v>131672.74299999999</v>
      </c>
      <c r="N2931">
        <v>475453.63500000001</v>
      </c>
      <c r="O2931" t="s">
        <v>53</v>
      </c>
      <c r="P2931" t="s">
        <v>54</v>
      </c>
      <c r="Q2931" t="s">
        <v>55</v>
      </c>
      <c r="T2931" t="s">
        <v>170</v>
      </c>
      <c r="U2931">
        <v>40</v>
      </c>
      <c r="V2931" s="1">
        <v>44441</v>
      </c>
      <c r="W2931" s="1">
        <v>44441</v>
      </c>
      <c r="X2931" s="1">
        <v>44441</v>
      </c>
      <c r="Y2931" s="1">
        <v>59051</v>
      </c>
      <c r="Z2931" t="s">
        <v>51</v>
      </c>
      <c r="AB2931" t="s">
        <v>54</v>
      </c>
      <c r="AC2931">
        <v>1</v>
      </c>
      <c r="AE2931" t="s">
        <v>356</v>
      </c>
      <c r="AF2931">
        <v>20</v>
      </c>
      <c r="AG2931" s="1">
        <v>44441</v>
      </c>
      <c r="AH2931" s="1">
        <v>44441</v>
      </c>
      <c r="AI2931" s="1">
        <v>44441</v>
      </c>
      <c r="AJ2931" s="1">
        <v>51746</v>
      </c>
      <c r="AK2931" t="s">
        <v>51</v>
      </c>
      <c r="AN2931">
        <v>0</v>
      </c>
      <c r="AO2931" t="s">
        <v>54</v>
      </c>
      <c r="AP2931" t="s">
        <v>53</v>
      </c>
      <c r="AQ2931">
        <v>0</v>
      </c>
      <c r="AR2931" t="s">
        <v>145</v>
      </c>
      <c r="AS2931">
        <v>0</v>
      </c>
      <c r="AT2931">
        <v>0</v>
      </c>
      <c r="AW2931" t="s">
        <v>172</v>
      </c>
      <c r="AX2931">
        <v>15</v>
      </c>
      <c r="AY2931" s="1">
        <v>44441</v>
      </c>
      <c r="AZ2931" s="1">
        <v>44441</v>
      </c>
      <c r="BA2931" s="1">
        <v>44441</v>
      </c>
      <c r="BB2931" s="1">
        <v>49920</v>
      </c>
      <c r="BC2931" t="s">
        <v>51</v>
      </c>
      <c r="BE2931" t="s">
        <v>54</v>
      </c>
      <c r="BF2931">
        <v>40</v>
      </c>
      <c r="BG2931">
        <v>0</v>
      </c>
      <c r="BH2931" t="s">
        <v>145</v>
      </c>
      <c r="CC2931" t="s">
        <v>250</v>
      </c>
      <c r="CD2931">
        <v>100000</v>
      </c>
      <c r="CE2931" s="1">
        <v>44441</v>
      </c>
      <c r="CF2931" s="1">
        <v>44441</v>
      </c>
      <c r="CG2931" s="1">
        <v>44441</v>
      </c>
      <c r="CH2931" s="1">
        <v>52892</v>
      </c>
      <c r="CI2931" t="s">
        <v>51</v>
      </c>
      <c r="CK2931" t="s">
        <v>78</v>
      </c>
      <c r="CM2931" t="s">
        <v>54</v>
      </c>
      <c r="CN2931" t="s">
        <v>174</v>
      </c>
      <c r="CR2931">
        <v>13.2</v>
      </c>
      <c r="CS2931">
        <v>1800</v>
      </c>
      <c r="CT2931">
        <v>0</v>
      </c>
      <c r="CU2931">
        <v>16</v>
      </c>
      <c r="CX2931" t="s">
        <v>360</v>
      </c>
      <c r="CY2931">
        <v>40</v>
      </c>
      <c r="CZ2931" s="1">
        <v>44441</v>
      </c>
      <c r="DA2931" s="1">
        <v>44441</v>
      </c>
      <c r="DB2931" s="1">
        <v>44441</v>
      </c>
      <c r="DC2931" s="1">
        <v>59051</v>
      </c>
      <c r="DD2931" t="s">
        <v>51</v>
      </c>
      <c r="DF2931" t="s">
        <v>54</v>
      </c>
      <c r="DG2931">
        <v>0</v>
      </c>
      <c r="DH2931">
        <v>0</v>
      </c>
    </row>
    <row r="2932" spans="1:112" x14ac:dyDescent="0.2">
      <c r="A2932" t="s">
        <v>1012</v>
      </c>
      <c r="B2932" t="s">
        <v>1013</v>
      </c>
      <c r="C2932" t="s">
        <v>1014</v>
      </c>
      <c r="D2932" t="s">
        <v>1020</v>
      </c>
      <c r="F2932" t="str">
        <f>"252121"</f>
        <v>252121</v>
      </c>
      <c r="G2932" t="s">
        <v>49</v>
      </c>
      <c r="K2932" t="s">
        <v>51</v>
      </c>
      <c r="L2932" t="s">
        <v>52</v>
      </c>
      <c r="M2932">
        <v>131781.71100000001</v>
      </c>
      <c r="N2932">
        <v>476044.23599999998</v>
      </c>
      <c r="O2932" t="s">
        <v>53</v>
      </c>
      <c r="P2932" t="s">
        <v>54</v>
      </c>
      <c r="Q2932" t="s">
        <v>55</v>
      </c>
      <c r="T2932" t="s">
        <v>81</v>
      </c>
      <c r="U2932">
        <v>40</v>
      </c>
      <c r="V2932" s="1">
        <v>31048</v>
      </c>
      <c r="W2932" s="1">
        <v>31048</v>
      </c>
      <c r="X2932" s="1">
        <v>31048</v>
      </c>
      <c r="Y2932" s="1">
        <v>45658</v>
      </c>
      <c r="Z2932" t="s">
        <v>51</v>
      </c>
      <c r="AB2932" t="s">
        <v>54</v>
      </c>
      <c r="AC2932">
        <v>1</v>
      </c>
      <c r="AE2932" t="s">
        <v>356</v>
      </c>
      <c r="AF2932">
        <v>20</v>
      </c>
      <c r="AG2932" s="1">
        <v>44076</v>
      </c>
      <c r="AH2932" s="1">
        <v>44076</v>
      </c>
      <c r="AI2932" s="1">
        <v>44076</v>
      </c>
      <c r="AJ2932" s="1">
        <v>51381</v>
      </c>
      <c r="AK2932" t="s">
        <v>51</v>
      </c>
      <c r="AN2932">
        <v>0</v>
      </c>
      <c r="AO2932" t="s">
        <v>54</v>
      </c>
      <c r="AP2932" t="s">
        <v>53</v>
      </c>
      <c r="AQ2932">
        <v>0</v>
      </c>
      <c r="AR2932" t="s">
        <v>145</v>
      </c>
      <c r="AS2932">
        <v>0</v>
      </c>
      <c r="AT2932">
        <v>0</v>
      </c>
      <c r="CC2932" t="s">
        <v>250</v>
      </c>
      <c r="CD2932">
        <v>100000</v>
      </c>
      <c r="CE2932" s="1">
        <v>44076</v>
      </c>
      <c r="CF2932" s="1">
        <v>44076</v>
      </c>
      <c r="CG2932" s="1">
        <v>44076</v>
      </c>
      <c r="CH2932" s="1">
        <v>52993</v>
      </c>
      <c r="CI2932" t="s">
        <v>51</v>
      </c>
      <c r="CK2932" t="s">
        <v>78</v>
      </c>
      <c r="CM2932" t="s">
        <v>54</v>
      </c>
      <c r="CN2932" t="s">
        <v>174</v>
      </c>
      <c r="CR2932">
        <v>13.2</v>
      </c>
      <c r="CS2932">
        <v>1800</v>
      </c>
      <c r="CT2932">
        <v>0</v>
      </c>
      <c r="CU2932">
        <v>16</v>
      </c>
    </row>
    <row r="2933" spans="1:112" x14ac:dyDescent="0.2">
      <c r="A2933" t="s">
        <v>1012</v>
      </c>
      <c r="B2933" t="s">
        <v>1013</v>
      </c>
      <c r="C2933" t="s">
        <v>1019</v>
      </c>
      <c r="D2933" t="s">
        <v>1020</v>
      </c>
      <c r="F2933" t="str">
        <f>"?105"</f>
        <v>?105</v>
      </c>
      <c r="G2933" t="s">
        <v>49</v>
      </c>
      <c r="K2933" t="s">
        <v>51</v>
      </c>
      <c r="L2933" t="s">
        <v>52</v>
      </c>
      <c r="M2933">
        <v>131806.61300000001</v>
      </c>
      <c r="N2933">
        <v>476045.03600000002</v>
      </c>
      <c r="O2933" t="s">
        <v>53</v>
      </c>
      <c r="P2933" t="s">
        <v>54</v>
      </c>
      <c r="Q2933" t="s">
        <v>55</v>
      </c>
      <c r="T2933" t="s">
        <v>431</v>
      </c>
      <c r="U2933">
        <v>40</v>
      </c>
      <c r="V2933" s="1">
        <v>29221</v>
      </c>
      <c r="W2933" s="1">
        <v>29221</v>
      </c>
      <c r="X2933" s="1">
        <v>29221</v>
      </c>
      <c r="Y2933" s="1">
        <v>43831</v>
      </c>
      <c r="Z2933" t="s">
        <v>51</v>
      </c>
      <c r="AB2933" t="s">
        <v>54</v>
      </c>
      <c r="AC2933">
        <v>1</v>
      </c>
      <c r="AE2933" t="s">
        <v>79</v>
      </c>
      <c r="AF2933">
        <v>20</v>
      </c>
      <c r="AG2933" s="1">
        <v>29221</v>
      </c>
      <c r="AH2933" s="1">
        <v>29221</v>
      </c>
      <c r="AI2933" s="1">
        <v>29221</v>
      </c>
      <c r="AJ2933" s="1">
        <v>36526</v>
      </c>
      <c r="AK2933" t="s">
        <v>51</v>
      </c>
      <c r="AN2933">
        <v>0</v>
      </c>
      <c r="AO2933" t="s">
        <v>54</v>
      </c>
      <c r="AP2933" t="s">
        <v>53</v>
      </c>
      <c r="AQ2933">
        <v>0</v>
      </c>
      <c r="AR2933" t="s">
        <v>145</v>
      </c>
      <c r="AS2933">
        <v>0</v>
      </c>
      <c r="AT2933">
        <v>0</v>
      </c>
      <c r="AW2933" t="s">
        <v>79</v>
      </c>
      <c r="AX2933">
        <v>20</v>
      </c>
      <c r="AY2933" s="1">
        <v>29221</v>
      </c>
      <c r="AZ2933" s="1">
        <v>29221</v>
      </c>
      <c r="BA2933" s="1">
        <v>29221</v>
      </c>
      <c r="BB2933" s="1">
        <v>36526</v>
      </c>
      <c r="BC2933" t="s">
        <v>51</v>
      </c>
      <c r="BE2933" t="s">
        <v>54</v>
      </c>
      <c r="BF2933">
        <v>5</v>
      </c>
      <c r="BG2933">
        <v>0</v>
      </c>
      <c r="BH2933" t="s">
        <v>53</v>
      </c>
      <c r="BK2933" t="s">
        <v>59</v>
      </c>
      <c r="BL2933">
        <v>14000</v>
      </c>
      <c r="BM2933" s="1">
        <v>42917</v>
      </c>
      <c r="BN2933" s="1">
        <v>42917</v>
      </c>
      <c r="BO2933" s="1">
        <v>42917</v>
      </c>
      <c r="BP2933" s="1">
        <v>44117</v>
      </c>
      <c r="BQ2933" t="s">
        <v>51</v>
      </c>
      <c r="BS2933" t="s">
        <v>60</v>
      </c>
      <c r="BT2933" t="s">
        <v>54</v>
      </c>
      <c r="BU2933" t="s">
        <v>61</v>
      </c>
      <c r="BV2933" t="s">
        <v>62</v>
      </c>
      <c r="BX2933">
        <v>24</v>
      </c>
      <c r="BY2933">
        <v>0</v>
      </c>
      <c r="BZ2933">
        <v>0</v>
      </c>
    </row>
    <row r="2934" spans="1:112" x14ac:dyDescent="0.2">
      <c r="A2934" t="s">
        <v>1012</v>
      </c>
      <c r="B2934" t="s">
        <v>1013</v>
      </c>
      <c r="C2934" t="s">
        <v>1014</v>
      </c>
      <c r="D2934" t="s">
        <v>1020</v>
      </c>
      <c r="F2934" t="str">
        <f>"252123"</f>
        <v>252123</v>
      </c>
      <c r="G2934" t="s">
        <v>49</v>
      </c>
      <c r="K2934" t="s">
        <v>51</v>
      </c>
      <c r="L2934" t="s">
        <v>52</v>
      </c>
      <c r="M2934">
        <v>131791.96400000001</v>
      </c>
      <c r="N2934">
        <v>476112.17599999998</v>
      </c>
      <c r="O2934" t="s">
        <v>53</v>
      </c>
      <c r="P2934" t="s">
        <v>54</v>
      </c>
      <c r="Q2934" t="s">
        <v>55</v>
      </c>
      <c r="T2934" t="s">
        <v>81</v>
      </c>
      <c r="U2934">
        <v>40</v>
      </c>
      <c r="V2934" s="1">
        <v>31048</v>
      </c>
      <c r="W2934" s="1">
        <v>31048</v>
      </c>
      <c r="X2934" s="1">
        <v>31048</v>
      </c>
      <c r="Y2934" s="1">
        <v>45658</v>
      </c>
      <c r="Z2934" t="s">
        <v>51</v>
      </c>
      <c r="AB2934" t="s">
        <v>54</v>
      </c>
      <c r="AC2934">
        <v>1</v>
      </c>
      <c r="AE2934" t="s">
        <v>356</v>
      </c>
      <c r="AF2934">
        <v>20</v>
      </c>
      <c r="AG2934" s="1">
        <v>44076</v>
      </c>
      <c r="AH2934" s="1">
        <v>44076</v>
      </c>
      <c r="AI2934" s="1">
        <v>44076</v>
      </c>
      <c r="AJ2934" s="1">
        <v>51381</v>
      </c>
      <c r="AK2934" t="s">
        <v>51</v>
      </c>
      <c r="AN2934">
        <v>0</v>
      </c>
      <c r="AO2934" t="s">
        <v>54</v>
      </c>
      <c r="AP2934" t="s">
        <v>53</v>
      </c>
      <c r="AQ2934">
        <v>0</v>
      </c>
      <c r="AR2934" t="s">
        <v>145</v>
      </c>
      <c r="AS2934">
        <v>0</v>
      </c>
      <c r="AT2934">
        <v>0</v>
      </c>
      <c r="CC2934" t="s">
        <v>250</v>
      </c>
      <c r="CD2934">
        <v>100000</v>
      </c>
      <c r="CE2934" s="1">
        <v>44076</v>
      </c>
      <c r="CF2934" s="1">
        <v>44076</v>
      </c>
      <c r="CG2934" s="1">
        <v>44076</v>
      </c>
      <c r="CH2934" s="1">
        <v>52993</v>
      </c>
      <c r="CI2934" t="s">
        <v>51</v>
      </c>
      <c r="CK2934" t="s">
        <v>78</v>
      </c>
      <c r="CM2934" t="s">
        <v>54</v>
      </c>
      <c r="CN2934" t="s">
        <v>174</v>
      </c>
      <c r="CR2934">
        <v>13.2</v>
      </c>
      <c r="CS2934">
        <v>1800</v>
      </c>
      <c r="CT2934">
        <v>0</v>
      </c>
      <c r="CU2934">
        <v>16</v>
      </c>
    </row>
    <row r="2935" spans="1:112" x14ac:dyDescent="0.2">
      <c r="A2935" t="s">
        <v>1012</v>
      </c>
      <c r="B2935" t="s">
        <v>1013</v>
      </c>
      <c r="C2935" t="s">
        <v>1014</v>
      </c>
      <c r="D2935" t="s">
        <v>1020</v>
      </c>
      <c r="F2935" t="str">
        <f>"252122"</f>
        <v>252122</v>
      </c>
      <c r="G2935" t="s">
        <v>49</v>
      </c>
      <c r="K2935" t="s">
        <v>51</v>
      </c>
      <c r="L2935" t="s">
        <v>52</v>
      </c>
      <c r="M2935">
        <v>131786.79999999999</v>
      </c>
      <c r="N2935">
        <v>476078.4</v>
      </c>
      <c r="O2935" t="s">
        <v>53</v>
      </c>
      <c r="P2935" t="s">
        <v>54</v>
      </c>
      <c r="Q2935" t="s">
        <v>55</v>
      </c>
      <c r="T2935" t="s">
        <v>81</v>
      </c>
      <c r="U2935">
        <v>40</v>
      </c>
      <c r="V2935" s="1">
        <v>31048</v>
      </c>
      <c r="W2935" s="1">
        <v>31048</v>
      </c>
      <c r="X2935" s="1">
        <v>31048</v>
      </c>
      <c r="Y2935" s="1">
        <v>45658</v>
      </c>
      <c r="Z2935" t="s">
        <v>51</v>
      </c>
      <c r="AB2935" t="s">
        <v>54</v>
      </c>
      <c r="AC2935">
        <v>1</v>
      </c>
      <c r="AE2935" t="s">
        <v>356</v>
      </c>
      <c r="AF2935">
        <v>20</v>
      </c>
      <c r="AG2935" s="1">
        <v>44076</v>
      </c>
      <c r="AH2935" s="1">
        <v>44076</v>
      </c>
      <c r="AI2935" s="1">
        <v>44076</v>
      </c>
      <c r="AJ2935" s="1">
        <v>51381</v>
      </c>
      <c r="AK2935" t="s">
        <v>51</v>
      </c>
      <c r="AN2935">
        <v>0</v>
      </c>
      <c r="AO2935" t="s">
        <v>54</v>
      </c>
      <c r="AP2935" t="s">
        <v>53</v>
      </c>
      <c r="AQ2935">
        <v>0</v>
      </c>
      <c r="AR2935" t="s">
        <v>145</v>
      </c>
      <c r="AS2935">
        <v>0</v>
      </c>
      <c r="AT2935">
        <v>0</v>
      </c>
      <c r="CC2935" t="s">
        <v>244</v>
      </c>
      <c r="CD2935">
        <v>100000</v>
      </c>
      <c r="CE2935" s="1">
        <v>44076</v>
      </c>
      <c r="CF2935" s="1">
        <v>44076</v>
      </c>
      <c r="CG2935" s="1">
        <v>44076</v>
      </c>
      <c r="CH2935" s="1">
        <v>52993</v>
      </c>
      <c r="CI2935" t="s">
        <v>51</v>
      </c>
      <c r="CK2935" t="s">
        <v>78</v>
      </c>
      <c r="CM2935" t="s">
        <v>54</v>
      </c>
      <c r="CN2935" t="s">
        <v>174</v>
      </c>
      <c r="CR2935">
        <v>0</v>
      </c>
      <c r="CS2935">
        <v>2150</v>
      </c>
      <c r="CT2935">
        <v>0</v>
      </c>
      <c r="CU2935">
        <v>16</v>
      </c>
    </row>
    <row r="2936" spans="1:112" x14ac:dyDescent="0.2">
      <c r="A2936" t="s">
        <v>1012</v>
      </c>
      <c r="B2936" t="s">
        <v>1013</v>
      </c>
      <c r="C2936" t="s">
        <v>1025</v>
      </c>
      <c r="D2936" t="s">
        <v>1049</v>
      </c>
      <c r="F2936" t="str">
        <f>"?151"</f>
        <v>?151</v>
      </c>
      <c r="G2936" t="s">
        <v>49</v>
      </c>
      <c r="K2936" t="s">
        <v>51</v>
      </c>
      <c r="L2936" t="s">
        <v>52</v>
      </c>
      <c r="M2936">
        <v>134209.65</v>
      </c>
      <c r="N2936">
        <v>473944.77</v>
      </c>
      <c r="O2936" t="s">
        <v>53</v>
      </c>
      <c r="P2936" t="s">
        <v>54</v>
      </c>
      <c r="Q2936" t="s">
        <v>55</v>
      </c>
      <c r="T2936" t="s">
        <v>431</v>
      </c>
      <c r="U2936">
        <v>40</v>
      </c>
      <c r="V2936" s="1">
        <v>35796</v>
      </c>
      <c r="W2936" s="1">
        <v>35796</v>
      </c>
      <c r="X2936" s="1">
        <v>35796</v>
      </c>
      <c r="Y2936" s="1">
        <v>50406</v>
      </c>
      <c r="Z2936" t="s">
        <v>51</v>
      </c>
      <c r="AB2936" t="s">
        <v>54</v>
      </c>
      <c r="AC2936">
        <v>1</v>
      </c>
      <c r="AE2936" t="s">
        <v>79</v>
      </c>
      <c r="AF2936">
        <v>20</v>
      </c>
      <c r="AG2936" s="1">
        <v>35796</v>
      </c>
      <c r="AH2936" s="1">
        <v>35796</v>
      </c>
      <c r="AI2936" s="1">
        <v>35796</v>
      </c>
      <c r="AJ2936" s="1">
        <v>43101</v>
      </c>
      <c r="AK2936" t="s">
        <v>51</v>
      </c>
      <c r="AN2936">
        <v>0</v>
      </c>
      <c r="AO2936" t="s">
        <v>54</v>
      </c>
      <c r="AP2936" t="s">
        <v>53</v>
      </c>
      <c r="AQ2936">
        <v>0</v>
      </c>
      <c r="AR2936" t="s">
        <v>145</v>
      </c>
      <c r="AS2936">
        <v>0</v>
      </c>
      <c r="AT2936">
        <v>0</v>
      </c>
      <c r="BK2936" t="s">
        <v>975</v>
      </c>
      <c r="BL2936">
        <v>50000</v>
      </c>
      <c r="BM2936" s="1">
        <v>44316</v>
      </c>
      <c r="BN2936" s="1">
        <v>44316</v>
      </c>
      <c r="BO2936" s="1">
        <v>44316</v>
      </c>
      <c r="BP2936" s="1">
        <v>48561</v>
      </c>
      <c r="BQ2936" t="s">
        <v>51</v>
      </c>
      <c r="BS2936" t="s">
        <v>60</v>
      </c>
      <c r="BT2936" t="s">
        <v>54</v>
      </c>
      <c r="BU2936" t="s">
        <v>61</v>
      </c>
      <c r="BV2936" t="s">
        <v>86</v>
      </c>
      <c r="BX2936">
        <v>18</v>
      </c>
      <c r="BY2936">
        <v>1980</v>
      </c>
      <c r="BZ2936">
        <v>0</v>
      </c>
    </row>
    <row r="2937" spans="1:112" x14ac:dyDescent="0.2">
      <c r="A2937" t="s">
        <v>1012</v>
      </c>
      <c r="B2937" t="s">
        <v>1013</v>
      </c>
      <c r="C2937" t="s">
        <v>1019</v>
      </c>
      <c r="D2937" t="s">
        <v>1020</v>
      </c>
      <c r="F2937" t="str">
        <f>"?159"</f>
        <v>?159</v>
      </c>
      <c r="G2937" t="s">
        <v>49</v>
      </c>
      <c r="K2937" t="s">
        <v>51</v>
      </c>
      <c r="L2937" t="s">
        <v>52</v>
      </c>
      <c r="M2937">
        <v>131782.63</v>
      </c>
      <c r="N2937">
        <v>475951.66</v>
      </c>
      <c r="O2937" t="s">
        <v>53</v>
      </c>
      <c r="P2937" t="s">
        <v>54</v>
      </c>
      <c r="Q2937" t="s">
        <v>55</v>
      </c>
      <c r="T2937" t="s">
        <v>431</v>
      </c>
      <c r="U2937">
        <v>40</v>
      </c>
      <c r="V2937" s="1">
        <v>29221</v>
      </c>
      <c r="W2937" s="1">
        <v>29221</v>
      </c>
      <c r="X2937" s="1">
        <v>29221</v>
      </c>
      <c r="Y2937" s="1">
        <v>43831</v>
      </c>
      <c r="Z2937" t="s">
        <v>51</v>
      </c>
      <c r="AB2937" t="s">
        <v>54</v>
      </c>
      <c r="AC2937">
        <v>1</v>
      </c>
      <c r="AE2937" t="s">
        <v>79</v>
      </c>
      <c r="AF2937">
        <v>20</v>
      </c>
      <c r="AG2937" s="1">
        <v>29221</v>
      </c>
      <c r="AH2937" s="1">
        <v>29221</v>
      </c>
      <c r="AI2937" s="1">
        <v>29221</v>
      </c>
      <c r="AJ2937" s="1">
        <v>36526</v>
      </c>
      <c r="AK2937" t="s">
        <v>51</v>
      </c>
      <c r="AN2937">
        <v>0</v>
      </c>
      <c r="AO2937" t="s">
        <v>54</v>
      </c>
      <c r="AP2937" t="s">
        <v>53</v>
      </c>
      <c r="AQ2937">
        <v>0</v>
      </c>
      <c r="AR2937" t="s">
        <v>145</v>
      </c>
      <c r="AS2937">
        <v>0</v>
      </c>
      <c r="AT2937">
        <v>0</v>
      </c>
      <c r="AW2937" t="s">
        <v>79</v>
      </c>
      <c r="AX2937">
        <v>20</v>
      </c>
      <c r="AY2937" s="1">
        <v>29221</v>
      </c>
      <c r="AZ2937" s="1">
        <v>29221</v>
      </c>
      <c r="BA2937" s="1">
        <v>29221</v>
      </c>
      <c r="BB2937" s="1">
        <v>36526</v>
      </c>
      <c r="BC2937" t="s">
        <v>51</v>
      </c>
      <c r="BE2937" t="s">
        <v>54</v>
      </c>
      <c r="BF2937">
        <v>5</v>
      </c>
      <c r="BG2937">
        <v>0</v>
      </c>
      <c r="BH2937" t="s">
        <v>53</v>
      </c>
      <c r="BK2937" t="s">
        <v>59</v>
      </c>
      <c r="BL2937">
        <v>14000</v>
      </c>
      <c r="BM2937" s="1">
        <v>42917</v>
      </c>
      <c r="BN2937" s="1">
        <v>42917</v>
      </c>
      <c r="BO2937" s="1">
        <v>42917</v>
      </c>
      <c r="BP2937" s="1">
        <v>44117</v>
      </c>
      <c r="BQ2937" t="s">
        <v>51</v>
      </c>
      <c r="BS2937" t="s">
        <v>60</v>
      </c>
      <c r="BT2937" t="s">
        <v>54</v>
      </c>
      <c r="BU2937" t="s">
        <v>61</v>
      </c>
      <c r="BV2937" t="s">
        <v>62</v>
      </c>
      <c r="BX2937">
        <v>24</v>
      </c>
      <c r="BY2937">
        <v>0</v>
      </c>
      <c r="BZ2937">
        <v>0</v>
      </c>
    </row>
    <row r="2938" spans="1:112" x14ac:dyDescent="0.2">
      <c r="A2938" t="s">
        <v>1012</v>
      </c>
      <c r="B2938" t="s">
        <v>1013</v>
      </c>
      <c r="C2938" t="s">
        <v>1052</v>
      </c>
      <c r="D2938" t="s">
        <v>1071</v>
      </c>
      <c r="F2938" t="str">
        <f>"254053"</f>
        <v>254053</v>
      </c>
      <c r="G2938" t="s">
        <v>49</v>
      </c>
      <c r="K2938" t="s">
        <v>51</v>
      </c>
      <c r="L2938" t="s">
        <v>52</v>
      </c>
      <c r="M2938">
        <v>131668.94</v>
      </c>
      <c r="N2938">
        <v>475034.91</v>
      </c>
      <c r="O2938" t="s">
        <v>53</v>
      </c>
      <c r="P2938" t="s">
        <v>54</v>
      </c>
      <c r="Q2938" t="s">
        <v>55</v>
      </c>
      <c r="T2938" t="s">
        <v>246</v>
      </c>
      <c r="U2938">
        <v>40</v>
      </c>
      <c r="V2938" s="1">
        <v>42917</v>
      </c>
      <c r="W2938" s="1">
        <v>42917</v>
      </c>
      <c r="X2938" s="1">
        <v>42917</v>
      </c>
      <c r="Y2938" s="1">
        <v>57527</v>
      </c>
      <c r="Z2938" t="s">
        <v>51</v>
      </c>
      <c r="AB2938" t="s">
        <v>54</v>
      </c>
      <c r="AC2938">
        <v>1</v>
      </c>
      <c r="AE2938" t="s">
        <v>243</v>
      </c>
      <c r="AF2938">
        <v>20</v>
      </c>
      <c r="AG2938" s="1">
        <v>42917</v>
      </c>
      <c r="AH2938" s="1">
        <v>42917</v>
      </c>
      <c r="AI2938" s="1">
        <v>42917</v>
      </c>
      <c r="AJ2938" s="1">
        <v>50222</v>
      </c>
      <c r="AK2938" t="s">
        <v>51</v>
      </c>
      <c r="AN2938">
        <v>0</v>
      </c>
      <c r="AO2938" t="s">
        <v>54</v>
      </c>
      <c r="AP2938" t="s">
        <v>53</v>
      </c>
      <c r="AQ2938">
        <v>0</v>
      </c>
      <c r="AR2938" t="s">
        <v>53</v>
      </c>
      <c r="AS2938">
        <v>0</v>
      </c>
      <c r="AT2938">
        <v>0</v>
      </c>
      <c r="CC2938" t="s">
        <v>244</v>
      </c>
      <c r="CD2938">
        <v>100000</v>
      </c>
      <c r="CE2938" s="1">
        <v>42917</v>
      </c>
      <c r="CF2938" s="1">
        <v>42917</v>
      </c>
      <c r="CG2938" s="1">
        <v>42917</v>
      </c>
      <c r="CH2938" s="1">
        <v>51866</v>
      </c>
      <c r="CI2938" t="s">
        <v>51</v>
      </c>
      <c r="CK2938" t="s">
        <v>78</v>
      </c>
      <c r="CM2938" t="s">
        <v>54</v>
      </c>
      <c r="CN2938" t="s">
        <v>174</v>
      </c>
      <c r="CR2938">
        <v>0</v>
      </c>
      <c r="CS2938">
        <v>2150</v>
      </c>
      <c r="CT2938">
        <v>0</v>
      </c>
      <c r="CU2938">
        <v>16</v>
      </c>
    </row>
    <row r="2939" spans="1:112" x14ac:dyDescent="0.2">
      <c r="A2939" t="s">
        <v>1012</v>
      </c>
      <c r="B2939" t="s">
        <v>1013</v>
      </c>
      <c r="C2939" t="s">
        <v>1014</v>
      </c>
      <c r="D2939" t="s">
        <v>1015</v>
      </c>
      <c r="F2939" t="str">
        <f>"?180"</f>
        <v>?180</v>
      </c>
      <c r="G2939" t="s">
        <v>49</v>
      </c>
      <c r="K2939" t="s">
        <v>51</v>
      </c>
      <c r="L2939" t="s">
        <v>52</v>
      </c>
      <c r="M2939">
        <v>131584.87</v>
      </c>
      <c r="N2939">
        <v>475125.35</v>
      </c>
      <c r="O2939" t="s">
        <v>53</v>
      </c>
      <c r="P2939" t="s">
        <v>54</v>
      </c>
      <c r="Q2939" t="s">
        <v>55</v>
      </c>
      <c r="T2939" t="s">
        <v>431</v>
      </c>
      <c r="U2939">
        <v>40</v>
      </c>
      <c r="V2939" s="1">
        <v>29221</v>
      </c>
      <c r="W2939" s="1">
        <v>29221</v>
      </c>
      <c r="X2939" s="1">
        <v>29221</v>
      </c>
      <c r="Y2939" s="1">
        <v>43831</v>
      </c>
      <c r="Z2939" t="s">
        <v>51</v>
      </c>
      <c r="AB2939" t="s">
        <v>54</v>
      </c>
      <c r="AC2939">
        <v>1</v>
      </c>
      <c r="AE2939" t="s">
        <v>79</v>
      </c>
      <c r="AF2939">
        <v>20</v>
      </c>
      <c r="AG2939" s="1">
        <v>29221</v>
      </c>
      <c r="AH2939" s="1">
        <v>29221</v>
      </c>
      <c r="AI2939" s="1">
        <v>29221</v>
      </c>
      <c r="AJ2939" s="1">
        <v>36526</v>
      </c>
      <c r="AK2939" t="s">
        <v>51</v>
      </c>
      <c r="AN2939">
        <v>0</v>
      </c>
      <c r="AO2939" t="s">
        <v>54</v>
      </c>
      <c r="AP2939" t="s">
        <v>53</v>
      </c>
      <c r="AQ2939">
        <v>0</v>
      </c>
      <c r="AR2939" t="s">
        <v>145</v>
      </c>
      <c r="AS2939">
        <v>0</v>
      </c>
      <c r="AT2939">
        <v>0</v>
      </c>
      <c r="AW2939" t="s">
        <v>79</v>
      </c>
      <c r="AX2939">
        <v>20</v>
      </c>
      <c r="AY2939" s="1">
        <v>29221</v>
      </c>
      <c r="AZ2939" s="1">
        <v>29221</v>
      </c>
      <c r="BA2939" s="1">
        <v>29221</v>
      </c>
      <c r="BB2939" s="1">
        <v>36526</v>
      </c>
      <c r="BC2939" t="s">
        <v>51</v>
      </c>
      <c r="BE2939" t="s">
        <v>54</v>
      </c>
      <c r="BF2939">
        <v>5</v>
      </c>
      <c r="BG2939">
        <v>0</v>
      </c>
      <c r="BH2939" t="s">
        <v>53</v>
      </c>
      <c r="BK2939" t="s">
        <v>1178</v>
      </c>
      <c r="BL2939">
        <v>14000</v>
      </c>
      <c r="BM2939" s="1">
        <v>44795</v>
      </c>
      <c r="BN2939" s="1">
        <v>44795</v>
      </c>
      <c r="BO2939" s="1">
        <v>44795</v>
      </c>
      <c r="BP2939" s="1">
        <v>45971</v>
      </c>
      <c r="BQ2939" t="s">
        <v>51</v>
      </c>
      <c r="BS2939" t="s">
        <v>60</v>
      </c>
      <c r="BT2939" t="s">
        <v>54</v>
      </c>
      <c r="BU2939" t="s">
        <v>362</v>
      </c>
      <c r="BV2939" t="s">
        <v>1179</v>
      </c>
      <c r="BX2939">
        <v>20</v>
      </c>
      <c r="BY2939">
        <v>0</v>
      </c>
      <c r="BZ2939">
        <v>0</v>
      </c>
    </row>
    <row r="2940" spans="1:112" x14ac:dyDescent="0.2">
      <c r="A2940" t="s">
        <v>1012</v>
      </c>
      <c r="B2940" t="s">
        <v>1013</v>
      </c>
      <c r="C2940" t="s">
        <v>1019</v>
      </c>
      <c r="D2940" t="s">
        <v>1020</v>
      </c>
      <c r="F2940" t="str">
        <f>"?183"</f>
        <v>?183</v>
      </c>
      <c r="G2940" t="s">
        <v>49</v>
      </c>
      <c r="K2940" t="s">
        <v>51</v>
      </c>
      <c r="L2940" t="s">
        <v>52</v>
      </c>
      <c r="M2940">
        <v>131877.94</v>
      </c>
      <c r="N2940">
        <v>476542.98</v>
      </c>
      <c r="O2940" t="s">
        <v>53</v>
      </c>
      <c r="P2940" t="s">
        <v>54</v>
      </c>
      <c r="Q2940" t="s">
        <v>55</v>
      </c>
      <c r="T2940" t="s">
        <v>431</v>
      </c>
      <c r="U2940">
        <v>40</v>
      </c>
      <c r="V2940" s="1">
        <v>31048</v>
      </c>
      <c r="W2940" s="1">
        <v>31048</v>
      </c>
      <c r="X2940" s="1">
        <v>31048</v>
      </c>
      <c r="Y2940" s="1">
        <v>45658</v>
      </c>
      <c r="Z2940" t="s">
        <v>51</v>
      </c>
      <c r="AB2940" t="s">
        <v>54</v>
      </c>
      <c r="AC2940">
        <v>1</v>
      </c>
      <c r="AE2940" t="s">
        <v>79</v>
      </c>
      <c r="AF2940">
        <v>20</v>
      </c>
      <c r="AG2940" s="1">
        <v>31048</v>
      </c>
      <c r="AH2940" s="1">
        <v>31048</v>
      </c>
      <c r="AI2940" s="1">
        <v>31048</v>
      </c>
      <c r="AJ2940" s="1">
        <v>38353</v>
      </c>
      <c r="AK2940" t="s">
        <v>51</v>
      </c>
      <c r="AN2940">
        <v>0</v>
      </c>
      <c r="AO2940" t="s">
        <v>54</v>
      </c>
      <c r="AP2940" t="s">
        <v>53</v>
      </c>
      <c r="AQ2940">
        <v>0</v>
      </c>
      <c r="AR2940" t="s">
        <v>145</v>
      </c>
      <c r="AS2940">
        <v>0</v>
      </c>
      <c r="AT2940">
        <v>0</v>
      </c>
      <c r="AW2940" t="s">
        <v>79</v>
      </c>
      <c r="AX2940">
        <v>20</v>
      </c>
      <c r="AY2940" s="1">
        <v>31048</v>
      </c>
      <c r="AZ2940" s="1">
        <v>31048</v>
      </c>
      <c r="BA2940" s="1">
        <v>31048</v>
      </c>
      <c r="BB2940" s="1">
        <v>38353</v>
      </c>
      <c r="BC2940" t="s">
        <v>51</v>
      </c>
      <c r="BE2940" t="s">
        <v>54</v>
      </c>
      <c r="BF2940">
        <v>5</v>
      </c>
      <c r="BG2940">
        <v>0</v>
      </c>
      <c r="BH2940" t="s">
        <v>53</v>
      </c>
      <c r="BK2940" t="s">
        <v>146</v>
      </c>
      <c r="BL2940">
        <v>14000</v>
      </c>
      <c r="BM2940" s="1">
        <v>43430</v>
      </c>
      <c r="BN2940" s="1">
        <v>43430</v>
      </c>
      <c r="BO2940" s="1">
        <v>43430</v>
      </c>
      <c r="BP2940" s="1">
        <v>44588</v>
      </c>
      <c r="BQ2940" t="s">
        <v>51</v>
      </c>
      <c r="BS2940" t="s">
        <v>60</v>
      </c>
      <c r="BT2940" t="s">
        <v>54</v>
      </c>
      <c r="BU2940" t="s">
        <v>61</v>
      </c>
      <c r="BV2940" t="s">
        <v>62</v>
      </c>
      <c r="BX2940">
        <v>24</v>
      </c>
      <c r="BY2940">
        <v>0</v>
      </c>
      <c r="BZ2940">
        <v>0</v>
      </c>
    </row>
    <row r="2941" spans="1:112" x14ac:dyDescent="0.2">
      <c r="A2941" t="s">
        <v>1012</v>
      </c>
      <c r="B2941" t="s">
        <v>1013</v>
      </c>
      <c r="C2941" t="s">
        <v>1019</v>
      </c>
      <c r="D2941" t="s">
        <v>1020</v>
      </c>
      <c r="F2941" t="str">
        <f>"?184"</f>
        <v>?184</v>
      </c>
      <c r="G2941" t="s">
        <v>49</v>
      </c>
      <c r="K2941" t="s">
        <v>51</v>
      </c>
      <c r="L2941" t="s">
        <v>52</v>
      </c>
      <c r="M2941">
        <v>131871.24</v>
      </c>
      <c r="N2941">
        <v>476553.44</v>
      </c>
      <c r="O2941" t="s">
        <v>53</v>
      </c>
      <c r="P2941" t="s">
        <v>54</v>
      </c>
      <c r="Q2941" t="s">
        <v>55</v>
      </c>
      <c r="T2941" t="s">
        <v>431</v>
      </c>
      <c r="U2941">
        <v>40</v>
      </c>
      <c r="V2941" s="1">
        <v>31048</v>
      </c>
      <c r="W2941" s="1">
        <v>31048</v>
      </c>
      <c r="X2941" s="1">
        <v>31048</v>
      </c>
      <c r="Y2941" s="1">
        <v>45658</v>
      </c>
      <c r="Z2941" t="s">
        <v>51</v>
      </c>
      <c r="AB2941" t="s">
        <v>54</v>
      </c>
      <c r="AC2941">
        <v>1</v>
      </c>
      <c r="AE2941" t="s">
        <v>79</v>
      </c>
      <c r="AF2941">
        <v>20</v>
      </c>
      <c r="AG2941" s="1">
        <v>31048</v>
      </c>
      <c r="AH2941" s="1">
        <v>31048</v>
      </c>
      <c r="AI2941" s="1">
        <v>31048</v>
      </c>
      <c r="AJ2941" s="1">
        <v>38353</v>
      </c>
      <c r="AK2941" t="s">
        <v>51</v>
      </c>
      <c r="AN2941">
        <v>0</v>
      </c>
      <c r="AO2941" t="s">
        <v>54</v>
      </c>
      <c r="AP2941" t="s">
        <v>53</v>
      </c>
      <c r="AQ2941">
        <v>0</v>
      </c>
      <c r="AR2941" t="s">
        <v>145</v>
      </c>
      <c r="AS2941">
        <v>0</v>
      </c>
      <c r="AT2941">
        <v>0</v>
      </c>
      <c r="AW2941" t="s">
        <v>79</v>
      </c>
      <c r="AX2941">
        <v>20</v>
      </c>
      <c r="AY2941" s="1">
        <v>31048</v>
      </c>
      <c r="AZ2941" s="1">
        <v>31048</v>
      </c>
      <c r="BA2941" s="1">
        <v>31048</v>
      </c>
      <c r="BB2941" s="1">
        <v>38353</v>
      </c>
      <c r="BC2941" t="s">
        <v>51</v>
      </c>
      <c r="BE2941" t="s">
        <v>54</v>
      </c>
      <c r="BF2941">
        <v>5</v>
      </c>
      <c r="BG2941">
        <v>0</v>
      </c>
      <c r="BH2941" t="s">
        <v>53</v>
      </c>
      <c r="BK2941" t="s">
        <v>146</v>
      </c>
      <c r="BL2941">
        <v>14000</v>
      </c>
      <c r="BM2941" s="1">
        <v>43430</v>
      </c>
      <c r="BN2941" s="1">
        <v>43430</v>
      </c>
      <c r="BO2941" s="1">
        <v>43430</v>
      </c>
      <c r="BP2941" s="1">
        <v>44588</v>
      </c>
      <c r="BQ2941" t="s">
        <v>51</v>
      </c>
      <c r="BS2941" t="s">
        <v>60</v>
      </c>
      <c r="BT2941" t="s">
        <v>54</v>
      </c>
      <c r="BU2941" t="s">
        <v>61</v>
      </c>
      <c r="BV2941" t="s">
        <v>62</v>
      </c>
      <c r="BX2941">
        <v>24</v>
      </c>
      <c r="BY2941">
        <v>0</v>
      </c>
      <c r="BZ2941">
        <v>0</v>
      </c>
    </row>
    <row r="2942" spans="1:112" x14ac:dyDescent="0.2">
      <c r="A2942" t="s">
        <v>1012</v>
      </c>
      <c r="B2942" t="s">
        <v>1013</v>
      </c>
      <c r="C2942" t="s">
        <v>1025</v>
      </c>
      <c r="D2942" t="s">
        <v>1022</v>
      </c>
      <c r="F2942" t="str">
        <f>"254384"</f>
        <v>254384</v>
      </c>
      <c r="G2942" t="s">
        <v>49</v>
      </c>
      <c r="K2942" t="s">
        <v>51</v>
      </c>
      <c r="L2942" t="s">
        <v>52</v>
      </c>
      <c r="M2942">
        <v>134987.24</v>
      </c>
      <c r="N2942">
        <v>473768.23</v>
      </c>
      <c r="O2942" t="s">
        <v>53</v>
      </c>
      <c r="P2942" t="s">
        <v>54</v>
      </c>
      <c r="Q2942" t="s">
        <v>55</v>
      </c>
      <c r="T2942" t="s">
        <v>431</v>
      </c>
      <c r="U2942">
        <v>40</v>
      </c>
      <c r="V2942" s="1">
        <v>31048</v>
      </c>
      <c r="W2942" s="1">
        <v>31048</v>
      </c>
      <c r="X2942" s="1">
        <v>31048</v>
      </c>
      <c r="Y2942" s="1">
        <v>45658</v>
      </c>
      <c r="Z2942" t="s">
        <v>51</v>
      </c>
      <c r="AB2942" t="s">
        <v>54</v>
      </c>
      <c r="AC2942">
        <v>1</v>
      </c>
      <c r="AE2942" t="s">
        <v>1024</v>
      </c>
      <c r="AF2942">
        <v>20</v>
      </c>
      <c r="AG2942" s="1">
        <v>44369</v>
      </c>
      <c r="AH2942" s="1">
        <v>44369</v>
      </c>
      <c r="AI2942" s="1">
        <v>44369</v>
      </c>
      <c r="AJ2942" s="1">
        <v>51674</v>
      </c>
      <c r="AK2942" t="s">
        <v>51</v>
      </c>
      <c r="AN2942">
        <v>0</v>
      </c>
      <c r="AO2942" t="s">
        <v>54</v>
      </c>
      <c r="AP2942" t="s">
        <v>53</v>
      </c>
      <c r="AQ2942">
        <v>0</v>
      </c>
      <c r="AR2942" t="s">
        <v>145</v>
      </c>
      <c r="AS2942">
        <v>0</v>
      </c>
      <c r="AT2942">
        <v>0</v>
      </c>
      <c r="CC2942" t="s">
        <v>555</v>
      </c>
      <c r="CD2942">
        <v>85000</v>
      </c>
      <c r="CE2942" s="1">
        <v>44369</v>
      </c>
      <c r="CF2942" s="1">
        <v>44369</v>
      </c>
      <c r="CG2942" s="1">
        <v>44369</v>
      </c>
      <c r="CH2942" s="1">
        <v>51959</v>
      </c>
      <c r="CI2942" t="s">
        <v>51</v>
      </c>
      <c r="CK2942" t="s">
        <v>78</v>
      </c>
      <c r="CM2942" t="s">
        <v>54</v>
      </c>
      <c r="CN2942" t="s">
        <v>174</v>
      </c>
      <c r="CO2942" t="s">
        <v>86</v>
      </c>
      <c r="CR2942">
        <v>20</v>
      </c>
      <c r="CS2942">
        <v>0</v>
      </c>
      <c r="CT2942">
        <v>0</v>
      </c>
      <c r="CU2942">
        <v>0</v>
      </c>
    </row>
    <row r="2943" spans="1:112" x14ac:dyDescent="0.2">
      <c r="A2943" t="s">
        <v>1012</v>
      </c>
      <c r="B2943" t="s">
        <v>1013</v>
      </c>
      <c r="C2943" t="s">
        <v>1025</v>
      </c>
      <c r="D2943" t="s">
        <v>1022</v>
      </c>
      <c r="F2943" t="str">
        <f>"?186"</f>
        <v>?186</v>
      </c>
      <c r="G2943" t="s">
        <v>49</v>
      </c>
      <c r="H2943" t="s">
        <v>1180</v>
      </c>
      <c r="K2943" t="s">
        <v>51</v>
      </c>
      <c r="L2943" t="s">
        <v>52</v>
      </c>
      <c r="M2943">
        <v>134876.60999999999</v>
      </c>
      <c r="N2943">
        <v>473712.44</v>
      </c>
      <c r="O2943" t="s">
        <v>53</v>
      </c>
      <c r="P2943" t="s">
        <v>54</v>
      </c>
      <c r="Q2943" t="s">
        <v>55</v>
      </c>
      <c r="T2943" t="s">
        <v>431</v>
      </c>
      <c r="U2943">
        <v>40</v>
      </c>
      <c r="V2943" s="1">
        <v>31048</v>
      </c>
      <c r="W2943" s="1">
        <v>31048</v>
      </c>
      <c r="X2943" s="1">
        <v>31048</v>
      </c>
      <c r="Y2943" s="1">
        <v>45658</v>
      </c>
      <c r="Z2943" t="s">
        <v>51</v>
      </c>
      <c r="AB2943" t="s">
        <v>54</v>
      </c>
      <c r="AC2943">
        <v>1</v>
      </c>
      <c r="AE2943" t="s">
        <v>79</v>
      </c>
      <c r="AF2943">
        <v>20</v>
      </c>
      <c r="AG2943" s="1">
        <v>31048</v>
      </c>
      <c r="AH2943" s="1">
        <v>31048</v>
      </c>
      <c r="AI2943" s="1">
        <v>31048</v>
      </c>
      <c r="AJ2943" s="1">
        <v>38353</v>
      </c>
      <c r="AK2943" t="s">
        <v>51</v>
      </c>
      <c r="AN2943">
        <v>0</v>
      </c>
      <c r="AO2943" t="s">
        <v>54</v>
      </c>
      <c r="AP2943" t="s">
        <v>53</v>
      </c>
      <c r="AQ2943">
        <v>0</v>
      </c>
      <c r="AR2943" t="s">
        <v>145</v>
      </c>
      <c r="AS2943">
        <v>0</v>
      </c>
      <c r="AT2943">
        <v>0</v>
      </c>
      <c r="BK2943" t="s">
        <v>92</v>
      </c>
      <c r="BL2943">
        <v>14000</v>
      </c>
      <c r="BM2943" s="1">
        <v>42917</v>
      </c>
      <c r="BN2943" s="1">
        <v>42917</v>
      </c>
      <c r="BO2943" s="1">
        <v>42917</v>
      </c>
      <c r="BP2943" s="1">
        <v>44117</v>
      </c>
      <c r="BQ2943" t="s">
        <v>51</v>
      </c>
      <c r="BS2943" t="s">
        <v>60</v>
      </c>
      <c r="BT2943" t="s">
        <v>54</v>
      </c>
      <c r="BU2943" t="s">
        <v>61</v>
      </c>
      <c r="BV2943" t="s">
        <v>62</v>
      </c>
      <c r="BX2943">
        <v>55</v>
      </c>
      <c r="BY2943">
        <v>0</v>
      </c>
      <c r="BZ2943">
        <v>0</v>
      </c>
      <c r="CC2943" t="s">
        <v>555</v>
      </c>
      <c r="CD2943">
        <v>85000</v>
      </c>
      <c r="CE2943" s="1">
        <v>44363</v>
      </c>
      <c r="CF2943" s="1">
        <v>44363</v>
      </c>
      <c r="CG2943" s="1">
        <v>44363</v>
      </c>
      <c r="CH2943" s="1">
        <v>51955</v>
      </c>
      <c r="CI2943" t="s">
        <v>51</v>
      </c>
      <c r="CK2943" t="s">
        <v>78</v>
      </c>
      <c r="CM2943" t="s">
        <v>54</v>
      </c>
      <c r="CN2943" t="s">
        <v>174</v>
      </c>
      <c r="CO2943" t="s">
        <v>86</v>
      </c>
      <c r="CR2943">
        <v>20</v>
      </c>
      <c r="CS2943">
        <v>0</v>
      </c>
      <c r="CT2943">
        <v>0</v>
      </c>
      <c r="CU2943">
        <v>0</v>
      </c>
    </row>
    <row r="2944" spans="1:112" x14ac:dyDescent="0.2">
      <c r="A2944" t="s">
        <v>1012</v>
      </c>
      <c r="B2944" t="s">
        <v>1013</v>
      </c>
      <c r="C2944" t="s">
        <v>1025</v>
      </c>
      <c r="D2944" t="s">
        <v>1022</v>
      </c>
      <c r="F2944" t="str">
        <f>"?187"</f>
        <v>?187</v>
      </c>
      <c r="G2944" t="s">
        <v>49</v>
      </c>
      <c r="H2944" t="s">
        <v>1180</v>
      </c>
      <c r="K2944" t="s">
        <v>1181</v>
      </c>
      <c r="L2944" t="s">
        <v>52</v>
      </c>
      <c r="M2944">
        <v>134873.39000000001</v>
      </c>
      <c r="N2944">
        <v>473745.59</v>
      </c>
      <c r="O2944" t="s">
        <v>53</v>
      </c>
      <c r="P2944" t="s">
        <v>54</v>
      </c>
      <c r="AP2944" t="s">
        <v>53</v>
      </c>
      <c r="AR2944" t="s">
        <v>53</v>
      </c>
      <c r="BH2944" t="s">
        <v>53</v>
      </c>
    </row>
    <row r="2945" spans="1:112" x14ac:dyDescent="0.2">
      <c r="A2945" t="s">
        <v>1012</v>
      </c>
      <c r="B2945" t="s">
        <v>1013</v>
      </c>
      <c r="C2945" t="s">
        <v>1025</v>
      </c>
      <c r="D2945" t="s">
        <v>1022</v>
      </c>
      <c r="F2945" t="str">
        <f>"?188"</f>
        <v>?188</v>
      </c>
      <c r="G2945" t="s">
        <v>49</v>
      </c>
      <c r="H2945" t="s">
        <v>1180</v>
      </c>
      <c r="K2945" t="s">
        <v>1181</v>
      </c>
      <c r="L2945" t="s">
        <v>52</v>
      </c>
      <c r="M2945">
        <v>134870.42000000001</v>
      </c>
      <c r="N2945">
        <v>473776.94</v>
      </c>
      <c r="O2945" t="s">
        <v>53</v>
      </c>
      <c r="P2945" t="s">
        <v>54</v>
      </c>
      <c r="AP2945" t="s">
        <v>53</v>
      </c>
      <c r="AR2945" t="s">
        <v>53</v>
      </c>
      <c r="BH2945" t="s">
        <v>53</v>
      </c>
    </row>
    <row r="2946" spans="1:112" x14ac:dyDescent="0.2">
      <c r="A2946" t="s">
        <v>1012</v>
      </c>
      <c r="B2946" t="s">
        <v>1013</v>
      </c>
      <c r="C2946" t="s">
        <v>1025</v>
      </c>
      <c r="D2946" t="s">
        <v>1022</v>
      </c>
      <c r="F2946" t="str">
        <f>"?189"</f>
        <v>?189</v>
      </c>
      <c r="G2946" t="s">
        <v>49</v>
      </c>
      <c r="H2946" t="s">
        <v>1180</v>
      </c>
      <c r="K2946" t="s">
        <v>1181</v>
      </c>
      <c r="L2946" t="s">
        <v>52</v>
      </c>
      <c r="M2946">
        <v>134867.72</v>
      </c>
      <c r="N2946">
        <v>473804.84</v>
      </c>
      <c r="O2946" t="s">
        <v>53</v>
      </c>
      <c r="P2946" t="s">
        <v>54</v>
      </c>
      <c r="AP2946" t="s">
        <v>53</v>
      </c>
      <c r="AR2946" t="s">
        <v>53</v>
      </c>
      <c r="BH2946" t="s">
        <v>53</v>
      </c>
    </row>
    <row r="2947" spans="1:112" x14ac:dyDescent="0.2">
      <c r="A2947" t="s">
        <v>1012</v>
      </c>
      <c r="B2947" t="s">
        <v>1013</v>
      </c>
      <c r="C2947" t="s">
        <v>1052</v>
      </c>
      <c r="D2947" t="s">
        <v>1078</v>
      </c>
      <c r="F2947" t="str">
        <f>"?207"</f>
        <v>?207</v>
      </c>
      <c r="G2947" t="s">
        <v>49</v>
      </c>
      <c r="K2947" t="s">
        <v>51</v>
      </c>
      <c r="L2947" t="s">
        <v>52</v>
      </c>
      <c r="M2947">
        <v>131718.66</v>
      </c>
      <c r="N2947">
        <v>474730.57</v>
      </c>
      <c r="O2947" t="s">
        <v>53</v>
      </c>
      <c r="P2947" t="s">
        <v>54</v>
      </c>
      <c r="Q2947" t="s">
        <v>55</v>
      </c>
      <c r="T2947" t="s">
        <v>81</v>
      </c>
      <c r="U2947">
        <v>40</v>
      </c>
      <c r="V2947" s="1">
        <v>30682</v>
      </c>
      <c r="W2947" s="1">
        <v>30682</v>
      </c>
      <c r="X2947" s="1">
        <v>30682</v>
      </c>
      <c r="Y2947" s="1">
        <v>45292</v>
      </c>
      <c r="Z2947" t="s">
        <v>51</v>
      </c>
      <c r="AB2947" t="s">
        <v>54</v>
      </c>
      <c r="AC2947">
        <v>1</v>
      </c>
      <c r="AE2947" t="s">
        <v>57</v>
      </c>
      <c r="AF2947">
        <v>20</v>
      </c>
      <c r="AG2947" s="1">
        <v>30682</v>
      </c>
      <c r="AH2947" s="1">
        <v>30682</v>
      </c>
      <c r="AI2947" s="1">
        <v>30682</v>
      </c>
      <c r="AJ2947" s="1">
        <v>37987</v>
      </c>
      <c r="AK2947" t="s">
        <v>51</v>
      </c>
      <c r="AN2947">
        <v>0</v>
      </c>
      <c r="AO2947" t="s">
        <v>54</v>
      </c>
      <c r="AP2947" t="s">
        <v>53</v>
      </c>
      <c r="AQ2947">
        <v>0</v>
      </c>
      <c r="AR2947" t="s">
        <v>53</v>
      </c>
      <c r="AS2947">
        <v>0</v>
      </c>
      <c r="AT2947">
        <v>0</v>
      </c>
      <c r="AW2947" t="s">
        <v>58</v>
      </c>
      <c r="AX2947">
        <v>20</v>
      </c>
      <c r="AY2947" s="1">
        <v>30682</v>
      </c>
      <c r="AZ2947" s="1">
        <v>30682</v>
      </c>
      <c r="BA2947" s="1">
        <v>30682</v>
      </c>
      <c r="BB2947" s="1">
        <v>37987</v>
      </c>
      <c r="BC2947" t="s">
        <v>51</v>
      </c>
      <c r="BE2947" t="s">
        <v>54</v>
      </c>
      <c r="BF2947">
        <v>2</v>
      </c>
      <c r="BG2947">
        <v>0</v>
      </c>
      <c r="BH2947" t="s">
        <v>53</v>
      </c>
      <c r="BK2947" t="s">
        <v>59</v>
      </c>
      <c r="BL2947">
        <v>14000</v>
      </c>
      <c r="BM2947" s="1">
        <v>41456</v>
      </c>
      <c r="BN2947" s="1">
        <v>41456</v>
      </c>
      <c r="BO2947" s="1">
        <v>41456</v>
      </c>
      <c r="BP2947" s="1">
        <v>42656</v>
      </c>
      <c r="BQ2947" t="s">
        <v>51</v>
      </c>
      <c r="BS2947" t="s">
        <v>60</v>
      </c>
      <c r="BT2947" t="s">
        <v>54</v>
      </c>
      <c r="BU2947" t="s">
        <v>61</v>
      </c>
      <c r="BV2947" t="s">
        <v>62</v>
      </c>
      <c r="BX2947">
        <v>24</v>
      </c>
      <c r="BY2947">
        <v>0</v>
      </c>
      <c r="BZ2947">
        <v>0</v>
      </c>
      <c r="CX2947" t="s">
        <v>674</v>
      </c>
      <c r="CY2947">
        <v>0</v>
      </c>
      <c r="CZ2947" s="1">
        <v>44075</v>
      </c>
      <c r="DA2947" s="1">
        <v>44075</v>
      </c>
      <c r="DB2947" s="1">
        <v>44075</v>
      </c>
      <c r="DC2947" s="1">
        <v>44075</v>
      </c>
      <c r="DD2947" t="s">
        <v>51</v>
      </c>
      <c r="DF2947" t="s">
        <v>54</v>
      </c>
      <c r="DG2947">
        <v>0</v>
      </c>
      <c r="DH2947">
        <v>0</v>
      </c>
    </row>
    <row r="2948" spans="1:112" x14ac:dyDescent="0.2">
      <c r="A2948" t="s">
        <v>1012</v>
      </c>
      <c r="B2948" t="s">
        <v>1013</v>
      </c>
      <c r="C2948" t="s">
        <v>1019</v>
      </c>
      <c r="D2948" t="s">
        <v>1053</v>
      </c>
      <c r="F2948" t="str">
        <f>"?253302"</f>
        <v>?253302</v>
      </c>
      <c r="G2948" t="s">
        <v>49</v>
      </c>
      <c r="K2948" t="s">
        <v>51</v>
      </c>
      <c r="L2948" t="s">
        <v>52</v>
      </c>
      <c r="M2948">
        <v>131855.23000000001</v>
      </c>
      <c r="N2948">
        <v>473935.51</v>
      </c>
      <c r="O2948" t="s">
        <v>53</v>
      </c>
      <c r="P2948" t="s">
        <v>54</v>
      </c>
      <c r="Q2948" t="s">
        <v>55</v>
      </c>
      <c r="T2948" t="s">
        <v>1054</v>
      </c>
      <c r="U2948">
        <v>40</v>
      </c>
      <c r="V2948" s="1">
        <v>32874</v>
      </c>
      <c r="W2948" s="1">
        <v>32874</v>
      </c>
      <c r="X2948" s="1">
        <v>32874</v>
      </c>
      <c r="Y2948" s="1">
        <v>47484</v>
      </c>
      <c r="Z2948" t="s">
        <v>51</v>
      </c>
      <c r="AB2948" t="s">
        <v>54</v>
      </c>
      <c r="AC2948">
        <v>1</v>
      </c>
      <c r="AE2948" t="s">
        <v>1055</v>
      </c>
      <c r="AF2948">
        <v>20</v>
      </c>
      <c r="AG2948" s="1">
        <v>39785</v>
      </c>
      <c r="AH2948" s="1">
        <v>39785</v>
      </c>
      <c r="AI2948" s="1">
        <v>39785</v>
      </c>
      <c r="AJ2948" s="1">
        <v>47090</v>
      </c>
      <c r="AK2948" t="s">
        <v>51</v>
      </c>
      <c r="AN2948">
        <v>0</v>
      </c>
      <c r="AO2948" t="s">
        <v>54</v>
      </c>
      <c r="AP2948" t="s">
        <v>53</v>
      </c>
      <c r="AQ2948">
        <v>0</v>
      </c>
      <c r="AR2948" t="s">
        <v>53</v>
      </c>
      <c r="AS2948">
        <v>0</v>
      </c>
      <c r="AT2948">
        <v>0</v>
      </c>
      <c r="BK2948" t="s">
        <v>803</v>
      </c>
      <c r="BL2948">
        <v>50000</v>
      </c>
      <c r="BM2948" s="1">
        <v>44320</v>
      </c>
      <c r="BN2948" s="1">
        <v>44320</v>
      </c>
      <c r="BO2948" s="1">
        <v>44320</v>
      </c>
      <c r="BP2948" s="1">
        <v>48563</v>
      </c>
      <c r="BQ2948" t="s">
        <v>51</v>
      </c>
      <c r="BS2948" t="s">
        <v>60</v>
      </c>
      <c r="BT2948" t="s">
        <v>54</v>
      </c>
      <c r="BU2948" t="s">
        <v>362</v>
      </c>
      <c r="BX2948">
        <v>36</v>
      </c>
      <c r="BY2948">
        <v>4320</v>
      </c>
      <c r="BZ2948">
        <v>0</v>
      </c>
      <c r="CX2948" t="s">
        <v>360</v>
      </c>
      <c r="CY2948">
        <v>40</v>
      </c>
      <c r="CZ2948" s="1">
        <v>44320</v>
      </c>
      <c r="DA2948" s="1">
        <v>44320</v>
      </c>
      <c r="DB2948" s="1">
        <v>44320</v>
      </c>
      <c r="DC2948" s="1">
        <v>58930</v>
      </c>
      <c r="DD2948" t="s">
        <v>51</v>
      </c>
      <c r="DF2948" t="s">
        <v>54</v>
      </c>
      <c r="DG2948">
        <v>0</v>
      </c>
      <c r="DH2948">
        <v>0</v>
      </c>
    </row>
    <row r="2949" spans="1:112" x14ac:dyDescent="0.2">
      <c r="A2949" t="s">
        <v>1012</v>
      </c>
      <c r="B2949" t="s">
        <v>1013</v>
      </c>
      <c r="C2949" t="s">
        <v>1019</v>
      </c>
      <c r="D2949" t="s">
        <v>1062</v>
      </c>
      <c r="F2949" t="str">
        <f>"254202"</f>
        <v>254202</v>
      </c>
      <c r="G2949" t="s">
        <v>49</v>
      </c>
      <c r="K2949" t="s">
        <v>51</v>
      </c>
      <c r="L2949" t="s">
        <v>52</v>
      </c>
      <c r="M2949">
        <v>131846.84700000001</v>
      </c>
      <c r="N2949">
        <v>473831.28899999999</v>
      </c>
      <c r="O2949" t="s">
        <v>53</v>
      </c>
      <c r="P2949" t="s">
        <v>54</v>
      </c>
      <c r="Q2949" t="s">
        <v>55</v>
      </c>
      <c r="T2949" t="s">
        <v>246</v>
      </c>
      <c r="U2949">
        <v>40</v>
      </c>
      <c r="V2949" s="1">
        <v>28126</v>
      </c>
      <c r="W2949" s="1">
        <v>28126</v>
      </c>
      <c r="X2949" s="1">
        <v>28126</v>
      </c>
      <c r="Y2949" s="1">
        <v>42736</v>
      </c>
      <c r="Z2949" t="s">
        <v>51</v>
      </c>
      <c r="AB2949" t="s">
        <v>54</v>
      </c>
      <c r="AC2949">
        <v>1</v>
      </c>
      <c r="AE2949" t="s">
        <v>243</v>
      </c>
      <c r="AF2949">
        <v>20</v>
      </c>
      <c r="AG2949" s="1">
        <v>42917</v>
      </c>
      <c r="AH2949" s="1">
        <v>42917</v>
      </c>
      <c r="AI2949" s="1">
        <v>42917</v>
      </c>
      <c r="AJ2949" s="1">
        <v>50222</v>
      </c>
      <c r="AK2949" t="s">
        <v>51</v>
      </c>
      <c r="AN2949">
        <v>0</v>
      </c>
      <c r="AO2949" t="s">
        <v>54</v>
      </c>
      <c r="AP2949" t="s">
        <v>53</v>
      </c>
      <c r="AQ2949">
        <v>0</v>
      </c>
      <c r="AR2949" t="s">
        <v>53</v>
      </c>
      <c r="AS2949">
        <v>0</v>
      </c>
      <c r="AT2949">
        <v>0</v>
      </c>
      <c r="AW2949" t="s">
        <v>172</v>
      </c>
      <c r="AX2949">
        <v>15</v>
      </c>
      <c r="AY2949" s="1">
        <v>44316</v>
      </c>
      <c r="AZ2949" s="1">
        <v>44316</v>
      </c>
      <c r="BA2949" s="1">
        <v>44316</v>
      </c>
      <c r="BB2949" s="1">
        <v>49795</v>
      </c>
      <c r="BC2949" t="s">
        <v>51</v>
      </c>
      <c r="BE2949" t="s">
        <v>54</v>
      </c>
      <c r="BF2949">
        <v>40</v>
      </c>
      <c r="BG2949">
        <v>0</v>
      </c>
      <c r="BH2949" t="s">
        <v>145</v>
      </c>
      <c r="CC2949" t="s">
        <v>244</v>
      </c>
      <c r="CD2949">
        <v>100000</v>
      </c>
      <c r="CE2949" s="1">
        <v>44316</v>
      </c>
      <c r="CF2949" s="1">
        <v>44316</v>
      </c>
      <c r="CG2949" s="1">
        <v>44316</v>
      </c>
      <c r="CH2949" s="1">
        <v>52799</v>
      </c>
      <c r="CI2949" t="s">
        <v>51</v>
      </c>
      <c r="CK2949" t="s">
        <v>78</v>
      </c>
      <c r="CM2949" t="s">
        <v>54</v>
      </c>
      <c r="CN2949" t="s">
        <v>174</v>
      </c>
      <c r="CR2949">
        <v>0</v>
      </c>
      <c r="CS2949">
        <v>2150</v>
      </c>
      <c r="CT2949">
        <v>0</v>
      </c>
      <c r="CU2949">
        <v>16</v>
      </c>
      <c r="CX2949" t="s">
        <v>360</v>
      </c>
      <c r="CY2949">
        <v>40</v>
      </c>
      <c r="CZ2949" s="1">
        <v>44316</v>
      </c>
      <c r="DA2949" s="1">
        <v>44316</v>
      </c>
      <c r="DB2949" s="1">
        <v>44316</v>
      </c>
      <c r="DC2949" s="1">
        <v>58926</v>
      </c>
      <c r="DD2949" t="s">
        <v>51</v>
      </c>
      <c r="DF2949" t="s">
        <v>54</v>
      </c>
      <c r="DG2949">
        <v>0</v>
      </c>
      <c r="DH2949">
        <v>0</v>
      </c>
    </row>
    <row r="2950" spans="1:112" x14ac:dyDescent="0.2">
      <c r="A2950" t="s">
        <v>1012</v>
      </c>
      <c r="B2950" t="s">
        <v>1013</v>
      </c>
      <c r="C2950" t="s">
        <v>1019</v>
      </c>
      <c r="D2950" t="s">
        <v>1061</v>
      </c>
      <c r="F2950" t="str">
        <f>"254198"</f>
        <v>254198</v>
      </c>
      <c r="G2950" t="s">
        <v>49</v>
      </c>
      <c r="H2950">
        <v>28</v>
      </c>
      <c r="K2950" t="s">
        <v>51</v>
      </c>
      <c r="L2950" t="s">
        <v>52</v>
      </c>
      <c r="M2950">
        <v>131811.38</v>
      </c>
      <c r="N2950">
        <v>473717.83</v>
      </c>
      <c r="O2950" t="s">
        <v>53</v>
      </c>
      <c r="P2950" t="s">
        <v>54</v>
      </c>
      <c r="Q2950" t="s">
        <v>55</v>
      </c>
      <c r="T2950" t="s">
        <v>246</v>
      </c>
      <c r="U2950">
        <v>40</v>
      </c>
      <c r="V2950" s="1">
        <v>21916</v>
      </c>
      <c r="W2950" s="1">
        <v>21916</v>
      </c>
      <c r="X2950" s="1">
        <v>21916</v>
      </c>
      <c r="Y2950" s="1">
        <v>36526</v>
      </c>
      <c r="Z2950" t="s">
        <v>51</v>
      </c>
      <c r="AB2950" t="s">
        <v>54</v>
      </c>
      <c r="AC2950">
        <v>1</v>
      </c>
      <c r="AE2950" t="s">
        <v>243</v>
      </c>
      <c r="AF2950">
        <v>20</v>
      </c>
      <c r="AG2950" s="1">
        <v>42917</v>
      </c>
      <c r="AH2950" s="1">
        <v>42917</v>
      </c>
      <c r="AI2950" s="1">
        <v>42917</v>
      </c>
      <c r="AJ2950" s="1">
        <v>50222</v>
      </c>
      <c r="AK2950" t="s">
        <v>51</v>
      </c>
      <c r="AN2950">
        <v>0</v>
      </c>
      <c r="AO2950" t="s">
        <v>54</v>
      </c>
      <c r="AP2950" t="s">
        <v>53</v>
      </c>
      <c r="AQ2950">
        <v>0</v>
      </c>
      <c r="AR2950" t="s">
        <v>53</v>
      </c>
      <c r="AS2950">
        <v>0</v>
      </c>
      <c r="AT2950">
        <v>0</v>
      </c>
      <c r="AW2950" t="s">
        <v>172</v>
      </c>
      <c r="AX2950">
        <v>15</v>
      </c>
      <c r="AY2950" s="1">
        <v>44075</v>
      </c>
      <c r="AZ2950" s="1">
        <v>44075</v>
      </c>
      <c r="BA2950" s="1">
        <v>44075</v>
      </c>
      <c r="BB2950" s="1">
        <v>49553</v>
      </c>
      <c r="BC2950" t="s">
        <v>51</v>
      </c>
      <c r="BE2950" t="s">
        <v>54</v>
      </c>
      <c r="BF2950">
        <v>40</v>
      </c>
      <c r="BG2950">
        <v>0</v>
      </c>
      <c r="BH2950" t="s">
        <v>145</v>
      </c>
      <c r="CC2950" t="s">
        <v>244</v>
      </c>
      <c r="CD2950">
        <v>100000</v>
      </c>
      <c r="CE2950" s="1">
        <v>44075</v>
      </c>
      <c r="CF2950" s="1">
        <v>44075</v>
      </c>
      <c r="CG2950" s="1">
        <v>44075</v>
      </c>
      <c r="CH2950" s="1">
        <v>52994</v>
      </c>
      <c r="CI2950" t="s">
        <v>51</v>
      </c>
      <c r="CK2950" t="s">
        <v>78</v>
      </c>
      <c r="CM2950" t="s">
        <v>54</v>
      </c>
      <c r="CN2950" t="s">
        <v>174</v>
      </c>
      <c r="CR2950">
        <v>0</v>
      </c>
      <c r="CS2950">
        <v>2150</v>
      </c>
      <c r="CT2950">
        <v>0</v>
      </c>
      <c r="CU2950">
        <v>16</v>
      </c>
      <c r="CX2950" t="s">
        <v>360</v>
      </c>
      <c r="CY2950">
        <v>40</v>
      </c>
      <c r="CZ2950" s="1">
        <v>44075</v>
      </c>
      <c r="DA2950" s="1">
        <v>44075</v>
      </c>
      <c r="DB2950" s="1">
        <v>44075</v>
      </c>
      <c r="DC2950" s="1">
        <v>58685</v>
      </c>
      <c r="DD2950" t="s">
        <v>51</v>
      </c>
      <c r="DF2950" t="s">
        <v>54</v>
      </c>
      <c r="DG2950">
        <v>0</v>
      </c>
      <c r="DH2950">
        <v>0</v>
      </c>
    </row>
    <row r="2951" spans="1:112" x14ac:dyDescent="0.2">
      <c r="A2951" t="s">
        <v>1012</v>
      </c>
      <c r="B2951" t="s">
        <v>1013</v>
      </c>
      <c r="C2951" t="s">
        <v>1025</v>
      </c>
      <c r="D2951" t="s">
        <v>1022</v>
      </c>
      <c r="F2951" t="str">
        <f>"254278"</f>
        <v>254278</v>
      </c>
      <c r="G2951" t="s">
        <v>49</v>
      </c>
      <c r="H2951">
        <v>101</v>
      </c>
      <c r="K2951" t="s">
        <v>51</v>
      </c>
      <c r="L2951" t="s">
        <v>52</v>
      </c>
      <c r="M2951">
        <v>134117.29999999999</v>
      </c>
      <c r="N2951">
        <v>473634.56</v>
      </c>
      <c r="O2951" t="s">
        <v>53</v>
      </c>
      <c r="P2951" t="s">
        <v>54</v>
      </c>
      <c r="Q2951" t="s">
        <v>55</v>
      </c>
      <c r="T2951" t="s">
        <v>466</v>
      </c>
      <c r="U2951">
        <v>40</v>
      </c>
      <c r="V2951" s="1">
        <v>31048</v>
      </c>
      <c r="W2951" s="1">
        <v>31048</v>
      </c>
      <c r="X2951" s="1">
        <v>31048</v>
      </c>
      <c r="Y2951" s="1">
        <v>45658</v>
      </c>
      <c r="Z2951" t="s">
        <v>51</v>
      </c>
      <c r="AB2951" t="s">
        <v>54</v>
      </c>
      <c r="AC2951">
        <v>1</v>
      </c>
      <c r="AE2951" t="s">
        <v>1024</v>
      </c>
      <c r="AF2951">
        <v>20</v>
      </c>
      <c r="AG2951" s="1">
        <v>44363</v>
      </c>
      <c r="AH2951" s="1">
        <v>44363</v>
      </c>
      <c r="AI2951" s="1">
        <v>44363</v>
      </c>
      <c r="AJ2951" s="1">
        <v>51668</v>
      </c>
      <c r="AK2951" t="s">
        <v>51</v>
      </c>
      <c r="AN2951">
        <v>0</v>
      </c>
      <c r="AO2951" t="s">
        <v>54</v>
      </c>
      <c r="AP2951" t="s">
        <v>53</v>
      </c>
      <c r="AQ2951">
        <v>0</v>
      </c>
      <c r="AR2951" t="s">
        <v>145</v>
      </c>
      <c r="AS2951">
        <v>0</v>
      </c>
      <c r="AT2951">
        <v>0</v>
      </c>
      <c r="CC2951" t="s">
        <v>555</v>
      </c>
      <c r="CD2951">
        <v>85000</v>
      </c>
      <c r="CE2951" s="1">
        <v>44363</v>
      </c>
      <c r="CF2951" s="1">
        <v>44363</v>
      </c>
      <c r="CG2951" s="1">
        <v>44363</v>
      </c>
      <c r="CH2951" s="1">
        <v>51955</v>
      </c>
      <c r="CI2951" t="s">
        <v>51</v>
      </c>
      <c r="CK2951" t="s">
        <v>78</v>
      </c>
      <c r="CM2951" t="s">
        <v>54</v>
      </c>
      <c r="CN2951" t="s">
        <v>174</v>
      </c>
      <c r="CO2951" t="s">
        <v>86</v>
      </c>
      <c r="CR2951">
        <v>20</v>
      </c>
      <c r="CS2951">
        <v>0</v>
      </c>
      <c r="CT2951">
        <v>0</v>
      </c>
      <c r="CU2951">
        <v>0</v>
      </c>
    </row>
    <row r="2952" spans="1:112" x14ac:dyDescent="0.2">
      <c r="A2952" t="s">
        <v>1012</v>
      </c>
      <c r="B2952" t="s">
        <v>1013</v>
      </c>
      <c r="C2952" t="s">
        <v>1025</v>
      </c>
      <c r="D2952" t="s">
        <v>1022</v>
      </c>
      <c r="F2952" t="str">
        <f>"?253350"</f>
        <v>?253350</v>
      </c>
      <c r="G2952" t="s">
        <v>49</v>
      </c>
      <c r="H2952">
        <v>66</v>
      </c>
      <c r="K2952" t="s">
        <v>51</v>
      </c>
      <c r="L2952" t="s">
        <v>52</v>
      </c>
      <c r="M2952">
        <v>133605.32999999999</v>
      </c>
      <c r="N2952">
        <v>473581.56</v>
      </c>
      <c r="O2952" t="s">
        <v>53</v>
      </c>
      <c r="P2952" t="s">
        <v>54</v>
      </c>
      <c r="Q2952" t="s">
        <v>55</v>
      </c>
      <c r="T2952" t="s">
        <v>466</v>
      </c>
      <c r="U2952">
        <v>40</v>
      </c>
      <c r="V2952" s="1">
        <v>25569</v>
      </c>
      <c r="W2952" s="1">
        <v>25569</v>
      </c>
      <c r="X2952" s="1">
        <v>25569</v>
      </c>
      <c r="Y2952" s="1">
        <v>40179</v>
      </c>
      <c r="Z2952" t="s">
        <v>51</v>
      </c>
      <c r="AB2952" t="s">
        <v>54</v>
      </c>
      <c r="AC2952">
        <v>1</v>
      </c>
      <c r="AE2952" t="s">
        <v>1024</v>
      </c>
      <c r="AF2952">
        <v>20</v>
      </c>
      <c r="AG2952" s="1">
        <v>44369</v>
      </c>
      <c r="AH2952" s="1">
        <v>44369</v>
      </c>
      <c r="AI2952" s="1">
        <v>44369</v>
      </c>
      <c r="AJ2952" s="1">
        <v>51674</v>
      </c>
      <c r="AK2952" t="s">
        <v>51</v>
      </c>
      <c r="AN2952">
        <v>0</v>
      </c>
      <c r="AO2952" t="s">
        <v>54</v>
      </c>
      <c r="AP2952" t="s">
        <v>53</v>
      </c>
      <c r="AQ2952">
        <v>0</v>
      </c>
      <c r="AR2952" t="s">
        <v>145</v>
      </c>
      <c r="AS2952">
        <v>0</v>
      </c>
      <c r="AT2952">
        <v>0</v>
      </c>
      <c r="CC2952" t="s">
        <v>555</v>
      </c>
      <c r="CD2952">
        <v>85000</v>
      </c>
      <c r="CE2952" s="1">
        <v>44369</v>
      </c>
      <c r="CF2952" s="1">
        <v>44369</v>
      </c>
      <c r="CG2952" s="1">
        <v>44369</v>
      </c>
      <c r="CH2952" s="1">
        <v>51959</v>
      </c>
      <c r="CI2952" t="s">
        <v>51</v>
      </c>
      <c r="CK2952" t="s">
        <v>78</v>
      </c>
      <c r="CM2952" t="s">
        <v>54</v>
      </c>
      <c r="CN2952" t="s">
        <v>174</v>
      </c>
      <c r="CO2952" t="s">
        <v>86</v>
      </c>
      <c r="CR2952">
        <v>20</v>
      </c>
      <c r="CS2952">
        <v>0</v>
      </c>
      <c r="CT2952">
        <v>0</v>
      </c>
      <c r="CU2952">
        <v>0</v>
      </c>
    </row>
    <row r="2953" spans="1:112" x14ac:dyDescent="0.2">
      <c r="A2953" t="s">
        <v>1012</v>
      </c>
      <c r="B2953" t="s">
        <v>1013</v>
      </c>
      <c r="C2953" t="s">
        <v>1025</v>
      </c>
      <c r="D2953" t="s">
        <v>1022</v>
      </c>
      <c r="F2953" t="str">
        <f>"254279"</f>
        <v>254279</v>
      </c>
      <c r="G2953" t="s">
        <v>49</v>
      </c>
      <c r="H2953">
        <v>76</v>
      </c>
      <c r="K2953" t="s">
        <v>51</v>
      </c>
      <c r="L2953" t="s">
        <v>52</v>
      </c>
      <c r="M2953">
        <v>133882.76999999999</v>
      </c>
      <c r="N2953">
        <v>473606.68</v>
      </c>
      <c r="O2953" t="s">
        <v>53</v>
      </c>
      <c r="P2953" t="s">
        <v>54</v>
      </c>
      <c r="Q2953" t="s">
        <v>55</v>
      </c>
      <c r="T2953" t="s">
        <v>466</v>
      </c>
      <c r="U2953">
        <v>40</v>
      </c>
      <c r="V2953" s="1">
        <v>31048</v>
      </c>
      <c r="W2953" s="1">
        <v>31048</v>
      </c>
      <c r="X2953" s="1">
        <v>31048</v>
      </c>
      <c r="Y2953" s="1">
        <v>45658</v>
      </c>
      <c r="Z2953" t="s">
        <v>51</v>
      </c>
      <c r="AB2953" t="s">
        <v>54</v>
      </c>
      <c r="AC2953">
        <v>1</v>
      </c>
      <c r="AE2953" t="s">
        <v>1024</v>
      </c>
      <c r="AF2953">
        <v>20</v>
      </c>
      <c r="AG2953" s="1">
        <v>44363</v>
      </c>
      <c r="AH2953" s="1">
        <v>44363</v>
      </c>
      <c r="AI2953" s="1">
        <v>44363</v>
      </c>
      <c r="AJ2953" s="1">
        <v>51668</v>
      </c>
      <c r="AK2953" t="s">
        <v>51</v>
      </c>
      <c r="AN2953">
        <v>0</v>
      </c>
      <c r="AO2953" t="s">
        <v>54</v>
      </c>
      <c r="AP2953" t="s">
        <v>53</v>
      </c>
      <c r="AQ2953">
        <v>0</v>
      </c>
      <c r="AR2953" t="s">
        <v>145</v>
      </c>
      <c r="AS2953">
        <v>0</v>
      </c>
      <c r="AT2953">
        <v>0</v>
      </c>
      <c r="CC2953" t="s">
        <v>555</v>
      </c>
      <c r="CD2953">
        <v>85000</v>
      </c>
      <c r="CE2953" s="1">
        <v>44363</v>
      </c>
      <c r="CF2953" s="1">
        <v>44363</v>
      </c>
      <c r="CG2953" s="1">
        <v>44363</v>
      </c>
      <c r="CH2953" s="1">
        <v>51955</v>
      </c>
      <c r="CI2953" t="s">
        <v>51</v>
      </c>
      <c r="CK2953" t="s">
        <v>78</v>
      </c>
      <c r="CM2953" t="s">
        <v>54</v>
      </c>
      <c r="CN2953" t="s">
        <v>174</v>
      </c>
      <c r="CO2953" t="s">
        <v>86</v>
      </c>
      <c r="CR2953">
        <v>20</v>
      </c>
      <c r="CS2953">
        <v>0</v>
      </c>
      <c r="CT2953">
        <v>0</v>
      </c>
      <c r="CU2953">
        <v>0</v>
      </c>
    </row>
    <row r="2954" spans="1:112" x14ac:dyDescent="0.2">
      <c r="A2954" t="s">
        <v>1012</v>
      </c>
      <c r="B2954" t="s">
        <v>1013</v>
      </c>
      <c r="C2954" t="s">
        <v>1019</v>
      </c>
      <c r="D2954" t="s">
        <v>1071</v>
      </c>
      <c r="F2954" t="str">
        <f>"254287"</f>
        <v>254287</v>
      </c>
      <c r="G2954" t="s">
        <v>49</v>
      </c>
      <c r="K2954" t="s">
        <v>51</v>
      </c>
      <c r="L2954" t="s">
        <v>52</v>
      </c>
      <c r="M2954">
        <v>131551.63</v>
      </c>
      <c r="N2954">
        <v>474265.48</v>
      </c>
      <c r="O2954" t="s">
        <v>53</v>
      </c>
      <c r="P2954" t="s">
        <v>54</v>
      </c>
      <c r="Q2954" t="s">
        <v>55</v>
      </c>
      <c r="T2954" t="s">
        <v>170</v>
      </c>
      <c r="U2954">
        <v>40</v>
      </c>
      <c r="V2954" s="1">
        <v>42186</v>
      </c>
      <c r="W2954" s="1">
        <v>42186</v>
      </c>
      <c r="X2954" s="1">
        <v>42186</v>
      </c>
      <c r="Y2954" s="1">
        <v>56796</v>
      </c>
      <c r="Z2954" t="s">
        <v>51</v>
      </c>
      <c r="AB2954" t="s">
        <v>54</v>
      </c>
      <c r="AC2954">
        <v>1</v>
      </c>
      <c r="AE2954" t="s">
        <v>171</v>
      </c>
      <c r="AF2954">
        <v>20</v>
      </c>
      <c r="AG2954" s="1">
        <v>42186</v>
      </c>
      <c r="AH2954" s="1">
        <v>42186</v>
      </c>
      <c r="AI2954" s="1">
        <v>42186</v>
      </c>
      <c r="AJ2954" s="1">
        <v>49491</v>
      </c>
      <c r="AK2954" t="s">
        <v>51</v>
      </c>
      <c r="AN2954">
        <v>0</v>
      </c>
      <c r="AO2954" t="s">
        <v>54</v>
      </c>
      <c r="AP2954" t="s">
        <v>53</v>
      </c>
      <c r="AQ2954">
        <v>0</v>
      </c>
      <c r="AR2954" t="s">
        <v>53</v>
      </c>
      <c r="AS2954">
        <v>0</v>
      </c>
      <c r="AT2954">
        <v>0</v>
      </c>
      <c r="CC2954" t="s">
        <v>250</v>
      </c>
      <c r="CD2954">
        <v>100000</v>
      </c>
      <c r="CE2954" s="1">
        <v>42186</v>
      </c>
      <c r="CF2954" s="1">
        <v>42186</v>
      </c>
      <c r="CG2954" s="1">
        <v>42186</v>
      </c>
      <c r="CH2954" s="1">
        <v>50658</v>
      </c>
      <c r="CI2954" t="s">
        <v>51</v>
      </c>
      <c r="CK2954" t="s">
        <v>78</v>
      </c>
      <c r="CM2954" t="s">
        <v>54</v>
      </c>
      <c r="CN2954" t="s">
        <v>174</v>
      </c>
      <c r="CR2954">
        <v>13.2</v>
      </c>
      <c r="CS2954">
        <v>1800</v>
      </c>
      <c r="CT2954">
        <v>0</v>
      </c>
      <c r="CU2954">
        <v>16</v>
      </c>
      <c r="CX2954" t="s">
        <v>360</v>
      </c>
      <c r="CY2954">
        <v>40</v>
      </c>
      <c r="CZ2954" s="1">
        <v>44320</v>
      </c>
      <c r="DA2954" s="1">
        <v>44320</v>
      </c>
      <c r="DB2954" s="1">
        <v>44320</v>
      </c>
      <c r="DC2954" s="1">
        <v>58930</v>
      </c>
      <c r="DD2954" t="s">
        <v>51</v>
      </c>
      <c r="DF2954" t="s">
        <v>54</v>
      </c>
      <c r="DG2954">
        <v>0</v>
      </c>
      <c r="DH2954">
        <v>0</v>
      </c>
    </row>
    <row r="2955" spans="1:112" x14ac:dyDescent="0.2">
      <c r="A2955" t="s">
        <v>1012</v>
      </c>
      <c r="B2955" t="s">
        <v>1013</v>
      </c>
      <c r="C2955" t="s">
        <v>1014</v>
      </c>
      <c r="D2955" t="s">
        <v>1071</v>
      </c>
      <c r="F2955" t="str">
        <f>"?253353"</f>
        <v>?253353</v>
      </c>
      <c r="G2955" t="s">
        <v>49</v>
      </c>
      <c r="H2955" t="s">
        <v>1166</v>
      </c>
      <c r="K2955" t="s">
        <v>51</v>
      </c>
      <c r="L2955" t="s">
        <v>52</v>
      </c>
      <c r="M2955">
        <v>131630.46</v>
      </c>
      <c r="N2955">
        <v>474858.72</v>
      </c>
      <c r="O2955" t="s">
        <v>53</v>
      </c>
      <c r="P2955" t="s">
        <v>54</v>
      </c>
      <c r="Q2955" t="s">
        <v>55</v>
      </c>
      <c r="T2955" t="s">
        <v>183</v>
      </c>
      <c r="U2955">
        <v>40</v>
      </c>
      <c r="V2955" s="1">
        <v>25569</v>
      </c>
      <c r="W2955" s="1">
        <v>25569</v>
      </c>
      <c r="X2955" s="1">
        <v>25569</v>
      </c>
      <c r="Y2955" s="1">
        <v>40179</v>
      </c>
      <c r="Z2955" t="s">
        <v>51</v>
      </c>
      <c r="AB2955" t="s">
        <v>54</v>
      </c>
      <c r="AC2955">
        <v>1</v>
      </c>
      <c r="AE2955" t="s">
        <v>57</v>
      </c>
      <c r="AF2955">
        <v>20</v>
      </c>
      <c r="AG2955" s="1">
        <v>32874</v>
      </c>
      <c r="AH2955" s="1">
        <v>32874</v>
      </c>
      <c r="AI2955" s="1">
        <v>32874</v>
      </c>
      <c r="AJ2955" s="1">
        <v>40179</v>
      </c>
      <c r="AK2955" t="s">
        <v>51</v>
      </c>
      <c r="AN2955">
        <v>0</v>
      </c>
      <c r="AO2955" t="s">
        <v>54</v>
      </c>
      <c r="AP2955" t="s">
        <v>53</v>
      </c>
      <c r="AQ2955">
        <v>0</v>
      </c>
      <c r="AR2955" t="s">
        <v>53</v>
      </c>
      <c r="AS2955">
        <v>0</v>
      </c>
      <c r="AT2955">
        <v>0</v>
      </c>
      <c r="AW2955" t="s">
        <v>58</v>
      </c>
      <c r="AX2955">
        <v>20</v>
      </c>
      <c r="AY2955" s="1">
        <v>32874</v>
      </c>
      <c r="AZ2955" s="1">
        <v>32874</v>
      </c>
      <c r="BA2955" s="1">
        <v>32874</v>
      </c>
      <c r="BB2955" s="1">
        <v>40179</v>
      </c>
      <c r="BC2955" t="s">
        <v>51</v>
      </c>
      <c r="BE2955" t="s">
        <v>54</v>
      </c>
      <c r="BF2955">
        <v>2</v>
      </c>
      <c r="BG2955">
        <v>0</v>
      </c>
      <c r="BH2955" t="s">
        <v>53</v>
      </c>
      <c r="BI2955">
        <v>1</v>
      </c>
      <c r="BK2955" t="s">
        <v>59</v>
      </c>
      <c r="BL2955">
        <v>14000</v>
      </c>
      <c r="BM2955" s="1">
        <v>42917</v>
      </c>
      <c r="BN2955" s="1">
        <v>42917</v>
      </c>
      <c r="BO2955" s="1">
        <v>42917</v>
      </c>
      <c r="BP2955" s="1">
        <v>44117</v>
      </c>
      <c r="BQ2955" t="s">
        <v>51</v>
      </c>
      <c r="BS2955" t="s">
        <v>60</v>
      </c>
      <c r="BT2955" t="s">
        <v>54</v>
      </c>
      <c r="BU2955" t="s">
        <v>61</v>
      </c>
      <c r="BV2955" t="s">
        <v>62</v>
      </c>
      <c r="BX2955">
        <v>24</v>
      </c>
      <c r="BY2955">
        <v>0</v>
      </c>
      <c r="BZ2955">
        <v>0</v>
      </c>
      <c r="CX2955" t="s">
        <v>674</v>
      </c>
      <c r="CY2955">
        <v>0</v>
      </c>
      <c r="CZ2955" s="1">
        <v>44327</v>
      </c>
      <c r="DA2955" s="1">
        <v>44327</v>
      </c>
      <c r="DB2955" s="1">
        <v>44327</v>
      </c>
      <c r="DC2955" s="1">
        <v>44327</v>
      </c>
      <c r="DD2955" t="s">
        <v>51</v>
      </c>
      <c r="DF2955" t="s">
        <v>54</v>
      </c>
      <c r="DG2955">
        <v>0</v>
      </c>
      <c r="DH2955">
        <v>0</v>
      </c>
    </row>
    <row r="2956" spans="1:112" x14ac:dyDescent="0.2">
      <c r="A2956" t="s">
        <v>1012</v>
      </c>
      <c r="B2956" t="s">
        <v>1013</v>
      </c>
      <c r="C2956" t="s">
        <v>1014</v>
      </c>
      <c r="D2956" t="s">
        <v>1071</v>
      </c>
      <c r="F2956" t="str">
        <f>"253365"</f>
        <v>253365</v>
      </c>
      <c r="G2956" t="s">
        <v>49</v>
      </c>
      <c r="H2956" t="s">
        <v>1099</v>
      </c>
      <c r="K2956" t="s">
        <v>51</v>
      </c>
      <c r="L2956" t="s">
        <v>52</v>
      </c>
      <c r="M2956">
        <v>131591.72</v>
      </c>
      <c r="N2956">
        <v>474601.09</v>
      </c>
      <c r="O2956" t="s">
        <v>53</v>
      </c>
      <c r="P2956" t="s">
        <v>54</v>
      </c>
      <c r="Q2956" t="s">
        <v>55</v>
      </c>
      <c r="T2956" t="s">
        <v>111</v>
      </c>
      <c r="U2956">
        <v>40</v>
      </c>
      <c r="V2956" s="1">
        <v>25569</v>
      </c>
      <c r="W2956" s="1">
        <v>25569</v>
      </c>
      <c r="X2956" s="1">
        <v>25569</v>
      </c>
      <c r="Y2956" s="1">
        <v>40179</v>
      </c>
      <c r="Z2956" t="s">
        <v>51</v>
      </c>
      <c r="AB2956" t="s">
        <v>54</v>
      </c>
      <c r="AC2956">
        <v>1</v>
      </c>
      <c r="AE2956" t="s">
        <v>57</v>
      </c>
      <c r="AF2956">
        <v>20</v>
      </c>
      <c r="AG2956" s="1">
        <v>32874</v>
      </c>
      <c r="AH2956" s="1">
        <v>32874</v>
      </c>
      <c r="AI2956" s="1">
        <v>32874</v>
      </c>
      <c r="AJ2956" s="1">
        <v>40179</v>
      </c>
      <c r="AK2956" t="s">
        <v>51</v>
      </c>
      <c r="AN2956">
        <v>0</v>
      </c>
      <c r="AO2956" t="s">
        <v>54</v>
      </c>
      <c r="AP2956" t="s">
        <v>53</v>
      </c>
      <c r="AQ2956">
        <v>0</v>
      </c>
      <c r="AR2956" t="s">
        <v>53</v>
      </c>
      <c r="AS2956">
        <v>0</v>
      </c>
      <c r="AT2956">
        <v>0</v>
      </c>
      <c r="AW2956" t="s">
        <v>58</v>
      </c>
      <c r="AX2956">
        <v>20</v>
      </c>
      <c r="AY2956" s="1">
        <v>32874</v>
      </c>
      <c r="AZ2956" s="1">
        <v>32874</v>
      </c>
      <c r="BA2956" s="1">
        <v>32874</v>
      </c>
      <c r="BB2956" s="1">
        <v>40179</v>
      </c>
      <c r="BC2956" t="s">
        <v>51</v>
      </c>
      <c r="BE2956" t="s">
        <v>54</v>
      </c>
      <c r="BF2956">
        <v>2</v>
      </c>
      <c r="BG2956">
        <v>0</v>
      </c>
      <c r="BH2956" t="s">
        <v>53</v>
      </c>
      <c r="BK2956" t="s">
        <v>59</v>
      </c>
      <c r="BL2956">
        <v>14000</v>
      </c>
      <c r="BM2956" s="1">
        <v>44110</v>
      </c>
      <c r="BN2956" s="1">
        <v>44110</v>
      </c>
      <c r="BO2956" s="1">
        <v>44110</v>
      </c>
      <c r="BP2956" s="1">
        <v>45272</v>
      </c>
      <c r="BQ2956" t="s">
        <v>51</v>
      </c>
      <c r="BS2956" t="s">
        <v>60</v>
      </c>
      <c r="BT2956" t="s">
        <v>54</v>
      </c>
      <c r="BU2956" t="s">
        <v>61</v>
      </c>
      <c r="BV2956" t="s">
        <v>62</v>
      </c>
      <c r="BX2956">
        <v>24</v>
      </c>
      <c r="BY2956">
        <v>0</v>
      </c>
      <c r="BZ2956">
        <v>0</v>
      </c>
      <c r="CX2956" t="s">
        <v>360</v>
      </c>
      <c r="CY2956">
        <v>40</v>
      </c>
      <c r="CZ2956" s="1">
        <v>44320</v>
      </c>
      <c r="DA2956" s="1">
        <v>44320</v>
      </c>
      <c r="DB2956" s="1">
        <v>44320</v>
      </c>
      <c r="DC2956" s="1">
        <v>58930</v>
      </c>
      <c r="DD2956" t="s">
        <v>51</v>
      </c>
      <c r="DF2956" t="s">
        <v>54</v>
      </c>
      <c r="DG2956">
        <v>0</v>
      </c>
      <c r="DH2956">
        <v>0</v>
      </c>
    </row>
    <row r="2957" spans="1:112" x14ac:dyDescent="0.2">
      <c r="A2957" t="s">
        <v>1012</v>
      </c>
      <c r="B2957" t="s">
        <v>1013</v>
      </c>
      <c r="C2957" t="s">
        <v>1025</v>
      </c>
      <c r="D2957" t="s">
        <v>1049</v>
      </c>
      <c r="F2957" t="str">
        <f>"?253356"</f>
        <v>?253356</v>
      </c>
      <c r="G2957" t="s">
        <v>49</v>
      </c>
      <c r="H2957">
        <v>30</v>
      </c>
      <c r="K2957" t="s">
        <v>51</v>
      </c>
      <c r="L2957" t="s">
        <v>52</v>
      </c>
      <c r="M2957">
        <v>134095.22</v>
      </c>
      <c r="N2957">
        <v>473798.11</v>
      </c>
      <c r="O2957" t="s">
        <v>53</v>
      </c>
      <c r="P2957" t="s">
        <v>54</v>
      </c>
      <c r="Q2957" t="s">
        <v>55</v>
      </c>
      <c r="T2957" t="s">
        <v>466</v>
      </c>
      <c r="U2957">
        <v>40</v>
      </c>
      <c r="V2957" s="1">
        <v>35796</v>
      </c>
      <c r="W2957" s="1">
        <v>35796</v>
      </c>
      <c r="X2957" s="1">
        <v>35796</v>
      </c>
      <c r="Y2957" s="1">
        <v>50406</v>
      </c>
      <c r="Z2957" t="s">
        <v>51</v>
      </c>
      <c r="AB2957" t="s">
        <v>54</v>
      </c>
      <c r="AC2957">
        <v>1</v>
      </c>
      <c r="AE2957" t="s">
        <v>64</v>
      </c>
      <c r="AF2957">
        <v>20</v>
      </c>
      <c r="AG2957" s="1">
        <v>35977</v>
      </c>
      <c r="AH2957" s="1">
        <v>35977</v>
      </c>
      <c r="AI2957" s="1">
        <v>35977</v>
      </c>
      <c r="AJ2957" s="1">
        <v>43282</v>
      </c>
      <c r="AK2957" t="s">
        <v>51</v>
      </c>
      <c r="AN2957">
        <v>0</v>
      </c>
      <c r="AO2957" t="s">
        <v>54</v>
      </c>
      <c r="AP2957" t="s">
        <v>53</v>
      </c>
      <c r="AQ2957">
        <v>0</v>
      </c>
      <c r="AR2957" t="s">
        <v>53</v>
      </c>
      <c r="AS2957">
        <v>0</v>
      </c>
      <c r="AT2957">
        <v>0</v>
      </c>
      <c r="BK2957" t="s">
        <v>975</v>
      </c>
      <c r="BL2957">
        <v>50000</v>
      </c>
      <c r="BM2957" s="1">
        <v>44316</v>
      </c>
      <c r="BN2957" s="1">
        <v>44316</v>
      </c>
      <c r="BO2957" s="1">
        <v>44316</v>
      </c>
      <c r="BP2957" s="1">
        <v>48561</v>
      </c>
      <c r="BQ2957" t="s">
        <v>51</v>
      </c>
      <c r="BS2957" t="s">
        <v>60</v>
      </c>
      <c r="BT2957" t="s">
        <v>54</v>
      </c>
      <c r="BU2957" t="s">
        <v>61</v>
      </c>
      <c r="BV2957" t="s">
        <v>86</v>
      </c>
      <c r="BX2957">
        <v>18</v>
      </c>
      <c r="BY2957">
        <v>1980</v>
      </c>
      <c r="BZ2957">
        <v>0</v>
      </c>
    </row>
    <row r="2958" spans="1:112" x14ac:dyDescent="0.2">
      <c r="A2958" t="s">
        <v>1012</v>
      </c>
      <c r="B2958" t="s">
        <v>1013</v>
      </c>
      <c r="C2958" t="s">
        <v>1025</v>
      </c>
      <c r="D2958" t="s">
        <v>1022</v>
      </c>
      <c r="F2958" t="str">
        <f>"?4"</f>
        <v>?4</v>
      </c>
      <c r="G2958" t="s">
        <v>49</v>
      </c>
      <c r="H2958" t="s">
        <v>1180</v>
      </c>
      <c r="K2958" t="s">
        <v>1181</v>
      </c>
      <c r="L2958" t="s">
        <v>52</v>
      </c>
      <c r="M2958">
        <v>134893.72</v>
      </c>
      <c r="N2958">
        <v>473881.56</v>
      </c>
      <c r="O2958" t="s">
        <v>53</v>
      </c>
      <c r="P2958" t="s">
        <v>54</v>
      </c>
      <c r="AP2958" t="s">
        <v>53</v>
      </c>
      <c r="AR2958" t="s">
        <v>53</v>
      </c>
      <c r="BH2958" t="s">
        <v>53</v>
      </c>
    </row>
    <row r="2959" spans="1:112" x14ac:dyDescent="0.2">
      <c r="A2959" t="s">
        <v>1012</v>
      </c>
      <c r="B2959" t="s">
        <v>1013</v>
      </c>
      <c r="C2959" t="s">
        <v>1025</v>
      </c>
      <c r="D2959" t="s">
        <v>1022</v>
      </c>
      <c r="F2959" t="str">
        <f>"?5"</f>
        <v>?5</v>
      </c>
      <c r="G2959" t="s">
        <v>49</v>
      </c>
      <c r="H2959" t="s">
        <v>1180</v>
      </c>
      <c r="K2959" t="s">
        <v>1181</v>
      </c>
      <c r="L2959" t="s">
        <v>52</v>
      </c>
      <c r="M2959">
        <v>134888.95000000001</v>
      </c>
      <c r="N2959">
        <v>473920.75</v>
      </c>
      <c r="O2959" t="s">
        <v>53</v>
      </c>
      <c r="P2959" t="s">
        <v>54</v>
      </c>
      <c r="AP2959" t="s">
        <v>53</v>
      </c>
      <c r="AR2959" t="s">
        <v>53</v>
      </c>
      <c r="BH2959" t="s">
        <v>53</v>
      </c>
    </row>
    <row r="2960" spans="1:112" x14ac:dyDescent="0.2">
      <c r="A2960" t="s">
        <v>1012</v>
      </c>
      <c r="B2960" t="s">
        <v>1013</v>
      </c>
      <c r="C2960" t="s">
        <v>1014</v>
      </c>
      <c r="D2960" t="s">
        <v>1020</v>
      </c>
      <c r="F2960" t="str">
        <f>"252130"</f>
        <v>252130</v>
      </c>
      <c r="G2960" t="s">
        <v>49</v>
      </c>
      <c r="K2960" t="s">
        <v>51</v>
      </c>
      <c r="L2960" t="s">
        <v>52</v>
      </c>
      <c r="M2960">
        <v>131827.93</v>
      </c>
      <c r="N2960">
        <v>476348.4</v>
      </c>
      <c r="O2960" t="s">
        <v>53</v>
      </c>
      <c r="P2960" t="s">
        <v>54</v>
      </c>
      <c r="Q2960" t="s">
        <v>55</v>
      </c>
      <c r="T2960" t="s">
        <v>81</v>
      </c>
      <c r="U2960">
        <v>40</v>
      </c>
      <c r="V2960" s="1">
        <v>31048</v>
      </c>
      <c r="W2960" s="1">
        <v>31048</v>
      </c>
      <c r="X2960" s="1">
        <v>31048</v>
      </c>
      <c r="Y2960" s="1">
        <v>45658</v>
      </c>
      <c r="Z2960" t="s">
        <v>51</v>
      </c>
      <c r="AB2960" t="s">
        <v>54</v>
      </c>
      <c r="AC2960">
        <v>1</v>
      </c>
      <c r="AE2960" t="s">
        <v>356</v>
      </c>
      <c r="AF2960">
        <v>20</v>
      </c>
      <c r="AG2960" s="1">
        <v>44076</v>
      </c>
      <c r="AH2960" s="1">
        <v>44076</v>
      </c>
      <c r="AI2960" s="1">
        <v>44076</v>
      </c>
      <c r="AJ2960" s="1">
        <v>51381</v>
      </c>
      <c r="AK2960" t="s">
        <v>51</v>
      </c>
      <c r="AN2960">
        <v>0</v>
      </c>
      <c r="AO2960" t="s">
        <v>54</v>
      </c>
      <c r="AP2960" t="s">
        <v>53</v>
      </c>
      <c r="AQ2960">
        <v>0</v>
      </c>
      <c r="AR2960" t="s">
        <v>145</v>
      </c>
      <c r="AS2960">
        <v>0</v>
      </c>
      <c r="AT2960">
        <v>0</v>
      </c>
      <c r="CC2960" t="s">
        <v>250</v>
      </c>
      <c r="CD2960">
        <v>100000</v>
      </c>
      <c r="CE2960" s="1">
        <v>44076</v>
      </c>
      <c r="CF2960" s="1">
        <v>44076</v>
      </c>
      <c r="CG2960" s="1">
        <v>44076</v>
      </c>
      <c r="CH2960" s="1">
        <v>52993</v>
      </c>
      <c r="CI2960" t="s">
        <v>51</v>
      </c>
      <c r="CK2960" t="s">
        <v>78</v>
      </c>
      <c r="CM2960" t="s">
        <v>54</v>
      </c>
      <c r="CN2960" t="s">
        <v>174</v>
      </c>
      <c r="CR2960">
        <v>13.2</v>
      </c>
      <c r="CS2960">
        <v>1800</v>
      </c>
      <c r="CT2960">
        <v>0</v>
      </c>
      <c r="CU2960">
        <v>16</v>
      </c>
    </row>
    <row r="2961" spans="1:112" x14ac:dyDescent="0.2">
      <c r="A2961" t="s">
        <v>45</v>
      </c>
      <c r="B2961" t="s">
        <v>46</v>
      </c>
      <c r="C2961" t="s">
        <v>47</v>
      </c>
      <c r="D2961" t="s">
        <v>1022</v>
      </c>
      <c r="F2961" t="str">
        <f>"251565"</f>
        <v>251565</v>
      </c>
      <c r="G2961" t="s">
        <v>49</v>
      </c>
      <c r="K2961" t="s">
        <v>51</v>
      </c>
      <c r="L2961" t="s">
        <v>52</v>
      </c>
      <c r="M2961">
        <v>134979.94</v>
      </c>
      <c r="N2961">
        <v>474168.94</v>
      </c>
      <c r="O2961" t="s">
        <v>53</v>
      </c>
      <c r="P2961" t="s">
        <v>54</v>
      </c>
      <c r="Q2961" t="s">
        <v>55</v>
      </c>
      <c r="T2961" t="s">
        <v>81</v>
      </c>
      <c r="U2961">
        <v>40</v>
      </c>
      <c r="V2961" s="1">
        <v>31048</v>
      </c>
      <c r="W2961" s="1">
        <v>31048</v>
      </c>
      <c r="X2961" s="1">
        <v>31048</v>
      </c>
      <c r="Y2961" s="1">
        <v>45658</v>
      </c>
      <c r="Z2961" t="s">
        <v>51</v>
      </c>
      <c r="AB2961" t="s">
        <v>54</v>
      </c>
      <c r="AC2961">
        <v>1</v>
      </c>
      <c r="AE2961" t="s">
        <v>1024</v>
      </c>
      <c r="AF2961">
        <v>20</v>
      </c>
      <c r="AG2961" s="1">
        <v>44369</v>
      </c>
      <c r="AH2961" s="1">
        <v>44369</v>
      </c>
      <c r="AI2961" s="1">
        <v>44369</v>
      </c>
      <c r="AJ2961" s="1">
        <v>51674</v>
      </c>
      <c r="AK2961" t="s">
        <v>51</v>
      </c>
      <c r="AN2961">
        <v>0</v>
      </c>
      <c r="AO2961" t="s">
        <v>54</v>
      </c>
      <c r="AP2961" t="s">
        <v>53</v>
      </c>
      <c r="AQ2961">
        <v>0</v>
      </c>
      <c r="AR2961" t="s">
        <v>145</v>
      </c>
      <c r="AS2961">
        <v>0</v>
      </c>
      <c r="AT2961">
        <v>0</v>
      </c>
      <c r="CC2961" t="s">
        <v>555</v>
      </c>
      <c r="CD2961">
        <v>85000</v>
      </c>
      <c r="CE2961" s="1">
        <v>44369</v>
      </c>
      <c r="CF2961" s="1">
        <v>44369</v>
      </c>
      <c r="CG2961" s="1">
        <v>44369</v>
      </c>
      <c r="CH2961" s="1">
        <v>51959</v>
      </c>
      <c r="CI2961" t="s">
        <v>51</v>
      </c>
      <c r="CK2961" t="s">
        <v>78</v>
      </c>
      <c r="CM2961" t="s">
        <v>54</v>
      </c>
      <c r="CN2961" t="s">
        <v>174</v>
      </c>
      <c r="CO2961" t="s">
        <v>86</v>
      </c>
      <c r="CR2961">
        <v>20</v>
      </c>
      <c r="CS2961">
        <v>0</v>
      </c>
      <c r="CT2961">
        <v>0</v>
      </c>
      <c r="CU2961">
        <v>0</v>
      </c>
    </row>
    <row r="2962" spans="1:112" x14ac:dyDescent="0.2">
      <c r="A2962" t="s">
        <v>180</v>
      </c>
      <c r="B2962" t="s">
        <v>181</v>
      </c>
      <c r="C2962" t="s">
        <v>182</v>
      </c>
      <c r="D2962" t="s">
        <v>1022</v>
      </c>
      <c r="F2962" t="str">
        <f>"254273"</f>
        <v>254273</v>
      </c>
      <c r="G2962" t="s">
        <v>49</v>
      </c>
      <c r="K2962" t="s">
        <v>51</v>
      </c>
      <c r="L2962" t="s">
        <v>52</v>
      </c>
      <c r="M2962">
        <v>134962.12</v>
      </c>
      <c r="N2962">
        <v>474170.44</v>
      </c>
      <c r="O2962" t="s">
        <v>53</v>
      </c>
      <c r="P2962" t="s">
        <v>54</v>
      </c>
      <c r="Q2962" t="s">
        <v>55</v>
      </c>
      <c r="T2962" t="s">
        <v>81</v>
      </c>
      <c r="U2962">
        <v>40</v>
      </c>
      <c r="V2962" s="1">
        <v>31048</v>
      </c>
      <c r="W2962" s="1">
        <v>31048</v>
      </c>
      <c r="X2962" s="1">
        <v>31048</v>
      </c>
      <c r="Y2962" s="1">
        <v>45658</v>
      </c>
      <c r="Z2962" t="s">
        <v>51</v>
      </c>
      <c r="AB2962" t="s">
        <v>54</v>
      </c>
      <c r="AC2962">
        <v>1</v>
      </c>
      <c r="AE2962" t="s">
        <v>1024</v>
      </c>
      <c r="AF2962">
        <v>20</v>
      </c>
      <c r="AG2962" s="1">
        <v>44369</v>
      </c>
      <c r="AH2962" s="1">
        <v>44369</v>
      </c>
      <c r="AI2962" s="1">
        <v>44369</v>
      </c>
      <c r="AJ2962" s="1">
        <v>51674</v>
      </c>
      <c r="AK2962" t="s">
        <v>51</v>
      </c>
      <c r="AN2962">
        <v>0</v>
      </c>
      <c r="AO2962" t="s">
        <v>54</v>
      </c>
      <c r="AP2962" t="s">
        <v>53</v>
      </c>
      <c r="AQ2962">
        <v>0</v>
      </c>
      <c r="AR2962" t="s">
        <v>145</v>
      </c>
      <c r="AS2962">
        <v>0</v>
      </c>
      <c r="AT2962">
        <v>0</v>
      </c>
      <c r="CC2962" t="s">
        <v>555</v>
      </c>
      <c r="CD2962">
        <v>85000</v>
      </c>
      <c r="CE2962" s="1">
        <v>44369</v>
      </c>
      <c r="CF2962" s="1">
        <v>44369</v>
      </c>
      <c r="CG2962" s="1">
        <v>44369</v>
      </c>
      <c r="CH2962" s="1">
        <v>51959</v>
      </c>
      <c r="CI2962" t="s">
        <v>51</v>
      </c>
      <c r="CK2962" t="s">
        <v>78</v>
      </c>
      <c r="CM2962" t="s">
        <v>54</v>
      </c>
      <c r="CN2962" t="s">
        <v>174</v>
      </c>
      <c r="CO2962" t="s">
        <v>86</v>
      </c>
      <c r="CR2962">
        <v>20</v>
      </c>
      <c r="CS2962">
        <v>0</v>
      </c>
      <c r="CT2962">
        <v>0</v>
      </c>
      <c r="CU2962">
        <v>0</v>
      </c>
    </row>
    <row r="2963" spans="1:112" x14ac:dyDescent="0.2">
      <c r="A2963" t="s">
        <v>1012</v>
      </c>
      <c r="B2963" t="s">
        <v>1013</v>
      </c>
      <c r="C2963" t="s">
        <v>1025</v>
      </c>
      <c r="D2963" t="s">
        <v>1022</v>
      </c>
      <c r="F2963" t="str">
        <f>"?7"</f>
        <v>?7</v>
      </c>
      <c r="G2963" t="s">
        <v>49</v>
      </c>
      <c r="H2963" t="s">
        <v>1180</v>
      </c>
      <c r="K2963" t="s">
        <v>1181</v>
      </c>
      <c r="L2963" t="s">
        <v>52</v>
      </c>
      <c r="M2963">
        <v>134897.20000000001</v>
      </c>
      <c r="N2963">
        <v>473840.81</v>
      </c>
      <c r="O2963" t="s">
        <v>53</v>
      </c>
      <c r="P2963" t="s">
        <v>54</v>
      </c>
      <c r="AP2963" t="s">
        <v>53</v>
      </c>
      <c r="AR2963" t="s">
        <v>53</v>
      </c>
      <c r="BH2963" t="s">
        <v>53</v>
      </c>
    </row>
    <row r="2964" spans="1:112" x14ac:dyDescent="0.2">
      <c r="A2964" t="s">
        <v>1012</v>
      </c>
      <c r="B2964" t="s">
        <v>1013</v>
      </c>
      <c r="C2964" t="s">
        <v>1052</v>
      </c>
      <c r="D2964" t="s">
        <v>1091</v>
      </c>
      <c r="F2964" t="str">
        <f>"251930"</f>
        <v>251930</v>
      </c>
      <c r="G2964" t="s">
        <v>49</v>
      </c>
      <c r="K2964" t="s">
        <v>51</v>
      </c>
      <c r="L2964" t="s">
        <v>52</v>
      </c>
      <c r="M2964">
        <v>131747.32999999999</v>
      </c>
      <c r="N2964">
        <v>474731.59</v>
      </c>
      <c r="O2964" t="s">
        <v>53</v>
      </c>
      <c r="P2964" t="s">
        <v>54</v>
      </c>
      <c r="Q2964" t="s">
        <v>55</v>
      </c>
      <c r="T2964" t="s">
        <v>431</v>
      </c>
      <c r="U2964">
        <v>40</v>
      </c>
      <c r="V2964" s="1">
        <v>32143</v>
      </c>
      <c r="W2964" s="1">
        <v>32143</v>
      </c>
      <c r="X2964" s="1">
        <v>32143</v>
      </c>
      <c r="Y2964" s="1">
        <v>46753</v>
      </c>
      <c r="Z2964" t="s">
        <v>51</v>
      </c>
      <c r="AB2964" t="s">
        <v>54</v>
      </c>
      <c r="AC2964">
        <v>1</v>
      </c>
      <c r="AE2964" t="s">
        <v>79</v>
      </c>
      <c r="AF2964">
        <v>20</v>
      </c>
      <c r="AG2964" s="1">
        <v>32143</v>
      </c>
      <c r="AH2964" s="1">
        <v>32143</v>
      </c>
      <c r="AI2964" s="1">
        <v>32143</v>
      </c>
      <c r="AJ2964" s="1">
        <v>39448</v>
      </c>
      <c r="AK2964" t="s">
        <v>51</v>
      </c>
      <c r="AN2964">
        <v>0</v>
      </c>
      <c r="AO2964" t="s">
        <v>54</v>
      </c>
      <c r="AP2964" t="s">
        <v>53</v>
      </c>
      <c r="AQ2964">
        <v>0</v>
      </c>
      <c r="AR2964" t="s">
        <v>145</v>
      </c>
      <c r="AS2964">
        <v>0</v>
      </c>
      <c r="AT2964">
        <v>0</v>
      </c>
      <c r="AW2964" t="s">
        <v>79</v>
      </c>
      <c r="AX2964">
        <v>20</v>
      </c>
      <c r="AY2964" s="1">
        <v>32143</v>
      </c>
      <c r="AZ2964" s="1">
        <v>32143</v>
      </c>
      <c r="BA2964" s="1">
        <v>32143</v>
      </c>
      <c r="BB2964" s="1">
        <v>39448</v>
      </c>
      <c r="BC2964" t="s">
        <v>51</v>
      </c>
      <c r="BE2964" t="s">
        <v>54</v>
      </c>
      <c r="BF2964">
        <v>5</v>
      </c>
      <c r="BG2964">
        <v>0</v>
      </c>
      <c r="BH2964" t="s">
        <v>53</v>
      </c>
      <c r="BK2964" t="s">
        <v>1182</v>
      </c>
      <c r="BL2964">
        <v>14000</v>
      </c>
      <c r="BM2964" s="1">
        <v>44103</v>
      </c>
      <c r="BN2964" s="1">
        <v>44103</v>
      </c>
      <c r="BO2964" s="1">
        <v>44103</v>
      </c>
      <c r="BP2964" s="1">
        <v>45268</v>
      </c>
      <c r="BQ2964" t="s">
        <v>51</v>
      </c>
      <c r="BS2964" t="s">
        <v>60</v>
      </c>
      <c r="BT2964" t="s">
        <v>54</v>
      </c>
      <c r="BU2964" t="s">
        <v>61</v>
      </c>
      <c r="BV2964" t="s">
        <v>62</v>
      </c>
      <c r="BX2964">
        <v>18</v>
      </c>
      <c r="BY2964">
        <v>0</v>
      </c>
      <c r="BZ2964">
        <v>0</v>
      </c>
    </row>
    <row r="2965" spans="1:112" x14ac:dyDescent="0.2">
      <c r="A2965" t="s">
        <v>1012</v>
      </c>
      <c r="B2965" t="s">
        <v>1013</v>
      </c>
      <c r="C2965" t="s">
        <v>1025</v>
      </c>
      <c r="D2965" t="s">
        <v>1022</v>
      </c>
      <c r="F2965" t="str">
        <f>"?8"</f>
        <v>?8</v>
      </c>
      <c r="G2965" t="s">
        <v>49</v>
      </c>
      <c r="H2965" t="s">
        <v>1180</v>
      </c>
      <c r="K2965" t="s">
        <v>1181</v>
      </c>
      <c r="L2965" t="s">
        <v>52</v>
      </c>
      <c r="M2965">
        <v>134901.97</v>
      </c>
      <c r="N2965">
        <v>473805.22</v>
      </c>
      <c r="O2965" t="s">
        <v>53</v>
      </c>
      <c r="P2965" t="s">
        <v>54</v>
      </c>
      <c r="AP2965" t="s">
        <v>53</v>
      </c>
      <c r="AR2965" t="s">
        <v>53</v>
      </c>
      <c r="BH2965" t="s">
        <v>53</v>
      </c>
    </row>
    <row r="2966" spans="1:112" x14ac:dyDescent="0.2">
      <c r="A2966" t="s">
        <v>1012</v>
      </c>
      <c r="B2966" t="s">
        <v>1013</v>
      </c>
      <c r="C2966" t="s">
        <v>1014</v>
      </c>
      <c r="D2966" t="s">
        <v>1096</v>
      </c>
      <c r="F2966" t="str">
        <f>"252024"</f>
        <v>252024</v>
      </c>
      <c r="G2966" t="s">
        <v>49</v>
      </c>
      <c r="K2966" t="s">
        <v>51</v>
      </c>
      <c r="L2966" t="s">
        <v>52</v>
      </c>
      <c r="M2966">
        <v>131635.76</v>
      </c>
      <c r="N2966">
        <v>474936.92</v>
      </c>
      <c r="O2966" t="s">
        <v>53</v>
      </c>
      <c r="P2966" t="s">
        <v>54</v>
      </c>
      <c r="Q2966" t="s">
        <v>55</v>
      </c>
      <c r="T2966" t="s">
        <v>1054</v>
      </c>
      <c r="U2966">
        <v>40</v>
      </c>
      <c r="V2966" s="1">
        <v>28126</v>
      </c>
      <c r="W2966" s="1">
        <v>28126</v>
      </c>
      <c r="X2966" s="1">
        <v>28126</v>
      </c>
      <c r="Y2966" s="1">
        <v>42736</v>
      </c>
      <c r="Z2966" t="s">
        <v>51</v>
      </c>
      <c r="AB2966" t="s">
        <v>54</v>
      </c>
      <c r="AC2966">
        <v>1</v>
      </c>
      <c r="AE2966" t="s">
        <v>91</v>
      </c>
      <c r="AF2966">
        <v>20</v>
      </c>
      <c r="AG2966" s="1">
        <v>34700</v>
      </c>
      <c r="AH2966" s="1">
        <v>34700</v>
      </c>
      <c r="AI2966" s="1">
        <v>34700</v>
      </c>
      <c r="AJ2966" s="1">
        <v>42005</v>
      </c>
      <c r="AK2966" t="s">
        <v>51</v>
      </c>
      <c r="AN2966">
        <v>0</v>
      </c>
      <c r="AO2966" t="s">
        <v>54</v>
      </c>
      <c r="AP2966" t="s">
        <v>53</v>
      </c>
      <c r="AQ2966">
        <v>0</v>
      </c>
      <c r="AR2966" t="s">
        <v>53</v>
      </c>
      <c r="AS2966">
        <v>0</v>
      </c>
      <c r="AT2966">
        <v>0</v>
      </c>
      <c r="AW2966" t="s">
        <v>58</v>
      </c>
      <c r="AX2966">
        <v>20</v>
      </c>
      <c r="AY2966" s="1">
        <v>34700</v>
      </c>
      <c r="AZ2966" s="1">
        <v>34700</v>
      </c>
      <c r="BA2966" s="1">
        <v>34700</v>
      </c>
      <c r="BB2966" s="1">
        <v>42005</v>
      </c>
      <c r="BC2966" t="s">
        <v>51</v>
      </c>
      <c r="BE2966" t="s">
        <v>54</v>
      </c>
      <c r="BF2966">
        <v>2</v>
      </c>
      <c r="BG2966">
        <v>0</v>
      </c>
      <c r="BH2966" t="s">
        <v>53</v>
      </c>
      <c r="BK2966" t="s">
        <v>92</v>
      </c>
      <c r="BL2966">
        <v>14000</v>
      </c>
      <c r="BM2966" s="1">
        <v>44110</v>
      </c>
      <c r="BN2966" s="1">
        <v>44110</v>
      </c>
      <c r="BO2966" s="1">
        <v>44110</v>
      </c>
      <c r="BP2966" s="1">
        <v>45272</v>
      </c>
      <c r="BQ2966" t="s">
        <v>51</v>
      </c>
      <c r="BS2966" t="s">
        <v>60</v>
      </c>
      <c r="BT2966" t="s">
        <v>54</v>
      </c>
      <c r="BU2966" t="s">
        <v>61</v>
      </c>
      <c r="BV2966" t="s">
        <v>62</v>
      </c>
      <c r="BX2966">
        <v>55</v>
      </c>
      <c r="BY2966">
        <v>0</v>
      </c>
      <c r="BZ2966">
        <v>0</v>
      </c>
      <c r="CX2966" t="s">
        <v>674</v>
      </c>
      <c r="CY2966">
        <v>0</v>
      </c>
      <c r="CZ2966" s="1">
        <v>44320</v>
      </c>
      <c r="DA2966" s="1">
        <v>44320</v>
      </c>
      <c r="DB2966" s="1">
        <v>44320</v>
      </c>
      <c r="DC2966" s="1">
        <v>44320</v>
      </c>
      <c r="DD2966" t="s">
        <v>51</v>
      </c>
      <c r="DF2966" t="s">
        <v>54</v>
      </c>
      <c r="DG2966">
        <v>0</v>
      </c>
      <c r="DH2966">
        <v>0</v>
      </c>
    </row>
    <row r="2967" spans="1:112" x14ac:dyDescent="0.2">
      <c r="A2967" t="s">
        <v>1012</v>
      </c>
      <c r="B2967" t="s">
        <v>1013</v>
      </c>
      <c r="C2967" t="s">
        <v>1052</v>
      </c>
      <c r="D2967" t="s">
        <v>1096</v>
      </c>
      <c r="F2967" t="str">
        <f>"?82"</f>
        <v>?82</v>
      </c>
      <c r="G2967" t="s">
        <v>49</v>
      </c>
      <c r="K2967" t="s">
        <v>51</v>
      </c>
      <c r="L2967" t="s">
        <v>52</v>
      </c>
      <c r="M2967">
        <v>131648.19</v>
      </c>
      <c r="N2967">
        <v>474990.57</v>
      </c>
      <c r="O2967" t="s">
        <v>53</v>
      </c>
      <c r="P2967" t="s">
        <v>54</v>
      </c>
      <c r="Q2967" t="s">
        <v>55</v>
      </c>
      <c r="T2967" t="s">
        <v>1183</v>
      </c>
      <c r="U2967">
        <v>40</v>
      </c>
      <c r="V2967" s="1">
        <v>28126</v>
      </c>
      <c r="W2967" s="1">
        <v>28126</v>
      </c>
      <c r="X2967" s="1">
        <v>28126</v>
      </c>
      <c r="Y2967" s="1">
        <v>42736</v>
      </c>
      <c r="Z2967" t="s">
        <v>51</v>
      </c>
      <c r="AB2967" t="s">
        <v>54</v>
      </c>
      <c r="AC2967">
        <v>1</v>
      </c>
      <c r="AE2967" t="s">
        <v>91</v>
      </c>
      <c r="AF2967">
        <v>20</v>
      </c>
      <c r="AG2967" s="1">
        <v>34700</v>
      </c>
      <c r="AH2967" s="1">
        <v>34700</v>
      </c>
      <c r="AI2967" s="1">
        <v>34700</v>
      </c>
      <c r="AJ2967" s="1">
        <v>42005</v>
      </c>
      <c r="AK2967" t="s">
        <v>51</v>
      </c>
      <c r="AN2967">
        <v>0</v>
      </c>
      <c r="AO2967" t="s">
        <v>54</v>
      </c>
      <c r="AP2967" t="s">
        <v>53</v>
      </c>
      <c r="AQ2967">
        <v>0</v>
      </c>
      <c r="AR2967" t="s">
        <v>53</v>
      </c>
      <c r="AS2967">
        <v>0</v>
      </c>
      <c r="AT2967">
        <v>0</v>
      </c>
      <c r="AW2967" t="s">
        <v>58</v>
      </c>
      <c r="AX2967">
        <v>20</v>
      </c>
      <c r="AY2967" s="1">
        <v>34700</v>
      </c>
      <c r="AZ2967" s="1">
        <v>34700</v>
      </c>
      <c r="BA2967" s="1">
        <v>34700</v>
      </c>
      <c r="BB2967" s="1">
        <v>42005</v>
      </c>
      <c r="BC2967" t="s">
        <v>51</v>
      </c>
      <c r="BE2967" t="s">
        <v>54</v>
      </c>
      <c r="BF2967">
        <v>2</v>
      </c>
      <c r="BG2967">
        <v>0</v>
      </c>
      <c r="BH2967" t="s">
        <v>53</v>
      </c>
      <c r="BK2967" t="s">
        <v>92</v>
      </c>
      <c r="BL2967">
        <v>14000</v>
      </c>
      <c r="BM2967" s="1">
        <v>44110</v>
      </c>
      <c r="BN2967" s="1">
        <v>44110</v>
      </c>
      <c r="BO2967" s="1">
        <v>44110</v>
      </c>
      <c r="BP2967" s="1">
        <v>45272</v>
      </c>
      <c r="BQ2967" t="s">
        <v>51</v>
      </c>
      <c r="BS2967" t="s">
        <v>60</v>
      </c>
      <c r="BT2967" t="s">
        <v>54</v>
      </c>
      <c r="BU2967" t="s">
        <v>61</v>
      </c>
      <c r="BV2967" t="s">
        <v>62</v>
      </c>
      <c r="BX2967">
        <v>55</v>
      </c>
      <c r="BY2967">
        <v>0</v>
      </c>
      <c r="BZ2967">
        <v>0</v>
      </c>
      <c r="CX2967" t="s">
        <v>674</v>
      </c>
      <c r="CY2967">
        <v>0</v>
      </c>
      <c r="CZ2967" s="1">
        <v>44320</v>
      </c>
      <c r="DA2967" s="1">
        <v>44320</v>
      </c>
      <c r="DB2967" s="1">
        <v>44320</v>
      </c>
      <c r="DC2967" s="1">
        <v>44320</v>
      </c>
      <c r="DD2967" t="s">
        <v>51</v>
      </c>
      <c r="DF2967" t="s">
        <v>54</v>
      </c>
      <c r="DG2967">
        <v>0</v>
      </c>
      <c r="DH2967">
        <v>0</v>
      </c>
    </row>
    <row r="2968" spans="1:112" x14ac:dyDescent="0.2">
      <c r="A2968" t="s">
        <v>1012</v>
      </c>
      <c r="B2968" t="s">
        <v>1013</v>
      </c>
      <c r="C2968" t="s">
        <v>1014</v>
      </c>
      <c r="D2968" t="s">
        <v>1072</v>
      </c>
      <c r="F2968" t="str">
        <f>"252000"</f>
        <v>252000</v>
      </c>
      <c r="G2968" t="s">
        <v>49</v>
      </c>
      <c r="K2968" t="s">
        <v>51</v>
      </c>
      <c r="L2968" t="s">
        <v>52</v>
      </c>
      <c r="M2968">
        <v>131621.84</v>
      </c>
      <c r="N2968">
        <v>475013.11</v>
      </c>
      <c r="O2968" t="s">
        <v>53</v>
      </c>
      <c r="P2968" t="s">
        <v>54</v>
      </c>
      <c r="Q2968" t="s">
        <v>55</v>
      </c>
      <c r="T2968" t="s">
        <v>480</v>
      </c>
      <c r="U2968">
        <v>40</v>
      </c>
      <c r="V2968" s="1">
        <v>34700</v>
      </c>
      <c r="W2968" s="1">
        <v>34700</v>
      </c>
      <c r="X2968" s="1">
        <v>34700</v>
      </c>
      <c r="Y2968" s="1">
        <v>49310</v>
      </c>
      <c r="Z2968" t="s">
        <v>51</v>
      </c>
      <c r="AB2968" t="s">
        <v>54</v>
      </c>
      <c r="AC2968">
        <v>1</v>
      </c>
      <c r="AE2968" t="s">
        <v>79</v>
      </c>
      <c r="AF2968">
        <v>20</v>
      </c>
      <c r="AG2968" s="1">
        <v>34700</v>
      </c>
      <c r="AH2968" s="1">
        <v>34700</v>
      </c>
      <c r="AI2968" s="1">
        <v>34700</v>
      </c>
      <c r="AJ2968" s="1">
        <v>42005</v>
      </c>
      <c r="AK2968" t="s">
        <v>51</v>
      </c>
      <c r="AN2968">
        <v>0</v>
      </c>
      <c r="AO2968" t="s">
        <v>54</v>
      </c>
      <c r="AP2968" t="s">
        <v>53</v>
      </c>
      <c r="AQ2968">
        <v>0</v>
      </c>
      <c r="AR2968" t="s">
        <v>145</v>
      </c>
      <c r="AS2968">
        <v>0</v>
      </c>
      <c r="AT2968">
        <v>0</v>
      </c>
      <c r="AW2968" t="s">
        <v>79</v>
      </c>
      <c r="AX2968">
        <v>20</v>
      </c>
      <c r="AY2968" s="1">
        <v>34700</v>
      </c>
      <c r="AZ2968" s="1">
        <v>34700</v>
      </c>
      <c r="BA2968" s="1">
        <v>34700</v>
      </c>
      <c r="BB2968" s="1">
        <v>42005</v>
      </c>
      <c r="BC2968" t="s">
        <v>51</v>
      </c>
      <c r="BE2968" t="s">
        <v>54</v>
      </c>
      <c r="BF2968">
        <v>5</v>
      </c>
      <c r="BG2968">
        <v>0</v>
      </c>
      <c r="BH2968" t="s">
        <v>53</v>
      </c>
      <c r="BK2968" t="s">
        <v>1182</v>
      </c>
      <c r="BL2968">
        <v>14000</v>
      </c>
      <c r="BM2968" s="1">
        <v>44314</v>
      </c>
      <c r="BN2968" s="1">
        <v>44314</v>
      </c>
      <c r="BO2968" s="1">
        <v>44314</v>
      </c>
      <c r="BP2968" s="1">
        <v>45537</v>
      </c>
      <c r="BQ2968" t="s">
        <v>51</v>
      </c>
      <c r="BS2968" t="s">
        <v>60</v>
      </c>
      <c r="BT2968" t="s">
        <v>54</v>
      </c>
      <c r="BU2968" t="s">
        <v>61</v>
      </c>
      <c r="BV2968" t="s">
        <v>62</v>
      </c>
      <c r="BX2968">
        <v>18</v>
      </c>
      <c r="BY2968">
        <v>0</v>
      </c>
      <c r="BZ2968">
        <v>0</v>
      </c>
    </row>
    <row r="2969" spans="1:112" x14ac:dyDescent="0.2">
      <c r="A2969" t="s">
        <v>1012</v>
      </c>
      <c r="B2969" t="s">
        <v>1013</v>
      </c>
      <c r="C2969" t="s">
        <v>1025</v>
      </c>
      <c r="D2969" t="s">
        <v>1022</v>
      </c>
      <c r="F2969" t="str">
        <f>"?9"</f>
        <v>?9</v>
      </c>
      <c r="G2969" t="s">
        <v>49</v>
      </c>
      <c r="H2969" t="s">
        <v>1180</v>
      </c>
      <c r="K2969" t="s">
        <v>1181</v>
      </c>
      <c r="L2969" t="s">
        <v>52</v>
      </c>
      <c r="M2969">
        <v>134904.88</v>
      </c>
      <c r="N2969">
        <v>473765.59</v>
      </c>
      <c r="O2969" t="s">
        <v>53</v>
      </c>
      <c r="P2969" t="s">
        <v>54</v>
      </c>
      <c r="AP2969" t="s">
        <v>53</v>
      </c>
      <c r="AR2969" t="s">
        <v>53</v>
      </c>
      <c r="BH2969" t="s">
        <v>53</v>
      </c>
    </row>
    <row r="2970" spans="1:112" x14ac:dyDescent="0.2">
      <c r="A2970" t="s">
        <v>1012</v>
      </c>
      <c r="B2970" t="s">
        <v>1013</v>
      </c>
      <c r="C2970" t="s">
        <v>1025</v>
      </c>
      <c r="D2970" t="s">
        <v>1022</v>
      </c>
      <c r="F2970" t="str">
        <f>"?92"</f>
        <v>?92</v>
      </c>
      <c r="G2970" t="s">
        <v>49</v>
      </c>
      <c r="H2970" t="s">
        <v>1180</v>
      </c>
      <c r="K2970" t="s">
        <v>1181</v>
      </c>
      <c r="L2970" t="s">
        <v>52</v>
      </c>
      <c r="M2970">
        <v>134865.70000000001</v>
      </c>
      <c r="N2970">
        <v>473827.13</v>
      </c>
      <c r="O2970" t="s">
        <v>53</v>
      </c>
      <c r="P2970" t="s">
        <v>54</v>
      </c>
      <c r="AP2970" t="s">
        <v>53</v>
      </c>
      <c r="AR2970" t="s">
        <v>53</v>
      </c>
      <c r="BH2970" t="s">
        <v>53</v>
      </c>
    </row>
    <row r="2971" spans="1:112" x14ac:dyDescent="0.2">
      <c r="A2971" t="s">
        <v>1012</v>
      </c>
      <c r="B2971" t="s">
        <v>1013</v>
      </c>
      <c r="C2971" t="s">
        <v>1025</v>
      </c>
      <c r="D2971" t="s">
        <v>1022</v>
      </c>
      <c r="F2971" t="str">
        <f>"251551"</f>
        <v>251551</v>
      </c>
      <c r="G2971" t="s">
        <v>49</v>
      </c>
      <c r="K2971" t="s">
        <v>51</v>
      </c>
      <c r="L2971" t="s">
        <v>52</v>
      </c>
      <c r="M2971">
        <v>134977.51999999999</v>
      </c>
      <c r="N2971">
        <v>473803.24</v>
      </c>
      <c r="O2971" t="s">
        <v>53</v>
      </c>
      <c r="P2971" t="s">
        <v>54</v>
      </c>
      <c r="Q2971" t="s">
        <v>55</v>
      </c>
      <c r="T2971" t="s">
        <v>81</v>
      </c>
      <c r="U2971">
        <v>40</v>
      </c>
      <c r="V2971" s="1">
        <v>31048</v>
      </c>
      <c r="W2971" s="1">
        <v>31048</v>
      </c>
      <c r="X2971" s="1">
        <v>31048</v>
      </c>
      <c r="Y2971" s="1">
        <v>45658</v>
      </c>
      <c r="Z2971" t="s">
        <v>51</v>
      </c>
      <c r="AB2971" t="s">
        <v>54</v>
      </c>
      <c r="AC2971">
        <v>1</v>
      </c>
      <c r="AE2971" t="s">
        <v>1024</v>
      </c>
      <c r="AF2971">
        <v>20</v>
      </c>
      <c r="AG2971" s="1">
        <v>44369</v>
      </c>
      <c r="AH2971" s="1">
        <v>44369</v>
      </c>
      <c r="AI2971" s="1">
        <v>44369</v>
      </c>
      <c r="AJ2971" s="1">
        <v>51674</v>
      </c>
      <c r="AK2971" t="s">
        <v>51</v>
      </c>
      <c r="AN2971">
        <v>0</v>
      </c>
      <c r="AO2971" t="s">
        <v>54</v>
      </c>
      <c r="AP2971" t="s">
        <v>53</v>
      </c>
      <c r="AQ2971">
        <v>0</v>
      </c>
      <c r="AR2971" t="s">
        <v>145</v>
      </c>
      <c r="AS2971">
        <v>0</v>
      </c>
      <c r="AT2971">
        <v>0</v>
      </c>
      <c r="CC2971" t="s">
        <v>555</v>
      </c>
      <c r="CD2971">
        <v>85000</v>
      </c>
      <c r="CE2971" s="1">
        <v>44369</v>
      </c>
      <c r="CF2971" s="1">
        <v>44369</v>
      </c>
      <c r="CG2971" s="1">
        <v>44369</v>
      </c>
      <c r="CH2971" s="1">
        <v>51959</v>
      </c>
      <c r="CI2971" t="s">
        <v>51</v>
      </c>
      <c r="CK2971" t="s">
        <v>78</v>
      </c>
      <c r="CM2971" t="s">
        <v>54</v>
      </c>
      <c r="CN2971" t="s">
        <v>174</v>
      </c>
      <c r="CO2971" t="s">
        <v>86</v>
      </c>
      <c r="CR2971">
        <v>20</v>
      </c>
      <c r="CS2971">
        <v>0</v>
      </c>
      <c r="CT2971">
        <v>0</v>
      </c>
      <c r="CU2971">
        <v>0</v>
      </c>
    </row>
    <row r="2972" spans="1:112" x14ac:dyDescent="0.2">
      <c r="A2972" t="s">
        <v>1012</v>
      </c>
      <c r="B2972" t="s">
        <v>1013</v>
      </c>
      <c r="C2972" t="s">
        <v>1014</v>
      </c>
      <c r="D2972" t="s">
        <v>1015</v>
      </c>
      <c r="F2972" t="str">
        <f>"?99"</f>
        <v>?99</v>
      </c>
      <c r="G2972" t="s">
        <v>49</v>
      </c>
      <c r="K2972" t="s">
        <v>51</v>
      </c>
      <c r="L2972" t="s">
        <v>52</v>
      </c>
      <c r="M2972">
        <v>131552.63</v>
      </c>
      <c r="N2972">
        <v>475091.91</v>
      </c>
      <c r="O2972" t="s">
        <v>53</v>
      </c>
      <c r="P2972" t="s">
        <v>54</v>
      </c>
      <c r="Q2972" t="s">
        <v>55</v>
      </c>
      <c r="T2972" t="s">
        <v>431</v>
      </c>
      <c r="U2972">
        <v>40</v>
      </c>
      <c r="V2972" s="1">
        <v>29221</v>
      </c>
      <c r="W2972" s="1">
        <v>29221</v>
      </c>
      <c r="X2972" s="1">
        <v>29221</v>
      </c>
      <c r="Y2972" s="1">
        <v>43831</v>
      </c>
      <c r="Z2972" t="s">
        <v>51</v>
      </c>
      <c r="AB2972" t="s">
        <v>54</v>
      </c>
      <c r="AC2972">
        <v>1</v>
      </c>
      <c r="AE2972" t="s">
        <v>79</v>
      </c>
      <c r="AF2972">
        <v>20</v>
      </c>
      <c r="AG2972" s="1">
        <v>29221</v>
      </c>
      <c r="AH2972" s="1">
        <v>29221</v>
      </c>
      <c r="AI2972" s="1">
        <v>29221</v>
      </c>
      <c r="AJ2972" s="1">
        <v>36526</v>
      </c>
      <c r="AK2972" t="s">
        <v>51</v>
      </c>
      <c r="AN2972">
        <v>0</v>
      </c>
      <c r="AO2972" t="s">
        <v>54</v>
      </c>
      <c r="AP2972" t="s">
        <v>53</v>
      </c>
      <c r="AQ2972">
        <v>0</v>
      </c>
      <c r="AR2972" t="s">
        <v>145</v>
      </c>
      <c r="AS2972">
        <v>0</v>
      </c>
      <c r="AT2972">
        <v>0</v>
      </c>
      <c r="AW2972" t="s">
        <v>79</v>
      </c>
      <c r="AX2972">
        <v>20</v>
      </c>
      <c r="AY2972" s="1">
        <v>29221</v>
      </c>
      <c r="AZ2972" s="1">
        <v>29221</v>
      </c>
      <c r="BA2972" s="1">
        <v>29221</v>
      </c>
      <c r="BB2972" s="1">
        <v>36526</v>
      </c>
      <c r="BC2972" t="s">
        <v>51</v>
      </c>
      <c r="BE2972" t="s">
        <v>54</v>
      </c>
      <c r="BF2972">
        <v>5</v>
      </c>
      <c r="BG2972">
        <v>0</v>
      </c>
      <c r="BH2972" t="s">
        <v>53</v>
      </c>
      <c r="BK2972" t="s">
        <v>1178</v>
      </c>
      <c r="BL2972">
        <v>14000</v>
      </c>
      <c r="BM2972" s="1">
        <v>43395</v>
      </c>
      <c r="BN2972" s="1">
        <v>43395</v>
      </c>
      <c r="BO2972" s="1">
        <v>43395</v>
      </c>
      <c r="BP2972" s="1">
        <v>44556</v>
      </c>
      <c r="BQ2972" t="s">
        <v>51</v>
      </c>
      <c r="BS2972" t="s">
        <v>60</v>
      </c>
      <c r="BT2972" t="s">
        <v>54</v>
      </c>
      <c r="BU2972" t="s">
        <v>362</v>
      </c>
      <c r="BV2972" t="s">
        <v>1179</v>
      </c>
      <c r="BX2972">
        <v>20</v>
      </c>
      <c r="BY2972">
        <v>0</v>
      </c>
      <c r="BZ2972">
        <v>0</v>
      </c>
    </row>
    <row r="2973" spans="1:112" x14ac:dyDescent="0.2">
      <c r="A2973" t="s">
        <v>1012</v>
      </c>
      <c r="B2973" t="s">
        <v>1013</v>
      </c>
      <c r="C2973" t="s">
        <v>1019</v>
      </c>
      <c r="D2973" t="s">
        <v>1053</v>
      </c>
      <c r="F2973" t="str">
        <f>"118 01h"</f>
        <v>118 01h</v>
      </c>
      <c r="G2973" t="s">
        <v>49</v>
      </c>
      <c r="K2973" t="s">
        <v>427</v>
      </c>
      <c r="L2973" t="s">
        <v>52</v>
      </c>
      <c r="M2973">
        <v>131916.91</v>
      </c>
      <c r="N2973">
        <v>472992.34</v>
      </c>
      <c r="O2973" t="s">
        <v>53</v>
      </c>
      <c r="P2973" t="s">
        <v>54</v>
      </c>
      <c r="AP2973" t="s">
        <v>53</v>
      </c>
      <c r="AR2973" t="s">
        <v>53</v>
      </c>
      <c r="BH2973" t="s">
        <v>53</v>
      </c>
    </row>
    <row r="2974" spans="1:112" x14ac:dyDescent="0.2">
      <c r="A2974" t="s">
        <v>1012</v>
      </c>
      <c r="B2974" t="s">
        <v>1013</v>
      </c>
      <c r="C2974" t="s">
        <v>1019</v>
      </c>
      <c r="D2974" t="s">
        <v>1053</v>
      </c>
      <c r="F2974" t="str">
        <f>"118 02h"</f>
        <v>118 02h</v>
      </c>
      <c r="G2974" t="s">
        <v>49</v>
      </c>
      <c r="K2974" t="s">
        <v>427</v>
      </c>
      <c r="L2974" t="s">
        <v>52</v>
      </c>
      <c r="M2974">
        <v>131896.52519135</v>
      </c>
      <c r="N2974">
        <v>472970.00808498799</v>
      </c>
      <c r="O2974" t="s">
        <v>53</v>
      </c>
      <c r="P2974" t="s">
        <v>54</v>
      </c>
      <c r="AP2974" t="s">
        <v>53</v>
      </c>
      <c r="AR2974" t="s">
        <v>53</v>
      </c>
      <c r="BH2974" t="s">
        <v>53</v>
      </c>
    </row>
    <row r="2975" spans="1:112" x14ac:dyDescent="0.2">
      <c r="A2975" t="s">
        <v>1012</v>
      </c>
      <c r="B2975" t="s">
        <v>1013</v>
      </c>
      <c r="C2975" t="s">
        <v>1019</v>
      </c>
      <c r="D2975" t="s">
        <v>1053</v>
      </c>
      <c r="F2975" t="str">
        <f>"119 01h"</f>
        <v>119 01h</v>
      </c>
      <c r="G2975" t="s">
        <v>49</v>
      </c>
      <c r="K2975" t="s">
        <v>427</v>
      </c>
      <c r="L2975" t="s">
        <v>52</v>
      </c>
      <c r="M2975">
        <v>131877.11378698601</v>
      </c>
      <c r="N2975">
        <v>472947.95985654701</v>
      </c>
      <c r="O2975" t="s">
        <v>53</v>
      </c>
      <c r="P2975" t="s">
        <v>54</v>
      </c>
      <c r="AP2975" t="s">
        <v>53</v>
      </c>
      <c r="AR2975" t="s">
        <v>53</v>
      </c>
      <c r="BH2975" t="s">
        <v>53</v>
      </c>
    </row>
    <row r="2976" spans="1:112" x14ac:dyDescent="0.2">
      <c r="A2976" t="s">
        <v>1012</v>
      </c>
      <c r="B2976" t="s">
        <v>1013</v>
      </c>
      <c r="C2976" t="s">
        <v>1019</v>
      </c>
      <c r="D2976" t="s">
        <v>1053</v>
      </c>
      <c r="F2976" t="str">
        <f>"119 02h"</f>
        <v>119 02h</v>
      </c>
      <c r="G2976" t="s">
        <v>49</v>
      </c>
      <c r="K2976" t="s">
        <v>427</v>
      </c>
      <c r="L2976" t="s">
        <v>52</v>
      </c>
      <c r="M2976">
        <v>131853.176600231</v>
      </c>
      <c r="N2976">
        <v>472937.76419333898</v>
      </c>
      <c r="O2976" t="s">
        <v>53</v>
      </c>
      <c r="P2976" t="s">
        <v>54</v>
      </c>
      <c r="AP2976" t="s">
        <v>53</v>
      </c>
      <c r="AR2976" t="s">
        <v>53</v>
      </c>
      <c r="BH2976" t="s">
        <v>53</v>
      </c>
    </row>
    <row r="2977" spans="1:112" x14ac:dyDescent="0.2">
      <c r="A2977" t="s">
        <v>1012</v>
      </c>
      <c r="B2977" t="s">
        <v>1013</v>
      </c>
      <c r="C2977" t="s">
        <v>1019</v>
      </c>
      <c r="D2977" t="s">
        <v>426</v>
      </c>
      <c r="F2977" t="str">
        <f>"26701 01"</f>
        <v>26701 01</v>
      </c>
      <c r="G2977" t="s">
        <v>49</v>
      </c>
      <c r="K2977" t="s">
        <v>429</v>
      </c>
      <c r="L2977" t="s">
        <v>52</v>
      </c>
      <c r="M2977">
        <v>131824.13</v>
      </c>
      <c r="N2977">
        <v>472935.03</v>
      </c>
      <c r="O2977" t="s">
        <v>53</v>
      </c>
      <c r="P2977" t="s">
        <v>54</v>
      </c>
      <c r="Q2977" t="s">
        <v>55</v>
      </c>
      <c r="T2977" t="s">
        <v>81</v>
      </c>
      <c r="U2977">
        <v>40</v>
      </c>
      <c r="V2977" s="1">
        <v>44316</v>
      </c>
      <c r="W2977" s="1">
        <v>44316</v>
      </c>
      <c r="X2977" s="1">
        <v>44316</v>
      </c>
      <c r="Y2977" s="1">
        <v>58926</v>
      </c>
      <c r="Z2977" t="s">
        <v>429</v>
      </c>
      <c r="AB2977" t="s">
        <v>54</v>
      </c>
      <c r="AE2977" t="s">
        <v>84</v>
      </c>
      <c r="AF2977">
        <v>20</v>
      </c>
      <c r="AG2977" s="1">
        <v>44316</v>
      </c>
      <c r="AH2977" s="1">
        <v>44316</v>
      </c>
      <c r="AI2977" s="1">
        <v>44316</v>
      </c>
      <c r="AJ2977" s="1">
        <v>51621</v>
      </c>
      <c r="AK2977" t="s">
        <v>429</v>
      </c>
      <c r="AN2977">
        <v>0</v>
      </c>
      <c r="AO2977" t="s">
        <v>54</v>
      </c>
      <c r="AP2977" t="s">
        <v>53</v>
      </c>
      <c r="AQ2977">
        <v>0</v>
      </c>
      <c r="AR2977" t="s">
        <v>53</v>
      </c>
      <c r="AS2977">
        <v>0</v>
      </c>
      <c r="AT2977">
        <v>0</v>
      </c>
      <c r="AW2977" t="s">
        <v>58</v>
      </c>
      <c r="AX2977">
        <v>20</v>
      </c>
      <c r="AY2977" s="1">
        <v>44316</v>
      </c>
      <c r="AZ2977" s="1">
        <v>44316</v>
      </c>
      <c r="BA2977" s="1">
        <v>44316</v>
      </c>
      <c r="BB2977" s="1">
        <v>51621</v>
      </c>
      <c r="BC2977" t="s">
        <v>429</v>
      </c>
      <c r="BE2977" t="s">
        <v>54</v>
      </c>
      <c r="BF2977">
        <v>2</v>
      </c>
      <c r="BG2977">
        <v>0</v>
      </c>
      <c r="BH2977" t="s">
        <v>53</v>
      </c>
      <c r="BK2977" t="s">
        <v>59</v>
      </c>
      <c r="BL2977">
        <v>14000</v>
      </c>
      <c r="BM2977" s="1">
        <v>44316</v>
      </c>
      <c r="BN2977" s="1">
        <v>44316</v>
      </c>
      <c r="BO2977" s="1">
        <v>44316</v>
      </c>
      <c r="BP2977" s="1">
        <v>45539</v>
      </c>
      <c r="BQ2977" t="s">
        <v>429</v>
      </c>
      <c r="BS2977" t="s">
        <v>60</v>
      </c>
      <c r="BT2977" t="s">
        <v>54</v>
      </c>
      <c r="BU2977" t="s">
        <v>61</v>
      </c>
      <c r="BV2977" t="s">
        <v>62</v>
      </c>
      <c r="BX2977">
        <v>24</v>
      </c>
      <c r="BY2977">
        <v>0</v>
      </c>
      <c r="BZ2977">
        <v>0</v>
      </c>
      <c r="CX2977" t="s">
        <v>674</v>
      </c>
      <c r="CY2977">
        <v>0</v>
      </c>
      <c r="CZ2977" s="1">
        <v>44316</v>
      </c>
      <c r="DA2977" s="1">
        <v>44316</v>
      </c>
      <c r="DB2977" s="1">
        <v>44316</v>
      </c>
      <c r="DC2977" s="1">
        <v>44316</v>
      </c>
      <c r="DD2977" t="s">
        <v>429</v>
      </c>
      <c r="DF2977" t="s">
        <v>54</v>
      </c>
      <c r="DG2977">
        <v>0</v>
      </c>
      <c r="DH2977">
        <v>0</v>
      </c>
    </row>
    <row r="2978" spans="1:112" x14ac:dyDescent="0.2">
      <c r="A2978" t="s">
        <v>1012</v>
      </c>
      <c r="B2978" t="s">
        <v>1013</v>
      </c>
      <c r="C2978" t="s">
        <v>1019</v>
      </c>
      <c r="D2978" t="s">
        <v>426</v>
      </c>
      <c r="F2978" t="str">
        <f>"26701 02"</f>
        <v>26701 02</v>
      </c>
      <c r="G2978" t="s">
        <v>49</v>
      </c>
      <c r="K2978" t="s">
        <v>429</v>
      </c>
      <c r="L2978" t="s">
        <v>52</v>
      </c>
      <c r="M2978">
        <v>131812.76</v>
      </c>
      <c r="N2978">
        <v>472955.74</v>
      </c>
      <c r="O2978" t="s">
        <v>53</v>
      </c>
      <c r="P2978" t="s">
        <v>54</v>
      </c>
      <c r="Q2978" t="s">
        <v>55</v>
      </c>
      <c r="T2978" t="s">
        <v>81</v>
      </c>
      <c r="U2978">
        <v>40</v>
      </c>
      <c r="V2978" s="1">
        <v>44316</v>
      </c>
      <c r="W2978" s="1">
        <v>44316</v>
      </c>
      <c r="X2978" s="1">
        <v>44316</v>
      </c>
      <c r="Y2978" s="1">
        <v>58926</v>
      </c>
      <c r="Z2978" t="s">
        <v>429</v>
      </c>
      <c r="AB2978" t="s">
        <v>54</v>
      </c>
      <c r="AE2978" t="s">
        <v>84</v>
      </c>
      <c r="AF2978">
        <v>20</v>
      </c>
      <c r="AG2978" s="1">
        <v>44316</v>
      </c>
      <c r="AH2978" s="1">
        <v>44316</v>
      </c>
      <c r="AI2978" s="1">
        <v>44316</v>
      </c>
      <c r="AJ2978" s="1">
        <v>51621</v>
      </c>
      <c r="AK2978" t="s">
        <v>429</v>
      </c>
      <c r="AN2978">
        <v>0</v>
      </c>
      <c r="AO2978" t="s">
        <v>54</v>
      </c>
      <c r="AP2978" t="s">
        <v>53</v>
      </c>
      <c r="AQ2978">
        <v>0</v>
      </c>
      <c r="AR2978" t="s">
        <v>53</v>
      </c>
      <c r="AS2978">
        <v>0</v>
      </c>
      <c r="AT2978">
        <v>0</v>
      </c>
      <c r="AW2978" t="s">
        <v>58</v>
      </c>
      <c r="AX2978">
        <v>20</v>
      </c>
      <c r="AY2978" s="1">
        <v>44316</v>
      </c>
      <c r="AZ2978" s="1">
        <v>44316</v>
      </c>
      <c r="BA2978" s="1">
        <v>44316</v>
      </c>
      <c r="BB2978" s="1">
        <v>51621</v>
      </c>
      <c r="BC2978" t="s">
        <v>429</v>
      </c>
      <c r="BE2978" t="s">
        <v>54</v>
      </c>
      <c r="BF2978">
        <v>2</v>
      </c>
      <c r="BG2978">
        <v>0</v>
      </c>
      <c r="BH2978" t="s">
        <v>53</v>
      </c>
      <c r="BK2978" t="s">
        <v>59</v>
      </c>
      <c r="BL2978">
        <v>14000</v>
      </c>
      <c r="BM2978" s="1">
        <v>44316</v>
      </c>
      <c r="BN2978" s="1">
        <v>44316</v>
      </c>
      <c r="BO2978" s="1">
        <v>44316</v>
      </c>
      <c r="BP2978" s="1">
        <v>45539</v>
      </c>
      <c r="BQ2978" t="s">
        <v>429</v>
      </c>
      <c r="BS2978" t="s">
        <v>60</v>
      </c>
      <c r="BT2978" t="s">
        <v>54</v>
      </c>
      <c r="BU2978" t="s">
        <v>61</v>
      </c>
      <c r="BV2978" t="s">
        <v>62</v>
      </c>
      <c r="BX2978">
        <v>24</v>
      </c>
      <c r="BY2978">
        <v>0</v>
      </c>
      <c r="BZ2978">
        <v>0</v>
      </c>
      <c r="CX2978" t="s">
        <v>674</v>
      </c>
      <c r="CY2978">
        <v>0</v>
      </c>
      <c r="CZ2978" s="1">
        <v>44316</v>
      </c>
      <c r="DA2978" s="1">
        <v>44316</v>
      </c>
      <c r="DB2978" s="1">
        <v>44316</v>
      </c>
      <c r="DC2978" s="1">
        <v>44316</v>
      </c>
      <c r="DD2978" t="s">
        <v>429</v>
      </c>
      <c r="DF2978" t="s">
        <v>54</v>
      </c>
      <c r="DG2978">
        <v>0</v>
      </c>
      <c r="DH2978">
        <v>0</v>
      </c>
    </row>
    <row r="2979" spans="1:112" x14ac:dyDescent="0.2">
      <c r="A2979" t="s">
        <v>367</v>
      </c>
      <c r="B2979" t="s">
        <v>368</v>
      </c>
      <c r="C2979" t="s">
        <v>369</v>
      </c>
      <c r="D2979" t="s">
        <v>1184</v>
      </c>
      <c r="F2979" t="str">
        <f>"1"</f>
        <v>1</v>
      </c>
      <c r="G2979" t="s">
        <v>49</v>
      </c>
      <c r="K2979" t="s">
        <v>1185</v>
      </c>
      <c r="L2979" t="s">
        <v>52</v>
      </c>
      <c r="M2979">
        <v>137992.71765469699</v>
      </c>
      <c r="N2979">
        <v>468231.78960027901</v>
      </c>
      <c r="O2979" t="s">
        <v>53</v>
      </c>
      <c r="P2979" t="s">
        <v>54</v>
      </c>
      <c r="AP2979" t="s">
        <v>53</v>
      </c>
      <c r="AR2979" t="s">
        <v>53</v>
      </c>
      <c r="BH2979" t="s">
        <v>53</v>
      </c>
    </row>
    <row r="2980" spans="1:112" x14ac:dyDescent="0.2">
      <c r="A2980" t="s">
        <v>367</v>
      </c>
      <c r="B2980" t="s">
        <v>368</v>
      </c>
      <c r="C2980" t="s">
        <v>369</v>
      </c>
      <c r="D2980" t="s">
        <v>1184</v>
      </c>
      <c r="F2980" t="str">
        <f>"2"</f>
        <v>2</v>
      </c>
      <c r="G2980" t="s">
        <v>49</v>
      </c>
      <c r="K2980" t="s">
        <v>1185</v>
      </c>
      <c r="L2980" t="s">
        <v>52</v>
      </c>
      <c r="M2980">
        <v>137993.36126727</v>
      </c>
      <c r="N2980">
        <v>468205.69619946799</v>
      </c>
      <c r="O2980" t="s">
        <v>53</v>
      </c>
      <c r="P2980" t="s">
        <v>54</v>
      </c>
      <c r="AP2980" t="s">
        <v>53</v>
      </c>
      <c r="AR2980" t="s">
        <v>53</v>
      </c>
      <c r="BH2980" t="s">
        <v>53</v>
      </c>
    </row>
    <row r="2981" spans="1:112" x14ac:dyDescent="0.2">
      <c r="A2981" t="s">
        <v>367</v>
      </c>
      <c r="B2981" t="s">
        <v>368</v>
      </c>
      <c r="C2981" t="s">
        <v>369</v>
      </c>
      <c r="D2981" t="s">
        <v>1184</v>
      </c>
      <c r="F2981" t="str">
        <f>"3"</f>
        <v>3</v>
      </c>
      <c r="G2981" t="s">
        <v>49</v>
      </c>
      <c r="K2981" t="s">
        <v>1185</v>
      </c>
      <c r="L2981" t="s">
        <v>52</v>
      </c>
      <c r="M2981">
        <v>137997.90708549501</v>
      </c>
      <c r="N2981">
        <v>468175.070370887</v>
      </c>
      <c r="O2981" t="s">
        <v>53</v>
      </c>
      <c r="P2981" t="s">
        <v>54</v>
      </c>
      <c r="AP2981" t="s">
        <v>53</v>
      </c>
      <c r="AR2981" t="s">
        <v>53</v>
      </c>
      <c r="BH2981" t="s">
        <v>53</v>
      </c>
    </row>
    <row r="2982" spans="1:112" x14ac:dyDescent="0.2">
      <c r="A2982" t="s">
        <v>367</v>
      </c>
      <c r="B2982" t="s">
        <v>368</v>
      </c>
      <c r="C2982" t="s">
        <v>369</v>
      </c>
      <c r="D2982" t="s">
        <v>1184</v>
      </c>
      <c r="F2982" t="str">
        <f>"4"</f>
        <v>4</v>
      </c>
      <c r="G2982" t="s">
        <v>49</v>
      </c>
      <c r="K2982" t="s">
        <v>1185</v>
      </c>
      <c r="L2982" t="s">
        <v>52</v>
      </c>
      <c r="M2982">
        <v>138002.47912207799</v>
      </c>
      <c r="N2982">
        <v>468137.06398446398</v>
      </c>
      <c r="O2982" t="s">
        <v>53</v>
      </c>
      <c r="P2982" t="s">
        <v>54</v>
      </c>
      <c r="AP2982" t="s">
        <v>53</v>
      </c>
      <c r="AR2982" t="s">
        <v>53</v>
      </c>
      <c r="BH2982" t="s">
        <v>53</v>
      </c>
    </row>
    <row r="2983" spans="1:112" x14ac:dyDescent="0.2">
      <c r="A2983" t="s">
        <v>367</v>
      </c>
      <c r="B2983" t="s">
        <v>368</v>
      </c>
      <c r="C2983" t="s">
        <v>369</v>
      </c>
      <c r="D2983" t="s">
        <v>1186</v>
      </c>
      <c r="F2983" t="str">
        <f>"6"</f>
        <v>6</v>
      </c>
      <c r="G2983" t="s">
        <v>49</v>
      </c>
      <c r="K2983" t="s">
        <v>1185</v>
      </c>
      <c r="L2983" t="s">
        <v>52</v>
      </c>
      <c r="M2983">
        <v>138151.339500184</v>
      </c>
      <c r="N2983">
        <v>467343.21710177802</v>
      </c>
      <c r="O2983" t="s">
        <v>53</v>
      </c>
      <c r="P2983" t="s">
        <v>54</v>
      </c>
      <c r="AP2983" t="s">
        <v>53</v>
      </c>
      <c r="AR2983" t="s">
        <v>53</v>
      </c>
      <c r="BH2983" t="s">
        <v>53</v>
      </c>
    </row>
    <row r="2984" spans="1:112" x14ac:dyDescent="0.2">
      <c r="A2984" t="s">
        <v>367</v>
      </c>
      <c r="B2984" t="s">
        <v>368</v>
      </c>
      <c r="C2984" t="s">
        <v>369</v>
      </c>
      <c r="D2984" t="s">
        <v>1184</v>
      </c>
      <c r="F2984" t="str">
        <f>"8"</f>
        <v>8</v>
      </c>
      <c r="G2984" t="s">
        <v>49</v>
      </c>
      <c r="K2984" t="s">
        <v>1185</v>
      </c>
      <c r="L2984" t="s">
        <v>52</v>
      </c>
      <c r="M2984">
        <v>137977.59122581701</v>
      </c>
      <c r="N2984">
        <v>468288.22797348502</v>
      </c>
      <c r="O2984" t="s">
        <v>53</v>
      </c>
      <c r="P2984" t="s">
        <v>54</v>
      </c>
      <c r="AP2984" t="s">
        <v>53</v>
      </c>
      <c r="AR2984" t="s">
        <v>53</v>
      </c>
      <c r="BH2984" t="s">
        <v>53</v>
      </c>
    </row>
    <row r="2985" spans="1:112" x14ac:dyDescent="0.2">
      <c r="A2985" t="s">
        <v>367</v>
      </c>
      <c r="B2985" t="s">
        <v>368</v>
      </c>
      <c r="C2985" t="s">
        <v>369</v>
      </c>
      <c r="D2985" t="s">
        <v>1184</v>
      </c>
      <c r="F2985" t="str">
        <f>"9"</f>
        <v>9</v>
      </c>
      <c r="G2985" t="s">
        <v>49</v>
      </c>
      <c r="K2985" t="s">
        <v>1185</v>
      </c>
      <c r="L2985" t="s">
        <v>52</v>
      </c>
      <c r="M2985">
        <v>137984.875780006</v>
      </c>
      <c r="N2985">
        <v>468259.03985764598</v>
      </c>
      <c r="O2985" t="s">
        <v>53</v>
      </c>
      <c r="P2985" t="s">
        <v>54</v>
      </c>
      <c r="AP2985" t="s">
        <v>53</v>
      </c>
      <c r="AR2985" t="s">
        <v>53</v>
      </c>
      <c r="BH2985" t="s">
        <v>53</v>
      </c>
    </row>
    <row r="2986" spans="1:112" x14ac:dyDescent="0.2">
      <c r="A2986" t="s">
        <v>367</v>
      </c>
      <c r="B2986" t="s">
        <v>368</v>
      </c>
      <c r="C2986" t="s">
        <v>369</v>
      </c>
      <c r="D2986" t="s">
        <v>1187</v>
      </c>
      <c r="F2986" t="str">
        <f>"10"</f>
        <v>10</v>
      </c>
      <c r="G2986" t="s">
        <v>49</v>
      </c>
      <c r="K2986" t="s">
        <v>1185</v>
      </c>
      <c r="L2986" t="s">
        <v>52</v>
      </c>
      <c r="M2986">
        <v>138036.82999999999</v>
      </c>
      <c r="N2986">
        <v>468316.44</v>
      </c>
      <c r="O2986" t="s">
        <v>53</v>
      </c>
      <c r="P2986" t="s">
        <v>54</v>
      </c>
      <c r="AP2986" t="s">
        <v>53</v>
      </c>
      <c r="AR2986" t="s">
        <v>53</v>
      </c>
      <c r="BH2986" t="s">
        <v>53</v>
      </c>
    </row>
    <row r="2987" spans="1:112" x14ac:dyDescent="0.2">
      <c r="A2987" t="s">
        <v>367</v>
      </c>
      <c r="B2987" t="s">
        <v>368</v>
      </c>
      <c r="C2987" t="s">
        <v>369</v>
      </c>
      <c r="D2987" t="s">
        <v>1187</v>
      </c>
      <c r="F2987" t="str">
        <f>"11"</f>
        <v>11</v>
      </c>
      <c r="G2987" t="s">
        <v>49</v>
      </c>
      <c r="K2987" t="s">
        <v>1185</v>
      </c>
      <c r="L2987" t="s">
        <v>52</v>
      </c>
      <c r="M2987">
        <v>138044.317186556</v>
      </c>
      <c r="N2987">
        <v>468287.88172988099</v>
      </c>
      <c r="O2987" t="s">
        <v>53</v>
      </c>
      <c r="P2987" t="s">
        <v>54</v>
      </c>
      <c r="AP2987" t="s">
        <v>53</v>
      </c>
      <c r="AR2987" t="s">
        <v>53</v>
      </c>
      <c r="BH2987" t="s">
        <v>53</v>
      </c>
    </row>
    <row r="2988" spans="1:112" x14ac:dyDescent="0.2">
      <c r="A2988" t="s">
        <v>367</v>
      </c>
      <c r="B2988" t="s">
        <v>368</v>
      </c>
      <c r="C2988" t="s">
        <v>369</v>
      </c>
      <c r="D2988" t="s">
        <v>1188</v>
      </c>
      <c r="F2988" t="str">
        <f>"156660"</f>
        <v>156660</v>
      </c>
      <c r="G2988" t="s">
        <v>49</v>
      </c>
      <c r="K2988" t="s">
        <v>1185</v>
      </c>
      <c r="L2988" t="s">
        <v>52</v>
      </c>
      <c r="M2988">
        <v>137957.36153794199</v>
      </c>
      <c r="N2988">
        <v>467951.771873152</v>
      </c>
      <c r="O2988" t="s">
        <v>53</v>
      </c>
      <c r="P2988" t="s">
        <v>54</v>
      </c>
      <c r="AP2988" t="s">
        <v>53</v>
      </c>
      <c r="AR2988" t="s">
        <v>53</v>
      </c>
      <c r="BH2988" t="s">
        <v>53</v>
      </c>
    </row>
    <row r="2989" spans="1:112" x14ac:dyDescent="0.2">
      <c r="A2989" t="s">
        <v>367</v>
      </c>
      <c r="B2989" t="s">
        <v>368</v>
      </c>
      <c r="C2989" t="s">
        <v>369</v>
      </c>
      <c r="D2989" t="s">
        <v>1188</v>
      </c>
      <c r="F2989" t="str">
        <f>"156661"</f>
        <v>156661</v>
      </c>
      <c r="G2989" t="s">
        <v>49</v>
      </c>
      <c r="K2989" t="s">
        <v>1185</v>
      </c>
      <c r="L2989" t="s">
        <v>52</v>
      </c>
      <c r="M2989">
        <v>137973.56303975399</v>
      </c>
      <c r="N2989">
        <v>467949.57420172199</v>
      </c>
      <c r="O2989" t="s">
        <v>53</v>
      </c>
      <c r="P2989" t="s">
        <v>54</v>
      </c>
      <c r="AP2989" t="s">
        <v>53</v>
      </c>
      <c r="AR2989" t="s">
        <v>53</v>
      </c>
      <c r="BH2989" t="s">
        <v>53</v>
      </c>
    </row>
    <row r="2990" spans="1:112" x14ac:dyDescent="0.2">
      <c r="A2990" t="s">
        <v>367</v>
      </c>
      <c r="B2990" t="s">
        <v>368</v>
      </c>
      <c r="C2990" t="s">
        <v>369</v>
      </c>
      <c r="D2990" t="s">
        <v>1189</v>
      </c>
      <c r="F2990" t="str">
        <f>"16"</f>
        <v>16</v>
      </c>
      <c r="G2990" t="s">
        <v>49</v>
      </c>
      <c r="K2990" t="s">
        <v>1185</v>
      </c>
      <c r="L2990" t="s">
        <v>52</v>
      </c>
      <c r="M2990">
        <v>137955.98880246401</v>
      </c>
      <c r="N2990">
        <v>467826.59146649699</v>
      </c>
      <c r="O2990" t="s">
        <v>53</v>
      </c>
      <c r="P2990" t="s">
        <v>54</v>
      </c>
      <c r="AP2990" t="s">
        <v>53</v>
      </c>
      <c r="AR2990" t="s">
        <v>53</v>
      </c>
      <c r="BH2990" t="s">
        <v>53</v>
      </c>
    </row>
    <row r="2991" spans="1:112" x14ac:dyDescent="0.2">
      <c r="A2991" t="s">
        <v>367</v>
      </c>
      <c r="B2991" t="s">
        <v>368</v>
      </c>
      <c r="C2991" t="s">
        <v>369</v>
      </c>
      <c r="D2991" t="s">
        <v>1188</v>
      </c>
      <c r="F2991" t="str">
        <f>"156664"</f>
        <v>156664</v>
      </c>
      <c r="G2991" t="s">
        <v>49</v>
      </c>
      <c r="K2991" t="s">
        <v>1185</v>
      </c>
      <c r="L2991" t="s">
        <v>52</v>
      </c>
      <c r="M2991">
        <v>138007.369447117</v>
      </c>
      <c r="N2991">
        <v>467938.92490974598</v>
      </c>
      <c r="O2991" t="s">
        <v>53</v>
      </c>
      <c r="P2991" t="s">
        <v>54</v>
      </c>
      <c r="AP2991" t="s">
        <v>53</v>
      </c>
      <c r="AR2991" t="s">
        <v>53</v>
      </c>
      <c r="BH2991" t="s">
        <v>53</v>
      </c>
    </row>
    <row r="2992" spans="1:112" x14ac:dyDescent="0.2">
      <c r="A2992" t="s">
        <v>367</v>
      </c>
      <c r="B2992" t="s">
        <v>368</v>
      </c>
      <c r="C2992" t="s">
        <v>369</v>
      </c>
      <c r="D2992" t="s">
        <v>1188</v>
      </c>
      <c r="F2992" t="str">
        <f>"156662"</f>
        <v>156662</v>
      </c>
      <c r="G2992" t="s">
        <v>49</v>
      </c>
      <c r="K2992" t="s">
        <v>1185</v>
      </c>
      <c r="L2992" t="s">
        <v>52</v>
      </c>
      <c r="M2992">
        <v>138046.259990911</v>
      </c>
      <c r="N2992">
        <v>467931.75770766498</v>
      </c>
      <c r="O2992" t="s">
        <v>53</v>
      </c>
      <c r="P2992" t="s">
        <v>54</v>
      </c>
      <c r="AP2992" t="s">
        <v>53</v>
      </c>
      <c r="AR2992" t="s">
        <v>53</v>
      </c>
      <c r="BH2992" t="s">
        <v>53</v>
      </c>
    </row>
    <row r="2993" spans="1:60" x14ac:dyDescent="0.2">
      <c r="A2993" t="s">
        <v>367</v>
      </c>
      <c r="B2993" t="s">
        <v>368</v>
      </c>
      <c r="C2993" t="s">
        <v>369</v>
      </c>
      <c r="D2993" t="s">
        <v>1188</v>
      </c>
      <c r="F2993" t="str">
        <f>"156663"</f>
        <v>156663</v>
      </c>
      <c r="G2993" t="s">
        <v>49</v>
      </c>
      <c r="K2993" t="s">
        <v>1185</v>
      </c>
      <c r="L2993" t="s">
        <v>52</v>
      </c>
      <c r="M2993">
        <v>138061.51486569</v>
      </c>
      <c r="N2993">
        <v>467931.37273525802</v>
      </c>
      <c r="O2993" t="s">
        <v>53</v>
      </c>
      <c r="P2993" t="s">
        <v>54</v>
      </c>
      <c r="AP2993" t="s">
        <v>53</v>
      </c>
      <c r="AR2993" t="s">
        <v>53</v>
      </c>
      <c r="BH2993" t="s">
        <v>53</v>
      </c>
    </row>
    <row r="2994" spans="1:60" x14ac:dyDescent="0.2">
      <c r="A2994" t="s">
        <v>367</v>
      </c>
      <c r="B2994" t="s">
        <v>368</v>
      </c>
      <c r="C2994" t="s">
        <v>369</v>
      </c>
      <c r="D2994" t="s">
        <v>1188</v>
      </c>
      <c r="F2994" t="str">
        <f>"156665"</f>
        <v>156665</v>
      </c>
      <c r="G2994" t="s">
        <v>49</v>
      </c>
      <c r="K2994" t="s">
        <v>1185</v>
      </c>
      <c r="L2994" t="s">
        <v>52</v>
      </c>
      <c r="M2994">
        <v>138080.829075866</v>
      </c>
      <c r="N2994">
        <v>467926.83799186401</v>
      </c>
      <c r="O2994" t="s">
        <v>53</v>
      </c>
      <c r="P2994" t="s">
        <v>54</v>
      </c>
      <c r="AP2994" t="s">
        <v>53</v>
      </c>
      <c r="AR2994" t="s">
        <v>53</v>
      </c>
      <c r="BH2994" t="s">
        <v>53</v>
      </c>
    </row>
    <row r="2995" spans="1:60" x14ac:dyDescent="0.2">
      <c r="A2995" t="s">
        <v>367</v>
      </c>
      <c r="B2995" t="s">
        <v>368</v>
      </c>
      <c r="C2995" t="s">
        <v>369</v>
      </c>
      <c r="D2995" t="s">
        <v>1190</v>
      </c>
      <c r="F2995" t="str">
        <f>"22"</f>
        <v>22</v>
      </c>
      <c r="G2995" t="s">
        <v>49</v>
      </c>
      <c r="K2995" t="s">
        <v>1185</v>
      </c>
      <c r="L2995" t="s">
        <v>52</v>
      </c>
      <c r="M2995">
        <v>138006.74525777699</v>
      </c>
      <c r="N2995">
        <v>467878.59516019002</v>
      </c>
      <c r="O2995" t="s">
        <v>53</v>
      </c>
      <c r="P2995" t="s">
        <v>54</v>
      </c>
      <c r="AP2995" t="s">
        <v>53</v>
      </c>
      <c r="AR2995" t="s">
        <v>53</v>
      </c>
      <c r="BH2995" t="s">
        <v>53</v>
      </c>
    </row>
    <row r="2996" spans="1:60" x14ac:dyDescent="0.2">
      <c r="A2996" t="s">
        <v>367</v>
      </c>
      <c r="B2996" t="s">
        <v>368</v>
      </c>
      <c r="C2996" t="s">
        <v>369</v>
      </c>
      <c r="D2996" t="s">
        <v>1190</v>
      </c>
      <c r="F2996" t="str">
        <f>"23"</f>
        <v>23</v>
      </c>
      <c r="G2996" t="s">
        <v>49</v>
      </c>
      <c r="K2996" t="s">
        <v>1185</v>
      </c>
      <c r="L2996" t="s">
        <v>52</v>
      </c>
      <c r="M2996">
        <v>138032.122162488</v>
      </c>
      <c r="N2996">
        <v>467873.53031268599</v>
      </c>
      <c r="O2996" t="s">
        <v>53</v>
      </c>
      <c r="P2996" t="s">
        <v>54</v>
      </c>
      <c r="AP2996" t="s">
        <v>53</v>
      </c>
      <c r="AR2996" t="s">
        <v>53</v>
      </c>
      <c r="BH2996" t="s">
        <v>53</v>
      </c>
    </row>
    <row r="2997" spans="1:60" x14ac:dyDescent="0.2">
      <c r="A2997" t="s">
        <v>367</v>
      </c>
      <c r="B2997" t="s">
        <v>368</v>
      </c>
      <c r="C2997" t="s">
        <v>369</v>
      </c>
      <c r="D2997" t="s">
        <v>1190</v>
      </c>
      <c r="F2997" t="str">
        <f>"24"</f>
        <v>24</v>
      </c>
      <c r="G2997" t="s">
        <v>49</v>
      </c>
      <c r="K2997" t="s">
        <v>1185</v>
      </c>
      <c r="L2997" t="s">
        <v>52</v>
      </c>
      <c r="M2997">
        <v>138046.983641636</v>
      </c>
      <c r="N2997">
        <v>467869.87015134399</v>
      </c>
      <c r="O2997" t="s">
        <v>53</v>
      </c>
      <c r="P2997" t="s">
        <v>54</v>
      </c>
      <c r="AP2997" t="s">
        <v>53</v>
      </c>
      <c r="AR2997" t="s">
        <v>53</v>
      </c>
      <c r="BH2997" t="s">
        <v>53</v>
      </c>
    </row>
    <row r="2998" spans="1:60" x14ac:dyDescent="0.2">
      <c r="A2998" t="s">
        <v>367</v>
      </c>
      <c r="B2998" t="s">
        <v>368</v>
      </c>
      <c r="C2998" t="s">
        <v>369</v>
      </c>
      <c r="D2998" t="s">
        <v>1190</v>
      </c>
      <c r="F2998" t="str">
        <f>"25"</f>
        <v>25</v>
      </c>
      <c r="G2998" t="s">
        <v>49</v>
      </c>
      <c r="K2998" t="s">
        <v>1185</v>
      </c>
      <c r="L2998" t="s">
        <v>52</v>
      </c>
      <c r="M2998">
        <v>138067.21753888001</v>
      </c>
      <c r="N2998">
        <v>467867.00199112901</v>
      </c>
      <c r="O2998" t="s">
        <v>53</v>
      </c>
      <c r="P2998" t="s">
        <v>54</v>
      </c>
      <c r="AP2998" t="s">
        <v>53</v>
      </c>
      <c r="AR2998" t="s">
        <v>53</v>
      </c>
      <c r="BH2998" t="s">
        <v>53</v>
      </c>
    </row>
    <row r="2999" spans="1:60" x14ac:dyDescent="0.2">
      <c r="A2999" t="s">
        <v>367</v>
      </c>
      <c r="B2999" t="s">
        <v>368</v>
      </c>
      <c r="C2999" t="s">
        <v>369</v>
      </c>
      <c r="D2999" t="s">
        <v>1190</v>
      </c>
      <c r="F2999" t="str">
        <f>"26"</f>
        <v>26</v>
      </c>
      <c r="G2999" t="s">
        <v>49</v>
      </c>
      <c r="K2999" t="s">
        <v>1185</v>
      </c>
      <c r="L2999" t="s">
        <v>52</v>
      </c>
      <c r="M2999">
        <v>138085.812007031</v>
      </c>
      <c r="N2999">
        <v>467862.94765277603</v>
      </c>
      <c r="O2999" t="s">
        <v>53</v>
      </c>
      <c r="P2999" t="s">
        <v>54</v>
      </c>
      <c r="AP2999" t="s">
        <v>53</v>
      </c>
      <c r="AR2999" t="s">
        <v>53</v>
      </c>
      <c r="BH2999" t="s">
        <v>53</v>
      </c>
    </row>
    <row r="3000" spans="1:60" x14ac:dyDescent="0.2">
      <c r="A3000" t="s">
        <v>367</v>
      </c>
      <c r="B3000" t="s">
        <v>368</v>
      </c>
      <c r="C3000" t="s">
        <v>369</v>
      </c>
      <c r="D3000" t="s">
        <v>1190</v>
      </c>
      <c r="F3000" t="str">
        <f>"27"</f>
        <v>27</v>
      </c>
      <c r="G3000" t="s">
        <v>49</v>
      </c>
      <c r="K3000" t="s">
        <v>1185</v>
      </c>
      <c r="L3000" t="s">
        <v>52</v>
      </c>
      <c r="M3000">
        <v>138113.81640008901</v>
      </c>
      <c r="N3000">
        <v>467858.10496040201</v>
      </c>
      <c r="O3000" t="s">
        <v>53</v>
      </c>
      <c r="P3000" t="s">
        <v>54</v>
      </c>
      <c r="AP3000" t="s">
        <v>53</v>
      </c>
      <c r="AR3000" t="s">
        <v>53</v>
      </c>
      <c r="BH3000" t="s">
        <v>53</v>
      </c>
    </row>
    <row r="3001" spans="1:60" x14ac:dyDescent="0.2">
      <c r="A3001" t="s">
        <v>367</v>
      </c>
      <c r="B3001" t="s">
        <v>368</v>
      </c>
      <c r="C3001" t="s">
        <v>369</v>
      </c>
      <c r="D3001" t="s">
        <v>1191</v>
      </c>
      <c r="F3001" t="str">
        <f>"29"</f>
        <v>29</v>
      </c>
      <c r="G3001" t="s">
        <v>49</v>
      </c>
      <c r="K3001" t="s">
        <v>1185</v>
      </c>
      <c r="L3001" t="s">
        <v>52</v>
      </c>
      <c r="M3001">
        <v>138036.359674476</v>
      </c>
      <c r="N3001">
        <v>467812.927464284</v>
      </c>
      <c r="O3001" t="s">
        <v>53</v>
      </c>
      <c r="P3001" t="s">
        <v>54</v>
      </c>
      <c r="AP3001" t="s">
        <v>53</v>
      </c>
      <c r="AR3001" t="s">
        <v>53</v>
      </c>
      <c r="BH3001" t="s">
        <v>53</v>
      </c>
    </row>
    <row r="3002" spans="1:60" x14ac:dyDescent="0.2">
      <c r="A3002" t="s">
        <v>367</v>
      </c>
      <c r="B3002" t="s">
        <v>368</v>
      </c>
      <c r="C3002" t="s">
        <v>369</v>
      </c>
      <c r="D3002" t="s">
        <v>1191</v>
      </c>
      <c r="F3002" t="str">
        <f>"30"</f>
        <v>30</v>
      </c>
      <c r="G3002" t="s">
        <v>49</v>
      </c>
      <c r="K3002" t="s">
        <v>1185</v>
      </c>
      <c r="L3002" t="s">
        <v>52</v>
      </c>
      <c r="M3002">
        <v>138032.02510645799</v>
      </c>
      <c r="N3002">
        <v>467794.06850547198</v>
      </c>
      <c r="O3002" t="s">
        <v>53</v>
      </c>
      <c r="P3002" t="s">
        <v>54</v>
      </c>
      <c r="AP3002" t="s">
        <v>53</v>
      </c>
      <c r="AR3002" t="s">
        <v>53</v>
      </c>
      <c r="BH3002" t="s">
        <v>53</v>
      </c>
    </row>
    <row r="3003" spans="1:60" x14ac:dyDescent="0.2">
      <c r="A3003" t="s">
        <v>367</v>
      </c>
      <c r="B3003" t="s">
        <v>368</v>
      </c>
      <c r="C3003" t="s">
        <v>369</v>
      </c>
      <c r="D3003" t="s">
        <v>1192</v>
      </c>
      <c r="F3003" t="str">
        <f>"31"</f>
        <v>31</v>
      </c>
      <c r="G3003" t="s">
        <v>49</v>
      </c>
      <c r="K3003" t="s">
        <v>1185</v>
      </c>
      <c r="L3003" t="s">
        <v>52</v>
      </c>
      <c r="M3003">
        <v>138251.77360957899</v>
      </c>
      <c r="N3003">
        <v>467785.92020265799</v>
      </c>
      <c r="O3003" t="s">
        <v>53</v>
      </c>
      <c r="P3003" t="s">
        <v>54</v>
      </c>
      <c r="AP3003" t="s">
        <v>53</v>
      </c>
      <c r="AR3003" t="s">
        <v>53</v>
      </c>
      <c r="BH3003" t="s">
        <v>53</v>
      </c>
    </row>
    <row r="3004" spans="1:60" x14ac:dyDescent="0.2">
      <c r="A3004" t="s">
        <v>367</v>
      </c>
      <c r="B3004" t="s">
        <v>368</v>
      </c>
      <c r="C3004" t="s">
        <v>369</v>
      </c>
      <c r="D3004" t="s">
        <v>1192</v>
      </c>
      <c r="F3004" t="str">
        <f>"32"</f>
        <v>32</v>
      </c>
      <c r="G3004" t="s">
        <v>49</v>
      </c>
      <c r="K3004" t="s">
        <v>1185</v>
      </c>
      <c r="L3004" t="s">
        <v>52</v>
      </c>
      <c r="M3004">
        <v>138247.01034736101</v>
      </c>
      <c r="N3004">
        <v>467770.23500847199</v>
      </c>
      <c r="O3004" t="s">
        <v>53</v>
      </c>
      <c r="P3004" t="s">
        <v>54</v>
      </c>
      <c r="AP3004" t="s">
        <v>53</v>
      </c>
      <c r="AR3004" t="s">
        <v>53</v>
      </c>
      <c r="BH3004" t="s">
        <v>53</v>
      </c>
    </row>
    <row r="3005" spans="1:60" x14ac:dyDescent="0.2">
      <c r="A3005" t="s">
        <v>367</v>
      </c>
      <c r="B3005" t="s">
        <v>368</v>
      </c>
      <c r="C3005" t="s">
        <v>369</v>
      </c>
      <c r="D3005" t="s">
        <v>1193</v>
      </c>
      <c r="F3005" t="str">
        <f>"33"</f>
        <v>33</v>
      </c>
      <c r="G3005" t="s">
        <v>49</v>
      </c>
      <c r="K3005" t="s">
        <v>1185</v>
      </c>
      <c r="L3005" t="s">
        <v>52</v>
      </c>
      <c r="M3005">
        <v>138305.53531407</v>
      </c>
      <c r="N3005">
        <v>467773.42981632601</v>
      </c>
      <c r="O3005" t="s">
        <v>53</v>
      </c>
      <c r="P3005" t="s">
        <v>54</v>
      </c>
      <c r="AP3005" t="s">
        <v>53</v>
      </c>
      <c r="AR3005" t="s">
        <v>53</v>
      </c>
      <c r="BH3005" t="s">
        <v>53</v>
      </c>
    </row>
    <row r="3006" spans="1:60" x14ac:dyDescent="0.2">
      <c r="A3006" t="s">
        <v>367</v>
      </c>
      <c r="B3006" t="s">
        <v>368</v>
      </c>
      <c r="C3006" t="s">
        <v>369</v>
      </c>
      <c r="D3006" t="s">
        <v>1193</v>
      </c>
      <c r="F3006" t="str">
        <f>"34"</f>
        <v>34</v>
      </c>
      <c r="G3006" t="s">
        <v>49</v>
      </c>
      <c r="K3006" t="s">
        <v>1185</v>
      </c>
      <c r="L3006" t="s">
        <v>52</v>
      </c>
      <c r="M3006">
        <v>138301.91453482601</v>
      </c>
      <c r="N3006">
        <v>467758.87745410198</v>
      </c>
      <c r="O3006" t="s">
        <v>53</v>
      </c>
      <c r="P3006" t="s">
        <v>54</v>
      </c>
      <c r="AP3006" t="s">
        <v>53</v>
      </c>
      <c r="AR3006" t="s">
        <v>53</v>
      </c>
      <c r="BH3006" t="s">
        <v>53</v>
      </c>
    </row>
    <row r="3007" spans="1:60" x14ac:dyDescent="0.2">
      <c r="A3007" t="s">
        <v>367</v>
      </c>
      <c r="B3007" t="s">
        <v>368</v>
      </c>
      <c r="C3007" t="s">
        <v>369</v>
      </c>
      <c r="D3007" t="s">
        <v>1194</v>
      </c>
      <c r="F3007" t="str">
        <f>"35"</f>
        <v>35</v>
      </c>
      <c r="G3007" t="s">
        <v>49</v>
      </c>
      <c r="K3007" t="s">
        <v>1185</v>
      </c>
      <c r="L3007" t="s">
        <v>52</v>
      </c>
      <c r="M3007">
        <v>138361.915126026</v>
      </c>
      <c r="N3007">
        <v>467760.36721048201</v>
      </c>
      <c r="O3007" t="s">
        <v>53</v>
      </c>
      <c r="P3007" t="s">
        <v>54</v>
      </c>
      <c r="AP3007" t="s">
        <v>53</v>
      </c>
      <c r="AR3007" t="s">
        <v>53</v>
      </c>
      <c r="BH3007" t="s">
        <v>53</v>
      </c>
    </row>
    <row r="3008" spans="1:60" x14ac:dyDescent="0.2">
      <c r="A3008" t="s">
        <v>367</v>
      </c>
      <c r="B3008" t="s">
        <v>368</v>
      </c>
      <c r="C3008" t="s">
        <v>369</v>
      </c>
      <c r="D3008" t="s">
        <v>1195</v>
      </c>
      <c r="F3008" t="str">
        <f>"36"</f>
        <v>36</v>
      </c>
      <c r="G3008" t="s">
        <v>49</v>
      </c>
      <c r="K3008" t="s">
        <v>1185</v>
      </c>
      <c r="L3008" t="s">
        <v>52</v>
      </c>
      <c r="M3008">
        <v>137682.26169206301</v>
      </c>
      <c r="N3008">
        <v>467767.01846270199</v>
      </c>
      <c r="O3008" t="s">
        <v>53</v>
      </c>
      <c r="P3008" t="s">
        <v>54</v>
      </c>
      <c r="AP3008" t="s">
        <v>53</v>
      </c>
      <c r="AR3008" t="s">
        <v>53</v>
      </c>
      <c r="BH3008" t="s">
        <v>53</v>
      </c>
    </row>
    <row r="3009" spans="1:60" x14ac:dyDescent="0.2">
      <c r="A3009" t="s">
        <v>367</v>
      </c>
      <c r="B3009" t="s">
        <v>368</v>
      </c>
      <c r="C3009" t="s">
        <v>369</v>
      </c>
      <c r="D3009" t="s">
        <v>1195</v>
      </c>
      <c r="F3009" t="str">
        <f>"37"</f>
        <v>37</v>
      </c>
      <c r="G3009" t="s">
        <v>49</v>
      </c>
      <c r="K3009" t="s">
        <v>1185</v>
      </c>
      <c r="L3009" t="s">
        <v>52</v>
      </c>
      <c r="M3009">
        <v>137666.43</v>
      </c>
      <c r="N3009">
        <v>467731.07</v>
      </c>
      <c r="O3009" t="s">
        <v>53</v>
      </c>
      <c r="P3009" t="s">
        <v>54</v>
      </c>
      <c r="AP3009" t="s">
        <v>53</v>
      </c>
      <c r="AR3009" t="s">
        <v>53</v>
      </c>
      <c r="BH3009" t="s">
        <v>53</v>
      </c>
    </row>
    <row r="3010" spans="1:60" x14ac:dyDescent="0.2">
      <c r="A3010" t="s">
        <v>367</v>
      </c>
      <c r="B3010" t="s">
        <v>368</v>
      </c>
      <c r="C3010" t="s">
        <v>369</v>
      </c>
      <c r="D3010" t="s">
        <v>1195</v>
      </c>
      <c r="F3010" t="str">
        <f>"38"</f>
        <v>38</v>
      </c>
      <c r="G3010" t="s">
        <v>49</v>
      </c>
      <c r="K3010" t="s">
        <v>1185</v>
      </c>
      <c r="L3010" t="s">
        <v>52</v>
      </c>
      <c r="M3010">
        <v>137738.579385755</v>
      </c>
      <c r="N3010">
        <v>467734.672067968</v>
      </c>
      <c r="O3010" t="s">
        <v>53</v>
      </c>
      <c r="P3010" t="s">
        <v>54</v>
      </c>
      <c r="AP3010" t="s">
        <v>53</v>
      </c>
      <c r="AR3010" t="s">
        <v>53</v>
      </c>
      <c r="BH3010" t="s">
        <v>53</v>
      </c>
    </row>
    <row r="3011" spans="1:60" x14ac:dyDescent="0.2">
      <c r="A3011" t="s">
        <v>367</v>
      </c>
      <c r="B3011" t="s">
        <v>368</v>
      </c>
      <c r="C3011" t="s">
        <v>369</v>
      </c>
      <c r="D3011" t="s">
        <v>1196</v>
      </c>
      <c r="F3011" t="str">
        <f>"156656"</f>
        <v>156656</v>
      </c>
      <c r="G3011" t="s">
        <v>49</v>
      </c>
      <c r="K3011" t="s">
        <v>1185</v>
      </c>
      <c r="L3011" t="s">
        <v>52</v>
      </c>
      <c r="M3011">
        <v>137625.676162213</v>
      </c>
      <c r="N3011">
        <v>467663.48765957699</v>
      </c>
      <c r="O3011" t="s">
        <v>53</v>
      </c>
      <c r="P3011" t="s">
        <v>54</v>
      </c>
      <c r="Q3011" t="s">
        <v>55</v>
      </c>
      <c r="T3011" t="s">
        <v>1197</v>
      </c>
      <c r="U3011">
        <v>40</v>
      </c>
      <c r="V3011" s="1">
        <v>44816</v>
      </c>
      <c r="W3011" s="1">
        <v>44816</v>
      </c>
      <c r="X3011" s="1">
        <v>44816</v>
      </c>
      <c r="Y3011" s="1">
        <v>59426</v>
      </c>
      <c r="Z3011" t="s">
        <v>1185</v>
      </c>
      <c r="AB3011" t="s">
        <v>54</v>
      </c>
      <c r="AP3011" t="s">
        <v>53</v>
      </c>
      <c r="AR3011" t="s">
        <v>53</v>
      </c>
      <c r="BH3011" t="s">
        <v>53</v>
      </c>
    </row>
    <row r="3012" spans="1:60" x14ac:dyDescent="0.2">
      <c r="A3012" t="s">
        <v>367</v>
      </c>
      <c r="B3012" t="s">
        <v>368</v>
      </c>
      <c r="C3012" t="s">
        <v>369</v>
      </c>
      <c r="D3012" t="s">
        <v>1198</v>
      </c>
      <c r="F3012" t="str">
        <f>"41"</f>
        <v>41</v>
      </c>
      <c r="G3012" t="s">
        <v>49</v>
      </c>
      <c r="K3012" t="s">
        <v>1185</v>
      </c>
      <c r="L3012" t="s">
        <v>52</v>
      </c>
      <c r="M3012">
        <v>137688.088661916</v>
      </c>
      <c r="N3012">
        <v>467617.32283948798</v>
      </c>
      <c r="O3012" t="s">
        <v>53</v>
      </c>
      <c r="P3012" t="s">
        <v>54</v>
      </c>
      <c r="AP3012" t="s">
        <v>53</v>
      </c>
      <c r="AR3012" t="s">
        <v>53</v>
      </c>
      <c r="BH3012" t="s">
        <v>53</v>
      </c>
    </row>
    <row r="3013" spans="1:60" x14ac:dyDescent="0.2">
      <c r="A3013" t="s">
        <v>367</v>
      </c>
      <c r="B3013" t="s">
        <v>368</v>
      </c>
      <c r="C3013" t="s">
        <v>369</v>
      </c>
      <c r="D3013" t="s">
        <v>1198</v>
      </c>
      <c r="F3013" t="str">
        <f>"42"</f>
        <v>42</v>
      </c>
      <c r="G3013" t="s">
        <v>49</v>
      </c>
      <c r="K3013" t="s">
        <v>1185</v>
      </c>
      <c r="L3013" t="s">
        <v>52</v>
      </c>
      <c r="M3013">
        <v>137711.293592178</v>
      </c>
      <c r="N3013">
        <v>467607.93944098998</v>
      </c>
      <c r="O3013" t="s">
        <v>53</v>
      </c>
      <c r="P3013" t="s">
        <v>54</v>
      </c>
      <c r="AP3013" t="s">
        <v>53</v>
      </c>
      <c r="AR3013" t="s">
        <v>53</v>
      </c>
      <c r="BH3013" t="s">
        <v>53</v>
      </c>
    </row>
    <row r="3014" spans="1:60" x14ac:dyDescent="0.2">
      <c r="A3014" t="s">
        <v>367</v>
      </c>
      <c r="B3014" t="s">
        <v>368</v>
      </c>
      <c r="C3014" t="s">
        <v>369</v>
      </c>
      <c r="D3014" t="s">
        <v>1198</v>
      </c>
      <c r="F3014" t="str">
        <f>"43"</f>
        <v>43</v>
      </c>
      <c r="G3014" t="s">
        <v>49</v>
      </c>
      <c r="K3014" t="s">
        <v>1185</v>
      </c>
      <c r="L3014" t="s">
        <v>52</v>
      </c>
      <c r="M3014">
        <v>137783.18</v>
      </c>
      <c r="N3014">
        <v>467620.86</v>
      </c>
      <c r="O3014" t="s">
        <v>53</v>
      </c>
      <c r="P3014" t="s">
        <v>54</v>
      </c>
      <c r="AP3014" t="s">
        <v>53</v>
      </c>
      <c r="AR3014" t="s">
        <v>53</v>
      </c>
      <c r="BH3014" t="s">
        <v>53</v>
      </c>
    </row>
    <row r="3015" spans="1:60" x14ac:dyDescent="0.2">
      <c r="A3015" t="s">
        <v>367</v>
      </c>
      <c r="B3015" t="s">
        <v>368</v>
      </c>
      <c r="C3015" t="s">
        <v>369</v>
      </c>
      <c r="D3015" t="s">
        <v>1198</v>
      </c>
      <c r="F3015" t="str">
        <f>"44"</f>
        <v>44</v>
      </c>
      <c r="G3015" t="s">
        <v>49</v>
      </c>
      <c r="K3015" t="s">
        <v>1185</v>
      </c>
      <c r="L3015" t="s">
        <v>52</v>
      </c>
      <c r="M3015">
        <v>137821.12632131699</v>
      </c>
      <c r="N3015">
        <v>467606.68399676302</v>
      </c>
      <c r="O3015" t="s">
        <v>53</v>
      </c>
      <c r="P3015" t="s">
        <v>54</v>
      </c>
      <c r="AP3015" t="s">
        <v>53</v>
      </c>
      <c r="AR3015" t="s">
        <v>53</v>
      </c>
      <c r="BH3015" t="s">
        <v>53</v>
      </c>
    </row>
    <row r="3016" spans="1:60" x14ac:dyDescent="0.2">
      <c r="A3016" t="s">
        <v>367</v>
      </c>
      <c r="B3016" t="s">
        <v>368</v>
      </c>
      <c r="C3016" t="s">
        <v>369</v>
      </c>
      <c r="D3016" t="s">
        <v>1192</v>
      </c>
      <c r="F3016" t="str">
        <f>"45"</f>
        <v>45</v>
      </c>
      <c r="G3016" t="s">
        <v>49</v>
      </c>
      <c r="K3016" t="s">
        <v>1185</v>
      </c>
      <c r="L3016" t="s">
        <v>52</v>
      </c>
      <c r="M3016">
        <v>138235.875302628</v>
      </c>
      <c r="N3016">
        <v>467722.78435159801</v>
      </c>
      <c r="O3016" t="s">
        <v>53</v>
      </c>
      <c r="P3016" t="s">
        <v>54</v>
      </c>
      <c r="AP3016" t="s">
        <v>53</v>
      </c>
      <c r="AR3016" t="s">
        <v>53</v>
      </c>
      <c r="BH3016" t="s">
        <v>53</v>
      </c>
    </row>
    <row r="3017" spans="1:60" x14ac:dyDescent="0.2">
      <c r="A3017" t="s">
        <v>367</v>
      </c>
      <c r="B3017" t="s">
        <v>368</v>
      </c>
      <c r="C3017" t="s">
        <v>369</v>
      </c>
      <c r="D3017" t="s">
        <v>1193</v>
      </c>
      <c r="F3017" t="str">
        <f>"47"</f>
        <v>47</v>
      </c>
      <c r="G3017" t="s">
        <v>49</v>
      </c>
      <c r="K3017" t="s">
        <v>1185</v>
      </c>
      <c r="L3017" t="s">
        <v>52</v>
      </c>
      <c r="M3017">
        <v>138290.64761656499</v>
      </c>
      <c r="N3017">
        <v>467713.02185658697</v>
      </c>
      <c r="O3017" t="s">
        <v>53</v>
      </c>
      <c r="P3017" t="s">
        <v>54</v>
      </c>
      <c r="AP3017" t="s">
        <v>53</v>
      </c>
      <c r="AR3017" t="s">
        <v>53</v>
      </c>
      <c r="BH3017" t="s">
        <v>53</v>
      </c>
    </row>
    <row r="3018" spans="1:60" x14ac:dyDescent="0.2">
      <c r="A3018" t="s">
        <v>367</v>
      </c>
      <c r="B3018" t="s">
        <v>368</v>
      </c>
      <c r="C3018" t="s">
        <v>369</v>
      </c>
      <c r="D3018" t="s">
        <v>1199</v>
      </c>
      <c r="F3018" t="str">
        <f>"48"</f>
        <v>48</v>
      </c>
      <c r="G3018" t="s">
        <v>49</v>
      </c>
      <c r="K3018" t="s">
        <v>1185</v>
      </c>
      <c r="L3018" t="s">
        <v>52</v>
      </c>
      <c r="M3018">
        <v>138284.901586872</v>
      </c>
      <c r="N3018">
        <v>467689.34477995499</v>
      </c>
      <c r="O3018" t="s">
        <v>53</v>
      </c>
      <c r="P3018" t="s">
        <v>54</v>
      </c>
      <c r="AP3018" t="s">
        <v>53</v>
      </c>
      <c r="AR3018" t="s">
        <v>53</v>
      </c>
      <c r="BH3018" t="s">
        <v>53</v>
      </c>
    </row>
    <row r="3019" spans="1:60" x14ac:dyDescent="0.2">
      <c r="A3019" t="s">
        <v>367</v>
      </c>
      <c r="B3019" t="s">
        <v>368</v>
      </c>
      <c r="C3019" t="s">
        <v>369</v>
      </c>
      <c r="D3019" t="s">
        <v>1194</v>
      </c>
      <c r="F3019" t="str">
        <f>"49"</f>
        <v>49</v>
      </c>
      <c r="G3019" t="s">
        <v>49</v>
      </c>
      <c r="K3019" t="s">
        <v>1185</v>
      </c>
      <c r="L3019" t="s">
        <v>52</v>
      </c>
      <c r="M3019">
        <v>138359.51861179</v>
      </c>
      <c r="N3019">
        <v>467743.39641107299</v>
      </c>
      <c r="O3019" t="s">
        <v>53</v>
      </c>
      <c r="P3019" t="s">
        <v>54</v>
      </c>
      <c r="AP3019" t="s">
        <v>53</v>
      </c>
      <c r="AR3019" t="s">
        <v>53</v>
      </c>
      <c r="BH3019" t="s">
        <v>53</v>
      </c>
    </row>
    <row r="3020" spans="1:60" x14ac:dyDescent="0.2">
      <c r="A3020" t="s">
        <v>367</v>
      </c>
      <c r="B3020" t="s">
        <v>368</v>
      </c>
      <c r="C3020" t="s">
        <v>369</v>
      </c>
      <c r="D3020" t="s">
        <v>1194</v>
      </c>
      <c r="F3020" t="str">
        <f>"51"</f>
        <v>51</v>
      </c>
      <c r="G3020" t="s">
        <v>49</v>
      </c>
      <c r="K3020" t="s">
        <v>1185</v>
      </c>
      <c r="L3020" t="s">
        <v>52</v>
      </c>
      <c r="M3020">
        <v>138354.001872458</v>
      </c>
      <c r="N3020">
        <v>467728.37166165502</v>
      </c>
      <c r="O3020" t="s">
        <v>53</v>
      </c>
      <c r="P3020" t="s">
        <v>54</v>
      </c>
      <c r="AP3020" t="s">
        <v>53</v>
      </c>
      <c r="AR3020" t="s">
        <v>53</v>
      </c>
      <c r="BH3020" t="s">
        <v>53</v>
      </c>
    </row>
    <row r="3021" spans="1:60" x14ac:dyDescent="0.2">
      <c r="A3021" t="s">
        <v>367</v>
      </c>
      <c r="B3021" t="s">
        <v>368</v>
      </c>
      <c r="C3021" t="s">
        <v>369</v>
      </c>
      <c r="D3021" t="s">
        <v>1194</v>
      </c>
      <c r="F3021" t="str">
        <f>"52"</f>
        <v>52</v>
      </c>
      <c r="G3021" t="s">
        <v>49</v>
      </c>
      <c r="K3021" t="s">
        <v>1185</v>
      </c>
      <c r="L3021" t="s">
        <v>52</v>
      </c>
      <c r="M3021">
        <v>138348.96409922399</v>
      </c>
      <c r="N3021">
        <v>467707.92765855498</v>
      </c>
      <c r="O3021" t="s">
        <v>53</v>
      </c>
      <c r="P3021" t="s">
        <v>54</v>
      </c>
      <c r="AP3021" t="s">
        <v>53</v>
      </c>
      <c r="AR3021" t="s">
        <v>53</v>
      </c>
      <c r="BH3021" t="s">
        <v>53</v>
      </c>
    </row>
    <row r="3022" spans="1:60" x14ac:dyDescent="0.2">
      <c r="A3022" t="s">
        <v>367</v>
      </c>
      <c r="B3022" t="s">
        <v>368</v>
      </c>
      <c r="C3022" t="s">
        <v>369</v>
      </c>
      <c r="D3022" t="s">
        <v>1194</v>
      </c>
      <c r="F3022" t="str">
        <f>"53"</f>
        <v>53</v>
      </c>
      <c r="G3022" t="s">
        <v>49</v>
      </c>
      <c r="K3022" t="s">
        <v>1185</v>
      </c>
      <c r="L3022" t="s">
        <v>52</v>
      </c>
      <c r="M3022">
        <v>138340.022376457</v>
      </c>
      <c r="N3022">
        <v>467675.330394961</v>
      </c>
      <c r="O3022" t="s">
        <v>53</v>
      </c>
      <c r="P3022" t="s">
        <v>54</v>
      </c>
      <c r="AP3022" t="s">
        <v>53</v>
      </c>
      <c r="AR3022" t="s">
        <v>53</v>
      </c>
      <c r="BH3022" t="s">
        <v>53</v>
      </c>
    </row>
    <row r="3023" spans="1:60" x14ac:dyDescent="0.2">
      <c r="A3023" t="s">
        <v>367</v>
      </c>
      <c r="B3023" t="s">
        <v>368</v>
      </c>
      <c r="C3023" t="s">
        <v>369</v>
      </c>
      <c r="D3023" t="s">
        <v>1186</v>
      </c>
      <c r="F3023" t="str">
        <f>"54"</f>
        <v>54</v>
      </c>
      <c r="G3023" t="s">
        <v>49</v>
      </c>
      <c r="K3023" t="s">
        <v>1185</v>
      </c>
      <c r="L3023" t="s">
        <v>52</v>
      </c>
      <c r="M3023">
        <v>137985.1</v>
      </c>
      <c r="N3023">
        <v>467398.49</v>
      </c>
      <c r="O3023" t="s">
        <v>53</v>
      </c>
      <c r="P3023" t="s">
        <v>54</v>
      </c>
      <c r="Q3023" t="s">
        <v>55</v>
      </c>
      <c r="T3023" t="s">
        <v>246</v>
      </c>
      <c r="U3023">
        <v>40</v>
      </c>
      <c r="V3023" s="1">
        <v>44004</v>
      </c>
      <c r="W3023" s="1">
        <v>44004</v>
      </c>
      <c r="X3023" s="1">
        <v>44004</v>
      </c>
      <c r="Y3023" s="1">
        <v>58614</v>
      </c>
      <c r="Z3023" t="s">
        <v>1185</v>
      </c>
      <c r="AB3023" t="s">
        <v>54</v>
      </c>
      <c r="AP3023" t="s">
        <v>53</v>
      </c>
      <c r="AR3023" t="s">
        <v>53</v>
      </c>
      <c r="BH3023" t="s">
        <v>53</v>
      </c>
    </row>
    <row r="3024" spans="1:60" x14ac:dyDescent="0.2">
      <c r="A3024" t="s">
        <v>367</v>
      </c>
      <c r="B3024" t="s">
        <v>368</v>
      </c>
      <c r="C3024" t="s">
        <v>369</v>
      </c>
      <c r="D3024" t="s">
        <v>1186</v>
      </c>
      <c r="F3024" t="str">
        <f>"55"</f>
        <v>55</v>
      </c>
      <c r="G3024" t="s">
        <v>49</v>
      </c>
      <c r="K3024" t="s">
        <v>1185</v>
      </c>
      <c r="L3024" t="s">
        <v>52</v>
      </c>
      <c r="M3024">
        <v>138015.71</v>
      </c>
      <c r="N3024">
        <v>467384.98</v>
      </c>
      <c r="O3024" t="s">
        <v>53</v>
      </c>
      <c r="P3024" t="s">
        <v>54</v>
      </c>
      <c r="AP3024" t="s">
        <v>53</v>
      </c>
      <c r="AR3024" t="s">
        <v>53</v>
      </c>
      <c r="BH3024" t="s">
        <v>53</v>
      </c>
    </row>
    <row r="3025" spans="1:99" x14ac:dyDescent="0.2">
      <c r="A3025" t="s">
        <v>367</v>
      </c>
      <c r="B3025" t="s">
        <v>368</v>
      </c>
      <c r="C3025" t="s">
        <v>369</v>
      </c>
      <c r="D3025" t="s">
        <v>1186</v>
      </c>
      <c r="F3025" t="str">
        <f>"56"</f>
        <v>56</v>
      </c>
      <c r="G3025" t="s">
        <v>49</v>
      </c>
      <c r="K3025" t="s">
        <v>1185</v>
      </c>
      <c r="L3025" t="s">
        <v>52</v>
      </c>
      <c r="M3025">
        <v>138045.06525162299</v>
      </c>
      <c r="N3025">
        <v>467343.54962531303</v>
      </c>
      <c r="O3025" t="s">
        <v>53</v>
      </c>
      <c r="P3025" t="s">
        <v>54</v>
      </c>
      <c r="AP3025" t="s">
        <v>53</v>
      </c>
      <c r="AR3025" t="s">
        <v>53</v>
      </c>
      <c r="BH3025" t="s">
        <v>53</v>
      </c>
    </row>
    <row r="3026" spans="1:99" x14ac:dyDescent="0.2">
      <c r="A3026" t="s">
        <v>367</v>
      </c>
      <c r="B3026" t="s">
        <v>368</v>
      </c>
      <c r="C3026" t="s">
        <v>369</v>
      </c>
      <c r="D3026" t="s">
        <v>1186</v>
      </c>
      <c r="F3026" t="str">
        <f>"156689"</f>
        <v>156689</v>
      </c>
      <c r="G3026" t="s">
        <v>49</v>
      </c>
      <c r="K3026" t="s">
        <v>1185</v>
      </c>
      <c r="L3026" t="s">
        <v>52</v>
      </c>
      <c r="M3026">
        <v>138064.91</v>
      </c>
      <c r="N3026">
        <v>467335.82</v>
      </c>
      <c r="O3026" t="s">
        <v>53</v>
      </c>
      <c r="P3026" t="s">
        <v>54</v>
      </c>
      <c r="AP3026" t="s">
        <v>53</v>
      </c>
      <c r="AR3026" t="s">
        <v>53</v>
      </c>
      <c r="BH3026" t="s">
        <v>53</v>
      </c>
    </row>
    <row r="3027" spans="1:99" x14ac:dyDescent="0.2">
      <c r="A3027" t="s">
        <v>367</v>
      </c>
      <c r="B3027" t="s">
        <v>368</v>
      </c>
      <c r="C3027" t="s">
        <v>369</v>
      </c>
      <c r="D3027" t="s">
        <v>1186</v>
      </c>
      <c r="F3027" t="str">
        <f>"58"</f>
        <v>58</v>
      </c>
      <c r="G3027" t="s">
        <v>49</v>
      </c>
      <c r="K3027" t="s">
        <v>1185</v>
      </c>
      <c r="L3027" t="s">
        <v>52</v>
      </c>
      <c r="M3027">
        <v>138096.23000000001</v>
      </c>
      <c r="N3027">
        <v>467322.86</v>
      </c>
      <c r="O3027" t="s">
        <v>53</v>
      </c>
      <c r="P3027" t="s">
        <v>54</v>
      </c>
      <c r="AP3027" t="s">
        <v>53</v>
      </c>
      <c r="AR3027" t="s">
        <v>53</v>
      </c>
      <c r="BH3027" t="s">
        <v>53</v>
      </c>
    </row>
    <row r="3028" spans="1:99" x14ac:dyDescent="0.2">
      <c r="A3028" t="s">
        <v>367</v>
      </c>
      <c r="B3028" t="s">
        <v>368</v>
      </c>
      <c r="C3028" t="s">
        <v>369</v>
      </c>
      <c r="D3028" t="s">
        <v>1186</v>
      </c>
      <c r="F3028" t="str">
        <f>"59"</f>
        <v>59</v>
      </c>
      <c r="G3028" t="s">
        <v>49</v>
      </c>
      <c r="K3028" t="s">
        <v>1185</v>
      </c>
      <c r="L3028" t="s">
        <v>52</v>
      </c>
      <c r="M3028">
        <v>138101.21120304501</v>
      </c>
      <c r="N3028">
        <v>467385.60843969899</v>
      </c>
      <c r="O3028" t="s">
        <v>53</v>
      </c>
      <c r="P3028" t="s">
        <v>54</v>
      </c>
      <c r="AP3028" t="s">
        <v>53</v>
      </c>
      <c r="AR3028" t="s">
        <v>53</v>
      </c>
      <c r="BH3028" t="s">
        <v>53</v>
      </c>
    </row>
    <row r="3029" spans="1:99" x14ac:dyDescent="0.2">
      <c r="A3029" t="s">
        <v>367</v>
      </c>
      <c r="B3029" t="s">
        <v>368</v>
      </c>
      <c r="C3029" t="s">
        <v>369</v>
      </c>
      <c r="D3029" t="s">
        <v>1186</v>
      </c>
      <c r="F3029" t="str">
        <f>"60"</f>
        <v>60</v>
      </c>
      <c r="G3029" t="s">
        <v>49</v>
      </c>
      <c r="K3029" t="s">
        <v>1185</v>
      </c>
      <c r="L3029" t="s">
        <v>52</v>
      </c>
      <c r="M3029">
        <v>138093.09463693699</v>
      </c>
      <c r="N3029">
        <v>467366.305575862</v>
      </c>
      <c r="O3029" t="s">
        <v>53</v>
      </c>
      <c r="P3029" t="s">
        <v>54</v>
      </c>
      <c r="AP3029" t="s">
        <v>53</v>
      </c>
      <c r="AR3029" t="s">
        <v>53</v>
      </c>
      <c r="BH3029" t="s">
        <v>53</v>
      </c>
    </row>
    <row r="3030" spans="1:99" x14ac:dyDescent="0.2">
      <c r="A3030" t="s">
        <v>367</v>
      </c>
      <c r="B3030" t="s">
        <v>368</v>
      </c>
      <c r="C3030" t="s">
        <v>369</v>
      </c>
      <c r="D3030" t="s">
        <v>1191</v>
      </c>
      <c r="F3030" t="str">
        <f>"62"</f>
        <v>62</v>
      </c>
      <c r="G3030" t="s">
        <v>49</v>
      </c>
      <c r="K3030" t="s">
        <v>1185</v>
      </c>
      <c r="L3030" t="s">
        <v>52</v>
      </c>
      <c r="M3030">
        <v>138023.644071688</v>
      </c>
      <c r="N3030">
        <v>467740.301348701</v>
      </c>
      <c r="O3030" t="s">
        <v>53</v>
      </c>
      <c r="P3030" t="s">
        <v>54</v>
      </c>
      <c r="AP3030" t="s">
        <v>53</v>
      </c>
      <c r="AR3030" t="s">
        <v>53</v>
      </c>
      <c r="BH3030" t="s">
        <v>53</v>
      </c>
    </row>
    <row r="3031" spans="1:99" x14ac:dyDescent="0.2">
      <c r="A3031" t="s">
        <v>367</v>
      </c>
      <c r="B3031" t="s">
        <v>368</v>
      </c>
      <c r="C3031" t="s">
        <v>369</v>
      </c>
      <c r="D3031" t="s">
        <v>1200</v>
      </c>
      <c r="F3031" t="str">
        <f>"63"</f>
        <v>63</v>
      </c>
      <c r="G3031" t="s">
        <v>49</v>
      </c>
      <c r="K3031" t="s">
        <v>1185</v>
      </c>
      <c r="L3031" t="s">
        <v>52</v>
      </c>
      <c r="M3031">
        <v>138063.48298639501</v>
      </c>
      <c r="N3031">
        <v>467732.41957415198</v>
      </c>
      <c r="O3031" t="s">
        <v>53</v>
      </c>
      <c r="P3031" t="s">
        <v>54</v>
      </c>
      <c r="AP3031" t="s">
        <v>53</v>
      </c>
      <c r="AR3031" t="s">
        <v>53</v>
      </c>
      <c r="BH3031" t="s">
        <v>53</v>
      </c>
    </row>
    <row r="3032" spans="1:99" x14ac:dyDescent="0.2">
      <c r="A3032" t="s">
        <v>367</v>
      </c>
      <c r="B3032" t="s">
        <v>368</v>
      </c>
      <c r="C3032" t="s">
        <v>369</v>
      </c>
      <c r="D3032" t="s">
        <v>1200</v>
      </c>
      <c r="F3032" t="str">
        <f>"64"</f>
        <v>64</v>
      </c>
      <c r="G3032" t="s">
        <v>49</v>
      </c>
      <c r="K3032" t="s">
        <v>1185</v>
      </c>
      <c r="L3032" t="s">
        <v>52</v>
      </c>
      <c r="M3032">
        <v>138100.49067928101</v>
      </c>
      <c r="N3032">
        <v>467725.043039707</v>
      </c>
      <c r="O3032" t="s">
        <v>53</v>
      </c>
      <c r="P3032" t="s">
        <v>54</v>
      </c>
      <c r="AP3032" t="s">
        <v>53</v>
      </c>
      <c r="AR3032" t="s">
        <v>53</v>
      </c>
      <c r="BH3032" t="s">
        <v>53</v>
      </c>
    </row>
    <row r="3033" spans="1:99" x14ac:dyDescent="0.2">
      <c r="A3033" t="s">
        <v>367</v>
      </c>
      <c r="B3033" t="s">
        <v>440</v>
      </c>
      <c r="C3033" t="s">
        <v>441</v>
      </c>
      <c r="D3033" t="s">
        <v>1201</v>
      </c>
      <c r="F3033" t="str">
        <f>"7985"</f>
        <v>7985</v>
      </c>
      <c r="G3033" t="s">
        <v>49</v>
      </c>
      <c r="H3033" t="s">
        <v>1202</v>
      </c>
      <c r="K3033" t="s">
        <v>51</v>
      </c>
      <c r="L3033" t="s">
        <v>52</v>
      </c>
      <c r="M3033">
        <v>137904.32000000001</v>
      </c>
      <c r="N3033">
        <v>468851.44</v>
      </c>
      <c r="O3033" t="s">
        <v>53</v>
      </c>
      <c r="P3033" t="s">
        <v>54</v>
      </c>
      <c r="Q3033" t="s">
        <v>55</v>
      </c>
      <c r="T3033" t="s">
        <v>676</v>
      </c>
      <c r="U3033">
        <v>40</v>
      </c>
      <c r="V3033" s="1">
        <v>24107</v>
      </c>
      <c r="W3033" s="1">
        <v>24107</v>
      </c>
      <c r="X3033" s="1">
        <v>24107</v>
      </c>
      <c r="Y3033" s="1">
        <v>38717</v>
      </c>
      <c r="Z3033" t="s">
        <v>51</v>
      </c>
      <c r="AB3033" t="s">
        <v>54</v>
      </c>
      <c r="AC3033">
        <v>1</v>
      </c>
      <c r="AE3033" t="s">
        <v>844</v>
      </c>
      <c r="AF3033">
        <v>20</v>
      </c>
      <c r="AG3033" s="1">
        <v>24107</v>
      </c>
      <c r="AH3033" s="1">
        <v>24107</v>
      </c>
      <c r="AI3033" s="1">
        <v>24107</v>
      </c>
      <c r="AJ3033" s="1">
        <v>31412</v>
      </c>
      <c r="AK3033" t="s">
        <v>51</v>
      </c>
      <c r="AN3033">
        <v>0</v>
      </c>
      <c r="AO3033" t="s">
        <v>54</v>
      </c>
      <c r="AP3033" t="s">
        <v>53</v>
      </c>
      <c r="AQ3033">
        <v>0</v>
      </c>
      <c r="AR3033" t="s">
        <v>53</v>
      </c>
      <c r="AS3033">
        <v>0</v>
      </c>
      <c r="AT3033">
        <v>0</v>
      </c>
      <c r="AW3033" t="s">
        <v>58</v>
      </c>
      <c r="AX3033">
        <v>20</v>
      </c>
      <c r="AY3033" s="1">
        <v>24107</v>
      </c>
      <c r="AZ3033" s="1">
        <v>24107</v>
      </c>
      <c r="BA3033" s="1">
        <v>24107</v>
      </c>
      <c r="BB3033" s="1">
        <v>31412</v>
      </c>
      <c r="BC3033" t="s">
        <v>51</v>
      </c>
      <c r="BE3033" t="s">
        <v>54</v>
      </c>
      <c r="BF3033">
        <v>2</v>
      </c>
      <c r="BG3033">
        <v>0</v>
      </c>
      <c r="BH3033" t="s">
        <v>53</v>
      </c>
      <c r="BK3033" t="s">
        <v>71</v>
      </c>
      <c r="BL3033">
        <v>12000</v>
      </c>
      <c r="BM3033" s="1">
        <v>41091</v>
      </c>
      <c r="BN3033" s="1">
        <v>41091</v>
      </c>
      <c r="BO3033" s="1">
        <v>41091</v>
      </c>
      <c r="BP3033" s="1">
        <v>42077</v>
      </c>
      <c r="BQ3033" t="s">
        <v>51</v>
      </c>
      <c r="BS3033" t="s">
        <v>60</v>
      </c>
      <c r="BT3033" t="s">
        <v>54</v>
      </c>
      <c r="BU3033" t="s">
        <v>72</v>
      </c>
      <c r="BV3033" t="s">
        <v>73</v>
      </c>
      <c r="BX3033">
        <v>55</v>
      </c>
      <c r="BY3033">
        <v>0</v>
      </c>
      <c r="BZ3033">
        <v>0</v>
      </c>
    </row>
    <row r="3034" spans="1:99" x14ac:dyDescent="0.2">
      <c r="A3034" t="s">
        <v>367</v>
      </c>
      <c r="B3034" t="s">
        <v>368</v>
      </c>
      <c r="C3034" t="s">
        <v>369</v>
      </c>
      <c r="D3034" t="s">
        <v>1198</v>
      </c>
      <c r="F3034" t="str">
        <f>"10184"</f>
        <v>10184</v>
      </c>
      <c r="G3034" t="s">
        <v>49</v>
      </c>
      <c r="H3034" t="s">
        <v>1203</v>
      </c>
      <c r="K3034" t="s">
        <v>51</v>
      </c>
      <c r="L3034" t="s">
        <v>52</v>
      </c>
      <c r="M3034">
        <v>137855.79</v>
      </c>
      <c r="N3034">
        <v>467657.17</v>
      </c>
      <c r="O3034" t="s">
        <v>53</v>
      </c>
      <c r="P3034" t="s">
        <v>54</v>
      </c>
      <c r="Q3034" t="s">
        <v>55</v>
      </c>
      <c r="T3034" t="s">
        <v>818</v>
      </c>
      <c r="U3034">
        <v>40</v>
      </c>
      <c r="V3034" s="1">
        <v>29586</v>
      </c>
      <c r="W3034" s="1">
        <v>29586</v>
      </c>
      <c r="X3034" s="1">
        <v>29586</v>
      </c>
      <c r="Y3034" s="1">
        <v>44196</v>
      </c>
      <c r="Z3034" t="s">
        <v>51</v>
      </c>
      <c r="AB3034" t="s">
        <v>54</v>
      </c>
      <c r="AC3034">
        <v>1</v>
      </c>
      <c r="AE3034" t="s">
        <v>827</v>
      </c>
      <c r="AF3034">
        <v>20</v>
      </c>
      <c r="AG3034" s="1">
        <v>31047</v>
      </c>
      <c r="AH3034" s="1">
        <v>31047</v>
      </c>
      <c r="AI3034" s="1">
        <v>31047</v>
      </c>
      <c r="AJ3034" s="1">
        <v>38352</v>
      </c>
      <c r="AK3034" t="s">
        <v>51</v>
      </c>
      <c r="AN3034">
        <v>0</v>
      </c>
      <c r="AO3034" t="s">
        <v>54</v>
      </c>
      <c r="AP3034" t="s">
        <v>53</v>
      </c>
      <c r="AQ3034">
        <v>0</v>
      </c>
      <c r="AR3034" t="s">
        <v>53</v>
      </c>
      <c r="AS3034">
        <v>0</v>
      </c>
      <c r="AT3034">
        <v>0</v>
      </c>
      <c r="CC3034" t="s">
        <v>850</v>
      </c>
      <c r="CD3034">
        <v>1</v>
      </c>
      <c r="CE3034" s="1">
        <v>42552</v>
      </c>
      <c r="CF3034" s="1">
        <v>42552</v>
      </c>
      <c r="CG3034" s="1">
        <v>42552</v>
      </c>
      <c r="CH3034" s="1">
        <v>49714</v>
      </c>
      <c r="CI3034" t="s">
        <v>51</v>
      </c>
      <c r="CK3034" t="s">
        <v>78</v>
      </c>
      <c r="CM3034" t="s">
        <v>54</v>
      </c>
      <c r="CN3034" t="s">
        <v>174</v>
      </c>
      <c r="CO3034" t="s">
        <v>86</v>
      </c>
      <c r="CR3034">
        <v>18</v>
      </c>
      <c r="CS3034">
        <v>0</v>
      </c>
      <c r="CT3034">
        <v>0</v>
      </c>
      <c r="CU3034">
        <v>0</v>
      </c>
    </row>
    <row r="3035" spans="1:99" x14ac:dyDescent="0.2">
      <c r="A3035" t="s">
        <v>367</v>
      </c>
      <c r="B3035" t="s">
        <v>368</v>
      </c>
      <c r="C3035" t="s">
        <v>369</v>
      </c>
      <c r="D3035" t="s">
        <v>1198</v>
      </c>
      <c r="F3035" t="str">
        <f>"10185"</f>
        <v>10185</v>
      </c>
      <c r="G3035" t="s">
        <v>49</v>
      </c>
      <c r="H3035" t="s">
        <v>1204</v>
      </c>
      <c r="K3035" t="s">
        <v>51</v>
      </c>
      <c r="L3035" t="s">
        <v>52</v>
      </c>
      <c r="M3035">
        <v>137884.60999999999</v>
      </c>
      <c r="N3035">
        <v>467679.61</v>
      </c>
      <c r="O3035" t="s">
        <v>53</v>
      </c>
      <c r="P3035" t="s">
        <v>54</v>
      </c>
      <c r="Q3035" t="s">
        <v>55</v>
      </c>
      <c r="T3035" t="s">
        <v>818</v>
      </c>
      <c r="U3035">
        <v>40</v>
      </c>
      <c r="V3035" s="1">
        <v>29586</v>
      </c>
      <c r="W3035" s="1">
        <v>29586</v>
      </c>
      <c r="X3035" s="1">
        <v>29586</v>
      </c>
      <c r="Y3035" s="1">
        <v>44196</v>
      </c>
      <c r="Z3035" t="s">
        <v>51</v>
      </c>
      <c r="AB3035" t="s">
        <v>54</v>
      </c>
      <c r="AC3035">
        <v>1</v>
      </c>
      <c r="AE3035" t="s">
        <v>827</v>
      </c>
      <c r="AF3035">
        <v>20</v>
      </c>
      <c r="AG3035" s="1">
        <v>31047</v>
      </c>
      <c r="AH3035" s="1">
        <v>31047</v>
      </c>
      <c r="AI3035" s="1">
        <v>31047</v>
      </c>
      <c r="AJ3035" s="1">
        <v>38352</v>
      </c>
      <c r="AK3035" t="s">
        <v>51</v>
      </c>
      <c r="AN3035">
        <v>0</v>
      </c>
      <c r="AO3035" t="s">
        <v>54</v>
      </c>
      <c r="AP3035" t="s">
        <v>53</v>
      </c>
      <c r="AQ3035">
        <v>0</v>
      </c>
      <c r="AR3035" t="s">
        <v>53</v>
      </c>
      <c r="AS3035">
        <v>0</v>
      </c>
      <c r="AT3035">
        <v>0</v>
      </c>
      <c r="CC3035" t="s">
        <v>850</v>
      </c>
      <c r="CD3035">
        <v>1</v>
      </c>
      <c r="CE3035" s="1">
        <v>42552</v>
      </c>
      <c r="CF3035" s="1">
        <v>42552</v>
      </c>
      <c r="CG3035" s="1">
        <v>42552</v>
      </c>
      <c r="CH3035" s="1">
        <v>49714</v>
      </c>
      <c r="CI3035" t="s">
        <v>51</v>
      </c>
      <c r="CK3035" t="s">
        <v>78</v>
      </c>
      <c r="CM3035" t="s">
        <v>54</v>
      </c>
      <c r="CN3035" t="s">
        <v>174</v>
      </c>
      <c r="CO3035" t="s">
        <v>86</v>
      </c>
      <c r="CR3035">
        <v>18</v>
      </c>
      <c r="CS3035">
        <v>0</v>
      </c>
      <c r="CT3035">
        <v>0</v>
      </c>
      <c r="CU3035">
        <v>0</v>
      </c>
    </row>
    <row r="3036" spans="1:99" x14ac:dyDescent="0.2">
      <c r="A3036" t="s">
        <v>367</v>
      </c>
      <c r="B3036" t="s">
        <v>368</v>
      </c>
      <c r="C3036" t="s">
        <v>369</v>
      </c>
      <c r="D3036" t="s">
        <v>1205</v>
      </c>
      <c r="F3036" t="str">
        <f>"10186"</f>
        <v>10186</v>
      </c>
      <c r="G3036" t="s">
        <v>49</v>
      </c>
      <c r="H3036" t="s">
        <v>1206</v>
      </c>
      <c r="K3036" t="s">
        <v>51</v>
      </c>
      <c r="L3036" t="s">
        <v>52</v>
      </c>
      <c r="M3036">
        <v>138338.12</v>
      </c>
      <c r="N3036">
        <v>467837.63</v>
      </c>
      <c r="O3036" t="s">
        <v>53</v>
      </c>
      <c r="P3036" t="s">
        <v>54</v>
      </c>
      <c r="Q3036" t="s">
        <v>55</v>
      </c>
      <c r="T3036" t="s">
        <v>588</v>
      </c>
      <c r="U3036">
        <v>40</v>
      </c>
      <c r="V3036" s="1">
        <v>31047</v>
      </c>
      <c r="W3036" s="1">
        <v>31047</v>
      </c>
      <c r="X3036" s="1">
        <v>31047</v>
      </c>
      <c r="Y3036" s="1">
        <v>45657</v>
      </c>
      <c r="Z3036" t="s">
        <v>51</v>
      </c>
      <c r="AB3036" t="s">
        <v>54</v>
      </c>
      <c r="AC3036">
        <v>1</v>
      </c>
      <c r="AE3036" t="s">
        <v>827</v>
      </c>
      <c r="AF3036">
        <v>20</v>
      </c>
      <c r="AG3036" s="1">
        <v>31047</v>
      </c>
      <c r="AH3036" s="1">
        <v>31047</v>
      </c>
      <c r="AI3036" s="1">
        <v>31047</v>
      </c>
      <c r="AJ3036" s="1">
        <v>38352</v>
      </c>
      <c r="AK3036" t="s">
        <v>51</v>
      </c>
      <c r="AN3036">
        <v>0</v>
      </c>
      <c r="AO3036" t="s">
        <v>54</v>
      </c>
      <c r="AP3036" t="s">
        <v>53</v>
      </c>
      <c r="AQ3036">
        <v>0</v>
      </c>
      <c r="AR3036" t="s">
        <v>53</v>
      </c>
      <c r="AS3036">
        <v>0</v>
      </c>
      <c r="AT3036">
        <v>0</v>
      </c>
      <c r="AW3036" t="s">
        <v>58</v>
      </c>
      <c r="AX3036">
        <v>20</v>
      </c>
      <c r="AY3036" s="1">
        <v>31047</v>
      </c>
      <c r="AZ3036" s="1">
        <v>31047</v>
      </c>
      <c r="BA3036" s="1">
        <v>31047</v>
      </c>
      <c r="BB3036" s="1">
        <v>38352</v>
      </c>
      <c r="BC3036" t="s">
        <v>51</v>
      </c>
      <c r="BE3036" t="s">
        <v>54</v>
      </c>
      <c r="BF3036">
        <v>2</v>
      </c>
      <c r="BG3036">
        <v>0</v>
      </c>
      <c r="BH3036" t="s">
        <v>53</v>
      </c>
      <c r="BK3036" t="s">
        <v>720</v>
      </c>
      <c r="BL3036">
        <v>17000</v>
      </c>
      <c r="BM3036" s="1">
        <v>44900</v>
      </c>
      <c r="BN3036" s="1">
        <v>44900</v>
      </c>
      <c r="BO3036" s="1">
        <v>44900</v>
      </c>
      <c r="BP3036" s="1">
        <v>46342</v>
      </c>
      <c r="BQ3036" t="s">
        <v>51</v>
      </c>
      <c r="BS3036" t="s">
        <v>60</v>
      </c>
      <c r="BT3036" t="s">
        <v>54</v>
      </c>
      <c r="BU3036" t="s">
        <v>721</v>
      </c>
      <c r="BV3036" t="s">
        <v>722</v>
      </c>
      <c r="BX3036">
        <v>18</v>
      </c>
      <c r="BY3036">
        <v>0</v>
      </c>
      <c r="BZ3036">
        <v>0</v>
      </c>
    </row>
    <row r="3037" spans="1:99" x14ac:dyDescent="0.2">
      <c r="A3037" t="s">
        <v>367</v>
      </c>
      <c r="B3037" t="s">
        <v>368</v>
      </c>
      <c r="C3037" t="s">
        <v>369</v>
      </c>
      <c r="D3037" t="s">
        <v>1188</v>
      </c>
      <c r="F3037" t="str">
        <f>"10187"</f>
        <v>10187</v>
      </c>
      <c r="G3037" t="s">
        <v>49</v>
      </c>
      <c r="H3037" t="s">
        <v>1207</v>
      </c>
      <c r="K3037" t="s">
        <v>51</v>
      </c>
      <c r="L3037" t="s">
        <v>52</v>
      </c>
      <c r="M3037">
        <v>138118.24</v>
      </c>
      <c r="N3037">
        <v>467895.94</v>
      </c>
      <c r="O3037" t="s">
        <v>53</v>
      </c>
      <c r="P3037" t="s">
        <v>54</v>
      </c>
      <c r="Q3037" t="s">
        <v>55</v>
      </c>
      <c r="T3037" t="s">
        <v>588</v>
      </c>
      <c r="U3037">
        <v>40</v>
      </c>
      <c r="V3037" s="1">
        <v>31047</v>
      </c>
      <c r="W3037" s="1">
        <v>31047</v>
      </c>
      <c r="X3037" s="1">
        <v>31047</v>
      </c>
      <c r="Y3037" s="1">
        <v>45657</v>
      </c>
      <c r="Z3037" t="s">
        <v>51</v>
      </c>
      <c r="AB3037" t="s">
        <v>54</v>
      </c>
      <c r="AC3037">
        <v>1</v>
      </c>
      <c r="AE3037" t="s">
        <v>827</v>
      </c>
      <c r="AF3037">
        <v>20</v>
      </c>
      <c r="AG3037" s="1">
        <v>31047</v>
      </c>
      <c r="AH3037" s="1">
        <v>31047</v>
      </c>
      <c r="AI3037" s="1">
        <v>31047</v>
      </c>
      <c r="AJ3037" s="1">
        <v>38352</v>
      </c>
      <c r="AK3037" t="s">
        <v>51</v>
      </c>
      <c r="AN3037">
        <v>0</v>
      </c>
      <c r="AO3037" t="s">
        <v>54</v>
      </c>
      <c r="AP3037" t="s">
        <v>53</v>
      </c>
      <c r="AQ3037">
        <v>0</v>
      </c>
      <c r="AR3037" t="s">
        <v>53</v>
      </c>
      <c r="AS3037">
        <v>0</v>
      </c>
      <c r="AT3037">
        <v>0</v>
      </c>
      <c r="CC3037" t="s">
        <v>850</v>
      </c>
      <c r="CD3037">
        <v>1</v>
      </c>
      <c r="CE3037" s="1">
        <v>42552</v>
      </c>
      <c r="CF3037" s="1">
        <v>42552</v>
      </c>
      <c r="CG3037" s="1">
        <v>42552</v>
      </c>
      <c r="CH3037" s="1">
        <v>42552</v>
      </c>
      <c r="CI3037" t="s">
        <v>51</v>
      </c>
      <c r="CK3037" t="s">
        <v>78</v>
      </c>
      <c r="CM3037" t="s">
        <v>54</v>
      </c>
      <c r="CN3037" t="s">
        <v>174</v>
      </c>
      <c r="CO3037" t="s">
        <v>86</v>
      </c>
      <c r="CR3037">
        <v>18</v>
      </c>
      <c r="CS3037">
        <v>0</v>
      </c>
      <c r="CT3037">
        <v>0</v>
      </c>
      <c r="CU3037">
        <v>0</v>
      </c>
    </row>
    <row r="3038" spans="1:99" x14ac:dyDescent="0.2">
      <c r="A3038" t="s">
        <v>367</v>
      </c>
      <c r="B3038" t="s">
        <v>368</v>
      </c>
      <c r="C3038" t="s">
        <v>369</v>
      </c>
      <c r="D3038" t="s">
        <v>1208</v>
      </c>
      <c r="F3038" t="str">
        <f>"254116"</f>
        <v>254116</v>
      </c>
      <c r="G3038" t="s">
        <v>49</v>
      </c>
      <c r="H3038" t="s">
        <v>1209</v>
      </c>
      <c r="K3038" t="s">
        <v>51</v>
      </c>
      <c r="L3038" t="s">
        <v>52</v>
      </c>
      <c r="M3038">
        <v>138252.44</v>
      </c>
      <c r="N3038">
        <v>468262.99</v>
      </c>
      <c r="O3038" t="s">
        <v>53</v>
      </c>
      <c r="P3038" t="s">
        <v>54</v>
      </c>
      <c r="Q3038" t="s">
        <v>55</v>
      </c>
      <c r="T3038" t="s">
        <v>818</v>
      </c>
      <c r="U3038">
        <v>40</v>
      </c>
      <c r="V3038" s="1">
        <v>42552</v>
      </c>
      <c r="W3038" s="1">
        <v>42552</v>
      </c>
      <c r="X3038" s="1">
        <v>42552</v>
      </c>
      <c r="Y3038" s="1">
        <v>57162</v>
      </c>
      <c r="Z3038" t="s">
        <v>51</v>
      </c>
      <c r="AB3038" t="s">
        <v>54</v>
      </c>
      <c r="AC3038">
        <v>1</v>
      </c>
      <c r="AE3038" t="s">
        <v>79</v>
      </c>
      <c r="AF3038">
        <v>20</v>
      </c>
      <c r="AG3038" s="1">
        <v>42552</v>
      </c>
      <c r="AH3038" s="1">
        <v>42552</v>
      </c>
      <c r="AI3038" s="1">
        <v>42552</v>
      </c>
      <c r="AJ3038" s="1">
        <v>49857</v>
      </c>
      <c r="AK3038" t="s">
        <v>51</v>
      </c>
      <c r="AN3038">
        <v>0</v>
      </c>
      <c r="AO3038" t="s">
        <v>54</v>
      </c>
      <c r="AP3038" t="s">
        <v>53</v>
      </c>
      <c r="AQ3038">
        <v>0</v>
      </c>
      <c r="AR3038" t="s">
        <v>145</v>
      </c>
      <c r="AS3038">
        <v>0</v>
      </c>
      <c r="AT3038">
        <v>0</v>
      </c>
      <c r="CC3038" t="s">
        <v>850</v>
      </c>
      <c r="CD3038">
        <v>1</v>
      </c>
      <c r="CE3038" s="1">
        <v>42552</v>
      </c>
      <c r="CF3038" s="1">
        <v>42552</v>
      </c>
      <c r="CG3038" s="1">
        <v>42552</v>
      </c>
      <c r="CH3038" s="1">
        <v>49714</v>
      </c>
      <c r="CI3038" t="s">
        <v>51</v>
      </c>
      <c r="CK3038" t="s">
        <v>78</v>
      </c>
      <c r="CM3038" t="s">
        <v>54</v>
      </c>
      <c r="CN3038" t="s">
        <v>174</v>
      </c>
      <c r="CO3038" t="s">
        <v>86</v>
      </c>
      <c r="CR3038">
        <v>18</v>
      </c>
      <c r="CS3038">
        <v>0</v>
      </c>
      <c r="CT3038">
        <v>0</v>
      </c>
      <c r="CU3038">
        <v>0</v>
      </c>
    </row>
    <row r="3039" spans="1:99" x14ac:dyDescent="0.2">
      <c r="A3039" t="s">
        <v>367</v>
      </c>
      <c r="B3039" t="s">
        <v>368</v>
      </c>
      <c r="C3039" t="s">
        <v>369</v>
      </c>
      <c r="D3039" t="s">
        <v>1210</v>
      </c>
      <c r="F3039" t="str">
        <f>"11964"</f>
        <v>11964</v>
      </c>
      <c r="G3039" t="s">
        <v>49</v>
      </c>
      <c r="H3039" t="s">
        <v>1211</v>
      </c>
      <c r="K3039" t="s">
        <v>51</v>
      </c>
      <c r="L3039" t="s">
        <v>52</v>
      </c>
      <c r="M3039">
        <v>138155.22</v>
      </c>
      <c r="N3039">
        <v>467957.79</v>
      </c>
      <c r="O3039" t="s">
        <v>53</v>
      </c>
      <c r="P3039" t="s">
        <v>54</v>
      </c>
      <c r="Q3039" t="s">
        <v>55</v>
      </c>
      <c r="T3039" t="s">
        <v>83</v>
      </c>
      <c r="U3039">
        <v>40</v>
      </c>
      <c r="V3039" s="1">
        <v>24107</v>
      </c>
      <c r="W3039" s="1">
        <v>24107</v>
      </c>
      <c r="X3039" s="1">
        <v>24107</v>
      </c>
      <c r="Y3039" s="1">
        <v>38717</v>
      </c>
      <c r="Z3039" t="s">
        <v>51</v>
      </c>
      <c r="AB3039" t="s">
        <v>54</v>
      </c>
      <c r="AC3039">
        <v>1</v>
      </c>
      <c r="AE3039" t="s">
        <v>1212</v>
      </c>
      <c r="AF3039">
        <v>20</v>
      </c>
      <c r="AG3039" s="1">
        <v>31777</v>
      </c>
      <c r="AH3039" s="1">
        <v>31777</v>
      </c>
      <c r="AI3039" s="1">
        <v>31777</v>
      </c>
      <c r="AJ3039" s="1">
        <v>39082</v>
      </c>
      <c r="AK3039" t="s">
        <v>51</v>
      </c>
      <c r="AN3039">
        <v>0</v>
      </c>
      <c r="AO3039" t="s">
        <v>54</v>
      </c>
      <c r="AP3039" t="s">
        <v>53</v>
      </c>
      <c r="AQ3039">
        <v>0</v>
      </c>
      <c r="AR3039" t="s">
        <v>53</v>
      </c>
      <c r="AS3039">
        <v>0</v>
      </c>
      <c r="AT3039">
        <v>0</v>
      </c>
      <c r="AW3039" t="s">
        <v>58</v>
      </c>
      <c r="AX3039">
        <v>20</v>
      </c>
      <c r="AY3039" s="1">
        <v>31777</v>
      </c>
      <c r="AZ3039" s="1">
        <v>31777</v>
      </c>
      <c r="BA3039" s="1">
        <v>31777</v>
      </c>
      <c r="BB3039" s="1">
        <v>39082</v>
      </c>
      <c r="BC3039" t="s">
        <v>51</v>
      </c>
      <c r="BE3039" t="s">
        <v>54</v>
      </c>
      <c r="BF3039">
        <v>2</v>
      </c>
      <c r="BG3039">
        <v>0</v>
      </c>
      <c r="BH3039" t="s">
        <v>53</v>
      </c>
      <c r="BK3039" t="s">
        <v>720</v>
      </c>
      <c r="BL3039">
        <v>17000</v>
      </c>
      <c r="BM3039" s="1">
        <v>42552</v>
      </c>
      <c r="BN3039" s="1">
        <v>42552</v>
      </c>
      <c r="BO3039" s="1">
        <v>42552</v>
      </c>
      <c r="BP3039" s="1">
        <v>43974</v>
      </c>
      <c r="BQ3039" t="s">
        <v>51</v>
      </c>
      <c r="BS3039" t="s">
        <v>60</v>
      </c>
      <c r="BT3039" t="s">
        <v>54</v>
      </c>
      <c r="BU3039" t="s">
        <v>721</v>
      </c>
      <c r="BV3039" t="s">
        <v>722</v>
      </c>
      <c r="BX3039">
        <v>18</v>
      </c>
      <c r="BY3039">
        <v>0</v>
      </c>
      <c r="BZ3039">
        <v>0</v>
      </c>
    </row>
    <row r="3040" spans="1:99" x14ac:dyDescent="0.2">
      <c r="A3040" t="s">
        <v>367</v>
      </c>
      <c r="B3040" t="s">
        <v>368</v>
      </c>
      <c r="C3040" t="s">
        <v>369</v>
      </c>
      <c r="D3040" t="s">
        <v>1213</v>
      </c>
      <c r="F3040" t="str">
        <f>"17268"</f>
        <v>17268</v>
      </c>
      <c r="G3040" t="s">
        <v>49</v>
      </c>
      <c r="H3040" t="s">
        <v>1214</v>
      </c>
      <c r="K3040" t="s">
        <v>51</v>
      </c>
      <c r="L3040" t="s">
        <v>52</v>
      </c>
      <c r="M3040">
        <v>138299.75</v>
      </c>
      <c r="N3040">
        <v>467805.56</v>
      </c>
      <c r="O3040" t="s">
        <v>53</v>
      </c>
      <c r="P3040" t="s">
        <v>54</v>
      </c>
      <c r="Q3040" t="s">
        <v>55</v>
      </c>
      <c r="T3040" t="s">
        <v>183</v>
      </c>
      <c r="U3040">
        <v>40</v>
      </c>
      <c r="V3040" s="1">
        <v>24472</v>
      </c>
      <c r="W3040" s="1">
        <v>24472</v>
      </c>
      <c r="X3040" s="1">
        <v>24472</v>
      </c>
      <c r="Y3040" s="1">
        <v>39082</v>
      </c>
      <c r="Z3040" t="s">
        <v>51</v>
      </c>
      <c r="AB3040" t="s">
        <v>54</v>
      </c>
      <c r="AC3040">
        <v>1</v>
      </c>
      <c r="AE3040" t="s">
        <v>1212</v>
      </c>
      <c r="AF3040">
        <v>20</v>
      </c>
      <c r="AG3040" s="1">
        <v>31777</v>
      </c>
      <c r="AH3040" s="1">
        <v>31777</v>
      </c>
      <c r="AI3040" s="1">
        <v>31777</v>
      </c>
      <c r="AJ3040" s="1">
        <v>39082</v>
      </c>
      <c r="AK3040" t="s">
        <v>51</v>
      </c>
      <c r="AN3040">
        <v>0</v>
      </c>
      <c r="AO3040" t="s">
        <v>54</v>
      </c>
      <c r="AP3040" t="s">
        <v>53</v>
      </c>
      <c r="AQ3040">
        <v>0</v>
      </c>
      <c r="AR3040" t="s">
        <v>53</v>
      </c>
      <c r="AS3040">
        <v>0</v>
      </c>
      <c r="AT3040">
        <v>0</v>
      </c>
      <c r="AW3040" t="s">
        <v>58</v>
      </c>
      <c r="AX3040">
        <v>20</v>
      </c>
      <c r="AY3040" s="1">
        <v>31777</v>
      </c>
      <c r="AZ3040" s="1">
        <v>31777</v>
      </c>
      <c r="BA3040" s="1">
        <v>31777</v>
      </c>
      <c r="BB3040" s="1">
        <v>39082</v>
      </c>
      <c r="BC3040" t="s">
        <v>51</v>
      </c>
      <c r="BE3040" t="s">
        <v>54</v>
      </c>
      <c r="BF3040">
        <v>2</v>
      </c>
      <c r="BG3040">
        <v>0</v>
      </c>
      <c r="BH3040" t="s">
        <v>53</v>
      </c>
      <c r="BK3040" t="s">
        <v>720</v>
      </c>
      <c r="BL3040">
        <v>17000</v>
      </c>
      <c r="BM3040" s="1">
        <v>44172</v>
      </c>
      <c r="BN3040" s="1">
        <v>44172</v>
      </c>
      <c r="BO3040" s="1">
        <v>44172</v>
      </c>
      <c r="BP3040" s="1">
        <v>45614</v>
      </c>
      <c r="BQ3040" t="s">
        <v>51</v>
      </c>
      <c r="BS3040" t="s">
        <v>60</v>
      </c>
      <c r="BT3040" t="s">
        <v>54</v>
      </c>
      <c r="BU3040" t="s">
        <v>721</v>
      </c>
      <c r="BV3040" t="s">
        <v>722</v>
      </c>
      <c r="BX3040">
        <v>18</v>
      </c>
      <c r="BY3040">
        <v>0</v>
      </c>
      <c r="BZ3040">
        <v>0</v>
      </c>
    </row>
    <row r="3041" spans="1:99" x14ac:dyDescent="0.2">
      <c r="A3041" t="s">
        <v>367</v>
      </c>
      <c r="B3041" t="s">
        <v>368</v>
      </c>
      <c r="C3041" t="s">
        <v>369</v>
      </c>
      <c r="D3041" t="s">
        <v>1215</v>
      </c>
      <c r="F3041" t="str">
        <f>"17280"</f>
        <v>17280</v>
      </c>
      <c r="G3041" t="s">
        <v>49</v>
      </c>
      <c r="H3041" t="s">
        <v>1216</v>
      </c>
      <c r="K3041" t="s">
        <v>51</v>
      </c>
      <c r="L3041" t="s">
        <v>52</v>
      </c>
      <c r="M3041">
        <v>138311.49</v>
      </c>
      <c r="N3041">
        <v>468112.96</v>
      </c>
      <c r="O3041" t="s">
        <v>53</v>
      </c>
      <c r="P3041" t="s">
        <v>54</v>
      </c>
      <c r="Q3041" t="s">
        <v>55</v>
      </c>
      <c r="T3041" t="s">
        <v>83</v>
      </c>
      <c r="U3041">
        <v>40</v>
      </c>
      <c r="V3041" s="1">
        <v>22281</v>
      </c>
      <c r="W3041" s="1">
        <v>22281</v>
      </c>
      <c r="X3041" s="1">
        <v>22281</v>
      </c>
      <c r="Y3041" s="1">
        <v>36891</v>
      </c>
      <c r="Z3041" t="s">
        <v>51</v>
      </c>
      <c r="AB3041" t="s">
        <v>54</v>
      </c>
      <c r="AC3041">
        <v>1</v>
      </c>
      <c r="AE3041" t="s">
        <v>1212</v>
      </c>
      <c r="AF3041">
        <v>20</v>
      </c>
      <c r="AG3041" s="1">
        <v>31777</v>
      </c>
      <c r="AH3041" s="1">
        <v>31777</v>
      </c>
      <c r="AI3041" s="1">
        <v>31777</v>
      </c>
      <c r="AJ3041" s="1">
        <v>39082</v>
      </c>
      <c r="AK3041" t="s">
        <v>51</v>
      </c>
      <c r="AN3041">
        <v>0</v>
      </c>
      <c r="AO3041" t="s">
        <v>54</v>
      </c>
      <c r="AP3041" t="s">
        <v>53</v>
      </c>
      <c r="AQ3041">
        <v>0</v>
      </c>
      <c r="AR3041" t="s">
        <v>53</v>
      </c>
      <c r="AS3041">
        <v>0</v>
      </c>
      <c r="AT3041">
        <v>0</v>
      </c>
      <c r="CC3041" t="s">
        <v>850</v>
      </c>
      <c r="CD3041">
        <v>1</v>
      </c>
      <c r="CE3041" s="1">
        <v>43838</v>
      </c>
      <c r="CF3041" s="1">
        <v>43838</v>
      </c>
      <c r="CG3041" s="1">
        <v>43838</v>
      </c>
      <c r="CH3041" s="1">
        <v>51051</v>
      </c>
      <c r="CI3041" t="s">
        <v>51</v>
      </c>
      <c r="CK3041" t="s">
        <v>78</v>
      </c>
      <c r="CM3041" t="s">
        <v>54</v>
      </c>
      <c r="CN3041" t="s">
        <v>174</v>
      </c>
      <c r="CO3041" t="s">
        <v>86</v>
      </c>
      <c r="CR3041">
        <v>18</v>
      </c>
      <c r="CS3041">
        <v>0</v>
      </c>
      <c r="CT3041">
        <v>0</v>
      </c>
      <c r="CU3041">
        <v>0</v>
      </c>
    </row>
    <row r="3042" spans="1:99" x14ac:dyDescent="0.2">
      <c r="A3042" t="s">
        <v>367</v>
      </c>
      <c r="B3042" t="s">
        <v>368</v>
      </c>
      <c r="C3042" t="s">
        <v>369</v>
      </c>
      <c r="D3042" t="s">
        <v>1215</v>
      </c>
      <c r="F3042" t="str">
        <f>"17296"</f>
        <v>17296</v>
      </c>
      <c r="G3042" t="s">
        <v>49</v>
      </c>
      <c r="H3042" t="s">
        <v>1217</v>
      </c>
      <c r="K3042" t="s">
        <v>51</v>
      </c>
      <c r="L3042" t="s">
        <v>52</v>
      </c>
      <c r="M3042">
        <v>138427.19</v>
      </c>
      <c r="N3042">
        <v>468120.45</v>
      </c>
      <c r="O3042" t="s">
        <v>53</v>
      </c>
      <c r="P3042" t="s">
        <v>54</v>
      </c>
      <c r="Q3042" t="s">
        <v>55</v>
      </c>
      <c r="T3042" t="s">
        <v>841</v>
      </c>
      <c r="U3042">
        <v>40</v>
      </c>
      <c r="V3042" s="1">
        <v>27759</v>
      </c>
      <c r="W3042" s="1">
        <v>27759</v>
      </c>
      <c r="X3042" s="1">
        <v>27759</v>
      </c>
      <c r="Y3042" s="1">
        <v>42369</v>
      </c>
      <c r="Z3042" t="s">
        <v>51</v>
      </c>
      <c r="AB3042" t="s">
        <v>54</v>
      </c>
      <c r="AC3042">
        <v>1</v>
      </c>
      <c r="AE3042" t="s">
        <v>1212</v>
      </c>
      <c r="AF3042">
        <v>20</v>
      </c>
      <c r="AG3042" s="1">
        <v>31777</v>
      </c>
      <c r="AH3042" s="1">
        <v>31777</v>
      </c>
      <c r="AI3042" s="1">
        <v>31777</v>
      </c>
      <c r="AJ3042" s="1">
        <v>39082</v>
      </c>
      <c r="AK3042" t="s">
        <v>51</v>
      </c>
      <c r="AN3042">
        <v>0</v>
      </c>
      <c r="AO3042" t="s">
        <v>54</v>
      </c>
      <c r="AP3042" t="s">
        <v>53</v>
      </c>
      <c r="AQ3042">
        <v>0</v>
      </c>
      <c r="AR3042" t="s">
        <v>53</v>
      </c>
      <c r="AS3042">
        <v>0</v>
      </c>
      <c r="AT3042">
        <v>0</v>
      </c>
      <c r="CC3042" t="s">
        <v>850</v>
      </c>
      <c r="CD3042">
        <v>1</v>
      </c>
      <c r="CE3042" s="1">
        <v>42552</v>
      </c>
      <c r="CF3042" s="1">
        <v>42552</v>
      </c>
      <c r="CG3042" s="1">
        <v>42552</v>
      </c>
      <c r="CH3042" s="1">
        <v>49714</v>
      </c>
      <c r="CI3042" t="s">
        <v>51</v>
      </c>
      <c r="CK3042" t="s">
        <v>78</v>
      </c>
      <c r="CM3042" t="s">
        <v>54</v>
      </c>
      <c r="CN3042" t="s">
        <v>174</v>
      </c>
      <c r="CO3042" t="s">
        <v>86</v>
      </c>
      <c r="CR3042">
        <v>18</v>
      </c>
      <c r="CS3042">
        <v>0</v>
      </c>
      <c r="CT3042">
        <v>0</v>
      </c>
      <c r="CU3042">
        <v>0</v>
      </c>
    </row>
    <row r="3043" spans="1:99" x14ac:dyDescent="0.2">
      <c r="A3043" t="s">
        <v>367</v>
      </c>
      <c r="B3043" t="s">
        <v>368</v>
      </c>
      <c r="C3043" t="s">
        <v>369</v>
      </c>
      <c r="D3043" t="s">
        <v>1215</v>
      </c>
      <c r="F3043" t="str">
        <f>"17297"</f>
        <v>17297</v>
      </c>
      <c r="G3043" t="s">
        <v>49</v>
      </c>
      <c r="H3043" t="s">
        <v>291</v>
      </c>
      <c r="K3043" t="s">
        <v>51</v>
      </c>
      <c r="L3043" t="s">
        <v>52</v>
      </c>
      <c r="M3043">
        <v>138400.1</v>
      </c>
      <c r="N3043">
        <v>468122.11</v>
      </c>
      <c r="O3043" t="s">
        <v>53</v>
      </c>
      <c r="P3043" t="s">
        <v>54</v>
      </c>
      <c r="Q3043" t="s">
        <v>55</v>
      </c>
      <c r="T3043" t="s">
        <v>83</v>
      </c>
      <c r="U3043">
        <v>40</v>
      </c>
      <c r="V3043" s="1">
        <v>22281</v>
      </c>
      <c r="W3043" s="1">
        <v>22281</v>
      </c>
      <c r="X3043" s="1">
        <v>22281</v>
      </c>
      <c r="Y3043" s="1">
        <v>36891</v>
      </c>
      <c r="Z3043" t="s">
        <v>51</v>
      </c>
      <c r="AB3043" t="s">
        <v>54</v>
      </c>
      <c r="AC3043">
        <v>1</v>
      </c>
      <c r="AE3043" t="s">
        <v>1212</v>
      </c>
      <c r="AF3043">
        <v>20</v>
      </c>
      <c r="AG3043" s="1">
        <v>31777</v>
      </c>
      <c r="AH3043" s="1">
        <v>31777</v>
      </c>
      <c r="AI3043" s="1">
        <v>31777</v>
      </c>
      <c r="AJ3043" s="1">
        <v>39082</v>
      </c>
      <c r="AK3043" t="s">
        <v>51</v>
      </c>
      <c r="AN3043">
        <v>0</v>
      </c>
      <c r="AO3043" t="s">
        <v>54</v>
      </c>
      <c r="AP3043" t="s">
        <v>53</v>
      </c>
      <c r="AQ3043">
        <v>0</v>
      </c>
      <c r="AR3043" t="s">
        <v>53</v>
      </c>
      <c r="AS3043">
        <v>0</v>
      </c>
      <c r="AT3043">
        <v>0</v>
      </c>
      <c r="CC3043" t="s">
        <v>850</v>
      </c>
      <c r="CD3043">
        <v>1</v>
      </c>
      <c r="CE3043" s="1">
        <v>44627</v>
      </c>
      <c r="CF3043" s="1">
        <v>44627</v>
      </c>
      <c r="CG3043" s="1">
        <v>44627</v>
      </c>
      <c r="CH3043" s="1">
        <v>51839</v>
      </c>
      <c r="CI3043" t="s">
        <v>51</v>
      </c>
      <c r="CK3043" t="s">
        <v>78</v>
      </c>
      <c r="CM3043" t="s">
        <v>54</v>
      </c>
      <c r="CN3043" t="s">
        <v>174</v>
      </c>
      <c r="CO3043" t="s">
        <v>86</v>
      </c>
      <c r="CR3043">
        <v>18</v>
      </c>
      <c r="CS3043">
        <v>0</v>
      </c>
      <c r="CT3043">
        <v>0</v>
      </c>
      <c r="CU3043">
        <v>0</v>
      </c>
    </row>
    <row r="3044" spans="1:99" x14ac:dyDescent="0.2">
      <c r="A3044" t="s">
        <v>367</v>
      </c>
      <c r="B3044" t="s">
        <v>368</v>
      </c>
      <c r="C3044" t="s">
        <v>369</v>
      </c>
      <c r="D3044" t="s">
        <v>1215</v>
      </c>
      <c r="F3044" t="str">
        <f>"17298"</f>
        <v>17298</v>
      </c>
      <c r="G3044" t="s">
        <v>49</v>
      </c>
      <c r="H3044" t="s">
        <v>1218</v>
      </c>
      <c r="K3044" t="s">
        <v>51</v>
      </c>
      <c r="L3044" t="s">
        <v>52</v>
      </c>
      <c r="M3044">
        <v>138380.35999999999</v>
      </c>
      <c r="N3044">
        <v>468116.65</v>
      </c>
      <c r="O3044" t="s">
        <v>53</v>
      </c>
      <c r="P3044" t="s">
        <v>54</v>
      </c>
      <c r="Q3044" t="s">
        <v>55</v>
      </c>
      <c r="T3044" t="s">
        <v>83</v>
      </c>
      <c r="U3044">
        <v>40</v>
      </c>
      <c r="V3044" s="1">
        <v>22281</v>
      </c>
      <c r="W3044" s="1">
        <v>22281</v>
      </c>
      <c r="X3044" s="1">
        <v>22281</v>
      </c>
      <c r="Y3044" s="1">
        <v>36891</v>
      </c>
      <c r="Z3044" t="s">
        <v>51</v>
      </c>
      <c r="AB3044" t="s">
        <v>54</v>
      </c>
      <c r="AC3044">
        <v>1</v>
      </c>
      <c r="AE3044" t="s">
        <v>1212</v>
      </c>
      <c r="AF3044">
        <v>20</v>
      </c>
      <c r="AG3044" s="1">
        <v>34621</v>
      </c>
      <c r="AH3044" s="1">
        <v>34621</v>
      </c>
      <c r="AI3044" s="1">
        <v>34621</v>
      </c>
      <c r="AJ3044" s="1">
        <v>41926</v>
      </c>
      <c r="AK3044" t="s">
        <v>51</v>
      </c>
      <c r="AN3044">
        <v>0</v>
      </c>
      <c r="AO3044" t="s">
        <v>54</v>
      </c>
      <c r="AP3044" t="s">
        <v>53</v>
      </c>
      <c r="AQ3044">
        <v>0</v>
      </c>
      <c r="AR3044" t="s">
        <v>53</v>
      </c>
      <c r="AS3044">
        <v>0</v>
      </c>
      <c r="AT3044">
        <v>0</v>
      </c>
      <c r="CC3044" t="s">
        <v>850</v>
      </c>
      <c r="CD3044">
        <v>1</v>
      </c>
      <c r="CE3044" s="1">
        <v>44130</v>
      </c>
      <c r="CF3044" s="1">
        <v>44130</v>
      </c>
      <c r="CG3044" s="1">
        <v>44130</v>
      </c>
      <c r="CH3044" s="1">
        <v>51290</v>
      </c>
      <c r="CI3044" t="s">
        <v>51</v>
      </c>
      <c r="CK3044" t="s">
        <v>78</v>
      </c>
      <c r="CM3044" t="s">
        <v>54</v>
      </c>
      <c r="CN3044" t="s">
        <v>174</v>
      </c>
      <c r="CO3044" t="s">
        <v>86</v>
      </c>
      <c r="CR3044">
        <v>18</v>
      </c>
      <c r="CS3044">
        <v>0</v>
      </c>
      <c r="CT3044">
        <v>0</v>
      </c>
      <c r="CU3044">
        <v>0</v>
      </c>
    </row>
    <row r="3045" spans="1:99" x14ac:dyDescent="0.2">
      <c r="A3045" t="s">
        <v>367</v>
      </c>
      <c r="B3045" t="s">
        <v>368</v>
      </c>
      <c r="C3045" t="s">
        <v>369</v>
      </c>
      <c r="D3045" t="s">
        <v>1215</v>
      </c>
      <c r="F3045" t="str">
        <f>"17299"</f>
        <v>17299</v>
      </c>
      <c r="G3045" t="s">
        <v>49</v>
      </c>
      <c r="H3045" t="s">
        <v>1219</v>
      </c>
      <c r="K3045" t="s">
        <v>51</v>
      </c>
      <c r="L3045" t="s">
        <v>52</v>
      </c>
      <c r="M3045">
        <v>138347.34</v>
      </c>
      <c r="N3045">
        <v>468105.34</v>
      </c>
      <c r="O3045" t="s">
        <v>53</v>
      </c>
      <c r="P3045" t="s">
        <v>54</v>
      </c>
      <c r="Q3045" t="s">
        <v>55</v>
      </c>
      <c r="T3045" t="s">
        <v>83</v>
      </c>
      <c r="U3045">
        <v>40</v>
      </c>
      <c r="V3045" s="1">
        <v>22281</v>
      </c>
      <c r="W3045" s="1">
        <v>22281</v>
      </c>
      <c r="X3045" s="1">
        <v>22281</v>
      </c>
      <c r="Y3045" s="1">
        <v>36891</v>
      </c>
      <c r="Z3045" t="s">
        <v>51</v>
      </c>
      <c r="AB3045" t="s">
        <v>54</v>
      </c>
      <c r="AC3045">
        <v>1</v>
      </c>
      <c r="AE3045" t="s">
        <v>1212</v>
      </c>
      <c r="AF3045">
        <v>20</v>
      </c>
      <c r="AG3045" s="1">
        <v>31777</v>
      </c>
      <c r="AH3045" s="1">
        <v>31777</v>
      </c>
      <c r="AI3045" s="1">
        <v>31777</v>
      </c>
      <c r="AJ3045" s="1">
        <v>39082</v>
      </c>
      <c r="AK3045" t="s">
        <v>51</v>
      </c>
      <c r="AN3045">
        <v>0</v>
      </c>
      <c r="AO3045" t="s">
        <v>54</v>
      </c>
      <c r="AP3045" t="s">
        <v>53</v>
      </c>
      <c r="AQ3045">
        <v>0</v>
      </c>
      <c r="AR3045" t="s">
        <v>53</v>
      </c>
      <c r="AS3045">
        <v>0</v>
      </c>
      <c r="AT3045">
        <v>0</v>
      </c>
      <c r="CC3045" t="s">
        <v>850</v>
      </c>
      <c r="CD3045">
        <v>1</v>
      </c>
      <c r="CE3045" s="1">
        <v>44130</v>
      </c>
      <c r="CF3045" s="1">
        <v>44130</v>
      </c>
      <c r="CG3045" s="1">
        <v>44130</v>
      </c>
      <c r="CH3045" s="1">
        <v>51290</v>
      </c>
      <c r="CI3045" t="s">
        <v>51</v>
      </c>
      <c r="CK3045" t="s">
        <v>78</v>
      </c>
      <c r="CM3045" t="s">
        <v>54</v>
      </c>
      <c r="CN3045" t="s">
        <v>174</v>
      </c>
      <c r="CO3045" t="s">
        <v>86</v>
      </c>
      <c r="CR3045">
        <v>18</v>
      </c>
      <c r="CS3045">
        <v>0</v>
      </c>
      <c r="CT3045">
        <v>0</v>
      </c>
      <c r="CU3045">
        <v>0</v>
      </c>
    </row>
    <row r="3046" spans="1:99" x14ac:dyDescent="0.2">
      <c r="A3046" t="s">
        <v>367</v>
      </c>
      <c r="B3046" t="s">
        <v>368</v>
      </c>
      <c r="C3046" t="s">
        <v>369</v>
      </c>
      <c r="D3046" t="s">
        <v>1215</v>
      </c>
      <c r="F3046" t="str">
        <f>"21298"</f>
        <v>21298</v>
      </c>
      <c r="G3046" t="s">
        <v>49</v>
      </c>
      <c r="H3046" t="s">
        <v>1220</v>
      </c>
      <c r="K3046" t="s">
        <v>51</v>
      </c>
      <c r="L3046" t="s">
        <v>52</v>
      </c>
      <c r="M3046">
        <v>138276.78</v>
      </c>
      <c r="N3046">
        <v>468105.06</v>
      </c>
      <c r="O3046" t="s">
        <v>53</v>
      </c>
      <c r="P3046" t="s">
        <v>54</v>
      </c>
      <c r="Q3046" t="s">
        <v>55</v>
      </c>
      <c r="T3046" t="s">
        <v>83</v>
      </c>
      <c r="U3046">
        <v>40</v>
      </c>
      <c r="V3046" s="1">
        <v>22281</v>
      </c>
      <c r="W3046" s="1">
        <v>22281</v>
      </c>
      <c r="X3046" s="1">
        <v>22281</v>
      </c>
      <c r="Y3046" s="1">
        <v>36891</v>
      </c>
      <c r="Z3046" t="s">
        <v>51</v>
      </c>
      <c r="AB3046" t="s">
        <v>54</v>
      </c>
      <c r="AC3046">
        <v>1</v>
      </c>
      <c r="AE3046" t="s">
        <v>1212</v>
      </c>
      <c r="AF3046">
        <v>20</v>
      </c>
      <c r="AG3046" s="1">
        <v>31777</v>
      </c>
      <c r="AH3046" s="1">
        <v>31777</v>
      </c>
      <c r="AI3046" s="1">
        <v>31777</v>
      </c>
      <c r="AJ3046" s="1">
        <v>39082</v>
      </c>
      <c r="AK3046" t="s">
        <v>51</v>
      </c>
      <c r="AN3046">
        <v>0</v>
      </c>
      <c r="AO3046" t="s">
        <v>54</v>
      </c>
      <c r="AP3046" t="s">
        <v>53</v>
      </c>
      <c r="AQ3046">
        <v>0</v>
      </c>
      <c r="AR3046" t="s">
        <v>53</v>
      </c>
      <c r="AS3046">
        <v>0</v>
      </c>
      <c r="AT3046">
        <v>0</v>
      </c>
      <c r="CC3046" t="s">
        <v>850</v>
      </c>
      <c r="CD3046">
        <v>1</v>
      </c>
      <c r="CE3046" s="1">
        <v>43528</v>
      </c>
      <c r="CF3046" s="1">
        <v>43528</v>
      </c>
      <c r="CG3046" s="1">
        <v>43528</v>
      </c>
      <c r="CH3046" s="1">
        <v>50742</v>
      </c>
      <c r="CI3046" t="s">
        <v>51</v>
      </c>
      <c r="CK3046" t="s">
        <v>78</v>
      </c>
      <c r="CM3046" t="s">
        <v>54</v>
      </c>
      <c r="CN3046" t="s">
        <v>174</v>
      </c>
      <c r="CO3046" t="s">
        <v>86</v>
      </c>
      <c r="CR3046">
        <v>18</v>
      </c>
      <c r="CS3046">
        <v>0</v>
      </c>
      <c r="CT3046">
        <v>0</v>
      </c>
      <c r="CU3046">
        <v>0</v>
      </c>
    </row>
    <row r="3047" spans="1:99" x14ac:dyDescent="0.2">
      <c r="A3047" t="s">
        <v>367</v>
      </c>
      <c r="B3047" t="s">
        <v>368</v>
      </c>
      <c r="C3047" t="s">
        <v>369</v>
      </c>
      <c r="D3047" t="s">
        <v>1215</v>
      </c>
      <c r="F3047" t="str">
        <f>"21299"</f>
        <v>21299</v>
      </c>
      <c r="G3047" t="s">
        <v>49</v>
      </c>
      <c r="H3047" t="s">
        <v>1221</v>
      </c>
      <c r="K3047" t="s">
        <v>51</v>
      </c>
      <c r="L3047" t="s">
        <v>52</v>
      </c>
      <c r="M3047">
        <v>138188.47</v>
      </c>
      <c r="N3047">
        <v>468109.1</v>
      </c>
      <c r="O3047" t="s">
        <v>53</v>
      </c>
      <c r="P3047" t="s">
        <v>54</v>
      </c>
      <c r="Q3047" t="s">
        <v>55</v>
      </c>
      <c r="T3047" t="s">
        <v>83</v>
      </c>
      <c r="U3047">
        <v>40</v>
      </c>
      <c r="V3047" s="1">
        <v>22281</v>
      </c>
      <c r="W3047" s="1">
        <v>22281</v>
      </c>
      <c r="X3047" s="1">
        <v>22281</v>
      </c>
      <c r="Y3047" s="1">
        <v>36891</v>
      </c>
      <c r="Z3047" t="s">
        <v>51</v>
      </c>
      <c r="AB3047" t="s">
        <v>54</v>
      </c>
      <c r="AC3047">
        <v>1</v>
      </c>
      <c r="AE3047" t="s">
        <v>1212</v>
      </c>
      <c r="AF3047">
        <v>20</v>
      </c>
      <c r="AG3047" s="1">
        <v>34621</v>
      </c>
      <c r="AH3047" s="1">
        <v>34621</v>
      </c>
      <c r="AI3047" s="1">
        <v>34621</v>
      </c>
      <c r="AJ3047" s="1">
        <v>41926</v>
      </c>
      <c r="AK3047" t="s">
        <v>51</v>
      </c>
      <c r="AN3047">
        <v>0</v>
      </c>
      <c r="AO3047" t="s">
        <v>54</v>
      </c>
      <c r="AP3047" t="s">
        <v>53</v>
      </c>
      <c r="AQ3047">
        <v>0</v>
      </c>
      <c r="AR3047" t="s">
        <v>53</v>
      </c>
      <c r="AS3047">
        <v>0</v>
      </c>
      <c r="AT3047">
        <v>0</v>
      </c>
      <c r="CC3047" t="s">
        <v>850</v>
      </c>
      <c r="CD3047">
        <v>1</v>
      </c>
      <c r="CE3047" s="1">
        <v>42552</v>
      </c>
      <c r="CF3047" s="1">
        <v>42552</v>
      </c>
      <c r="CG3047" s="1">
        <v>42552</v>
      </c>
      <c r="CH3047" s="1">
        <v>49714</v>
      </c>
      <c r="CI3047" t="s">
        <v>51</v>
      </c>
      <c r="CK3047" t="s">
        <v>78</v>
      </c>
      <c r="CM3047" t="s">
        <v>54</v>
      </c>
      <c r="CN3047" t="s">
        <v>174</v>
      </c>
      <c r="CO3047" t="s">
        <v>86</v>
      </c>
      <c r="CR3047">
        <v>18</v>
      </c>
      <c r="CS3047">
        <v>0</v>
      </c>
      <c r="CT3047">
        <v>0</v>
      </c>
      <c r="CU3047">
        <v>0</v>
      </c>
    </row>
    <row r="3048" spans="1:99" x14ac:dyDescent="0.2">
      <c r="A3048" t="s">
        <v>367</v>
      </c>
      <c r="B3048" t="s">
        <v>368</v>
      </c>
      <c r="C3048" t="s">
        <v>369</v>
      </c>
      <c r="D3048" t="s">
        <v>1222</v>
      </c>
      <c r="F3048" t="str">
        <f>"22784"</f>
        <v>22784</v>
      </c>
      <c r="G3048" t="s">
        <v>49</v>
      </c>
      <c r="H3048" t="s">
        <v>1223</v>
      </c>
      <c r="K3048" t="s">
        <v>51</v>
      </c>
      <c r="L3048" t="s">
        <v>52</v>
      </c>
      <c r="M3048">
        <v>137838.85999999999</v>
      </c>
      <c r="N3048">
        <v>468127.99</v>
      </c>
      <c r="O3048" t="s">
        <v>53</v>
      </c>
      <c r="P3048" t="s">
        <v>54</v>
      </c>
      <c r="Q3048" t="s">
        <v>55</v>
      </c>
      <c r="T3048" t="s">
        <v>841</v>
      </c>
      <c r="U3048">
        <v>40</v>
      </c>
      <c r="V3048" s="1">
        <v>27759</v>
      </c>
      <c r="W3048" s="1">
        <v>27759</v>
      </c>
      <c r="X3048" s="1">
        <v>27759</v>
      </c>
      <c r="Y3048" s="1">
        <v>42369</v>
      </c>
      <c r="Z3048" t="s">
        <v>51</v>
      </c>
      <c r="AB3048" t="s">
        <v>54</v>
      </c>
      <c r="AC3048">
        <v>1</v>
      </c>
      <c r="AE3048" t="s">
        <v>356</v>
      </c>
      <c r="AF3048">
        <v>20</v>
      </c>
      <c r="AG3048" s="1">
        <v>44305</v>
      </c>
      <c r="AH3048" s="1">
        <v>44305</v>
      </c>
      <c r="AI3048" s="1">
        <v>44305</v>
      </c>
      <c r="AJ3048" s="1">
        <v>51610</v>
      </c>
      <c r="AK3048" t="s">
        <v>51</v>
      </c>
      <c r="AN3048">
        <v>0</v>
      </c>
      <c r="AO3048" t="s">
        <v>54</v>
      </c>
      <c r="AP3048" t="s">
        <v>53</v>
      </c>
      <c r="AQ3048">
        <v>0</v>
      </c>
      <c r="AR3048" t="s">
        <v>145</v>
      </c>
      <c r="AS3048">
        <v>0</v>
      </c>
      <c r="AT3048">
        <v>0</v>
      </c>
      <c r="CC3048" t="s">
        <v>850</v>
      </c>
      <c r="CD3048">
        <v>1</v>
      </c>
      <c r="CE3048" s="1">
        <v>42552</v>
      </c>
      <c r="CF3048" s="1">
        <v>42552</v>
      </c>
      <c r="CG3048" s="1">
        <v>44305</v>
      </c>
      <c r="CH3048" s="1">
        <v>49714</v>
      </c>
      <c r="CI3048" t="s">
        <v>51</v>
      </c>
      <c r="CK3048" t="s">
        <v>78</v>
      </c>
      <c r="CM3048" t="s">
        <v>54</v>
      </c>
      <c r="CN3048" t="s">
        <v>174</v>
      </c>
      <c r="CO3048" t="s">
        <v>86</v>
      </c>
      <c r="CR3048">
        <v>18</v>
      </c>
      <c r="CS3048">
        <v>0</v>
      </c>
      <c r="CT3048">
        <v>0</v>
      </c>
      <c r="CU3048">
        <v>0</v>
      </c>
    </row>
    <row r="3049" spans="1:99" x14ac:dyDescent="0.2">
      <c r="A3049" t="s">
        <v>367</v>
      </c>
      <c r="B3049" t="s">
        <v>368</v>
      </c>
      <c r="C3049" t="s">
        <v>369</v>
      </c>
      <c r="D3049" t="s">
        <v>1224</v>
      </c>
      <c r="F3049" t="str">
        <f>"22785"</f>
        <v>22785</v>
      </c>
      <c r="G3049" t="s">
        <v>49</v>
      </c>
      <c r="H3049" t="s">
        <v>1225</v>
      </c>
      <c r="K3049" t="s">
        <v>51</v>
      </c>
      <c r="L3049" t="s">
        <v>52</v>
      </c>
      <c r="M3049">
        <v>137756.26</v>
      </c>
      <c r="N3049">
        <v>468189.73</v>
      </c>
      <c r="O3049" t="s">
        <v>53</v>
      </c>
      <c r="P3049" t="s">
        <v>54</v>
      </c>
      <c r="Q3049" t="s">
        <v>55</v>
      </c>
      <c r="T3049" t="s">
        <v>841</v>
      </c>
      <c r="U3049">
        <v>40</v>
      </c>
      <c r="V3049" s="1">
        <v>27759</v>
      </c>
      <c r="W3049" s="1">
        <v>27759</v>
      </c>
      <c r="X3049" s="1">
        <v>27759</v>
      </c>
      <c r="Y3049" s="1">
        <v>42369</v>
      </c>
      <c r="Z3049" t="s">
        <v>51</v>
      </c>
      <c r="AB3049" t="s">
        <v>54</v>
      </c>
      <c r="AC3049">
        <v>1</v>
      </c>
      <c r="AE3049" t="s">
        <v>1212</v>
      </c>
      <c r="AF3049">
        <v>20</v>
      </c>
      <c r="AG3049" s="1">
        <v>31777</v>
      </c>
      <c r="AH3049" s="1">
        <v>31777</v>
      </c>
      <c r="AI3049" s="1">
        <v>31777</v>
      </c>
      <c r="AJ3049" s="1">
        <v>39082</v>
      </c>
      <c r="AK3049" t="s">
        <v>51</v>
      </c>
      <c r="AN3049">
        <v>0</v>
      </c>
      <c r="AO3049" t="s">
        <v>54</v>
      </c>
      <c r="AP3049" t="s">
        <v>53</v>
      </c>
      <c r="AQ3049">
        <v>0</v>
      </c>
      <c r="AR3049" t="s">
        <v>53</v>
      </c>
      <c r="AS3049">
        <v>0</v>
      </c>
      <c r="AT3049">
        <v>0</v>
      </c>
      <c r="CC3049" t="s">
        <v>850</v>
      </c>
      <c r="CD3049">
        <v>1</v>
      </c>
      <c r="CE3049" s="1">
        <v>42552</v>
      </c>
      <c r="CF3049" s="1">
        <v>42552</v>
      </c>
      <c r="CG3049" s="1">
        <v>42552</v>
      </c>
      <c r="CH3049" s="1">
        <v>49714</v>
      </c>
      <c r="CI3049" t="s">
        <v>51</v>
      </c>
      <c r="CK3049" t="s">
        <v>78</v>
      </c>
      <c r="CM3049" t="s">
        <v>54</v>
      </c>
      <c r="CN3049" t="s">
        <v>174</v>
      </c>
      <c r="CO3049" t="s">
        <v>86</v>
      </c>
      <c r="CR3049">
        <v>18</v>
      </c>
      <c r="CS3049">
        <v>0</v>
      </c>
      <c r="CT3049">
        <v>0</v>
      </c>
      <c r="CU3049">
        <v>0</v>
      </c>
    </row>
    <row r="3050" spans="1:99" x14ac:dyDescent="0.2">
      <c r="A3050" t="s">
        <v>367</v>
      </c>
      <c r="B3050" t="s">
        <v>368</v>
      </c>
      <c r="C3050" t="s">
        <v>369</v>
      </c>
      <c r="D3050" t="s">
        <v>1224</v>
      </c>
      <c r="F3050" t="str">
        <f>"22786"</f>
        <v>22786</v>
      </c>
      <c r="G3050" t="s">
        <v>49</v>
      </c>
      <c r="H3050" t="s">
        <v>1226</v>
      </c>
      <c r="K3050" t="s">
        <v>51</v>
      </c>
      <c r="L3050" t="s">
        <v>52</v>
      </c>
      <c r="M3050">
        <v>137755.42000000001</v>
      </c>
      <c r="N3050">
        <v>468160.19</v>
      </c>
      <c r="O3050" t="s">
        <v>53</v>
      </c>
      <c r="P3050" t="s">
        <v>54</v>
      </c>
      <c r="Q3050" t="s">
        <v>55</v>
      </c>
      <c r="T3050" t="s">
        <v>841</v>
      </c>
      <c r="U3050">
        <v>40</v>
      </c>
      <c r="V3050" s="1">
        <v>27759</v>
      </c>
      <c r="W3050" s="1">
        <v>27759</v>
      </c>
      <c r="X3050" s="1">
        <v>27759</v>
      </c>
      <c r="Y3050" s="1">
        <v>42369</v>
      </c>
      <c r="Z3050" t="s">
        <v>51</v>
      </c>
      <c r="AB3050" t="s">
        <v>54</v>
      </c>
      <c r="AC3050">
        <v>1</v>
      </c>
      <c r="AE3050" t="s">
        <v>1212</v>
      </c>
      <c r="AF3050">
        <v>20</v>
      </c>
      <c r="AG3050" s="1">
        <v>31777</v>
      </c>
      <c r="AH3050" s="1">
        <v>31777</v>
      </c>
      <c r="AI3050" s="1">
        <v>31777</v>
      </c>
      <c r="AJ3050" s="1">
        <v>39082</v>
      </c>
      <c r="AK3050" t="s">
        <v>51</v>
      </c>
      <c r="AN3050">
        <v>0</v>
      </c>
      <c r="AO3050" t="s">
        <v>54</v>
      </c>
      <c r="AP3050" t="s">
        <v>53</v>
      </c>
      <c r="AQ3050">
        <v>0</v>
      </c>
      <c r="AR3050" t="s">
        <v>53</v>
      </c>
      <c r="AS3050">
        <v>0</v>
      </c>
      <c r="AT3050">
        <v>0</v>
      </c>
      <c r="CC3050" t="s">
        <v>850</v>
      </c>
      <c r="CD3050">
        <v>1</v>
      </c>
      <c r="CE3050" s="1">
        <v>43110</v>
      </c>
      <c r="CF3050" s="1">
        <v>43110</v>
      </c>
      <c r="CG3050" s="1">
        <v>43110</v>
      </c>
      <c r="CH3050" s="1">
        <v>50325</v>
      </c>
      <c r="CI3050" t="s">
        <v>51</v>
      </c>
      <c r="CK3050" t="s">
        <v>78</v>
      </c>
      <c r="CM3050" t="s">
        <v>54</v>
      </c>
      <c r="CN3050" t="s">
        <v>174</v>
      </c>
      <c r="CO3050" t="s">
        <v>86</v>
      </c>
      <c r="CR3050">
        <v>18</v>
      </c>
      <c r="CS3050">
        <v>0</v>
      </c>
      <c r="CT3050">
        <v>0</v>
      </c>
      <c r="CU3050">
        <v>0</v>
      </c>
    </row>
    <row r="3051" spans="1:99" x14ac:dyDescent="0.2">
      <c r="A3051" t="s">
        <v>367</v>
      </c>
      <c r="B3051" t="s">
        <v>368</v>
      </c>
      <c r="C3051" t="s">
        <v>369</v>
      </c>
      <c r="D3051" t="s">
        <v>1224</v>
      </c>
      <c r="F3051" t="str">
        <f>"22787"</f>
        <v>22787</v>
      </c>
      <c r="G3051" t="s">
        <v>49</v>
      </c>
      <c r="H3051" t="s">
        <v>1223</v>
      </c>
      <c r="K3051" t="s">
        <v>51</v>
      </c>
      <c r="L3051" t="s">
        <v>52</v>
      </c>
      <c r="M3051">
        <v>137769.98000000001</v>
      </c>
      <c r="N3051">
        <v>468127.29</v>
      </c>
      <c r="O3051" t="s">
        <v>53</v>
      </c>
      <c r="P3051" t="s">
        <v>54</v>
      </c>
      <c r="Q3051" t="s">
        <v>55</v>
      </c>
      <c r="T3051" t="s">
        <v>841</v>
      </c>
      <c r="U3051">
        <v>40</v>
      </c>
      <c r="V3051" s="1">
        <v>27759</v>
      </c>
      <c r="W3051" s="1">
        <v>27759</v>
      </c>
      <c r="X3051" s="1">
        <v>27759</v>
      </c>
      <c r="Y3051" s="1">
        <v>42369</v>
      </c>
      <c r="Z3051" t="s">
        <v>51</v>
      </c>
      <c r="AB3051" t="s">
        <v>54</v>
      </c>
      <c r="AC3051">
        <v>1</v>
      </c>
      <c r="AE3051" t="s">
        <v>1212</v>
      </c>
      <c r="AF3051">
        <v>20</v>
      </c>
      <c r="AG3051" s="1">
        <v>31777</v>
      </c>
      <c r="AH3051" s="1">
        <v>31777</v>
      </c>
      <c r="AI3051" s="1">
        <v>31777</v>
      </c>
      <c r="AJ3051" s="1">
        <v>39082</v>
      </c>
      <c r="AK3051" t="s">
        <v>51</v>
      </c>
      <c r="AN3051">
        <v>0</v>
      </c>
      <c r="AO3051" t="s">
        <v>54</v>
      </c>
      <c r="AP3051" t="s">
        <v>53</v>
      </c>
      <c r="AQ3051">
        <v>0</v>
      </c>
      <c r="AR3051" t="s">
        <v>53</v>
      </c>
      <c r="AS3051">
        <v>0</v>
      </c>
      <c r="AT3051">
        <v>0</v>
      </c>
      <c r="CC3051" t="s">
        <v>850</v>
      </c>
      <c r="CD3051">
        <v>1</v>
      </c>
      <c r="CE3051" s="1">
        <v>42552</v>
      </c>
      <c r="CF3051" s="1">
        <v>42552</v>
      </c>
      <c r="CG3051" s="1">
        <v>42552</v>
      </c>
      <c r="CH3051" s="1">
        <v>49714</v>
      </c>
      <c r="CI3051" t="s">
        <v>51</v>
      </c>
      <c r="CK3051" t="s">
        <v>78</v>
      </c>
      <c r="CM3051" t="s">
        <v>54</v>
      </c>
      <c r="CN3051" t="s">
        <v>174</v>
      </c>
      <c r="CO3051" t="s">
        <v>86</v>
      </c>
      <c r="CR3051">
        <v>18</v>
      </c>
      <c r="CS3051">
        <v>0</v>
      </c>
      <c r="CT3051">
        <v>0</v>
      </c>
      <c r="CU3051">
        <v>0</v>
      </c>
    </row>
    <row r="3052" spans="1:99" x14ac:dyDescent="0.2">
      <c r="A3052" t="s">
        <v>367</v>
      </c>
      <c r="B3052" t="s">
        <v>368</v>
      </c>
      <c r="C3052" t="s">
        <v>369</v>
      </c>
      <c r="D3052" t="s">
        <v>1213</v>
      </c>
      <c r="F3052" t="str">
        <f>"22788"</f>
        <v>22788</v>
      </c>
      <c r="G3052" t="s">
        <v>49</v>
      </c>
      <c r="H3052" t="s">
        <v>1227</v>
      </c>
      <c r="K3052" t="s">
        <v>51</v>
      </c>
      <c r="L3052" t="s">
        <v>52</v>
      </c>
      <c r="M3052">
        <v>138244.97</v>
      </c>
      <c r="N3052">
        <v>467817</v>
      </c>
      <c r="O3052" t="s">
        <v>53</v>
      </c>
      <c r="P3052" t="s">
        <v>54</v>
      </c>
      <c r="Q3052" t="s">
        <v>55</v>
      </c>
      <c r="T3052" t="s">
        <v>183</v>
      </c>
      <c r="U3052">
        <v>40</v>
      </c>
      <c r="V3052" s="1">
        <v>24472</v>
      </c>
      <c r="W3052" s="1">
        <v>24472</v>
      </c>
      <c r="X3052" s="1">
        <v>24472</v>
      </c>
      <c r="Y3052" s="1">
        <v>39082</v>
      </c>
      <c r="Z3052" t="s">
        <v>51</v>
      </c>
      <c r="AB3052" t="s">
        <v>54</v>
      </c>
      <c r="AC3052">
        <v>1</v>
      </c>
      <c r="AE3052" t="s">
        <v>1212</v>
      </c>
      <c r="AF3052">
        <v>20</v>
      </c>
      <c r="AG3052" s="1">
        <v>31777</v>
      </c>
      <c r="AH3052" s="1">
        <v>31777</v>
      </c>
      <c r="AI3052" s="1">
        <v>31777</v>
      </c>
      <c r="AJ3052" s="1">
        <v>39082</v>
      </c>
      <c r="AK3052" t="s">
        <v>51</v>
      </c>
      <c r="AN3052">
        <v>0</v>
      </c>
      <c r="AO3052" t="s">
        <v>54</v>
      </c>
      <c r="AP3052" t="s">
        <v>53</v>
      </c>
      <c r="AQ3052">
        <v>0</v>
      </c>
      <c r="AR3052" t="s">
        <v>53</v>
      </c>
      <c r="AS3052">
        <v>0</v>
      </c>
      <c r="AT3052">
        <v>0</v>
      </c>
      <c r="AW3052" t="s">
        <v>58</v>
      </c>
      <c r="AX3052">
        <v>20</v>
      </c>
      <c r="AY3052" s="1">
        <v>31777</v>
      </c>
      <c r="AZ3052" s="1">
        <v>31777</v>
      </c>
      <c r="BA3052" s="1">
        <v>31777</v>
      </c>
      <c r="BB3052" s="1">
        <v>39082</v>
      </c>
      <c r="BC3052" t="s">
        <v>51</v>
      </c>
      <c r="BE3052" t="s">
        <v>54</v>
      </c>
      <c r="BF3052">
        <v>2</v>
      </c>
      <c r="BG3052">
        <v>0</v>
      </c>
      <c r="BH3052" t="s">
        <v>53</v>
      </c>
      <c r="BK3052" t="s">
        <v>720</v>
      </c>
      <c r="BL3052">
        <v>17000</v>
      </c>
      <c r="BM3052" s="1">
        <v>44998</v>
      </c>
      <c r="BN3052" s="1">
        <v>44998</v>
      </c>
      <c r="BO3052" s="1">
        <v>44998</v>
      </c>
      <c r="BP3052" s="1">
        <v>46437</v>
      </c>
      <c r="BQ3052" t="s">
        <v>51</v>
      </c>
      <c r="BS3052" t="s">
        <v>60</v>
      </c>
      <c r="BT3052" t="s">
        <v>54</v>
      </c>
      <c r="BU3052" t="s">
        <v>721</v>
      </c>
      <c r="BV3052" t="s">
        <v>722</v>
      </c>
      <c r="BX3052">
        <v>18</v>
      </c>
      <c r="BY3052">
        <v>0</v>
      </c>
      <c r="BZ3052">
        <v>0</v>
      </c>
    </row>
    <row r="3053" spans="1:99" x14ac:dyDescent="0.2">
      <c r="A3053" t="s">
        <v>367</v>
      </c>
      <c r="B3053" t="s">
        <v>368</v>
      </c>
      <c r="C3053" t="s">
        <v>369</v>
      </c>
      <c r="D3053" t="s">
        <v>1213</v>
      </c>
      <c r="F3053" t="str">
        <f>"22789"</f>
        <v>22789</v>
      </c>
      <c r="G3053" t="s">
        <v>49</v>
      </c>
      <c r="H3053" t="s">
        <v>1228</v>
      </c>
      <c r="K3053" t="s">
        <v>51</v>
      </c>
      <c r="L3053" t="s">
        <v>52</v>
      </c>
      <c r="M3053">
        <v>138268.95000000001</v>
      </c>
      <c r="N3053">
        <v>467822.06</v>
      </c>
      <c r="O3053" t="s">
        <v>53</v>
      </c>
      <c r="P3053" t="s">
        <v>54</v>
      </c>
      <c r="Q3053" t="s">
        <v>55</v>
      </c>
      <c r="T3053" t="s">
        <v>183</v>
      </c>
      <c r="U3053">
        <v>40</v>
      </c>
      <c r="V3053" s="1">
        <v>24472</v>
      </c>
      <c r="W3053" s="1">
        <v>24472</v>
      </c>
      <c r="X3053" s="1">
        <v>24472</v>
      </c>
      <c r="Y3053" s="1">
        <v>39082</v>
      </c>
      <c r="Z3053" t="s">
        <v>51</v>
      </c>
      <c r="AB3053" t="s">
        <v>54</v>
      </c>
      <c r="AC3053">
        <v>1</v>
      </c>
      <c r="AE3053" t="s">
        <v>1212</v>
      </c>
      <c r="AF3053">
        <v>20</v>
      </c>
      <c r="AG3053" s="1">
        <v>31777</v>
      </c>
      <c r="AH3053" s="1">
        <v>31777</v>
      </c>
      <c r="AI3053" s="1">
        <v>31777</v>
      </c>
      <c r="AJ3053" s="1">
        <v>39082</v>
      </c>
      <c r="AK3053" t="s">
        <v>51</v>
      </c>
      <c r="AN3053">
        <v>0</v>
      </c>
      <c r="AO3053" t="s">
        <v>54</v>
      </c>
      <c r="AP3053" t="s">
        <v>53</v>
      </c>
      <c r="AQ3053">
        <v>0</v>
      </c>
      <c r="AR3053" t="s">
        <v>53</v>
      </c>
      <c r="AS3053">
        <v>0</v>
      </c>
      <c r="AT3053">
        <v>0</v>
      </c>
      <c r="AW3053" t="s">
        <v>58</v>
      </c>
      <c r="AX3053">
        <v>20</v>
      </c>
      <c r="AY3053" s="1">
        <v>31777</v>
      </c>
      <c r="AZ3053" s="1">
        <v>31777</v>
      </c>
      <c r="BA3053" s="1">
        <v>31777</v>
      </c>
      <c r="BB3053" s="1">
        <v>39082</v>
      </c>
      <c r="BC3053" t="s">
        <v>51</v>
      </c>
      <c r="BE3053" t="s">
        <v>54</v>
      </c>
      <c r="BF3053">
        <v>2</v>
      </c>
      <c r="BG3053">
        <v>0</v>
      </c>
      <c r="BH3053" t="s">
        <v>53</v>
      </c>
      <c r="BK3053" t="s">
        <v>720</v>
      </c>
      <c r="BL3053">
        <v>17000</v>
      </c>
      <c r="BM3053" s="1">
        <v>43767</v>
      </c>
      <c r="BN3053" s="1">
        <v>43767</v>
      </c>
      <c r="BO3053" s="1">
        <v>43767</v>
      </c>
      <c r="BP3053" s="1">
        <v>45208</v>
      </c>
      <c r="BQ3053" t="s">
        <v>51</v>
      </c>
      <c r="BS3053" t="s">
        <v>60</v>
      </c>
      <c r="BT3053" t="s">
        <v>54</v>
      </c>
      <c r="BU3053" t="s">
        <v>721</v>
      </c>
      <c r="BV3053" t="s">
        <v>722</v>
      </c>
      <c r="BX3053">
        <v>18</v>
      </c>
      <c r="BY3053">
        <v>0</v>
      </c>
      <c r="BZ3053">
        <v>0</v>
      </c>
    </row>
    <row r="3054" spans="1:99" x14ac:dyDescent="0.2">
      <c r="A3054" t="s">
        <v>367</v>
      </c>
      <c r="B3054" t="s">
        <v>368</v>
      </c>
      <c r="C3054" t="s">
        <v>369</v>
      </c>
      <c r="D3054" t="s">
        <v>1213</v>
      </c>
      <c r="F3054" t="str">
        <f>"22791"</f>
        <v>22791</v>
      </c>
      <c r="G3054" t="s">
        <v>49</v>
      </c>
      <c r="H3054" t="s">
        <v>1229</v>
      </c>
      <c r="K3054" t="s">
        <v>51</v>
      </c>
      <c r="L3054" t="s">
        <v>52</v>
      </c>
      <c r="M3054">
        <v>138328.85999999999</v>
      </c>
      <c r="N3054">
        <v>467810.65</v>
      </c>
      <c r="O3054" t="s">
        <v>53</v>
      </c>
      <c r="P3054" t="s">
        <v>54</v>
      </c>
      <c r="Q3054" t="s">
        <v>55</v>
      </c>
      <c r="T3054" t="s">
        <v>183</v>
      </c>
      <c r="U3054">
        <v>40</v>
      </c>
      <c r="V3054" s="1">
        <v>24472</v>
      </c>
      <c r="W3054" s="1">
        <v>24472</v>
      </c>
      <c r="X3054" s="1">
        <v>24472</v>
      </c>
      <c r="Y3054" s="1">
        <v>39082</v>
      </c>
      <c r="Z3054" t="s">
        <v>51</v>
      </c>
      <c r="AB3054" t="s">
        <v>54</v>
      </c>
      <c r="AC3054">
        <v>1</v>
      </c>
      <c r="AE3054" t="s">
        <v>1212</v>
      </c>
      <c r="AF3054">
        <v>20</v>
      </c>
      <c r="AG3054" s="1">
        <v>31777</v>
      </c>
      <c r="AH3054" s="1">
        <v>31777</v>
      </c>
      <c r="AI3054" s="1">
        <v>31777</v>
      </c>
      <c r="AJ3054" s="1">
        <v>39082</v>
      </c>
      <c r="AK3054" t="s">
        <v>51</v>
      </c>
      <c r="AN3054">
        <v>0</v>
      </c>
      <c r="AO3054" t="s">
        <v>54</v>
      </c>
      <c r="AP3054" t="s">
        <v>53</v>
      </c>
      <c r="AQ3054">
        <v>0</v>
      </c>
      <c r="AR3054" t="s">
        <v>53</v>
      </c>
      <c r="AS3054">
        <v>0</v>
      </c>
      <c r="AT3054">
        <v>0</v>
      </c>
      <c r="AW3054" t="s">
        <v>58</v>
      </c>
      <c r="AX3054">
        <v>20</v>
      </c>
      <c r="AY3054" s="1">
        <v>31777</v>
      </c>
      <c r="AZ3054" s="1">
        <v>31777</v>
      </c>
      <c r="BA3054" s="1">
        <v>31777</v>
      </c>
      <c r="BB3054" s="1">
        <v>39082</v>
      </c>
      <c r="BC3054" t="s">
        <v>51</v>
      </c>
      <c r="BE3054" t="s">
        <v>54</v>
      </c>
      <c r="BF3054">
        <v>2</v>
      </c>
      <c r="BG3054">
        <v>0</v>
      </c>
      <c r="BH3054" t="s">
        <v>53</v>
      </c>
      <c r="BK3054" t="s">
        <v>720</v>
      </c>
      <c r="BL3054">
        <v>17000</v>
      </c>
      <c r="BM3054" s="1">
        <v>43913</v>
      </c>
      <c r="BN3054" s="1">
        <v>43913</v>
      </c>
      <c r="BO3054" s="1">
        <v>43913</v>
      </c>
      <c r="BP3054" s="1">
        <v>45351</v>
      </c>
      <c r="BQ3054" t="s">
        <v>51</v>
      </c>
      <c r="BS3054" t="s">
        <v>60</v>
      </c>
      <c r="BT3054" t="s">
        <v>54</v>
      </c>
      <c r="BU3054" t="s">
        <v>721</v>
      </c>
      <c r="BV3054" t="s">
        <v>722</v>
      </c>
      <c r="BX3054">
        <v>18</v>
      </c>
      <c r="BY3054">
        <v>0</v>
      </c>
      <c r="BZ3054">
        <v>0</v>
      </c>
    </row>
    <row r="3055" spans="1:99" x14ac:dyDescent="0.2">
      <c r="A3055" t="s">
        <v>367</v>
      </c>
      <c r="B3055" t="s">
        <v>368</v>
      </c>
      <c r="C3055" t="s">
        <v>369</v>
      </c>
      <c r="D3055" t="s">
        <v>1213</v>
      </c>
      <c r="F3055" t="str">
        <f>"22792"</f>
        <v>22792</v>
      </c>
      <c r="G3055" t="s">
        <v>49</v>
      </c>
      <c r="H3055" t="s">
        <v>1230</v>
      </c>
      <c r="K3055" t="s">
        <v>51</v>
      </c>
      <c r="L3055" t="s">
        <v>52</v>
      </c>
      <c r="M3055">
        <v>138355.85</v>
      </c>
      <c r="N3055">
        <v>467797.64</v>
      </c>
      <c r="O3055" t="s">
        <v>53</v>
      </c>
      <c r="P3055" t="s">
        <v>54</v>
      </c>
      <c r="Q3055" t="s">
        <v>55</v>
      </c>
      <c r="T3055" t="s">
        <v>183</v>
      </c>
      <c r="U3055">
        <v>40</v>
      </c>
      <c r="V3055" s="1">
        <v>24472</v>
      </c>
      <c r="W3055" s="1">
        <v>24472</v>
      </c>
      <c r="X3055" s="1">
        <v>24472</v>
      </c>
      <c r="Y3055" s="1">
        <v>39082</v>
      </c>
      <c r="Z3055" t="s">
        <v>51</v>
      </c>
      <c r="AB3055" t="s">
        <v>54</v>
      </c>
      <c r="AC3055">
        <v>1</v>
      </c>
      <c r="AE3055" t="s">
        <v>1212</v>
      </c>
      <c r="AF3055">
        <v>20</v>
      </c>
      <c r="AG3055" s="1">
        <v>31777</v>
      </c>
      <c r="AH3055" s="1">
        <v>31777</v>
      </c>
      <c r="AI3055" s="1">
        <v>31777</v>
      </c>
      <c r="AJ3055" s="1">
        <v>39082</v>
      </c>
      <c r="AK3055" t="s">
        <v>51</v>
      </c>
      <c r="AN3055">
        <v>0</v>
      </c>
      <c r="AO3055" t="s">
        <v>54</v>
      </c>
      <c r="AP3055" t="s">
        <v>53</v>
      </c>
      <c r="AQ3055">
        <v>0</v>
      </c>
      <c r="AR3055" t="s">
        <v>53</v>
      </c>
      <c r="AS3055">
        <v>0</v>
      </c>
      <c r="AT3055">
        <v>0</v>
      </c>
      <c r="AW3055" t="s">
        <v>58</v>
      </c>
      <c r="AX3055">
        <v>20</v>
      </c>
      <c r="AY3055" s="1">
        <v>31777</v>
      </c>
      <c r="AZ3055" s="1">
        <v>31777</v>
      </c>
      <c r="BA3055" s="1">
        <v>31777</v>
      </c>
      <c r="BB3055" s="1">
        <v>39082</v>
      </c>
      <c r="BC3055" t="s">
        <v>51</v>
      </c>
      <c r="BE3055" t="s">
        <v>54</v>
      </c>
      <c r="BF3055">
        <v>2</v>
      </c>
      <c r="BG3055">
        <v>0</v>
      </c>
      <c r="BH3055" t="s">
        <v>53</v>
      </c>
      <c r="BK3055" t="s">
        <v>720</v>
      </c>
      <c r="BL3055">
        <v>17000</v>
      </c>
      <c r="BM3055" s="1">
        <v>44949</v>
      </c>
      <c r="BN3055" s="1">
        <v>44949</v>
      </c>
      <c r="BO3055" s="1">
        <v>44949</v>
      </c>
      <c r="BP3055" s="1">
        <v>46392</v>
      </c>
      <c r="BQ3055" t="s">
        <v>51</v>
      </c>
      <c r="BS3055" t="s">
        <v>60</v>
      </c>
      <c r="BT3055" t="s">
        <v>54</v>
      </c>
      <c r="BU3055" t="s">
        <v>721</v>
      </c>
      <c r="BV3055" t="s">
        <v>722</v>
      </c>
      <c r="BX3055">
        <v>18</v>
      </c>
      <c r="BY3055">
        <v>0</v>
      </c>
      <c r="BZ3055">
        <v>0</v>
      </c>
    </row>
    <row r="3056" spans="1:99" x14ac:dyDescent="0.2">
      <c r="A3056" t="s">
        <v>367</v>
      </c>
      <c r="B3056" t="s">
        <v>368</v>
      </c>
      <c r="C3056" t="s">
        <v>369</v>
      </c>
      <c r="D3056" t="s">
        <v>1199</v>
      </c>
      <c r="F3056" t="str">
        <f>"22793"</f>
        <v>22793</v>
      </c>
      <c r="G3056" t="s">
        <v>49</v>
      </c>
      <c r="H3056" t="s">
        <v>1231</v>
      </c>
      <c r="K3056" t="s">
        <v>51</v>
      </c>
      <c r="L3056" t="s">
        <v>52</v>
      </c>
      <c r="M3056">
        <v>138170.94</v>
      </c>
      <c r="N3056">
        <v>467691.51</v>
      </c>
      <c r="O3056" t="s">
        <v>53</v>
      </c>
      <c r="P3056" t="s">
        <v>54</v>
      </c>
      <c r="Q3056" t="s">
        <v>55</v>
      </c>
      <c r="T3056" t="s">
        <v>818</v>
      </c>
      <c r="U3056">
        <v>40</v>
      </c>
      <c r="V3056" s="1">
        <v>27759</v>
      </c>
      <c r="W3056" s="1">
        <v>27759</v>
      </c>
      <c r="X3056" s="1">
        <v>27759</v>
      </c>
      <c r="Y3056" s="1">
        <v>42369</v>
      </c>
      <c r="Z3056" t="s">
        <v>51</v>
      </c>
      <c r="AB3056" t="s">
        <v>54</v>
      </c>
      <c r="AC3056">
        <v>1</v>
      </c>
      <c r="AE3056" t="s">
        <v>827</v>
      </c>
      <c r="AF3056">
        <v>20</v>
      </c>
      <c r="AG3056" s="1">
        <v>31777</v>
      </c>
      <c r="AH3056" s="1">
        <v>31777</v>
      </c>
      <c r="AI3056" s="1">
        <v>31777</v>
      </c>
      <c r="AJ3056" s="1">
        <v>39082</v>
      </c>
      <c r="AK3056" t="s">
        <v>51</v>
      </c>
      <c r="AN3056">
        <v>0</v>
      </c>
      <c r="AO3056" t="s">
        <v>54</v>
      </c>
      <c r="AP3056" t="s">
        <v>53</v>
      </c>
      <c r="AQ3056">
        <v>0</v>
      </c>
      <c r="AR3056" t="s">
        <v>53</v>
      </c>
      <c r="AS3056">
        <v>0</v>
      </c>
      <c r="AT3056">
        <v>0</v>
      </c>
      <c r="AW3056" t="s">
        <v>58</v>
      </c>
      <c r="AX3056">
        <v>20</v>
      </c>
      <c r="AY3056" s="1">
        <v>31777</v>
      </c>
      <c r="AZ3056" s="1">
        <v>31777</v>
      </c>
      <c r="BA3056" s="1">
        <v>31777</v>
      </c>
      <c r="BB3056" s="1">
        <v>39082</v>
      </c>
      <c r="BC3056" t="s">
        <v>51</v>
      </c>
      <c r="BE3056" t="s">
        <v>54</v>
      </c>
      <c r="BF3056">
        <v>2</v>
      </c>
      <c r="BG3056">
        <v>0</v>
      </c>
      <c r="BH3056" t="s">
        <v>53</v>
      </c>
      <c r="BK3056" t="s">
        <v>720</v>
      </c>
      <c r="BL3056">
        <v>17000</v>
      </c>
      <c r="BM3056" s="1">
        <v>44249</v>
      </c>
      <c r="BN3056" s="1">
        <v>44249</v>
      </c>
      <c r="BO3056" s="1">
        <v>44249</v>
      </c>
      <c r="BP3056" s="1">
        <v>45689</v>
      </c>
      <c r="BQ3056" t="s">
        <v>51</v>
      </c>
      <c r="BS3056" t="s">
        <v>60</v>
      </c>
      <c r="BT3056" t="s">
        <v>54</v>
      </c>
      <c r="BU3056" t="s">
        <v>721</v>
      </c>
      <c r="BV3056" t="s">
        <v>722</v>
      </c>
      <c r="BX3056">
        <v>18</v>
      </c>
      <c r="BY3056">
        <v>0</v>
      </c>
      <c r="BZ3056">
        <v>0</v>
      </c>
    </row>
    <row r="3057" spans="1:99" x14ac:dyDescent="0.2">
      <c r="A3057" t="s">
        <v>367</v>
      </c>
      <c r="B3057" t="s">
        <v>368</v>
      </c>
      <c r="C3057" t="s">
        <v>369</v>
      </c>
      <c r="D3057" t="s">
        <v>1199</v>
      </c>
      <c r="F3057" t="str">
        <f>"22794"</f>
        <v>22794</v>
      </c>
      <c r="G3057" t="s">
        <v>49</v>
      </c>
      <c r="H3057" t="s">
        <v>1232</v>
      </c>
      <c r="K3057" t="s">
        <v>51</v>
      </c>
      <c r="L3057" t="s">
        <v>52</v>
      </c>
      <c r="M3057">
        <v>138157.07999999999</v>
      </c>
      <c r="N3057">
        <v>467695.25</v>
      </c>
      <c r="O3057" t="s">
        <v>53</v>
      </c>
      <c r="P3057" t="s">
        <v>54</v>
      </c>
      <c r="Q3057" t="s">
        <v>55</v>
      </c>
      <c r="T3057" t="s">
        <v>818</v>
      </c>
      <c r="U3057">
        <v>40</v>
      </c>
      <c r="V3057" s="1">
        <v>27759</v>
      </c>
      <c r="W3057" s="1">
        <v>27759</v>
      </c>
      <c r="X3057" s="1">
        <v>27759</v>
      </c>
      <c r="Y3057" s="1">
        <v>42369</v>
      </c>
      <c r="Z3057" t="s">
        <v>51</v>
      </c>
      <c r="AB3057" t="s">
        <v>54</v>
      </c>
      <c r="AC3057">
        <v>1</v>
      </c>
      <c r="AE3057" t="s">
        <v>827</v>
      </c>
      <c r="AF3057">
        <v>20</v>
      </c>
      <c r="AG3057" s="1">
        <v>31777</v>
      </c>
      <c r="AH3057" s="1">
        <v>31777</v>
      </c>
      <c r="AI3057" s="1">
        <v>31777</v>
      </c>
      <c r="AJ3057" s="1">
        <v>39082</v>
      </c>
      <c r="AK3057" t="s">
        <v>51</v>
      </c>
      <c r="AN3057">
        <v>0</v>
      </c>
      <c r="AO3057" t="s">
        <v>54</v>
      </c>
      <c r="AP3057" t="s">
        <v>53</v>
      </c>
      <c r="AQ3057">
        <v>0</v>
      </c>
      <c r="AR3057" t="s">
        <v>53</v>
      </c>
      <c r="AS3057">
        <v>0</v>
      </c>
      <c r="AT3057">
        <v>0</v>
      </c>
      <c r="AW3057" t="s">
        <v>58</v>
      </c>
      <c r="AX3057">
        <v>20</v>
      </c>
      <c r="AY3057" s="1">
        <v>31777</v>
      </c>
      <c r="AZ3057" s="1">
        <v>31777</v>
      </c>
      <c r="BA3057" s="1">
        <v>31777</v>
      </c>
      <c r="BB3057" s="1">
        <v>39082</v>
      </c>
      <c r="BC3057" t="s">
        <v>51</v>
      </c>
      <c r="BE3057" t="s">
        <v>54</v>
      </c>
      <c r="BF3057">
        <v>2</v>
      </c>
      <c r="BG3057">
        <v>0</v>
      </c>
      <c r="BH3057" t="s">
        <v>53</v>
      </c>
      <c r="BK3057" t="s">
        <v>720</v>
      </c>
      <c r="BL3057">
        <v>17000</v>
      </c>
      <c r="BM3057" s="1">
        <v>43984</v>
      </c>
      <c r="BN3057" s="1">
        <v>43984</v>
      </c>
      <c r="BO3057" s="1">
        <v>43984</v>
      </c>
      <c r="BP3057" s="1">
        <v>45409</v>
      </c>
      <c r="BQ3057" t="s">
        <v>51</v>
      </c>
      <c r="BS3057" t="s">
        <v>60</v>
      </c>
      <c r="BT3057" t="s">
        <v>54</v>
      </c>
      <c r="BU3057" t="s">
        <v>721</v>
      </c>
      <c r="BV3057" t="s">
        <v>722</v>
      </c>
      <c r="BX3057">
        <v>18</v>
      </c>
      <c r="BY3057">
        <v>0</v>
      </c>
      <c r="BZ3057">
        <v>0</v>
      </c>
    </row>
    <row r="3058" spans="1:99" x14ac:dyDescent="0.2">
      <c r="A3058" t="s">
        <v>367</v>
      </c>
      <c r="B3058" t="s">
        <v>368</v>
      </c>
      <c r="C3058" t="s">
        <v>369</v>
      </c>
      <c r="D3058" t="s">
        <v>1155</v>
      </c>
      <c r="F3058" t="str">
        <f>"23950"</f>
        <v>23950</v>
      </c>
      <c r="G3058" t="s">
        <v>49</v>
      </c>
      <c r="H3058" t="s">
        <v>1233</v>
      </c>
      <c r="K3058" t="s">
        <v>51</v>
      </c>
      <c r="L3058" t="s">
        <v>52</v>
      </c>
      <c r="M3058">
        <v>137920.76</v>
      </c>
      <c r="N3058">
        <v>468836.68</v>
      </c>
      <c r="O3058" t="s">
        <v>53</v>
      </c>
      <c r="P3058" t="s">
        <v>54</v>
      </c>
      <c r="Q3058" t="s">
        <v>55</v>
      </c>
      <c r="T3058" t="s">
        <v>841</v>
      </c>
      <c r="U3058">
        <v>40</v>
      </c>
      <c r="V3058" s="1">
        <v>27759</v>
      </c>
      <c r="W3058" s="1">
        <v>27759</v>
      </c>
      <c r="X3058" s="1">
        <v>27759</v>
      </c>
      <c r="Y3058" s="1">
        <v>42369</v>
      </c>
      <c r="Z3058" t="s">
        <v>51</v>
      </c>
      <c r="AB3058" t="s">
        <v>54</v>
      </c>
      <c r="AC3058">
        <v>1</v>
      </c>
      <c r="AE3058" t="s">
        <v>1212</v>
      </c>
      <c r="AF3058">
        <v>20</v>
      </c>
      <c r="AG3058" s="1">
        <v>31777</v>
      </c>
      <c r="AH3058" s="1">
        <v>31777</v>
      </c>
      <c r="AI3058" s="1">
        <v>31777</v>
      </c>
      <c r="AJ3058" s="1">
        <v>39082</v>
      </c>
      <c r="AK3058" t="s">
        <v>51</v>
      </c>
      <c r="AN3058">
        <v>0</v>
      </c>
      <c r="AO3058" t="s">
        <v>54</v>
      </c>
      <c r="AP3058" t="s">
        <v>53</v>
      </c>
      <c r="AQ3058">
        <v>0</v>
      </c>
      <c r="AR3058" t="s">
        <v>53</v>
      </c>
      <c r="AS3058">
        <v>0</v>
      </c>
      <c r="AT3058">
        <v>0</v>
      </c>
      <c r="AW3058" t="s">
        <v>58</v>
      </c>
      <c r="AX3058">
        <v>20</v>
      </c>
      <c r="AY3058" s="1">
        <v>31777</v>
      </c>
      <c r="AZ3058" s="1">
        <v>31777</v>
      </c>
      <c r="BA3058" s="1">
        <v>31777</v>
      </c>
      <c r="BB3058" s="1">
        <v>39082</v>
      </c>
      <c r="BC3058" t="s">
        <v>51</v>
      </c>
      <c r="BE3058" t="s">
        <v>54</v>
      </c>
      <c r="BF3058">
        <v>2</v>
      </c>
      <c r="BG3058">
        <v>0</v>
      </c>
      <c r="BH3058" t="s">
        <v>53</v>
      </c>
      <c r="BK3058" t="s">
        <v>720</v>
      </c>
      <c r="BL3058">
        <v>17000</v>
      </c>
      <c r="BM3058" s="1">
        <v>41091</v>
      </c>
      <c r="BN3058" s="1">
        <v>41091</v>
      </c>
      <c r="BO3058" s="1">
        <v>41091</v>
      </c>
      <c r="BP3058" s="1">
        <v>42513</v>
      </c>
      <c r="BQ3058" t="s">
        <v>51</v>
      </c>
      <c r="BS3058" t="s">
        <v>60</v>
      </c>
      <c r="BT3058" t="s">
        <v>54</v>
      </c>
      <c r="BU3058" t="s">
        <v>721</v>
      </c>
      <c r="BV3058" t="s">
        <v>722</v>
      </c>
      <c r="BX3058">
        <v>18</v>
      </c>
      <c r="BY3058">
        <v>0</v>
      </c>
      <c r="BZ3058">
        <v>0</v>
      </c>
    </row>
    <row r="3059" spans="1:99" x14ac:dyDescent="0.2">
      <c r="A3059" t="s">
        <v>367</v>
      </c>
      <c r="B3059" t="s">
        <v>368</v>
      </c>
      <c r="C3059" t="s">
        <v>369</v>
      </c>
      <c r="D3059" t="s">
        <v>1155</v>
      </c>
      <c r="F3059" t="str">
        <f>"23951"</f>
        <v>23951</v>
      </c>
      <c r="G3059" t="s">
        <v>49</v>
      </c>
      <c r="H3059" t="s">
        <v>1234</v>
      </c>
      <c r="K3059" t="s">
        <v>51</v>
      </c>
      <c r="L3059" t="s">
        <v>52</v>
      </c>
      <c r="M3059">
        <v>137934.23000000001</v>
      </c>
      <c r="N3059">
        <v>468808.86</v>
      </c>
      <c r="O3059" t="s">
        <v>53</v>
      </c>
      <c r="P3059" t="s">
        <v>54</v>
      </c>
      <c r="Q3059" t="s">
        <v>55</v>
      </c>
      <c r="T3059" t="s">
        <v>841</v>
      </c>
      <c r="U3059">
        <v>40</v>
      </c>
      <c r="V3059" s="1">
        <v>27759</v>
      </c>
      <c r="W3059" s="1">
        <v>27759</v>
      </c>
      <c r="X3059" s="1">
        <v>27759</v>
      </c>
      <c r="Y3059" s="1">
        <v>42369</v>
      </c>
      <c r="Z3059" t="s">
        <v>51</v>
      </c>
      <c r="AB3059" t="s">
        <v>54</v>
      </c>
      <c r="AC3059">
        <v>1</v>
      </c>
      <c r="AE3059" t="s">
        <v>1212</v>
      </c>
      <c r="AF3059">
        <v>20</v>
      </c>
      <c r="AG3059" s="1">
        <v>37754</v>
      </c>
      <c r="AH3059" s="1">
        <v>37754</v>
      </c>
      <c r="AI3059" s="1">
        <v>37754</v>
      </c>
      <c r="AJ3059" s="1">
        <v>45059</v>
      </c>
      <c r="AK3059" t="s">
        <v>51</v>
      </c>
      <c r="AN3059">
        <v>0</v>
      </c>
      <c r="AO3059" t="s">
        <v>54</v>
      </c>
      <c r="AP3059" t="s">
        <v>53</v>
      </c>
      <c r="AQ3059">
        <v>0</v>
      </c>
      <c r="AR3059" t="s">
        <v>53</v>
      </c>
      <c r="AS3059">
        <v>0</v>
      </c>
      <c r="AT3059">
        <v>0</v>
      </c>
      <c r="AW3059" t="s">
        <v>58</v>
      </c>
      <c r="AX3059">
        <v>20</v>
      </c>
      <c r="AY3059" s="1">
        <v>37754</v>
      </c>
      <c r="AZ3059" s="1">
        <v>37754</v>
      </c>
      <c r="BA3059" s="1">
        <v>37754</v>
      </c>
      <c r="BB3059" s="1">
        <v>45059</v>
      </c>
      <c r="BC3059" t="s">
        <v>51</v>
      </c>
      <c r="BE3059" t="s">
        <v>54</v>
      </c>
      <c r="BF3059">
        <v>2</v>
      </c>
      <c r="BG3059">
        <v>0</v>
      </c>
      <c r="BH3059" t="s">
        <v>53</v>
      </c>
      <c r="BK3059" t="s">
        <v>720</v>
      </c>
      <c r="BL3059">
        <v>17000</v>
      </c>
      <c r="BM3059" s="1">
        <v>41091</v>
      </c>
      <c r="BN3059" s="1">
        <v>41091</v>
      </c>
      <c r="BO3059" s="1">
        <v>41091</v>
      </c>
      <c r="BP3059" s="1">
        <v>42513</v>
      </c>
      <c r="BQ3059" t="s">
        <v>51</v>
      </c>
      <c r="BS3059" t="s">
        <v>60</v>
      </c>
      <c r="BT3059" t="s">
        <v>54</v>
      </c>
      <c r="BU3059" t="s">
        <v>721</v>
      </c>
      <c r="BV3059" t="s">
        <v>722</v>
      </c>
      <c r="BX3059">
        <v>18</v>
      </c>
      <c r="BY3059">
        <v>0</v>
      </c>
      <c r="BZ3059">
        <v>0</v>
      </c>
    </row>
    <row r="3060" spans="1:99" x14ac:dyDescent="0.2">
      <c r="A3060" t="s">
        <v>367</v>
      </c>
      <c r="B3060" t="s">
        <v>368</v>
      </c>
      <c r="C3060" t="s">
        <v>369</v>
      </c>
      <c r="D3060" t="s">
        <v>1155</v>
      </c>
      <c r="F3060" t="str">
        <f>"23952"</f>
        <v>23952</v>
      </c>
      <c r="G3060" t="s">
        <v>49</v>
      </c>
      <c r="H3060" t="s">
        <v>1235</v>
      </c>
      <c r="K3060" t="s">
        <v>51</v>
      </c>
      <c r="L3060" t="s">
        <v>52</v>
      </c>
      <c r="M3060">
        <v>137943.29999999999</v>
      </c>
      <c r="N3060">
        <v>468787.96</v>
      </c>
      <c r="O3060" t="s">
        <v>53</v>
      </c>
      <c r="P3060" t="s">
        <v>54</v>
      </c>
      <c r="Q3060" t="s">
        <v>55</v>
      </c>
      <c r="T3060" t="s">
        <v>841</v>
      </c>
      <c r="U3060">
        <v>40</v>
      </c>
      <c r="V3060" s="1">
        <v>27759</v>
      </c>
      <c r="W3060" s="1">
        <v>27759</v>
      </c>
      <c r="X3060" s="1">
        <v>27759</v>
      </c>
      <c r="Y3060" s="1">
        <v>42369</v>
      </c>
      <c r="Z3060" t="s">
        <v>51</v>
      </c>
      <c r="AB3060" t="s">
        <v>54</v>
      </c>
      <c r="AC3060">
        <v>1</v>
      </c>
      <c r="AE3060" t="s">
        <v>356</v>
      </c>
      <c r="AF3060">
        <v>20</v>
      </c>
      <c r="AG3060" s="1">
        <v>44872</v>
      </c>
      <c r="AH3060" s="1">
        <v>44872</v>
      </c>
      <c r="AI3060" s="1">
        <v>44872</v>
      </c>
      <c r="AJ3060" s="1">
        <v>52177</v>
      </c>
      <c r="AK3060" t="s">
        <v>51</v>
      </c>
      <c r="AN3060">
        <v>0</v>
      </c>
      <c r="AO3060" t="s">
        <v>54</v>
      </c>
      <c r="AP3060" t="s">
        <v>53</v>
      </c>
      <c r="AQ3060">
        <v>0</v>
      </c>
      <c r="AR3060" t="s">
        <v>145</v>
      </c>
      <c r="AS3060">
        <v>0</v>
      </c>
      <c r="AT3060">
        <v>0</v>
      </c>
      <c r="CC3060" t="s">
        <v>432</v>
      </c>
      <c r="CD3060">
        <v>85000</v>
      </c>
      <c r="CE3060" s="1">
        <v>44872</v>
      </c>
      <c r="CF3060" s="1">
        <v>44872</v>
      </c>
      <c r="CG3060" s="1">
        <v>44872</v>
      </c>
      <c r="CH3060" s="1">
        <v>52495</v>
      </c>
      <c r="CI3060" t="s">
        <v>51</v>
      </c>
      <c r="CK3060" t="s">
        <v>78</v>
      </c>
      <c r="CM3060" t="s">
        <v>54</v>
      </c>
      <c r="CN3060" t="s">
        <v>174</v>
      </c>
      <c r="CO3060" t="s">
        <v>86</v>
      </c>
      <c r="CR3060">
        <v>24</v>
      </c>
      <c r="CS3060">
        <v>0</v>
      </c>
      <c r="CT3060">
        <v>0</v>
      </c>
      <c r="CU3060">
        <v>0</v>
      </c>
    </row>
    <row r="3061" spans="1:99" x14ac:dyDescent="0.2">
      <c r="A3061" t="s">
        <v>367</v>
      </c>
      <c r="B3061" t="s">
        <v>368</v>
      </c>
      <c r="C3061" t="s">
        <v>369</v>
      </c>
      <c r="D3061" t="s">
        <v>1155</v>
      </c>
      <c r="F3061" t="str">
        <f>"23953"</f>
        <v>23953</v>
      </c>
      <c r="G3061" t="s">
        <v>49</v>
      </c>
      <c r="H3061" t="s">
        <v>1236</v>
      </c>
      <c r="K3061" t="s">
        <v>51</v>
      </c>
      <c r="L3061" t="s">
        <v>52</v>
      </c>
      <c r="M3061">
        <v>137947.18</v>
      </c>
      <c r="N3061">
        <v>468759.98</v>
      </c>
      <c r="O3061" t="s">
        <v>53</v>
      </c>
      <c r="P3061" t="s">
        <v>54</v>
      </c>
      <c r="Q3061" t="s">
        <v>55</v>
      </c>
      <c r="T3061" t="s">
        <v>841</v>
      </c>
      <c r="U3061">
        <v>40</v>
      </c>
      <c r="V3061" s="1">
        <v>27759</v>
      </c>
      <c r="W3061" s="1">
        <v>27759</v>
      </c>
      <c r="X3061" s="1">
        <v>27759</v>
      </c>
      <c r="Y3061" s="1">
        <v>42369</v>
      </c>
      <c r="Z3061" t="s">
        <v>51</v>
      </c>
      <c r="AB3061" t="s">
        <v>54</v>
      </c>
      <c r="AC3061">
        <v>1</v>
      </c>
      <c r="AE3061" t="s">
        <v>356</v>
      </c>
      <c r="AF3061">
        <v>20</v>
      </c>
      <c r="AG3061" s="1">
        <v>44963</v>
      </c>
      <c r="AH3061" s="1">
        <v>44963</v>
      </c>
      <c r="AI3061" s="1">
        <v>44963</v>
      </c>
      <c r="AJ3061" s="1">
        <v>52268</v>
      </c>
      <c r="AK3061" t="s">
        <v>51</v>
      </c>
      <c r="AN3061">
        <v>0</v>
      </c>
      <c r="AO3061" t="s">
        <v>54</v>
      </c>
      <c r="AP3061" t="s">
        <v>53</v>
      </c>
      <c r="AQ3061">
        <v>0</v>
      </c>
      <c r="AR3061" t="s">
        <v>145</v>
      </c>
      <c r="AS3061">
        <v>0</v>
      </c>
      <c r="AT3061">
        <v>0</v>
      </c>
      <c r="CC3061" t="s">
        <v>432</v>
      </c>
      <c r="CD3061">
        <v>85000</v>
      </c>
      <c r="CE3061" s="1">
        <v>44963</v>
      </c>
      <c r="CF3061" s="1">
        <v>44963</v>
      </c>
      <c r="CG3061" s="1">
        <v>44963</v>
      </c>
      <c r="CH3061" s="1">
        <v>52591</v>
      </c>
      <c r="CI3061" t="s">
        <v>51</v>
      </c>
      <c r="CK3061" t="s">
        <v>78</v>
      </c>
      <c r="CM3061" t="s">
        <v>54</v>
      </c>
      <c r="CN3061" t="s">
        <v>174</v>
      </c>
      <c r="CO3061" t="s">
        <v>86</v>
      </c>
      <c r="CR3061">
        <v>24</v>
      </c>
      <c r="CS3061">
        <v>0</v>
      </c>
      <c r="CT3061">
        <v>0</v>
      </c>
      <c r="CU3061">
        <v>0</v>
      </c>
    </row>
    <row r="3062" spans="1:99" x14ac:dyDescent="0.2">
      <c r="A3062" t="s">
        <v>367</v>
      </c>
      <c r="B3062" t="s">
        <v>368</v>
      </c>
      <c r="C3062" t="s">
        <v>369</v>
      </c>
      <c r="D3062" t="s">
        <v>1155</v>
      </c>
      <c r="F3062" t="str">
        <f>"23954"</f>
        <v>23954</v>
      </c>
      <c r="G3062" t="s">
        <v>49</v>
      </c>
      <c r="H3062" t="s">
        <v>1237</v>
      </c>
      <c r="K3062" t="s">
        <v>51</v>
      </c>
      <c r="L3062" t="s">
        <v>52</v>
      </c>
      <c r="M3062">
        <v>137965.57</v>
      </c>
      <c r="N3062">
        <v>468734.22</v>
      </c>
      <c r="O3062" t="s">
        <v>53</v>
      </c>
      <c r="P3062" t="s">
        <v>54</v>
      </c>
      <c r="Q3062" t="s">
        <v>55</v>
      </c>
      <c r="T3062" t="s">
        <v>841</v>
      </c>
      <c r="U3062">
        <v>40</v>
      </c>
      <c r="V3062" s="1">
        <v>27759</v>
      </c>
      <c r="W3062" s="1">
        <v>27759</v>
      </c>
      <c r="X3062" s="1">
        <v>27759</v>
      </c>
      <c r="Y3062" s="1">
        <v>42369</v>
      </c>
      <c r="Z3062" t="s">
        <v>51</v>
      </c>
      <c r="AB3062" t="s">
        <v>54</v>
      </c>
      <c r="AC3062">
        <v>1</v>
      </c>
      <c r="AE3062" t="s">
        <v>1212</v>
      </c>
      <c r="AF3062">
        <v>20</v>
      </c>
      <c r="AG3062" s="1">
        <v>31777</v>
      </c>
      <c r="AH3062" s="1">
        <v>31777</v>
      </c>
      <c r="AI3062" s="1">
        <v>31777</v>
      </c>
      <c r="AJ3062" s="1">
        <v>39082</v>
      </c>
      <c r="AK3062" t="s">
        <v>51</v>
      </c>
      <c r="AN3062">
        <v>0</v>
      </c>
      <c r="AO3062" t="s">
        <v>54</v>
      </c>
      <c r="AP3062" t="s">
        <v>53</v>
      </c>
      <c r="AQ3062">
        <v>0</v>
      </c>
      <c r="AR3062" t="s">
        <v>53</v>
      </c>
      <c r="AS3062">
        <v>0</v>
      </c>
      <c r="AT3062">
        <v>0</v>
      </c>
      <c r="AW3062" t="s">
        <v>58</v>
      </c>
      <c r="AX3062">
        <v>20</v>
      </c>
      <c r="AY3062" s="1">
        <v>31777</v>
      </c>
      <c r="AZ3062" s="1">
        <v>31777</v>
      </c>
      <c r="BA3062" s="1">
        <v>31777</v>
      </c>
      <c r="BB3062" s="1">
        <v>39082</v>
      </c>
      <c r="BC3062" t="s">
        <v>51</v>
      </c>
      <c r="BE3062" t="s">
        <v>54</v>
      </c>
      <c r="BF3062">
        <v>2</v>
      </c>
      <c r="BG3062">
        <v>0</v>
      </c>
      <c r="BH3062" t="s">
        <v>53</v>
      </c>
      <c r="BK3062" t="s">
        <v>720</v>
      </c>
      <c r="BL3062">
        <v>17000</v>
      </c>
      <c r="BM3062" s="1">
        <v>41091</v>
      </c>
      <c r="BN3062" s="1">
        <v>41091</v>
      </c>
      <c r="BO3062" s="1">
        <v>41091</v>
      </c>
      <c r="BP3062" s="1">
        <v>42513</v>
      </c>
      <c r="BQ3062" t="s">
        <v>51</v>
      </c>
      <c r="BS3062" t="s">
        <v>60</v>
      </c>
      <c r="BT3062" t="s">
        <v>54</v>
      </c>
      <c r="BU3062" t="s">
        <v>721</v>
      </c>
      <c r="BV3062" t="s">
        <v>722</v>
      </c>
      <c r="BX3062">
        <v>18</v>
      </c>
      <c r="BY3062">
        <v>0</v>
      </c>
      <c r="BZ3062">
        <v>0</v>
      </c>
    </row>
    <row r="3063" spans="1:99" x14ac:dyDescent="0.2">
      <c r="A3063" t="s">
        <v>367</v>
      </c>
      <c r="B3063" t="s">
        <v>368</v>
      </c>
      <c r="C3063" t="s">
        <v>369</v>
      </c>
      <c r="D3063" t="s">
        <v>1155</v>
      </c>
      <c r="F3063" t="str">
        <f>"23956"</f>
        <v>23956</v>
      </c>
      <c r="G3063" t="s">
        <v>49</v>
      </c>
      <c r="H3063" t="s">
        <v>1238</v>
      </c>
      <c r="K3063" t="s">
        <v>51</v>
      </c>
      <c r="L3063" t="s">
        <v>52</v>
      </c>
      <c r="M3063">
        <v>137982.22</v>
      </c>
      <c r="N3063">
        <v>468673.86</v>
      </c>
      <c r="O3063" t="s">
        <v>53</v>
      </c>
      <c r="P3063" t="s">
        <v>54</v>
      </c>
      <c r="Q3063" t="s">
        <v>55</v>
      </c>
      <c r="T3063" t="s">
        <v>841</v>
      </c>
      <c r="U3063">
        <v>40</v>
      </c>
      <c r="V3063" s="1">
        <v>27759</v>
      </c>
      <c r="W3063" s="1">
        <v>27759</v>
      </c>
      <c r="X3063" s="1">
        <v>27759</v>
      </c>
      <c r="Y3063" s="1">
        <v>42369</v>
      </c>
      <c r="Z3063" t="s">
        <v>51</v>
      </c>
      <c r="AB3063" t="s">
        <v>54</v>
      </c>
      <c r="AC3063">
        <v>1</v>
      </c>
      <c r="AE3063" t="s">
        <v>57</v>
      </c>
      <c r="AF3063">
        <v>20</v>
      </c>
      <c r="AG3063" s="1">
        <v>40255</v>
      </c>
      <c r="AH3063" s="1">
        <v>40255</v>
      </c>
      <c r="AI3063" s="1">
        <v>40255</v>
      </c>
      <c r="AJ3063" s="1">
        <v>47560</v>
      </c>
      <c r="AK3063" t="s">
        <v>51</v>
      </c>
      <c r="AN3063">
        <v>0</v>
      </c>
      <c r="AO3063" t="s">
        <v>54</v>
      </c>
      <c r="AP3063" t="s">
        <v>53</v>
      </c>
      <c r="AQ3063">
        <v>0</v>
      </c>
      <c r="AR3063" t="s">
        <v>53</v>
      </c>
      <c r="AS3063">
        <v>0</v>
      </c>
      <c r="AT3063">
        <v>0</v>
      </c>
      <c r="AW3063" t="s">
        <v>58</v>
      </c>
      <c r="AX3063">
        <v>20</v>
      </c>
      <c r="AY3063" s="1">
        <v>40255</v>
      </c>
      <c r="AZ3063" s="1">
        <v>40255</v>
      </c>
      <c r="BA3063" s="1">
        <v>40255</v>
      </c>
      <c r="BB3063" s="1">
        <v>47560</v>
      </c>
      <c r="BC3063" t="s">
        <v>51</v>
      </c>
      <c r="BE3063" t="s">
        <v>54</v>
      </c>
      <c r="BF3063">
        <v>2</v>
      </c>
      <c r="BG3063">
        <v>0</v>
      </c>
      <c r="BH3063" t="s">
        <v>53</v>
      </c>
      <c r="BK3063" t="s">
        <v>59</v>
      </c>
      <c r="BL3063">
        <v>14000</v>
      </c>
      <c r="BM3063" s="1">
        <v>41091</v>
      </c>
      <c r="BN3063" s="1">
        <v>41091</v>
      </c>
      <c r="BO3063" s="1">
        <v>41091</v>
      </c>
      <c r="BP3063" s="1">
        <v>42291</v>
      </c>
      <c r="BQ3063" t="s">
        <v>51</v>
      </c>
      <c r="BS3063" t="s">
        <v>60</v>
      </c>
      <c r="BT3063" t="s">
        <v>54</v>
      </c>
      <c r="BU3063" t="s">
        <v>61</v>
      </c>
      <c r="BV3063" t="s">
        <v>62</v>
      </c>
      <c r="BX3063">
        <v>24</v>
      </c>
      <c r="BY3063">
        <v>0</v>
      </c>
      <c r="BZ3063">
        <v>0</v>
      </c>
    </row>
    <row r="3064" spans="1:99" x14ac:dyDescent="0.2">
      <c r="A3064" t="s">
        <v>367</v>
      </c>
      <c r="B3064" t="s">
        <v>368</v>
      </c>
      <c r="C3064" t="s">
        <v>369</v>
      </c>
      <c r="D3064" t="s">
        <v>1155</v>
      </c>
      <c r="F3064" t="str">
        <f>"23957"</f>
        <v>23957</v>
      </c>
      <c r="G3064" t="s">
        <v>49</v>
      </c>
      <c r="H3064" t="s">
        <v>1239</v>
      </c>
      <c r="K3064" t="s">
        <v>51</v>
      </c>
      <c r="L3064" t="s">
        <v>52</v>
      </c>
      <c r="M3064">
        <v>137992.79999999999</v>
      </c>
      <c r="N3064">
        <v>468647.81</v>
      </c>
      <c r="O3064" t="s">
        <v>53</v>
      </c>
      <c r="P3064" t="s">
        <v>54</v>
      </c>
      <c r="Q3064" t="s">
        <v>55</v>
      </c>
      <c r="T3064" t="s">
        <v>841</v>
      </c>
      <c r="U3064">
        <v>40</v>
      </c>
      <c r="V3064" s="1">
        <v>27759</v>
      </c>
      <c r="W3064" s="1">
        <v>27759</v>
      </c>
      <c r="X3064" s="1">
        <v>27759</v>
      </c>
      <c r="Y3064" s="1">
        <v>42369</v>
      </c>
      <c r="Z3064" t="s">
        <v>51</v>
      </c>
      <c r="AB3064" t="s">
        <v>54</v>
      </c>
      <c r="AC3064">
        <v>1</v>
      </c>
      <c r="AE3064" t="s">
        <v>1212</v>
      </c>
      <c r="AF3064">
        <v>20</v>
      </c>
      <c r="AG3064" s="1">
        <v>31777</v>
      </c>
      <c r="AH3064" s="1">
        <v>31777</v>
      </c>
      <c r="AI3064" s="1">
        <v>31777</v>
      </c>
      <c r="AJ3064" s="1">
        <v>39082</v>
      </c>
      <c r="AK3064" t="s">
        <v>51</v>
      </c>
      <c r="AN3064">
        <v>0</v>
      </c>
      <c r="AO3064" t="s">
        <v>54</v>
      </c>
      <c r="AP3064" t="s">
        <v>53</v>
      </c>
      <c r="AQ3064">
        <v>0</v>
      </c>
      <c r="AR3064" t="s">
        <v>53</v>
      </c>
      <c r="AS3064">
        <v>0</v>
      </c>
      <c r="AT3064">
        <v>0</v>
      </c>
      <c r="AW3064" t="s">
        <v>58</v>
      </c>
      <c r="AX3064">
        <v>20</v>
      </c>
      <c r="AY3064" s="1">
        <v>31777</v>
      </c>
      <c r="AZ3064" s="1">
        <v>31777</v>
      </c>
      <c r="BA3064" s="1">
        <v>31777</v>
      </c>
      <c r="BB3064" s="1">
        <v>39082</v>
      </c>
      <c r="BC3064" t="s">
        <v>51</v>
      </c>
      <c r="BE3064" t="s">
        <v>54</v>
      </c>
      <c r="BF3064">
        <v>2</v>
      </c>
      <c r="BG3064">
        <v>0</v>
      </c>
      <c r="BH3064" t="s">
        <v>53</v>
      </c>
      <c r="BK3064" t="s">
        <v>720</v>
      </c>
      <c r="BL3064">
        <v>17000</v>
      </c>
      <c r="BM3064" s="1">
        <v>41091</v>
      </c>
      <c r="BN3064" s="1">
        <v>41091</v>
      </c>
      <c r="BO3064" s="1">
        <v>41091</v>
      </c>
      <c r="BP3064" s="1">
        <v>42513</v>
      </c>
      <c r="BQ3064" t="s">
        <v>51</v>
      </c>
      <c r="BS3064" t="s">
        <v>60</v>
      </c>
      <c r="BT3064" t="s">
        <v>54</v>
      </c>
      <c r="BU3064" t="s">
        <v>721</v>
      </c>
      <c r="BV3064" t="s">
        <v>722</v>
      </c>
      <c r="BX3064">
        <v>18</v>
      </c>
      <c r="BY3064">
        <v>0</v>
      </c>
      <c r="BZ3064">
        <v>0</v>
      </c>
    </row>
    <row r="3065" spans="1:99" x14ac:dyDescent="0.2">
      <c r="A3065" t="s">
        <v>367</v>
      </c>
      <c r="B3065" t="s">
        <v>368</v>
      </c>
      <c r="C3065" t="s">
        <v>369</v>
      </c>
      <c r="D3065" t="s">
        <v>1155</v>
      </c>
      <c r="F3065" t="str">
        <f>"23958"</f>
        <v>23958</v>
      </c>
      <c r="G3065" t="s">
        <v>49</v>
      </c>
      <c r="H3065" t="s">
        <v>1240</v>
      </c>
      <c r="K3065" t="s">
        <v>51</v>
      </c>
      <c r="L3065" t="s">
        <v>52</v>
      </c>
      <c r="M3065">
        <v>138012.29999999999</v>
      </c>
      <c r="N3065">
        <v>468623.52</v>
      </c>
      <c r="O3065" t="s">
        <v>53</v>
      </c>
      <c r="P3065" t="s">
        <v>54</v>
      </c>
      <c r="Q3065" t="s">
        <v>55</v>
      </c>
      <c r="T3065" t="s">
        <v>841</v>
      </c>
      <c r="U3065">
        <v>40</v>
      </c>
      <c r="V3065" s="1">
        <v>27759</v>
      </c>
      <c r="W3065" s="1">
        <v>27759</v>
      </c>
      <c r="X3065" s="1">
        <v>27759</v>
      </c>
      <c r="Y3065" s="1">
        <v>42369</v>
      </c>
      <c r="Z3065" t="s">
        <v>51</v>
      </c>
      <c r="AB3065" t="s">
        <v>54</v>
      </c>
      <c r="AC3065">
        <v>1</v>
      </c>
      <c r="AE3065" t="s">
        <v>1212</v>
      </c>
      <c r="AF3065">
        <v>20</v>
      </c>
      <c r="AG3065" s="1">
        <v>31777</v>
      </c>
      <c r="AH3065" s="1">
        <v>31777</v>
      </c>
      <c r="AI3065" s="1">
        <v>31777</v>
      </c>
      <c r="AJ3065" s="1">
        <v>39082</v>
      </c>
      <c r="AK3065" t="s">
        <v>51</v>
      </c>
      <c r="AN3065">
        <v>0</v>
      </c>
      <c r="AO3065" t="s">
        <v>54</v>
      </c>
      <c r="AP3065" t="s">
        <v>53</v>
      </c>
      <c r="AQ3065">
        <v>0</v>
      </c>
      <c r="AR3065" t="s">
        <v>53</v>
      </c>
      <c r="AS3065">
        <v>0</v>
      </c>
      <c r="AT3065">
        <v>0</v>
      </c>
      <c r="AW3065" t="s">
        <v>58</v>
      </c>
      <c r="AX3065">
        <v>20</v>
      </c>
      <c r="AY3065" s="1">
        <v>31777</v>
      </c>
      <c r="AZ3065" s="1">
        <v>31777</v>
      </c>
      <c r="BA3065" s="1">
        <v>31777</v>
      </c>
      <c r="BB3065" s="1">
        <v>39082</v>
      </c>
      <c r="BC3065" t="s">
        <v>51</v>
      </c>
      <c r="BE3065" t="s">
        <v>54</v>
      </c>
      <c r="BF3065">
        <v>2</v>
      </c>
      <c r="BG3065">
        <v>0</v>
      </c>
      <c r="BH3065" t="s">
        <v>53</v>
      </c>
      <c r="BK3065" t="s">
        <v>720</v>
      </c>
      <c r="BL3065">
        <v>17000</v>
      </c>
      <c r="BM3065" s="1">
        <v>43774</v>
      </c>
      <c r="BN3065" s="1">
        <v>43774</v>
      </c>
      <c r="BO3065" s="1">
        <v>43774</v>
      </c>
      <c r="BP3065" s="1">
        <v>45214</v>
      </c>
      <c r="BQ3065" t="s">
        <v>51</v>
      </c>
      <c r="BS3065" t="s">
        <v>60</v>
      </c>
      <c r="BT3065" t="s">
        <v>54</v>
      </c>
      <c r="BU3065" t="s">
        <v>721</v>
      </c>
      <c r="BV3065" t="s">
        <v>722</v>
      </c>
      <c r="BX3065">
        <v>18</v>
      </c>
      <c r="BY3065">
        <v>0</v>
      </c>
      <c r="BZ3065">
        <v>0</v>
      </c>
    </row>
    <row r="3066" spans="1:99" x14ac:dyDescent="0.2">
      <c r="A3066" t="s">
        <v>367</v>
      </c>
      <c r="B3066" t="s">
        <v>368</v>
      </c>
      <c r="C3066" t="s">
        <v>369</v>
      </c>
      <c r="D3066" t="s">
        <v>1241</v>
      </c>
      <c r="F3066" t="str">
        <f>"254076"</f>
        <v>254076</v>
      </c>
      <c r="G3066" t="s">
        <v>49</v>
      </c>
      <c r="H3066" t="s">
        <v>1242</v>
      </c>
      <c r="K3066" t="s">
        <v>51</v>
      </c>
      <c r="L3066" t="s">
        <v>52</v>
      </c>
      <c r="M3066">
        <v>138042.10999999999</v>
      </c>
      <c r="N3066">
        <v>468555.37</v>
      </c>
      <c r="O3066" t="s">
        <v>53</v>
      </c>
      <c r="P3066" t="s">
        <v>54</v>
      </c>
      <c r="Q3066" t="s">
        <v>55</v>
      </c>
      <c r="T3066" t="s">
        <v>841</v>
      </c>
      <c r="U3066">
        <v>40</v>
      </c>
      <c r="V3066" s="1">
        <v>42552</v>
      </c>
      <c r="W3066" s="1">
        <v>42552</v>
      </c>
      <c r="X3066" s="1">
        <v>42552</v>
      </c>
      <c r="Y3066" s="1">
        <v>57162</v>
      </c>
      <c r="Z3066" t="s">
        <v>51</v>
      </c>
      <c r="AB3066" t="s">
        <v>54</v>
      </c>
      <c r="AC3066">
        <v>1</v>
      </c>
      <c r="AE3066" t="s">
        <v>79</v>
      </c>
      <c r="AF3066">
        <v>20</v>
      </c>
      <c r="AG3066" s="1">
        <v>42552</v>
      </c>
      <c r="AH3066" s="1">
        <v>42552</v>
      </c>
      <c r="AI3066" s="1">
        <v>42552</v>
      </c>
      <c r="AJ3066" s="1">
        <v>49857</v>
      </c>
      <c r="AK3066" t="s">
        <v>51</v>
      </c>
      <c r="AN3066">
        <v>0</v>
      </c>
      <c r="AO3066" t="s">
        <v>54</v>
      </c>
      <c r="AP3066" t="s">
        <v>53</v>
      </c>
      <c r="AQ3066">
        <v>0</v>
      </c>
      <c r="AR3066" t="s">
        <v>145</v>
      </c>
      <c r="AS3066">
        <v>0</v>
      </c>
      <c r="AT3066">
        <v>0</v>
      </c>
      <c r="CC3066" t="s">
        <v>850</v>
      </c>
      <c r="CD3066">
        <v>1</v>
      </c>
      <c r="CE3066" s="1">
        <v>42552</v>
      </c>
      <c r="CF3066" s="1">
        <v>42552</v>
      </c>
      <c r="CG3066" s="1">
        <v>42552</v>
      </c>
      <c r="CH3066" s="1">
        <v>42552</v>
      </c>
      <c r="CI3066" t="s">
        <v>51</v>
      </c>
      <c r="CK3066" t="s">
        <v>78</v>
      </c>
      <c r="CM3066" t="s">
        <v>54</v>
      </c>
      <c r="CN3066" t="s">
        <v>174</v>
      </c>
      <c r="CO3066" t="s">
        <v>86</v>
      </c>
      <c r="CR3066">
        <v>18</v>
      </c>
      <c r="CS3066">
        <v>0</v>
      </c>
      <c r="CT3066">
        <v>0</v>
      </c>
      <c r="CU3066">
        <v>0</v>
      </c>
    </row>
    <row r="3067" spans="1:99" x14ac:dyDescent="0.2">
      <c r="A3067" t="s">
        <v>367</v>
      </c>
      <c r="B3067" t="s">
        <v>368</v>
      </c>
      <c r="C3067" t="s">
        <v>369</v>
      </c>
      <c r="D3067" t="s">
        <v>1241</v>
      </c>
      <c r="F3067" t="str">
        <f>"254077"</f>
        <v>254077</v>
      </c>
      <c r="G3067" t="s">
        <v>49</v>
      </c>
      <c r="H3067" t="s">
        <v>1243</v>
      </c>
      <c r="K3067" t="s">
        <v>51</v>
      </c>
      <c r="L3067" t="s">
        <v>52</v>
      </c>
      <c r="M3067">
        <v>138048.39000000001</v>
      </c>
      <c r="N3067">
        <v>468524.05</v>
      </c>
      <c r="O3067" t="s">
        <v>53</v>
      </c>
      <c r="P3067" t="s">
        <v>54</v>
      </c>
      <c r="Q3067" t="s">
        <v>55</v>
      </c>
      <c r="T3067" t="s">
        <v>183</v>
      </c>
      <c r="U3067">
        <v>40</v>
      </c>
      <c r="V3067" s="1">
        <v>42552</v>
      </c>
      <c r="W3067" s="1">
        <v>42552</v>
      </c>
      <c r="X3067" s="1">
        <v>42552</v>
      </c>
      <c r="Y3067" s="1">
        <v>57162</v>
      </c>
      <c r="Z3067" t="s">
        <v>51</v>
      </c>
      <c r="AB3067" t="s">
        <v>54</v>
      </c>
      <c r="AC3067">
        <v>1</v>
      </c>
      <c r="AE3067" t="s">
        <v>79</v>
      </c>
      <c r="AF3067">
        <v>20</v>
      </c>
      <c r="AG3067" s="1">
        <v>42552</v>
      </c>
      <c r="AH3067" s="1">
        <v>42552</v>
      </c>
      <c r="AI3067" s="1">
        <v>42552</v>
      </c>
      <c r="AJ3067" s="1">
        <v>49857</v>
      </c>
      <c r="AK3067" t="s">
        <v>51</v>
      </c>
      <c r="AN3067">
        <v>0</v>
      </c>
      <c r="AO3067" t="s">
        <v>54</v>
      </c>
      <c r="AP3067" t="s">
        <v>53</v>
      </c>
      <c r="AQ3067">
        <v>0</v>
      </c>
      <c r="AR3067" t="s">
        <v>145</v>
      </c>
      <c r="AS3067">
        <v>0</v>
      </c>
      <c r="AT3067">
        <v>0</v>
      </c>
      <c r="CC3067" t="s">
        <v>432</v>
      </c>
      <c r="CD3067">
        <v>85000</v>
      </c>
      <c r="CE3067" s="1">
        <v>42552</v>
      </c>
      <c r="CF3067" s="1">
        <v>42552</v>
      </c>
      <c r="CG3067" s="1">
        <v>42552</v>
      </c>
      <c r="CH3067" s="1">
        <v>49714</v>
      </c>
      <c r="CI3067" t="s">
        <v>51</v>
      </c>
      <c r="CK3067" t="s">
        <v>78</v>
      </c>
      <c r="CM3067" t="s">
        <v>54</v>
      </c>
      <c r="CN3067" t="s">
        <v>174</v>
      </c>
      <c r="CO3067" t="s">
        <v>86</v>
      </c>
      <c r="CR3067">
        <v>24</v>
      </c>
      <c r="CS3067">
        <v>0</v>
      </c>
      <c r="CT3067">
        <v>0</v>
      </c>
      <c r="CU3067">
        <v>0</v>
      </c>
    </row>
    <row r="3068" spans="1:99" x14ac:dyDescent="0.2">
      <c r="A3068" t="s">
        <v>367</v>
      </c>
      <c r="B3068" t="s">
        <v>368</v>
      </c>
      <c r="C3068" t="s">
        <v>369</v>
      </c>
      <c r="D3068" t="s">
        <v>1241</v>
      </c>
      <c r="F3068" t="str">
        <f>"254078"</f>
        <v>254078</v>
      </c>
      <c r="G3068" t="s">
        <v>49</v>
      </c>
      <c r="H3068" t="s">
        <v>1244</v>
      </c>
      <c r="K3068" t="s">
        <v>51</v>
      </c>
      <c r="L3068" t="s">
        <v>52</v>
      </c>
      <c r="M3068">
        <v>138073.03</v>
      </c>
      <c r="N3068">
        <v>468492.03</v>
      </c>
      <c r="O3068" t="s">
        <v>53</v>
      </c>
      <c r="P3068" t="s">
        <v>54</v>
      </c>
      <c r="Q3068" t="s">
        <v>55</v>
      </c>
      <c r="T3068" t="s">
        <v>841</v>
      </c>
      <c r="U3068">
        <v>40</v>
      </c>
      <c r="V3068" s="1">
        <v>42552</v>
      </c>
      <c r="W3068" s="1">
        <v>42552</v>
      </c>
      <c r="X3068" s="1">
        <v>42552</v>
      </c>
      <c r="Y3068" s="1">
        <v>57162</v>
      </c>
      <c r="Z3068" t="s">
        <v>51</v>
      </c>
      <c r="AB3068" t="s">
        <v>54</v>
      </c>
      <c r="AC3068">
        <v>1</v>
      </c>
      <c r="AE3068" t="s">
        <v>79</v>
      </c>
      <c r="AF3068">
        <v>20</v>
      </c>
      <c r="AG3068" s="1">
        <v>42552</v>
      </c>
      <c r="AH3068" s="1">
        <v>42552</v>
      </c>
      <c r="AI3068" s="1">
        <v>42552</v>
      </c>
      <c r="AJ3068" s="1">
        <v>49857</v>
      </c>
      <c r="AK3068" t="s">
        <v>51</v>
      </c>
      <c r="AN3068">
        <v>0</v>
      </c>
      <c r="AO3068" t="s">
        <v>54</v>
      </c>
      <c r="AP3068" t="s">
        <v>53</v>
      </c>
      <c r="AQ3068">
        <v>0</v>
      </c>
      <c r="AR3068" t="s">
        <v>145</v>
      </c>
      <c r="AS3068">
        <v>0</v>
      </c>
      <c r="AT3068">
        <v>0</v>
      </c>
      <c r="CC3068" t="s">
        <v>850</v>
      </c>
      <c r="CD3068">
        <v>1</v>
      </c>
      <c r="CE3068" s="1">
        <v>42552</v>
      </c>
      <c r="CF3068" s="1">
        <v>42552</v>
      </c>
      <c r="CG3068" s="1">
        <v>42552</v>
      </c>
      <c r="CH3068" s="1">
        <v>49714</v>
      </c>
      <c r="CI3068" t="s">
        <v>51</v>
      </c>
      <c r="CK3068" t="s">
        <v>78</v>
      </c>
      <c r="CM3068" t="s">
        <v>54</v>
      </c>
      <c r="CN3068" t="s">
        <v>174</v>
      </c>
      <c r="CO3068" t="s">
        <v>86</v>
      </c>
      <c r="CR3068">
        <v>18</v>
      </c>
      <c r="CS3068">
        <v>0</v>
      </c>
      <c r="CT3068">
        <v>0</v>
      </c>
      <c r="CU3068">
        <v>0</v>
      </c>
    </row>
    <row r="3069" spans="1:99" x14ac:dyDescent="0.2">
      <c r="A3069" t="s">
        <v>367</v>
      </c>
      <c r="B3069" t="s">
        <v>368</v>
      </c>
      <c r="C3069" t="s">
        <v>369</v>
      </c>
      <c r="D3069" t="s">
        <v>1241</v>
      </c>
      <c r="F3069" t="str">
        <f>"254080"</f>
        <v>254080</v>
      </c>
      <c r="G3069" t="s">
        <v>49</v>
      </c>
      <c r="H3069" t="s">
        <v>1245</v>
      </c>
      <c r="K3069" t="s">
        <v>51</v>
      </c>
      <c r="L3069" t="s">
        <v>52</v>
      </c>
      <c r="M3069">
        <v>138088.57</v>
      </c>
      <c r="N3069">
        <v>468442.57</v>
      </c>
      <c r="O3069" t="s">
        <v>53</v>
      </c>
      <c r="P3069" t="s">
        <v>54</v>
      </c>
      <c r="Q3069" t="s">
        <v>55</v>
      </c>
      <c r="T3069" t="s">
        <v>841</v>
      </c>
      <c r="U3069">
        <v>40</v>
      </c>
      <c r="V3069" s="1">
        <v>42552</v>
      </c>
      <c r="W3069" s="1">
        <v>42552</v>
      </c>
      <c r="X3069" s="1">
        <v>42552</v>
      </c>
      <c r="Y3069" s="1">
        <v>57162</v>
      </c>
      <c r="Z3069" t="s">
        <v>51</v>
      </c>
      <c r="AB3069" t="s">
        <v>54</v>
      </c>
      <c r="AC3069">
        <v>1</v>
      </c>
      <c r="AE3069" t="s">
        <v>79</v>
      </c>
      <c r="AF3069">
        <v>20</v>
      </c>
      <c r="AG3069" s="1">
        <v>42552</v>
      </c>
      <c r="AH3069" s="1">
        <v>42552</v>
      </c>
      <c r="AI3069" s="1">
        <v>42552</v>
      </c>
      <c r="AJ3069" s="1">
        <v>49857</v>
      </c>
      <c r="AK3069" t="s">
        <v>51</v>
      </c>
      <c r="AN3069">
        <v>0</v>
      </c>
      <c r="AO3069" t="s">
        <v>54</v>
      </c>
      <c r="AP3069" t="s">
        <v>53</v>
      </c>
      <c r="AQ3069">
        <v>0</v>
      </c>
      <c r="AR3069" t="s">
        <v>145</v>
      </c>
      <c r="AS3069">
        <v>0</v>
      </c>
      <c r="AT3069">
        <v>0</v>
      </c>
      <c r="CC3069" t="s">
        <v>850</v>
      </c>
      <c r="CD3069">
        <v>1</v>
      </c>
      <c r="CE3069" s="1">
        <v>42552</v>
      </c>
      <c r="CF3069" s="1">
        <v>42552</v>
      </c>
      <c r="CG3069" s="1">
        <v>42552</v>
      </c>
      <c r="CH3069" s="1">
        <v>49714</v>
      </c>
      <c r="CI3069" t="s">
        <v>51</v>
      </c>
      <c r="CK3069" t="s">
        <v>78</v>
      </c>
      <c r="CM3069" t="s">
        <v>54</v>
      </c>
      <c r="CN3069" t="s">
        <v>174</v>
      </c>
      <c r="CO3069" t="s">
        <v>86</v>
      </c>
      <c r="CR3069">
        <v>18</v>
      </c>
      <c r="CS3069">
        <v>0</v>
      </c>
      <c r="CT3069">
        <v>0</v>
      </c>
      <c r="CU3069">
        <v>0</v>
      </c>
    </row>
    <row r="3070" spans="1:99" x14ac:dyDescent="0.2">
      <c r="A3070" t="s">
        <v>367</v>
      </c>
      <c r="B3070" t="s">
        <v>368</v>
      </c>
      <c r="C3070" t="s">
        <v>369</v>
      </c>
      <c r="D3070" t="s">
        <v>1241</v>
      </c>
      <c r="F3070" t="str">
        <f>"254082"</f>
        <v>254082</v>
      </c>
      <c r="G3070" t="s">
        <v>49</v>
      </c>
      <c r="H3070" t="s">
        <v>1246</v>
      </c>
      <c r="K3070" t="s">
        <v>51</v>
      </c>
      <c r="L3070" t="s">
        <v>52</v>
      </c>
      <c r="M3070">
        <v>138108.13</v>
      </c>
      <c r="N3070">
        <v>468419.83</v>
      </c>
      <c r="O3070" t="s">
        <v>53</v>
      </c>
      <c r="P3070" t="s">
        <v>54</v>
      </c>
      <c r="Q3070" t="s">
        <v>55</v>
      </c>
      <c r="T3070" t="s">
        <v>183</v>
      </c>
      <c r="U3070">
        <v>40</v>
      </c>
      <c r="V3070" s="1">
        <v>42552</v>
      </c>
      <c r="W3070" s="1">
        <v>42552</v>
      </c>
      <c r="X3070" s="1">
        <v>42552</v>
      </c>
      <c r="Y3070" s="1">
        <v>57162</v>
      </c>
      <c r="Z3070" t="s">
        <v>51</v>
      </c>
      <c r="AB3070" t="s">
        <v>54</v>
      </c>
      <c r="AC3070">
        <v>1</v>
      </c>
      <c r="AE3070" t="s">
        <v>79</v>
      </c>
      <c r="AF3070">
        <v>20</v>
      </c>
      <c r="AG3070" s="1">
        <v>42552</v>
      </c>
      <c r="AH3070" s="1">
        <v>42552</v>
      </c>
      <c r="AI3070" s="1">
        <v>42552</v>
      </c>
      <c r="AJ3070" s="1">
        <v>49857</v>
      </c>
      <c r="AK3070" t="s">
        <v>51</v>
      </c>
      <c r="AN3070">
        <v>0</v>
      </c>
      <c r="AO3070" t="s">
        <v>54</v>
      </c>
      <c r="AP3070" t="s">
        <v>53</v>
      </c>
      <c r="AQ3070">
        <v>0</v>
      </c>
      <c r="AR3070" t="s">
        <v>145</v>
      </c>
      <c r="AS3070">
        <v>0</v>
      </c>
      <c r="AT3070">
        <v>0</v>
      </c>
      <c r="CC3070" t="s">
        <v>850</v>
      </c>
      <c r="CD3070">
        <v>1</v>
      </c>
      <c r="CE3070" s="1">
        <v>42552</v>
      </c>
      <c r="CF3070" s="1">
        <v>42552</v>
      </c>
      <c r="CG3070" s="1">
        <v>42552</v>
      </c>
      <c r="CH3070" s="1">
        <v>49714</v>
      </c>
      <c r="CI3070" t="s">
        <v>51</v>
      </c>
      <c r="CK3070" t="s">
        <v>78</v>
      </c>
      <c r="CM3070" t="s">
        <v>54</v>
      </c>
      <c r="CN3070" t="s">
        <v>174</v>
      </c>
      <c r="CO3070" t="s">
        <v>86</v>
      </c>
      <c r="CR3070">
        <v>18</v>
      </c>
      <c r="CS3070">
        <v>0</v>
      </c>
      <c r="CT3070">
        <v>0</v>
      </c>
      <c r="CU3070">
        <v>0</v>
      </c>
    </row>
    <row r="3071" spans="1:99" x14ac:dyDescent="0.2">
      <c r="A3071" t="s">
        <v>367</v>
      </c>
      <c r="B3071" t="s">
        <v>368</v>
      </c>
      <c r="C3071" t="s">
        <v>369</v>
      </c>
      <c r="D3071" t="s">
        <v>1241</v>
      </c>
      <c r="F3071" t="str">
        <f>"254086"</f>
        <v>254086</v>
      </c>
      <c r="G3071" t="s">
        <v>49</v>
      </c>
      <c r="H3071">
        <v>84</v>
      </c>
      <c r="K3071" t="s">
        <v>51</v>
      </c>
      <c r="L3071" t="s">
        <v>52</v>
      </c>
      <c r="M3071">
        <v>138135.38</v>
      </c>
      <c r="N3071">
        <v>468357.81</v>
      </c>
      <c r="O3071" t="s">
        <v>53</v>
      </c>
      <c r="P3071" t="s">
        <v>54</v>
      </c>
      <c r="Q3071" t="s">
        <v>55</v>
      </c>
      <c r="T3071" t="s">
        <v>841</v>
      </c>
      <c r="U3071">
        <v>40</v>
      </c>
      <c r="V3071" s="1">
        <v>42552</v>
      </c>
      <c r="W3071" s="1">
        <v>42552</v>
      </c>
      <c r="X3071" s="1">
        <v>42552</v>
      </c>
      <c r="Y3071" s="1">
        <v>57162</v>
      </c>
      <c r="Z3071" t="s">
        <v>51</v>
      </c>
      <c r="AB3071" t="s">
        <v>54</v>
      </c>
      <c r="AC3071">
        <v>1</v>
      </c>
      <c r="AE3071" t="s">
        <v>79</v>
      </c>
      <c r="AF3071">
        <v>20</v>
      </c>
      <c r="AG3071" s="1">
        <v>42552</v>
      </c>
      <c r="AH3071" s="1">
        <v>42552</v>
      </c>
      <c r="AI3071" s="1">
        <v>42552</v>
      </c>
      <c r="AJ3071" s="1">
        <v>49857</v>
      </c>
      <c r="AK3071" t="s">
        <v>51</v>
      </c>
      <c r="AN3071">
        <v>0</v>
      </c>
      <c r="AO3071" t="s">
        <v>54</v>
      </c>
      <c r="AP3071" t="s">
        <v>53</v>
      </c>
      <c r="AQ3071">
        <v>0</v>
      </c>
      <c r="AR3071" t="s">
        <v>145</v>
      </c>
      <c r="AS3071">
        <v>0</v>
      </c>
      <c r="AT3071">
        <v>0</v>
      </c>
      <c r="CC3071" t="s">
        <v>560</v>
      </c>
      <c r="CD3071">
        <v>85000</v>
      </c>
      <c r="CE3071" s="1">
        <v>42552</v>
      </c>
      <c r="CF3071" s="1">
        <v>42552</v>
      </c>
      <c r="CG3071" s="1">
        <v>42552</v>
      </c>
      <c r="CH3071" s="1">
        <v>49714</v>
      </c>
      <c r="CI3071" t="s">
        <v>51</v>
      </c>
      <c r="CK3071" t="s">
        <v>78</v>
      </c>
      <c r="CM3071" t="s">
        <v>54</v>
      </c>
      <c r="CN3071" t="s">
        <v>174</v>
      </c>
      <c r="CO3071" t="s">
        <v>86</v>
      </c>
      <c r="CR3071">
        <v>36</v>
      </c>
      <c r="CS3071">
        <v>0</v>
      </c>
      <c r="CT3071">
        <v>0</v>
      </c>
      <c r="CU3071">
        <v>0</v>
      </c>
    </row>
    <row r="3072" spans="1:99" x14ac:dyDescent="0.2">
      <c r="A3072" t="s">
        <v>367</v>
      </c>
      <c r="B3072" t="s">
        <v>368</v>
      </c>
      <c r="C3072" t="s">
        <v>369</v>
      </c>
      <c r="D3072" t="s">
        <v>1241</v>
      </c>
      <c r="F3072" t="str">
        <f>"254087"</f>
        <v>254087</v>
      </c>
      <c r="G3072" t="s">
        <v>49</v>
      </c>
      <c r="H3072" t="s">
        <v>1247</v>
      </c>
      <c r="K3072" t="s">
        <v>51</v>
      </c>
      <c r="L3072" t="s">
        <v>52</v>
      </c>
      <c r="M3072">
        <v>138134.29999999999</v>
      </c>
      <c r="N3072">
        <v>468327.52</v>
      </c>
      <c r="O3072" t="s">
        <v>53</v>
      </c>
      <c r="P3072" t="s">
        <v>54</v>
      </c>
      <c r="Q3072" t="s">
        <v>55</v>
      </c>
      <c r="T3072" t="s">
        <v>1248</v>
      </c>
      <c r="U3072">
        <v>40</v>
      </c>
      <c r="V3072" s="1">
        <v>42552</v>
      </c>
      <c r="W3072" s="1">
        <v>42552</v>
      </c>
      <c r="X3072" s="1">
        <v>42552</v>
      </c>
      <c r="Y3072" s="1">
        <v>57162</v>
      </c>
      <c r="Z3072" t="s">
        <v>51</v>
      </c>
      <c r="AB3072" t="s">
        <v>54</v>
      </c>
      <c r="AC3072">
        <v>1</v>
      </c>
      <c r="AE3072" t="s">
        <v>79</v>
      </c>
      <c r="AF3072">
        <v>20</v>
      </c>
      <c r="AG3072" s="1">
        <v>42552</v>
      </c>
      <c r="AH3072" s="1">
        <v>42552</v>
      </c>
      <c r="AI3072" s="1">
        <v>42552</v>
      </c>
      <c r="AJ3072" s="1">
        <v>49857</v>
      </c>
      <c r="AK3072" t="s">
        <v>51</v>
      </c>
      <c r="AN3072">
        <v>0</v>
      </c>
      <c r="AO3072" t="s">
        <v>54</v>
      </c>
      <c r="AP3072" t="s">
        <v>53</v>
      </c>
      <c r="AQ3072">
        <v>0</v>
      </c>
      <c r="AR3072" t="s">
        <v>145</v>
      </c>
      <c r="AS3072">
        <v>0</v>
      </c>
      <c r="AT3072">
        <v>0</v>
      </c>
      <c r="CC3072" t="s">
        <v>432</v>
      </c>
      <c r="CD3072">
        <v>85000</v>
      </c>
      <c r="CE3072" s="1">
        <v>42552</v>
      </c>
      <c r="CF3072" s="1">
        <v>42552</v>
      </c>
      <c r="CG3072" s="1">
        <v>42552</v>
      </c>
      <c r="CH3072" s="1">
        <v>49714</v>
      </c>
      <c r="CI3072" t="s">
        <v>51</v>
      </c>
      <c r="CK3072" t="s">
        <v>78</v>
      </c>
      <c r="CM3072" t="s">
        <v>54</v>
      </c>
      <c r="CN3072" t="s">
        <v>174</v>
      </c>
      <c r="CO3072" t="s">
        <v>86</v>
      </c>
      <c r="CR3072">
        <v>24</v>
      </c>
      <c r="CS3072">
        <v>0</v>
      </c>
      <c r="CT3072">
        <v>0</v>
      </c>
      <c r="CU3072">
        <v>0</v>
      </c>
    </row>
    <row r="3073" spans="1:99" x14ac:dyDescent="0.2">
      <c r="A3073" t="s">
        <v>367</v>
      </c>
      <c r="B3073" t="s">
        <v>368</v>
      </c>
      <c r="C3073" t="s">
        <v>369</v>
      </c>
      <c r="D3073" t="s">
        <v>1241</v>
      </c>
      <c r="F3073" t="str">
        <f>"254088"</f>
        <v>254088</v>
      </c>
      <c r="G3073" t="s">
        <v>49</v>
      </c>
      <c r="H3073">
        <v>70</v>
      </c>
      <c r="K3073" t="s">
        <v>51</v>
      </c>
      <c r="L3073" t="s">
        <v>52</v>
      </c>
      <c r="M3073">
        <v>138151.98000000001</v>
      </c>
      <c r="N3073">
        <v>468303.17</v>
      </c>
      <c r="O3073" t="s">
        <v>53</v>
      </c>
      <c r="P3073" t="s">
        <v>54</v>
      </c>
      <c r="Q3073" t="s">
        <v>55</v>
      </c>
      <c r="T3073" t="s">
        <v>1248</v>
      </c>
      <c r="U3073">
        <v>40</v>
      </c>
      <c r="V3073" s="1">
        <v>42552</v>
      </c>
      <c r="W3073" s="1">
        <v>42552</v>
      </c>
      <c r="X3073" s="1">
        <v>42552</v>
      </c>
      <c r="Y3073" s="1">
        <v>57162</v>
      </c>
      <c r="Z3073" t="s">
        <v>51</v>
      </c>
      <c r="AB3073" t="s">
        <v>54</v>
      </c>
      <c r="AC3073">
        <v>1</v>
      </c>
      <c r="AE3073" t="s">
        <v>79</v>
      </c>
      <c r="AF3073">
        <v>20</v>
      </c>
      <c r="AG3073" s="1">
        <v>42552</v>
      </c>
      <c r="AH3073" s="1">
        <v>42552</v>
      </c>
      <c r="AI3073" s="1">
        <v>42552</v>
      </c>
      <c r="AJ3073" s="1">
        <v>49857</v>
      </c>
      <c r="AK3073" t="s">
        <v>51</v>
      </c>
      <c r="AN3073">
        <v>0</v>
      </c>
      <c r="AO3073" t="s">
        <v>54</v>
      </c>
      <c r="AP3073" t="s">
        <v>53</v>
      </c>
      <c r="AQ3073">
        <v>0</v>
      </c>
      <c r="AR3073" t="s">
        <v>145</v>
      </c>
      <c r="AS3073">
        <v>0</v>
      </c>
      <c r="AT3073">
        <v>0</v>
      </c>
      <c r="CC3073" t="s">
        <v>560</v>
      </c>
      <c r="CD3073">
        <v>85000</v>
      </c>
      <c r="CE3073" s="1">
        <v>42552</v>
      </c>
      <c r="CF3073" s="1">
        <v>42552</v>
      </c>
      <c r="CG3073" s="1">
        <v>42552</v>
      </c>
      <c r="CH3073" s="1">
        <v>49714</v>
      </c>
      <c r="CI3073" t="s">
        <v>51</v>
      </c>
      <c r="CK3073" t="s">
        <v>78</v>
      </c>
      <c r="CM3073" t="s">
        <v>54</v>
      </c>
      <c r="CN3073" t="s">
        <v>174</v>
      </c>
      <c r="CO3073" t="s">
        <v>86</v>
      </c>
      <c r="CR3073">
        <v>36</v>
      </c>
      <c r="CS3073">
        <v>0</v>
      </c>
      <c r="CT3073">
        <v>0</v>
      </c>
      <c r="CU3073">
        <v>0</v>
      </c>
    </row>
    <row r="3074" spans="1:99" x14ac:dyDescent="0.2">
      <c r="A3074" t="s">
        <v>367</v>
      </c>
      <c r="B3074" t="s">
        <v>368</v>
      </c>
      <c r="C3074" t="s">
        <v>369</v>
      </c>
      <c r="D3074" t="s">
        <v>1241</v>
      </c>
      <c r="F3074" t="str">
        <f>"254089"</f>
        <v>254089</v>
      </c>
      <c r="G3074" t="s">
        <v>49</v>
      </c>
      <c r="H3074">
        <v>25</v>
      </c>
      <c r="K3074" t="s">
        <v>51</v>
      </c>
      <c r="L3074" t="s">
        <v>52</v>
      </c>
      <c r="M3074">
        <v>138153.43</v>
      </c>
      <c r="N3074">
        <v>468266.49</v>
      </c>
      <c r="O3074" t="s">
        <v>53</v>
      </c>
      <c r="P3074" t="s">
        <v>54</v>
      </c>
      <c r="Q3074" t="s">
        <v>55</v>
      </c>
      <c r="T3074" t="s">
        <v>183</v>
      </c>
      <c r="U3074">
        <v>40</v>
      </c>
      <c r="V3074" s="1">
        <v>42552</v>
      </c>
      <c r="W3074" s="1">
        <v>42552</v>
      </c>
      <c r="X3074" s="1">
        <v>42552</v>
      </c>
      <c r="Y3074" s="1">
        <v>57162</v>
      </c>
      <c r="Z3074" t="s">
        <v>51</v>
      </c>
      <c r="AB3074" t="s">
        <v>54</v>
      </c>
      <c r="AC3074">
        <v>1</v>
      </c>
      <c r="AE3074" t="s">
        <v>79</v>
      </c>
      <c r="AF3074">
        <v>20</v>
      </c>
      <c r="AG3074" s="1">
        <v>42552</v>
      </c>
      <c r="AH3074" s="1">
        <v>42552</v>
      </c>
      <c r="AI3074" s="1">
        <v>42552</v>
      </c>
      <c r="AJ3074" s="1">
        <v>49857</v>
      </c>
      <c r="AK3074" t="s">
        <v>51</v>
      </c>
      <c r="AN3074">
        <v>0</v>
      </c>
      <c r="AO3074" t="s">
        <v>54</v>
      </c>
      <c r="AP3074" t="s">
        <v>53</v>
      </c>
      <c r="AQ3074">
        <v>0</v>
      </c>
      <c r="AR3074" t="s">
        <v>145</v>
      </c>
      <c r="AS3074">
        <v>0</v>
      </c>
      <c r="AT3074">
        <v>0</v>
      </c>
      <c r="CC3074" t="s">
        <v>560</v>
      </c>
      <c r="CD3074">
        <v>85000</v>
      </c>
      <c r="CE3074" s="1">
        <v>42552</v>
      </c>
      <c r="CF3074" s="1">
        <v>42552</v>
      </c>
      <c r="CG3074" s="1">
        <v>42552</v>
      </c>
      <c r="CH3074" s="1">
        <v>49714</v>
      </c>
      <c r="CI3074" t="s">
        <v>51</v>
      </c>
      <c r="CK3074" t="s">
        <v>78</v>
      </c>
      <c r="CM3074" t="s">
        <v>54</v>
      </c>
      <c r="CN3074" t="s">
        <v>174</v>
      </c>
      <c r="CO3074" t="s">
        <v>86</v>
      </c>
      <c r="CR3074">
        <v>36</v>
      </c>
      <c r="CS3074">
        <v>0</v>
      </c>
      <c r="CT3074">
        <v>0</v>
      </c>
      <c r="CU3074">
        <v>0</v>
      </c>
    </row>
    <row r="3075" spans="1:99" x14ac:dyDescent="0.2">
      <c r="A3075" t="s">
        <v>367</v>
      </c>
      <c r="B3075" t="s">
        <v>368</v>
      </c>
      <c r="C3075" t="s">
        <v>369</v>
      </c>
      <c r="D3075" t="s">
        <v>1241</v>
      </c>
      <c r="F3075" t="str">
        <f>"254090"</f>
        <v>254090</v>
      </c>
      <c r="G3075" t="s">
        <v>49</v>
      </c>
      <c r="H3075">
        <v>56</v>
      </c>
      <c r="K3075" t="s">
        <v>51</v>
      </c>
      <c r="L3075" t="s">
        <v>52</v>
      </c>
      <c r="M3075">
        <v>138168.28</v>
      </c>
      <c r="N3075">
        <v>468248.27</v>
      </c>
      <c r="O3075" t="s">
        <v>53</v>
      </c>
      <c r="P3075" t="s">
        <v>54</v>
      </c>
      <c r="Q3075" t="s">
        <v>55</v>
      </c>
      <c r="T3075" t="s">
        <v>1248</v>
      </c>
      <c r="U3075">
        <v>40</v>
      </c>
      <c r="V3075" s="1">
        <v>42552</v>
      </c>
      <c r="W3075" s="1">
        <v>42552</v>
      </c>
      <c r="X3075" s="1">
        <v>42552</v>
      </c>
      <c r="Y3075" s="1">
        <v>57162</v>
      </c>
      <c r="Z3075" t="s">
        <v>51</v>
      </c>
      <c r="AB3075" t="s">
        <v>54</v>
      </c>
      <c r="AC3075">
        <v>1</v>
      </c>
      <c r="AE3075" t="s">
        <v>79</v>
      </c>
      <c r="AF3075">
        <v>20</v>
      </c>
      <c r="AG3075" s="1">
        <v>42552</v>
      </c>
      <c r="AH3075" s="1">
        <v>42552</v>
      </c>
      <c r="AI3075" s="1">
        <v>42552</v>
      </c>
      <c r="AJ3075" s="1">
        <v>49857</v>
      </c>
      <c r="AK3075" t="s">
        <v>51</v>
      </c>
      <c r="AN3075">
        <v>0</v>
      </c>
      <c r="AO3075" t="s">
        <v>54</v>
      </c>
      <c r="AP3075" t="s">
        <v>53</v>
      </c>
      <c r="AQ3075">
        <v>0</v>
      </c>
      <c r="AR3075" t="s">
        <v>145</v>
      </c>
      <c r="AS3075">
        <v>0</v>
      </c>
      <c r="AT3075">
        <v>0</v>
      </c>
      <c r="CC3075" t="s">
        <v>560</v>
      </c>
      <c r="CD3075">
        <v>85000</v>
      </c>
      <c r="CE3075" s="1">
        <v>42552</v>
      </c>
      <c r="CF3075" s="1">
        <v>42552</v>
      </c>
      <c r="CG3075" s="1">
        <v>42552</v>
      </c>
      <c r="CH3075" s="1">
        <v>49714</v>
      </c>
      <c r="CI3075" t="s">
        <v>51</v>
      </c>
      <c r="CK3075" t="s">
        <v>78</v>
      </c>
      <c r="CM3075" t="s">
        <v>54</v>
      </c>
      <c r="CN3075" t="s">
        <v>174</v>
      </c>
      <c r="CO3075" t="s">
        <v>86</v>
      </c>
      <c r="CR3075">
        <v>36</v>
      </c>
      <c r="CS3075">
        <v>0</v>
      </c>
      <c r="CT3075">
        <v>0</v>
      </c>
      <c r="CU3075">
        <v>0</v>
      </c>
    </row>
    <row r="3076" spans="1:99" x14ac:dyDescent="0.2">
      <c r="A3076" t="s">
        <v>367</v>
      </c>
      <c r="B3076" t="s">
        <v>368</v>
      </c>
      <c r="C3076" t="s">
        <v>369</v>
      </c>
      <c r="D3076" t="s">
        <v>1241</v>
      </c>
      <c r="F3076" t="str">
        <f>"254094"</f>
        <v>254094</v>
      </c>
      <c r="G3076" t="s">
        <v>49</v>
      </c>
      <c r="H3076" t="s">
        <v>1249</v>
      </c>
      <c r="K3076" t="s">
        <v>51</v>
      </c>
      <c r="L3076" t="s">
        <v>52</v>
      </c>
      <c r="M3076">
        <v>138165.14000000001</v>
      </c>
      <c r="N3076">
        <v>468169.58</v>
      </c>
      <c r="O3076" t="s">
        <v>53</v>
      </c>
      <c r="P3076" t="s">
        <v>54</v>
      </c>
      <c r="Q3076" t="s">
        <v>55</v>
      </c>
      <c r="T3076" t="s">
        <v>841</v>
      </c>
      <c r="U3076">
        <v>40</v>
      </c>
      <c r="V3076" s="1">
        <v>42552</v>
      </c>
      <c r="W3076" s="1">
        <v>42552</v>
      </c>
      <c r="X3076" s="1">
        <v>42552</v>
      </c>
      <c r="Y3076" s="1">
        <v>57162</v>
      </c>
      <c r="Z3076" t="s">
        <v>51</v>
      </c>
      <c r="AB3076" t="s">
        <v>54</v>
      </c>
      <c r="AC3076">
        <v>1</v>
      </c>
      <c r="AE3076" t="s">
        <v>79</v>
      </c>
      <c r="AF3076">
        <v>20</v>
      </c>
      <c r="AG3076" s="1">
        <v>42552</v>
      </c>
      <c r="AH3076" s="1">
        <v>42552</v>
      </c>
      <c r="AI3076" s="1">
        <v>42552</v>
      </c>
      <c r="AJ3076" s="1">
        <v>49857</v>
      </c>
      <c r="AK3076" t="s">
        <v>51</v>
      </c>
      <c r="AN3076">
        <v>0</v>
      </c>
      <c r="AO3076" t="s">
        <v>54</v>
      </c>
      <c r="AP3076" t="s">
        <v>53</v>
      </c>
      <c r="AQ3076">
        <v>0</v>
      </c>
      <c r="AR3076" t="s">
        <v>145</v>
      </c>
      <c r="AS3076">
        <v>0</v>
      </c>
      <c r="AT3076">
        <v>0</v>
      </c>
      <c r="CC3076" t="s">
        <v>560</v>
      </c>
      <c r="CD3076">
        <v>85000</v>
      </c>
      <c r="CE3076" s="1">
        <v>42552</v>
      </c>
      <c r="CF3076" s="1">
        <v>42552</v>
      </c>
      <c r="CG3076" s="1">
        <v>42552</v>
      </c>
      <c r="CH3076" s="1">
        <v>49714</v>
      </c>
      <c r="CI3076" t="s">
        <v>51</v>
      </c>
      <c r="CK3076" t="s">
        <v>78</v>
      </c>
      <c r="CM3076" t="s">
        <v>54</v>
      </c>
      <c r="CN3076" t="s">
        <v>174</v>
      </c>
      <c r="CO3076" t="s">
        <v>86</v>
      </c>
      <c r="CR3076">
        <v>36</v>
      </c>
      <c r="CS3076">
        <v>0</v>
      </c>
      <c r="CT3076">
        <v>0</v>
      </c>
      <c r="CU3076">
        <v>0</v>
      </c>
    </row>
    <row r="3077" spans="1:99" x14ac:dyDescent="0.2">
      <c r="A3077" t="s">
        <v>367</v>
      </c>
      <c r="B3077" t="s">
        <v>368</v>
      </c>
      <c r="C3077" t="s">
        <v>369</v>
      </c>
      <c r="D3077" t="s">
        <v>1241</v>
      </c>
      <c r="F3077" t="str">
        <f>"254095"</f>
        <v>254095</v>
      </c>
      <c r="G3077" t="s">
        <v>49</v>
      </c>
      <c r="H3077" t="s">
        <v>1250</v>
      </c>
      <c r="K3077" t="s">
        <v>51</v>
      </c>
      <c r="L3077" t="s">
        <v>52</v>
      </c>
      <c r="M3077">
        <v>138173.79</v>
      </c>
      <c r="N3077">
        <v>468138.36</v>
      </c>
      <c r="O3077" t="s">
        <v>53</v>
      </c>
      <c r="P3077" t="s">
        <v>54</v>
      </c>
      <c r="Q3077" t="s">
        <v>55</v>
      </c>
      <c r="T3077" t="s">
        <v>841</v>
      </c>
      <c r="U3077">
        <v>40</v>
      </c>
      <c r="V3077" s="1">
        <v>42552</v>
      </c>
      <c r="W3077" s="1">
        <v>42552</v>
      </c>
      <c r="X3077" s="1">
        <v>42552</v>
      </c>
      <c r="Y3077" s="1">
        <v>57162</v>
      </c>
      <c r="Z3077" t="s">
        <v>51</v>
      </c>
      <c r="AB3077" t="s">
        <v>54</v>
      </c>
      <c r="AC3077">
        <v>1</v>
      </c>
      <c r="AE3077" t="s">
        <v>79</v>
      </c>
      <c r="AF3077">
        <v>20</v>
      </c>
      <c r="AG3077" s="1">
        <v>42552</v>
      </c>
      <c r="AH3077" s="1">
        <v>42552</v>
      </c>
      <c r="AI3077" s="1">
        <v>42552</v>
      </c>
      <c r="AJ3077" s="1">
        <v>49857</v>
      </c>
      <c r="AK3077" t="s">
        <v>51</v>
      </c>
      <c r="AN3077">
        <v>0</v>
      </c>
      <c r="AO3077" t="s">
        <v>54</v>
      </c>
      <c r="AP3077" t="s">
        <v>53</v>
      </c>
      <c r="AQ3077">
        <v>0</v>
      </c>
      <c r="AR3077" t="s">
        <v>145</v>
      </c>
      <c r="AS3077">
        <v>0</v>
      </c>
      <c r="AT3077">
        <v>0</v>
      </c>
      <c r="CC3077" t="s">
        <v>560</v>
      </c>
      <c r="CD3077">
        <v>85000</v>
      </c>
      <c r="CE3077" s="1">
        <v>42552</v>
      </c>
      <c r="CF3077" s="1">
        <v>42552</v>
      </c>
      <c r="CG3077" s="1">
        <v>42552</v>
      </c>
      <c r="CH3077" s="1">
        <v>49714</v>
      </c>
      <c r="CI3077" t="s">
        <v>51</v>
      </c>
      <c r="CK3077" t="s">
        <v>78</v>
      </c>
      <c r="CM3077" t="s">
        <v>54</v>
      </c>
      <c r="CN3077" t="s">
        <v>174</v>
      </c>
      <c r="CO3077" t="s">
        <v>86</v>
      </c>
      <c r="CR3077">
        <v>36</v>
      </c>
      <c r="CS3077">
        <v>0</v>
      </c>
      <c r="CT3077">
        <v>0</v>
      </c>
      <c r="CU3077">
        <v>0</v>
      </c>
    </row>
    <row r="3078" spans="1:99" x14ac:dyDescent="0.2">
      <c r="A3078" t="s">
        <v>367</v>
      </c>
      <c r="B3078" t="s">
        <v>368</v>
      </c>
      <c r="C3078" t="s">
        <v>369</v>
      </c>
      <c r="D3078" t="s">
        <v>1241</v>
      </c>
      <c r="F3078" t="str">
        <f>"254096"</f>
        <v>254096</v>
      </c>
      <c r="G3078" t="s">
        <v>49</v>
      </c>
      <c r="H3078" t="s">
        <v>1251</v>
      </c>
      <c r="K3078" t="s">
        <v>51</v>
      </c>
      <c r="L3078" t="s">
        <v>52</v>
      </c>
      <c r="M3078">
        <v>138166.96</v>
      </c>
      <c r="N3078">
        <v>468112.46</v>
      </c>
      <c r="O3078" t="s">
        <v>53</v>
      </c>
      <c r="P3078" t="s">
        <v>54</v>
      </c>
      <c r="Q3078" t="s">
        <v>55</v>
      </c>
      <c r="T3078" t="s">
        <v>841</v>
      </c>
      <c r="U3078">
        <v>40</v>
      </c>
      <c r="V3078" s="1">
        <v>42552</v>
      </c>
      <c r="W3078" s="1">
        <v>42552</v>
      </c>
      <c r="X3078" s="1">
        <v>42552</v>
      </c>
      <c r="Y3078" s="1">
        <v>57162</v>
      </c>
      <c r="Z3078" t="s">
        <v>51</v>
      </c>
      <c r="AB3078" t="s">
        <v>54</v>
      </c>
      <c r="AC3078">
        <v>1</v>
      </c>
      <c r="AE3078" t="s">
        <v>79</v>
      </c>
      <c r="AF3078">
        <v>20</v>
      </c>
      <c r="AG3078" s="1">
        <v>42552</v>
      </c>
      <c r="AH3078" s="1">
        <v>42552</v>
      </c>
      <c r="AI3078" s="1">
        <v>42552</v>
      </c>
      <c r="AJ3078" s="1">
        <v>49857</v>
      </c>
      <c r="AK3078" t="s">
        <v>51</v>
      </c>
      <c r="AN3078">
        <v>0</v>
      </c>
      <c r="AO3078" t="s">
        <v>54</v>
      </c>
      <c r="AP3078" t="s">
        <v>53</v>
      </c>
      <c r="AQ3078">
        <v>0</v>
      </c>
      <c r="AR3078" t="s">
        <v>145</v>
      </c>
      <c r="AS3078">
        <v>0</v>
      </c>
      <c r="AT3078">
        <v>0</v>
      </c>
      <c r="CC3078" t="s">
        <v>432</v>
      </c>
      <c r="CD3078">
        <v>85000</v>
      </c>
      <c r="CE3078" s="1">
        <v>42552</v>
      </c>
      <c r="CF3078" s="1">
        <v>42552</v>
      </c>
      <c r="CG3078" s="1">
        <v>42552</v>
      </c>
      <c r="CH3078" s="1">
        <v>49714</v>
      </c>
      <c r="CI3078" t="s">
        <v>51</v>
      </c>
      <c r="CK3078" t="s">
        <v>78</v>
      </c>
      <c r="CM3078" t="s">
        <v>54</v>
      </c>
      <c r="CN3078" t="s">
        <v>174</v>
      </c>
      <c r="CO3078" t="s">
        <v>86</v>
      </c>
      <c r="CR3078">
        <v>24</v>
      </c>
      <c r="CS3078">
        <v>0</v>
      </c>
      <c r="CT3078">
        <v>0</v>
      </c>
      <c r="CU3078">
        <v>0</v>
      </c>
    </row>
    <row r="3079" spans="1:99" x14ac:dyDescent="0.2">
      <c r="A3079" t="s">
        <v>367</v>
      </c>
      <c r="B3079" t="s">
        <v>368</v>
      </c>
      <c r="C3079" t="s">
        <v>369</v>
      </c>
      <c r="D3079" t="s">
        <v>1241</v>
      </c>
      <c r="F3079" t="str">
        <f>"254098"</f>
        <v>254098</v>
      </c>
      <c r="G3079" t="s">
        <v>49</v>
      </c>
      <c r="H3079" t="s">
        <v>1252</v>
      </c>
      <c r="K3079" t="s">
        <v>51</v>
      </c>
      <c r="L3079" t="s">
        <v>52</v>
      </c>
      <c r="M3079">
        <v>138166.76</v>
      </c>
      <c r="N3079">
        <v>468087.6</v>
      </c>
      <c r="O3079" t="s">
        <v>53</v>
      </c>
      <c r="P3079" t="s">
        <v>54</v>
      </c>
      <c r="Q3079" t="s">
        <v>55</v>
      </c>
      <c r="T3079" t="s">
        <v>588</v>
      </c>
      <c r="U3079">
        <v>40</v>
      </c>
      <c r="V3079" s="1">
        <v>31047</v>
      </c>
      <c r="W3079" s="1">
        <v>31047</v>
      </c>
      <c r="X3079" s="1">
        <v>31047</v>
      </c>
      <c r="Y3079" s="1">
        <v>45657</v>
      </c>
      <c r="Z3079" t="s">
        <v>51</v>
      </c>
      <c r="AB3079" t="s">
        <v>54</v>
      </c>
      <c r="AC3079">
        <v>1</v>
      </c>
      <c r="AE3079" t="s">
        <v>827</v>
      </c>
      <c r="AF3079">
        <v>20</v>
      </c>
      <c r="AG3079" s="1">
        <v>31047</v>
      </c>
      <c r="AH3079" s="1">
        <v>31047</v>
      </c>
      <c r="AI3079" s="1">
        <v>31047</v>
      </c>
      <c r="AJ3079" s="1">
        <v>38352</v>
      </c>
      <c r="AK3079" t="s">
        <v>51</v>
      </c>
      <c r="AN3079">
        <v>0</v>
      </c>
      <c r="AO3079" t="s">
        <v>54</v>
      </c>
      <c r="AP3079" t="s">
        <v>53</v>
      </c>
      <c r="AQ3079">
        <v>0</v>
      </c>
      <c r="AR3079" t="s">
        <v>53</v>
      </c>
      <c r="AS3079">
        <v>0</v>
      </c>
      <c r="AT3079">
        <v>0</v>
      </c>
      <c r="AW3079" t="s">
        <v>58</v>
      </c>
      <c r="AX3079">
        <v>20</v>
      </c>
      <c r="AY3079" s="1">
        <v>31047</v>
      </c>
      <c r="AZ3079" s="1">
        <v>31047</v>
      </c>
      <c r="BA3079" s="1">
        <v>31047</v>
      </c>
      <c r="BB3079" s="1">
        <v>38352</v>
      </c>
      <c r="BC3079" t="s">
        <v>51</v>
      </c>
      <c r="BE3079" t="s">
        <v>54</v>
      </c>
      <c r="BF3079">
        <v>2</v>
      </c>
      <c r="BG3079">
        <v>0</v>
      </c>
      <c r="BH3079" t="s">
        <v>53</v>
      </c>
      <c r="BK3079" t="s">
        <v>720</v>
      </c>
      <c r="BL3079">
        <v>17000</v>
      </c>
      <c r="BM3079" s="1">
        <v>43794</v>
      </c>
      <c r="BN3079" s="1">
        <v>43794</v>
      </c>
      <c r="BO3079" s="1">
        <v>43794</v>
      </c>
      <c r="BP3079" s="1">
        <v>45236</v>
      </c>
      <c r="BQ3079" t="s">
        <v>51</v>
      </c>
      <c r="BS3079" t="s">
        <v>60</v>
      </c>
      <c r="BT3079" t="s">
        <v>54</v>
      </c>
      <c r="BU3079" t="s">
        <v>721</v>
      </c>
      <c r="BV3079" t="s">
        <v>722</v>
      </c>
      <c r="BX3079">
        <v>18</v>
      </c>
      <c r="BY3079">
        <v>0</v>
      </c>
      <c r="BZ3079">
        <v>0</v>
      </c>
    </row>
    <row r="3080" spans="1:99" x14ac:dyDescent="0.2">
      <c r="A3080" t="s">
        <v>367</v>
      </c>
      <c r="B3080" t="s">
        <v>368</v>
      </c>
      <c r="C3080" t="s">
        <v>369</v>
      </c>
      <c r="D3080" t="s">
        <v>1064</v>
      </c>
      <c r="F3080" t="str">
        <f>"23979"</f>
        <v>23979</v>
      </c>
      <c r="G3080" t="s">
        <v>49</v>
      </c>
      <c r="H3080" t="s">
        <v>991</v>
      </c>
      <c r="K3080" t="s">
        <v>51</v>
      </c>
      <c r="L3080" t="s">
        <v>52</v>
      </c>
      <c r="M3080">
        <v>138337.4</v>
      </c>
      <c r="N3080">
        <v>468155.14</v>
      </c>
      <c r="O3080" t="s">
        <v>53</v>
      </c>
      <c r="P3080" t="s">
        <v>54</v>
      </c>
      <c r="Q3080" t="s">
        <v>55</v>
      </c>
      <c r="T3080" t="s">
        <v>83</v>
      </c>
      <c r="U3080">
        <v>40</v>
      </c>
      <c r="V3080" s="1">
        <v>44487</v>
      </c>
      <c r="W3080" s="1">
        <v>44487</v>
      </c>
      <c r="X3080" s="1">
        <v>44487</v>
      </c>
      <c r="Y3080" s="1">
        <v>59097</v>
      </c>
      <c r="Z3080" t="s">
        <v>51</v>
      </c>
      <c r="AB3080" t="s">
        <v>54</v>
      </c>
      <c r="AC3080">
        <v>1</v>
      </c>
      <c r="AE3080" t="s">
        <v>1212</v>
      </c>
      <c r="AF3080">
        <v>20</v>
      </c>
      <c r="AG3080" s="1">
        <v>31777</v>
      </c>
      <c r="AH3080" s="1">
        <v>31777</v>
      </c>
      <c r="AI3080" s="1">
        <v>44487</v>
      </c>
      <c r="AJ3080" s="1">
        <v>39082</v>
      </c>
      <c r="AK3080" t="s">
        <v>51</v>
      </c>
      <c r="AN3080">
        <v>0</v>
      </c>
      <c r="AO3080" t="s">
        <v>54</v>
      </c>
      <c r="AP3080" t="s">
        <v>53</v>
      </c>
      <c r="AQ3080">
        <v>0</v>
      </c>
      <c r="AR3080" t="s">
        <v>53</v>
      </c>
      <c r="AS3080">
        <v>0</v>
      </c>
      <c r="AT3080">
        <v>0</v>
      </c>
      <c r="AW3080" t="s">
        <v>58</v>
      </c>
      <c r="AX3080">
        <v>20</v>
      </c>
      <c r="AY3080" s="1">
        <v>31777</v>
      </c>
      <c r="AZ3080" s="1">
        <v>31777</v>
      </c>
      <c r="BA3080" s="1">
        <v>44487</v>
      </c>
      <c r="BB3080" s="1">
        <v>39082</v>
      </c>
      <c r="BC3080" t="s">
        <v>51</v>
      </c>
      <c r="BE3080" t="s">
        <v>54</v>
      </c>
      <c r="BF3080">
        <v>2</v>
      </c>
      <c r="BG3080">
        <v>0</v>
      </c>
      <c r="BH3080" t="s">
        <v>53</v>
      </c>
      <c r="BK3080" t="s">
        <v>720</v>
      </c>
      <c r="BL3080">
        <v>17000</v>
      </c>
      <c r="BM3080" s="1">
        <v>43794</v>
      </c>
      <c r="BN3080" s="1">
        <v>43794</v>
      </c>
      <c r="BO3080" s="1">
        <v>44487</v>
      </c>
      <c r="BP3080" s="1">
        <v>45236</v>
      </c>
      <c r="BQ3080" t="s">
        <v>51</v>
      </c>
      <c r="BS3080" t="s">
        <v>60</v>
      </c>
      <c r="BT3080" t="s">
        <v>54</v>
      </c>
      <c r="BU3080" t="s">
        <v>721</v>
      </c>
      <c r="BV3080" t="s">
        <v>722</v>
      </c>
      <c r="BX3080">
        <v>18</v>
      </c>
      <c r="BY3080">
        <v>0</v>
      </c>
      <c r="BZ3080">
        <v>0</v>
      </c>
    </row>
    <row r="3081" spans="1:99" x14ac:dyDescent="0.2">
      <c r="A3081" t="s">
        <v>367</v>
      </c>
      <c r="B3081" t="s">
        <v>368</v>
      </c>
      <c r="C3081" t="s">
        <v>369</v>
      </c>
      <c r="D3081" t="s">
        <v>1064</v>
      </c>
      <c r="F3081" t="str">
        <f>"23980"</f>
        <v>23980</v>
      </c>
      <c r="G3081" t="s">
        <v>49</v>
      </c>
      <c r="H3081" t="s">
        <v>1253</v>
      </c>
      <c r="K3081" t="s">
        <v>51</v>
      </c>
      <c r="L3081" t="s">
        <v>52</v>
      </c>
      <c r="M3081">
        <v>138331.31</v>
      </c>
      <c r="N3081">
        <v>468195.86</v>
      </c>
      <c r="O3081" t="s">
        <v>53</v>
      </c>
      <c r="P3081" t="s">
        <v>54</v>
      </c>
      <c r="Q3081" t="s">
        <v>55</v>
      </c>
      <c r="T3081" t="s">
        <v>83</v>
      </c>
      <c r="U3081">
        <v>40</v>
      </c>
      <c r="V3081" s="1">
        <v>25933</v>
      </c>
      <c r="W3081" s="1">
        <v>25933</v>
      </c>
      <c r="X3081" s="1">
        <v>25933</v>
      </c>
      <c r="Y3081" s="1">
        <v>40543</v>
      </c>
      <c r="Z3081" t="s">
        <v>51</v>
      </c>
      <c r="AB3081" t="s">
        <v>54</v>
      </c>
      <c r="AC3081">
        <v>1</v>
      </c>
      <c r="AE3081" t="s">
        <v>1212</v>
      </c>
      <c r="AF3081">
        <v>20</v>
      </c>
      <c r="AG3081" s="1">
        <v>31777</v>
      </c>
      <c r="AH3081" s="1">
        <v>31777</v>
      </c>
      <c r="AI3081" s="1">
        <v>31777</v>
      </c>
      <c r="AJ3081" s="1">
        <v>39082</v>
      </c>
      <c r="AK3081" t="s">
        <v>51</v>
      </c>
      <c r="AN3081">
        <v>0</v>
      </c>
      <c r="AO3081" t="s">
        <v>54</v>
      </c>
      <c r="AP3081" t="s">
        <v>53</v>
      </c>
      <c r="AQ3081">
        <v>0</v>
      </c>
      <c r="AR3081" t="s">
        <v>53</v>
      </c>
      <c r="AS3081">
        <v>0</v>
      </c>
      <c r="AT3081">
        <v>0</v>
      </c>
      <c r="AW3081" t="s">
        <v>58</v>
      </c>
      <c r="AX3081">
        <v>20</v>
      </c>
      <c r="AY3081" s="1">
        <v>31777</v>
      </c>
      <c r="AZ3081" s="1">
        <v>31777</v>
      </c>
      <c r="BA3081" s="1">
        <v>31777</v>
      </c>
      <c r="BB3081" s="1">
        <v>39082</v>
      </c>
      <c r="BC3081" t="s">
        <v>51</v>
      </c>
      <c r="BE3081" t="s">
        <v>54</v>
      </c>
      <c r="BF3081">
        <v>2</v>
      </c>
      <c r="BG3081">
        <v>0</v>
      </c>
      <c r="BH3081" t="s">
        <v>53</v>
      </c>
      <c r="BK3081" t="s">
        <v>720</v>
      </c>
      <c r="BL3081">
        <v>17000</v>
      </c>
      <c r="BM3081" s="1">
        <v>43935</v>
      </c>
      <c r="BN3081" s="1">
        <v>43935</v>
      </c>
      <c r="BO3081" s="1">
        <v>43935</v>
      </c>
      <c r="BP3081" s="1">
        <v>45370</v>
      </c>
      <c r="BQ3081" t="s">
        <v>51</v>
      </c>
      <c r="BS3081" t="s">
        <v>60</v>
      </c>
      <c r="BT3081" t="s">
        <v>54</v>
      </c>
      <c r="BU3081" t="s">
        <v>721</v>
      </c>
      <c r="BV3081" t="s">
        <v>722</v>
      </c>
      <c r="BX3081">
        <v>18</v>
      </c>
      <c r="BY3081">
        <v>0</v>
      </c>
      <c r="BZ3081">
        <v>0</v>
      </c>
    </row>
    <row r="3082" spans="1:99" x14ac:dyDescent="0.2">
      <c r="A3082" t="s">
        <v>367</v>
      </c>
      <c r="B3082" t="s">
        <v>368</v>
      </c>
      <c r="C3082" t="s">
        <v>369</v>
      </c>
      <c r="D3082" t="s">
        <v>1064</v>
      </c>
      <c r="F3082" t="str">
        <f>"23981"</f>
        <v>23981</v>
      </c>
      <c r="G3082" t="s">
        <v>49</v>
      </c>
      <c r="H3082" t="s">
        <v>1254</v>
      </c>
      <c r="K3082" t="s">
        <v>51</v>
      </c>
      <c r="L3082" t="s">
        <v>52</v>
      </c>
      <c r="M3082">
        <v>138297.43</v>
      </c>
      <c r="N3082">
        <v>468205.38</v>
      </c>
      <c r="O3082" t="s">
        <v>53</v>
      </c>
      <c r="P3082" t="s">
        <v>54</v>
      </c>
      <c r="Q3082" t="s">
        <v>55</v>
      </c>
      <c r="T3082" t="s">
        <v>83</v>
      </c>
      <c r="U3082">
        <v>40</v>
      </c>
      <c r="V3082" s="1">
        <v>25933</v>
      </c>
      <c r="W3082" s="1">
        <v>25933</v>
      </c>
      <c r="X3082" s="1">
        <v>25933</v>
      </c>
      <c r="Y3082" s="1">
        <v>40543</v>
      </c>
      <c r="Z3082" t="s">
        <v>51</v>
      </c>
      <c r="AB3082" t="s">
        <v>54</v>
      </c>
      <c r="AC3082">
        <v>1</v>
      </c>
      <c r="AE3082" t="s">
        <v>1212</v>
      </c>
      <c r="AF3082">
        <v>20</v>
      </c>
      <c r="AG3082" s="1">
        <v>31777</v>
      </c>
      <c r="AH3082" s="1">
        <v>31777</v>
      </c>
      <c r="AI3082" s="1">
        <v>31777</v>
      </c>
      <c r="AJ3082" s="1">
        <v>39082</v>
      </c>
      <c r="AK3082" t="s">
        <v>51</v>
      </c>
      <c r="AN3082">
        <v>0</v>
      </c>
      <c r="AO3082" t="s">
        <v>54</v>
      </c>
      <c r="AP3082" t="s">
        <v>53</v>
      </c>
      <c r="AQ3082">
        <v>0</v>
      </c>
      <c r="AR3082" t="s">
        <v>53</v>
      </c>
      <c r="AS3082">
        <v>0</v>
      </c>
      <c r="AT3082">
        <v>0</v>
      </c>
      <c r="AW3082" t="s">
        <v>58</v>
      </c>
      <c r="AX3082">
        <v>20</v>
      </c>
      <c r="AY3082" s="1">
        <v>31777</v>
      </c>
      <c r="AZ3082" s="1">
        <v>31777</v>
      </c>
      <c r="BA3082" s="1">
        <v>31777</v>
      </c>
      <c r="BB3082" s="1">
        <v>39082</v>
      </c>
      <c r="BC3082" t="s">
        <v>51</v>
      </c>
      <c r="BE3082" t="s">
        <v>54</v>
      </c>
      <c r="BF3082">
        <v>2</v>
      </c>
      <c r="BG3082">
        <v>0</v>
      </c>
      <c r="BH3082" t="s">
        <v>53</v>
      </c>
      <c r="BK3082" t="s">
        <v>720</v>
      </c>
      <c r="BL3082">
        <v>17000</v>
      </c>
      <c r="BM3082" s="1">
        <v>42552</v>
      </c>
      <c r="BN3082" s="1">
        <v>42552</v>
      </c>
      <c r="BO3082" s="1">
        <v>42552</v>
      </c>
      <c r="BP3082" s="1">
        <v>43974</v>
      </c>
      <c r="BQ3082" t="s">
        <v>51</v>
      </c>
      <c r="BS3082" t="s">
        <v>60</v>
      </c>
      <c r="BT3082" t="s">
        <v>54</v>
      </c>
      <c r="BU3082" t="s">
        <v>721</v>
      </c>
      <c r="BV3082" t="s">
        <v>722</v>
      </c>
      <c r="BX3082">
        <v>18</v>
      </c>
      <c r="BY3082">
        <v>0</v>
      </c>
      <c r="BZ3082">
        <v>0</v>
      </c>
    </row>
    <row r="3083" spans="1:99" x14ac:dyDescent="0.2">
      <c r="A3083" t="s">
        <v>367</v>
      </c>
      <c r="B3083" t="s">
        <v>368</v>
      </c>
      <c r="C3083" t="s">
        <v>369</v>
      </c>
      <c r="D3083" t="s">
        <v>1064</v>
      </c>
      <c r="F3083" t="str">
        <f>"23982"</f>
        <v>23982</v>
      </c>
      <c r="G3083" t="s">
        <v>49</v>
      </c>
      <c r="H3083" t="s">
        <v>1255</v>
      </c>
      <c r="K3083" t="s">
        <v>51</v>
      </c>
      <c r="L3083" t="s">
        <v>52</v>
      </c>
      <c r="M3083">
        <v>138279.09</v>
      </c>
      <c r="N3083">
        <v>468197.82</v>
      </c>
      <c r="O3083" t="s">
        <v>53</v>
      </c>
      <c r="P3083" t="s">
        <v>54</v>
      </c>
      <c r="Q3083" t="s">
        <v>55</v>
      </c>
      <c r="T3083" t="s">
        <v>83</v>
      </c>
      <c r="U3083">
        <v>40</v>
      </c>
      <c r="V3083" s="1">
        <v>25933</v>
      </c>
      <c r="W3083" s="1">
        <v>25933</v>
      </c>
      <c r="X3083" s="1">
        <v>25933</v>
      </c>
      <c r="Y3083" s="1">
        <v>40543</v>
      </c>
      <c r="Z3083" t="s">
        <v>51</v>
      </c>
      <c r="AB3083" t="s">
        <v>54</v>
      </c>
      <c r="AC3083">
        <v>1</v>
      </c>
      <c r="AE3083" t="s">
        <v>1212</v>
      </c>
      <c r="AF3083">
        <v>20</v>
      </c>
      <c r="AG3083" s="1">
        <v>31777</v>
      </c>
      <c r="AH3083" s="1">
        <v>31777</v>
      </c>
      <c r="AI3083" s="1">
        <v>31777</v>
      </c>
      <c r="AJ3083" s="1">
        <v>39082</v>
      </c>
      <c r="AK3083" t="s">
        <v>51</v>
      </c>
      <c r="AN3083">
        <v>0</v>
      </c>
      <c r="AO3083" t="s">
        <v>54</v>
      </c>
      <c r="AP3083" t="s">
        <v>53</v>
      </c>
      <c r="AQ3083">
        <v>0</v>
      </c>
      <c r="AR3083" t="s">
        <v>53</v>
      </c>
      <c r="AS3083">
        <v>0</v>
      </c>
      <c r="AT3083">
        <v>0</v>
      </c>
      <c r="AW3083" t="s">
        <v>58</v>
      </c>
      <c r="AX3083">
        <v>20</v>
      </c>
      <c r="AY3083" s="1">
        <v>31777</v>
      </c>
      <c r="AZ3083" s="1">
        <v>31777</v>
      </c>
      <c r="BA3083" s="1">
        <v>31777</v>
      </c>
      <c r="BB3083" s="1">
        <v>39082</v>
      </c>
      <c r="BC3083" t="s">
        <v>51</v>
      </c>
      <c r="BE3083" t="s">
        <v>54</v>
      </c>
      <c r="BF3083">
        <v>2</v>
      </c>
      <c r="BG3083">
        <v>0</v>
      </c>
      <c r="BH3083" t="s">
        <v>53</v>
      </c>
      <c r="BK3083" t="s">
        <v>720</v>
      </c>
      <c r="BL3083">
        <v>17000</v>
      </c>
      <c r="BM3083" s="1">
        <v>44858</v>
      </c>
      <c r="BN3083" s="1">
        <v>44858</v>
      </c>
      <c r="BO3083" s="1">
        <v>44858</v>
      </c>
      <c r="BP3083" s="1">
        <v>46297</v>
      </c>
      <c r="BQ3083" t="s">
        <v>51</v>
      </c>
      <c r="BS3083" t="s">
        <v>60</v>
      </c>
      <c r="BT3083" t="s">
        <v>54</v>
      </c>
      <c r="BU3083" t="s">
        <v>721</v>
      </c>
      <c r="BV3083" t="s">
        <v>722</v>
      </c>
      <c r="BX3083">
        <v>18</v>
      </c>
      <c r="BY3083">
        <v>0</v>
      </c>
      <c r="BZ3083">
        <v>0</v>
      </c>
    </row>
    <row r="3084" spans="1:99" x14ac:dyDescent="0.2">
      <c r="A3084" t="s">
        <v>367</v>
      </c>
      <c r="B3084" t="s">
        <v>368</v>
      </c>
      <c r="C3084" t="s">
        <v>369</v>
      </c>
      <c r="D3084" t="s">
        <v>1064</v>
      </c>
      <c r="F3084" t="str">
        <f>"23983"</f>
        <v>23983</v>
      </c>
      <c r="G3084" t="s">
        <v>49</v>
      </c>
      <c r="H3084" t="s">
        <v>1256</v>
      </c>
      <c r="K3084" t="s">
        <v>51</v>
      </c>
      <c r="L3084" t="s">
        <v>52</v>
      </c>
      <c r="M3084">
        <v>138254.14000000001</v>
      </c>
      <c r="N3084">
        <v>468205.89</v>
      </c>
      <c r="O3084" t="s">
        <v>53</v>
      </c>
      <c r="P3084" t="s">
        <v>54</v>
      </c>
      <c r="Q3084" t="s">
        <v>55</v>
      </c>
      <c r="T3084" t="s">
        <v>83</v>
      </c>
      <c r="U3084">
        <v>40</v>
      </c>
      <c r="V3084" s="1">
        <v>25933</v>
      </c>
      <c r="W3084" s="1">
        <v>25933</v>
      </c>
      <c r="X3084" s="1">
        <v>25933</v>
      </c>
      <c r="Y3084" s="1">
        <v>40543</v>
      </c>
      <c r="Z3084" t="s">
        <v>51</v>
      </c>
      <c r="AB3084" t="s">
        <v>54</v>
      </c>
      <c r="AC3084">
        <v>1</v>
      </c>
      <c r="AE3084" t="s">
        <v>1212</v>
      </c>
      <c r="AF3084">
        <v>20</v>
      </c>
      <c r="AG3084" s="1">
        <v>31777</v>
      </c>
      <c r="AH3084" s="1">
        <v>31777</v>
      </c>
      <c r="AI3084" s="1">
        <v>31777</v>
      </c>
      <c r="AJ3084" s="1">
        <v>39082</v>
      </c>
      <c r="AK3084" t="s">
        <v>51</v>
      </c>
      <c r="AN3084">
        <v>0</v>
      </c>
      <c r="AO3084" t="s">
        <v>54</v>
      </c>
      <c r="AP3084" t="s">
        <v>53</v>
      </c>
      <c r="AQ3084">
        <v>0</v>
      </c>
      <c r="AR3084" t="s">
        <v>53</v>
      </c>
      <c r="AS3084">
        <v>0</v>
      </c>
      <c r="AT3084">
        <v>0</v>
      </c>
      <c r="AW3084" t="s">
        <v>58</v>
      </c>
      <c r="AX3084">
        <v>20</v>
      </c>
      <c r="AY3084" s="1">
        <v>31777</v>
      </c>
      <c r="AZ3084" s="1">
        <v>31777</v>
      </c>
      <c r="BA3084" s="1">
        <v>31777</v>
      </c>
      <c r="BB3084" s="1">
        <v>39082</v>
      </c>
      <c r="BC3084" t="s">
        <v>51</v>
      </c>
      <c r="BE3084" t="s">
        <v>54</v>
      </c>
      <c r="BF3084">
        <v>2</v>
      </c>
      <c r="BG3084">
        <v>0</v>
      </c>
      <c r="BH3084" t="s">
        <v>53</v>
      </c>
      <c r="BK3084" t="s">
        <v>720</v>
      </c>
      <c r="BL3084">
        <v>17000</v>
      </c>
      <c r="BM3084" s="1">
        <v>44949</v>
      </c>
      <c r="BN3084" s="1">
        <v>44949</v>
      </c>
      <c r="BO3084" s="1">
        <v>44949</v>
      </c>
      <c r="BP3084" s="1">
        <v>46392</v>
      </c>
      <c r="BQ3084" t="s">
        <v>51</v>
      </c>
      <c r="BS3084" t="s">
        <v>60</v>
      </c>
      <c r="BT3084" t="s">
        <v>54</v>
      </c>
      <c r="BU3084" t="s">
        <v>721</v>
      </c>
      <c r="BV3084" t="s">
        <v>722</v>
      </c>
      <c r="BX3084">
        <v>18</v>
      </c>
      <c r="BY3084">
        <v>0</v>
      </c>
      <c r="BZ3084">
        <v>0</v>
      </c>
    </row>
    <row r="3085" spans="1:99" x14ac:dyDescent="0.2">
      <c r="A3085" t="s">
        <v>367</v>
      </c>
      <c r="B3085" t="s">
        <v>368</v>
      </c>
      <c r="C3085" t="s">
        <v>369</v>
      </c>
      <c r="D3085" t="s">
        <v>1064</v>
      </c>
      <c r="F3085" t="str">
        <f>"23984"</f>
        <v>23984</v>
      </c>
      <c r="G3085" t="s">
        <v>49</v>
      </c>
      <c r="H3085" t="s">
        <v>1257</v>
      </c>
      <c r="K3085" t="s">
        <v>51</v>
      </c>
      <c r="L3085" t="s">
        <v>52</v>
      </c>
      <c r="M3085">
        <v>138200.70000000001</v>
      </c>
      <c r="N3085">
        <v>468205.41</v>
      </c>
      <c r="O3085" t="s">
        <v>53</v>
      </c>
      <c r="P3085" t="s">
        <v>54</v>
      </c>
      <c r="Q3085" t="s">
        <v>55</v>
      </c>
      <c r="T3085" t="s">
        <v>841</v>
      </c>
      <c r="U3085">
        <v>40</v>
      </c>
      <c r="V3085" s="1">
        <v>27759</v>
      </c>
      <c r="W3085" s="1">
        <v>27759</v>
      </c>
      <c r="X3085" s="1">
        <v>27759</v>
      </c>
      <c r="Y3085" s="1">
        <v>42369</v>
      </c>
      <c r="Z3085" t="s">
        <v>51</v>
      </c>
      <c r="AB3085" t="s">
        <v>54</v>
      </c>
      <c r="AC3085">
        <v>1</v>
      </c>
      <c r="AE3085" t="s">
        <v>1212</v>
      </c>
      <c r="AF3085">
        <v>20</v>
      </c>
      <c r="AG3085" s="1">
        <v>31777</v>
      </c>
      <c r="AH3085" s="1">
        <v>31777</v>
      </c>
      <c r="AI3085" s="1">
        <v>31777</v>
      </c>
      <c r="AJ3085" s="1">
        <v>39082</v>
      </c>
      <c r="AK3085" t="s">
        <v>51</v>
      </c>
      <c r="AN3085">
        <v>0</v>
      </c>
      <c r="AO3085" t="s">
        <v>54</v>
      </c>
      <c r="AP3085" t="s">
        <v>53</v>
      </c>
      <c r="AQ3085">
        <v>0</v>
      </c>
      <c r="AR3085" t="s">
        <v>53</v>
      </c>
      <c r="AS3085">
        <v>0</v>
      </c>
      <c r="AT3085">
        <v>0</v>
      </c>
      <c r="AW3085" t="s">
        <v>58</v>
      </c>
      <c r="AX3085">
        <v>20</v>
      </c>
      <c r="AY3085" s="1">
        <v>31777</v>
      </c>
      <c r="AZ3085" s="1">
        <v>31777</v>
      </c>
      <c r="BA3085" s="1">
        <v>31777</v>
      </c>
      <c r="BB3085" s="1">
        <v>39082</v>
      </c>
      <c r="BC3085" t="s">
        <v>51</v>
      </c>
      <c r="BE3085" t="s">
        <v>54</v>
      </c>
      <c r="BF3085">
        <v>2</v>
      </c>
      <c r="BG3085">
        <v>0</v>
      </c>
      <c r="BH3085" t="s">
        <v>53</v>
      </c>
      <c r="BK3085" t="s">
        <v>720</v>
      </c>
      <c r="BL3085">
        <v>17000</v>
      </c>
      <c r="BM3085" s="1">
        <v>43913</v>
      </c>
      <c r="BN3085" s="1">
        <v>43913</v>
      </c>
      <c r="BO3085" s="1">
        <v>43913</v>
      </c>
      <c r="BP3085" s="1">
        <v>45351</v>
      </c>
      <c r="BQ3085" t="s">
        <v>51</v>
      </c>
      <c r="BS3085" t="s">
        <v>60</v>
      </c>
      <c r="BT3085" t="s">
        <v>54</v>
      </c>
      <c r="BU3085" t="s">
        <v>721</v>
      </c>
      <c r="BV3085" t="s">
        <v>722</v>
      </c>
      <c r="BX3085">
        <v>18</v>
      </c>
      <c r="BY3085">
        <v>0</v>
      </c>
      <c r="BZ3085">
        <v>0</v>
      </c>
    </row>
    <row r="3086" spans="1:99" x14ac:dyDescent="0.2">
      <c r="A3086" t="s">
        <v>367</v>
      </c>
      <c r="B3086" t="s">
        <v>368</v>
      </c>
      <c r="C3086" t="s">
        <v>369</v>
      </c>
      <c r="D3086" t="s">
        <v>1064</v>
      </c>
      <c r="F3086" t="str">
        <f>"254093"</f>
        <v>254093</v>
      </c>
      <c r="G3086" t="s">
        <v>49</v>
      </c>
      <c r="H3086" t="s">
        <v>1258</v>
      </c>
      <c r="K3086" t="s">
        <v>51</v>
      </c>
      <c r="L3086" t="s">
        <v>52</v>
      </c>
      <c r="M3086">
        <v>138164.63</v>
      </c>
      <c r="N3086">
        <v>468193.76</v>
      </c>
      <c r="O3086" t="s">
        <v>53</v>
      </c>
      <c r="P3086" t="s">
        <v>54</v>
      </c>
      <c r="Q3086" t="s">
        <v>55</v>
      </c>
      <c r="T3086" t="s">
        <v>841</v>
      </c>
      <c r="U3086">
        <v>40</v>
      </c>
      <c r="V3086" s="1">
        <v>42552</v>
      </c>
      <c r="W3086" s="1">
        <v>42552</v>
      </c>
      <c r="X3086" s="1">
        <v>42552</v>
      </c>
      <c r="Y3086" s="1">
        <v>57162</v>
      </c>
      <c r="Z3086" t="s">
        <v>51</v>
      </c>
      <c r="AB3086" t="s">
        <v>54</v>
      </c>
      <c r="AC3086">
        <v>1</v>
      </c>
      <c r="AE3086" t="s">
        <v>79</v>
      </c>
      <c r="AF3086">
        <v>20</v>
      </c>
      <c r="AG3086" s="1">
        <v>42552</v>
      </c>
      <c r="AH3086" s="1">
        <v>42552</v>
      </c>
      <c r="AI3086" s="1">
        <v>42552</v>
      </c>
      <c r="AJ3086" s="1">
        <v>49857</v>
      </c>
      <c r="AK3086" t="s">
        <v>51</v>
      </c>
      <c r="AN3086">
        <v>0</v>
      </c>
      <c r="AO3086" t="s">
        <v>54</v>
      </c>
      <c r="AP3086" t="s">
        <v>53</v>
      </c>
      <c r="AQ3086">
        <v>0</v>
      </c>
      <c r="AR3086" t="s">
        <v>145</v>
      </c>
      <c r="AS3086">
        <v>0</v>
      </c>
      <c r="AT3086">
        <v>0</v>
      </c>
      <c r="CC3086" t="s">
        <v>560</v>
      </c>
      <c r="CD3086">
        <v>85000</v>
      </c>
      <c r="CE3086" s="1">
        <v>42552</v>
      </c>
      <c r="CF3086" s="1">
        <v>42552</v>
      </c>
      <c r="CG3086" s="1">
        <v>42552</v>
      </c>
      <c r="CH3086" s="1">
        <v>49714</v>
      </c>
      <c r="CI3086" t="s">
        <v>51</v>
      </c>
      <c r="CK3086" t="s">
        <v>78</v>
      </c>
      <c r="CM3086" t="s">
        <v>54</v>
      </c>
      <c r="CN3086" t="s">
        <v>174</v>
      </c>
      <c r="CO3086" t="s">
        <v>86</v>
      </c>
      <c r="CR3086">
        <v>36</v>
      </c>
      <c r="CS3086">
        <v>0</v>
      </c>
      <c r="CT3086">
        <v>0</v>
      </c>
      <c r="CU3086">
        <v>0</v>
      </c>
    </row>
    <row r="3087" spans="1:99" x14ac:dyDescent="0.2">
      <c r="A3087" t="s">
        <v>367</v>
      </c>
      <c r="B3087" t="s">
        <v>368</v>
      </c>
      <c r="C3087" t="s">
        <v>369</v>
      </c>
      <c r="D3087" t="s">
        <v>1241</v>
      </c>
      <c r="F3087" t="str">
        <f>"254091"</f>
        <v>254091</v>
      </c>
      <c r="G3087" t="s">
        <v>49</v>
      </c>
      <c r="H3087" t="s">
        <v>1259</v>
      </c>
      <c r="K3087" t="s">
        <v>51</v>
      </c>
      <c r="L3087" t="s">
        <v>52</v>
      </c>
      <c r="M3087">
        <v>138172.49</v>
      </c>
      <c r="N3087">
        <v>468210.45</v>
      </c>
      <c r="O3087" t="s">
        <v>53</v>
      </c>
      <c r="P3087" t="s">
        <v>54</v>
      </c>
      <c r="Q3087" t="s">
        <v>55</v>
      </c>
      <c r="T3087" t="s">
        <v>841</v>
      </c>
      <c r="U3087">
        <v>40</v>
      </c>
      <c r="V3087" s="1">
        <v>27759</v>
      </c>
      <c r="W3087" s="1">
        <v>27759</v>
      </c>
      <c r="X3087" s="1">
        <v>27759</v>
      </c>
      <c r="Y3087" s="1">
        <v>42369</v>
      </c>
      <c r="Z3087" t="s">
        <v>51</v>
      </c>
      <c r="AB3087" t="s">
        <v>54</v>
      </c>
      <c r="AC3087">
        <v>1</v>
      </c>
      <c r="AE3087" t="s">
        <v>613</v>
      </c>
      <c r="AF3087">
        <v>20</v>
      </c>
      <c r="AG3087" s="1">
        <v>35557</v>
      </c>
      <c r="AH3087" s="1">
        <v>35557</v>
      </c>
      <c r="AI3087" s="1">
        <v>35557</v>
      </c>
      <c r="AJ3087" s="1">
        <v>42862</v>
      </c>
      <c r="AK3087" t="s">
        <v>51</v>
      </c>
      <c r="AN3087">
        <v>0</v>
      </c>
      <c r="AO3087" t="s">
        <v>54</v>
      </c>
      <c r="AP3087" t="s">
        <v>53</v>
      </c>
      <c r="AQ3087">
        <v>0</v>
      </c>
      <c r="AR3087" t="s">
        <v>53</v>
      </c>
      <c r="AS3087">
        <v>0</v>
      </c>
      <c r="AT3087">
        <v>0</v>
      </c>
      <c r="AW3087" t="s">
        <v>58</v>
      </c>
      <c r="AX3087">
        <v>20</v>
      </c>
      <c r="AY3087" s="1">
        <v>35557</v>
      </c>
      <c r="AZ3087" s="1">
        <v>35557</v>
      </c>
      <c r="BA3087" s="1">
        <v>35557</v>
      </c>
      <c r="BB3087" s="1">
        <v>42862</v>
      </c>
      <c r="BC3087" t="s">
        <v>51</v>
      </c>
      <c r="BE3087" t="s">
        <v>54</v>
      </c>
      <c r="BF3087">
        <v>2</v>
      </c>
      <c r="BG3087">
        <v>0</v>
      </c>
      <c r="BH3087" t="s">
        <v>53</v>
      </c>
      <c r="BK3087" t="s">
        <v>65</v>
      </c>
      <c r="BL3087">
        <v>14000</v>
      </c>
      <c r="BM3087" s="1">
        <v>42552</v>
      </c>
      <c r="BN3087" s="1">
        <v>42552</v>
      </c>
      <c r="BO3087" s="1">
        <v>42552</v>
      </c>
      <c r="BP3087" s="1">
        <v>43752</v>
      </c>
      <c r="BQ3087" t="s">
        <v>51</v>
      </c>
      <c r="BS3087" t="s">
        <v>60</v>
      </c>
      <c r="BT3087" t="s">
        <v>54</v>
      </c>
      <c r="BU3087" t="s">
        <v>61</v>
      </c>
      <c r="BV3087" t="s">
        <v>62</v>
      </c>
      <c r="BX3087">
        <v>36</v>
      </c>
      <c r="BY3087">
        <v>0</v>
      </c>
      <c r="BZ3087">
        <v>0</v>
      </c>
    </row>
    <row r="3088" spans="1:99" x14ac:dyDescent="0.2">
      <c r="A3088" t="s">
        <v>367</v>
      </c>
      <c r="B3088" t="s">
        <v>368</v>
      </c>
      <c r="C3088" t="s">
        <v>369</v>
      </c>
      <c r="D3088" t="s">
        <v>1241</v>
      </c>
      <c r="F3088" t="str">
        <f>"254092"</f>
        <v>254092</v>
      </c>
      <c r="G3088" t="s">
        <v>49</v>
      </c>
      <c r="H3088" t="s">
        <v>1260</v>
      </c>
      <c r="K3088" t="s">
        <v>51</v>
      </c>
      <c r="L3088" t="s">
        <v>52</v>
      </c>
      <c r="M3088">
        <v>138172.78</v>
      </c>
      <c r="N3088">
        <v>468199.14</v>
      </c>
      <c r="O3088" t="s">
        <v>53</v>
      </c>
      <c r="P3088" t="s">
        <v>54</v>
      </c>
      <c r="Q3088" t="s">
        <v>55</v>
      </c>
      <c r="T3088" t="s">
        <v>841</v>
      </c>
      <c r="U3088">
        <v>40</v>
      </c>
      <c r="V3088" s="1">
        <v>27759</v>
      </c>
      <c r="W3088" s="1">
        <v>27759</v>
      </c>
      <c r="X3088" s="1">
        <v>27759</v>
      </c>
      <c r="Y3088" s="1">
        <v>42369</v>
      </c>
      <c r="Z3088" t="s">
        <v>51</v>
      </c>
      <c r="AB3088" t="s">
        <v>54</v>
      </c>
      <c r="AC3088">
        <v>1</v>
      </c>
      <c r="AE3088" t="s">
        <v>613</v>
      </c>
      <c r="AF3088">
        <v>20</v>
      </c>
      <c r="AG3088" s="1">
        <v>35557</v>
      </c>
      <c r="AH3088" s="1">
        <v>35557</v>
      </c>
      <c r="AI3088" s="1">
        <v>35557</v>
      </c>
      <c r="AJ3088" s="1">
        <v>42862</v>
      </c>
      <c r="AK3088" t="s">
        <v>51</v>
      </c>
      <c r="AN3088">
        <v>0</v>
      </c>
      <c r="AO3088" t="s">
        <v>54</v>
      </c>
      <c r="AP3088" t="s">
        <v>53</v>
      </c>
      <c r="AQ3088">
        <v>0</v>
      </c>
      <c r="AR3088" t="s">
        <v>53</v>
      </c>
      <c r="AS3088">
        <v>0</v>
      </c>
      <c r="AT3088">
        <v>0</v>
      </c>
      <c r="AW3088" t="s">
        <v>58</v>
      </c>
      <c r="AX3088">
        <v>20</v>
      </c>
      <c r="AY3088" s="1">
        <v>35557</v>
      </c>
      <c r="AZ3088" s="1">
        <v>35557</v>
      </c>
      <c r="BA3088" s="1">
        <v>35557</v>
      </c>
      <c r="BB3088" s="1">
        <v>42862</v>
      </c>
      <c r="BC3088" t="s">
        <v>51</v>
      </c>
      <c r="BE3088" t="s">
        <v>54</v>
      </c>
      <c r="BF3088">
        <v>2</v>
      </c>
      <c r="BG3088">
        <v>0</v>
      </c>
      <c r="BH3088" t="s">
        <v>53</v>
      </c>
      <c r="BK3088" t="s">
        <v>65</v>
      </c>
      <c r="BL3088">
        <v>14000</v>
      </c>
      <c r="BM3088" s="1">
        <v>42552</v>
      </c>
      <c r="BN3088" s="1">
        <v>42552</v>
      </c>
      <c r="BO3088" s="1">
        <v>42552</v>
      </c>
      <c r="BP3088" s="1">
        <v>43752</v>
      </c>
      <c r="BQ3088" t="s">
        <v>51</v>
      </c>
      <c r="BS3088" t="s">
        <v>60</v>
      </c>
      <c r="BT3088" t="s">
        <v>54</v>
      </c>
      <c r="BU3088" t="s">
        <v>61</v>
      </c>
      <c r="BV3088" t="s">
        <v>62</v>
      </c>
      <c r="BX3088">
        <v>36</v>
      </c>
      <c r="BY3088">
        <v>0</v>
      </c>
      <c r="BZ3088">
        <v>0</v>
      </c>
    </row>
    <row r="3089" spans="1:99" x14ac:dyDescent="0.2">
      <c r="A3089" t="s">
        <v>367</v>
      </c>
      <c r="B3089" t="s">
        <v>368</v>
      </c>
      <c r="C3089" t="s">
        <v>369</v>
      </c>
      <c r="D3089" t="s">
        <v>1261</v>
      </c>
      <c r="F3089" t="str">
        <f>"23994"</f>
        <v>23994</v>
      </c>
      <c r="G3089" t="s">
        <v>49</v>
      </c>
      <c r="H3089" t="s">
        <v>1262</v>
      </c>
      <c r="I3089" t="s">
        <v>1263</v>
      </c>
      <c r="K3089" t="s">
        <v>51</v>
      </c>
      <c r="L3089" t="s">
        <v>52</v>
      </c>
      <c r="M3089">
        <v>138054.125</v>
      </c>
      <c r="N3089">
        <v>468368.946</v>
      </c>
      <c r="O3089" t="s">
        <v>53</v>
      </c>
      <c r="P3089" t="s">
        <v>54</v>
      </c>
      <c r="Q3089" t="s">
        <v>55</v>
      </c>
      <c r="T3089" t="s">
        <v>841</v>
      </c>
      <c r="U3089">
        <v>40</v>
      </c>
      <c r="V3089" s="1">
        <v>27759</v>
      </c>
      <c r="W3089" s="1">
        <v>27759</v>
      </c>
      <c r="X3089" s="1">
        <v>27759</v>
      </c>
      <c r="Y3089" s="1">
        <v>42369</v>
      </c>
      <c r="Z3089" t="s">
        <v>51</v>
      </c>
      <c r="AB3089" t="s">
        <v>54</v>
      </c>
      <c r="AC3089">
        <v>1</v>
      </c>
      <c r="AE3089" t="s">
        <v>1212</v>
      </c>
      <c r="AF3089">
        <v>20</v>
      </c>
      <c r="AG3089" s="1">
        <v>31777</v>
      </c>
      <c r="AH3089" s="1">
        <v>31777</v>
      </c>
      <c r="AI3089" s="1">
        <v>31777</v>
      </c>
      <c r="AJ3089" s="1">
        <v>39082</v>
      </c>
      <c r="AK3089" t="s">
        <v>51</v>
      </c>
      <c r="AN3089">
        <v>0</v>
      </c>
      <c r="AO3089" t="s">
        <v>54</v>
      </c>
      <c r="AP3089" t="s">
        <v>53</v>
      </c>
      <c r="AQ3089">
        <v>0</v>
      </c>
      <c r="AR3089" t="s">
        <v>53</v>
      </c>
      <c r="AS3089">
        <v>0</v>
      </c>
      <c r="AT3089">
        <v>0</v>
      </c>
      <c r="CC3089" t="s">
        <v>850</v>
      </c>
      <c r="CD3089">
        <v>1</v>
      </c>
      <c r="CE3089" s="1">
        <v>42552</v>
      </c>
      <c r="CF3089" s="1">
        <v>42552</v>
      </c>
      <c r="CG3089" s="1">
        <v>42552</v>
      </c>
      <c r="CH3089" s="1">
        <v>42552</v>
      </c>
      <c r="CI3089" t="s">
        <v>51</v>
      </c>
      <c r="CK3089" t="s">
        <v>78</v>
      </c>
      <c r="CM3089" t="s">
        <v>54</v>
      </c>
      <c r="CN3089" t="s">
        <v>174</v>
      </c>
      <c r="CO3089" t="s">
        <v>86</v>
      </c>
      <c r="CR3089">
        <v>18</v>
      </c>
      <c r="CS3089">
        <v>0</v>
      </c>
      <c r="CT3089">
        <v>0</v>
      </c>
      <c r="CU3089">
        <v>0</v>
      </c>
    </row>
    <row r="3090" spans="1:99" x14ac:dyDescent="0.2">
      <c r="A3090" t="s">
        <v>367</v>
      </c>
      <c r="B3090" t="s">
        <v>368</v>
      </c>
      <c r="C3090" t="s">
        <v>369</v>
      </c>
      <c r="D3090" t="s">
        <v>1261</v>
      </c>
      <c r="F3090" t="str">
        <f>"23995"</f>
        <v>23995</v>
      </c>
      <c r="G3090" t="s">
        <v>49</v>
      </c>
      <c r="H3090" t="s">
        <v>1264</v>
      </c>
      <c r="K3090" t="s">
        <v>51</v>
      </c>
      <c r="L3090" t="s">
        <v>52</v>
      </c>
      <c r="M3090">
        <v>138083.65</v>
      </c>
      <c r="N3090">
        <v>468372.68</v>
      </c>
      <c r="O3090" t="s">
        <v>53</v>
      </c>
      <c r="P3090" t="s">
        <v>54</v>
      </c>
      <c r="Q3090" t="s">
        <v>55</v>
      </c>
      <c r="T3090" t="s">
        <v>841</v>
      </c>
      <c r="U3090">
        <v>40</v>
      </c>
      <c r="V3090" s="1">
        <v>27759</v>
      </c>
      <c r="W3090" s="1">
        <v>27759</v>
      </c>
      <c r="X3090" s="1">
        <v>27759</v>
      </c>
      <c r="Y3090" s="1">
        <v>42369</v>
      </c>
      <c r="Z3090" t="s">
        <v>51</v>
      </c>
      <c r="AB3090" t="s">
        <v>54</v>
      </c>
      <c r="AC3090">
        <v>1</v>
      </c>
      <c r="AE3090" t="s">
        <v>356</v>
      </c>
      <c r="AF3090">
        <v>20</v>
      </c>
      <c r="AG3090" s="1">
        <v>44949</v>
      </c>
      <c r="AH3090" s="1">
        <v>44949</v>
      </c>
      <c r="AI3090" s="1">
        <v>44949</v>
      </c>
      <c r="AJ3090" s="1">
        <v>52254</v>
      </c>
      <c r="AK3090" t="s">
        <v>51</v>
      </c>
      <c r="AN3090">
        <v>0</v>
      </c>
      <c r="AO3090" t="s">
        <v>54</v>
      </c>
      <c r="AP3090" t="s">
        <v>53</v>
      </c>
      <c r="AQ3090">
        <v>0</v>
      </c>
      <c r="AR3090" t="s">
        <v>145</v>
      </c>
      <c r="AS3090">
        <v>0</v>
      </c>
      <c r="AT3090">
        <v>0</v>
      </c>
      <c r="CC3090" t="s">
        <v>250</v>
      </c>
      <c r="CD3090">
        <v>100000</v>
      </c>
      <c r="CE3090" s="1">
        <v>44949</v>
      </c>
      <c r="CF3090" s="1">
        <v>44949</v>
      </c>
      <c r="CG3090" s="1">
        <v>44949</v>
      </c>
      <c r="CH3090" s="1">
        <v>53393</v>
      </c>
      <c r="CI3090" t="s">
        <v>51</v>
      </c>
      <c r="CK3090" t="s">
        <v>78</v>
      </c>
      <c r="CM3090" t="s">
        <v>54</v>
      </c>
      <c r="CN3090" t="s">
        <v>174</v>
      </c>
      <c r="CR3090">
        <v>13.2</v>
      </c>
      <c r="CS3090">
        <v>1800</v>
      </c>
      <c r="CT3090">
        <v>0</v>
      </c>
      <c r="CU3090">
        <v>16</v>
      </c>
    </row>
    <row r="3091" spans="1:99" x14ac:dyDescent="0.2">
      <c r="A3091" t="s">
        <v>367</v>
      </c>
      <c r="B3091" t="s">
        <v>368</v>
      </c>
      <c r="C3091" t="s">
        <v>369</v>
      </c>
      <c r="D3091" t="s">
        <v>1261</v>
      </c>
      <c r="F3091" t="str">
        <f>"254084"</f>
        <v>254084</v>
      </c>
      <c r="G3091" t="s">
        <v>49</v>
      </c>
      <c r="H3091" t="s">
        <v>1265</v>
      </c>
      <c r="K3091" t="s">
        <v>51</v>
      </c>
      <c r="L3091" t="s">
        <v>52</v>
      </c>
      <c r="M3091">
        <v>138110.82999999999</v>
      </c>
      <c r="N3091">
        <v>468394.13</v>
      </c>
      <c r="O3091" t="s">
        <v>53</v>
      </c>
      <c r="P3091" t="s">
        <v>54</v>
      </c>
      <c r="Q3091" t="s">
        <v>55</v>
      </c>
      <c r="T3091" t="s">
        <v>1266</v>
      </c>
      <c r="U3091">
        <v>40</v>
      </c>
      <c r="V3091" s="1">
        <v>27759</v>
      </c>
      <c r="W3091" s="1">
        <v>27759</v>
      </c>
      <c r="X3091" s="1">
        <v>27759</v>
      </c>
      <c r="Y3091" s="1">
        <v>42369</v>
      </c>
      <c r="Z3091" t="s">
        <v>51</v>
      </c>
      <c r="AB3091" t="s">
        <v>54</v>
      </c>
      <c r="AC3091">
        <v>1</v>
      </c>
      <c r="AE3091" t="s">
        <v>844</v>
      </c>
      <c r="AF3091">
        <v>20</v>
      </c>
      <c r="AG3091" s="1">
        <v>31777</v>
      </c>
      <c r="AH3091" s="1">
        <v>31777</v>
      </c>
      <c r="AI3091" s="1">
        <v>31777</v>
      </c>
      <c r="AJ3091" s="1">
        <v>39082</v>
      </c>
      <c r="AK3091" t="s">
        <v>51</v>
      </c>
      <c r="AN3091">
        <v>0</v>
      </c>
      <c r="AO3091" t="s">
        <v>54</v>
      </c>
      <c r="AP3091" t="s">
        <v>53</v>
      </c>
      <c r="AQ3091">
        <v>0</v>
      </c>
      <c r="AR3091" t="s">
        <v>53</v>
      </c>
      <c r="AS3091">
        <v>0</v>
      </c>
      <c r="AT3091">
        <v>0</v>
      </c>
      <c r="CC3091" t="s">
        <v>555</v>
      </c>
      <c r="CD3091">
        <v>85000</v>
      </c>
      <c r="CE3091" s="1">
        <v>42552</v>
      </c>
      <c r="CF3091" s="1">
        <v>42552</v>
      </c>
      <c r="CG3091" s="1">
        <v>42552</v>
      </c>
      <c r="CH3091" s="1">
        <v>49714</v>
      </c>
      <c r="CI3091" t="s">
        <v>51</v>
      </c>
      <c r="CK3091" t="s">
        <v>78</v>
      </c>
      <c r="CM3091" t="s">
        <v>54</v>
      </c>
      <c r="CN3091" t="s">
        <v>174</v>
      </c>
      <c r="CO3091" t="s">
        <v>86</v>
      </c>
      <c r="CR3091">
        <v>20</v>
      </c>
      <c r="CS3091">
        <v>0</v>
      </c>
      <c r="CT3091">
        <v>0</v>
      </c>
      <c r="CU3091">
        <v>0</v>
      </c>
    </row>
    <row r="3092" spans="1:99" x14ac:dyDescent="0.2">
      <c r="A3092" t="s">
        <v>367</v>
      </c>
      <c r="B3092" t="s">
        <v>368</v>
      </c>
      <c r="C3092" t="s">
        <v>369</v>
      </c>
      <c r="D3092" t="s">
        <v>1261</v>
      </c>
      <c r="F3092" t="str">
        <f>"254085"</f>
        <v>254085</v>
      </c>
      <c r="G3092" t="s">
        <v>49</v>
      </c>
      <c r="H3092" t="s">
        <v>1267</v>
      </c>
      <c r="K3092" t="s">
        <v>51</v>
      </c>
      <c r="L3092" t="s">
        <v>52</v>
      </c>
      <c r="M3092">
        <v>138124.26999999999</v>
      </c>
      <c r="N3092">
        <v>468389.37</v>
      </c>
      <c r="O3092" t="s">
        <v>53</v>
      </c>
      <c r="P3092" t="s">
        <v>54</v>
      </c>
      <c r="Q3092" t="s">
        <v>55</v>
      </c>
      <c r="T3092" t="s">
        <v>1266</v>
      </c>
      <c r="U3092">
        <v>40</v>
      </c>
      <c r="V3092" s="1">
        <v>27759</v>
      </c>
      <c r="W3092" s="1">
        <v>27759</v>
      </c>
      <c r="X3092" s="1">
        <v>27759</v>
      </c>
      <c r="Y3092" s="1">
        <v>42369</v>
      </c>
      <c r="Z3092" t="s">
        <v>51</v>
      </c>
      <c r="AB3092" t="s">
        <v>54</v>
      </c>
      <c r="AC3092">
        <v>1</v>
      </c>
      <c r="AE3092" t="s">
        <v>844</v>
      </c>
      <c r="AF3092">
        <v>20</v>
      </c>
      <c r="AG3092" s="1">
        <v>31777</v>
      </c>
      <c r="AH3092" s="1">
        <v>31777</v>
      </c>
      <c r="AI3092" s="1">
        <v>31777</v>
      </c>
      <c r="AJ3092" s="1">
        <v>39082</v>
      </c>
      <c r="AK3092" t="s">
        <v>51</v>
      </c>
      <c r="AN3092">
        <v>0</v>
      </c>
      <c r="AO3092" t="s">
        <v>54</v>
      </c>
      <c r="AP3092" t="s">
        <v>53</v>
      </c>
      <c r="AQ3092">
        <v>0</v>
      </c>
      <c r="AR3092" t="s">
        <v>53</v>
      </c>
      <c r="AS3092">
        <v>0</v>
      </c>
      <c r="AT3092">
        <v>0</v>
      </c>
      <c r="CC3092" t="s">
        <v>555</v>
      </c>
      <c r="CD3092">
        <v>85000</v>
      </c>
      <c r="CE3092" s="1">
        <v>42552</v>
      </c>
      <c r="CF3092" s="1">
        <v>42552</v>
      </c>
      <c r="CG3092" s="1">
        <v>42552</v>
      </c>
      <c r="CH3092" s="1">
        <v>49714</v>
      </c>
      <c r="CI3092" t="s">
        <v>51</v>
      </c>
      <c r="CK3092" t="s">
        <v>78</v>
      </c>
      <c r="CM3092" t="s">
        <v>54</v>
      </c>
      <c r="CN3092" t="s">
        <v>174</v>
      </c>
      <c r="CO3092" t="s">
        <v>86</v>
      </c>
      <c r="CR3092">
        <v>20</v>
      </c>
      <c r="CS3092">
        <v>0</v>
      </c>
      <c r="CT3092">
        <v>0</v>
      </c>
      <c r="CU3092">
        <v>0</v>
      </c>
    </row>
    <row r="3093" spans="1:99" x14ac:dyDescent="0.2">
      <c r="A3093" t="s">
        <v>367</v>
      </c>
      <c r="B3093" t="s">
        <v>368</v>
      </c>
      <c r="C3093" t="s">
        <v>369</v>
      </c>
      <c r="D3093" t="s">
        <v>1261</v>
      </c>
      <c r="F3093" t="str">
        <f>"23998"</f>
        <v>23998</v>
      </c>
      <c r="G3093" t="s">
        <v>49</v>
      </c>
      <c r="H3093" t="s">
        <v>826</v>
      </c>
      <c r="K3093" t="s">
        <v>51</v>
      </c>
      <c r="L3093" t="s">
        <v>52</v>
      </c>
      <c r="M3093">
        <v>138143.14000000001</v>
      </c>
      <c r="N3093">
        <v>468399.35999999999</v>
      </c>
      <c r="O3093" t="s">
        <v>53</v>
      </c>
      <c r="P3093" t="s">
        <v>54</v>
      </c>
      <c r="Q3093" t="s">
        <v>55</v>
      </c>
      <c r="T3093" t="s">
        <v>841</v>
      </c>
      <c r="U3093">
        <v>40</v>
      </c>
      <c r="V3093" s="1">
        <v>27759</v>
      </c>
      <c r="W3093" s="1">
        <v>27759</v>
      </c>
      <c r="X3093" s="1">
        <v>27759</v>
      </c>
      <c r="Y3093" s="1">
        <v>42369</v>
      </c>
      <c r="Z3093" t="s">
        <v>51</v>
      </c>
      <c r="AB3093" t="s">
        <v>54</v>
      </c>
      <c r="AC3093">
        <v>1</v>
      </c>
      <c r="AE3093" t="s">
        <v>1212</v>
      </c>
      <c r="AF3093">
        <v>20</v>
      </c>
      <c r="AG3093" s="1">
        <v>31777</v>
      </c>
      <c r="AH3093" s="1">
        <v>31777</v>
      </c>
      <c r="AI3093" s="1">
        <v>31777</v>
      </c>
      <c r="AJ3093" s="1">
        <v>39082</v>
      </c>
      <c r="AK3093" t="s">
        <v>51</v>
      </c>
      <c r="AN3093">
        <v>0</v>
      </c>
      <c r="AO3093" t="s">
        <v>54</v>
      </c>
      <c r="AP3093" t="s">
        <v>53</v>
      </c>
      <c r="AQ3093">
        <v>0</v>
      </c>
      <c r="AR3093" t="s">
        <v>53</v>
      </c>
      <c r="AS3093">
        <v>0</v>
      </c>
      <c r="AT3093">
        <v>0</v>
      </c>
      <c r="CC3093" t="s">
        <v>850</v>
      </c>
      <c r="CD3093">
        <v>1</v>
      </c>
      <c r="CE3093" s="1">
        <v>42552</v>
      </c>
      <c r="CF3093" s="1">
        <v>42552</v>
      </c>
      <c r="CG3093" s="1">
        <v>42552</v>
      </c>
      <c r="CH3093" s="1">
        <v>42552</v>
      </c>
      <c r="CI3093" t="s">
        <v>51</v>
      </c>
      <c r="CK3093" t="s">
        <v>78</v>
      </c>
      <c r="CM3093" t="s">
        <v>54</v>
      </c>
      <c r="CN3093" t="s">
        <v>174</v>
      </c>
      <c r="CO3093" t="s">
        <v>86</v>
      </c>
      <c r="CR3093">
        <v>18</v>
      </c>
      <c r="CS3093">
        <v>0</v>
      </c>
      <c r="CT3093">
        <v>0</v>
      </c>
      <c r="CU3093">
        <v>0</v>
      </c>
    </row>
    <row r="3094" spans="1:99" x14ac:dyDescent="0.2">
      <c r="A3094" t="s">
        <v>367</v>
      </c>
      <c r="B3094" t="s">
        <v>368</v>
      </c>
      <c r="C3094" t="s">
        <v>369</v>
      </c>
      <c r="D3094" t="s">
        <v>1261</v>
      </c>
      <c r="F3094" t="str">
        <f>"23999"</f>
        <v>23999</v>
      </c>
      <c r="G3094" t="s">
        <v>49</v>
      </c>
      <c r="H3094" t="s">
        <v>1268</v>
      </c>
      <c r="K3094" t="s">
        <v>51</v>
      </c>
      <c r="L3094" t="s">
        <v>52</v>
      </c>
      <c r="M3094">
        <v>138170.42000000001</v>
      </c>
      <c r="N3094">
        <v>468420.26</v>
      </c>
      <c r="O3094" t="s">
        <v>53</v>
      </c>
      <c r="P3094" t="s">
        <v>54</v>
      </c>
      <c r="Q3094" t="s">
        <v>55</v>
      </c>
      <c r="T3094" t="s">
        <v>841</v>
      </c>
      <c r="U3094">
        <v>40</v>
      </c>
      <c r="V3094" s="1">
        <v>27759</v>
      </c>
      <c r="W3094" s="1">
        <v>27759</v>
      </c>
      <c r="X3094" s="1">
        <v>27759</v>
      </c>
      <c r="Y3094" s="1">
        <v>42369</v>
      </c>
      <c r="Z3094" t="s">
        <v>51</v>
      </c>
      <c r="AB3094" t="s">
        <v>54</v>
      </c>
      <c r="AC3094">
        <v>1</v>
      </c>
      <c r="AE3094" t="s">
        <v>1212</v>
      </c>
      <c r="AF3094">
        <v>20</v>
      </c>
      <c r="AG3094" s="1">
        <v>31777</v>
      </c>
      <c r="AH3094" s="1">
        <v>31777</v>
      </c>
      <c r="AI3094" s="1">
        <v>31777</v>
      </c>
      <c r="AJ3094" s="1">
        <v>39082</v>
      </c>
      <c r="AK3094" t="s">
        <v>51</v>
      </c>
      <c r="AN3094">
        <v>0</v>
      </c>
      <c r="AO3094" t="s">
        <v>54</v>
      </c>
      <c r="AP3094" t="s">
        <v>53</v>
      </c>
      <c r="AQ3094">
        <v>0</v>
      </c>
      <c r="AR3094" t="s">
        <v>53</v>
      </c>
      <c r="AS3094">
        <v>0</v>
      </c>
      <c r="AT3094">
        <v>0</v>
      </c>
      <c r="CC3094" t="s">
        <v>850</v>
      </c>
      <c r="CD3094">
        <v>1</v>
      </c>
      <c r="CE3094" s="1">
        <v>42552</v>
      </c>
      <c r="CF3094" s="1">
        <v>42552</v>
      </c>
      <c r="CG3094" s="1">
        <v>42552</v>
      </c>
      <c r="CH3094" s="1">
        <v>49714</v>
      </c>
      <c r="CI3094" t="s">
        <v>51</v>
      </c>
      <c r="CK3094" t="s">
        <v>78</v>
      </c>
      <c r="CM3094" t="s">
        <v>54</v>
      </c>
      <c r="CN3094" t="s">
        <v>174</v>
      </c>
      <c r="CO3094" t="s">
        <v>86</v>
      </c>
      <c r="CR3094">
        <v>18</v>
      </c>
      <c r="CS3094">
        <v>0</v>
      </c>
      <c r="CT3094">
        <v>0</v>
      </c>
      <c r="CU3094">
        <v>0</v>
      </c>
    </row>
    <row r="3095" spans="1:99" x14ac:dyDescent="0.2">
      <c r="A3095" t="s">
        <v>367</v>
      </c>
      <c r="B3095" t="s">
        <v>368</v>
      </c>
      <c r="C3095" t="s">
        <v>369</v>
      </c>
      <c r="D3095" t="s">
        <v>1261</v>
      </c>
      <c r="F3095" t="str">
        <f>"24150"</f>
        <v>24150</v>
      </c>
      <c r="G3095" t="s">
        <v>49</v>
      </c>
      <c r="H3095" t="s">
        <v>1269</v>
      </c>
      <c r="K3095" t="s">
        <v>51</v>
      </c>
      <c r="L3095" t="s">
        <v>52</v>
      </c>
      <c r="M3095">
        <v>138196.68</v>
      </c>
      <c r="N3095">
        <v>468425.74</v>
      </c>
      <c r="O3095" t="s">
        <v>53</v>
      </c>
      <c r="P3095" t="s">
        <v>54</v>
      </c>
      <c r="Q3095" t="s">
        <v>55</v>
      </c>
      <c r="T3095" t="s">
        <v>841</v>
      </c>
      <c r="U3095">
        <v>40</v>
      </c>
      <c r="V3095" s="1">
        <v>27759</v>
      </c>
      <c r="W3095" s="1">
        <v>27759</v>
      </c>
      <c r="X3095" s="1">
        <v>27759</v>
      </c>
      <c r="Y3095" s="1">
        <v>42369</v>
      </c>
      <c r="Z3095" t="s">
        <v>51</v>
      </c>
      <c r="AB3095" t="s">
        <v>54</v>
      </c>
      <c r="AC3095">
        <v>1</v>
      </c>
      <c r="AE3095" t="s">
        <v>1212</v>
      </c>
      <c r="AF3095">
        <v>20</v>
      </c>
      <c r="AG3095" s="1">
        <v>31777</v>
      </c>
      <c r="AH3095" s="1">
        <v>31777</v>
      </c>
      <c r="AI3095" s="1">
        <v>31777</v>
      </c>
      <c r="AJ3095" s="1">
        <v>39082</v>
      </c>
      <c r="AK3095" t="s">
        <v>51</v>
      </c>
      <c r="AN3095">
        <v>0</v>
      </c>
      <c r="AO3095" t="s">
        <v>54</v>
      </c>
      <c r="AP3095" t="s">
        <v>53</v>
      </c>
      <c r="AQ3095">
        <v>0</v>
      </c>
      <c r="AR3095" t="s">
        <v>53</v>
      </c>
      <c r="AS3095">
        <v>0</v>
      </c>
      <c r="AT3095">
        <v>0</v>
      </c>
      <c r="CC3095" t="s">
        <v>850</v>
      </c>
      <c r="CD3095">
        <v>1</v>
      </c>
      <c r="CE3095" s="1">
        <v>42552</v>
      </c>
      <c r="CF3095" s="1">
        <v>42552</v>
      </c>
      <c r="CG3095" s="1">
        <v>42552</v>
      </c>
      <c r="CH3095" s="1">
        <v>42552</v>
      </c>
      <c r="CI3095" t="s">
        <v>51</v>
      </c>
      <c r="CK3095" t="s">
        <v>78</v>
      </c>
      <c r="CM3095" t="s">
        <v>54</v>
      </c>
      <c r="CN3095" t="s">
        <v>174</v>
      </c>
      <c r="CO3095" t="s">
        <v>86</v>
      </c>
      <c r="CR3095">
        <v>18</v>
      </c>
      <c r="CS3095">
        <v>0</v>
      </c>
      <c r="CT3095">
        <v>0</v>
      </c>
      <c r="CU3095">
        <v>0</v>
      </c>
    </row>
    <row r="3096" spans="1:99" x14ac:dyDescent="0.2">
      <c r="A3096" t="s">
        <v>367</v>
      </c>
      <c r="B3096" t="s">
        <v>368</v>
      </c>
      <c r="C3096" t="s">
        <v>369</v>
      </c>
      <c r="D3096" t="s">
        <v>1261</v>
      </c>
      <c r="F3096" t="str">
        <f>"24151"</f>
        <v>24151</v>
      </c>
      <c r="G3096" t="s">
        <v>49</v>
      </c>
      <c r="H3096" t="s">
        <v>1270</v>
      </c>
      <c r="K3096" t="s">
        <v>51</v>
      </c>
      <c r="L3096" t="s">
        <v>52</v>
      </c>
      <c r="M3096">
        <v>138218.38</v>
      </c>
      <c r="N3096">
        <v>468446.6</v>
      </c>
      <c r="O3096" t="s">
        <v>53</v>
      </c>
      <c r="P3096" t="s">
        <v>54</v>
      </c>
      <c r="Q3096" t="s">
        <v>55</v>
      </c>
      <c r="T3096" t="s">
        <v>183</v>
      </c>
      <c r="U3096">
        <v>40</v>
      </c>
      <c r="V3096" s="1">
        <v>27759</v>
      </c>
      <c r="W3096" s="1">
        <v>27759</v>
      </c>
      <c r="X3096" s="1">
        <v>27759</v>
      </c>
      <c r="Y3096" s="1">
        <v>42369</v>
      </c>
      <c r="Z3096" t="s">
        <v>51</v>
      </c>
      <c r="AB3096" t="s">
        <v>54</v>
      </c>
      <c r="AC3096">
        <v>1</v>
      </c>
      <c r="AE3096" t="s">
        <v>1212</v>
      </c>
      <c r="AF3096">
        <v>20</v>
      </c>
      <c r="AG3096" s="1">
        <v>31777</v>
      </c>
      <c r="AH3096" s="1">
        <v>31777</v>
      </c>
      <c r="AI3096" s="1">
        <v>31777</v>
      </c>
      <c r="AJ3096" s="1">
        <v>39082</v>
      </c>
      <c r="AK3096" t="s">
        <v>51</v>
      </c>
      <c r="AN3096">
        <v>0</v>
      </c>
      <c r="AO3096" t="s">
        <v>54</v>
      </c>
      <c r="AP3096" t="s">
        <v>53</v>
      </c>
      <c r="AQ3096">
        <v>0</v>
      </c>
      <c r="AR3096" t="s">
        <v>53</v>
      </c>
      <c r="AS3096">
        <v>0</v>
      </c>
      <c r="AT3096">
        <v>0</v>
      </c>
      <c r="CC3096" t="s">
        <v>850</v>
      </c>
      <c r="CD3096">
        <v>1</v>
      </c>
      <c r="CE3096" s="1">
        <v>42552</v>
      </c>
      <c r="CF3096" s="1">
        <v>42552</v>
      </c>
      <c r="CG3096" s="1">
        <v>42552</v>
      </c>
      <c r="CH3096" s="1">
        <v>42552</v>
      </c>
      <c r="CI3096" t="s">
        <v>51</v>
      </c>
      <c r="CK3096" t="s">
        <v>78</v>
      </c>
      <c r="CM3096" t="s">
        <v>54</v>
      </c>
      <c r="CN3096" t="s">
        <v>174</v>
      </c>
      <c r="CO3096" t="s">
        <v>86</v>
      </c>
      <c r="CR3096">
        <v>18</v>
      </c>
      <c r="CS3096">
        <v>0</v>
      </c>
      <c r="CT3096">
        <v>0</v>
      </c>
      <c r="CU3096">
        <v>0</v>
      </c>
    </row>
    <row r="3097" spans="1:99" x14ac:dyDescent="0.2">
      <c r="A3097" t="s">
        <v>367</v>
      </c>
      <c r="B3097" t="s">
        <v>368</v>
      </c>
      <c r="C3097" t="s">
        <v>369</v>
      </c>
      <c r="D3097" t="s">
        <v>1271</v>
      </c>
      <c r="F3097" t="str">
        <f>"24152"</f>
        <v>24152</v>
      </c>
      <c r="G3097" t="s">
        <v>49</v>
      </c>
      <c r="H3097" t="s">
        <v>1272</v>
      </c>
      <c r="K3097" t="s">
        <v>51</v>
      </c>
      <c r="L3097" t="s">
        <v>52</v>
      </c>
      <c r="M3097">
        <v>138204.79999999999</v>
      </c>
      <c r="N3097">
        <v>468481.46</v>
      </c>
      <c r="O3097" t="s">
        <v>53</v>
      </c>
      <c r="P3097" t="s">
        <v>54</v>
      </c>
      <c r="Q3097" t="s">
        <v>55</v>
      </c>
      <c r="T3097" t="s">
        <v>841</v>
      </c>
      <c r="U3097">
        <v>40</v>
      </c>
      <c r="V3097" s="1">
        <v>27759</v>
      </c>
      <c r="W3097" s="1">
        <v>27759</v>
      </c>
      <c r="X3097" s="1">
        <v>27759</v>
      </c>
      <c r="Y3097" s="1">
        <v>42369</v>
      </c>
      <c r="Z3097" t="s">
        <v>51</v>
      </c>
      <c r="AB3097" t="s">
        <v>54</v>
      </c>
      <c r="AC3097">
        <v>1</v>
      </c>
      <c r="AE3097" t="s">
        <v>1212</v>
      </c>
      <c r="AF3097">
        <v>20</v>
      </c>
      <c r="AG3097" s="1">
        <v>31777</v>
      </c>
      <c r="AH3097" s="1">
        <v>31777</v>
      </c>
      <c r="AI3097" s="1">
        <v>31777</v>
      </c>
      <c r="AJ3097" s="1">
        <v>39082</v>
      </c>
      <c r="AK3097" t="s">
        <v>51</v>
      </c>
      <c r="AN3097">
        <v>0</v>
      </c>
      <c r="AO3097" t="s">
        <v>54</v>
      </c>
      <c r="AP3097" t="s">
        <v>53</v>
      </c>
      <c r="AQ3097">
        <v>0</v>
      </c>
      <c r="AR3097" t="s">
        <v>53</v>
      </c>
      <c r="AS3097">
        <v>0</v>
      </c>
      <c r="AT3097">
        <v>0</v>
      </c>
      <c r="CC3097" t="s">
        <v>850</v>
      </c>
      <c r="CD3097">
        <v>1</v>
      </c>
      <c r="CE3097" s="1">
        <v>42552</v>
      </c>
      <c r="CF3097" s="1">
        <v>42552</v>
      </c>
      <c r="CG3097" s="1">
        <v>42552</v>
      </c>
      <c r="CH3097" s="1">
        <v>49714</v>
      </c>
      <c r="CI3097" t="s">
        <v>51</v>
      </c>
      <c r="CK3097" t="s">
        <v>78</v>
      </c>
      <c r="CM3097" t="s">
        <v>54</v>
      </c>
      <c r="CN3097" t="s">
        <v>174</v>
      </c>
      <c r="CO3097" t="s">
        <v>86</v>
      </c>
      <c r="CR3097">
        <v>18</v>
      </c>
      <c r="CS3097">
        <v>0</v>
      </c>
      <c r="CT3097">
        <v>0</v>
      </c>
      <c r="CU3097">
        <v>0</v>
      </c>
    </row>
    <row r="3098" spans="1:99" x14ac:dyDescent="0.2">
      <c r="A3098" t="s">
        <v>367</v>
      </c>
      <c r="B3098" t="s">
        <v>368</v>
      </c>
      <c r="C3098" t="s">
        <v>369</v>
      </c>
      <c r="D3098" t="s">
        <v>1271</v>
      </c>
      <c r="F3098" t="str">
        <f>"24153"</f>
        <v>24153</v>
      </c>
      <c r="G3098" t="s">
        <v>49</v>
      </c>
      <c r="H3098" t="s">
        <v>1273</v>
      </c>
      <c r="K3098" t="s">
        <v>51</v>
      </c>
      <c r="L3098" t="s">
        <v>52</v>
      </c>
      <c r="M3098">
        <v>138180.10999999999</v>
      </c>
      <c r="N3098">
        <v>468540.29</v>
      </c>
      <c r="O3098" t="s">
        <v>53</v>
      </c>
      <c r="P3098" t="s">
        <v>54</v>
      </c>
      <c r="Q3098" t="s">
        <v>55</v>
      </c>
      <c r="T3098" t="s">
        <v>841</v>
      </c>
      <c r="U3098">
        <v>40</v>
      </c>
      <c r="V3098" s="1">
        <v>38805</v>
      </c>
      <c r="W3098" s="1">
        <v>38805</v>
      </c>
      <c r="X3098" s="1">
        <v>38805</v>
      </c>
      <c r="Y3098" s="1">
        <v>53415</v>
      </c>
      <c r="Z3098" t="s">
        <v>51</v>
      </c>
      <c r="AB3098" t="s">
        <v>54</v>
      </c>
      <c r="AC3098">
        <v>1</v>
      </c>
      <c r="AE3098" t="s">
        <v>1212</v>
      </c>
      <c r="AF3098">
        <v>20</v>
      </c>
      <c r="AG3098" s="1">
        <v>31777</v>
      </c>
      <c r="AH3098" s="1">
        <v>31777</v>
      </c>
      <c r="AI3098" s="1">
        <v>38805</v>
      </c>
      <c r="AJ3098" s="1">
        <v>39082</v>
      </c>
      <c r="AK3098" t="s">
        <v>51</v>
      </c>
      <c r="AN3098">
        <v>0</v>
      </c>
      <c r="AO3098" t="s">
        <v>54</v>
      </c>
      <c r="AP3098" t="s">
        <v>53</v>
      </c>
      <c r="AQ3098">
        <v>0</v>
      </c>
      <c r="AR3098" t="s">
        <v>53</v>
      </c>
      <c r="AS3098">
        <v>0</v>
      </c>
      <c r="AT3098">
        <v>0</v>
      </c>
      <c r="CC3098" t="s">
        <v>850</v>
      </c>
      <c r="CD3098">
        <v>1</v>
      </c>
      <c r="CE3098" s="1">
        <v>42552</v>
      </c>
      <c r="CF3098" s="1">
        <v>42552</v>
      </c>
      <c r="CG3098" s="1">
        <v>42552</v>
      </c>
      <c r="CH3098" s="1">
        <v>42552</v>
      </c>
      <c r="CI3098" t="s">
        <v>51</v>
      </c>
      <c r="CK3098" t="s">
        <v>78</v>
      </c>
      <c r="CM3098" t="s">
        <v>54</v>
      </c>
      <c r="CN3098" t="s">
        <v>174</v>
      </c>
      <c r="CO3098" t="s">
        <v>86</v>
      </c>
      <c r="CR3098">
        <v>18</v>
      </c>
      <c r="CS3098">
        <v>0</v>
      </c>
      <c r="CT3098">
        <v>0</v>
      </c>
      <c r="CU3098">
        <v>0</v>
      </c>
    </row>
    <row r="3099" spans="1:99" x14ac:dyDescent="0.2">
      <c r="A3099" t="s">
        <v>367</v>
      </c>
      <c r="B3099" t="s">
        <v>368</v>
      </c>
      <c r="C3099" t="s">
        <v>369</v>
      </c>
      <c r="D3099" t="s">
        <v>1271</v>
      </c>
      <c r="F3099" t="str">
        <f>"24154"</f>
        <v>24154</v>
      </c>
      <c r="G3099" t="s">
        <v>49</v>
      </c>
      <c r="H3099" t="s">
        <v>855</v>
      </c>
      <c r="K3099" t="s">
        <v>51</v>
      </c>
      <c r="L3099" t="s">
        <v>52</v>
      </c>
      <c r="M3099">
        <v>138156.53</v>
      </c>
      <c r="N3099">
        <v>468607.76</v>
      </c>
      <c r="O3099" t="s">
        <v>53</v>
      </c>
      <c r="P3099" t="s">
        <v>54</v>
      </c>
      <c r="Q3099" t="s">
        <v>55</v>
      </c>
      <c r="T3099" t="s">
        <v>841</v>
      </c>
      <c r="U3099">
        <v>40</v>
      </c>
      <c r="V3099" s="1">
        <v>27759</v>
      </c>
      <c r="W3099" s="1">
        <v>27759</v>
      </c>
      <c r="X3099" s="1">
        <v>27759</v>
      </c>
      <c r="Y3099" s="1">
        <v>42369</v>
      </c>
      <c r="Z3099" t="s">
        <v>51</v>
      </c>
      <c r="AB3099" t="s">
        <v>54</v>
      </c>
      <c r="AC3099">
        <v>1</v>
      </c>
      <c r="AE3099" t="s">
        <v>356</v>
      </c>
      <c r="AF3099">
        <v>20</v>
      </c>
      <c r="AG3099" s="1">
        <v>44242</v>
      </c>
      <c r="AH3099" s="1">
        <v>44242</v>
      </c>
      <c r="AI3099" s="1">
        <v>44242</v>
      </c>
      <c r="AJ3099" s="1">
        <v>51547</v>
      </c>
      <c r="AK3099" t="s">
        <v>51</v>
      </c>
      <c r="AN3099">
        <v>0</v>
      </c>
      <c r="AO3099" t="s">
        <v>54</v>
      </c>
      <c r="AP3099" t="s">
        <v>53</v>
      </c>
      <c r="AQ3099">
        <v>0</v>
      </c>
      <c r="AR3099" t="s">
        <v>145</v>
      </c>
      <c r="AS3099">
        <v>0</v>
      </c>
      <c r="AT3099">
        <v>0</v>
      </c>
      <c r="CC3099" t="s">
        <v>850</v>
      </c>
      <c r="CD3099">
        <v>1</v>
      </c>
      <c r="CE3099" s="1">
        <v>44214</v>
      </c>
      <c r="CF3099" s="1">
        <v>44214</v>
      </c>
      <c r="CG3099" s="1">
        <v>44242</v>
      </c>
      <c r="CH3099" s="1">
        <v>44214</v>
      </c>
      <c r="CI3099" t="s">
        <v>51</v>
      </c>
      <c r="CK3099" t="s">
        <v>78</v>
      </c>
      <c r="CM3099" t="s">
        <v>54</v>
      </c>
      <c r="CN3099" t="s">
        <v>174</v>
      </c>
      <c r="CO3099" t="s">
        <v>86</v>
      </c>
      <c r="CR3099">
        <v>18</v>
      </c>
      <c r="CS3099">
        <v>0</v>
      </c>
      <c r="CT3099">
        <v>0</v>
      </c>
      <c r="CU3099">
        <v>0</v>
      </c>
    </row>
    <row r="3100" spans="1:99" x14ac:dyDescent="0.2">
      <c r="A3100" t="s">
        <v>367</v>
      </c>
      <c r="B3100" t="s">
        <v>368</v>
      </c>
      <c r="C3100" t="s">
        <v>369</v>
      </c>
      <c r="D3100" t="s">
        <v>1271</v>
      </c>
      <c r="F3100" t="str">
        <f>"254117"</f>
        <v>254117</v>
      </c>
      <c r="G3100" t="s">
        <v>49</v>
      </c>
      <c r="H3100" t="s">
        <v>1274</v>
      </c>
      <c r="K3100" t="s">
        <v>51</v>
      </c>
      <c r="L3100" t="s">
        <v>52</v>
      </c>
      <c r="M3100">
        <v>138147.1</v>
      </c>
      <c r="N3100">
        <v>468632.9</v>
      </c>
      <c r="O3100" t="s">
        <v>53</v>
      </c>
      <c r="P3100" t="s">
        <v>54</v>
      </c>
      <c r="Q3100" t="s">
        <v>55</v>
      </c>
      <c r="T3100" t="s">
        <v>841</v>
      </c>
      <c r="U3100">
        <v>40</v>
      </c>
      <c r="V3100" s="1">
        <v>27759</v>
      </c>
      <c r="W3100" s="1">
        <v>27759</v>
      </c>
      <c r="X3100" s="1">
        <v>27759</v>
      </c>
      <c r="Y3100" s="1">
        <v>42369</v>
      </c>
      <c r="Z3100" t="s">
        <v>51</v>
      </c>
      <c r="AB3100" t="s">
        <v>54</v>
      </c>
      <c r="AC3100">
        <v>1</v>
      </c>
      <c r="AE3100" t="s">
        <v>1212</v>
      </c>
      <c r="AF3100">
        <v>20</v>
      </c>
      <c r="AG3100" s="1">
        <v>31777</v>
      </c>
      <c r="AH3100" s="1">
        <v>31777</v>
      </c>
      <c r="AI3100" s="1">
        <v>31777</v>
      </c>
      <c r="AJ3100" s="1">
        <v>39082</v>
      </c>
      <c r="AK3100" t="s">
        <v>51</v>
      </c>
      <c r="AN3100">
        <v>0</v>
      </c>
      <c r="AO3100" t="s">
        <v>54</v>
      </c>
      <c r="AP3100" t="s">
        <v>53</v>
      </c>
      <c r="AQ3100">
        <v>0</v>
      </c>
      <c r="AR3100" t="s">
        <v>53</v>
      </c>
      <c r="AS3100">
        <v>0</v>
      </c>
      <c r="AT3100">
        <v>0</v>
      </c>
      <c r="CC3100" t="s">
        <v>850</v>
      </c>
      <c r="CD3100">
        <v>1</v>
      </c>
      <c r="CE3100" s="1">
        <v>42552</v>
      </c>
      <c r="CF3100" s="1">
        <v>42552</v>
      </c>
      <c r="CG3100" s="1">
        <v>42552</v>
      </c>
      <c r="CH3100" s="1">
        <v>49714</v>
      </c>
      <c r="CI3100" t="s">
        <v>51</v>
      </c>
      <c r="CK3100" t="s">
        <v>78</v>
      </c>
      <c r="CM3100" t="s">
        <v>54</v>
      </c>
      <c r="CN3100" t="s">
        <v>174</v>
      </c>
      <c r="CO3100" t="s">
        <v>86</v>
      </c>
      <c r="CR3100">
        <v>18</v>
      </c>
      <c r="CS3100">
        <v>0</v>
      </c>
      <c r="CT3100">
        <v>0</v>
      </c>
      <c r="CU3100">
        <v>0</v>
      </c>
    </row>
    <row r="3101" spans="1:99" x14ac:dyDescent="0.2">
      <c r="A3101" t="s">
        <v>367</v>
      </c>
      <c r="B3101" t="s">
        <v>368</v>
      </c>
      <c r="C3101" t="s">
        <v>369</v>
      </c>
      <c r="D3101" t="s">
        <v>1271</v>
      </c>
      <c r="F3101" t="str">
        <f>"254118"</f>
        <v>254118</v>
      </c>
      <c r="G3101" t="s">
        <v>49</v>
      </c>
      <c r="H3101" t="s">
        <v>998</v>
      </c>
      <c r="K3101" t="s">
        <v>51</v>
      </c>
      <c r="L3101" t="s">
        <v>52</v>
      </c>
      <c r="M3101">
        <v>138111.75</v>
      </c>
      <c r="N3101">
        <v>468631.47</v>
      </c>
      <c r="O3101" t="s">
        <v>53</v>
      </c>
      <c r="P3101" t="s">
        <v>54</v>
      </c>
      <c r="Q3101" t="s">
        <v>55</v>
      </c>
      <c r="T3101" t="s">
        <v>841</v>
      </c>
      <c r="U3101">
        <v>40</v>
      </c>
      <c r="V3101" s="1">
        <v>27759</v>
      </c>
      <c r="W3101" s="1">
        <v>27759</v>
      </c>
      <c r="X3101" s="1">
        <v>27759</v>
      </c>
      <c r="Y3101" s="1">
        <v>42369</v>
      </c>
      <c r="Z3101" t="s">
        <v>51</v>
      </c>
      <c r="AB3101" t="s">
        <v>54</v>
      </c>
      <c r="AC3101">
        <v>1</v>
      </c>
      <c r="AE3101" t="s">
        <v>1212</v>
      </c>
      <c r="AF3101">
        <v>20</v>
      </c>
      <c r="AG3101" s="1">
        <v>31777</v>
      </c>
      <c r="AH3101" s="1">
        <v>31777</v>
      </c>
      <c r="AI3101" s="1">
        <v>31777</v>
      </c>
      <c r="AJ3101" s="1">
        <v>39082</v>
      </c>
      <c r="AK3101" t="s">
        <v>51</v>
      </c>
      <c r="AN3101">
        <v>0</v>
      </c>
      <c r="AO3101" t="s">
        <v>54</v>
      </c>
      <c r="AP3101" t="s">
        <v>53</v>
      </c>
      <c r="AQ3101">
        <v>0</v>
      </c>
      <c r="AR3101" t="s">
        <v>53</v>
      </c>
      <c r="AS3101">
        <v>0</v>
      </c>
      <c r="AT3101">
        <v>0</v>
      </c>
      <c r="CC3101" t="s">
        <v>850</v>
      </c>
      <c r="CD3101">
        <v>1</v>
      </c>
      <c r="CE3101" s="1">
        <v>42552</v>
      </c>
      <c r="CF3101" s="1">
        <v>42552</v>
      </c>
      <c r="CG3101" s="1">
        <v>42552</v>
      </c>
      <c r="CH3101" s="1">
        <v>42552</v>
      </c>
      <c r="CI3101" t="s">
        <v>51</v>
      </c>
      <c r="CK3101" t="s">
        <v>78</v>
      </c>
      <c r="CM3101" t="s">
        <v>54</v>
      </c>
      <c r="CN3101" t="s">
        <v>174</v>
      </c>
      <c r="CO3101" t="s">
        <v>86</v>
      </c>
      <c r="CR3101">
        <v>18</v>
      </c>
      <c r="CS3101">
        <v>0</v>
      </c>
      <c r="CT3101">
        <v>0</v>
      </c>
      <c r="CU3101">
        <v>0</v>
      </c>
    </row>
    <row r="3102" spans="1:99" x14ac:dyDescent="0.2">
      <c r="A3102" t="s">
        <v>367</v>
      </c>
      <c r="B3102" t="s">
        <v>368</v>
      </c>
      <c r="C3102" t="s">
        <v>369</v>
      </c>
      <c r="D3102" t="s">
        <v>1271</v>
      </c>
      <c r="F3102" t="str">
        <f>"254119"</f>
        <v>254119</v>
      </c>
      <c r="G3102" t="s">
        <v>49</v>
      </c>
      <c r="H3102" t="s">
        <v>1275</v>
      </c>
      <c r="K3102" t="s">
        <v>51</v>
      </c>
      <c r="L3102" t="s">
        <v>52</v>
      </c>
      <c r="M3102">
        <v>138083.97</v>
      </c>
      <c r="N3102">
        <v>468612.85</v>
      </c>
      <c r="O3102" t="s">
        <v>53</v>
      </c>
      <c r="P3102" t="s">
        <v>54</v>
      </c>
      <c r="Q3102" t="s">
        <v>55</v>
      </c>
      <c r="T3102" t="s">
        <v>841</v>
      </c>
      <c r="U3102">
        <v>40</v>
      </c>
      <c r="V3102" s="1">
        <v>27759</v>
      </c>
      <c r="W3102" s="1">
        <v>27759</v>
      </c>
      <c r="X3102" s="1">
        <v>27759</v>
      </c>
      <c r="Y3102" s="1">
        <v>42369</v>
      </c>
      <c r="Z3102" t="s">
        <v>51</v>
      </c>
      <c r="AB3102" t="s">
        <v>54</v>
      </c>
      <c r="AC3102">
        <v>1</v>
      </c>
      <c r="AE3102" t="s">
        <v>1212</v>
      </c>
      <c r="AF3102">
        <v>20</v>
      </c>
      <c r="AG3102" s="1">
        <v>31777</v>
      </c>
      <c r="AH3102" s="1">
        <v>31777</v>
      </c>
      <c r="AI3102" s="1">
        <v>31777</v>
      </c>
      <c r="AJ3102" s="1">
        <v>39082</v>
      </c>
      <c r="AK3102" t="s">
        <v>51</v>
      </c>
      <c r="AN3102">
        <v>0</v>
      </c>
      <c r="AO3102" t="s">
        <v>54</v>
      </c>
      <c r="AP3102" t="s">
        <v>53</v>
      </c>
      <c r="AQ3102">
        <v>0</v>
      </c>
      <c r="AR3102" t="s">
        <v>53</v>
      </c>
      <c r="AS3102">
        <v>0</v>
      </c>
      <c r="AT3102">
        <v>0</v>
      </c>
      <c r="CC3102" t="s">
        <v>850</v>
      </c>
      <c r="CD3102">
        <v>1</v>
      </c>
      <c r="CE3102" s="1">
        <v>42552</v>
      </c>
      <c r="CF3102" s="1">
        <v>42552</v>
      </c>
      <c r="CG3102" s="1">
        <v>42552</v>
      </c>
      <c r="CH3102" s="1">
        <v>42552</v>
      </c>
      <c r="CI3102" t="s">
        <v>51</v>
      </c>
      <c r="CK3102" t="s">
        <v>78</v>
      </c>
      <c r="CM3102" t="s">
        <v>54</v>
      </c>
      <c r="CN3102" t="s">
        <v>174</v>
      </c>
      <c r="CO3102" t="s">
        <v>86</v>
      </c>
      <c r="CR3102">
        <v>18</v>
      </c>
      <c r="CS3102">
        <v>0</v>
      </c>
      <c r="CT3102">
        <v>0</v>
      </c>
      <c r="CU3102">
        <v>0</v>
      </c>
    </row>
    <row r="3103" spans="1:99" x14ac:dyDescent="0.2">
      <c r="A3103" t="s">
        <v>367</v>
      </c>
      <c r="B3103" t="s">
        <v>368</v>
      </c>
      <c r="C3103" t="s">
        <v>369</v>
      </c>
      <c r="D3103" t="s">
        <v>1271</v>
      </c>
      <c r="F3103" t="str">
        <f>"254120"</f>
        <v>254120</v>
      </c>
      <c r="G3103" t="s">
        <v>49</v>
      </c>
      <c r="H3103" t="s">
        <v>1276</v>
      </c>
      <c r="K3103" t="s">
        <v>51</v>
      </c>
      <c r="L3103" t="s">
        <v>52</v>
      </c>
      <c r="M3103">
        <v>138047.85999999999</v>
      </c>
      <c r="N3103">
        <v>468607.58</v>
      </c>
      <c r="O3103" t="s">
        <v>53</v>
      </c>
      <c r="P3103" t="s">
        <v>54</v>
      </c>
      <c r="Q3103" t="s">
        <v>55</v>
      </c>
      <c r="T3103" t="s">
        <v>841</v>
      </c>
      <c r="U3103">
        <v>40</v>
      </c>
      <c r="V3103" s="1">
        <v>27759</v>
      </c>
      <c r="W3103" s="1">
        <v>27759</v>
      </c>
      <c r="X3103" s="1">
        <v>27759</v>
      </c>
      <c r="Y3103" s="1">
        <v>42369</v>
      </c>
      <c r="Z3103" t="s">
        <v>51</v>
      </c>
      <c r="AB3103" t="s">
        <v>54</v>
      </c>
      <c r="AC3103">
        <v>1</v>
      </c>
      <c r="AE3103" t="s">
        <v>1212</v>
      </c>
      <c r="AF3103">
        <v>20</v>
      </c>
      <c r="AG3103" s="1">
        <v>31777</v>
      </c>
      <c r="AH3103" s="1">
        <v>31777</v>
      </c>
      <c r="AI3103" s="1">
        <v>31777</v>
      </c>
      <c r="AJ3103" s="1">
        <v>39082</v>
      </c>
      <c r="AK3103" t="s">
        <v>51</v>
      </c>
      <c r="AN3103">
        <v>0</v>
      </c>
      <c r="AO3103" t="s">
        <v>54</v>
      </c>
      <c r="AP3103" t="s">
        <v>53</v>
      </c>
      <c r="AQ3103">
        <v>0</v>
      </c>
      <c r="AR3103" t="s">
        <v>53</v>
      </c>
      <c r="AS3103">
        <v>0</v>
      </c>
      <c r="AT3103">
        <v>0</v>
      </c>
      <c r="CC3103" t="s">
        <v>850</v>
      </c>
      <c r="CD3103">
        <v>1</v>
      </c>
      <c r="CE3103" s="1">
        <v>42552</v>
      </c>
      <c r="CF3103" s="1">
        <v>42552</v>
      </c>
      <c r="CG3103" s="1">
        <v>42552</v>
      </c>
      <c r="CH3103" s="1">
        <v>42552</v>
      </c>
      <c r="CI3103" t="s">
        <v>51</v>
      </c>
      <c r="CK3103" t="s">
        <v>78</v>
      </c>
      <c r="CM3103" t="s">
        <v>54</v>
      </c>
      <c r="CN3103" t="s">
        <v>174</v>
      </c>
      <c r="CO3103" t="s">
        <v>86</v>
      </c>
      <c r="CR3103">
        <v>18</v>
      </c>
      <c r="CS3103">
        <v>0</v>
      </c>
      <c r="CT3103">
        <v>0</v>
      </c>
      <c r="CU3103">
        <v>0</v>
      </c>
    </row>
    <row r="3104" spans="1:99" x14ac:dyDescent="0.2">
      <c r="A3104" t="s">
        <v>367</v>
      </c>
      <c r="B3104" t="s">
        <v>368</v>
      </c>
      <c r="C3104" t="s">
        <v>369</v>
      </c>
      <c r="D3104" t="s">
        <v>1271</v>
      </c>
      <c r="F3104" t="str">
        <f>"254121"</f>
        <v>254121</v>
      </c>
      <c r="G3104" t="s">
        <v>49</v>
      </c>
      <c r="H3104" t="s">
        <v>1277</v>
      </c>
      <c r="K3104" t="s">
        <v>51</v>
      </c>
      <c r="L3104" t="s">
        <v>52</v>
      </c>
      <c r="M3104">
        <v>138022.51</v>
      </c>
      <c r="N3104">
        <v>468602.39</v>
      </c>
      <c r="O3104" t="s">
        <v>53</v>
      </c>
      <c r="P3104" t="s">
        <v>54</v>
      </c>
      <c r="Q3104" t="s">
        <v>55</v>
      </c>
      <c r="T3104" t="s">
        <v>1266</v>
      </c>
      <c r="U3104">
        <v>40</v>
      </c>
      <c r="V3104" s="1">
        <v>27759</v>
      </c>
      <c r="W3104" s="1">
        <v>27759</v>
      </c>
      <c r="X3104" s="1">
        <v>27759</v>
      </c>
      <c r="Y3104" s="1">
        <v>42369</v>
      </c>
      <c r="Z3104" t="s">
        <v>51</v>
      </c>
      <c r="AB3104" t="s">
        <v>54</v>
      </c>
      <c r="AC3104">
        <v>1</v>
      </c>
      <c r="AE3104" t="s">
        <v>844</v>
      </c>
      <c r="AF3104">
        <v>20</v>
      </c>
      <c r="AG3104" s="1">
        <v>31777</v>
      </c>
      <c r="AH3104" s="1">
        <v>31777</v>
      </c>
      <c r="AI3104" s="1">
        <v>31777</v>
      </c>
      <c r="AJ3104" s="1">
        <v>39082</v>
      </c>
      <c r="AK3104" t="s">
        <v>51</v>
      </c>
      <c r="AN3104">
        <v>0</v>
      </c>
      <c r="AO3104" t="s">
        <v>54</v>
      </c>
      <c r="AP3104" t="s">
        <v>53</v>
      </c>
      <c r="AQ3104">
        <v>0</v>
      </c>
      <c r="AR3104" t="s">
        <v>53</v>
      </c>
      <c r="AS3104">
        <v>0</v>
      </c>
      <c r="AT3104">
        <v>0</v>
      </c>
      <c r="AW3104" t="s">
        <v>58</v>
      </c>
      <c r="AX3104">
        <v>20</v>
      </c>
      <c r="AY3104" s="1">
        <v>31777</v>
      </c>
      <c r="AZ3104" s="1">
        <v>31777</v>
      </c>
      <c r="BA3104" s="1">
        <v>31777</v>
      </c>
      <c r="BB3104" s="1">
        <v>39082</v>
      </c>
      <c r="BC3104" t="s">
        <v>51</v>
      </c>
      <c r="BE3104" t="s">
        <v>54</v>
      </c>
      <c r="BF3104">
        <v>2</v>
      </c>
      <c r="BG3104">
        <v>0</v>
      </c>
      <c r="BH3104" t="s">
        <v>53</v>
      </c>
      <c r="BK3104" t="s">
        <v>797</v>
      </c>
      <c r="BL3104">
        <v>12000</v>
      </c>
      <c r="BM3104" s="1">
        <v>41091</v>
      </c>
      <c r="BN3104" s="1">
        <v>41091</v>
      </c>
      <c r="BO3104" s="1">
        <v>41091</v>
      </c>
      <c r="BP3104" s="1">
        <v>42077</v>
      </c>
      <c r="BQ3104" t="s">
        <v>51</v>
      </c>
      <c r="BS3104" t="s">
        <v>60</v>
      </c>
      <c r="BT3104" t="s">
        <v>54</v>
      </c>
      <c r="BU3104" t="s">
        <v>72</v>
      </c>
      <c r="BV3104" t="s">
        <v>73</v>
      </c>
      <c r="BX3104">
        <v>35</v>
      </c>
      <c r="BY3104">
        <v>0</v>
      </c>
      <c r="BZ3104">
        <v>0</v>
      </c>
    </row>
    <row r="3105" spans="1:99" x14ac:dyDescent="0.2">
      <c r="A3105" t="s">
        <v>367</v>
      </c>
      <c r="B3105" t="s">
        <v>368</v>
      </c>
      <c r="C3105" t="s">
        <v>369</v>
      </c>
      <c r="D3105" t="s">
        <v>1278</v>
      </c>
      <c r="F3105" t="str">
        <f>"254075"</f>
        <v>254075</v>
      </c>
      <c r="G3105" t="s">
        <v>49</v>
      </c>
      <c r="H3105" t="s">
        <v>1279</v>
      </c>
      <c r="K3105" t="s">
        <v>51</v>
      </c>
      <c r="L3105" t="s">
        <v>52</v>
      </c>
      <c r="M3105">
        <v>138013.85999999999</v>
      </c>
      <c r="N3105">
        <v>468587.98</v>
      </c>
      <c r="O3105" t="s">
        <v>53</v>
      </c>
      <c r="P3105" t="s">
        <v>54</v>
      </c>
      <c r="Q3105" t="s">
        <v>55</v>
      </c>
      <c r="T3105" t="s">
        <v>1266</v>
      </c>
      <c r="U3105">
        <v>40</v>
      </c>
      <c r="V3105" s="1">
        <v>27759</v>
      </c>
      <c r="W3105" s="1">
        <v>27759</v>
      </c>
      <c r="X3105" s="1">
        <v>27759</v>
      </c>
      <c r="Y3105" s="1">
        <v>42369</v>
      </c>
      <c r="Z3105" t="s">
        <v>51</v>
      </c>
      <c r="AB3105" t="s">
        <v>54</v>
      </c>
      <c r="AC3105">
        <v>1</v>
      </c>
      <c r="AE3105" t="s">
        <v>844</v>
      </c>
      <c r="AF3105">
        <v>20</v>
      </c>
      <c r="AG3105" s="1">
        <v>31777</v>
      </c>
      <c r="AH3105" s="1">
        <v>31777</v>
      </c>
      <c r="AI3105" s="1">
        <v>31777</v>
      </c>
      <c r="AJ3105" s="1">
        <v>39082</v>
      </c>
      <c r="AK3105" t="s">
        <v>51</v>
      </c>
      <c r="AN3105">
        <v>0</v>
      </c>
      <c r="AO3105" t="s">
        <v>54</v>
      </c>
      <c r="AP3105" t="s">
        <v>53</v>
      </c>
      <c r="AQ3105">
        <v>0</v>
      </c>
      <c r="AR3105" t="s">
        <v>53</v>
      </c>
      <c r="AS3105">
        <v>0</v>
      </c>
      <c r="AT3105">
        <v>0</v>
      </c>
      <c r="CC3105" t="s">
        <v>555</v>
      </c>
      <c r="CD3105">
        <v>85000</v>
      </c>
      <c r="CE3105" s="1">
        <v>42552</v>
      </c>
      <c r="CF3105" s="1">
        <v>42552</v>
      </c>
      <c r="CG3105" s="1">
        <v>42552</v>
      </c>
      <c r="CH3105" s="1">
        <v>49714</v>
      </c>
      <c r="CI3105" t="s">
        <v>51</v>
      </c>
      <c r="CK3105" t="s">
        <v>78</v>
      </c>
      <c r="CM3105" t="s">
        <v>54</v>
      </c>
      <c r="CN3105" t="s">
        <v>174</v>
      </c>
      <c r="CO3105" t="s">
        <v>86</v>
      </c>
      <c r="CR3105">
        <v>20</v>
      </c>
      <c r="CS3105">
        <v>0</v>
      </c>
      <c r="CT3105">
        <v>0</v>
      </c>
      <c r="CU3105">
        <v>0</v>
      </c>
    </row>
    <row r="3106" spans="1:99" x14ac:dyDescent="0.2">
      <c r="A3106" t="s">
        <v>367</v>
      </c>
      <c r="B3106" t="s">
        <v>368</v>
      </c>
      <c r="C3106" t="s">
        <v>369</v>
      </c>
      <c r="D3106" t="s">
        <v>1280</v>
      </c>
      <c r="F3106" t="str">
        <f>"24186"</f>
        <v>24186</v>
      </c>
      <c r="G3106" t="s">
        <v>49</v>
      </c>
      <c r="H3106" t="s">
        <v>972</v>
      </c>
      <c r="K3106" t="s">
        <v>51</v>
      </c>
      <c r="L3106" t="s">
        <v>52</v>
      </c>
      <c r="M3106">
        <v>137459.75</v>
      </c>
      <c r="N3106">
        <v>468584.31</v>
      </c>
      <c r="O3106" t="s">
        <v>53</v>
      </c>
      <c r="P3106" t="s">
        <v>54</v>
      </c>
      <c r="Q3106" t="s">
        <v>55</v>
      </c>
      <c r="T3106" t="s">
        <v>83</v>
      </c>
      <c r="U3106">
        <v>40</v>
      </c>
      <c r="V3106" s="1">
        <v>24107</v>
      </c>
      <c r="W3106" s="1">
        <v>24107</v>
      </c>
      <c r="X3106" s="1">
        <v>24107</v>
      </c>
      <c r="Y3106" s="1">
        <v>38717</v>
      </c>
      <c r="Z3106" t="s">
        <v>51</v>
      </c>
      <c r="AB3106" t="s">
        <v>54</v>
      </c>
      <c r="AC3106">
        <v>1</v>
      </c>
      <c r="AE3106" t="s">
        <v>1212</v>
      </c>
      <c r="AF3106">
        <v>20</v>
      </c>
      <c r="AG3106" s="1">
        <v>31777</v>
      </c>
      <c r="AH3106" s="1">
        <v>31777</v>
      </c>
      <c r="AI3106" s="1">
        <v>31777</v>
      </c>
      <c r="AJ3106" s="1">
        <v>39082</v>
      </c>
      <c r="AK3106" t="s">
        <v>51</v>
      </c>
      <c r="AN3106">
        <v>0</v>
      </c>
      <c r="AO3106" t="s">
        <v>54</v>
      </c>
      <c r="AP3106" t="s">
        <v>53</v>
      </c>
      <c r="AQ3106">
        <v>0</v>
      </c>
      <c r="AR3106" t="s">
        <v>53</v>
      </c>
      <c r="AS3106">
        <v>0</v>
      </c>
      <c r="AT3106">
        <v>0</v>
      </c>
      <c r="AW3106" t="s">
        <v>58</v>
      </c>
      <c r="AX3106">
        <v>20</v>
      </c>
      <c r="AY3106" s="1">
        <v>31777</v>
      </c>
      <c r="AZ3106" s="1">
        <v>31777</v>
      </c>
      <c r="BA3106" s="1">
        <v>31777</v>
      </c>
      <c r="BB3106" s="1">
        <v>39082</v>
      </c>
      <c r="BC3106" t="s">
        <v>51</v>
      </c>
      <c r="BE3106" t="s">
        <v>54</v>
      </c>
      <c r="BF3106">
        <v>2</v>
      </c>
      <c r="BG3106">
        <v>0</v>
      </c>
      <c r="BH3106" t="s">
        <v>53</v>
      </c>
      <c r="BK3106" t="s">
        <v>720</v>
      </c>
      <c r="BL3106">
        <v>17000</v>
      </c>
      <c r="BM3106" s="1">
        <v>43270</v>
      </c>
      <c r="BN3106" s="1">
        <v>43270</v>
      </c>
      <c r="BO3106" s="1">
        <v>43270</v>
      </c>
      <c r="BP3106" s="1">
        <v>44692</v>
      </c>
      <c r="BQ3106" t="s">
        <v>51</v>
      </c>
      <c r="BS3106" t="s">
        <v>60</v>
      </c>
      <c r="BT3106" t="s">
        <v>54</v>
      </c>
      <c r="BU3106" t="s">
        <v>721</v>
      </c>
      <c r="BV3106" t="s">
        <v>722</v>
      </c>
      <c r="BX3106">
        <v>18</v>
      </c>
      <c r="BY3106">
        <v>0</v>
      </c>
      <c r="BZ3106">
        <v>0</v>
      </c>
    </row>
    <row r="3107" spans="1:99" x14ac:dyDescent="0.2">
      <c r="A3107" t="s">
        <v>367</v>
      </c>
      <c r="B3107" t="s">
        <v>368</v>
      </c>
      <c r="C3107" t="s">
        <v>369</v>
      </c>
      <c r="D3107" t="s">
        <v>1280</v>
      </c>
      <c r="F3107" t="str">
        <f>"24187"</f>
        <v>24187</v>
      </c>
      <c r="G3107" t="s">
        <v>49</v>
      </c>
      <c r="H3107" t="s">
        <v>983</v>
      </c>
      <c r="K3107" t="s">
        <v>51</v>
      </c>
      <c r="L3107" t="s">
        <v>52</v>
      </c>
      <c r="M3107">
        <v>137494.32999999999</v>
      </c>
      <c r="N3107">
        <v>468607.41</v>
      </c>
      <c r="O3107" t="s">
        <v>53</v>
      </c>
      <c r="P3107" t="s">
        <v>54</v>
      </c>
      <c r="Q3107" t="s">
        <v>55</v>
      </c>
      <c r="T3107" t="s">
        <v>83</v>
      </c>
      <c r="U3107">
        <v>40</v>
      </c>
      <c r="V3107" s="1">
        <v>24107</v>
      </c>
      <c r="W3107" s="1">
        <v>24107</v>
      </c>
      <c r="X3107" s="1">
        <v>24107</v>
      </c>
      <c r="Y3107" s="1">
        <v>38717</v>
      </c>
      <c r="Z3107" t="s">
        <v>51</v>
      </c>
      <c r="AB3107" t="s">
        <v>54</v>
      </c>
      <c r="AC3107">
        <v>1</v>
      </c>
      <c r="AE3107" t="s">
        <v>1212</v>
      </c>
      <c r="AF3107">
        <v>20</v>
      </c>
      <c r="AG3107" s="1">
        <v>31777</v>
      </c>
      <c r="AH3107" s="1">
        <v>31777</v>
      </c>
      <c r="AI3107" s="1">
        <v>31777</v>
      </c>
      <c r="AJ3107" s="1">
        <v>39082</v>
      </c>
      <c r="AK3107" t="s">
        <v>51</v>
      </c>
      <c r="AN3107">
        <v>0</v>
      </c>
      <c r="AO3107" t="s">
        <v>54</v>
      </c>
      <c r="AP3107" t="s">
        <v>53</v>
      </c>
      <c r="AQ3107">
        <v>0</v>
      </c>
      <c r="AR3107" t="s">
        <v>53</v>
      </c>
      <c r="AS3107">
        <v>0</v>
      </c>
      <c r="AT3107">
        <v>0</v>
      </c>
      <c r="AW3107" t="s">
        <v>58</v>
      </c>
      <c r="AX3107">
        <v>20</v>
      </c>
      <c r="AY3107" s="1">
        <v>31777</v>
      </c>
      <c r="AZ3107" s="1">
        <v>31777</v>
      </c>
      <c r="BA3107" s="1">
        <v>31777</v>
      </c>
      <c r="BB3107" s="1">
        <v>39082</v>
      </c>
      <c r="BC3107" t="s">
        <v>51</v>
      </c>
      <c r="BE3107" t="s">
        <v>54</v>
      </c>
      <c r="BF3107">
        <v>2</v>
      </c>
      <c r="BG3107">
        <v>0</v>
      </c>
      <c r="BH3107" t="s">
        <v>53</v>
      </c>
      <c r="BK3107" t="s">
        <v>720</v>
      </c>
      <c r="BL3107">
        <v>17000</v>
      </c>
      <c r="BM3107" s="1">
        <v>44956</v>
      </c>
      <c r="BN3107" s="1">
        <v>44956</v>
      </c>
      <c r="BO3107" s="1">
        <v>44956</v>
      </c>
      <c r="BP3107" s="1">
        <v>46399</v>
      </c>
      <c r="BQ3107" t="s">
        <v>51</v>
      </c>
      <c r="BS3107" t="s">
        <v>60</v>
      </c>
      <c r="BT3107" t="s">
        <v>54</v>
      </c>
      <c r="BU3107" t="s">
        <v>721</v>
      </c>
      <c r="BV3107" t="s">
        <v>722</v>
      </c>
      <c r="BX3107">
        <v>18</v>
      </c>
      <c r="BY3107">
        <v>0</v>
      </c>
      <c r="BZ3107">
        <v>0</v>
      </c>
    </row>
    <row r="3108" spans="1:99" x14ac:dyDescent="0.2">
      <c r="A3108" t="s">
        <v>367</v>
      </c>
      <c r="B3108" t="s">
        <v>368</v>
      </c>
      <c r="C3108" t="s">
        <v>369</v>
      </c>
      <c r="D3108" t="s">
        <v>1280</v>
      </c>
      <c r="F3108" t="str">
        <f>"24188"</f>
        <v>24188</v>
      </c>
      <c r="G3108" t="s">
        <v>49</v>
      </c>
      <c r="H3108" t="s">
        <v>1281</v>
      </c>
      <c r="K3108" t="s">
        <v>51</v>
      </c>
      <c r="L3108" t="s">
        <v>52</v>
      </c>
      <c r="M3108">
        <v>137528.18</v>
      </c>
      <c r="N3108">
        <v>468616.68</v>
      </c>
      <c r="O3108" t="s">
        <v>53</v>
      </c>
      <c r="P3108" t="s">
        <v>54</v>
      </c>
      <c r="Q3108" t="s">
        <v>55</v>
      </c>
      <c r="T3108" t="s">
        <v>83</v>
      </c>
      <c r="U3108">
        <v>40</v>
      </c>
      <c r="V3108" s="1">
        <v>24107</v>
      </c>
      <c r="W3108" s="1">
        <v>24107</v>
      </c>
      <c r="X3108" s="1">
        <v>24107</v>
      </c>
      <c r="Y3108" s="1">
        <v>38717</v>
      </c>
      <c r="Z3108" t="s">
        <v>51</v>
      </c>
      <c r="AB3108" t="s">
        <v>54</v>
      </c>
      <c r="AC3108">
        <v>1</v>
      </c>
      <c r="AE3108" t="s">
        <v>1212</v>
      </c>
      <c r="AF3108">
        <v>20</v>
      </c>
      <c r="AG3108" s="1">
        <v>35761</v>
      </c>
      <c r="AH3108" s="1">
        <v>35761</v>
      </c>
      <c r="AI3108" s="1">
        <v>35761</v>
      </c>
      <c r="AJ3108" s="1">
        <v>43066</v>
      </c>
      <c r="AK3108" t="s">
        <v>51</v>
      </c>
      <c r="AN3108">
        <v>0</v>
      </c>
      <c r="AO3108" t="s">
        <v>54</v>
      </c>
      <c r="AP3108" t="s">
        <v>53</v>
      </c>
      <c r="AQ3108">
        <v>0</v>
      </c>
      <c r="AR3108" t="s">
        <v>53</v>
      </c>
      <c r="AS3108">
        <v>0</v>
      </c>
      <c r="AT3108">
        <v>0</v>
      </c>
      <c r="AW3108" t="s">
        <v>58</v>
      </c>
      <c r="AX3108">
        <v>20</v>
      </c>
      <c r="AY3108" s="1">
        <v>35761</v>
      </c>
      <c r="AZ3108" s="1">
        <v>35761</v>
      </c>
      <c r="BA3108" s="1">
        <v>35761</v>
      </c>
      <c r="BB3108" s="1">
        <v>43066</v>
      </c>
      <c r="BC3108" t="s">
        <v>51</v>
      </c>
      <c r="BE3108" t="s">
        <v>54</v>
      </c>
      <c r="BF3108">
        <v>2</v>
      </c>
      <c r="BG3108">
        <v>0</v>
      </c>
      <c r="BH3108" t="s">
        <v>53</v>
      </c>
      <c r="BK3108" t="s">
        <v>720</v>
      </c>
      <c r="BL3108">
        <v>17000</v>
      </c>
      <c r="BM3108" s="1">
        <v>43409</v>
      </c>
      <c r="BN3108" s="1">
        <v>43409</v>
      </c>
      <c r="BO3108" s="1">
        <v>43409</v>
      </c>
      <c r="BP3108" s="1">
        <v>44849</v>
      </c>
      <c r="BQ3108" t="s">
        <v>51</v>
      </c>
      <c r="BS3108" t="s">
        <v>60</v>
      </c>
      <c r="BT3108" t="s">
        <v>54</v>
      </c>
      <c r="BU3108" t="s">
        <v>721</v>
      </c>
      <c r="BV3108" t="s">
        <v>722</v>
      </c>
      <c r="BX3108">
        <v>18</v>
      </c>
      <c r="BY3108">
        <v>0</v>
      </c>
      <c r="BZ3108">
        <v>0</v>
      </c>
    </row>
    <row r="3109" spans="1:99" x14ac:dyDescent="0.2">
      <c r="A3109" t="s">
        <v>367</v>
      </c>
      <c r="B3109" t="s">
        <v>368</v>
      </c>
      <c r="C3109" t="s">
        <v>369</v>
      </c>
      <c r="D3109" t="s">
        <v>1280</v>
      </c>
      <c r="F3109" t="str">
        <f>"24189"</f>
        <v>24189</v>
      </c>
      <c r="G3109" t="s">
        <v>49</v>
      </c>
      <c r="H3109" t="s">
        <v>1282</v>
      </c>
      <c r="K3109" t="s">
        <v>51</v>
      </c>
      <c r="L3109" t="s">
        <v>52</v>
      </c>
      <c r="M3109">
        <v>137556.92000000001</v>
      </c>
      <c r="N3109">
        <v>468637.33</v>
      </c>
      <c r="O3109" t="s">
        <v>53</v>
      </c>
      <c r="P3109" t="s">
        <v>54</v>
      </c>
      <c r="Q3109" t="s">
        <v>55</v>
      </c>
      <c r="T3109" t="s">
        <v>841</v>
      </c>
      <c r="U3109">
        <v>40</v>
      </c>
      <c r="V3109" s="1">
        <v>27759</v>
      </c>
      <c r="W3109" s="1">
        <v>27759</v>
      </c>
      <c r="X3109" s="1">
        <v>27759</v>
      </c>
      <c r="Y3109" s="1">
        <v>42369</v>
      </c>
      <c r="Z3109" t="s">
        <v>51</v>
      </c>
      <c r="AB3109" t="s">
        <v>54</v>
      </c>
      <c r="AC3109">
        <v>1</v>
      </c>
      <c r="AE3109" t="s">
        <v>1212</v>
      </c>
      <c r="AF3109">
        <v>20</v>
      </c>
      <c r="AG3109" s="1">
        <v>31777</v>
      </c>
      <c r="AH3109" s="1">
        <v>31777</v>
      </c>
      <c r="AI3109" s="1">
        <v>31777</v>
      </c>
      <c r="AJ3109" s="1">
        <v>39082</v>
      </c>
      <c r="AK3109" t="s">
        <v>51</v>
      </c>
      <c r="AN3109">
        <v>0</v>
      </c>
      <c r="AO3109" t="s">
        <v>54</v>
      </c>
      <c r="AP3109" t="s">
        <v>53</v>
      </c>
      <c r="AQ3109">
        <v>0</v>
      </c>
      <c r="AR3109" t="s">
        <v>53</v>
      </c>
      <c r="AS3109">
        <v>0</v>
      </c>
      <c r="AT3109">
        <v>0</v>
      </c>
      <c r="AW3109" t="s">
        <v>58</v>
      </c>
      <c r="AX3109">
        <v>20</v>
      </c>
      <c r="AY3109" s="1">
        <v>31777</v>
      </c>
      <c r="AZ3109" s="1">
        <v>31777</v>
      </c>
      <c r="BA3109" s="1">
        <v>31777</v>
      </c>
      <c r="BB3109" s="1">
        <v>39082</v>
      </c>
      <c r="BC3109" t="s">
        <v>51</v>
      </c>
      <c r="BE3109" t="s">
        <v>54</v>
      </c>
      <c r="BF3109">
        <v>2</v>
      </c>
      <c r="BG3109">
        <v>0</v>
      </c>
      <c r="BH3109" t="s">
        <v>53</v>
      </c>
      <c r="BK3109" t="s">
        <v>720</v>
      </c>
      <c r="BL3109">
        <v>17000</v>
      </c>
      <c r="BM3109" s="1">
        <v>41091</v>
      </c>
      <c r="BN3109" s="1">
        <v>41091</v>
      </c>
      <c r="BO3109" s="1">
        <v>41091</v>
      </c>
      <c r="BP3109" s="1">
        <v>42513</v>
      </c>
      <c r="BQ3109" t="s">
        <v>51</v>
      </c>
      <c r="BS3109" t="s">
        <v>60</v>
      </c>
      <c r="BT3109" t="s">
        <v>54</v>
      </c>
      <c r="BU3109" t="s">
        <v>721</v>
      </c>
      <c r="BV3109" t="s">
        <v>722</v>
      </c>
      <c r="BX3109">
        <v>18</v>
      </c>
      <c r="BY3109">
        <v>0</v>
      </c>
      <c r="BZ3109">
        <v>0</v>
      </c>
    </row>
    <row r="3110" spans="1:99" x14ac:dyDescent="0.2">
      <c r="A3110" t="s">
        <v>367</v>
      </c>
      <c r="B3110" t="s">
        <v>368</v>
      </c>
      <c r="C3110" t="s">
        <v>369</v>
      </c>
      <c r="D3110" t="s">
        <v>1280</v>
      </c>
      <c r="F3110" t="str">
        <f>"24190"</f>
        <v>24190</v>
      </c>
      <c r="G3110" t="s">
        <v>49</v>
      </c>
      <c r="H3110" t="s">
        <v>1283</v>
      </c>
      <c r="K3110" t="s">
        <v>51</v>
      </c>
      <c r="L3110" t="s">
        <v>52</v>
      </c>
      <c r="M3110">
        <v>137590.84</v>
      </c>
      <c r="N3110">
        <v>468645.91</v>
      </c>
      <c r="O3110" t="s">
        <v>53</v>
      </c>
      <c r="P3110" t="s">
        <v>54</v>
      </c>
      <c r="Q3110" t="s">
        <v>55</v>
      </c>
      <c r="T3110" t="s">
        <v>841</v>
      </c>
      <c r="U3110">
        <v>40</v>
      </c>
      <c r="V3110" s="1">
        <v>27759</v>
      </c>
      <c r="W3110" s="1">
        <v>27759</v>
      </c>
      <c r="X3110" s="1">
        <v>27759</v>
      </c>
      <c r="Y3110" s="1">
        <v>42369</v>
      </c>
      <c r="Z3110" t="s">
        <v>51</v>
      </c>
      <c r="AB3110" t="s">
        <v>54</v>
      </c>
      <c r="AC3110">
        <v>1</v>
      </c>
      <c r="AE3110" t="s">
        <v>57</v>
      </c>
      <c r="AF3110">
        <v>20</v>
      </c>
      <c r="AG3110" s="1">
        <v>41141</v>
      </c>
      <c r="AH3110" s="1">
        <v>41141</v>
      </c>
      <c r="AI3110" s="1">
        <v>41141</v>
      </c>
      <c r="AJ3110" s="1">
        <v>48446</v>
      </c>
      <c r="AK3110" t="s">
        <v>51</v>
      </c>
      <c r="AN3110">
        <v>0</v>
      </c>
      <c r="AO3110" t="s">
        <v>54</v>
      </c>
      <c r="AP3110" t="s">
        <v>53</v>
      </c>
      <c r="AQ3110">
        <v>0</v>
      </c>
      <c r="AR3110" t="s">
        <v>53</v>
      </c>
      <c r="AS3110">
        <v>0</v>
      </c>
      <c r="AT3110">
        <v>0</v>
      </c>
      <c r="AW3110" t="s">
        <v>58</v>
      </c>
      <c r="AX3110">
        <v>20</v>
      </c>
      <c r="AY3110" s="1">
        <v>41141</v>
      </c>
      <c r="AZ3110" s="1">
        <v>41141</v>
      </c>
      <c r="BA3110" s="1">
        <v>41141</v>
      </c>
      <c r="BB3110" s="1">
        <v>48446</v>
      </c>
      <c r="BC3110" t="s">
        <v>51</v>
      </c>
      <c r="BE3110" t="s">
        <v>54</v>
      </c>
      <c r="BF3110">
        <v>2</v>
      </c>
      <c r="BG3110">
        <v>0</v>
      </c>
      <c r="BH3110" t="s">
        <v>53</v>
      </c>
      <c r="BK3110" t="s">
        <v>59</v>
      </c>
      <c r="BL3110">
        <v>14000</v>
      </c>
      <c r="BM3110" s="1">
        <v>41091</v>
      </c>
      <c r="BN3110" s="1">
        <v>41091</v>
      </c>
      <c r="BO3110" s="1">
        <v>41141</v>
      </c>
      <c r="BP3110" s="1">
        <v>42291</v>
      </c>
      <c r="BQ3110" t="s">
        <v>51</v>
      </c>
      <c r="BS3110" t="s">
        <v>60</v>
      </c>
      <c r="BT3110" t="s">
        <v>54</v>
      </c>
      <c r="BU3110" t="s">
        <v>61</v>
      </c>
      <c r="BV3110" t="s">
        <v>62</v>
      </c>
      <c r="BX3110">
        <v>24</v>
      </c>
      <c r="BY3110">
        <v>0</v>
      </c>
      <c r="BZ3110">
        <v>0</v>
      </c>
    </row>
    <row r="3111" spans="1:99" x14ac:dyDescent="0.2">
      <c r="A3111" t="s">
        <v>367</v>
      </c>
      <c r="B3111" t="s">
        <v>368</v>
      </c>
      <c r="C3111" t="s">
        <v>369</v>
      </c>
      <c r="D3111" t="s">
        <v>1280</v>
      </c>
      <c r="F3111" t="str">
        <f>"24192"</f>
        <v>24192</v>
      </c>
      <c r="G3111" t="s">
        <v>49</v>
      </c>
      <c r="H3111" t="s">
        <v>1284</v>
      </c>
      <c r="K3111" t="s">
        <v>51</v>
      </c>
      <c r="L3111" t="s">
        <v>52</v>
      </c>
      <c r="M3111">
        <v>137657.60000000001</v>
      </c>
      <c r="N3111">
        <v>468677.33</v>
      </c>
      <c r="O3111" t="s">
        <v>53</v>
      </c>
      <c r="P3111" t="s">
        <v>54</v>
      </c>
      <c r="Q3111" t="s">
        <v>55</v>
      </c>
      <c r="T3111" t="s">
        <v>83</v>
      </c>
      <c r="U3111">
        <v>40</v>
      </c>
      <c r="V3111" s="1">
        <v>24107</v>
      </c>
      <c r="W3111" s="1">
        <v>24107</v>
      </c>
      <c r="X3111" s="1">
        <v>24107</v>
      </c>
      <c r="Y3111" s="1">
        <v>38717</v>
      </c>
      <c r="Z3111" t="s">
        <v>51</v>
      </c>
      <c r="AB3111" t="s">
        <v>54</v>
      </c>
      <c r="AC3111">
        <v>1</v>
      </c>
      <c r="AE3111" t="s">
        <v>57</v>
      </c>
      <c r="AF3111">
        <v>20</v>
      </c>
      <c r="AG3111" s="1">
        <v>40254</v>
      </c>
      <c r="AH3111" s="1">
        <v>40254</v>
      </c>
      <c r="AI3111" s="1">
        <v>40254</v>
      </c>
      <c r="AJ3111" s="1">
        <v>47559</v>
      </c>
      <c r="AK3111" t="s">
        <v>51</v>
      </c>
      <c r="AN3111">
        <v>0</v>
      </c>
      <c r="AO3111" t="s">
        <v>54</v>
      </c>
      <c r="AP3111" t="s">
        <v>53</v>
      </c>
      <c r="AQ3111">
        <v>0</v>
      </c>
      <c r="AR3111" t="s">
        <v>53</v>
      </c>
      <c r="AS3111">
        <v>0</v>
      </c>
      <c r="AT3111">
        <v>0</v>
      </c>
      <c r="AW3111" t="s">
        <v>58</v>
      </c>
      <c r="AX3111">
        <v>20</v>
      </c>
      <c r="AY3111" s="1">
        <v>40254</v>
      </c>
      <c r="AZ3111" s="1">
        <v>40254</v>
      </c>
      <c r="BA3111" s="1">
        <v>40254</v>
      </c>
      <c r="BB3111" s="1">
        <v>47559</v>
      </c>
      <c r="BC3111" t="s">
        <v>51</v>
      </c>
      <c r="BE3111" t="s">
        <v>54</v>
      </c>
      <c r="BF3111">
        <v>2</v>
      </c>
      <c r="BG3111">
        <v>0</v>
      </c>
      <c r="BH3111" t="s">
        <v>53</v>
      </c>
      <c r="BK3111" t="s">
        <v>59</v>
      </c>
      <c r="BL3111">
        <v>14000</v>
      </c>
      <c r="BM3111" s="1">
        <v>41091</v>
      </c>
      <c r="BN3111" s="1">
        <v>41091</v>
      </c>
      <c r="BO3111" s="1">
        <v>41091</v>
      </c>
      <c r="BP3111" s="1">
        <v>42291</v>
      </c>
      <c r="BQ3111" t="s">
        <v>51</v>
      </c>
      <c r="BS3111" t="s">
        <v>60</v>
      </c>
      <c r="BT3111" t="s">
        <v>54</v>
      </c>
      <c r="BU3111" t="s">
        <v>61</v>
      </c>
      <c r="BV3111" t="s">
        <v>62</v>
      </c>
      <c r="BX3111">
        <v>24</v>
      </c>
      <c r="BY3111">
        <v>0</v>
      </c>
      <c r="BZ3111">
        <v>0</v>
      </c>
    </row>
    <row r="3112" spans="1:99" x14ac:dyDescent="0.2">
      <c r="A3112" t="s">
        <v>367</v>
      </c>
      <c r="B3112" t="s">
        <v>368</v>
      </c>
      <c r="C3112" t="s">
        <v>369</v>
      </c>
      <c r="D3112" t="s">
        <v>1280</v>
      </c>
      <c r="F3112" t="str">
        <f>"24193"</f>
        <v>24193</v>
      </c>
      <c r="G3112" t="s">
        <v>49</v>
      </c>
      <c r="H3112" t="s">
        <v>1285</v>
      </c>
      <c r="K3112" t="s">
        <v>51</v>
      </c>
      <c r="L3112" t="s">
        <v>52</v>
      </c>
      <c r="M3112">
        <v>137677.23000000001</v>
      </c>
      <c r="N3112">
        <v>468695.82</v>
      </c>
      <c r="O3112" t="s">
        <v>53</v>
      </c>
      <c r="P3112" t="s">
        <v>54</v>
      </c>
      <c r="Q3112" t="s">
        <v>55</v>
      </c>
      <c r="T3112" t="s">
        <v>83</v>
      </c>
      <c r="U3112">
        <v>40</v>
      </c>
      <c r="V3112" s="1">
        <v>24107</v>
      </c>
      <c r="W3112" s="1">
        <v>24107</v>
      </c>
      <c r="X3112" s="1">
        <v>24107</v>
      </c>
      <c r="Y3112" s="1">
        <v>38717</v>
      </c>
      <c r="Z3112" t="s">
        <v>51</v>
      </c>
      <c r="AB3112" t="s">
        <v>54</v>
      </c>
      <c r="AC3112">
        <v>1</v>
      </c>
      <c r="AE3112" t="s">
        <v>57</v>
      </c>
      <c r="AF3112">
        <v>20</v>
      </c>
      <c r="AG3112" s="1">
        <v>40452</v>
      </c>
      <c r="AH3112" s="1">
        <v>40452</v>
      </c>
      <c r="AI3112" s="1">
        <v>40452</v>
      </c>
      <c r="AJ3112" s="1">
        <v>47757</v>
      </c>
      <c r="AK3112" t="s">
        <v>51</v>
      </c>
      <c r="AN3112">
        <v>0</v>
      </c>
      <c r="AO3112" t="s">
        <v>54</v>
      </c>
      <c r="AP3112" t="s">
        <v>53</v>
      </c>
      <c r="AQ3112">
        <v>0</v>
      </c>
      <c r="AR3112" t="s">
        <v>53</v>
      </c>
      <c r="AS3112">
        <v>0</v>
      </c>
      <c r="AT3112">
        <v>0</v>
      </c>
      <c r="AW3112" t="s">
        <v>58</v>
      </c>
      <c r="AX3112">
        <v>20</v>
      </c>
      <c r="AY3112" s="1">
        <v>40452</v>
      </c>
      <c r="AZ3112" s="1">
        <v>40452</v>
      </c>
      <c r="BA3112" s="1">
        <v>40452</v>
      </c>
      <c r="BB3112" s="1">
        <v>47757</v>
      </c>
      <c r="BC3112" t="s">
        <v>51</v>
      </c>
      <c r="BE3112" t="s">
        <v>54</v>
      </c>
      <c r="BF3112">
        <v>2</v>
      </c>
      <c r="BG3112">
        <v>0</v>
      </c>
      <c r="BH3112" t="s">
        <v>53</v>
      </c>
      <c r="BK3112" t="s">
        <v>59</v>
      </c>
      <c r="BL3112">
        <v>14000</v>
      </c>
      <c r="BM3112" s="1">
        <v>41091</v>
      </c>
      <c r="BN3112" s="1">
        <v>41091</v>
      </c>
      <c r="BO3112" s="1">
        <v>41091</v>
      </c>
      <c r="BP3112" s="1">
        <v>42291</v>
      </c>
      <c r="BQ3112" t="s">
        <v>51</v>
      </c>
      <c r="BS3112" t="s">
        <v>60</v>
      </c>
      <c r="BT3112" t="s">
        <v>54</v>
      </c>
      <c r="BU3112" t="s">
        <v>61</v>
      </c>
      <c r="BV3112" t="s">
        <v>62</v>
      </c>
      <c r="BX3112">
        <v>24</v>
      </c>
      <c r="BY3112">
        <v>0</v>
      </c>
      <c r="BZ3112">
        <v>0</v>
      </c>
    </row>
    <row r="3113" spans="1:99" x14ac:dyDescent="0.2">
      <c r="A3113" t="s">
        <v>367</v>
      </c>
      <c r="B3113" t="s">
        <v>368</v>
      </c>
      <c r="C3113" t="s">
        <v>369</v>
      </c>
      <c r="D3113" t="s">
        <v>1280</v>
      </c>
      <c r="F3113" t="str">
        <f>"24194"</f>
        <v>24194</v>
      </c>
      <c r="G3113" t="s">
        <v>49</v>
      </c>
      <c r="H3113" t="s">
        <v>1286</v>
      </c>
      <c r="K3113" t="s">
        <v>51</v>
      </c>
      <c r="L3113" t="s">
        <v>52</v>
      </c>
      <c r="M3113">
        <v>137710.84</v>
      </c>
      <c r="N3113">
        <v>468704.08</v>
      </c>
      <c r="O3113" t="s">
        <v>53</v>
      </c>
      <c r="P3113" t="s">
        <v>54</v>
      </c>
      <c r="Q3113" t="s">
        <v>55</v>
      </c>
      <c r="T3113" t="s">
        <v>841</v>
      </c>
      <c r="U3113">
        <v>40</v>
      </c>
      <c r="V3113" s="1">
        <v>27759</v>
      </c>
      <c r="W3113" s="1">
        <v>27759</v>
      </c>
      <c r="X3113" s="1">
        <v>27759</v>
      </c>
      <c r="Y3113" s="1">
        <v>42369</v>
      </c>
      <c r="Z3113" t="s">
        <v>51</v>
      </c>
      <c r="AB3113" t="s">
        <v>54</v>
      </c>
      <c r="AC3113">
        <v>1</v>
      </c>
      <c r="AE3113" t="s">
        <v>1212</v>
      </c>
      <c r="AF3113">
        <v>20</v>
      </c>
      <c r="AG3113" s="1">
        <v>31777</v>
      </c>
      <c r="AH3113" s="1">
        <v>31777</v>
      </c>
      <c r="AI3113" s="1">
        <v>31777</v>
      </c>
      <c r="AJ3113" s="1">
        <v>39082</v>
      </c>
      <c r="AK3113" t="s">
        <v>51</v>
      </c>
      <c r="AN3113">
        <v>0</v>
      </c>
      <c r="AO3113" t="s">
        <v>54</v>
      </c>
      <c r="AP3113" t="s">
        <v>53</v>
      </c>
      <c r="AQ3113">
        <v>0</v>
      </c>
      <c r="AR3113" t="s">
        <v>53</v>
      </c>
      <c r="AS3113">
        <v>0</v>
      </c>
      <c r="AT3113">
        <v>0</v>
      </c>
      <c r="AW3113" t="s">
        <v>58</v>
      </c>
      <c r="AX3113">
        <v>20</v>
      </c>
      <c r="AY3113" s="1">
        <v>31777</v>
      </c>
      <c r="AZ3113" s="1">
        <v>31777</v>
      </c>
      <c r="BA3113" s="1">
        <v>31777</v>
      </c>
      <c r="BB3113" s="1">
        <v>39082</v>
      </c>
      <c r="BC3113" t="s">
        <v>51</v>
      </c>
      <c r="BE3113" t="s">
        <v>54</v>
      </c>
      <c r="BF3113">
        <v>2</v>
      </c>
      <c r="BG3113">
        <v>0</v>
      </c>
      <c r="BH3113" t="s">
        <v>53</v>
      </c>
      <c r="BK3113" t="s">
        <v>720</v>
      </c>
      <c r="BL3113">
        <v>17000</v>
      </c>
      <c r="BM3113" s="1">
        <v>44599</v>
      </c>
      <c r="BN3113" s="1">
        <v>44599</v>
      </c>
      <c r="BO3113" s="1">
        <v>44599</v>
      </c>
      <c r="BP3113" s="1">
        <v>46041</v>
      </c>
      <c r="BQ3113" t="s">
        <v>51</v>
      </c>
      <c r="BS3113" t="s">
        <v>60</v>
      </c>
      <c r="BT3113" t="s">
        <v>54</v>
      </c>
      <c r="BU3113" t="s">
        <v>721</v>
      </c>
      <c r="BV3113" t="s">
        <v>722</v>
      </c>
      <c r="BX3113">
        <v>18</v>
      </c>
      <c r="BY3113">
        <v>0</v>
      </c>
      <c r="BZ3113">
        <v>0</v>
      </c>
    </row>
    <row r="3114" spans="1:99" x14ac:dyDescent="0.2">
      <c r="A3114" t="s">
        <v>367</v>
      </c>
      <c r="B3114" t="s">
        <v>368</v>
      </c>
      <c r="C3114" t="s">
        <v>369</v>
      </c>
      <c r="D3114" t="s">
        <v>1280</v>
      </c>
      <c r="F3114" t="str">
        <f>"24195"</f>
        <v>24195</v>
      </c>
      <c r="G3114" t="s">
        <v>49</v>
      </c>
      <c r="H3114" t="s">
        <v>1287</v>
      </c>
      <c r="K3114" t="s">
        <v>51</v>
      </c>
      <c r="L3114" t="s">
        <v>52</v>
      </c>
      <c r="M3114">
        <v>137744.06</v>
      </c>
      <c r="N3114">
        <v>468728.18</v>
      </c>
      <c r="O3114" t="s">
        <v>53</v>
      </c>
      <c r="P3114" t="s">
        <v>54</v>
      </c>
      <c r="Q3114" t="s">
        <v>55</v>
      </c>
      <c r="T3114" t="s">
        <v>83</v>
      </c>
      <c r="U3114">
        <v>40</v>
      </c>
      <c r="V3114" s="1">
        <v>24107</v>
      </c>
      <c r="W3114" s="1">
        <v>24107</v>
      </c>
      <c r="X3114" s="1">
        <v>24107</v>
      </c>
      <c r="Y3114" s="1">
        <v>38717</v>
      </c>
      <c r="Z3114" t="s">
        <v>51</v>
      </c>
      <c r="AB3114" t="s">
        <v>54</v>
      </c>
      <c r="AC3114">
        <v>1</v>
      </c>
      <c r="AE3114" t="s">
        <v>1212</v>
      </c>
      <c r="AF3114">
        <v>20</v>
      </c>
      <c r="AG3114" s="1">
        <v>31777</v>
      </c>
      <c r="AH3114" s="1">
        <v>31777</v>
      </c>
      <c r="AI3114" s="1">
        <v>31777</v>
      </c>
      <c r="AJ3114" s="1">
        <v>39082</v>
      </c>
      <c r="AK3114" t="s">
        <v>51</v>
      </c>
      <c r="AN3114">
        <v>0</v>
      </c>
      <c r="AO3114" t="s">
        <v>54</v>
      </c>
      <c r="AP3114" t="s">
        <v>53</v>
      </c>
      <c r="AQ3114">
        <v>0</v>
      </c>
      <c r="AR3114" t="s">
        <v>53</v>
      </c>
      <c r="AS3114">
        <v>0</v>
      </c>
      <c r="AT3114">
        <v>0</v>
      </c>
      <c r="AW3114" t="s">
        <v>58</v>
      </c>
      <c r="AX3114">
        <v>20</v>
      </c>
      <c r="AY3114" s="1">
        <v>31777</v>
      </c>
      <c r="AZ3114" s="1">
        <v>31777</v>
      </c>
      <c r="BA3114" s="1">
        <v>31777</v>
      </c>
      <c r="BB3114" s="1">
        <v>39082</v>
      </c>
      <c r="BC3114" t="s">
        <v>51</v>
      </c>
      <c r="BE3114" t="s">
        <v>54</v>
      </c>
      <c r="BF3114">
        <v>2</v>
      </c>
      <c r="BG3114">
        <v>0</v>
      </c>
      <c r="BH3114" t="s">
        <v>53</v>
      </c>
      <c r="BK3114" t="s">
        <v>720</v>
      </c>
      <c r="BL3114">
        <v>17000</v>
      </c>
      <c r="BM3114" s="1">
        <v>44445</v>
      </c>
      <c r="BN3114" s="1">
        <v>44445</v>
      </c>
      <c r="BO3114" s="1">
        <v>44445</v>
      </c>
      <c r="BP3114" s="1">
        <v>45876</v>
      </c>
      <c r="BQ3114" t="s">
        <v>51</v>
      </c>
      <c r="BS3114" t="s">
        <v>60</v>
      </c>
      <c r="BT3114" t="s">
        <v>54</v>
      </c>
      <c r="BU3114" t="s">
        <v>721</v>
      </c>
      <c r="BV3114" t="s">
        <v>722</v>
      </c>
      <c r="BX3114">
        <v>18</v>
      </c>
      <c r="BY3114">
        <v>0</v>
      </c>
      <c r="BZ3114">
        <v>0</v>
      </c>
    </row>
    <row r="3115" spans="1:99" x14ac:dyDescent="0.2">
      <c r="A3115" t="s">
        <v>367</v>
      </c>
      <c r="B3115" t="s">
        <v>368</v>
      </c>
      <c r="C3115" t="s">
        <v>369</v>
      </c>
      <c r="D3115" t="s">
        <v>1280</v>
      </c>
      <c r="F3115" t="str">
        <f>"24196"</f>
        <v>24196</v>
      </c>
      <c r="G3115" t="s">
        <v>49</v>
      </c>
      <c r="H3115" t="s">
        <v>1288</v>
      </c>
      <c r="K3115" t="s">
        <v>51</v>
      </c>
      <c r="L3115" t="s">
        <v>52</v>
      </c>
      <c r="M3115">
        <v>137779.21</v>
      </c>
      <c r="N3115">
        <v>468736.77</v>
      </c>
      <c r="O3115" t="s">
        <v>53</v>
      </c>
      <c r="P3115" t="s">
        <v>54</v>
      </c>
      <c r="Q3115" t="s">
        <v>55</v>
      </c>
      <c r="T3115" t="s">
        <v>841</v>
      </c>
      <c r="U3115">
        <v>40</v>
      </c>
      <c r="V3115" s="1">
        <v>27759</v>
      </c>
      <c r="W3115" s="1">
        <v>27759</v>
      </c>
      <c r="X3115" s="1">
        <v>27759</v>
      </c>
      <c r="Y3115" s="1">
        <v>42369</v>
      </c>
      <c r="Z3115" t="s">
        <v>51</v>
      </c>
      <c r="AB3115" t="s">
        <v>54</v>
      </c>
      <c r="AC3115">
        <v>1</v>
      </c>
      <c r="AE3115" t="s">
        <v>1212</v>
      </c>
      <c r="AF3115">
        <v>20</v>
      </c>
      <c r="AG3115" s="1">
        <v>31777</v>
      </c>
      <c r="AH3115" s="1">
        <v>31777</v>
      </c>
      <c r="AI3115" s="1">
        <v>31777</v>
      </c>
      <c r="AJ3115" s="1">
        <v>39082</v>
      </c>
      <c r="AK3115" t="s">
        <v>51</v>
      </c>
      <c r="AN3115">
        <v>0</v>
      </c>
      <c r="AO3115" t="s">
        <v>54</v>
      </c>
      <c r="AP3115" t="s">
        <v>53</v>
      </c>
      <c r="AQ3115">
        <v>0</v>
      </c>
      <c r="AR3115" t="s">
        <v>53</v>
      </c>
      <c r="AS3115">
        <v>0</v>
      </c>
      <c r="AT3115">
        <v>0</v>
      </c>
      <c r="AW3115" t="s">
        <v>58</v>
      </c>
      <c r="AX3115">
        <v>20</v>
      </c>
      <c r="AY3115" s="1">
        <v>31777</v>
      </c>
      <c r="AZ3115" s="1">
        <v>31777</v>
      </c>
      <c r="BA3115" s="1">
        <v>31777</v>
      </c>
      <c r="BB3115" s="1">
        <v>39082</v>
      </c>
      <c r="BC3115" t="s">
        <v>51</v>
      </c>
      <c r="BE3115" t="s">
        <v>54</v>
      </c>
      <c r="BF3115">
        <v>2</v>
      </c>
      <c r="BG3115">
        <v>0</v>
      </c>
      <c r="BH3115" t="s">
        <v>53</v>
      </c>
      <c r="BK3115" t="s">
        <v>720</v>
      </c>
      <c r="BL3115">
        <v>17000</v>
      </c>
      <c r="BM3115" s="1">
        <v>44249</v>
      </c>
      <c r="BN3115" s="1">
        <v>44249</v>
      </c>
      <c r="BO3115" s="1">
        <v>44249</v>
      </c>
      <c r="BP3115" s="1">
        <v>45689</v>
      </c>
      <c r="BQ3115" t="s">
        <v>51</v>
      </c>
      <c r="BS3115" t="s">
        <v>60</v>
      </c>
      <c r="BT3115" t="s">
        <v>54</v>
      </c>
      <c r="BU3115" t="s">
        <v>721</v>
      </c>
      <c r="BV3115" t="s">
        <v>722</v>
      </c>
      <c r="BX3115">
        <v>18</v>
      </c>
      <c r="BY3115">
        <v>0</v>
      </c>
      <c r="BZ3115">
        <v>0</v>
      </c>
    </row>
    <row r="3116" spans="1:99" x14ac:dyDescent="0.2">
      <c r="A3116" t="s">
        <v>367</v>
      </c>
      <c r="B3116" t="s">
        <v>368</v>
      </c>
      <c r="C3116" t="s">
        <v>369</v>
      </c>
      <c r="D3116" t="s">
        <v>1280</v>
      </c>
      <c r="F3116" t="str">
        <f>"24197"</f>
        <v>24197</v>
      </c>
      <c r="G3116" t="s">
        <v>49</v>
      </c>
      <c r="H3116" t="s">
        <v>1289</v>
      </c>
      <c r="K3116" t="s">
        <v>51</v>
      </c>
      <c r="L3116" t="s">
        <v>52</v>
      </c>
      <c r="M3116">
        <v>137817.25</v>
      </c>
      <c r="N3116">
        <v>468762.14</v>
      </c>
      <c r="O3116" t="s">
        <v>53</v>
      </c>
      <c r="P3116" t="s">
        <v>54</v>
      </c>
      <c r="Q3116" t="s">
        <v>55</v>
      </c>
      <c r="T3116" t="s">
        <v>841</v>
      </c>
      <c r="U3116">
        <v>40</v>
      </c>
      <c r="V3116" s="1">
        <v>27759</v>
      </c>
      <c r="W3116" s="1">
        <v>27759</v>
      </c>
      <c r="X3116" s="1">
        <v>27759</v>
      </c>
      <c r="Y3116" s="1">
        <v>42369</v>
      </c>
      <c r="Z3116" t="s">
        <v>51</v>
      </c>
      <c r="AB3116" t="s">
        <v>54</v>
      </c>
      <c r="AC3116">
        <v>1</v>
      </c>
      <c r="AE3116" t="s">
        <v>1212</v>
      </c>
      <c r="AF3116">
        <v>20</v>
      </c>
      <c r="AG3116" s="1">
        <v>31777</v>
      </c>
      <c r="AH3116" s="1">
        <v>31777</v>
      </c>
      <c r="AI3116" s="1">
        <v>31777</v>
      </c>
      <c r="AJ3116" s="1">
        <v>39082</v>
      </c>
      <c r="AK3116" t="s">
        <v>51</v>
      </c>
      <c r="AN3116">
        <v>0</v>
      </c>
      <c r="AO3116" t="s">
        <v>54</v>
      </c>
      <c r="AP3116" t="s">
        <v>53</v>
      </c>
      <c r="AQ3116">
        <v>0</v>
      </c>
      <c r="AR3116" t="s">
        <v>53</v>
      </c>
      <c r="AS3116">
        <v>0</v>
      </c>
      <c r="AT3116">
        <v>0</v>
      </c>
      <c r="AW3116" t="s">
        <v>58</v>
      </c>
      <c r="AX3116">
        <v>20</v>
      </c>
      <c r="AY3116" s="1">
        <v>31777</v>
      </c>
      <c r="AZ3116" s="1">
        <v>31777</v>
      </c>
      <c r="BA3116" s="1">
        <v>31777</v>
      </c>
      <c r="BB3116" s="1">
        <v>39082</v>
      </c>
      <c r="BC3116" t="s">
        <v>51</v>
      </c>
      <c r="BE3116" t="s">
        <v>54</v>
      </c>
      <c r="BF3116">
        <v>2</v>
      </c>
      <c r="BG3116">
        <v>0</v>
      </c>
      <c r="BH3116" t="s">
        <v>53</v>
      </c>
      <c r="BK3116" t="s">
        <v>720</v>
      </c>
      <c r="BL3116">
        <v>17000</v>
      </c>
      <c r="BM3116" s="1">
        <v>41091</v>
      </c>
      <c r="BN3116" s="1">
        <v>41091</v>
      </c>
      <c r="BO3116" s="1">
        <v>41091</v>
      </c>
      <c r="BP3116" s="1">
        <v>42513</v>
      </c>
      <c r="BQ3116" t="s">
        <v>51</v>
      </c>
      <c r="BS3116" t="s">
        <v>60</v>
      </c>
      <c r="BT3116" t="s">
        <v>54</v>
      </c>
      <c r="BU3116" t="s">
        <v>721</v>
      </c>
      <c r="BV3116" t="s">
        <v>722</v>
      </c>
      <c r="BX3116">
        <v>18</v>
      </c>
      <c r="BY3116">
        <v>0</v>
      </c>
      <c r="BZ3116">
        <v>0</v>
      </c>
    </row>
    <row r="3117" spans="1:99" x14ac:dyDescent="0.2">
      <c r="A3117" t="s">
        <v>367</v>
      </c>
      <c r="B3117" t="s">
        <v>368</v>
      </c>
      <c r="C3117" t="s">
        <v>369</v>
      </c>
      <c r="D3117" t="s">
        <v>1280</v>
      </c>
      <c r="F3117" t="str">
        <f>"24198"</f>
        <v>24198</v>
      </c>
      <c r="G3117" t="s">
        <v>49</v>
      </c>
      <c r="H3117" t="s">
        <v>1290</v>
      </c>
      <c r="K3117" t="s">
        <v>51</v>
      </c>
      <c r="L3117" t="s">
        <v>52</v>
      </c>
      <c r="M3117">
        <v>137872.81</v>
      </c>
      <c r="N3117">
        <v>468786.28</v>
      </c>
      <c r="O3117" t="s">
        <v>53</v>
      </c>
      <c r="P3117" t="s">
        <v>54</v>
      </c>
      <c r="Q3117" t="s">
        <v>55</v>
      </c>
      <c r="T3117" t="s">
        <v>841</v>
      </c>
      <c r="U3117">
        <v>40</v>
      </c>
      <c r="V3117" s="1">
        <v>27759</v>
      </c>
      <c r="W3117" s="1">
        <v>27759</v>
      </c>
      <c r="X3117" s="1">
        <v>27759</v>
      </c>
      <c r="Y3117" s="1">
        <v>42369</v>
      </c>
      <c r="Z3117" t="s">
        <v>51</v>
      </c>
      <c r="AB3117" t="s">
        <v>54</v>
      </c>
      <c r="AC3117">
        <v>1</v>
      </c>
      <c r="AE3117" t="s">
        <v>1212</v>
      </c>
      <c r="AF3117">
        <v>20</v>
      </c>
      <c r="AG3117" s="1">
        <v>31777</v>
      </c>
      <c r="AH3117" s="1">
        <v>31777</v>
      </c>
      <c r="AI3117" s="1">
        <v>31777</v>
      </c>
      <c r="AJ3117" s="1">
        <v>39082</v>
      </c>
      <c r="AK3117" t="s">
        <v>51</v>
      </c>
      <c r="AN3117">
        <v>0</v>
      </c>
      <c r="AO3117" t="s">
        <v>54</v>
      </c>
      <c r="AP3117" t="s">
        <v>53</v>
      </c>
      <c r="AQ3117">
        <v>0</v>
      </c>
      <c r="AR3117" t="s">
        <v>53</v>
      </c>
      <c r="AS3117">
        <v>0</v>
      </c>
      <c r="AT3117">
        <v>0</v>
      </c>
      <c r="AW3117" t="s">
        <v>58</v>
      </c>
      <c r="AX3117">
        <v>20</v>
      </c>
      <c r="AY3117" s="1">
        <v>31777</v>
      </c>
      <c r="AZ3117" s="1">
        <v>31777</v>
      </c>
      <c r="BA3117" s="1">
        <v>31777</v>
      </c>
      <c r="BB3117" s="1">
        <v>39082</v>
      </c>
      <c r="BC3117" t="s">
        <v>51</v>
      </c>
      <c r="BE3117" t="s">
        <v>54</v>
      </c>
      <c r="BF3117">
        <v>2</v>
      </c>
      <c r="BG3117">
        <v>0</v>
      </c>
      <c r="BH3117" t="s">
        <v>53</v>
      </c>
      <c r="BK3117" t="s">
        <v>720</v>
      </c>
      <c r="BL3117">
        <v>17000</v>
      </c>
      <c r="BM3117" s="1">
        <v>41091</v>
      </c>
      <c r="BN3117" s="1">
        <v>41091</v>
      </c>
      <c r="BO3117" s="1">
        <v>41091</v>
      </c>
      <c r="BP3117" s="1">
        <v>42513</v>
      </c>
      <c r="BQ3117" t="s">
        <v>51</v>
      </c>
      <c r="BS3117" t="s">
        <v>60</v>
      </c>
      <c r="BT3117" t="s">
        <v>54</v>
      </c>
      <c r="BU3117" t="s">
        <v>721</v>
      </c>
      <c r="BV3117" t="s">
        <v>722</v>
      </c>
      <c r="BX3117">
        <v>18</v>
      </c>
      <c r="BY3117">
        <v>0</v>
      </c>
      <c r="BZ3117">
        <v>0</v>
      </c>
    </row>
    <row r="3118" spans="1:99" x14ac:dyDescent="0.2">
      <c r="A3118" t="s">
        <v>367</v>
      </c>
      <c r="B3118" t="s">
        <v>368</v>
      </c>
      <c r="C3118" t="s">
        <v>369</v>
      </c>
      <c r="D3118" t="s">
        <v>1291</v>
      </c>
      <c r="F3118" t="str">
        <f>"24199"</f>
        <v>24199</v>
      </c>
      <c r="G3118" t="s">
        <v>49</v>
      </c>
      <c r="H3118" t="s">
        <v>1292</v>
      </c>
      <c r="K3118" t="s">
        <v>51</v>
      </c>
      <c r="L3118" t="s">
        <v>52</v>
      </c>
      <c r="M3118">
        <v>137890.54999999999</v>
      </c>
      <c r="N3118">
        <v>468733.81</v>
      </c>
      <c r="O3118" t="s">
        <v>53</v>
      </c>
      <c r="P3118" t="s">
        <v>54</v>
      </c>
      <c r="Q3118" t="s">
        <v>55</v>
      </c>
      <c r="T3118" t="s">
        <v>841</v>
      </c>
      <c r="U3118">
        <v>40</v>
      </c>
      <c r="V3118" s="1">
        <v>31412</v>
      </c>
      <c r="W3118" s="1">
        <v>31412</v>
      </c>
      <c r="X3118" s="1">
        <v>31412</v>
      </c>
      <c r="Y3118" s="1">
        <v>46022</v>
      </c>
      <c r="Z3118" t="s">
        <v>51</v>
      </c>
      <c r="AB3118" t="s">
        <v>54</v>
      </c>
      <c r="AC3118">
        <v>1</v>
      </c>
      <c r="AE3118" t="s">
        <v>1212</v>
      </c>
      <c r="AF3118">
        <v>20</v>
      </c>
      <c r="AG3118" s="1">
        <v>31777</v>
      </c>
      <c r="AH3118" s="1">
        <v>31777</v>
      </c>
      <c r="AI3118" s="1">
        <v>31777</v>
      </c>
      <c r="AJ3118" s="1">
        <v>39082</v>
      </c>
      <c r="AK3118" t="s">
        <v>51</v>
      </c>
      <c r="AN3118">
        <v>0</v>
      </c>
      <c r="AO3118" t="s">
        <v>54</v>
      </c>
      <c r="AP3118" t="s">
        <v>53</v>
      </c>
      <c r="AQ3118">
        <v>0</v>
      </c>
      <c r="AR3118" t="s">
        <v>53</v>
      </c>
      <c r="AS3118">
        <v>0</v>
      </c>
      <c r="AT3118">
        <v>0</v>
      </c>
      <c r="AW3118" t="s">
        <v>58</v>
      </c>
      <c r="AX3118">
        <v>20</v>
      </c>
      <c r="AY3118" s="1">
        <v>31777</v>
      </c>
      <c r="AZ3118" s="1">
        <v>31777</v>
      </c>
      <c r="BA3118" s="1">
        <v>31777</v>
      </c>
      <c r="BB3118" s="1">
        <v>39082</v>
      </c>
      <c r="BC3118" t="s">
        <v>51</v>
      </c>
      <c r="BE3118" t="s">
        <v>54</v>
      </c>
      <c r="BF3118">
        <v>2</v>
      </c>
      <c r="BG3118">
        <v>0</v>
      </c>
      <c r="BH3118" t="s">
        <v>53</v>
      </c>
      <c r="BK3118" t="s">
        <v>720</v>
      </c>
      <c r="BL3118">
        <v>17000</v>
      </c>
      <c r="BM3118" s="1">
        <v>44431</v>
      </c>
      <c r="BN3118" s="1">
        <v>44431</v>
      </c>
      <c r="BO3118" s="1">
        <v>44431</v>
      </c>
      <c r="BP3118" s="1">
        <v>45858</v>
      </c>
      <c r="BQ3118" t="s">
        <v>51</v>
      </c>
      <c r="BS3118" t="s">
        <v>60</v>
      </c>
      <c r="BT3118" t="s">
        <v>54</v>
      </c>
      <c r="BU3118" t="s">
        <v>721</v>
      </c>
      <c r="BV3118" t="s">
        <v>722</v>
      </c>
      <c r="BX3118">
        <v>18</v>
      </c>
      <c r="BY3118">
        <v>0</v>
      </c>
      <c r="BZ3118">
        <v>0</v>
      </c>
    </row>
    <row r="3119" spans="1:99" x14ac:dyDescent="0.2">
      <c r="A3119" t="s">
        <v>367</v>
      </c>
      <c r="B3119" t="s">
        <v>368</v>
      </c>
      <c r="C3119" t="s">
        <v>369</v>
      </c>
      <c r="D3119" t="s">
        <v>1291</v>
      </c>
      <c r="F3119" t="str">
        <f>"25189"</f>
        <v>25189</v>
      </c>
      <c r="G3119" t="s">
        <v>49</v>
      </c>
      <c r="H3119" t="s">
        <v>1293</v>
      </c>
      <c r="K3119" t="s">
        <v>51</v>
      </c>
      <c r="L3119" t="s">
        <v>52</v>
      </c>
      <c r="M3119">
        <v>137939.22</v>
      </c>
      <c r="N3119">
        <v>468614.01</v>
      </c>
      <c r="O3119" t="s">
        <v>53</v>
      </c>
      <c r="P3119" t="s">
        <v>54</v>
      </c>
      <c r="Q3119" t="s">
        <v>55</v>
      </c>
      <c r="T3119" t="s">
        <v>841</v>
      </c>
      <c r="U3119">
        <v>40</v>
      </c>
      <c r="V3119" s="1">
        <v>32405</v>
      </c>
      <c r="W3119" s="1">
        <v>32405</v>
      </c>
      <c r="X3119" s="1">
        <v>32405</v>
      </c>
      <c r="Y3119" s="1">
        <v>47015</v>
      </c>
      <c r="Z3119" t="s">
        <v>51</v>
      </c>
      <c r="AB3119" t="s">
        <v>54</v>
      </c>
      <c r="AC3119">
        <v>1</v>
      </c>
      <c r="AE3119" t="s">
        <v>1212</v>
      </c>
      <c r="AF3119">
        <v>20</v>
      </c>
      <c r="AG3119" s="1">
        <v>31777</v>
      </c>
      <c r="AH3119" s="1">
        <v>31777</v>
      </c>
      <c r="AI3119" s="1">
        <v>32405</v>
      </c>
      <c r="AJ3119" s="1">
        <v>39082</v>
      </c>
      <c r="AK3119" t="s">
        <v>51</v>
      </c>
      <c r="AN3119">
        <v>0</v>
      </c>
      <c r="AO3119" t="s">
        <v>54</v>
      </c>
      <c r="AP3119" t="s">
        <v>53</v>
      </c>
      <c r="AQ3119">
        <v>0</v>
      </c>
      <c r="AR3119" t="s">
        <v>53</v>
      </c>
      <c r="AS3119">
        <v>0</v>
      </c>
      <c r="AT3119">
        <v>0</v>
      </c>
      <c r="AW3119" t="s">
        <v>58</v>
      </c>
      <c r="AX3119">
        <v>20</v>
      </c>
      <c r="AY3119" s="1">
        <v>44589</v>
      </c>
      <c r="AZ3119" s="1">
        <v>44589</v>
      </c>
      <c r="BA3119" s="1">
        <v>44589</v>
      </c>
      <c r="BB3119" s="1">
        <v>51894</v>
      </c>
      <c r="BC3119" t="s">
        <v>51</v>
      </c>
      <c r="BE3119" t="s">
        <v>54</v>
      </c>
      <c r="BF3119">
        <v>2</v>
      </c>
      <c r="BG3119">
        <v>0</v>
      </c>
      <c r="BH3119" t="s">
        <v>53</v>
      </c>
      <c r="BK3119" t="s">
        <v>720</v>
      </c>
      <c r="BL3119">
        <v>17000</v>
      </c>
      <c r="BM3119" s="1">
        <v>44606</v>
      </c>
      <c r="BN3119" s="1">
        <v>44606</v>
      </c>
      <c r="BO3119" s="1">
        <v>44606</v>
      </c>
      <c r="BP3119" s="1">
        <v>46048</v>
      </c>
      <c r="BQ3119" t="s">
        <v>51</v>
      </c>
      <c r="BS3119" t="s">
        <v>60</v>
      </c>
      <c r="BT3119" t="s">
        <v>54</v>
      </c>
      <c r="BU3119" t="s">
        <v>721</v>
      </c>
      <c r="BV3119" t="s">
        <v>722</v>
      </c>
      <c r="BX3119">
        <v>18</v>
      </c>
      <c r="BY3119">
        <v>0</v>
      </c>
      <c r="BZ3119">
        <v>0</v>
      </c>
    </row>
    <row r="3120" spans="1:99" x14ac:dyDescent="0.2">
      <c r="A3120" t="s">
        <v>367</v>
      </c>
      <c r="B3120" t="s">
        <v>368</v>
      </c>
      <c r="C3120" t="s">
        <v>369</v>
      </c>
      <c r="D3120" t="s">
        <v>1198</v>
      </c>
      <c r="F3120" t="str">
        <f>"26000"</f>
        <v>26000</v>
      </c>
      <c r="G3120" t="s">
        <v>49</v>
      </c>
      <c r="H3120" t="s">
        <v>1294</v>
      </c>
      <c r="K3120" t="s">
        <v>51</v>
      </c>
      <c r="L3120" t="s">
        <v>52</v>
      </c>
      <c r="M3120">
        <v>137594.93</v>
      </c>
      <c r="N3120">
        <v>467590.85</v>
      </c>
      <c r="O3120" t="s">
        <v>53</v>
      </c>
      <c r="P3120" t="s">
        <v>54</v>
      </c>
      <c r="Q3120" t="s">
        <v>55</v>
      </c>
      <c r="T3120" t="s">
        <v>818</v>
      </c>
      <c r="U3120">
        <v>40</v>
      </c>
      <c r="V3120" s="1">
        <v>29586</v>
      </c>
      <c r="W3120" s="1">
        <v>29586</v>
      </c>
      <c r="X3120" s="1">
        <v>29586</v>
      </c>
      <c r="Y3120" s="1">
        <v>44196</v>
      </c>
      <c r="Z3120" t="s">
        <v>51</v>
      </c>
      <c r="AB3120" t="s">
        <v>54</v>
      </c>
      <c r="AC3120">
        <v>1</v>
      </c>
      <c r="AE3120" t="s">
        <v>827</v>
      </c>
      <c r="AF3120">
        <v>20</v>
      </c>
      <c r="AG3120" s="1">
        <v>31047</v>
      </c>
      <c r="AH3120" s="1">
        <v>31047</v>
      </c>
      <c r="AI3120" s="1">
        <v>31047</v>
      </c>
      <c r="AJ3120" s="1">
        <v>38352</v>
      </c>
      <c r="AK3120" t="s">
        <v>51</v>
      </c>
      <c r="AN3120">
        <v>0</v>
      </c>
      <c r="AO3120" t="s">
        <v>54</v>
      </c>
      <c r="AP3120" t="s">
        <v>53</v>
      </c>
      <c r="AQ3120">
        <v>0</v>
      </c>
      <c r="AR3120" t="s">
        <v>53</v>
      </c>
      <c r="AS3120">
        <v>0</v>
      </c>
      <c r="AT3120">
        <v>0</v>
      </c>
      <c r="CC3120" t="s">
        <v>850</v>
      </c>
      <c r="CD3120">
        <v>1</v>
      </c>
      <c r="CE3120" s="1">
        <v>42552</v>
      </c>
      <c r="CF3120" s="1">
        <v>42552</v>
      </c>
      <c r="CG3120" s="1">
        <v>42552</v>
      </c>
      <c r="CH3120" s="1">
        <v>49714</v>
      </c>
      <c r="CI3120" t="s">
        <v>51</v>
      </c>
      <c r="CK3120" t="s">
        <v>78</v>
      </c>
      <c r="CM3120" t="s">
        <v>54</v>
      </c>
      <c r="CN3120" t="s">
        <v>174</v>
      </c>
      <c r="CO3120" t="s">
        <v>86</v>
      </c>
      <c r="CR3120">
        <v>18</v>
      </c>
      <c r="CS3120">
        <v>0</v>
      </c>
      <c r="CT3120">
        <v>0</v>
      </c>
      <c r="CU3120">
        <v>0</v>
      </c>
    </row>
    <row r="3121" spans="1:99" x14ac:dyDescent="0.2">
      <c r="A3121" t="s">
        <v>367</v>
      </c>
      <c r="B3121" t="s">
        <v>368</v>
      </c>
      <c r="C3121" t="s">
        <v>369</v>
      </c>
      <c r="D3121" t="s">
        <v>1198</v>
      </c>
      <c r="F3121" t="str">
        <f>"26001"</f>
        <v>26001</v>
      </c>
      <c r="G3121" t="s">
        <v>49</v>
      </c>
      <c r="H3121" t="s">
        <v>1295</v>
      </c>
      <c r="K3121" t="s">
        <v>51</v>
      </c>
      <c r="L3121" t="s">
        <v>52</v>
      </c>
      <c r="M3121">
        <v>137578.13</v>
      </c>
      <c r="N3121">
        <v>467596.57</v>
      </c>
      <c r="O3121" t="s">
        <v>53</v>
      </c>
      <c r="P3121" t="s">
        <v>54</v>
      </c>
      <c r="Q3121" t="s">
        <v>55</v>
      </c>
      <c r="T3121" t="s">
        <v>818</v>
      </c>
      <c r="U3121">
        <v>40</v>
      </c>
      <c r="V3121" s="1">
        <v>29586</v>
      </c>
      <c r="W3121" s="1">
        <v>29586</v>
      </c>
      <c r="X3121" s="1">
        <v>29586</v>
      </c>
      <c r="Y3121" s="1">
        <v>44196</v>
      </c>
      <c r="Z3121" t="s">
        <v>51</v>
      </c>
      <c r="AB3121" t="s">
        <v>54</v>
      </c>
      <c r="AC3121">
        <v>1</v>
      </c>
      <c r="AE3121" t="s">
        <v>827</v>
      </c>
      <c r="AF3121">
        <v>20</v>
      </c>
      <c r="AG3121" s="1">
        <v>31047</v>
      </c>
      <c r="AH3121" s="1">
        <v>31047</v>
      </c>
      <c r="AI3121" s="1">
        <v>31047</v>
      </c>
      <c r="AJ3121" s="1">
        <v>38352</v>
      </c>
      <c r="AK3121" t="s">
        <v>51</v>
      </c>
      <c r="AN3121">
        <v>0</v>
      </c>
      <c r="AO3121" t="s">
        <v>54</v>
      </c>
      <c r="AP3121" t="s">
        <v>53</v>
      </c>
      <c r="AQ3121">
        <v>0</v>
      </c>
      <c r="AR3121" t="s">
        <v>53</v>
      </c>
      <c r="AS3121">
        <v>0</v>
      </c>
      <c r="AT3121">
        <v>0</v>
      </c>
      <c r="CC3121" t="s">
        <v>850</v>
      </c>
      <c r="CD3121">
        <v>1</v>
      </c>
      <c r="CE3121" s="1">
        <v>42552</v>
      </c>
      <c r="CF3121" s="1">
        <v>42552</v>
      </c>
      <c r="CG3121" s="1">
        <v>42552</v>
      </c>
      <c r="CH3121" s="1">
        <v>49714</v>
      </c>
      <c r="CI3121" t="s">
        <v>51</v>
      </c>
      <c r="CK3121" t="s">
        <v>78</v>
      </c>
      <c r="CM3121" t="s">
        <v>54</v>
      </c>
      <c r="CN3121" t="s">
        <v>174</v>
      </c>
      <c r="CO3121" t="s">
        <v>86</v>
      </c>
      <c r="CR3121">
        <v>18</v>
      </c>
      <c r="CS3121">
        <v>0</v>
      </c>
      <c r="CT3121">
        <v>0</v>
      </c>
      <c r="CU3121">
        <v>0</v>
      </c>
    </row>
    <row r="3122" spans="1:99" x14ac:dyDescent="0.2">
      <c r="A3122" t="s">
        <v>367</v>
      </c>
      <c r="B3122" t="s">
        <v>368</v>
      </c>
      <c r="C3122" t="s">
        <v>369</v>
      </c>
      <c r="D3122" t="s">
        <v>1198</v>
      </c>
      <c r="F3122" t="str">
        <f>"26002"</f>
        <v>26002</v>
      </c>
      <c r="G3122" t="s">
        <v>49</v>
      </c>
      <c r="H3122" t="s">
        <v>1296</v>
      </c>
      <c r="K3122" t="s">
        <v>51</v>
      </c>
      <c r="L3122" t="s">
        <v>52</v>
      </c>
      <c r="M3122">
        <v>137559.93</v>
      </c>
      <c r="N3122">
        <v>467604.69</v>
      </c>
      <c r="O3122" t="s">
        <v>53</v>
      </c>
      <c r="P3122" t="s">
        <v>54</v>
      </c>
      <c r="Q3122" t="s">
        <v>55</v>
      </c>
      <c r="T3122" t="s">
        <v>818</v>
      </c>
      <c r="U3122">
        <v>40</v>
      </c>
      <c r="V3122" s="1">
        <v>29586</v>
      </c>
      <c r="W3122" s="1">
        <v>29586</v>
      </c>
      <c r="X3122" s="1">
        <v>29586</v>
      </c>
      <c r="Y3122" s="1">
        <v>44196</v>
      </c>
      <c r="Z3122" t="s">
        <v>51</v>
      </c>
      <c r="AB3122" t="s">
        <v>54</v>
      </c>
      <c r="AC3122">
        <v>1</v>
      </c>
      <c r="AE3122" t="s">
        <v>827</v>
      </c>
      <c r="AF3122">
        <v>20</v>
      </c>
      <c r="AG3122" s="1">
        <v>31047</v>
      </c>
      <c r="AH3122" s="1">
        <v>31047</v>
      </c>
      <c r="AI3122" s="1">
        <v>31047</v>
      </c>
      <c r="AJ3122" s="1">
        <v>38352</v>
      </c>
      <c r="AK3122" t="s">
        <v>51</v>
      </c>
      <c r="AN3122">
        <v>0</v>
      </c>
      <c r="AO3122" t="s">
        <v>54</v>
      </c>
      <c r="AP3122" t="s">
        <v>53</v>
      </c>
      <c r="AQ3122">
        <v>0</v>
      </c>
      <c r="AR3122" t="s">
        <v>53</v>
      </c>
      <c r="AS3122">
        <v>0</v>
      </c>
      <c r="AT3122">
        <v>0</v>
      </c>
      <c r="CC3122" t="s">
        <v>850</v>
      </c>
      <c r="CD3122">
        <v>1</v>
      </c>
      <c r="CE3122" s="1">
        <v>42552</v>
      </c>
      <c r="CF3122" s="1">
        <v>42552</v>
      </c>
      <c r="CG3122" s="1">
        <v>42552</v>
      </c>
      <c r="CH3122" s="1">
        <v>49714</v>
      </c>
      <c r="CI3122" t="s">
        <v>51</v>
      </c>
      <c r="CK3122" t="s">
        <v>78</v>
      </c>
      <c r="CM3122" t="s">
        <v>54</v>
      </c>
      <c r="CN3122" t="s">
        <v>174</v>
      </c>
      <c r="CO3122" t="s">
        <v>86</v>
      </c>
      <c r="CR3122">
        <v>18</v>
      </c>
      <c r="CS3122">
        <v>0</v>
      </c>
      <c r="CT3122">
        <v>0</v>
      </c>
      <c r="CU3122">
        <v>0</v>
      </c>
    </row>
    <row r="3123" spans="1:99" x14ac:dyDescent="0.2">
      <c r="A3123" t="s">
        <v>367</v>
      </c>
      <c r="B3123" t="s">
        <v>368</v>
      </c>
      <c r="C3123" t="s">
        <v>369</v>
      </c>
      <c r="D3123" t="s">
        <v>1198</v>
      </c>
      <c r="F3123" t="str">
        <f>"26003"</f>
        <v>26003</v>
      </c>
      <c r="G3123" t="s">
        <v>49</v>
      </c>
      <c r="H3123" t="s">
        <v>1297</v>
      </c>
      <c r="K3123" t="s">
        <v>51</v>
      </c>
      <c r="L3123" t="s">
        <v>52</v>
      </c>
      <c r="M3123">
        <v>137561.49</v>
      </c>
      <c r="N3123">
        <v>467619.01</v>
      </c>
      <c r="O3123" t="s">
        <v>53</v>
      </c>
      <c r="P3123" t="s">
        <v>54</v>
      </c>
      <c r="Q3123" t="s">
        <v>55</v>
      </c>
      <c r="T3123" t="s">
        <v>818</v>
      </c>
      <c r="U3123">
        <v>40</v>
      </c>
      <c r="V3123" s="1">
        <v>29586</v>
      </c>
      <c r="W3123" s="1">
        <v>29586</v>
      </c>
      <c r="X3123" s="1">
        <v>29586</v>
      </c>
      <c r="Y3123" s="1">
        <v>44196</v>
      </c>
      <c r="Z3123" t="s">
        <v>51</v>
      </c>
      <c r="AB3123" t="s">
        <v>54</v>
      </c>
      <c r="AC3123">
        <v>1</v>
      </c>
      <c r="AE3123" t="s">
        <v>827</v>
      </c>
      <c r="AF3123">
        <v>20</v>
      </c>
      <c r="AG3123" s="1">
        <v>31047</v>
      </c>
      <c r="AH3123" s="1">
        <v>31047</v>
      </c>
      <c r="AI3123" s="1">
        <v>31047</v>
      </c>
      <c r="AJ3123" s="1">
        <v>38352</v>
      </c>
      <c r="AK3123" t="s">
        <v>51</v>
      </c>
      <c r="AN3123">
        <v>0</v>
      </c>
      <c r="AO3123" t="s">
        <v>54</v>
      </c>
      <c r="AP3123" t="s">
        <v>53</v>
      </c>
      <c r="AQ3123">
        <v>0</v>
      </c>
      <c r="AR3123" t="s">
        <v>53</v>
      </c>
      <c r="AS3123">
        <v>0</v>
      </c>
      <c r="AT3123">
        <v>0</v>
      </c>
      <c r="CC3123" t="s">
        <v>850</v>
      </c>
      <c r="CD3123">
        <v>1</v>
      </c>
      <c r="CE3123" s="1">
        <v>42552</v>
      </c>
      <c r="CF3123" s="1">
        <v>42552</v>
      </c>
      <c r="CG3123" s="1">
        <v>42552</v>
      </c>
      <c r="CH3123" s="1">
        <v>49714</v>
      </c>
      <c r="CI3123" t="s">
        <v>51</v>
      </c>
      <c r="CK3123" t="s">
        <v>78</v>
      </c>
      <c r="CM3123" t="s">
        <v>54</v>
      </c>
      <c r="CN3123" t="s">
        <v>174</v>
      </c>
      <c r="CO3123" t="s">
        <v>86</v>
      </c>
      <c r="CR3123">
        <v>18</v>
      </c>
      <c r="CS3123">
        <v>0</v>
      </c>
      <c r="CT3123">
        <v>0</v>
      </c>
      <c r="CU3123">
        <v>0</v>
      </c>
    </row>
    <row r="3124" spans="1:99" x14ac:dyDescent="0.2">
      <c r="A3124" t="s">
        <v>367</v>
      </c>
      <c r="B3124" t="s">
        <v>368</v>
      </c>
      <c r="C3124" t="s">
        <v>369</v>
      </c>
      <c r="D3124" t="s">
        <v>1198</v>
      </c>
      <c r="F3124" t="str">
        <f>"26004"</f>
        <v>26004</v>
      </c>
      <c r="G3124" t="s">
        <v>49</v>
      </c>
      <c r="H3124" t="s">
        <v>1298</v>
      </c>
      <c r="K3124" t="s">
        <v>51</v>
      </c>
      <c r="L3124" t="s">
        <v>52</v>
      </c>
      <c r="M3124">
        <v>137581.73000000001</v>
      </c>
      <c r="N3124">
        <v>467632.65</v>
      </c>
      <c r="O3124" t="s">
        <v>53</v>
      </c>
      <c r="P3124" t="s">
        <v>54</v>
      </c>
      <c r="Q3124" t="s">
        <v>55</v>
      </c>
      <c r="T3124" t="s">
        <v>818</v>
      </c>
      <c r="U3124">
        <v>40</v>
      </c>
      <c r="V3124" s="1">
        <v>29586</v>
      </c>
      <c r="W3124" s="1">
        <v>29586</v>
      </c>
      <c r="X3124" s="1">
        <v>29586</v>
      </c>
      <c r="Y3124" s="1">
        <v>44196</v>
      </c>
      <c r="Z3124" t="s">
        <v>51</v>
      </c>
      <c r="AB3124" t="s">
        <v>54</v>
      </c>
      <c r="AC3124">
        <v>1</v>
      </c>
      <c r="AE3124" t="s">
        <v>827</v>
      </c>
      <c r="AF3124">
        <v>20</v>
      </c>
      <c r="AG3124" s="1">
        <v>31047</v>
      </c>
      <c r="AH3124" s="1">
        <v>31047</v>
      </c>
      <c r="AI3124" s="1">
        <v>31047</v>
      </c>
      <c r="AJ3124" s="1">
        <v>38352</v>
      </c>
      <c r="AK3124" t="s">
        <v>51</v>
      </c>
      <c r="AN3124">
        <v>0</v>
      </c>
      <c r="AO3124" t="s">
        <v>54</v>
      </c>
      <c r="AP3124" t="s">
        <v>53</v>
      </c>
      <c r="AQ3124">
        <v>0</v>
      </c>
      <c r="AR3124" t="s">
        <v>53</v>
      </c>
      <c r="AS3124">
        <v>0</v>
      </c>
      <c r="AT3124">
        <v>0</v>
      </c>
      <c r="CC3124" t="s">
        <v>850</v>
      </c>
      <c r="CD3124">
        <v>1</v>
      </c>
      <c r="CE3124" s="1">
        <v>42552</v>
      </c>
      <c r="CF3124" s="1">
        <v>42552</v>
      </c>
      <c r="CG3124" s="1">
        <v>42552</v>
      </c>
      <c r="CH3124" s="1">
        <v>49714</v>
      </c>
      <c r="CI3124" t="s">
        <v>51</v>
      </c>
      <c r="CK3124" t="s">
        <v>78</v>
      </c>
      <c r="CM3124" t="s">
        <v>54</v>
      </c>
      <c r="CN3124" t="s">
        <v>174</v>
      </c>
      <c r="CO3124" t="s">
        <v>86</v>
      </c>
      <c r="CR3124">
        <v>18</v>
      </c>
      <c r="CS3124">
        <v>0</v>
      </c>
      <c r="CT3124">
        <v>0</v>
      </c>
      <c r="CU3124">
        <v>0</v>
      </c>
    </row>
    <row r="3125" spans="1:99" x14ac:dyDescent="0.2">
      <c r="A3125" t="s">
        <v>367</v>
      </c>
      <c r="B3125" t="s">
        <v>368</v>
      </c>
      <c r="C3125" t="s">
        <v>369</v>
      </c>
      <c r="D3125" t="s">
        <v>1198</v>
      </c>
      <c r="F3125" t="str">
        <f>"26005"</f>
        <v>26005</v>
      </c>
      <c r="G3125" t="s">
        <v>49</v>
      </c>
      <c r="H3125" t="s">
        <v>1299</v>
      </c>
      <c r="K3125" t="s">
        <v>51</v>
      </c>
      <c r="L3125" t="s">
        <v>52</v>
      </c>
      <c r="M3125">
        <v>137603.35</v>
      </c>
      <c r="N3125">
        <v>467623.21</v>
      </c>
      <c r="O3125" t="s">
        <v>53</v>
      </c>
      <c r="P3125" t="s">
        <v>54</v>
      </c>
      <c r="Q3125" t="s">
        <v>55</v>
      </c>
      <c r="T3125" t="s">
        <v>818</v>
      </c>
      <c r="U3125">
        <v>40</v>
      </c>
      <c r="V3125" s="1">
        <v>29586</v>
      </c>
      <c r="W3125" s="1">
        <v>29586</v>
      </c>
      <c r="X3125" s="1">
        <v>29586</v>
      </c>
      <c r="Y3125" s="1">
        <v>44196</v>
      </c>
      <c r="Z3125" t="s">
        <v>51</v>
      </c>
      <c r="AB3125" t="s">
        <v>54</v>
      </c>
      <c r="AC3125">
        <v>1</v>
      </c>
      <c r="AE3125" t="s">
        <v>827</v>
      </c>
      <c r="AF3125">
        <v>20</v>
      </c>
      <c r="AG3125" s="1">
        <v>39090</v>
      </c>
      <c r="AH3125" s="1">
        <v>39090</v>
      </c>
      <c r="AI3125" s="1">
        <v>39090</v>
      </c>
      <c r="AJ3125" s="1">
        <v>46395</v>
      </c>
      <c r="AK3125" t="s">
        <v>51</v>
      </c>
      <c r="AN3125">
        <v>0</v>
      </c>
      <c r="AO3125" t="s">
        <v>54</v>
      </c>
      <c r="AP3125" t="s">
        <v>53</v>
      </c>
      <c r="AQ3125">
        <v>0</v>
      </c>
      <c r="AR3125" t="s">
        <v>53</v>
      </c>
      <c r="AS3125">
        <v>0</v>
      </c>
      <c r="AT3125">
        <v>0</v>
      </c>
      <c r="CC3125" t="s">
        <v>850</v>
      </c>
      <c r="CD3125">
        <v>1</v>
      </c>
      <c r="CE3125" s="1">
        <v>42552</v>
      </c>
      <c r="CF3125" s="1">
        <v>42552</v>
      </c>
      <c r="CG3125" s="1">
        <v>42552</v>
      </c>
      <c r="CH3125" s="1">
        <v>49714</v>
      </c>
      <c r="CI3125" t="s">
        <v>51</v>
      </c>
      <c r="CK3125" t="s">
        <v>78</v>
      </c>
      <c r="CM3125" t="s">
        <v>54</v>
      </c>
      <c r="CN3125" t="s">
        <v>174</v>
      </c>
      <c r="CO3125" t="s">
        <v>86</v>
      </c>
      <c r="CR3125">
        <v>18</v>
      </c>
      <c r="CS3125">
        <v>0</v>
      </c>
      <c r="CT3125">
        <v>0</v>
      </c>
      <c r="CU3125">
        <v>0</v>
      </c>
    </row>
    <row r="3126" spans="1:99" x14ac:dyDescent="0.2">
      <c r="A3126" t="s">
        <v>367</v>
      </c>
      <c r="B3126" t="s">
        <v>368</v>
      </c>
      <c r="C3126" t="s">
        <v>369</v>
      </c>
      <c r="D3126" t="s">
        <v>1198</v>
      </c>
      <c r="F3126" t="str">
        <f>"26006"</f>
        <v>26006</v>
      </c>
      <c r="G3126" t="s">
        <v>49</v>
      </c>
      <c r="H3126" t="s">
        <v>1300</v>
      </c>
      <c r="K3126" t="s">
        <v>51</v>
      </c>
      <c r="L3126" t="s">
        <v>52</v>
      </c>
      <c r="M3126">
        <v>137618.17000000001</v>
      </c>
      <c r="N3126">
        <v>467614.63</v>
      </c>
      <c r="O3126" t="s">
        <v>53</v>
      </c>
      <c r="P3126" t="s">
        <v>54</v>
      </c>
      <c r="Q3126" t="s">
        <v>55</v>
      </c>
      <c r="T3126" t="s">
        <v>818</v>
      </c>
      <c r="U3126">
        <v>40</v>
      </c>
      <c r="V3126" s="1">
        <v>29586</v>
      </c>
      <c r="W3126" s="1">
        <v>29586</v>
      </c>
      <c r="X3126" s="1">
        <v>29586</v>
      </c>
      <c r="Y3126" s="1">
        <v>44196</v>
      </c>
      <c r="Z3126" t="s">
        <v>51</v>
      </c>
      <c r="AB3126" t="s">
        <v>54</v>
      </c>
      <c r="AC3126">
        <v>1</v>
      </c>
      <c r="AE3126" t="s">
        <v>827</v>
      </c>
      <c r="AF3126">
        <v>20</v>
      </c>
      <c r="AG3126" s="1">
        <v>31047</v>
      </c>
      <c r="AH3126" s="1">
        <v>31047</v>
      </c>
      <c r="AI3126" s="1">
        <v>31047</v>
      </c>
      <c r="AJ3126" s="1">
        <v>38352</v>
      </c>
      <c r="AK3126" t="s">
        <v>51</v>
      </c>
      <c r="AN3126">
        <v>0</v>
      </c>
      <c r="AO3126" t="s">
        <v>54</v>
      </c>
      <c r="AP3126" t="s">
        <v>53</v>
      </c>
      <c r="AQ3126">
        <v>0</v>
      </c>
      <c r="AR3126" t="s">
        <v>53</v>
      </c>
      <c r="AS3126">
        <v>0</v>
      </c>
      <c r="AT3126">
        <v>0</v>
      </c>
      <c r="CC3126" t="s">
        <v>850</v>
      </c>
      <c r="CD3126">
        <v>1</v>
      </c>
      <c r="CE3126" s="1">
        <v>42552</v>
      </c>
      <c r="CF3126" s="1">
        <v>42552</v>
      </c>
      <c r="CG3126" s="1">
        <v>42552</v>
      </c>
      <c r="CH3126" s="1">
        <v>49714</v>
      </c>
      <c r="CI3126" t="s">
        <v>51</v>
      </c>
      <c r="CK3126" t="s">
        <v>78</v>
      </c>
      <c r="CM3126" t="s">
        <v>54</v>
      </c>
      <c r="CN3126" t="s">
        <v>174</v>
      </c>
      <c r="CO3126" t="s">
        <v>86</v>
      </c>
      <c r="CR3126">
        <v>18</v>
      </c>
      <c r="CS3126">
        <v>0</v>
      </c>
      <c r="CT3126">
        <v>0</v>
      </c>
      <c r="CU3126">
        <v>0</v>
      </c>
    </row>
    <row r="3127" spans="1:99" x14ac:dyDescent="0.2">
      <c r="A3127" t="s">
        <v>367</v>
      </c>
      <c r="B3127" t="s">
        <v>368</v>
      </c>
      <c r="C3127" t="s">
        <v>369</v>
      </c>
      <c r="D3127" t="s">
        <v>1198</v>
      </c>
      <c r="F3127" t="str">
        <f>"26007"</f>
        <v>26007</v>
      </c>
      <c r="G3127" t="s">
        <v>49</v>
      </c>
      <c r="H3127" t="s">
        <v>1301</v>
      </c>
      <c r="K3127" t="s">
        <v>51</v>
      </c>
      <c r="L3127" t="s">
        <v>52</v>
      </c>
      <c r="M3127">
        <v>137633.29</v>
      </c>
      <c r="N3127">
        <v>467608.75</v>
      </c>
      <c r="O3127" t="s">
        <v>53</v>
      </c>
      <c r="P3127" t="s">
        <v>54</v>
      </c>
      <c r="Q3127" t="s">
        <v>55</v>
      </c>
      <c r="T3127" t="s">
        <v>818</v>
      </c>
      <c r="U3127">
        <v>40</v>
      </c>
      <c r="V3127" s="1">
        <v>29586</v>
      </c>
      <c r="W3127" s="1">
        <v>29586</v>
      </c>
      <c r="X3127" s="1">
        <v>29586</v>
      </c>
      <c r="Y3127" s="1">
        <v>44196</v>
      </c>
      <c r="Z3127" t="s">
        <v>51</v>
      </c>
      <c r="AB3127" t="s">
        <v>54</v>
      </c>
      <c r="AC3127">
        <v>1</v>
      </c>
      <c r="AE3127" t="s">
        <v>827</v>
      </c>
      <c r="AF3127">
        <v>20</v>
      </c>
      <c r="AG3127" s="1">
        <v>31047</v>
      </c>
      <c r="AH3127" s="1">
        <v>31047</v>
      </c>
      <c r="AI3127" s="1">
        <v>31047</v>
      </c>
      <c r="AJ3127" s="1">
        <v>38352</v>
      </c>
      <c r="AK3127" t="s">
        <v>51</v>
      </c>
      <c r="AN3127">
        <v>0</v>
      </c>
      <c r="AO3127" t="s">
        <v>54</v>
      </c>
      <c r="AP3127" t="s">
        <v>53</v>
      </c>
      <c r="AQ3127">
        <v>0</v>
      </c>
      <c r="AR3127" t="s">
        <v>53</v>
      </c>
      <c r="AS3127">
        <v>0</v>
      </c>
      <c r="AT3127">
        <v>0</v>
      </c>
      <c r="CC3127" t="s">
        <v>850</v>
      </c>
      <c r="CD3127">
        <v>1</v>
      </c>
      <c r="CE3127" s="1">
        <v>42552</v>
      </c>
      <c r="CF3127" s="1">
        <v>42552</v>
      </c>
      <c r="CG3127" s="1">
        <v>42552</v>
      </c>
      <c r="CH3127" s="1">
        <v>49714</v>
      </c>
      <c r="CI3127" t="s">
        <v>51</v>
      </c>
      <c r="CK3127" t="s">
        <v>78</v>
      </c>
      <c r="CM3127" t="s">
        <v>54</v>
      </c>
      <c r="CN3127" t="s">
        <v>174</v>
      </c>
      <c r="CO3127" t="s">
        <v>86</v>
      </c>
      <c r="CR3127">
        <v>18</v>
      </c>
      <c r="CS3127">
        <v>0</v>
      </c>
      <c r="CT3127">
        <v>0</v>
      </c>
      <c r="CU3127">
        <v>0</v>
      </c>
    </row>
    <row r="3128" spans="1:99" x14ac:dyDescent="0.2">
      <c r="A3128" t="s">
        <v>367</v>
      </c>
      <c r="B3128" t="s">
        <v>368</v>
      </c>
      <c r="C3128" t="s">
        <v>369</v>
      </c>
      <c r="D3128" t="s">
        <v>1196</v>
      </c>
      <c r="F3128" t="str">
        <f>"26008"</f>
        <v>26008</v>
      </c>
      <c r="G3128" t="s">
        <v>49</v>
      </c>
      <c r="H3128" t="s">
        <v>1302</v>
      </c>
      <c r="K3128" t="s">
        <v>51</v>
      </c>
      <c r="L3128" t="s">
        <v>52</v>
      </c>
      <c r="M3128">
        <v>137641.42000000001</v>
      </c>
      <c r="N3128">
        <v>467596.36</v>
      </c>
      <c r="O3128" t="s">
        <v>53</v>
      </c>
      <c r="P3128" t="s">
        <v>54</v>
      </c>
      <c r="Q3128" t="s">
        <v>55</v>
      </c>
      <c r="T3128" t="s">
        <v>818</v>
      </c>
      <c r="U3128">
        <v>40</v>
      </c>
      <c r="V3128" s="1">
        <v>29586</v>
      </c>
      <c r="W3128" s="1">
        <v>29586</v>
      </c>
      <c r="X3128" s="1">
        <v>29586</v>
      </c>
      <c r="Y3128" s="1">
        <v>44196</v>
      </c>
      <c r="Z3128" t="s">
        <v>51</v>
      </c>
      <c r="AB3128" t="s">
        <v>54</v>
      </c>
      <c r="AC3128">
        <v>1</v>
      </c>
      <c r="AE3128" t="s">
        <v>819</v>
      </c>
      <c r="AF3128">
        <v>20</v>
      </c>
      <c r="AG3128" s="1">
        <v>36167</v>
      </c>
      <c r="AH3128" s="1">
        <v>36167</v>
      </c>
      <c r="AI3128" s="1">
        <v>36167</v>
      </c>
      <c r="AJ3128" s="1">
        <v>43472</v>
      </c>
      <c r="AK3128" t="s">
        <v>51</v>
      </c>
      <c r="AN3128">
        <v>0</v>
      </c>
      <c r="AO3128" t="s">
        <v>54</v>
      </c>
      <c r="AP3128" t="s">
        <v>53</v>
      </c>
      <c r="AQ3128">
        <v>0</v>
      </c>
      <c r="AR3128" t="s">
        <v>53</v>
      </c>
      <c r="AS3128">
        <v>0</v>
      </c>
      <c r="AT3128">
        <v>0</v>
      </c>
      <c r="CC3128" t="s">
        <v>850</v>
      </c>
      <c r="CD3128">
        <v>1</v>
      </c>
      <c r="CE3128" s="1">
        <v>42552</v>
      </c>
      <c r="CF3128" s="1">
        <v>42552</v>
      </c>
      <c r="CG3128" s="1">
        <v>42552</v>
      </c>
      <c r="CH3128" s="1">
        <v>49714</v>
      </c>
      <c r="CI3128" t="s">
        <v>51</v>
      </c>
      <c r="CK3128" t="s">
        <v>78</v>
      </c>
      <c r="CM3128" t="s">
        <v>54</v>
      </c>
      <c r="CN3128" t="s">
        <v>174</v>
      </c>
      <c r="CO3128" t="s">
        <v>86</v>
      </c>
      <c r="CR3128">
        <v>18</v>
      </c>
      <c r="CS3128">
        <v>0</v>
      </c>
      <c r="CT3128">
        <v>0</v>
      </c>
      <c r="CU3128">
        <v>0</v>
      </c>
    </row>
    <row r="3129" spans="1:99" x14ac:dyDescent="0.2">
      <c r="A3129" t="s">
        <v>367</v>
      </c>
      <c r="B3129" t="s">
        <v>368</v>
      </c>
      <c r="C3129" t="s">
        <v>369</v>
      </c>
      <c r="D3129" t="s">
        <v>1196</v>
      </c>
      <c r="F3129" t="str">
        <f>"26009"</f>
        <v>26009</v>
      </c>
      <c r="G3129" t="s">
        <v>49</v>
      </c>
      <c r="H3129" t="s">
        <v>1303</v>
      </c>
      <c r="K3129" t="s">
        <v>51</v>
      </c>
      <c r="L3129" t="s">
        <v>52</v>
      </c>
      <c r="M3129">
        <v>137648.04999999999</v>
      </c>
      <c r="N3129">
        <v>467609.5</v>
      </c>
      <c r="O3129" t="s">
        <v>53</v>
      </c>
      <c r="P3129" t="s">
        <v>54</v>
      </c>
      <c r="Q3129" t="s">
        <v>55</v>
      </c>
      <c r="T3129" t="s">
        <v>818</v>
      </c>
      <c r="U3129">
        <v>40</v>
      </c>
      <c r="V3129" s="1">
        <v>29586</v>
      </c>
      <c r="W3129" s="1">
        <v>29586</v>
      </c>
      <c r="X3129" s="1">
        <v>29586</v>
      </c>
      <c r="Y3129" s="1">
        <v>44196</v>
      </c>
      <c r="Z3129" t="s">
        <v>51</v>
      </c>
      <c r="AB3129" t="s">
        <v>54</v>
      </c>
      <c r="AC3129">
        <v>1</v>
      </c>
      <c r="AE3129" t="s">
        <v>819</v>
      </c>
      <c r="AF3129">
        <v>20</v>
      </c>
      <c r="AG3129" s="1">
        <v>36167</v>
      </c>
      <c r="AH3129" s="1">
        <v>36167</v>
      </c>
      <c r="AI3129" s="1">
        <v>36167</v>
      </c>
      <c r="AJ3129" s="1">
        <v>43472</v>
      </c>
      <c r="AK3129" t="s">
        <v>51</v>
      </c>
      <c r="AN3129">
        <v>0</v>
      </c>
      <c r="AO3129" t="s">
        <v>54</v>
      </c>
      <c r="AP3129" t="s">
        <v>53</v>
      </c>
      <c r="AQ3129">
        <v>0</v>
      </c>
      <c r="AR3129" t="s">
        <v>53</v>
      </c>
      <c r="AS3129">
        <v>0</v>
      </c>
      <c r="AT3129">
        <v>0</v>
      </c>
      <c r="CC3129" t="s">
        <v>850</v>
      </c>
      <c r="CD3129">
        <v>1</v>
      </c>
      <c r="CE3129" s="1">
        <v>42552</v>
      </c>
      <c r="CF3129" s="1">
        <v>42552</v>
      </c>
      <c r="CG3129" s="1">
        <v>42552</v>
      </c>
      <c r="CH3129" s="1">
        <v>49714</v>
      </c>
      <c r="CI3129" t="s">
        <v>51</v>
      </c>
      <c r="CK3129" t="s">
        <v>78</v>
      </c>
      <c r="CM3129" t="s">
        <v>54</v>
      </c>
      <c r="CN3129" t="s">
        <v>174</v>
      </c>
      <c r="CO3129" t="s">
        <v>86</v>
      </c>
      <c r="CR3129">
        <v>18</v>
      </c>
      <c r="CS3129">
        <v>0</v>
      </c>
      <c r="CT3129">
        <v>0</v>
      </c>
      <c r="CU3129">
        <v>0</v>
      </c>
    </row>
    <row r="3130" spans="1:99" x14ac:dyDescent="0.2">
      <c r="A3130" t="s">
        <v>367</v>
      </c>
      <c r="B3130" t="s">
        <v>368</v>
      </c>
      <c r="C3130" t="s">
        <v>369</v>
      </c>
      <c r="D3130" t="s">
        <v>1196</v>
      </c>
      <c r="F3130" t="str">
        <f>"26010"</f>
        <v>26010</v>
      </c>
      <c r="G3130" t="s">
        <v>49</v>
      </c>
      <c r="H3130" t="s">
        <v>1304</v>
      </c>
      <c r="K3130" t="s">
        <v>51</v>
      </c>
      <c r="L3130" t="s">
        <v>52</v>
      </c>
      <c r="M3130">
        <v>137650.79</v>
      </c>
      <c r="N3130">
        <v>467629.51</v>
      </c>
      <c r="O3130" t="s">
        <v>53</v>
      </c>
      <c r="P3130" t="s">
        <v>54</v>
      </c>
      <c r="Q3130" t="s">
        <v>55</v>
      </c>
      <c r="T3130" t="s">
        <v>818</v>
      </c>
      <c r="U3130">
        <v>40</v>
      </c>
      <c r="V3130" s="1">
        <v>29586</v>
      </c>
      <c r="W3130" s="1">
        <v>29586</v>
      </c>
      <c r="X3130" s="1">
        <v>29586</v>
      </c>
      <c r="Y3130" s="1">
        <v>44196</v>
      </c>
      <c r="Z3130" t="s">
        <v>51</v>
      </c>
      <c r="AB3130" t="s">
        <v>54</v>
      </c>
      <c r="AC3130">
        <v>1</v>
      </c>
      <c r="AE3130" t="s">
        <v>827</v>
      </c>
      <c r="AF3130">
        <v>20</v>
      </c>
      <c r="AG3130" s="1">
        <v>31047</v>
      </c>
      <c r="AH3130" s="1">
        <v>31047</v>
      </c>
      <c r="AI3130" s="1">
        <v>31047</v>
      </c>
      <c r="AJ3130" s="1">
        <v>38352</v>
      </c>
      <c r="AK3130" t="s">
        <v>51</v>
      </c>
      <c r="AN3130">
        <v>0</v>
      </c>
      <c r="AO3130" t="s">
        <v>54</v>
      </c>
      <c r="AP3130" t="s">
        <v>53</v>
      </c>
      <c r="AQ3130">
        <v>0</v>
      </c>
      <c r="AR3130" t="s">
        <v>53</v>
      </c>
      <c r="AS3130">
        <v>0</v>
      </c>
      <c r="AT3130">
        <v>0</v>
      </c>
      <c r="CC3130" t="s">
        <v>850</v>
      </c>
      <c r="CD3130">
        <v>1</v>
      </c>
      <c r="CE3130" s="1">
        <v>42552</v>
      </c>
      <c r="CF3130" s="1">
        <v>42552</v>
      </c>
      <c r="CG3130" s="1">
        <v>42552</v>
      </c>
      <c r="CH3130" s="1">
        <v>49714</v>
      </c>
      <c r="CI3130" t="s">
        <v>51</v>
      </c>
      <c r="CK3130" t="s">
        <v>78</v>
      </c>
      <c r="CM3130" t="s">
        <v>54</v>
      </c>
      <c r="CN3130" t="s">
        <v>174</v>
      </c>
      <c r="CO3130" t="s">
        <v>86</v>
      </c>
      <c r="CR3130">
        <v>18</v>
      </c>
      <c r="CS3130">
        <v>0</v>
      </c>
      <c r="CT3130">
        <v>0</v>
      </c>
      <c r="CU3130">
        <v>0</v>
      </c>
    </row>
    <row r="3131" spans="1:99" x14ac:dyDescent="0.2">
      <c r="A3131" t="s">
        <v>367</v>
      </c>
      <c r="B3131" t="s">
        <v>368</v>
      </c>
      <c r="C3131" t="s">
        <v>369</v>
      </c>
      <c r="D3131" t="s">
        <v>1196</v>
      </c>
      <c r="F3131" t="str">
        <f>"26011"</f>
        <v>26011</v>
      </c>
      <c r="G3131" t="s">
        <v>49</v>
      </c>
      <c r="H3131" t="s">
        <v>1305</v>
      </c>
      <c r="K3131" t="s">
        <v>51</v>
      </c>
      <c r="L3131" t="s">
        <v>52</v>
      </c>
      <c r="M3131">
        <v>137661.87</v>
      </c>
      <c r="N3131">
        <v>467640.51</v>
      </c>
      <c r="O3131" t="s">
        <v>53</v>
      </c>
      <c r="P3131" t="s">
        <v>54</v>
      </c>
      <c r="Q3131" t="s">
        <v>55</v>
      </c>
      <c r="T3131" t="s">
        <v>818</v>
      </c>
      <c r="U3131">
        <v>40</v>
      </c>
      <c r="V3131" s="1">
        <v>29586</v>
      </c>
      <c r="W3131" s="1">
        <v>29586</v>
      </c>
      <c r="X3131" s="1">
        <v>29586</v>
      </c>
      <c r="Y3131" s="1">
        <v>44196</v>
      </c>
      <c r="Z3131" t="s">
        <v>51</v>
      </c>
      <c r="AB3131" t="s">
        <v>54</v>
      </c>
      <c r="AC3131">
        <v>1</v>
      </c>
      <c r="AE3131" t="s">
        <v>827</v>
      </c>
      <c r="AF3131">
        <v>20</v>
      </c>
      <c r="AG3131" s="1">
        <v>31047</v>
      </c>
      <c r="AH3131" s="1">
        <v>31047</v>
      </c>
      <c r="AI3131" s="1">
        <v>31047</v>
      </c>
      <c r="AJ3131" s="1">
        <v>38352</v>
      </c>
      <c r="AK3131" t="s">
        <v>51</v>
      </c>
      <c r="AN3131">
        <v>0</v>
      </c>
      <c r="AO3131" t="s">
        <v>54</v>
      </c>
      <c r="AP3131" t="s">
        <v>53</v>
      </c>
      <c r="AQ3131">
        <v>0</v>
      </c>
      <c r="AR3131" t="s">
        <v>53</v>
      </c>
      <c r="AS3131">
        <v>0</v>
      </c>
      <c r="AT3131">
        <v>0</v>
      </c>
      <c r="CC3131" t="s">
        <v>850</v>
      </c>
      <c r="CD3131">
        <v>1</v>
      </c>
      <c r="CE3131" s="1">
        <v>42552</v>
      </c>
      <c r="CF3131" s="1">
        <v>42552</v>
      </c>
      <c r="CG3131" s="1">
        <v>42552</v>
      </c>
      <c r="CH3131" s="1">
        <v>49714</v>
      </c>
      <c r="CI3131" t="s">
        <v>51</v>
      </c>
      <c r="CK3131" t="s">
        <v>78</v>
      </c>
      <c r="CM3131" t="s">
        <v>54</v>
      </c>
      <c r="CN3131" t="s">
        <v>174</v>
      </c>
      <c r="CO3131" t="s">
        <v>86</v>
      </c>
      <c r="CR3131">
        <v>18</v>
      </c>
      <c r="CS3131">
        <v>0</v>
      </c>
      <c r="CT3131">
        <v>0</v>
      </c>
      <c r="CU3131">
        <v>0</v>
      </c>
    </row>
    <row r="3132" spans="1:99" x14ac:dyDescent="0.2">
      <c r="A3132" t="s">
        <v>367</v>
      </c>
      <c r="B3132" t="s">
        <v>368</v>
      </c>
      <c r="C3132" t="s">
        <v>369</v>
      </c>
      <c r="D3132" t="s">
        <v>1196</v>
      </c>
      <c r="F3132" t="str">
        <f>"26012"</f>
        <v>26012</v>
      </c>
      <c r="G3132" t="s">
        <v>49</v>
      </c>
      <c r="H3132" t="s">
        <v>1306</v>
      </c>
      <c r="K3132" t="s">
        <v>51</v>
      </c>
      <c r="L3132" t="s">
        <v>52</v>
      </c>
      <c r="M3132">
        <v>137664.23000000001</v>
      </c>
      <c r="N3132">
        <v>467655.23</v>
      </c>
      <c r="O3132" t="s">
        <v>53</v>
      </c>
      <c r="P3132" t="s">
        <v>54</v>
      </c>
      <c r="Q3132" t="s">
        <v>55</v>
      </c>
      <c r="T3132" t="s">
        <v>818</v>
      </c>
      <c r="U3132">
        <v>40</v>
      </c>
      <c r="V3132" s="1">
        <v>29586</v>
      </c>
      <c r="W3132" s="1">
        <v>29586</v>
      </c>
      <c r="X3132" s="1">
        <v>29586</v>
      </c>
      <c r="Y3132" s="1">
        <v>44196</v>
      </c>
      <c r="Z3132" t="s">
        <v>51</v>
      </c>
      <c r="AB3132" t="s">
        <v>54</v>
      </c>
      <c r="AC3132">
        <v>1</v>
      </c>
      <c r="AE3132" t="s">
        <v>819</v>
      </c>
      <c r="AF3132">
        <v>20</v>
      </c>
      <c r="AG3132" s="1">
        <v>36180</v>
      </c>
      <c r="AH3132" s="1">
        <v>36180</v>
      </c>
      <c r="AI3132" s="1">
        <v>36180</v>
      </c>
      <c r="AJ3132" s="1">
        <v>43485</v>
      </c>
      <c r="AK3132" t="s">
        <v>51</v>
      </c>
      <c r="AN3132">
        <v>0</v>
      </c>
      <c r="AO3132" t="s">
        <v>54</v>
      </c>
      <c r="AP3132" t="s">
        <v>53</v>
      </c>
      <c r="AQ3132">
        <v>0</v>
      </c>
      <c r="AR3132" t="s">
        <v>53</v>
      </c>
      <c r="AS3132">
        <v>0</v>
      </c>
      <c r="AT3132">
        <v>0</v>
      </c>
      <c r="CC3132" t="s">
        <v>850</v>
      </c>
      <c r="CD3132">
        <v>1</v>
      </c>
      <c r="CE3132" s="1">
        <v>42552</v>
      </c>
      <c r="CF3132" s="1">
        <v>42552</v>
      </c>
      <c r="CG3132" s="1">
        <v>42552</v>
      </c>
      <c r="CH3132" s="1">
        <v>49714</v>
      </c>
      <c r="CI3132" t="s">
        <v>51</v>
      </c>
      <c r="CK3132" t="s">
        <v>78</v>
      </c>
      <c r="CM3132" t="s">
        <v>54</v>
      </c>
      <c r="CN3132" t="s">
        <v>174</v>
      </c>
      <c r="CO3132" t="s">
        <v>86</v>
      </c>
      <c r="CR3132">
        <v>18</v>
      </c>
      <c r="CS3132">
        <v>0</v>
      </c>
      <c r="CT3132">
        <v>0</v>
      </c>
      <c r="CU3132">
        <v>0</v>
      </c>
    </row>
    <row r="3133" spans="1:99" x14ac:dyDescent="0.2">
      <c r="A3133" t="s">
        <v>367</v>
      </c>
      <c r="B3133" t="s">
        <v>368</v>
      </c>
      <c r="C3133" t="s">
        <v>369</v>
      </c>
      <c r="D3133" t="s">
        <v>1196</v>
      </c>
      <c r="F3133" t="str">
        <f>"26013"</f>
        <v>26013</v>
      </c>
      <c r="G3133" t="s">
        <v>49</v>
      </c>
      <c r="H3133" t="s">
        <v>1307</v>
      </c>
      <c r="K3133" t="s">
        <v>51</v>
      </c>
      <c r="L3133" t="s">
        <v>52</v>
      </c>
      <c r="M3133">
        <v>137656.10999999999</v>
      </c>
      <c r="N3133">
        <v>467674.13</v>
      </c>
      <c r="O3133" t="s">
        <v>53</v>
      </c>
      <c r="P3133" t="s">
        <v>54</v>
      </c>
      <c r="Q3133" t="s">
        <v>55</v>
      </c>
      <c r="T3133" t="s">
        <v>818</v>
      </c>
      <c r="U3133">
        <v>40</v>
      </c>
      <c r="V3133" s="1">
        <v>29586</v>
      </c>
      <c r="W3133" s="1">
        <v>29586</v>
      </c>
      <c r="X3133" s="1">
        <v>29586</v>
      </c>
      <c r="Y3133" s="1">
        <v>44196</v>
      </c>
      <c r="Z3133" t="s">
        <v>51</v>
      </c>
      <c r="AB3133" t="s">
        <v>54</v>
      </c>
      <c r="AC3133">
        <v>1</v>
      </c>
      <c r="AE3133" t="s">
        <v>57</v>
      </c>
      <c r="AF3133">
        <v>20</v>
      </c>
      <c r="AG3133" s="1">
        <v>37236</v>
      </c>
      <c r="AH3133" s="1">
        <v>37236</v>
      </c>
      <c r="AI3133" s="1">
        <v>37236</v>
      </c>
      <c r="AJ3133" s="1">
        <v>44541</v>
      </c>
      <c r="AK3133" t="s">
        <v>51</v>
      </c>
      <c r="AN3133">
        <v>0</v>
      </c>
      <c r="AO3133" t="s">
        <v>54</v>
      </c>
      <c r="AP3133" t="s">
        <v>53</v>
      </c>
      <c r="AQ3133">
        <v>0</v>
      </c>
      <c r="AR3133" t="s">
        <v>53</v>
      </c>
      <c r="AS3133">
        <v>0</v>
      </c>
      <c r="AT3133">
        <v>0</v>
      </c>
      <c r="CC3133" t="s">
        <v>432</v>
      </c>
      <c r="CD3133">
        <v>85000</v>
      </c>
      <c r="CE3133" s="1">
        <v>42552</v>
      </c>
      <c r="CF3133" s="1">
        <v>42552</v>
      </c>
      <c r="CG3133" s="1">
        <v>42552</v>
      </c>
      <c r="CH3133" s="1">
        <v>49714</v>
      </c>
      <c r="CI3133" t="s">
        <v>51</v>
      </c>
      <c r="CK3133" t="s">
        <v>78</v>
      </c>
      <c r="CM3133" t="s">
        <v>54</v>
      </c>
      <c r="CN3133" t="s">
        <v>174</v>
      </c>
      <c r="CO3133" t="s">
        <v>86</v>
      </c>
      <c r="CR3133">
        <v>24</v>
      </c>
      <c r="CS3133">
        <v>0</v>
      </c>
      <c r="CT3133">
        <v>0</v>
      </c>
      <c r="CU3133">
        <v>0</v>
      </c>
    </row>
    <row r="3134" spans="1:99" x14ac:dyDescent="0.2">
      <c r="A3134" t="s">
        <v>367</v>
      </c>
      <c r="B3134" t="s">
        <v>368</v>
      </c>
      <c r="C3134" t="s">
        <v>369</v>
      </c>
      <c r="D3134" t="s">
        <v>1195</v>
      </c>
      <c r="F3134" t="str">
        <f>"26014"</f>
        <v>26014</v>
      </c>
      <c r="G3134" t="s">
        <v>49</v>
      </c>
      <c r="H3134" t="s">
        <v>1308</v>
      </c>
      <c r="K3134" t="s">
        <v>51</v>
      </c>
      <c r="L3134" t="s">
        <v>52</v>
      </c>
      <c r="M3134">
        <v>137674.22</v>
      </c>
      <c r="N3134">
        <v>467677.77</v>
      </c>
      <c r="O3134" t="s">
        <v>53</v>
      </c>
      <c r="P3134" t="s">
        <v>54</v>
      </c>
      <c r="Q3134" t="s">
        <v>55</v>
      </c>
      <c r="T3134" t="s">
        <v>818</v>
      </c>
      <c r="U3134">
        <v>40</v>
      </c>
      <c r="V3134" s="1">
        <v>29951</v>
      </c>
      <c r="W3134" s="1">
        <v>29951</v>
      </c>
      <c r="X3134" s="1">
        <v>29951</v>
      </c>
      <c r="Y3134" s="1">
        <v>44561</v>
      </c>
      <c r="Z3134" t="s">
        <v>51</v>
      </c>
      <c r="AB3134" t="s">
        <v>54</v>
      </c>
      <c r="AC3134">
        <v>1</v>
      </c>
      <c r="AE3134" t="s">
        <v>827</v>
      </c>
      <c r="AF3134">
        <v>20</v>
      </c>
      <c r="AG3134" s="1">
        <v>31047</v>
      </c>
      <c r="AH3134" s="1">
        <v>31047</v>
      </c>
      <c r="AI3134" s="1">
        <v>31047</v>
      </c>
      <c r="AJ3134" s="1">
        <v>38352</v>
      </c>
      <c r="AK3134" t="s">
        <v>51</v>
      </c>
      <c r="AN3134">
        <v>0</v>
      </c>
      <c r="AO3134" t="s">
        <v>54</v>
      </c>
      <c r="AP3134" t="s">
        <v>53</v>
      </c>
      <c r="AQ3134">
        <v>0</v>
      </c>
      <c r="AR3134" t="s">
        <v>53</v>
      </c>
      <c r="AS3134">
        <v>0</v>
      </c>
      <c r="AT3134">
        <v>0</v>
      </c>
      <c r="CC3134" t="s">
        <v>850</v>
      </c>
      <c r="CD3134">
        <v>1</v>
      </c>
      <c r="CE3134" s="1">
        <v>42552</v>
      </c>
      <c r="CF3134" s="1">
        <v>42552</v>
      </c>
      <c r="CG3134" s="1">
        <v>42552</v>
      </c>
      <c r="CH3134" s="1">
        <v>49714</v>
      </c>
      <c r="CI3134" t="s">
        <v>51</v>
      </c>
      <c r="CK3134" t="s">
        <v>78</v>
      </c>
      <c r="CM3134" t="s">
        <v>54</v>
      </c>
      <c r="CN3134" t="s">
        <v>174</v>
      </c>
      <c r="CO3134" t="s">
        <v>86</v>
      </c>
      <c r="CR3134">
        <v>18</v>
      </c>
      <c r="CS3134">
        <v>0</v>
      </c>
      <c r="CT3134">
        <v>0</v>
      </c>
      <c r="CU3134">
        <v>0</v>
      </c>
    </row>
    <row r="3135" spans="1:99" x14ac:dyDescent="0.2">
      <c r="A3135" t="s">
        <v>367</v>
      </c>
      <c r="B3135" t="s">
        <v>368</v>
      </c>
      <c r="C3135" t="s">
        <v>369</v>
      </c>
      <c r="D3135" t="s">
        <v>1195</v>
      </c>
      <c r="F3135" t="str">
        <f>"26015"</f>
        <v>26015</v>
      </c>
      <c r="G3135" t="s">
        <v>49</v>
      </c>
      <c r="H3135" t="s">
        <v>1309</v>
      </c>
      <c r="K3135" t="s">
        <v>51</v>
      </c>
      <c r="L3135" t="s">
        <v>52</v>
      </c>
      <c r="M3135">
        <v>137680.46</v>
      </c>
      <c r="N3135">
        <v>467698.83</v>
      </c>
      <c r="O3135" t="s">
        <v>53</v>
      </c>
      <c r="P3135" t="s">
        <v>54</v>
      </c>
      <c r="Q3135" t="s">
        <v>55</v>
      </c>
      <c r="T3135" t="s">
        <v>818</v>
      </c>
      <c r="U3135">
        <v>40</v>
      </c>
      <c r="V3135" s="1">
        <v>29951</v>
      </c>
      <c r="W3135" s="1">
        <v>29951</v>
      </c>
      <c r="X3135" s="1">
        <v>29951</v>
      </c>
      <c r="Y3135" s="1">
        <v>44561</v>
      </c>
      <c r="Z3135" t="s">
        <v>51</v>
      </c>
      <c r="AB3135" t="s">
        <v>54</v>
      </c>
      <c r="AC3135">
        <v>1</v>
      </c>
      <c r="AE3135" t="s">
        <v>827</v>
      </c>
      <c r="AF3135">
        <v>20</v>
      </c>
      <c r="AG3135" s="1">
        <v>31047</v>
      </c>
      <c r="AH3135" s="1">
        <v>31047</v>
      </c>
      <c r="AI3135" s="1">
        <v>31047</v>
      </c>
      <c r="AJ3135" s="1">
        <v>38352</v>
      </c>
      <c r="AK3135" t="s">
        <v>51</v>
      </c>
      <c r="AN3135">
        <v>0</v>
      </c>
      <c r="AO3135" t="s">
        <v>54</v>
      </c>
      <c r="AP3135" t="s">
        <v>53</v>
      </c>
      <c r="AQ3135">
        <v>0</v>
      </c>
      <c r="AR3135" t="s">
        <v>53</v>
      </c>
      <c r="AS3135">
        <v>0</v>
      </c>
      <c r="AT3135">
        <v>0</v>
      </c>
      <c r="CC3135" t="s">
        <v>850</v>
      </c>
      <c r="CD3135">
        <v>1</v>
      </c>
      <c r="CE3135" s="1">
        <v>42552</v>
      </c>
      <c r="CF3135" s="1">
        <v>42552</v>
      </c>
      <c r="CG3135" s="1">
        <v>42552</v>
      </c>
      <c r="CH3135" s="1">
        <v>49714</v>
      </c>
      <c r="CI3135" t="s">
        <v>51</v>
      </c>
      <c r="CK3135" t="s">
        <v>78</v>
      </c>
      <c r="CM3135" t="s">
        <v>54</v>
      </c>
      <c r="CN3135" t="s">
        <v>174</v>
      </c>
      <c r="CO3135" t="s">
        <v>86</v>
      </c>
      <c r="CR3135">
        <v>18</v>
      </c>
      <c r="CS3135">
        <v>0</v>
      </c>
      <c r="CT3135">
        <v>0</v>
      </c>
      <c r="CU3135">
        <v>0</v>
      </c>
    </row>
    <row r="3136" spans="1:99" x14ac:dyDescent="0.2">
      <c r="A3136" t="s">
        <v>367</v>
      </c>
      <c r="B3136" t="s">
        <v>368</v>
      </c>
      <c r="C3136" t="s">
        <v>369</v>
      </c>
      <c r="D3136" t="s">
        <v>1195</v>
      </c>
      <c r="F3136" t="str">
        <f>"26016"</f>
        <v>26016</v>
      </c>
      <c r="G3136" t="s">
        <v>49</v>
      </c>
      <c r="H3136" t="s">
        <v>1310</v>
      </c>
      <c r="K3136" t="s">
        <v>51</v>
      </c>
      <c r="L3136" t="s">
        <v>52</v>
      </c>
      <c r="M3136">
        <v>137673.03</v>
      </c>
      <c r="N3136">
        <v>467709.14</v>
      </c>
      <c r="O3136" t="s">
        <v>53</v>
      </c>
      <c r="P3136" t="s">
        <v>54</v>
      </c>
      <c r="Q3136" t="s">
        <v>55</v>
      </c>
      <c r="T3136" t="s">
        <v>818</v>
      </c>
      <c r="U3136">
        <v>40</v>
      </c>
      <c r="V3136" s="1">
        <v>29951</v>
      </c>
      <c r="W3136" s="1">
        <v>29951</v>
      </c>
      <c r="X3136" s="1">
        <v>29951</v>
      </c>
      <c r="Y3136" s="1">
        <v>44561</v>
      </c>
      <c r="Z3136" t="s">
        <v>51</v>
      </c>
      <c r="AB3136" t="s">
        <v>54</v>
      </c>
      <c r="AC3136">
        <v>1</v>
      </c>
      <c r="AE3136" t="s">
        <v>819</v>
      </c>
      <c r="AF3136">
        <v>20</v>
      </c>
      <c r="AG3136" s="1">
        <v>36348</v>
      </c>
      <c r="AH3136" s="1">
        <v>36348</v>
      </c>
      <c r="AI3136" s="1">
        <v>36348</v>
      </c>
      <c r="AJ3136" s="1">
        <v>43653</v>
      </c>
      <c r="AK3136" t="s">
        <v>51</v>
      </c>
      <c r="AN3136">
        <v>0</v>
      </c>
      <c r="AO3136" t="s">
        <v>54</v>
      </c>
      <c r="AP3136" t="s">
        <v>53</v>
      </c>
      <c r="AQ3136">
        <v>0</v>
      </c>
      <c r="AR3136" t="s">
        <v>53</v>
      </c>
      <c r="AS3136">
        <v>0</v>
      </c>
      <c r="AT3136">
        <v>0</v>
      </c>
      <c r="CC3136" t="s">
        <v>850</v>
      </c>
      <c r="CD3136">
        <v>1</v>
      </c>
      <c r="CE3136" s="1">
        <v>42552</v>
      </c>
      <c r="CF3136" s="1">
        <v>42552</v>
      </c>
      <c r="CG3136" s="1">
        <v>42552</v>
      </c>
      <c r="CH3136" s="1">
        <v>49714</v>
      </c>
      <c r="CI3136" t="s">
        <v>51</v>
      </c>
      <c r="CK3136" t="s">
        <v>78</v>
      </c>
      <c r="CM3136" t="s">
        <v>54</v>
      </c>
      <c r="CN3136" t="s">
        <v>174</v>
      </c>
      <c r="CO3136" t="s">
        <v>86</v>
      </c>
      <c r="CR3136">
        <v>18</v>
      </c>
      <c r="CS3136">
        <v>0</v>
      </c>
      <c r="CT3136">
        <v>0</v>
      </c>
      <c r="CU3136">
        <v>0</v>
      </c>
    </row>
    <row r="3137" spans="1:99" x14ac:dyDescent="0.2">
      <c r="A3137" t="s">
        <v>367</v>
      </c>
      <c r="B3137" t="s">
        <v>368</v>
      </c>
      <c r="C3137" t="s">
        <v>369</v>
      </c>
      <c r="D3137" t="s">
        <v>1195</v>
      </c>
      <c r="F3137" t="str">
        <f>"26017"</f>
        <v>26017</v>
      </c>
      <c r="G3137" t="s">
        <v>49</v>
      </c>
      <c r="H3137" t="s">
        <v>1311</v>
      </c>
      <c r="K3137" t="s">
        <v>51</v>
      </c>
      <c r="L3137" t="s">
        <v>52</v>
      </c>
      <c r="M3137">
        <v>137696.34</v>
      </c>
      <c r="N3137">
        <v>467705.2</v>
      </c>
      <c r="O3137" t="s">
        <v>53</v>
      </c>
      <c r="P3137" t="s">
        <v>54</v>
      </c>
      <c r="Q3137" t="s">
        <v>55</v>
      </c>
      <c r="T3137" t="s">
        <v>818</v>
      </c>
      <c r="U3137">
        <v>40</v>
      </c>
      <c r="V3137" s="1">
        <v>29951</v>
      </c>
      <c r="W3137" s="1">
        <v>29951</v>
      </c>
      <c r="X3137" s="1">
        <v>29951</v>
      </c>
      <c r="Y3137" s="1">
        <v>44561</v>
      </c>
      <c r="Z3137" t="s">
        <v>51</v>
      </c>
      <c r="AB3137" t="s">
        <v>54</v>
      </c>
      <c r="AC3137">
        <v>1</v>
      </c>
      <c r="AE3137" t="s">
        <v>827</v>
      </c>
      <c r="AF3137">
        <v>20</v>
      </c>
      <c r="AG3137" s="1">
        <v>31047</v>
      </c>
      <c r="AH3137" s="1">
        <v>31047</v>
      </c>
      <c r="AI3137" s="1">
        <v>31047</v>
      </c>
      <c r="AJ3137" s="1">
        <v>38352</v>
      </c>
      <c r="AK3137" t="s">
        <v>51</v>
      </c>
      <c r="AN3137">
        <v>0</v>
      </c>
      <c r="AO3137" t="s">
        <v>54</v>
      </c>
      <c r="AP3137" t="s">
        <v>53</v>
      </c>
      <c r="AQ3137">
        <v>0</v>
      </c>
      <c r="AR3137" t="s">
        <v>53</v>
      </c>
      <c r="AS3137">
        <v>0</v>
      </c>
      <c r="AT3137">
        <v>0</v>
      </c>
      <c r="CC3137" t="s">
        <v>850</v>
      </c>
      <c r="CD3137">
        <v>1</v>
      </c>
      <c r="CE3137" s="1">
        <v>42552</v>
      </c>
      <c r="CF3137" s="1">
        <v>42552</v>
      </c>
      <c r="CG3137" s="1">
        <v>42552</v>
      </c>
      <c r="CH3137" s="1">
        <v>49714</v>
      </c>
      <c r="CI3137" t="s">
        <v>51</v>
      </c>
      <c r="CK3137" t="s">
        <v>78</v>
      </c>
      <c r="CM3137" t="s">
        <v>54</v>
      </c>
      <c r="CN3137" t="s">
        <v>174</v>
      </c>
      <c r="CO3137" t="s">
        <v>86</v>
      </c>
      <c r="CR3137">
        <v>18</v>
      </c>
      <c r="CS3137">
        <v>0</v>
      </c>
      <c r="CT3137">
        <v>0</v>
      </c>
      <c r="CU3137">
        <v>0</v>
      </c>
    </row>
    <row r="3138" spans="1:99" x14ac:dyDescent="0.2">
      <c r="A3138" t="s">
        <v>367</v>
      </c>
      <c r="B3138" t="s">
        <v>368</v>
      </c>
      <c r="C3138" t="s">
        <v>369</v>
      </c>
      <c r="D3138" t="s">
        <v>1195</v>
      </c>
      <c r="F3138" t="str">
        <f>"26018"</f>
        <v>26018</v>
      </c>
      <c r="G3138" t="s">
        <v>49</v>
      </c>
      <c r="H3138" t="s">
        <v>1312</v>
      </c>
      <c r="K3138" t="s">
        <v>51</v>
      </c>
      <c r="L3138" t="s">
        <v>52</v>
      </c>
      <c r="M3138">
        <v>137709.71</v>
      </c>
      <c r="N3138">
        <v>467713.1</v>
      </c>
      <c r="O3138" t="s">
        <v>53</v>
      </c>
      <c r="P3138" t="s">
        <v>54</v>
      </c>
      <c r="Q3138" t="s">
        <v>55</v>
      </c>
      <c r="T3138" t="s">
        <v>818</v>
      </c>
      <c r="U3138">
        <v>40</v>
      </c>
      <c r="V3138" s="1">
        <v>38834</v>
      </c>
      <c r="W3138" s="1">
        <v>38834</v>
      </c>
      <c r="X3138" s="1">
        <v>38834</v>
      </c>
      <c r="Y3138" s="1">
        <v>53444</v>
      </c>
      <c r="Z3138" t="s">
        <v>51</v>
      </c>
      <c r="AB3138" t="s">
        <v>54</v>
      </c>
      <c r="AC3138">
        <v>1</v>
      </c>
      <c r="AE3138" t="s">
        <v>827</v>
      </c>
      <c r="AF3138">
        <v>20</v>
      </c>
      <c r="AG3138" s="1">
        <v>31047</v>
      </c>
      <c r="AH3138" s="1">
        <v>31047</v>
      </c>
      <c r="AI3138" s="1">
        <v>38834</v>
      </c>
      <c r="AJ3138" s="1">
        <v>38352</v>
      </c>
      <c r="AK3138" t="s">
        <v>51</v>
      </c>
      <c r="AN3138">
        <v>0</v>
      </c>
      <c r="AO3138" t="s">
        <v>54</v>
      </c>
      <c r="AP3138" t="s">
        <v>53</v>
      </c>
      <c r="AQ3138">
        <v>0</v>
      </c>
      <c r="AR3138" t="s">
        <v>53</v>
      </c>
      <c r="AS3138">
        <v>0</v>
      </c>
      <c r="AT3138">
        <v>0</v>
      </c>
      <c r="CC3138" t="s">
        <v>850</v>
      </c>
      <c r="CD3138">
        <v>1</v>
      </c>
      <c r="CE3138" s="1">
        <v>42552</v>
      </c>
      <c r="CF3138" s="1">
        <v>42552</v>
      </c>
      <c r="CG3138" s="1">
        <v>42552</v>
      </c>
      <c r="CH3138" s="1">
        <v>49714</v>
      </c>
      <c r="CI3138" t="s">
        <v>51</v>
      </c>
      <c r="CK3138" t="s">
        <v>78</v>
      </c>
      <c r="CM3138" t="s">
        <v>54</v>
      </c>
      <c r="CN3138" t="s">
        <v>174</v>
      </c>
      <c r="CO3138" t="s">
        <v>86</v>
      </c>
      <c r="CR3138">
        <v>18</v>
      </c>
      <c r="CS3138">
        <v>0</v>
      </c>
      <c r="CT3138">
        <v>0</v>
      </c>
      <c r="CU3138">
        <v>0</v>
      </c>
    </row>
    <row r="3139" spans="1:99" x14ac:dyDescent="0.2">
      <c r="A3139" t="s">
        <v>367</v>
      </c>
      <c r="B3139" t="s">
        <v>368</v>
      </c>
      <c r="C3139" t="s">
        <v>369</v>
      </c>
      <c r="D3139" t="s">
        <v>1195</v>
      </c>
      <c r="F3139" t="str">
        <f>"26019"</f>
        <v>26019</v>
      </c>
      <c r="G3139" t="s">
        <v>49</v>
      </c>
      <c r="H3139" t="s">
        <v>1214</v>
      </c>
      <c r="K3139" t="s">
        <v>51</v>
      </c>
      <c r="L3139" t="s">
        <v>52</v>
      </c>
      <c r="M3139">
        <v>137705.93</v>
      </c>
      <c r="N3139">
        <v>467726.26</v>
      </c>
      <c r="O3139" t="s">
        <v>53</v>
      </c>
      <c r="P3139" t="s">
        <v>54</v>
      </c>
      <c r="Q3139" t="s">
        <v>55</v>
      </c>
      <c r="T3139" t="s">
        <v>818</v>
      </c>
      <c r="U3139">
        <v>40</v>
      </c>
      <c r="V3139" s="1">
        <v>29951</v>
      </c>
      <c r="W3139" s="1">
        <v>29951</v>
      </c>
      <c r="X3139" s="1">
        <v>29951</v>
      </c>
      <c r="Y3139" s="1">
        <v>44561</v>
      </c>
      <c r="Z3139" t="s">
        <v>51</v>
      </c>
      <c r="AB3139" t="s">
        <v>54</v>
      </c>
      <c r="AC3139">
        <v>1</v>
      </c>
      <c r="AE3139" t="s">
        <v>827</v>
      </c>
      <c r="AF3139">
        <v>20</v>
      </c>
      <c r="AG3139" s="1">
        <v>31047</v>
      </c>
      <c r="AH3139" s="1">
        <v>31047</v>
      </c>
      <c r="AI3139" s="1">
        <v>31047</v>
      </c>
      <c r="AJ3139" s="1">
        <v>38352</v>
      </c>
      <c r="AK3139" t="s">
        <v>51</v>
      </c>
      <c r="AN3139">
        <v>0</v>
      </c>
      <c r="AO3139" t="s">
        <v>54</v>
      </c>
      <c r="AP3139" t="s">
        <v>53</v>
      </c>
      <c r="AQ3139">
        <v>0</v>
      </c>
      <c r="AR3139" t="s">
        <v>53</v>
      </c>
      <c r="AS3139">
        <v>0</v>
      </c>
      <c r="AT3139">
        <v>0</v>
      </c>
      <c r="CC3139" t="s">
        <v>850</v>
      </c>
      <c r="CD3139">
        <v>1</v>
      </c>
      <c r="CE3139" s="1">
        <v>42552</v>
      </c>
      <c r="CF3139" s="1">
        <v>42552</v>
      </c>
      <c r="CG3139" s="1">
        <v>42552</v>
      </c>
      <c r="CH3139" s="1">
        <v>49714</v>
      </c>
      <c r="CI3139" t="s">
        <v>51</v>
      </c>
      <c r="CK3139" t="s">
        <v>78</v>
      </c>
      <c r="CM3139" t="s">
        <v>54</v>
      </c>
      <c r="CN3139" t="s">
        <v>174</v>
      </c>
      <c r="CO3139" t="s">
        <v>86</v>
      </c>
      <c r="CR3139">
        <v>18</v>
      </c>
      <c r="CS3139">
        <v>0</v>
      </c>
      <c r="CT3139">
        <v>0</v>
      </c>
      <c r="CU3139">
        <v>0</v>
      </c>
    </row>
    <row r="3140" spans="1:99" x14ac:dyDescent="0.2">
      <c r="A3140" t="s">
        <v>367</v>
      </c>
      <c r="B3140" t="s">
        <v>368</v>
      </c>
      <c r="C3140" t="s">
        <v>369</v>
      </c>
      <c r="D3140" t="s">
        <v>1195</v>
      </c>
      <c r="F3140" t="str">
        <f>"26020"</f>
        <v>26020</v>
      </c>
      <c r="G3140" t="s">
        <v>49</v>
      </c>
      <c r="H3140" t="s">
        <v>1306</v>
      </c>
      <c r="K3140" t="s">
        <v>51</v>
      </c>
      <c r="L3140" t="s">
        <v>52</v>
      </c>
      <c r="M3140">
        <v>137712.79</v>
      </c>
      <c r="N3140">
        <v>467742.22</v>
      </c>
      <c r="O3140" t="s">
        <v>53</v>
      </c>
      <c r="P3140" t="s">
        <v>54</v>
      </c>
      <c r="Q3140" t="s">
        <v>55</v>
      </c>
      <c r="T3140" t="s">
        <v>818</v>
      </c>
      <c r="U3140">
        <v>40</v>
      </c>
      <c r="V3140" s="1">
        <v>29951</v>
      </c>
      <c r="W3140" s="1">
        <v>29951</v>
      </c>
      <c r="X3140" s="1">
        <v>29951</v>
      </c>
      <c r="Y3140" s="1">
        <v>44561</v>
      </c>
      <c r="Z3140" t="s">
        <v>51</v>
      </c>
      <c r="AB3140" t="s">
        <v>54</v>
      </c>
      <c r="AC3140">
        <v>1</v>
      </c>
      <c r="AE3140" t="s">
        <v>827</v>
      </c>
      <c r="AF3140">
        <v>20</v>
      </c>
      <c r="AG3140" s="1">
        <v>31047</v>
      </c>
      <c r="AH3140" s="1">
        <v>31047</v>
      </c>
      <c r="AI3140" s="1">
        <v>31047</v>
      </c>
      <c r="AJ3140" s="1">
        <v>38352</v>
      </c>
      <c r="AK3140" t="s">
        <v>51</v>
      </c>
      <c r="AN3140">
        <v>0</v>
      </c>
      <c r="AO3140" t="s">
        <v>54</v>
      </c>
      <c r="AP3140" t="s">
        <v>53</v>
      </c>
      <c r="AQ3140">
        <v>0</v>
      </c>
      <c r="AR3140" t="s">
        <v>53</v>
      </c>
      <c r="AS3140">
        <v>0</v>
      </c>
      <c r="AT3140">
        <v>0</v>
      </c>
      <c r="CC3140" t="s">
        <v>850</v>
      </c>
      <c r="CD3140">
        <v>1</v>
      </c>
      <c r="CE3140" s="1">
        <v>42552</v>
      </c>
      <c r="CF3140" s="1">
        <v>42552</v>
      </c>
      <c r="CG3140" s="1">
        <v>42552</v>
      </c>
      <c r="CH3140" s="1">
        <v>49714</v>
      </c>
      <c r="CI3140" t="s">
        <v>51</v>
      </c>
      <c r="CK3140" t="s">
        <v>78</v>
      </c>
      <c r="CM3140" t="s">
        <v>54</v>
      </c>
      <c r="CN3140" t="s">
        <v>174</v>
      </c>
      <c r="CO3140" t="s">
        <v>86</v>
      </c>
      <c r="CR3140">
        <v>18</v>
      </c>
      <c r="CS3140">
        <v>0</v>
      </c>
      <c r="CT3140">
        <v>0</v>
      </c>
      <c r="CU3140">
        <v>0</v>
      </c>
    </row>
    <row r="3141" spans="1:99" x14ac:dyDescent="0.2">
      <c r="A3141" t="s">
        <v>367</v>
      </c>
      <c r="B3141" t="s">
        <v>368</v>
      </c>
      <c r="C3141" t="s">
        <v>369</v>
      </c>
      <c r="D3141" t="s">
        <v>1195</v>
      </c>
      <c r="F3141" t="str">
        <f>"26021"</f>
        <v>26021</v>
      </c>
      <c r="G3141" t="s">
        <v>49</v>
      </c>
      <c r="H3141" t="s">
        <v>1313</v>
      </c>
      <c r="K3141" t="s">
        <v>51</v>
      </c>
      <c r="L3141" t="s">
        <v>52</v>
      </c>
      <c r="M3141">
        <v>137734.85999999999</v>
      </c>
      <c r="N3141">
        <v>467697.48</v>
      </c>
      <c r="O3141" t="s">
        <v>53</v>
      </c>
      <c r="P3141" t="s">
        <v>54</v>
      </c>
      <c r="Q3141" t="s">
        <v>55</v>
      </c>
      <c r="T3141" t="s">
        <v>818</v>
      </c>
      <c r="U3141">
        <v>40</v>
      </c>
      <c r="V3141" s="1">
        <v>29951</v>
      </c>
      <c r="W3141" s="1">
        <v>29951</v>
      </c>
      <c r="X3141" s="1">
        <v>29951</v>
      </c>
      <c r="Y3141" s="1">
        <v>44561</v>
      </c>
      <c r="Z3141" t="s">
        <v>51</v>
      </c>
      <c r="AB3141" t="s">
        <v>54</v>
      </c>
      <c r="AC3141">
        <v>1</v>
      </c>
      <c r="AE3141" t="s">
        <v>827</v>
      </c>
      <c r="AF3141">
        <v>20</v>
      </c>
      <c r="AG3141" s="1">
        <v>31047</v>
      </c>
      <c r="AH3141" s="1">
        <v>31047</v>
      </c>
      <c r="AI3141" s="1">
        <v>31047</v>
      </c>
      <c r="AJ3141" s="1">
        <v>38352</v>
      </c>
      <c r="AK3141" t="s">
        <v>51</v>
      </c>
      <c r="AN3141">
        <v>0</v>
      </c>
      <c r="AO3141" t="s">
        <v>54</v>
      </c>
      <c r="AP3141" t="s">
        <v>53</v>
      </c>
      <c r="AQ3141">
        <v>0</v>
      </c>
      <c r="AR3141" t="s">
        <v>53</v>
      </c>
      <c r="AS3141">
        <v>0</v>
      </c>
      <c r="AT3141">
        <v>0</v>
      </c>
      <c r="CC3141" t="s">
        <v>850</v>
      </c>
      <c r="CD3141">
        <v>1</v>
      </c>
      <c r="CE3141" s="1">
        <v>42552</v>
      </c>
      <c r="CF3141" s="1">
        <v>42552</v>
      </c>
      <c r="CG3141" s="1">
        <v>42552</v>
      </c>
      <c r="CH3141" s="1">
        <v>49714</v>
      </c>
      <c r="CI3141" t="s">
        <v>51</v>
      </c>
      <c r="CK3141" t="s">
        <v>78</v>
      </c>
      <c r="CM3141" t="s">
        <v>54</v>
      </c>
      <c r="CN3141" t="s">
        <v>174</v>
      </c>
      <c r="CO3141" t="s">
        <v>86</v>
      </c>
      <c r="CR3141">
        <v>18</v>
      </c>
      <c r="CS3141">
        <v>0</v>
      </c>
      <c r="CT3141">
        <v>0</v>
      </c>
      <c r="CU3141">
        <v>0</v>
      </c>
    </row>
    <row r="3142" spans="1:99" x14ac:dyDescent="0.2">
      <c r="A3142" t="s">
        <v>367</v>
      </c>
      <c r="B3142" t="s">
        <v>368</v>
      </c>
      <c r="C3142" t="s">
        <v>369</v>
      </c>
      <c r="D3142" t="s">
        <v>1195</v>
      </c>
      <c r="F3142" t="str">
        <f>"26022"</f>
        <v>26022</v>
      </c>
      <c r="G3142" t="s">
        <v>49</v>
      </c>
      <c r="H3142" t="s">
        <v>1314</v>
      </c>
      <c r="K3142" t="s">
        <v>51</v>
      </c>
      <c r="L3142" t="s">
        <v>52</v>
      </c>
      <c r="M3142">
        <v>137750.99</v>
      </c>
      <c r="N3142">
        <v>467691.81</v>
      </c>
      <c r="O3142" t="s">
        <v>53</v>
      </c>
      <c r="P3142" t="s">
        <v>54</v>
      </c>
      <c r="Q3142" t="s">
        <v>55</v>
      </c>
      <c r="T3142" t="s">
        <v>818</v>
      </c>
      <c r="U3142">
        <v>40</v>
      </c>
      <c r="V3142" s="1">
        <v>29951</v>
      </c>
      <c r="W3142" s="1">
        <v>29951</v>
      </c>
      <c r="X3142" s="1">
        <v>29951</v>
      </c>
      <c r="Y3142" s="1">
        <v>44561</v>
      </c>
      <c r="Z3142" t="s">
        <v>51</v>
      </c>
      <c r="AB3142" t="s">
        <v>54</v>
      </c>
      <c r="AC3142">
        <v>1</v>
      </c>
      <c r="AE3142" t="s">
        <v>827</v>
      </c>
      <c r="AF3142">
        <v>20</v>
      </c>
      <c r="AG3142" s="1">
        <v>31047</v>
      </c>
      <c r="AH3142" s="1">
        <v>31047</v>
      </c>
      <c r="AI3142" s="1">
        <v>31047</v>
      </c>
      <c r="AJ3142" s="1">
        <v>38352</v>
      </c>
      <c r="AK3142" t="s">
        <v>51</v>
      </c>
      <c r="AN3142">
        <v>0</v>
      </c>
      <c r="AO3142" t="s">
        <v>54</v>
      </c>
      <c r="AP3142" t="s">
        <v>53</v>
      </c>
      <c r="AQ3142">
        <v>0</v>
      </c>
      <c r="AR3142" t="s">
        <v>53</v>
      </c>
      <c r="AS3142">
        <v>0</v>
      </c>
      <c r="AT3142">
        <v>0</v>
      </c>
      <c r="CC3142" t="s">
        <v>850</v>
      </c>
      <c r="CD3142">
        <v>1</v>
      </c>
      <c r="CE3142" s="1">
        <v>42552</v>
      </c>
      <c r="CF3142" s="1">
        <v>42552</v>
      </c>
      <c r="CG3142" s="1">
        <v>42552</v>
      </c>
      <c r="CH3142" s="1">
        <v>42552</v>
      </c>
      <c r="CI3142" t="s">
        <v>51</v>
      </c>
      <c r="CK3142" t="s">
        <v>78</v>
      </c>
      <c r="CM3142" t="s">
        <v>54</v>
      </c>
      <c r="CN3142" t="s">
        <v>174</v>
      </c>
      <c r="CO3142" t="s">
        <v>86</v>
      </c>
      <c r="CR3142">
        <v>18</v>
      </c>
      <c r="CS3142">
        <v>0</v>
      </c>
      <c r="CT3142">
        <v>0</v>
      </c>
      <c r="CU3142">
        <v>0</v>
      </c>
    </row>
    <row r="3143" spans="1:99" x14ac:dyDescent="0.2">
      <c r="A3143" t="s">
        <v>367</v>
      </c>
      <c r="B3143" t="s">
        <v>368</v>
      </c>
      <c r="C3143" t="s">
        <v>369</v>
      </c>
      <c r="D3143" t="s">
        <v>1315</v>
      </c>
      <c r="F3143" t="str">
        <f>"26023"</f>
        <v>26023</v>
      </c>
      <c r="G3143" t="s">
        <v>49</v>
      </c>
      <c r="H3143" t="s">
        <v>1316</v>
      </c>
      <c r="K3143" t="s">
        <v>51</v>
      </c>
      <c r="L3143" t="s">
        <v>52</v>
      </c>
      <c r="M3143">
        <v>137759.29</v>
      </c>
      <c r="N3143">
        <v>467681.35</v>
      </c>
      <c r="O3143" t="s">
        <v>53</v>
      </c>
      <c r="P3143" t="s">
        <v>54</v>
      </c>
      <c r="Q3143" t="s">
        <v>55</v>
      </c>
      <c r="T3143" t="s">
        <v>818</v>
      </c>
      <c r="U3143">
        <v>40</v>
      </c>
      <c r="V3143" s="1">
        <v>29586</v>
      </c>
      <c r="W3143" s="1">
        <v>29586</v>
      </c>
      <c r="X3143" s="1">
        <v>29586</v>
      </c>
      <c r="Y3143" s="1">
        <v>44196</v>
      </c>
      <c r="Z3143" t="s">
        <v>51</v>
      </c>
      <c r="AB3143" t="s">
        <v>54</v>
      </c>
      <c r="AC3143">
        <v>1</v>
      </c>
      <c r="AE3143" t="s">
        <v>827</v>
      </c>
      <c r="AF3143">
        <v>20</v>
      </c>
      <c r="AG3143" s="1">
        <v>31047</v>
      </c>
      <c r="AH3143" s="1">
        <v>31047</v>
      </c>
      <c r="AI3143" s="1">
        <v>31047</v>
      </c>
      <c r="AJ3143" s="1">
        <v>38352</v>
      </c>
      <c r="AK3143" t="s">
        <v>51</v>
      </c>
      <c r="AN3143">
        <v>0</v>
      </c>
      <c r="AO3143" t="s">
        <v>54</v>
      </c>
      <c r="AP3143" t="s">
        <v>53</v>
      </c>
      <c r="AQ3143">
        <v>0</v>
      </c>
      <c r="AR3143" t="s">
        <v>53</v>
      </c>
      <c r="AS3143">
        <v>0</v>
      </c>
      <c r="AT3143">
        <v>0</v>
      </c>
      <c r="CC3143" t="s">
        <v>850</v>
      </c>
      <c r="CD3143">
        <v>1</v>
      </c>
      <c r="CE3143" s="1">
        <v>42552</v>
      </c>
      <c r="CF3143" s="1">
        <v>42552</v>
      </c>
      <c r="CG3143" s="1">
        <v>42552</v>
      </c>
      <c r="CH3143" s="1">
        <v>49714</v>
      </c>
      <c r="CI3143" t="s">
        <v>51</v>
      </c>
      <c r="CK3143" t="s">
        <v>78</v>
      </c>
      <c r="CM3143" t="s">
        <v>54</v>
      </c>
      <c r="CN3143" t="s">
        <v>174</v>
      </c>
      <c r="CO3143" t="s">
        <v>86</v>
      </c>
      <c r="CR3143">
        <v>18</v>
      </c>
      <c r="CS3143">
        <v>0</v>
      </c>
      <c r="CT3143">
        <v>0</v>
      </c>
      <c r="CU3143">
        <v>0</v>
      </c>
    </row>
    <row r="3144" spans="1:99" x14ac:dyDescent="0.2">
      <c r="A3144" t="s">
        <v>367</v>
      </c>
      <c r="B3144" t="s">
        <v>368</v>
      </c>
      <c r="C3144" t="s">
        <v>369</v>
      </c>
      <c r="D3144" t="s">
        <v>1315</v>
      </c>
      <c r="F3144" t="str">
        <f>"26024"</f>
        <v>26024</v>
      </c>
      <c r="G3144" t="s">
        <v>49</v>
      </c>
      <c r="H3144" t="s">
        <v>1317</v>
      </c>
      <c r="K3144" t="s">
        <v>51</v>
      </c>
      <c r="L3144" t="s">
        <v>52</v>
      </c>
      <c r="M3144">
        <v>137769.74</v>
      </c>
      <c r="N3144">
        <v>467696.34</v>
      </c>
      <c r="O3144" t="s">
        <v>53</v>
      </c>
      <c r="P3144" t="s">
        <v>54</v>
      </c>
      <c r="Q3144" t="s">
        <v>55</v>
      </c>
      <c r="T3144" t="s">
        <v>818</v>
      </c>
      <c r="U3144">
        <v>40</v>
      </c>
      <c r="V3144" s="1">
        <v>28125</v>
      </c>
      <c r="W3144" s="1">
        <v>28125</v>
      </c>
      <c r="X3144" s="1">
        <v>28125</v>
      </c>
      <c r="Y3144" s="1">
        <v>42735</v>
      </c>
      <c r="Z3144" t="s">
        <v>51</v>
      </c>
      <c r="AB3144" t="s">
        <v>54</v>
      </c>
      <c r="AC3144">
        <v>1</v>
      </c>
      <c r="AE3144" t="s">
        <v>827</v>
      </c>
      <c r="AF3144">
        <v>20</v>
      </c>
      <c r="AG3144" s="1">
        <v>31047</v>
      </c>
      <c r="AH3144" s="1">
        <v>31047</v>
      </c>
      <c r="AI3144" s="1">
        <v>31047</v>
      </c>
      <c r="AJ3144" s="1">
        <v>38352</v>
      </c>
      <c r="AK3144" t="s">
        <v>51</v>
      </c>
      <c r="AN3144">
        <v>0</v>
      </c>
      <c r="AO3144" t="s">
        <v>54</v>
      </c>
      <c r="AP3144" t="s">
        <v>53</v>
      </c>
      <c r="AQ3144">
        <v>0</v>
      </c>
      <c r="AR3144" t="s">
        <v>53</v>
      </c>
      <c r="AS3144">
        <v>0</v>
      </c>
      <c r="AT3144">
        <v>0</v>
      </c>
      <c r="CC3144" t="s">
        <v>850</v>
      </c>
      <c r="CD3144">
        <v>1</v>
      </c>
      <c r="CE3144" s="1">
        <v>42552</v>
      </c>
      <c r="CF3144" s="1">
        <v>42552</v>
      </c>
      <c r="CG3144" s="1">
        <v>42552</v>
      </c>
      <c r="CH3144" s="1">
        <v>49714</v>
      </c>
      <c r="CI3144" t="s">
        <v>51</v>
      </c>
      <c r="CK3144" t="s">
        <v>78</v>
      </c>
      <c r="CM3144" t="s">
        <v>54</v>
      </c>
      <c r="CN3144" t="s">
        <v>174</v>
      </c>
      <c r="CO3144" t="s">
        <v>86</v>
      </c>
      <c r="CR3144">
        <v>18</v>
      </c>
      <c r="CS3144">
        <v>0</v>
      </c>
      <c r="CT3144">
        <v>0</v>
      </c>
      <c r="CU3144">
        <v>0</v>
      </c>
    </row>
    <row r="3145" spans="1:99" x14ac:dyDescent="0.2">
      <c r="A3145" t="s">
        <v>367</v>
      </c>
      <c r="B3145" t="s">
        <v>368</v>
      </c>
      <c r="C3145" t="s">
        <v>369</v>
      </c>
      <c r="D3145" t="s">
        <v>1315</v>
      </c>
      <c r="F3145" t="str">
        <f>"26025"</f>
        <v>26025</v>
      </c>
      <c r="G3145" t="s">
        <v>49</v>
      </c>
      <c r="H3145" t="s">
        <v>870</v>
      </c>
      <c r="K3145" t="s">
        <v>51</v>
      </c>
      <c r="L3145" t="s">
        <v>52</v>
      </c>
      <c r="M3145">
        <v>137769.60000000001</v>
      </c>
      <c r="N3145">
        <v>467713.67</v>
      </c>
      <c r="O3145" t="s">
        <v>53</v>
      </c>
      <c r="P3145" t="s">
        <v>54</v>
      </c>
      <c r="Q3145" t="s">
        <v>55</v>
      </c>
      <c r="T3145" t="s">
        <v>818</v>
      </c>
      <c r="U3145">
        <v>40</v>
      </c>
      <c r="V3145" s="1">
        <v>28125</v>
      </c>
      <c r="W3145" s="1">
        <v>28125</v>
      </c>
      <c r="X3145" s="1">
        <v>28125</v>
      </c>
      <c r="Y3145" s="1">
        <v>42735</v>
      </c>
      <c r="Z3145" t="s">
        <v>51</v>
      </c>
      <c r="AB3145" t="s">
        <v>54</v>
      </c>
      <c r="AC3145">
        <v>1</v>
      </c>
      <c r="AE3145" t="s">
        <v>552</v>
      </c>
      <c r="AF3145">
        <v>20</v>
      </c>
      <c r="AG3145" s="1">
        <v>44159</v>
      </c>
      <c r="AH3145" s="1">
        <v>44159</v>
      </c>
      <c r="AI3145" s="1">
        <v>44159</v>
      </c>
      <c r="AJ3145" s="1">
        <v>51464</v>
      </c>
      <c r="AK3145" t="s">
        <v>51</v>
      </c>
      <c r="AN3145">
        <v>0</v>
      </c>
      <c r="AO3145" t="s">
        <v>54</v>
      </c>
      <c r="AP3145" t="s">
        <v>53</v>
      </c>
      <c r="AQ3145">
        <v>0</v>
      </c>
      <c r="AR3145" t="s">
        <v>145</v>
      </c>
      <c r="AS3145">
        <v>0</v>
      </c>
      <c r="AT3145">
        <v>0</v>
      </c>
      <c r="CC3145" t="s">
        <v>850</v>
      </c>
      <c r="CD3145">
        <v>1</v>
      </c>
      <c r="CE3145" s="1">
        <v>42552</v>
      </c>
      <c r="CF3145" s="1">
        <v>42552</v>
      </c>
      <c r="CG3145" s="1">
        <v>44159</v>
      </c>
      <c r="CH3145" s="1">
        <v>49714</v>
      </c>
      <c r="CI3145" t="s">
        <v>51</v>
      </c>
      <c r="CK3145" t="s">
        <v>78</v>
      </c>
      <c r="CM3145" t="s">
        <v>54</v>
      </c>
      <c r="CN3145" t="s">
        <v>174</v>
      </c>
      <c r="CO3145" t="s">
        <v>86</v>
      </c>
      <c r="CR3145">
        <v>18</v>
      </c>
      <c r="CS3145">
        <v>0</v>
      </c>
      <c r="CT3145">
        <v>0</v>
      </c>
      <c r="CU3145">
        <v>0</v>
      </c>
    </row>
    <row r="3146" spans="1:99" x14ac:dyDescent="0.2">
      <c r="A3146" t="s">
        <v>367</v>
      </c>
      <c r="B3146" t="s">
        <v>368</v>
      </c>
      <c r="C3146" t="s">
        <v>369</v>
      </c>
      <c r="D3146" t="s">
        <v>1315</v>
      </c>
      <c r="F3146" t="str">
        <f>"26026"</f>
        <v>26026</v>
      </c>
      <c r="G3146" t="s">
        <v>49</v>
      </c>
      <c r="H3146" t="s">
        <v>863</v>
      </c>
      <c r="K3146" t="s">
        <v>51</v>
      </c>
      <c r="L3146" t="s">
        <v>52</v>
      </c>
      <c r="M3146">
        <v>137774.43</v>
      </c>
      <c r="N3146">
        <v>467731.5</v>
      </c>
      <c r="O3146" t="s">
        <v>53</v>
      </c>
      <c r="P3146" t="s">
        <v>54</v>
      </c>
      <c r="Q3146" t="s">
        <v>55</v>
      </c>
      <c r="T3146" t="s">
        <v>818</v>
      </c>
      <c r="U3146">
        <v>40</v>
      </c>
      <c r="V3146" s="1">
        <v>28125</v>
      </c>
      <c r="W3146" s="1">
        <v>28125</v>
      </c>
      <c r="X3146" s="1">
        <v>28125</v>
      </c>
      <c r="Y3146" s="1">
        <v>42735</v>
      </c>
      <c r="Z3146" t="s">
        <v>51</v>
      </c>
      <c r="AB3146" t="s">
        <v>54</v>
      </c>
      <c r="AC3146">
        <v>1</v>
      </c>
      <c r="AE3146" t="s">
        <v>827</v>
      </c>
      <c r="AF3146">
        <v>20</v>
      </c>
      <c r="AG3146" s="1">
        <v>31047</v>
      </c>
      <c r="AH3146" s="1">
        <v>31047</v>
      </c>
      <c r="AI3146" s="1">
        <v>31047</v>
      </c>
      <c r="AJ3146" s="1">
        <v>38352</v>
      </c>
      <c r="AK3146" t="s">
        <v>51</v>
      </c>
      <c r="AN3146">
        <v>0</v>
      </c>
      <c r="AO3146" t="s">
        <v>54</v>
      </c>
      <c r="AP3146" t="s">
        <v>53</v>
      </c>
      <c r="AQ3146">
        <v>0</v>
      </c>
      <c r="AR3146" t="s">
        <v>53</v>
      </c>
      <c r="AS3146">
        <v>0</v>
      </c>
      <c r="AT3146">
        <v>0</v>
      </c>
      <c r="CC3146" t="s">
        <v>850</v>
      </c>
      <c r="CD3146">
        <v>1</v>
      </c>
      <c r="CE3146" s="1">
        <v>42552</v>
      </c>
      <c r="CF3146" s="1">
        <v>42552</v>
      </c>
      <c r="CG3146" s="1">
        <v>42552</v>
      </c>
      <c r="CH3146" s="1">
        <v>49714</v>
      </c>
      <c r="CI3146" t="s">
        <v>51</v>
      </c>
      <c r="CK3146" t="s">
        <v>78</v>
      </c>
      <c r="CM3146" t="s">
        <v>54</v>
      </c>
      <c r="CN3146" t="s">
        <v>174</v>
      </c>
      <c r="CO3146" t="s">
        <v>86</v>
      </c>
      <c r="CR3146">
        <v>18</v>
      </c>
      <c r="CS3146">
        <v>0</v>
      </c>
      <c r="CT3146">
        <v>0</v>
      </c>
      <c r="CU3146">
        <v>0</v>
      </c>
    </row>
    <row r="3147" spans="1:99" x14ac:dyDescent="0.2">
      <c r="A3147" t="s">
        <v>367</v>
      </c>
      <c r="B3147" t="s">
        <v>368</v>
      </c>
      <c r="C3147" t="s">
        <v>369</v>
      </c>
      <c r="D3147" t="s">
        <v>1315</v>
      </c>
      <c r="F3147" t="str">
        <f>"26027"</f>
        <v>26027</v>
      </c>
      <c r="G3147" t="s">
        <v>49</v>
      </c>
      <c r="H3147" t="s">
        <v>1318</v>
      </c>
      <c r="K3147" t="s">
        <v>51</v>
      </c>
      <c r="L3147" t="s">
        <v>52</v>
      </c>
      <c r="M3147">
        <v>137791.93</v>
      </c>
      <c r="N3147">
        <v>467746.2</v>
      </c>
      <c r="O3147" t="s">
        <v>53</v>
      </c>
      <c r="P3147" t="s">
        <v>54</v>
      </c>
      <c r="Q3147" t="s">
        <v>55</v>
      </c>
      <c r="T3147" t="s">
        <v>818</v>
      </c>
      <c r="U3147">
        <v>40</v>
      </c>
      <c r="V3147" s="1">
        <v>28125</v>
      </c>
      <c r="W3147" s="1">
        <v>28125</v>
      </c>
      <c r="X3147" s="1">
        <v>28125</v>
      </c>
      <c r="Y3147" s="1">
        <v>42735</v>
      </c>
      <c r="Z3147" t="s">
        <v>51</v>
      </c>
      <c r="AB3147" t="s">
        <v>54</v>
      </c>
      <c r="AC3147">
        <v>1</v>
      </c>
      <c r="AE3147" t="s">
        <v>827</v>
      </c>
      <c r="AF3147">
        <v>20</v>
      </c>
      <c r="AG3147" s="1">
        <v>31047</v>
      </c>
      <c r="AH3147" s="1">
        <v>31047</v>
      </c>
      <c r="AI3147" s="1">
        <v>31047</v>
      </c>
      <c r="AJ3147" s="1">
        <v>38352</v>
      </c>
      <c r="AK3147" t="s">
        <v>51</v>
      </c>
      <c r="AN3147">
        <v>0</v>
      </c>
      <c r="AO3147" t="s">
        <v>54</v>
      </c>
      <c r="AP3147" t="s">
        <v>53</v>
      </c>
      <c r="AQ3147">
        <v>0</v>
      </c>
      <c r="AR3147" t="s">
        <v>53</v>
      </c>
      <c r="AS3147">
        <v>0</v>
      </c>
      <c r="AT3147">
        <v>0</v>
      </c>
      <c r="CC3147" t="s">
        <v>850</v>
      </c>
      <c r="CD3147">
        <v>1</v>
      </c>
      <c r="CE3147" s="1">
        <v>42552</v>
      </c>
      <c r="CF3147" s="1">
        <v>42552</v>
      </c>
      <c r="CG3147" s="1">
        <v>42552</v>
      </c>
      <c r="CH3147" s="1">
        <v>49714</v>
      </c>
      <c r="CI3147" t="s">
        <v>51</v>
      </c>
      <c r="CK3147" t="s">
        <v>78</v>
      </c>
      <c r="CM3147" t="s">
        <v>54</v>
      </c>
      <c r="CN3147" t="s">
        <v>174</v>
      </c>
      <c r="CO3147" t="s">
        <v>86</v>
      </c>
      <c r="CR3147">
        <v>18</v>
      </c>
      <c r="CS3147">
        <v>0</v>
      </c>
      <c r="CT3147">
        <v>0</v>
      </c>
      <c r="CU3147">
        <v>0</v>
      </c>
    </row>
    <row r="3148" spans="1:99" x14ac:dyDescent="0.2">
      <c r="A3148" t="s">
        <v>367</v>
      </c>
      <c r="B3148" t="s">
        <v>368</v>
      </c>
      <c r="C3148" t="s">
        <v>369</v>
      </c>
      <c r="D3148" t="s">
        <v>1315</v>
      </c>
      <c r="F3148" t="str">
        <f>"26028"</f>
        <v>26028</v>
      </c>
      <c r="G3148" t="s">
        <v>49</v>
      </c>
      <c r="H3148" t="s">
        <v>1319</v>
      </c>
      <c r="K3148" t="s">
        <v>51</v>
      </c>
      <c r="L3148" t="s">
        <v>52</v>
      </c>
      <c r="M3148">
        <v>137777.93</v>
      </c>
      <c r="N3148">
        <v>467802.62</v>
      </c>
      <c r="O3148" t="s">
        <v>53</v>
      </c>
      <c r="P3148" t="s">
        <v>54</v>
      </c>
      <c r="Q3148" t="s">
        <v>55</v>
      </c>
      <c r="T3148" t="s">
        <v>818</v>
      </c>
      <c r="U3148">
        <v>40</v>
      </c>
      <c r="V3148" s="1">
        <v>28125</v>
      </c>
      <c r="W3148" s="1">
        <v>28125</v>
      </c>
      <c r="X3148" s="1">
        <v>28125</v>
      </c>
      <c r="Y3148" s="1">
        <v>42735</v>
      </c>
      <c r="Z3148" t="s">
        <v>51</v>
      </c>
      <c r="AB3148" t="s">
        <v>54</v>
      </c>
      <c r="AC3148">
        <v>1</v>
      </c>
      <c r="AE3148" t="s">
        <v>827</v>
      </c>
      <c r="AF3148">
        <v>20</v>
      </c>
      <c r="AG3148" s="1">
        <v>31047</v>
      </c>
      <c r="AH3148" s="1">
        <v>31047</v>
      </c>
      <c r="AI3148" s="1">
        <v>31047</v>
      </c>
      <c r="AJ3148" s="1">
        <v>38352</v>
      </c>
      <c r="AK3148" t="s">
        <v>51</v>
      </c>
      <c r="AN3148">
        <v>0</v>
      </c>
      <c r="AO3148" t="s">
        <v>54</v>
      </c>
      <c r="AP3148" t="s">
        <v>53</v>
      </c>
      <c r="AQ3148">
        <v>0</v>
      </c>
      <c r="AR3148" t="s">
        <v>53</v>
      </c>
      <c r="AS3148">
        <v>0</v>
      </c>
      <c r="AT3148">
        <v>0</v>
      </c>
      <c r="AW3148" t="s">
        <v>58</v>
      </c>
      <c r="AX3148">
        <v>20</v>
      </c>
      <c r="AY3148" s="1">
        <v>31047</v>
      </c>
      <c r="AZ3148" s="1">
        <v>31047</v>
      </c>
      <c r="BA3148" s="1">
        <v>31047</v>
      </c>
      <c r="BB3148" s="1">
        <v>38352</v>
      </c>
      <c r="BC3148" t="s">
        <v>51</v>
      </c>
      <c r="BE3148" t="s">
        <v>54</v>
      </c>
      <c r="BF3148">
        <v>2</v>
      </c>
      <c r="BG3148">
        <v>0</v>
      </c>
      <c r="BH3148" t="s">
        <v>53</v>
      </c>
      <c r="BK3148" t="s">
        <v>720</v>
      </c>
      <c r="BL3148">
        <v>17000</v>
      </c>
      <c r="BM3148" s="1">
        <v>44480</v>
      </c>
      <c r="BN3148" s="1">
        <v>44480</v>
      </c>
      <c r="BO3148" s="1">
        <v>44480</v>
      </c>
      <c r="BP3148" s="1">
        <v>45917</v>
      </c>
      <c r="BQ3148" t="s">
        <v>51</v>
      </c>
      <c r="BS3148" t="s">
        <v>60</v>
      </c>
      <c r="BT3148" t="s">
        <v>54</v>
      </c>
      <c r="BU3148" t="s">
        <v>721</v>
      </c>
      <c r="BV3148" t="s">
        <v>722</v>
      </c>
      <c r="BX3148">
        <v>18</v>
      </c>
      <c r="BY3148">
        <v>0</v>
      </c>
      <c r="BZ3148">
        <v>0</v>
      </c>
    </row>
    <row r="3149" spans="1:99" x14ac:dyDescent="0.2">
      <c r="A3149" t="s">
        <v>367</v>
      </c>
      <c r="B3149" t="s">
        <v>368</v>
      </c>
      <c r="C3149" t="s">
        <v>369</v>
      </c>
      <c r="D3149" t="s">
        <v>1315</v>
      </c>
      <c r="F3149" t="str">
        <f>"26030"</f>
        <v>26030</v>
      </c>
      <c r="G3149" t="s">
        <v>49</v>
      </c>
      <c r="H3149" t="s">
        <v>1256</v>
      </c>
      <c r="K3149" t="s">
        <v>51</v>
      </c>
      <c r="L3149" t="s">
        <v>52</v>
      </c>
      <c r="M3149">
        <v>137791.38</v>
      </c>
      <c r="N3149">
        <v>467768.18</v>
      </c>
      <c r="O3149" t="s">
        <v>53</v>
      </c>
      <c r="P3149" t="s">
        <v>54</v>
      </c>
      <c r="Q3149" t="s">
        <v>55</v>
      </c>
      <c r="T3149" t="s">
        <v>818</v>
      </c>
      <c r="U3149">
        <v>40</v>
      </c>
      <c r="V3149" s="1">
        <v>28125</v>
      </c>
      <c r="W3149" s="1">
        <v>28125</v>
      </c>
      <c r="X3149" s="1">
        <v>28125</v>
      </c>
      <c r="Y3149" s="1">
        <v>42735</v>
      </c>
      <c r="Z3149" t="s">
        <v>51</v>
      </c>
      <c r="AB3149" t="s">
        <v>54</v>
      </c>
      <c r="AC3149">
        <v>1</v>
      </c>
      <c r="AE3149" t="s">
        <v>827</v>
      </c>
      <c r="AF3149">
        <v>20</v>
      </c>
      <c r="AG3149" s="1">
        <v>31047</v>
      </c>
      <c r="AH3149" s="1">
        <v>31047</v>
      </c>
      <c r="AI3149" s="1">
        <v>31047</v>
      </c>
      <c r="AJ3149" s="1">
        <v>38352</v>
      </c>
      <c r="AK3149" t="s">
        <v>51</v>
      </c>
      <c r="AN3149">
        <v>0</v>
      </c>
      <c r="AO3149" t="s">
        <v>54</v>
      </c>
      <c r="AP3149" t="s">
        <v>53</v>
      </c>
      <c r="AQ3149">
        <v>0</v>
      </c>
      <c r="AR3149" t="s">
        <v>53</v>
      </c>
      <c r="AS3149">
        <v>0</v>
      </c>
      <c r="AT3149">
        <v>0</v>
      </c>
      <c r="AW3149" t="s">
        <v>58</v>
      </c>
      <c r="AX3149">
        <v>20</v>
      </c>
      <c r="AY3149" s="1">
        <v>31047</v>
      </c>
      <c r="AZ3149" s="1">
        <v>31047</v>
      </c>
      <c r="BA3149" s="1">
        <v>31047</v>
      </c>
      <c r="BB3149" s="1">
        <v>38352</v>
      </c>
      <c r="BC3149" t="s">
        <v>51</v>
      </c>
      <c r="BE3149" t="s">
        <v>54</v>
      </c>
      <c r="BF3149">
        <v>2</v>
      </c>
      <c r="BG3149">
        <v>0</v>
      </c>
      <c r="BH3149" t="s">
        <v>53</v>
      </c>
      <c r="BK3149" t="s">
        <v>720</v>
      </c>
      <c r="BL3149">
        <v>17000</v>
      </c>
      <c r="BM3149" s="1">
        <v>43781</v>
      </c>
      <c r="BN3149" s="1">
        <v>43781</v>
      </c>
      <c r="BO3149" s="1">
        <v>43781</v>
      </c>
      <c r="BP3149" s="1">
        <v>45222</v>
      </c>
      <c r="BQ3149" t="s">
        <v>51</v>
      </c>
      <c r="BS3149" t="s">
        <v>60</v>
      </c>
      <c r="BT3149" t="s">
        <v>54</v>
      </c>
      <c r="BU3149" t="s">
        <v>721</v>
      </c>
      <c r="BV3149" t="s">
        <v>722</v>
      </c>
      <c r="BX3149">
        <v>18</v>
      </c>
      <c r="BY3149">
        <v>0</v>
      </c>
      <c r="BZ3149">
        <v>0</v>
      </c>
    </row>
    <row r="3150" spans="1:99" x14ac:dyDescent="0.2">
      <c r="A3150" t="s">
        <v>367</v>
      </c>
      <c r="B3150" t="s">
        <v>368</v>
      </c>
      <c r="C3150" t="s">
        <v>369</v>
      </c>
      <c r="D3150" t="s">
        <v>1315</v>
      </c>
      <c r="F3150" t="str">
        <f>"26032"</f>
        <v>26032</v>
      </c>
      <c r="G3150" t="s">
        <v>49</v>
      </c>
      <c r="H3150" t="s">
        <v>1304</v>
      </c>
      <c r="K3150" t="s">
        <v>51</v>
      </c>
      <c r="L3150" t="s">
        <v>52</v>
      </c>
      <c r="M3150">
        <v>137809.82</v>
      </c>
      <c r="N3150">
        <v>467763.41</v>
      </c>
      <c r="O3150" t="s">
        <v>53</v>
      </c>
      <c r="P3150" t="s">
        <v>54</v>
      </c>
      <c r="Q3150" t="s">
        <v>55</v>
      </c>
      <c r="T3150" t="s">
        <v>818</v>
      </c>
      <c r="U3150">
        <v>40</v>
      </c>
      <c r="V3150" s="1">
        <v>28125</v>
      </c>
      <c r="W3150" s="1">
        <v>28125</v>
      </c>
      <c r="X3150" s="1">
        <v>28125</v>
      </c>
      <c r="Y3150" s="1">
        <v>42735</v>
      </c>
      <c r="Z3150" t="s">
        <v>51</v>
      </c>
      <c r="AB3150" t="s">
        <v>54</v>
      </c>
      <c r="AC3150">
        <v>1</v>
      </c>
      <c r="AE3150" t="s">
        <v>827</v>
      </c>
      <c r="AF3150">
        <v>20</v>
      </c>
      <c r="AG3150" s="1">
        <v>31047</v>
      </c>
      <c r="AH3150" s="1">
        <v>31047</v>
      </c>
      <c r="AI3150" s="1">
        <v>31047</v>
      </c>
      <c r="AJ3150" s="1">
        <v>38352</v>
      </c>
      <c r="AK3150" t="s">
        <v>51</v>
      </c>
      <c r="AN3150">
        <v>0</v>
      </c>
      <c r="AO3150" t="s">
        <v>54</v>
      </c>
      <c r="AP3150" t="s">
        <v>53</v>
      </c>
      <c r="AQ3150">
        <v>0</v>
      </c>
      <c r="AR3150" t="s">
        <v>53</v>
      </c>
      <c r="AS3150">
        <v>0</v>
      </c>
      <c r="AT3150">
        <v>0</v>
      </c>
      <c r="AW3150" t="s">
        <v>58</v>
      </c>
      <c r="AX3150">
        <v>20</v>
      </c>
      <c r="AY3150" s="1">
        <v>31047</v>
      </c>
      <c r="AZ3150" s="1">
        <v>31047</v>
      </c>
      <c r="BA3150" s="1">
        <v>31047</v>
      </c>
      <c r="BB3150" s="1">
        <v>38352</v>
      </c>
      <c r="BC3150" t="s">
        <v>51</v>
      </c>
      <c r="BE3150" t="s">
        <v>54</v>
      </c>
      <c r="BF3150">
        <v>2</v>
      </c>
      <c r="BG3150">
        <v>0</v>
      </c>
      <c r="BH3150" t="s">
        <v>53</v>
      </c>
      <c r="BK3150" t="s">
        <v>720</v>
      </c>
      <c r="BL3150">
        <v>17000</v>
      </c>
      <c r="BM3150" s="1">
        <v>44816</v>
      </c>
      <c r="BN3150" s="1">
        <v>44816</v>
      </c>
      <c r="BO3150" s="1">
        <v>44816</v>
      </c>
      <c r="BP3150" s="1">
        <v>46248</v>
      </c>
      <c r="BQ3150" t="s">
        <v>51</v>
      </c>
      <c r="BS3150" t="s">
        <v>60</v>
      </c>
      <c r="BT3150" t="s">
        <v>54</v>
      </c>
      <c r="BU3150" t="s">
        <v>721</v>
      </c>
      <c r="BV3150" t="s">
        <v>722</v>
      </c>
      <c r="BX3150">
        <v>18</v>
      </c>
      <c r="BY3150">
        <v>0</v>
      </c>
      <c r="BZ3150">
        <v>0</v>
      </c>
    </row>
    <row r="3151" spans="1:99" x14ac:dyDescent="0.2">
      <c r="A3151" t="s">
        <v>367</v>
      </c>
      <c r="B3151" t="s">
        <v>368</v>
      </c>
      <c r="C3151" t="s">
        <v>369</v>
      </c>
      <c r="D3151" t="s">
        <v>1315</v>
      </c>
      <c r="F3151" t="str">
        <f>"26033"</f>
        <v>26033</v>
      </c>
      <c r="G3151" t="s">
        <v>49</v>
      </c>
      <c r="H3151" t="s">
        <v>1303</v>
      </c>
      <c r="K3151" t="s">
        <v>51</v>
      </c>
      <c r="L3151" t="s">
        <v>52</v>
      </c>
      <c r="M3151">
        <v>137824.82999999999</v>
      </c>
      <c r="N3151">
        <v>467751.94</v>
      </c>
      <c r="O3151" t="s">
        <v>53</v>
      </c>
      <c r="P3151" t="s">
        <v>54</v>
      </c>
      <c r="Q3151" t="s">
        <v>55</v>
      </c>
      <c r="T3151" t="s">
        <v>818</v>
      </c>
      <c r="U3151">
        <v>40</v>
      </c>
      <c r="V3151" s="1">
        <v>28125</v>
      </c>
      <c r="W3151" s="1">
        <v>28125</v>
      </c>
      <c r="X3151" s="1">
        <v>28125</v>
      </c>
      <c r="Y3151" s="1">
        <v>42735</v>
      </c>
      <c r="Z3151" t="s">
        <v>51</v>
      </c>
      <c r="AB3151" t="s">
        <v>54</v>
      </c>
      <c r="AC3151">
        <v>1</v>
      </c>
      <c r="AE3151" t="s">
        <v>827</v>
      </c>
      <c r="AF3151">
        <v>20</v>
      </c>
      <c r="AG3151" s="1">
        <v>31047</v>
      </c>
      <c r="AH3151" s="1">
        <v>31047</v>
      </c>
      <c r="AI3151" s="1">
        <v>31047</v>
      </c>
      <c r="AJ3151" s="1">
        <v>38352</v>
      </c>
      <c r="AK3151" t="s">
        <v>51</v>
      </c>
      <c r="AN3151">
        <v>0</v>
      </c>
      <c r="AO3151" t="s">
        <v>54</v>
      </c>
      <c r="AP3151" t="s">
        <v>53</v>
      </c>
      <c r="AQ3151">
        <v>0</v>
      </c>
      <c r="AR3151" t="s">
        <v>53</v>
      </c>
      <c r="AS3151">
        <v>0</v>
      </c>
      <c r="AT3151">
        <v>0</v>
      </c>
      <c r="AW3151" t="s">
        <v>58</v>
      </c>
      <c r="AX3151">
        <v>20</v>
      </c>
      <c r="AY3151" s="1">
        <v>31047</v>
      </c>
      <c r="AZ3151" s="1">
        <v>31047</v>
      </c>
      <c r="BA3151" s="1">
        <v>31047</v>
      </c>
      <c r="BB3151" s="1">
        <v>38352</v>
      </c>
      <c r="BC3151" t="s">
        <v>51</v>
      </c>
      <c r="BE3151" t="s">
        <v>54</v>
      </c>
      <c r="BF3151">
        <v>2</v>
      </c>
      <c r="BG3151">
        <v>0</v>
      </c>
      <c r="BH3151" t="s">
        <v>53</v>
      </c>
      <c r="BK3151" t="s">
        <v>720</v>
      </c>
      <c r="BL3151">
        <v>17000</v>
      </c>
      <c r="BM3151" s="1">
        <v>42552</v>
      </c>
      <c r="BN3151" s="1">
        <v>42552</v>
      </c>
      <c r="BO3151" s="1">
        <v>42552</v>
      </c>
      <c r="BP3151" s="1">
        <v>43974</v>
      </c>
      <c r="BQ3151" t="s">
        <v>51</v>
      </c>
      <c r="BS3151" t="s">
        <v>60</v>
      </c>
      <c r="BT3151" t="s">
        <v>54</v>
      </c>
      <c r="BU3151" t="s">
        <v>721</v>
      </c>
      <c r="BV3151" t="s">
        <v>722</v>
      </c>
      <c r="BX3151">
        <v>18</v>
      </c>
      <c r="BY3151">
        <v>0</v>
      </c>
      <c r="BZ3151">
        <v>0</v>
      </c>
    </row>
    <row r="3152" spans="1:99" x14ac:dyDescent="0.2">
      <c r="A3152" t="s">
        <v>367</v>
      </c>
      <c r="B3152" t="s">
        <v>368</v>
      </c>
      <c r="C3152" t="s">
        <v>369</v>
      </c>
      <c r="D3152" t="s">
        <v>1315</v>
      </c>
      <c r="F3152" t="str">
        <f>"26034"</f>
        <v>26034</v>
      </c>
      <c r="G3152" t="s">
        <v>49</v>
      </c>
      <c r="H3152" t="s">
        <v>1320</v>
      </c>
      <c r="K3152" t="s">
        <v>51</v>
      </c>
      <c r="L3152" t="s">
        <v>52</v>
      </c>
      <c r="M3152">
        <v>137829.17000000001</v>
      </c>
      <c r="N3152">
        <v>467763.84</v>
      </c>
      <c r="O3152" t="s">
        <v>53</v>
      </c>
      <c r="P3152" t="s">
        <v>54</v>
      </c>
      <c r="Q3152" t="s">
        <v>55</v>
      </c>
      <c r="T3152" t="s">
        <v>818</v>
      </c>
      <c r="U3152">
        <v>40</v>
      </c>
      <c r="V3152" s="1">
        <v>28125</v>
      </c>
      <c r="W3152" s="1">
        <v>28125</v>
      </c>
      <c r="X3152" s="1">
        <v>28125</v>
      </c>
      <c r="Y3152" s="1">
        <v>42735</v>
      </c>
      <c r="Z3152" t="s">
        <v>51</v>
      </c>
      <c r="AB3152" t="s">
        <v>54</v>
      </c>
      <c r="AC3152">
        <v>1</v>
      </c>
      <c r="AE3152" t="s">
        <v>827</v>
      </c>
      <c r="AF3152">
        <v>20</v>
      </c>
      <c r="AG3152" s="1">
        <v>31047</v>
      </c>
      <c r="AH3152" s="1">
        <v>31047</v>
      </c>
      <c r="AI3152" s="1">
        <v>31047</v>
      </c>
      <c r="AJ3152" s="1">
        <v>38352</v>
      </c>
      <c r="AK3152" t="s">
        <v>51</v>
      </c>
      <c r="AN3152">
        <v>0</v>
      </c>
      <c r="AO3152" t="s">
        <v>54</v>
      </c>
      <c r="AP3152" t="s">
        <v>53</v>
      </c>
      <c r="AQ3152">
        <v>0</v>
      </c>
      <c r="AR3152" t="s">
        <v>53</v>
      </c>
      <c r="AS3152">
        <v>0</v>
      </c>
      <c r="AT3152">
        <v>0</v>
      </c>
      <c r="AW3152" t="s">
        <v>58</v>
      </c>
      <c r="AX3152">
        <v>20</v>
      </c>
      <c r="AY3152" s="1">
        <v>31047</v>
      </c>
      <c r="AZ3152" s="1">
        <v>31047</v>
      </c>
      <c r="BA3152" s="1">
        <v>31047</v>
      </c>
      <c r="BB3152" s="1">
        <v>38352</v>
      </c>
      <c r="BC3152" t="s">
        <v>51</v>
      </c>
      <c r="BE3152" t="s">
        <v>54</v>
      </c>
      <c r="BF3152">
        <v>2</v>
      </c>
      <c r="BG3152">
        <v>0</v>
      </c>
      <c r="BH3152" t="s">
        <v>53</v>
      </c>
      <c r="BK3152" t="s">
        <v>720</v>
      </c>
      <c r="BL3152">
        <v>17000</v>
      </c>
      <c r="BM3152" s="1">
        <v>44480</v>
      </c>
      <c r="BN3152" s="1">
        <v>44480</v>
      </c>
      <c r="BO3152" s="1">
        <v>44480</v>
      </c>
      <c r="BP3152" s="1">
        <v>45917</v>
      </c>
      <c r="BQ3152" t="s">
        <v>51</v>
      </c>
      <c r="BS3152" t="s">
        <v>60</v>
      </c>
      <c r="BT3152" t="s">
        <v>54</v>
      </c>
      <c r="BU3152" t="s">
        <v>721</v>
      </c>
      <c r="BV3152" t="s">
        <v>722</v>
      </c>
      <c r="BX3152">
        <v>18</v>
      </c>
      <c r="BY3152">
        <v>0</v>
      </c>
      <c r="BZ3152">
        <v>0</v>
      </c>
    </row>
    <row r="3153" spans="1:99" x14ac:dyDescent="0.2">
      <c r="A3153" t="s">
        <v>367</v>
      </c>
      <c r="B3153" t="s">
        <v>368</v>
      </c>
      <c r="C3153" t="s">
        <v>369</v>
      </c>
      <c r="D3153" t="s">
        <v>1315</v>
      </c>
      <c r="F3153" t="str">
        <f>"26035"</f>
        <v>26035</v>
      </c>
      <c r="G3153" t="s">
        <v>49</v>
      </c>
      <c r="H3153" t="s">
        <v>1321</v>
      </c>
      <c r="K3153" t="s">
        <v>51</v>
      </c>
      <c r="L3153" t="s">
        <v>52</v>
      </c>
      <c r="M3153">
        <v>137828.29</v>
      </c>
      <c r="N3153">
        <v>467785.65</v>
      </c>
      <c r="O3153" t="s">
        <v>53</v>
      </c>
      <c r="P3153" t="s">
        <v>54</v>
      </c>
      <c r="Q3153" t="s">
        <v>55</v>
      </c>
      <c r="T3153" t="s">
        <v>818</v>
      </c>
      <c r="U3153">
        <v>40</v>
      </c>
      <c r="V3153" s="1">
        <v>28125</v>
      </c>
      <c r="W3153" s="1">
        <v>28125</v>
      </c>
      <c r="X3153" s="1">
        <v>28125</v>
      </c>
      <c r="Y3153" s="1">
        <v>42735</v>
      </c>
      <c r="Z3153" t="s">
        <v>51</v>
      </c>
      <c r="AB3153" t="s">
        <v>54</v>
      </c>
      <c r="AC3153">
        <v>1</v>
      </c>
      <c r="AE3153" t="s">
        <v>827</v>
      </c>
      <c r="AF3153">
        <v>20</v>
      </c>
      <c r="AG3153" s="1">
        <v>31047</v>
      </c>
      <c r="AH3153" s="1">
        <v>31047</v>
      </c>
      <c r="AI3153" s="1">
        <v>31047</v>
      </c>
      <c r="AJ3153" s="1">
        <v>38352</v>
      </c>
      <c r="AK3153" t="s">
        <v>51</v>
      </c>
      <c r="AN3153">
        <v>0</v>
      </c>
      <c r="AO3153" t="s">
        <v>54</v>
      </c>
      <c r="AP3153" t="s">
        <v>53</v>
      </c>
      <c r="AQ3153">
        <v>0</v>
      </c>
      <c r="AR3153" t="s">
        <v>53</v>
      </c>
      <c r="AS3153">
        <v>0</v>
      </c>
      <c r="AT3153">
        <v>0</v>
      </c>
      <c r="AW3153" t="s">
        <v>58</v>
      </c>
      <c r="AX3153">
        <v>20</v>
      </c>
      <c r="AY3153" s="1">
        <v>31047</v>
      </c>
      <c r="AZ3153" s="1">
        <v>31047</v>
      </c>
      <c r="BA3153" s="1">
        <v>31047</v>
      </c>
      <c r="BB3153" s="1">
        <v>38352</v>
      </c>
      <c r="BC3153" t="s">
        <v>51</v>
      </c>
      <c r="BE3153" t="s">
        <v>54</v>
      </c>
      <c r="BF3153">
        <v>2</v>
      </c>
      <c r="BG3153">
        <v>0</v>
      </c>
      <c r="BH3153" t="s">
        <v>53</v>
      </c>
      <c r="BK3153" t="s">
        <v>720</v>
      </c>
      <c r="BL3153">
        <v>17000</v>
      </c>
      <c r="BM3153" s="1">
        <v>44117</v>
      </c>
      <c r="BN3153" s="1">
        <v>44117</v>
      </c>
      <c r="BO3153" s="1">
        <v>44117</v>
      </c>
      <c r="BP3153" s="1">
        <v>45556</v>
      </c>
      <c r="BQ3153" t="s">
        <v>51</v>
      </c>
      <c r="BS3153" t="s">
        <v>60</v>
      </c>
      <c r="BT3153" t="s">
        <v>54</v>
      </c>
      <c r="BU3153" t="s">
        <v>721</v>
      </c>
      <c r="BV3153" t="s">
        <v>722</v>
      </c>
      <c r="BX3153">
        <v>18</v>
      </c>
      <c r="BY3153">
        <v>0</v>
      </c>
      <c r="BZ3153">
        <v>0</v>
      </c>
    </row>
    <row r="3154" spans="1:99" x14ac:dyDescent="0.2">
      <c r="A3154" t="s">
        <v>367</v>
      </c>
      <c r="B3154" t="s">
        <v>368</v>
      </c>
      <c r="C3154" t="s">
        <v>369</v>
      </c>
      <c r="D3154" t="s">
        <v>1315</v>
      </c>
      <c r="F3154" t="str">
        <f>"26036"</f>
        <v>26036</v>
      </c>
      <c r="G3154" t="s">
        <v>49</v>
      </c>
      <c r="H3154" t="s">
        <v>1214</v>
      </c>
      <c r="K3154" t="s">
        <v>51</v>
      </c>
      <c r="L3154" t="s">
        <v>52</v>
      </c>
      <c r="M3154">
        <v>137839.65</v>
      </c>
      <c r="N3154">
        <v>467799.2</v>
      </c>
      <c r="O3154" t="s">
        <v>53</v>
      </c>
      <c r="P3154" t="s">
        <v>54</v>
      </c>
      <c r="Q3154" t="s">
        <v>55</v>
      </c>
      <c r="T3154" t="s">
        <v>818</v>
      </c>
      <c r="U3154">
        <v>40</v>
      </c>
      <c r="V3154" s="1">
        <v>28125</v>
      </c>
      <c r="W3154" s="1">
        <v>28125</v>
      </c>
      <c r="X3154" s="1">
        <v>28125</v>
      </c>
      <c r="Y3154" s="1">
        <v>42735</v>
      </c>
      <c r="Z3154" t="s">
        <v>51</v>
      </c>
      <c r="AB3154" t="s">
        <v>54</v>
      </c>
      <c r="AC3154">
        <v>1</v>
      </c>
      <c r="AE3154" t="s">
        <v>827</v>
      </c>
      <c r="AF3154">
        <v>20</v>
      </c>
      <c r="AG3154" s="1">
        <v>31047</v>
      </c>
      <c r="AH3154" s="1">
        <v>31047</v>
      </c>
      <c r="AI3154" s="1">
        <v>31047</v>
      </c>
      <c r="AJ3154" s="1">
        <v>38352</v>
      </c>
      <c r="AK3154" t="s">
        <v>51</v>
      </c>
      <c r="AN3154">
        <v>0</v>
      </c>
      <c r="AO3154" t="s">
        <v>54</v>
      </c>
      <c r="AP3154" t="s">
        <v>53</v>
      </c>
      <c r="AQ3154">
        <v>0</v>
      </c>
      <c r="AR3154" t="s">
        <v>53</v>
      </c>
      <c r="AS3154">
        <v>0</v>
      </c>
      <c r="AT3154">
        <v>0</v>
      </c>
      <c r="AW3154" t="s">
        <v>58</v>
      </c>
      <c r="AX3154">
        <v>20</v>
      </c>
      <c r="AY3154" s="1">
        <v>31047</v>
      </c>
      <c r="AZ3154" s="1">
        <v>31047</v>
      </c>
      <c r="BA3154" s="1">
        <v>31047</v>
      </c>
      <c r="BB3154" s="1">
        <v>38352</v>
      </c>
      <c r="BC3154" t="s">
        <v>51</v>
      </c>
      <c r="BE3154" t="s">
        <v>54</v>
      </c>
      <c r="BF3154">
        <v>2</v>
      </c>
      <c r="BG3154">
        <v>0</v>
      </c>
      <c r="BH3154" t="s">
        <v>53</v>
      </c>
      <c r="BK3154" t="s">
        <v>720</v>
      </c>
      <c r="BL3154">
        <v>17000</v>
      </c>
      <c r="BM3154" s="1">
        <v>45083</v>
      </c>
      <c r="BN3154" s="1">
        <v>45083</v>
      </c>
      <c r="BO3154" s="1">
        <v>45083</v>
      </c>
      <c r="BP3154" s="1">
        <v>46508</v>
      </c>
      <c r="BQ3154" t="s">
        <v>51</v>
      </c>
      <c r="BS3154" t="s">
        <v>60</v>
      </c>
      <c r="BT3154" t="s">
        <v>54</v>
      </c>
      <c r="BU3154" t="s">
        <v>721</v>
      </c>
      <c r="BV3154" t="s">
        <v>722</v>
      </c>
      <c r="BX3154">
        <v>18</v>
      </c>
      <c r="BY3154">
        <v>0</v>
      </c>
      <c r="BZ3154">
        <v>0</v>
      </c>
    </row>
    <row r="3155" spans="1:99" x14ac:dyDescent="0.2">
      <c r="A3155" t="s">
        <v>367</v>
      </c>
      <c r="B3155" t="s">
        <v>368</v>
      </c>
      <c r="C3155" t="s">
        <v>369</v>
      </c>
      <c r="D3155" t="s">
        <v>1315</v>
      </c>
      <c r="F3155" t="str">
        <f>"26037"</f>
        <v>26037</v>
      </c>
      <c r="G3155" t="s">
        <v>49</v>
      </c>
      <c r="H3155" t="s">
        <v>1322</v>
      </c>
      <c r="K3155" t="s">
        <v>51</v>
      </c>
      <c r="L3155" t="s">
        <v>52</v>
      </c>
      <c r="M3155">
        <v>137821.07</v>
      </c>
      <c r="N3155">
        <v>467806.86</v>
      </c>
      <c r="O3155" t="s">
        <v>53</v>
      </c>
      <c r="P3155" t="s">
        <v>54</v>
      </c>
      <c r="Q3155" t="s">
        <v>55</v>
      </c>
      <c r="T3155" t="s">
        <v>818</v>
      </c>
      <c r="U3155">
        <v>40</v>
      </c>
      <c r="V3155" s="1">
        <v>28125</v>
      </c>
      <c r="W3155" s="1">
        <v>28125</v>
      </c>
      <c r="X3155" s="1">
        <v>28125</v>
      </c>
      <c r="Y3155" s="1">
        <v>42735</v>
      </c>
      <c r="Z3155" t="s">
        <v>51</v>
      </c>
      <c r="AB3155" t="s">
        <v>54</v>
      </c>
      <c r="AC3155">
        <v>1</v>
      </c>
      <c r="AE3155" t="s">
        <v>827</v>
      </c>
      <c r="AF3155">
        <v>20</v>
      </c>
      <c r="AG3155" s="1">
        <v>31047</v>
      </c>
      <c r="AH3155" s="1">
        <v>31047</v>
      </c>
      <c r="AI3155" s="1">
        <v>31047</v>
      </c>
      <c r="AJ3155" s="1">
        <v>38352</v>
      </c>
      <c r="AK3155" t="s">
        <v>51</v>
      </c>
      <c r="AN3155">
        <v>0</v>
      </c>
      <c r="AO3155" t="s">
        <v>54</v>
      </c>
      <c r="AP3155" t="s">
        <v>53</v>
      </c>
      <c r="AQ3155">
        <v>0</v>
      </c>
      <c r="AR3155" t="s">
        <v>53</v>
      </c>
      <c r="AS3155">
        <v>0</v>
      </c>
      <c r="AT3155">
        <v>0</v>
      </c>
      <c r="AW3155" t="s">
        <v>58</v>
      </c>
      <c r="AX3155">
        <v>20</v>
      </c>
      <c r="AY3155" s="1">
        <v>31047</v>
      </c>
      <c r="AZ3155" s="1">
        <v>31047</v>
      </c>
      <c r="BA3155" s="1">
        <v>31047</v>
      </c>
      <c r="BB3155" s="1">
        <v>38352</v>
      </c>
      <c r="BC3155" t="s">
        <v>51</v>
      </c>
      <c r="BE3155" t="s">
        <v>54</v>
      </c>
      <c r="BF3155">
        <v>2</v>
      </c>
      <c r="BG3155">
        <v>0</v>
      </c>
      <c r="BH3155" t="s">
        <v>53</v>
      </c>
      <c r="BK3155" t="s">
        <v>720</v>
      </c>
      <c r="BL3155">
        <v>17000</v>
      </c>
      <c r="BM3155" s="1">
        <v>44606</v>
      </c>
      <c r="BN3155" s="1">
        <v>44606</v>
      </c>
      <c r="BO3155" s="1">
        <v>44606</v>
      </c>
      <c r="BP3155" s="1">
        <v>46048</v>
      </c>
      <c r="BQ3155" t="s">
        <v>51</v>
      </c>
      <c r="BS3155" t="s">
        <v>60</v>
      </c>
      <c r="BT3155" t="s">
        <v>54</v>
      </c>
      <c r="BU3155" t="s">
        <v>721</v>
      </c>
      <c r="BV3155" t="s">
        <v>722</v>
      </c>
      <c r="BX3155">
        <v>18</v>
      </c>
      <c r="BY3155">
        <v>0</v>
      </c>
      <c r="BZ3155">
        <v>0</v>
      </c>
    </row>
    <row r="3156" spans="1:99" x14ac:dyDescent="0.2">
      <c r="A3156" t="s">
        <v>367</v>
      </c>
      <c r="B3156" t="s">
        <v>368</v>
      </c>
      <c r="C3156" t="s">
        <v>369</v>
      </c>
      <c r="D3156" t="s">
        <v>1315</v>
      </c>
      <c r="F3156" t="str">
        <f>"26038"</f>
        <v>26038</v>
      </c>
      <c r="G3156" t="s">
        <v>49</v>
      </c>
      <c r="H3156" t="s">
        <v>1323</v>
      </c>
      <c r="K3156" t="s">
        <v>51</v>
      </c>
      <c r="L3156" t="s">
        <v>52</v>
      </c>
      <c r="M3156">
        <v>137801.45000000001</v>
      </c>
      <c r="N3156">
        <v>467811.39</v>
      </c>
      <c r="O3156" t="s">
        <v>53</v>
      </c>
      <c r="P3156" t="s">
        <v>54</v>
      </c>
      <c r="Q3156" t="s">
        <v>55</v>
      </c>
      <c r="T3156" t="s">
        <v>818</v>
      </c>
      <c r="U3156">
        <v>40</v>
      </c>
      <c r="V3156" s="1">
        <v>28125</v>
      </c>
      <c r="W3156" s="1">
        <v>28125</v>
      </c>
      <c r="X3156" s="1">
        <v>28125</v>
      </c>
      <c r="Y3156" s="1">
        <v>42735</v>
      </c>
      <c r="Z3156" t="s">
        <v>51</v>
      </c>
      <c r="AB3156" t="s">
        <v>54</v>
      </c>
      <c r="AC3156">
        <v>1</v>
      </c>
      <c r="AE3156" t="s">
        <v>819</v>
      </c>
      <c r="AF3156">
        <v>20</v>
      </c>
      <c r="AG3156" s="1">
        <v>35025</v>
      </c>
      <c r="AH3156" s="1">
        <v>35025</v>
      </c>
      <c r="AI3156" s="1">
        <v>35025</v>
      </c>
      <c r="AJ3156" s="1">
        <v>42330</v>
      </c>
      <c r="AK3156" t="s">
        <v>51</v>
      </c>
      <c r="AN3156">
        <v>0</v>
      </c>
      <c r="AO3156" t="s">
        <v>54</v>
      </c>
      <c r="AP3156" t="s">
        <v>53</v>
      </c>
      <c r="AQ3156">
        <v>0</v>
      </c>
      <c r="AR3156" t="s">
        <v>53</v>
      </c>
      <c r="AS3156">
        <v>0</v>
      </c>
      <c r="AT3156">
        <v>0</v>
      </c>
      <c r="AW3156" t="s">
        <v>58</v>
      </c>
      <c r="AX3156">
        <v>20</v>
      </c>
      <c r="AY3156" s="1">
        <v>35025</v>
      </c>
      <c r="AZ3156" s="1">
        <v>35025</v>
      </c>
      <c r="BA3156" s="1">
        <v>35025</v>
      </c>
      <c r="BB3156" s="1">
        <v>42330</v>
      </c>
      <c r="BC3156" t="s">
        <v>51</v>
      </c>
      <c r="BE3156" t="s">
        <v>54</v>
      </c>
      <c r="BF3156">
        <v>2</v>
      </c>
      <c r="BG3156">
        <v>0</v>
      </c>
      <c r="BH3156" t="s">
        <v>53</v>
      </c>
      <c r="BK3156" t="s">
        <v>720</v>
      </c>
      <c r="BL3156">
        <v>17000</v>
      </c>
      <c r="BM3156" s="1">
        <v>43711</v>
      </c>
      <c r="BN3156" s="1">
        <v>43711</v>
      </c>
      <c r="BO3156" s="1">
        <v>43711</v>
      </c>
      <c r="BP3156" s="1">
        <v>45141</v>
      </c>
      <c r="BQ3156" t="s">
        <v>51</v>
      </c>
      <c r="BS3156" t="s">
        <v>60</v>
      </c>
      <c r="BT3156" t="s">
        <v>54</v>
      </c>
      <c r="BU3156" t="s">
        <v>721</v>
      </c>
      <c r="BV3156" t="s">
        <v>722</v>
      </c>
      <c r="BX3156">
        <v>18</v>
      </c>
      <c r="BY3156">
        <v>0</v>
      </c>
      <c r="BZ3156">
        <v>0</v>
      </c>
    </row>
    <row r="3157" spans="1:99" x14ac:dyDescent="0.2">
      <c r="A3157" t="s">
        <v>367</v>
      </c>
      <c r="B3157" t="s">
        <v>368</v>
      </c>
      <c r="C3157" t="s">
        <v>369</v>
      </c>
      <c r="D3157" t="s">
        <v>1315</v>
      </c>
      <c r="F3157" t="str">
        <f>"26039"</f>
        <v>26039</v>
      </c>
      <c r="G3157" t="s">
        <v>49</v>
      </c>
      <c r="H3157" t="s">
        <v>1324</v>
      </c>
      <c r="K3157" t="s">
        <v>51</v>
      </c>
      <c r="L3157" t="s">
        <v>52</v>
      </c>
      <c r="M3157">
        <v>137862.91</v>
      </c>
      <c r="N3157">
        <v>467827.68</v>
      </c>
      <c r="O3157" t="s">
        <v>53</v>
      </c>
      <c r="P3157" t="s">
        <v>54</v>
      </c>
      <c r="Q3157" t="s">
        <v>55</v>
      </c>
      <c r="T3157" t="s">
        <v>818</v>
      </c>
      <c r="U3157">
        <v>40</v>
      </c>
      <c r="V3157" s="1">
        <v>28125</v>
      </c>
      <c r="W3157" s="1">
        <v>28125</v>
      </c>
      <c r="X3157" s="1">
        <v>28125</v>
      </c>
      <c r="Y3157" s="1">
        <v>42735</v>
      </c>
      <c r="Z3157" t="s">
        <v>51</v>
      </c>
      <c r="AB3157" t="s">
        <v>54</v>
      </c>
      <c r="AC3157">
        <v>1</v>
      </c>
      <c r="AE3157" t="s">
        <v>827</v>
      </c>
      <c r="AF3157">
        <v>20</v>
      </c>
      <c r="AG3157" s="1">
        <v>31047</v>
      </c>
      <c r="AH3157" s="1">
        <v>31047</v>
      </c>
      <c r="AI3157" s="1">
        <v>31047</v>
      </c>
      <c r="AJ3157" s="1">
        <v>38352</v>
      </c>
      <c r="AK3157" t="s">
        <v>51</v>
      </c>
      <c r="AN3157">
        <v>0</v>
      </c>
      <c r="AO3157" t="s">
        <v>54</v>
      </c>
      <c r="AP3157" t="s">
        <v>53</v>
      </c>
      <c r="AQ3157">
        <v>0</v>
      </c>
      <c r="AR3157" t="s">
        <v>53</v>
      </c>
      <c r="AS3157">
        <v>0</v>
      </c>
      <c r="AT3157">
        <v>0</v>
      </c>
      <c r="AW3157" t="s">
        <v>58</v>
      </c>
      <c r="AX3157">
        <v>20</v>
      </c>
      <c r="AY3157" s="1">
        <v>31047</v>
      </c>
      <c r="AZ3157" s="1">
        <v>31047</v>
      </c>
      <c r="BA3157" s="1">
        <v>31047</v>
      </c>
      <c r="BB3157" s="1">
        <v>38352</v>
      </c>
      <c r="BC3157" t="s">
        <v>51</v>
      </c>
      <c r="BE3157" t="s">
        <v>54</v>
      </c>
      <c r="BF3157">
        <v>2</v>
      </c>
      <c r="BG3157">
        <v>0</v>
      </c>
      <c r="BH3157" t="s">
        <v>53</v>
      </c>
      <c r="BK3157" t="s">
        <v>720</v>
      </c>
      <c r="BL3157">
        <v>17000</v>
      </c>
      <c r="BM3157" s="1">
        <v>44159</v>
      </c>
      <c r="BN3157" s="1">
        <v>44159</v>
      </c>
      <c r="BO3157" s="1">
        <v>44159</v>
      </c>
      <c r="BP3157" s="1">
        <v>45601</v>
      </c>
      <c r="BQ3157" t="s">
        <v>51</v>
      </c>
      <c r="BS3157" t="s">
        <v>60</v>
      </c>
      <c r="BT3157" t="s">
        <v>54</v>
      </c>
      <c r="BU3157" t="s">
        <v>721</v>
      </c>
      <c r="BV3157" t="s">
        <v>722</v>
      </c>
      <c r="BX3157">
        <v>18</v>
      </c>
      <c r="BY3157">
        <v>0</v>
      </c>
      <c r="BZ3157">
        <v>0</v>
      </c>
    </row>
    <row r="3158" spans="1:99" x14ac:dyDescent="0.2">
      <c r="A3158" t="s">
        <v>367</v>
      </c>
      <c r="B3158" t="s">
        <v>368</v>
      </c>
      <c r="C3158" t="s">
        <v>369</v>
      </c>
      <c r="D3158" t="s">
        <v>1315</v>
      </c>
      <c r="F3158" t="str">
        <f>"26040"</f>
        <v>26040</v>
      </c>
      <c r="G3158" t="s">
        <v>49</v>
      </c>
      <c r="H3158" t="s">
        <v>1325</v>
      </c>
      <c r="K3158" t="s">
        <v>51</v>
      </c>
      <c r="L3158" t="s">
        <v>52</v>
      </c>
      <c r="M3158">
        <v>137858.43</v>
      </c>
      <c r="N3158">
        <v>467814.03</v>
      </c>
      <c r="O3158" t="s">
        <v>53</v>
      </c>
      <c r="P3158" t="s">
        <v>54</v>
      </c>
      <c r="Q3158" t="s">
        <v>55</v>
      </c>
      <c r="T3158" t="s">
        <v>818</v>
      </c>
      <c r="U3158">
        <v>40</v>
      </c>
      <c r="V3158" s="1">
        <v>28125</v>
      </c>
      <c r="W3158" s="1">
        <v>28125</v>
      </c>
      <c r="X3158" s="1">
        <v>28125</v>
      </c>
      <c r="Y3158" s="1">
        <v>42735</v>
      </c>
      <c r="Z3158" t="s">
        <v>51</v>
      </c>
      <c r="AB3158" t="s">
        <v>54</v>
      </c>
      <c r="AC3158">
        <v>1</v>
      </c>
      <c r="AE3158" t="s">
        <v>827</v>
      </c>
      <c r="AF3158">
        <v>20</v>
      </c>
      <c r="AG3158" s="1">
        <v>31047</v>
      </c>
      <c r="AH3158" s="1">
        <v>31047</v>
      </c>
      <c r="AI3158" s="1">
        <v>31047</v>
      </c>
      <c r="AJ3158" s="1">
        <v>38352</v>
      </c>
      <c r="AK3158" t="s">
        <v>51</v>
      </c>
      <c r="AN3158">
        <v>0</v>
      </c>
      <c r="AO3158" t="s">
        <v>54</v>
      </c>
      <c r="AP3158" t="s">
        <v>53</v>
      </c>
      <c r="AQ3158">
        <v>0</v>
      </c>
      <c r="AR3158" t="s">
        <v>53</v>
      </c>
      <c r="AS3158">
        <v>0</v>
      </c>
      <c r="AT3158">
        <v>0</v>
      </c>
      <c r="AW3158" t="s">
        <v>58</v>
      </c>
      <c r="AX3158">
        <v>20</v>
      </c>
      <c r="AY3158" s="1">
        <v>31047</v>
      </c>
      <c r="AZ3158" s="1">
        <v>31047</v>
      </c>
      <c r="BA3158" s="1">
        <v>31047</v>
      </c>
      <c r="BB3158" s="1">
        <v>38352</v>
      </c>
      <c r="BC3158" t="s">
        <v>51</v>
      </c>
      <c r="BE3158" t="s">
        <v>54</v>
      </c>
      <c r="BF3158">
        <v>2</v>
      </c>
      <c r="BG3158">
        <v>0</v>
      </c>
      <c r="BH3158" t="s">
        <v>53</v>
      </c>
      <c r="BK3158" t="s">
        <v>720</v>
      </c>
      <c r="BL3158">
        <v>17000</v>
      </c>
      <c r="BM3158" s="1">
        <v>44480</v>
      </c>
      <c r="BN3158" s="1">
        <v>44480</v>
      </c>
      <c r="BO3158" s="1">
        <v>44480</v>
      </c>
      <c r="BP3158" s="1">
        <v>45917</v>
      </c>
      <c r="BQ3158" t="s">
        <v>51</v>
      </c>
      <c r="BS3158" t="s">
        <v>60</v>
      </c>
      <c r="BT3158" t="s">
        <v>54</v>
      </c>
      <c r="BU3158" t="s">
        <v>721</v>
      </c>
      <c r="BV3158" t="s">
        <v>722</v>
      </c>
      <c r="BX3158">
        <v>18</v>
      </c>
      <c r="BY3158">
        <v>0</v>
      </c>
      <c r="BZ3158">
        <v>0</v>
      </c>
    </row>
    <row r="3159" spans="1:99" x14ac:dyDescent="0.2">
      <c r="A3159" t="s">
        <v>367</v>
      </c>
      <c r="B3159" t="s">
        <v>368</v>
      </c>
      <c r="C3159" t="s">
        <v>369</v>
      </c>
      <c r="D3159" t="s">
        <v>1315</v>
      </c>
      <c r="F3159" t="str">
        <f>"26041"</f>
        <v>26041</v>
      </c>
      <c r="G3159" t="s">
        <v>49</v>
      </c>
      <c r="H3159" t="s">
        <v>1326</v>
      </c>
      <c r="K3159" t="s">
        <v>51</v>
      </c>
      <c r="L3159" t="s">
        <v>52</v>
      </c>
      <c r="M3159">
        <v>137856.89000000001</v>
      </c>
      <c r="N3159">
        <v>467800.24</v>
      </c>
      <c r="O3159" t="s">
        <v>53</v>
      </c>
      <c r="P3159" t="s">
        <v>54</v>
      </c>
      <c r="Q3159" t="s">
        <v>55</v>
      </c>
      <c r="T3159" t="s">
        <v>818</v>
      </c>
      <c r="U3159">
        <v>40</v>
      </c>
      <c r="V3159" s="1">
        <v>28125</v>
      </c>
      <c r="W3159" s="1">
        <v>28125</v>
      </c>
      <c r="X3159" s="1">
        <v>28125</v>
      </c>
      <c r="Y3159" s="1">
        <v>42735</v>
      </c>
      <c r="Z3159" t="s">
        <v>51</v>
      </c>
      <c r="AB3159" t="s">
        <v>54</v>
      </c>
      <c r="AC3159">
        <v>1</v>
      </c>
      <c r="AE3159" t="s">
        <v>827</v>
      </c>
      <c r="AF3159">
        <v>20</v>
      </c>
      <c r="AG3159" s="1">
        <v>31047</v>
      </c>
      <c r="AH3159" s="1">
        <v>31047</v>
      </c>
      <c r="AI3159" s="1">
        <v>31047</v>
      </c>
      <c r="AJ3159" s="1">
        <v>38352</v>
      </c>
      <c r="AK3159" t="s">
        <v>51</v>
      </c>
      <c r="AN3159">
        <v>0</v>
      </c>
      <c r="AO3159" t="s">
        <v>54</v>
      </c>
      <c r="AP3159" t="s">
        <v>53</v>
      </c>
      <c r="AQ3159">
        <v>0</v>
      </c>
      <c r="AR3159" t="s">
        <v>53</v>
      </c>
      <c r="AS3159">
        <v>0</v>
      </c>
      <c r="AT3159">
        <v>0</v>
      </c>
      <c r="AW3159" t="s">
        <v>58</v>
      </c>
      <c r="AX3159">
        <v>20</v>
      </c>
      <c r="AY3159" s="1">
        <v>31047</v>
      </c>
      <c r="AZ3159" s="1">
        <v>31047</v>
      </c>
      <c r="BA3159" s="1">
        <v>31047</v>
      </c>
      <c r="BB3159" s="1">
        <v>38352</v>
      </c>
      <c r="BC3159" t="s">
        <v>51</v>
      </c>
      <c r="BE3159" t="s">
        <v>54</v>
      </c>
      <c r="BF3159">
        <v>2</v>
      </c>
      <c r="BG3159">
        <v>0</v>
      </c>
      <c r="BH3159" t="s">
        <v>53</v>
      </c>
      <c r="BK3159" t="s">
        <v>720</v>
      </c>
      <c r="BL3159">
        <v>17000</v>
      </c>
      <c r="BM3159" s="1">
        <v>43879</v>
      </c>
      <c r="BN3159" s="1">
        <v>43879</v>
      </c>
      <c r="BO3159" s="1">
        <v>43879</v>
      </c>
      <c r="BP3159" s="1">
        <v>45319</v>
      </c>
      <c r="BQ3159" t="s">
        <v>51</v>
      </c>
      <c r="BS3159" t="s">
        <v>60</v>
      </c>
      <c r="BT3159" t="s">
        <v>54</v>
      </c>
      <c r="BU3159" t="s">
        <v>721</v>
      </c>
      <c r="BV3159" t="s">
        <v>722</v>
      </c>
      <c r="BX3159">
        <v>18</v>
      </c>
      <c r="BY3159">
        <v>0</v>
      </c>
      <c r="BZ3159">
        <v>0</v>
      </c>
    </row>
    <row r="3160" spans="1:99" x14ac:dyDescent="0.2">
      <c r="A3160" t="s">
        <v>367</v>
      </c>
      <c r="B3160" t="s">
        <v>368</v>
      </c>
      <c r="C3160" t="s">
        <v>369</v>
      </c>
      <c r="D3160" t="s">
        <v>1315</v>
      </c>
      <c r="F3160" t="str">
        <f>"26042"</f>
        <v>26042</v>
      </c>
      <c r="G3160" t="s">
        <v>49</v>
      </c>
      <c r="H3160" t="s">
        <v>1327</v>
      </c>
      <c r="K3160" t="s">
        <v>51</v>
      </c>
      <c r="L3160" t="s">
        <v>52</v>
      </c>
      <c r="M3160">
        <v>137848.35</v>
      </c>
      <c r="N3160">
        <v>467786.38</v>
      </c>
      <c r="O3160" t="s">
        <v>53</v>
      </c>
      <c r="P3160" t="s">
        <v>54</v>
      </c>
      <c r="Q3160" t="s">
        <v>55</v>
      </c>
      <c r="T3160" t="s">
        <v>818</v>
      </c>
      <c r="U3160">
        <v>40</v>
      </c>
      <c r="V3160" s="1">
        <v>28125</v>
      </c>
      <c r="W3160" s="1">
        <v>28125</v>
      </c>
      <c r="X3160" s="1">
        <v>28125</v>
      </c>
      <c r="Y3160" s="1">
        <v>42735</v>
      </c>
      <c r="Z3160" t="s">
        <v>51</v>
      </c>
      <c r="AB3160" t="s">
        <v>54</v>
      </c>
      <c r="AC3160">
        <v>1</v>
      </c>
      <c r="AE3160" t="s">
        <v>827</v>
      </c>
      <c r="AF3160">
        <v>20</v>
      </c>
      <c r="AG3160" s="1">
        <v>31047</v>
      </c>
      <c r="AH3160" s="1">
        <v>31047</v>
      </c>
      <c r="AI3160" s="1">
        <v>31047</v>
      </c>
      <c r="AJ3160" s="1">
        <v>38352</v>
      </c>
      <c r="AK3160" t="s">
        <v>51</v>
      </c>
      <c r="AN3160">
        <v>0</v>
      </c>
      <c r="AO3160" t="s">
        <v>54</v>
      </c>
      <c r="AP3160" t="s">
        <v>53</v>
      </c>
      <c r="AQ3160">
        <v>0</v>
      </c>
      <c r="AR3160" t="s">
        <v>53</v>
      </c>
      <c r="AS3160">
        <v>0</v>
      </c>
      <c r="AT3160">
        <v>0</v>
      </c>
      <c r="AW3160" t="s">
        <v>58</v>
      </c>
      <c r="AX3160">
        <v>20</v>
      </c>
      <c r="AY3160" s="1">
        <v>31047</v>
      </c>
      <c r="AZ3160" s="1">
        <v>31047</v>
      </c>
      <c r="BA3160" s="1">
        <v>31047</v>
      </c>
      <c r="BB3160" s="1">
        <v>38352</v>
      </c>
      <c r="BC3160" t="s">
        <v>51</v>
      </c>
      <c r="BE3160" t="s">
        <v>54</v>
      </c>
      <c r="BF3160">
        <v>2</v>
      </c>
      <c r="BG3160">
        <v>0</v>
      </c>
      <c r="BH3160" t="s">
        <v>53</v>
      </c>
      <c r="BK3160" t="s">
        <v>720</v>
      </c>
      <c r="BL3160">
        <v>17000</v>
      </c>
      <c r="BM3160" s="1">
        <v>43858</v>
      </c>
      <c r="BN3160" s="1">
        <v>43858</v>
      </c>
      <c r="BO3160" s="1">
        <v>43858</v>
      </c>
      <c r="BP3160" s="1">
        <v>45301</v>
      </c>
      <c r="BQ3160" t="s">
        <v>51</v>
      </c>
      <c r="BS3160" t="s">
        <v>60</v>
      </c>
      <c r="BT3160" t="s">
        <v>54</v>
      </c>
      <c r="BU3160" t="s">
        <v>721</v>
      </c>
      <c r="BV3160" t="s">
        <v>722</v>
      </c>
      <c r="BX3160">
        <v>18</v>
      </c>
      <c r="BY3160">
        <v>0</v>
      </c>
      <c r="BZ3160">
        <v>0</v>
      </c>
    </row>
    <row r="3161" spans="1:99" x14ac:dyDescent="0.2">
      <c r="A3161" t="s">
        <v>367</v>
      </c>
      <c r="B3161" t="s">
        <v>368</v>
      </c>
      <c r="C3161" t="s">
        <v>369</v>
      </c>
      <c r="D3161" t="s">
        <v>1315</v>
      </c>
      <c r="F3161" t="str">
        <f>"26043"</f>
        <v>26043</v>
      </c>
      <c r="G3161" t="s">
        <v>49</v>
      </c>
      <c r="H3161" t="s">
        <v>1228</v>
      </c>
      <c r="K3161" t="s">
        <v>51</v>
      </c>
      <c r="L3161" t="s">
        <v>52</v>
      </c>
      <c r="M3161">
        <v>137862.21</v>
      </c>
      <c r="N3161">
        <v>467777.84</v>
      </c>
      <c r="O3161" t="s">
        <v>53</v>
      </c>
      <c r="P3161" t="s">
        <v>54</v>
      </c>
      <c r="Q3161" t="s">
        <v>55</v>
      </c>
      <c r="T3161" t="s">
        <v>818</v>
      </c>
      <c r="U3161">
        <v>40</v>
      </c>
      <c r="V3161" s="1">
        <v>28125</v>
      </c>
      <c r="W3161" s="1">
        <v>28125</v>
      </c>
      <c r="X3161" s="1">
        <v>28125</v>
      </c>
      <c r="Y3161" s="1">
        <v>42735</v>
      </c>
      <c r="Z3161" t="s">
        <v>51</v>
      </c>
      <c r="AB3161" t="s">
        <v>54</v>
      </c>
      <c r="AC3161">
        <v>1</v>
      </c>
      <c r="AE3161" t="s">
        <v>827</v>
      </c>
      <c r="AF3161">
        <v>20</v>
      </c>
      <c r="AG3161" s="1">
        <v>31047</v>
      </c>
      <c r="AH3161" s="1">
        <v>31047</v>
      </c>
      <c r="AI3161" s="1">
        <v>31047</v>
      </c>
      <c r="AJ3161" s="1">
        <v>38352</v>
      </c>
      <c r="AK3161" t="s">
        <v>51</v>
      </c>
      <c r="AN3161">
        <v>0</v>
      </c>
      <c r="AO3161" t="s">
        <v>54</v>
      </c>
      <c r="AP3161" t="s">
        <v>53</v>
      </c>
      <c r="AQ3161">
        <v>0</v>
      </c>
      <c r="AR3161" t="s">
        <v>53</v>
      </c>
      <c r="AS3161">
        <v>0</v>
      </c>
      <c r="AT3161">
        <v>0</v>
      </c>
      <c r="AW3161" t="s">
        <v>58</v>
      </c>
      <c r="AX3161">
        <v>20</v>
      </c>
      <c r="AY3161" s="1">
        <v>31047</v>
      </c>
      <c r="AZ3161" s="1">
        <v>31047</v>
      </c>
      <c r="BA3161" s="1">
        <v>31047</v>
      </c>
      <c r="BB3161" s="1">
        <v>38352</v>
      </c>
      <c r="BC3161" t="s">
        <v>51</v>
      </c>
      <c r="BE3161" t="s">
        <v>54</v>
      </c>
      <c r="BF3161">
        <v>2</v>
      </c>
      <c r="BG3161">
        <v>0</v>
      </c>
      <c r="BH3161" t="s">
        <v>53</v>
      </c>
      <c r="BK3161" t="s">
        <v>720</v>
      </c>
      <c r="BL3161">
        <v>17000</v>
      </c>
      <c r="BM3161" s="1">
        <v>44956</v>
      </c>
      <c r="BN3161" s="1">
        <v>44956</v>
      </c>
      <c r="BO3161" s="1">
        <v>44956</v>
      </c>
      <c r="BP3161" s="1">
        <v>46399</v>
      </c>
      <c r="BQ3161" t="s">
        <v>51</v>
      </c>
      <c r="BS3161" t="s">
        <v>60</v>
      </c>
      <c r="BT3161" t="s">
        <v>54</v>
      </c>
      <c r="BU3161" t="s">
        <v>721</v>
      </c>
      <c r="BV3161" t="s">
        <v>722</v>
      </c>
      <c r="BX3161">
        <v>18</v>
      </c>
      <c r="BY3161">
        <v>0</v>
      </c>
      <c r="BZ3161">
        <v>0</v>
      </c>
    </row>
    <row r="3162" spans="1:99" x14ac:dyDescent="0.2">
      <c r="A3162" t="s">
        <v>367</v>
      </c>
      <c r="B3162" t="s">
        <v>368</v>
      </c>
      <c r="C3162" t="s">
        <v>369</v>
      </c>
      <c r="D3162" t="s">
        <v>1315</v>
      </c>
      <c r="F3162" t="str">
        <f>"26044"</f>
        <v>26044</v>
      </c>
      <c r="G3162" t="s">
        <v>49</v>
      </c>
      <c r="H3162" t="s">
        <v>1328</v>
      </c>
      <c r="K3162" t="s">
        <v>51</v>
      </c>
      <c r="L3162" t="s">
        <v>52</v>
      </c>
      <c r="M3162">
        <v>137878.59</v>
      </c>
      <c r="N3162">
        <v>467773.92</v>
      </c>
      <c r="O3162" t="s">
        <v>53</v>
      </c>
      <c r="P3162" t="s">
        <v>54</v>
      </c>
      <c r="Q3162" t="s">
        <v>55</v>
      </c>
      <c r="T3162" t="s">
        <v>818</v>
      </c>
      <c r="U3162">
        <v>40</v>
      </c>
      <c r="V3162" s="1">
        <v>28125</v>
      </c>
      <c r="W3162" s="1">
        <v>28125</v>
      </c>
      <c r="X3162" s="1">
        <v>28125</v>
      </c>
      <c r="Y3162" s="1">
        <v>42735</v>
      </c>
      <c r="Z3162" t="s">
        <v>51</v>
      </c>
      <c r="AB3162" t="s">
        <v>54</v>
      </c>
      <c r="AC3162">
        <v>1</v>
      </c>
      <c r="AE3162" t="s">
        <v>827</v>
      </c>
      <c r="AF3162">
        <v>20</v>
      </c>
      <c r="AG3162" s="1">
        <v>31047</v>
      </c>
      <c r="AH3162" s="1">
        <v>31047</v>
      </c>
      <c r="AI3162" s="1">
        <v>31047</v>
      </c>
      <c r="AJ3162" s="1">
        <v>38352</v>
      </c>
      <c r="AK3162" t="s">
        <v>51</v>
      </c>
      <c r="AN3162">
        <v>0</v>
      </c>
      <c r="AO3162" t="s">
        <v>54</v>
      </c>
      <c r="AP3162" t="s">
        <v>53</v>
      </c>
      <c r="AQ3162">
        <v>0</v>
      </c>
      <c r="AR3162" t="s">
        <v>53</v>
      </c>
      <c r="AS3162">
        <v>0</v>
      </c>
      <c r="AT3162">
        <v>0</v>
      </c>
      <c r="AW3162" t="s">
        <v>58</v>
      </c>
      <c r="AX3162">
        <v>20</v>
      </c>
      <c r="AY3162" s="1">
        <v>31047</v>
      </c>
      <c r="AZ3162" s="1">
        <v>31047</v>
      </c>
      <c r="BA3162" s="1">
        <v>31047</v>
      </c>
      <c r="BB3162" s="1">
        <v>38352</v>
      </c>
      <c r="BC3162" t="s">
        <v>51</v>
      </c>
      <c r="BE3162" t="s">
        <v>54</v>
      </c>
      <c r="BF3162">
        <v>2</v>
      </c>
      <c r="BG3162">
        <v>0</v>
      </c>
      <c r="BH3162" t="s">
        <v>53</v>
      </c>
      <c r="BK3162" t="s">
        <v>720</v>
      </c>
      <c r="BL3162">
        <v>17000</v>
      </c>
      <c r="BM3162" s="1">
        <v>43759</v>
      </c>
      <c r="BN3162" s="1">
        <v>43759</v>
      </c>
      <c r="BO3162" s="1">
        <v>43759</v>
      </c>
      <c r="BP3162" s="1">
        <v>45198</v>
      </c>
      <c r="BQ3162" t="s">
        <v>51</v>
      </c>
      <c r="BS3162" t="s">
        <v>60</v>
      </c>
      <c r="BT3162" t="s">
        <v>54</v>
      </c>
      <c r="BU3162" t="s">
        <v>721</v>
      </c>
      <c r="BV3162" t="s">
        <v>722</v>
      </c>
      <c r="BX3162">
        <v>18</v>
      </c>
      <c r="BY3162">
        <v>0</v>
      </c>
      <c r="BZ3162">
        <v>0</v>
      </c>
    </row>
    <row r="3163" spans="1:99" x14ac:dyDescent="0.2">
      <c r="A3163" t="s">
        <v>367</v>
      </c>
      <c r="B3163" t="s">
        <v>368</v>
      </c>
      <c r="C3163" t="s">
        <v>369</v>
      </c>
      <c r="D3163" t="s">
        <v>1315</v>
      </c>
      <c r="F3163" t="str">
        <f>"26045"</f>
        <v>26045</v>
      </c>
      <c r="G3163" t="s">
        <v>49</v>
      </c>
      <c r="H3163" t="s">
        <v>1313</v>
      </c>
      <c r="K3163" t="s">
        <v>51</v>
      </c>
      <c r="L3163" t="s">
        <v>52</v>
      </c>
      <c r="M3163">
        <v>137897.07</v>
      </c>
      <c r="N3163">
        <v>467769.3</v>
      </c>
      <c r="O3163" t="s">
        <v>53</v>
      </c>
      <c r="P3163" t="s">
        <v>54</v>
      </c>
      <c r="Q3163" t="s">
        <v>55</v>
      </c>
      <c r="T3163" t="s">
        <v>818</v>
      </c>
      <c r="U3163">
        <v>40</v>
      </c>
      <c r="V3163" s="1">
        <v>28125</v>
      </c>
      <c r="W3163" s="1">
        <v>28125</v>
      </c>
      <c r="X3163" s="1">
        <v>28125</v>
      </c>
      <c r="Y3163" s="1">
        <v>42735</v>
      </c>
      <c r="Z3163" t="s">
        <v>51</v>
      </c>
      <c r="AB3163" t="s">
        <v>54</v>
      </c>
      <c r="AC3163">
        <v>1</v>
      </c>
      <c r="AE3163" t="s">
        <v>827</v>
      </c>
      <c r="AF3163">
        <v>20</v>
      </c>
      <c r="AG3163" s="1">
        <v>31047</v>
      </c>
      <c r="AH3163" s="1">
        <v>31047</v>
      </c>
      <c r="AI3163" s="1">
        <v>31047</v>
      </c>
      <c r="AJ3163" s="1">
        <v>38352</v>
      </c>
      <c r="AK3163" t="s">
        <v>51</v>
      </c>
      <c r="AN3163">
        <v>0</v>
      </c>
      <c r="AO3163" t="s">
        <v>54</v>
      </c>
      <c r="AP3163" t="s">
        <v>53</v>
      </c>
      <c r="AQ3163">
        <v>0</v>
      </c>
      <c r="AR3163" t="s">
        <v>53</v>
      </c>
      <c r="AS3163">
        <v>0</v>
      </c>
      <c r="AT3163">
        <v>0</v>
      </c>
      <c r="AW3163" t="s">
        <v>58</v>
      </c>
      <c r="AX3163">
        <v>20</v>
      </c>
      <c r="AY3163" s="1">
        <v>31047</v>
      </c>
      <c r="AZ3163" s="1">
        <v>31047</v>
      </c>
      <c r="BA3163" s="1">
        <v>31047</v>
      </c>
      <c r="BB3163" s="1">
        <v>38352</v>
      </c>
      <c r="BC3163" t="s">
        <v>51</v>
      </c>
      <c r="BE3163" t="s">
        <v>54</v>
      </c>
      <c r="BF3163">
        <v>2</v>
      </c>
      <c r="BG3163">
        <v>0</v>
      </c>
      <c r="BH3163" t="s">
        <v>53</v>
      </c>
      <c r="BK3163" t="s">
        <v>720</v>
      </c>
      <c r="BL3163">
        <v>17000</v>
      </c>
      <c r="BM3163" s="1">
        <v>43711</v>
      </c>
      <c r="BN3163" s="1">
        <v>43711</v>
      </c>
      <c r="BO3163" s="1">
        <v>43711</v>
      </c>
      <c r="BP3163" s="1">
        <v>45141</v>
      </c>
      <c r="BQ3163" t="s">
        <v>51</v>
      </c>
      <c r="BS3163" t="s">
        <v>60</v>
      </c>
      <c r="BT3163" t="s">
        <v>54</v>
      </c>
      <c r="BU3163" t="s">
        <v>721</v>
      </c>
      <c r="BV3163" t="s">
        <v>722</v>
      </c>
      <c r="BX3163">
        <v>18</v>
      </c>
      <c r="BY3163">
        <v>0</v>
      </c>
      <c r="BZ3163">
        <v>0</v>
      </c>
    </row>
    <row r="3164" spans="1:99" x14ac:dyDescent="0.2">
      <c r="A3164" t="s">
        <v>367</v>
      </c>
      <c r="B3164" t="s">
        <v>368</v>
      </c>
      <c r="C3164" t="s">
        <v>369</v>
      </c>
      <c r="D3164" t="s">
        <v>1198</v>
      </c>
      <c r="F3164" t="str">
        <f>"26046"</f>
        <v>26046</v>
      </c>
      <c r="G3164" t="s">
        <v>49</v>
      </c>
      <c r="H3164" t="s">
        <v>1329</v>
      </c>
      <c r="K3164" t="s">
        <v>51</v>
      </c>
      <c r="L3164" t="s">
        <v>52</v>
      </c>
      <c r="M3164">
        <v>137842.37</v>
      </c>
      <c r="N3164">
        <v>467667.95</v>
      </c>
      <c r="O3164" t="s">
        <v>53</v>
      </c>
      <c r="P3164" t="s">
        <v>54</v>
      </c>
      <c r="Q3164" t="s">
        <v>55</v>
      </c>
      <c r="T3164" t="s">
        <v>818</v>
      </c>
      <c r="U3164">
        <v>40</v>
      </c>
      <c r="V3164" s="1">
        <v>29586</v>
      </c>
      <c r="W3164" s="1">
        <v>29586</v>
      </c>
      <c r="X3164" s="1">
        <v>29586</v>
      </c>
      <c r="Y3164" s="1">
        <v>44196</v>
      </c>
      <c r="Z3164" t="s">
        <v>51</v>
      </c>
      <c r="AB3164" t="s">
        <v>54</v>
      </c>
      <c r="AC3164">
        <v>1</v>
      </c>
      <c r="AE3164" t="s">
        <v>827</v>
      </c>
      <c r="AF3164">
        <v>20</v>
      </c>
      <c r="AG3164" s="1">
        <v>31047</v>
      </c>
      <c r="AH3164" s="1">
        <v>31047</v>
      </c>
      <c r="AI3164" s="1">
        <v>31047</v>
      </c>
      <c r="AJ3164" s="1">
        <v>38352</v>
      </c>
      <c r="AK3164" t="s">
        <v>51</v>
      </c>
      <c r="AN3164">
        <v>0</v>
      </c>
      <c r="AO3164" t="s">
        <v>54</v>
      </c>
      <c r="AP3164" t="s">
        <v>53</v>
      </c>
      <c r="AQ3164">
        <v>0</v>
      </c>
      <c r="AR3164" t="s">
        <v>53</v>
      </c>
      <c r="AS3164">
        <v>0</v>
      </c>
      <c r="AT3164">
        <v>0</v>
      </c>
      <c r="CC3164" t="s">
        <v>850</v>
      </c>
      <c r="CD3164">
        <v>1</v>
      </c>
      <c r="CE3164" s="1">
        <v>42552</v>
      </c>
      <c r="CF3164" s="1">
        <v>42552</v>
      </c>
      <c r="CG3164" s="1">
        <v>42552</v>
      </c>
      <c r="CH3164" s="1">
        <v>49714</v>
      </c>
      <c r="CI3164" t="s">
        <v>51</v>
      </c>
      <c r="CK3164" t="s">
        <v>78</v>
      </c>
      <c r="CM3164" t="s">
        <v>54</v>
      </c>
      <c r="CN3164" t="s">
        <v>174</v>
      </c>
      <c r="CO3164" t="s">
        <v>86</v>
      </c>
      <c r="CR3164">
        <v>18</v>
      </c>
      <c r="CS3164">
        <v>0</v>
      </c>
      <c r="CT3164">
        <v>0</v>
      </c>
      <c r="CU3164">
        <v>0</v>
      </c>
    </row>
    <row r="3165" spans="1:99" x14ac:dyDescent="0.2">
      <c r="A3165" t="s">
        <v>367</v>
      </c>
      <c r="B3165" t="s">
        <v>368</v>
      </c>
      <c r="C3165" t="s">
        <v>369</v>
      </c>
      <c r="D3165" t="s">
        <v>1198</v>
      </c>
      <c r="F3165" t="str">
        <f>"26047"</f>
        <v>26047</v>
      </c>
      <c r="G3165" t="s">
        <v>49</v>
      </c>
      <c r="H3165" t="s">
        <v>1330</v>
      </c>
      <c r="K3165" t="s">
        <v>51</v>
      </c>
      <c r="L3165" t="s">
        <v>52</v>
      </c>
      <c r="M3165">
        <v>137843.25</v>
      </c>
      <c r="N3165">
        <v>467681.81</v>
      </c>
      <c r="O3165" t="s">
        <v>53</v>
      </c>
      <c r="P3165" t="s">
        <v>54</v>
      </c>
      <c r="Q3165" t="s">
        <v>55</v>
      </c>
      <c r="T3165" t="s">
        <v>818</v>
      </c>
      <c r="U3165">
        <v>40</v>
      </c>
      <c r="V3165" s="1">
        <v>29586</v>
      </c>
      <c r="W3165" s="1">
        <v>29586</v>
      </c>
      <c r="X3165" s="1">
        <v>29586</v>
      </c>
      <c r="Y3165" s="1">
        <v>44196</v>
      </c>
      <c r="Z3165" t="s">
        <v>51</v>
      </c>
      <c r="AB3165" t="s">
        <v>54</v>
      </c>
      <c r="AC3165">
        <v>1</v>
      </c>
      <c r="AE3165" t="s">
        <v>827</v>
      </c>
      <c r="AF3165">
        <v>20</v>
      </c>
      <c r="AG3165" s="1">
        <v>31047</v>
      </c>
      <c r="AH3165" s="1">
        <v>31047</v>
      </c>
      <c r="AI3165" s="1">
        <v>31047</v>
      </c>
      <c r="AJ3165" s="1">
        <v>38352</v>
      </c>
      <c r="AK3165" t="s">
        <v>51</v>
      </c>
      <c r="AN3165">
        <v>0</v>
      </c>
      <c r="AO3165" t="s">
        <v>54</v>
      </c>
      <c r="AP3165" t="s">
        <v>53</v>
      </c>
      <c r="AQ3165">
        <v>0</v>
      </c>
      <c r="AR3165" t="s">
        <v>53</v>
      </c>
      <c r="AS3165">
        <v>0</v>
      </c>
      <c r="AT3165">
        <v>0</v>
      </c>
      <c r="CC3165" t="s">
        <v>850</v>
      </c>
      <c r="CD3165">
        <v>1</v>
      </c>
      <c r="CE3165" s="1">
        <v>42552</v>
      </c>
      <c r="CF3165" s="1">
        <v>42552</v>
      </c>
      <c r="CG3165" s="1">
        <v>42552</v>
      </c>
      <c r="CH3165" s="1">
        <v>49714</v>
      </c>
      <c r="CI3165" t="s">
        <v>51</v>
      </c>
      <c r="CK3165" t="s">
        <v>78</v>
      </c>
      <c r="CM3165" t="s">
        <v>54</v>
      </c>
      <c r="CN3165" t="s">
        <v>174</v>
      </c>
      <c r="CO3165" t="s">
        <v>86</v>
      </c>
      <c r="CR3165">
        <v>18</v>
      </c>
      <c r="CS3165">
        <v>0</v>
      </c>
      <c r="CT3165">
        <v>0</v>
      </c>
      <c r="CU3165">
        <v>0</v>
      </c>
    </row>
    <row r="3166" spans="1:99" x14ac:dyDescent="0.2">
      <c r="A3166" t="s">
        <v>367</v>
      </c>
      <c r="B3166" t="s">
        <v>368</v>
      </c>
      <c r="C3166" t="s">
        <v>369</v>
      </c>
      <c r="D3166" t="s">
        <v>1198</v>
      </c>
      <c r="F3166" t="str">
        <f>"26048"</f>
        <v>26048</v>
      </c>
      <c r="G3166" t="s">
        <v>49</v>
      </c>
      <c r="H3166" t="s">
        <v>1331</v>
      </c>
      <c r="K3166" t="s">
        <v>51</v>
      </c>
      <c r="L3166" t="s">
        <v>52</v>
      </c>
      <c r="M3166">
        <v>137866.13</v>
      </c>
      <c r="N3166">
        <v>467682.25</v>
      </c>
      <c r="O3166" t="s">
        <v>53</v>
      </c>
      <c r="P3166" t="s">
        <v>54</v>
      </c>
      <c r="Q3166" t="s">
        <v>55</v>
      </c>
      <c r="T3166" t="s">
        <v>818</v>
      </c>
      <c r="U3166">
        <v>40</v>
      </c>
      <c r="V3166" s="1">
        <v>29586</v>
      </c>
      <c r="W3166" s="1">
        <v>29586</v>
      </c>
      <c r="X3166" s="1">
        <v>29586</v>
      </c>
      <c r="Y3166" s="1">
        <v>44196</v>
      </c>
      <c r="Z3166" t="s">
        <v>51</v>
      </c>
      <c r="AB3166" t="s">
        <v>54</v>
      </c>
      <c r="AC3166">
        <v>1</v>
      </c>
      <c r="AE3166" t="s">
        <v>827</v>
      </c>
      <c r="AF3166">
        <v>20</v>
      </c>
      <c r="AG3166" s="1">
        <v>31047</v>
      </c>
      <c r="AH3166" s="1">
        <v>31047</v>
      </c>
      <c r="AI3166" s="1">
        <v>31047</v>
      </c>
      <c r="AJ3166" s="1">
        <v>38352</v>
      </c>
      <c r="AK3166" t="s">
        <v>51</v>
      </c>
      <c r="AN3166">
        <v>0</v>
      </c>
      <c r="AO3166" t="s">
        <v>54</v>
      </c>
      <c r="AP3166" t="s">
        <v>53</v>
      </c>
      <c r="AQ3166">
        <v>0</v>
      </c>
      <c r="AR3166" t="s">
        <v>53</v>
      </c>
      <c r="AS3166">
        <v>0</v>
      </c>
      <c r="AT3166">
        <v>0</v>
      </c>
      <c r="CC3166" t="s">
        <v>850</v>
      </c>
      <c r="CD3166">
        <v>1</v>
      </c>
      <c r="CE3166" s="1">
        <v>42552</v>
      </c>
      <c r="CF3166" s="1">
        <v>42552</v>
      </c>
      <c r="CG3166" s="1">
        <v>42552</v>
      </c>
      <c r="CH3166" s="1">
        <v>49714</v>
      </c>
      <c r="CI3166" t="s">
        <v>51</v>
      </c>
      <c r="CK3166" t="s">
        <v>78</v>
      </c>
      <c r="CM3166" t="s">
        <v>54</v>
      </c>
      <c r="CN3166" t="s">
        <v>174</v>
      </c>
      <c r="CO3166" t="s">
        <v>86</v>
      </c>
      <c r="CR3166">
        <v>18</v>
      </c>
      <c r="CS3166">
        <v>0</v>
      </c>
      <c r="CT3166">
        <v>0</v>
      </c>
      <c r="CU3166">
        <v>0</v>
      </c>
    </row>
    <row r="3167" spans="1:99" x14ac:dyDescent="0.2">
      <c r="A3167" t="s">
        <v>367</v>
      </c>
      <c r="B3167" t="s">
        <v>368</v>
      </c>
      <c r="C3167" t="s">
        <v>369</v>
      </c>
      <c r="D3167" t="s">
        <v>1198</v>
      </c>
      <c r="F3167" t="str">
        <f>"26049"</f>
        <v>26049</v>
      </c>
      <c r="G3167" t="s">
        <v>49</v>
      </c>
      <c r="H3167" t="s">
        <v>1316</v>
      </c>
      <c r="K3167" t="s">
        <v>51</v>
      </c>
      <c r="L3167" t="s">
        <v>52</v>
      </c>
      <c r="M3167">
        <v>137848.31</v>
      </c>
      <c r="N3167">
        <v>467697.65</v>
      </c>
      <c r="O3167" t="s">
        <v>53</v>
      </c>
      <c r="P3167" t="s">
        <v>54</v>
      </c>
      <c r="Q3167" t="s">
        <v>55</v>
      </c>
      <c r="T3167" t="s">
        <v>818</v>
      </c>
      <c r="U3167">
        <v>40</v>
      </c>
      <c r="V3167" s="1">
        <v>29586</v>
      </c>
      <c r="W3167" s="1">
        <v>29586</v>
      </c>
      <c r="X3167" s="1">
        <v>29586</v>
      </c>
      <c r="Y3167" s="1">
        <v>44196</v>
      </c>
      <c r="Z3167" t="s">
        <v>51</v>
      </c>
      <c r="AB3167" t="s">
        <v>54</v>
      </c>
      <c r="AC3167">
        <v>1</v>
      </c>
      <c r="AE3167" t="s">
        <v>827</v>
      </c>
      <c r="AF3167">
        <v>20</v>
      </c>
      <c r="AG3167" s="1">
        <v>31047</v>
      </c>
      <c r="AH3167" s="1">
        <v>31047</v>
      </c>
      <c r="AI3167" s="1">
        <v>31047</v>
      </c>
      <c r="AJ3167" s="1">
        <v>38352</v>
      </c>
      <c r="AK3167" t="s">
        <v>51</v>
      </c>
      <c r="AN3167">
        <v>0</v>
      </c>
      <c r="AO3167" t="s">
        <v>54</v>
      </c>
      <c r="AP3167" t="s">
        <v>53</v>
      </c>
      <c r="AQ3167">
        <v>0</v>
      </c>
      <c r="AR3167" t="s">
        <v>53</v>
      </c>
      <c r="AS3167">
        <v>0</v>
      </c>
      <c r="AT3167">
        <v>0</v>
      </c>
      <c r="CC3167" t="s">
        <v>850</v>
      </c>
      <c r="CD3167">
        <v>1</v>
      </c>
      <c r="CE3167" s="1">
        <v>42552</v>
      </c>
      <c r="CF3167" s="1">
        <v>42552</v>
      </c>
      <c r="CG3167" s="1">
        <v>42552</v>
      </c>
      <c r="CH3167" s="1">
        <v>49714</v>
      </c>
      <c r="CI3167" t="s">
        <v>51</v>
      </c>
      <c r="CK3167" t="s">
        <v>78</v>
      </c>
      <c r="CM3167" t="s">
        <v>54</v>
      </c>
      <c r="CN3167" t="s">
        <v>174</v>
      </c>
      <c r="CO3167" t="s">
        <v>86</v>
      </c>
      <c r="CR3167">
        <v>18</v>
      </c>
      <c r="CS3167">
        <v>0</v>
      </c>
      <c r="CT3167">
        <v>0</v>
      </c>
      <c r="CU3167">
        <v>0</v>
      </c>
    </row>
    <row r="3168" spans="1:99" x14ac:dyDescent="0.2">
      <c r="A3168" t="s">
        <v>367</v>
      </c>
      <c r="B3168" t="s">
        <v>368</v>
      </c>
      <c r="C3168" t="s">
        <v>369</v>
      </c>
      <c r="D3168" t="s">
        <v>1198</v>
      </c>
      <c r="F3168" t="str">
        <f>"26050"</f>
        <v>26050</v>
      </c>
      <c r="G3168" t="s">
        <v>49</v>
      </c>
      <c r="H3168" t="s">
        <v>1332</v>
      </c>
      <c r="K3168" t="s">
        <v>51</v>
      </c>
      <c r="L3168" t="s">
        <v>52</v>
      </c>
      <c r="M3168">
        <v>137852.49</v>
      </c>
      <c r="N3168">
        <v>467716.35</v>
      </c>
      <c r="O3168" t="s">
        <v>53</v>
      </c>
      <c r="P3168" t="s">
        <v>54</v>
      </c>
      <c r="Q3168" t="s">
        <v>55</v>
      </c>
      <c r="T3168" t="s">
        <v>818</v>
      </c>
      <c r="U3168">
        <v>40</v>
      </c>
      <c r="V3168" s="1">
        <v>29586</v>
      </c>
      <c r="W3168" s="1">
        <v>29586</v>
      </c>
      <c r="X3168" s="1">
        <v>29586</v>
      </c>
      <c r="Y3168" s="1">
        <v>44196</v>
      </c>
      <c r="Z3168" t="s">
        <v>51</v>
      </c>
      <c r="AB3168" t="s">
        <v>54</v>
      </c>
      <c r="AC3168">
        <v>1</v>
      </c>
      <c r="AE3168" t="s">
        <v>827</v>
      </c>
      <c r="AF3168">
        <v>20</v>
      </c>
      <c r="AG3168" s="1">
        <v>31047</v>
      </c>
      <c r="AH3168" s="1">
        <v>31047</v>
      </c>
      <c r="AI3168" s="1">
        <v>31047</v>
      </c>
      <c r="AJ3168" s="1">
        <v>38352</v>
      </c>
      <c r="AK3168" t="s">
        <v>51</v>
      </c>
      <c r="AN3168">
        <v>0</v>
      </c>
      <c r="AO3168" t="s">
        <v>54</v>
      </c>
      <c r="AP3168" t="s">
        <v>53</v>
      </c>
      <c r="AQ3168">
        <v>0</v>
      </c>
      <c r="AR3168" t="s">
        <v>53</v>
      </c>
      <c r="AS3168">
        <v>0</v>
      </c>
      <c r="AT3168">
        <v>0</v>
      </c>
      <c r="CC3168" t="s">
        <v>850</v>
      </c>
      <c r="CD3168">
        <v>1</v>
      </c>
      <c r="CE3168" s="1">
        <v>42552</v>
      </c>
      <c r="CF3168" s="1">
        <v>42552</v>
      </c>
      <c r="CG3168" s="1">
        <v>42552</v>
      </c>
      <c r="CH3168" s="1">
        <v>49714</v>
      </c>
      <c r="CI3168" t="s">
        <v>51</v>
      </c>
      <c r="CK3168" t="s">
        <v>78</v>
      </c>
      <c r="CM3168" t="s">
        <v>54</v>
      </c>
      <c r="CN3168" t="s">
        <v>174</v>
      </c>
      <c r="CO3168" t="s">
        <v>86</v>
      </c>
      <c r="CR3168">
        <v>18</v>
      </c>
      <c r="CS3168">
        <v>0</v>
      </c>
      <c r="CT3168">
        <v>0</v>
      </c>
      <c r="CU3168">
        <v>0</v>
      </c>
    </row>
    <row r="3169" spans="1:99" x14ac:dyDescent="0.2">
      <c r="A3169" t="s">
        <v>367</v>
      </c>
      <c r="B3169" t="s">
        <v>368</v>
      </c>
      <c r="C3169" t="s">
        <v>369</v>
      </c>
      <c r="D3169" t="s">
        <v>1198</v>
      </c>
      <c r="F3169" t="str">
        <f>"26051"</f>
        <v>26051</v>
      </c>
      <c r="G3169" t="s">
        <v>49</v>
      </c>
      <c r="H3169" t="s">
        <v>1333</v>
      </c>
      <c r="K3169" t="s">
        <v>51</v>
      </c>
      <c r="L3169" t="s">
        <v>52</v>
      </c>
      <c r="M3169">
        <v>137831.59</v>
      </c>
      <c r="N3169">
        <v>467706.45</v>
      </c>
      <c r="O3169" t="s">
        <v>53</v>
      </c>
      <c r="P3169" t="s">
        <v>54</v>
      </c>
      <c r="Q3169" t="s">
        <v>55</v>
      </c>
      <c r="T3169" t="s">
        <v>818</v>
      </c>
      <c r="U3169">
        <v>40</v>
      </c>
      <c r="V3169" s="1">
        <v>29586</v>
      </c>
      <c r="W3169" s="1">
        <v>29586</v>
      </c>
      <c r="X3169" s="1">
        <v>29586</v>
      </c>
      <c r="Y3169" s="1">
        <v>44196</v>
      </c>
      <c r="Z3169" t="s">
        <v>51</v>
      </c>
      <c r="AB3169" t="s">
        <v>54</v>
      </c>
      <c r="AC3169">
        <v>1</v>
      </c>
      <c r="AE3169" t="s">
        <v>827</v>
      </c>
      <c r="AF3169">
        <v>20</v>
      </c>
      <c r="AG3169" s="1">
        <v>31047</v>
      </c>
      <c r="AH3169" s="1">
        <v>31047</v>
      </c>
      <c r="AI3169" s="1">
        <v>31047</v>
      </c>
      <c r="AJ3169" s="1">
        <v>38352</v>
      </c>
      <c r="AK3169" t="s">
        <v>51</v>
      </c>
      <c r="AN3169">
        <v>0</v>
      </c>
      <c r="AO3169" t="s">
        <v>54</v>
      </c>
      <c r="AP3169" t="s">
        <v>53</v>
      </c>
      <c r="AQ3169">
        <v>0</v>
      </c>
      <c r="AR3169" t="s">
        <v>53</v>
      </c>
      <c r="AS3169">
        <v>0</v>
      </c>
      <c r="AT3169">
        <v>0</v>
      </c>
      <c r="CC3169" t="s">
        <v>850</v>
      </c>
      <c r="CD3169">
        <v>1</v>
      </c>
      <c r="CE3169" s="1">
        <v>42552</v>
      </c>
      <c r="CF3169" s="1">
        <v>42552</v>
      </c>
      <c r="CG3169" s="1">
        <v>42552</v>
      </c>
      <c r="CH3169" s="1">
        <v>42552</v>
      </c>
      <c r="CI3169" t="s">
        <v>51</v>
      </c>
      <c r="CK3169" t="s">
        <v>78</v>
      </c>
      <c r="CM3169" t="s">
        <v>54</v>
      </c>
      <c r="CN3169" t="s">
        <v>174</v>
      </c>
      <c r="CO3169" t="s">
        <v>86</v>
      </c>
      <c r="CR3169">
        <v>18</v>
      </c>
      <c r="CS3169">
        <v>0</v>
      </c>
      <c r="CT3169">
        <v>0</v>
      </c>
      <c r="CU3169">
        <v>0</v>
      </c>
    </row>
    <row r="3170" spans="1:99" x14ac:dyDescent="0.2">
      <c r="A3170" t="s">
        <v>367</v>
      </c>
      <c r="B3170" t="s">
        <v>368</v>
      </c>
      <c r="C3170" t="s">
        <v>369</v>
      </c>
      <c r="D3170" t="s">
        <v>1196</v>
      </c>
      <c r="F3170" t="str">
        <f>"26053"</f>
        <v>26053</v>
      </c>
      <c r="G3170" t="s">
        <v>49</v>
      </c>
      <c r="H3170" t="s">
        <v>920</v>
      </c>
      <c r="K3170" t="s">
        <v>51</v>
      </c>
      <c r="L3170" t="s">
        <v>52</v>
      </c>
      <c r="M3170">
        <v>137723.51</v>
      </c>
      <c r="N3170">
        <v>467637.88</v>
      </c>
      <c r="O3170" t="s">
        <v>53</v>
      </c>
      <c r="P3170" t="s">
        <v>54</v>
      </c>
      <c r="Q3170" t="s">
        <v>55</v>
      </c>
      <c r="T3170" t="s">
        <v>818</v>
      </c>
      <c r="U3170">
        <v>40</v>
      </c>
      <c r="V3170" s="1">
        <v>29586</v>
      </c>
      <c r="W3170" s="1">
        <v>29586</v>
      </c>
      <c r="X3170" s="1">
        <v>29586</v>
      </c>
      <c r="Y3170" s="1">
        <v>44196</v>
      </c>
      <c r="Z3170" t="s">
        <v>51</v>
      </c>
      <c r="AB3170" t="s">
        <v>54</v>
      </c>
      <c r="AC3170">
        <v>1</v>
      </c>
      <c r="AE3170" t="s">
        <v>827</v>
      </c>
      <c r="AF3170">
        <v>20</v>
      </c>
      <c r="AG3170" s="1">
        <v>31047</v>
      </c>
      <c r="AH3170" s="1">
        <v>31047</v>
      </c>
      <c r="AI3170" s="1">
        <v>31047</v>
      </c>
      <c r="AJ3170" s="1">
        <v>38352</v>
      </c>
      <c r="AK3170" t="s">
        <v>51</v>
      </c>
      <c r="AN3170">
        <v>0</v>
      </c>
      <c r="AO3170" t="s">
        <v>54</v>
      </c>
      <c r="AP3170" t="s">
        <v>53</v>
      </c>
      <c r="AQ3170">
        <v>0</v>
      </c>
      <c r="AR3170" t="s">
        <v>53</v>
      </c>
      <c r="AS3170">
        <v>0</v>
      </c>
      <c r="AT3170">
        <v>0</v>
      </c>
      <c r="CC3170" t="s">
        <v>850</v>
      </c>
      <c r="CD3170">
        <v>1</v>
      </c>
      <c r="CE3170" s="1">
        <v>42552</v>
      </c>
      <c r="CF3170" s="1">
        <v>42552</v>
      </c>
      <c r="CG3170" s="1">
        <v>42552</v>
      </c>
      <c r="CH3170" s="1">
        <v>49714</v>
      </c>
      <c r="CI3170" t="s">
        <v>51</v>
      </c>
      <c r="CK3170" t="s">
        <v>78</v>
      </c>
      <c r="CM3170" t="s">
        <v>54</v>
      </c>
      <c r="CN3170" t="s">
        <v>174</v>
      </c>
      <c r="CO3170" t="s">
        <v>86</v>
      </c>
      <c r="CR3170">
        <v>18</v>
      </c>
      <c r="CS3170">
        <v>0</v>
      </c>
      <c r="CT3170">
        <v>0</v>
      </c>
      <c r="CU3170">
        <v>0</v>
      </c>
    </row>
    <row r="3171" spans="1:99" x14ac:dyDescent="0.2">
      <c r="A3171" t="s">
        <v>367</v>
      </c>
      <c r="B3171" t="s">
        <v>368</v>
      </c>
      <c r="C3171" t="s">
        <v>369</v>
      </c>
      <c r="D3171" t="s">
        <v>1196</v>
      </c>
      <c r="F3171" t="str">
        <f>"26054"</f>
        <v>26054</v>
      </c>
      <c r="G3171" t="s">
        <v>49</v>
      </c>
      <c r="H3171" t="s">
        <v>852</v>
      </c>
      <c r="K3171" t="s">
        <v>51</v>
      </c>
      <c r="L3171" t="s">
        <v>52</v>
      </c>
      <c r="M3171">
        <v>137705.26999999999</v>
      </c>
      <c r="N3171">
        <v>467645.09</v>
      </c>
      <c r="O3171" t="s">
        <v>53</v>
      </c>
      <c r="P3171" t="s">
        <v>54</v>
      </c>
      <c r="Q3171" t="s">
        <v>55</v>
      </c>
      <c r="T3171" t="s">
        <v>818</v>
      </c>
      <c r="U3171">
        <v>40</v>
      </c>
      <c r="V3171" s="1">
        <v>29586</v>
      </c>
      <c r="W3171" s="1">
        <v>29586</v>
      </c>
      <c r="X3171" s="1">
        <v>29586</v>
      </c>
      <c r="Y3171" s="1">
        <v>44196</v>
      </c>
      <c r="Z3171" t="s">
        <v>51</v>
      </c>
      <c r="AB3171" t="s">
        <v>54</v>
      </c>
      <c r="AC3171">
        <v>1</v>
      </c>
      <c r="AE3171" t="s">
        <v>827</v>
      </c>
      <c r="AF3171">
        <v>20</v>
      </c>
      <c r="AG3171" s="1">
        <v>31047</v>
      </c>
      <c r="AH3171" s="1">
        <v>31047</v>
      </c>
      <c r="AI3171" s="1">
        <v>31047</v>
      </c>
      <c r="AJ3171" s="1">
        <v>38352</v>
      </c>
      <c r="AK3171" t="s">
        <v>51</v>
      </c>
      <c r="AN3171">
        <v>0</v>
      </c>
      <c r="AO3171" t="s">
        <v>54</v>
      </c>
      <c r="AP3171" t="s">
        <v>53</v>
      </c>
      <c r="AQ3171">
        <v>0</v>
      </c>
      <c r="AR3171" t="s">
        <v>53</v>
      </c>
      <c r="AS3171">
        <v>0</v>
      </c>
      <c r="AT3171">
        <v>0</v>
      </c>
      <c r="CC3171" t="s">
        <v>850</v>
      </c>
      <c r="CD3171">
        <v>1</v>
      </c>
      <c r="CE3171" s="1">
        <v>42552</v>
      </c>
      <c r="CF3171" s="1">
        <v>42552</v>
      </c>
      <c r="CG3171" s="1">
        <v>42552</v>
      </c>
      <c r="CH3171" s="1">
        <v>49714</v>
      </c>
      <c r="CI3171" t="s">
        <v>51</v>
      </c>
      <c r="CK3171" t="s">
        <v>78</v>
      </c>
      <c r="CM3171" t="s">
        <v>54</v>
      </c>
      <c r="CN3171" t="s">
        <v>174</v>
      </c>
      <c r="CO3171" t="s">
        <v>86</v>
      </c>
      <c r="CR3171">
        <v>18</v>
      </c>
      <c r="CS3171">
        <v>0</v>
      </c>
      <c r="CT3171">
        <v>0</v>
      </c>
      <c r="CU3171">
        <v>0</v>
      </c>
    </row>
    <row r="3172" spans="1:99" x14ac:dyDescent="0.2">
      <c r="A3172" t="s">
        <v>367</v>
      </c>
      <c r="B3172" t="s">
        <v>368</v>
      </c>
      <c r="C3172" t="s">
        <v>369</v>
      </c>
      <c r="D3172" t="s">
        <v>1196</v>
      </c>
      <c r="F3172" t="str">
        <f>"26055"</f>
        <v>26055</v>
      </c>
      <c r="G3172" t="s">
        <v>49</v>
      </c>
      <c r="H3172" t="s">
        <v>1228</v>
      </c>
      <c r="K3172" t="s">
        <v>51</v>
      </c>
      <c r="L3172" t="s">
        <v>52</v>
      </c>
      <c r="M3172">
        <v>137686.54999999999</v>
      </c>
      <c r="N3172">
        <v>467646.9</v>
      </c>
      <c r="O3172" t="s">
        <v>53</v>
      </c>
      <c r="P3172" t="s">
        <v>54</v>
      </c>
      <c r="Q3172" t="s">
        <v>55</v>
      </c>
      <c r="T3172" t="s">
        <v>818</v>
      </c>
      <c r="U3172">
        <v>40</v>
      </c>
      <c r="V3172" s="1">
        <v>29586</v>
      </c>
      <c r="W3172" s="1">
        <v>29586</v>
      </c>
      <c r="X3172" s="1">
        <v>29586</v>
      </c>
      <c r="Y3172" s="1">
        <v>44196</v>
      </c>
      <c r="Z3172" t="s">
        <v>51</v>
      </c>
      <c r="AB3172" t="s">
        <v>54</v>
      </c>
      <c r="AC3172">
        <v>1</v>
      </c>
      <c r="AE3172" t="s">
        <v>827</v>
      </c>
      <c r="AF3172">
        <v>20</v>
      </c>
      <c r="AG3172" s="1">
        <v>31047</v>
      </c>
      <c r="AH3172" s="1">
        <v>31047</v>
      </c>
      <c r="AI3172" s="1">
        <v>31047</v>
      </c>
      <c r="AJ3172" s="1">
        <v>38352</v>
      </c>
      <c r="AK3172" t="s">
        <v>51</v>
      </c>
      <c r="AN3172">
        <v>0</v>
      </c>
      <c r="AO3172" t="s">
        <v>54</v>
      </c>
      <c r="AP3172" t="s">
        <v>53</v>
      </c>
      <c r="AQ3172">
        <v>0</v>
      </c>
      <c r="AR3172" t="s">
        <v>53</v>
      </c>
      <c r="AS3172">
        <v>0</v>
      </c>
      <c r="AT3172">
        <v>0</v>
      </c>
      <c r="CC3172" t="s">
        <v>850</v>
      </c>
      <c r="CD3172">
        <v>1</v>
      </c>
      <c r="CE3172" s="1">
        <v>42552</v>
      </c>
      <c r="CF3172" s="1">
        <v>42552</v>
      </c>
      <c r="CG3172" s="1">
        <v>42552</v>
      </c>
      <c r="CH3172" s="1">
        <v>49714</v>
      </c>
      <c r="CI3172" t="s">
        <v>51</v>
      </c>
      <c r="CK3172" t="s">
        <v>78</v>
      </c>
      <c r="CM3172" t="s">
        <v>54</v>
      </c>
      <c r="CN3172" t="s">
        <v>174</v>
      </c>
      <c r="CO3172" t="s">
        <v>86</v>
      </c>
      <c r="CR3172">
        <v>18</v>
      </c>
      <c r="CS3172">
        <v>0</v>
      </c>
      <c r="CT3172">
        <v>0</v>
      </c>
      <c r="CU3172">
        <v>0</v>
      </c>
    </row>
    <row r="3173" spans="1:99" x14ac:dyDescent="0.2">
      <c r="A3173" t="s">
        <v>367</v>
      </c>
      <c r="B3173" t="s">
        <v>368</v>
      </c>
      <c r="C3173" t="s">
        <v>369</v>
      </c>
      <c r="D3173" t="s">
        <v>1198</v>
      </c>
      <c r="F3173" t="str">
        <f>"26056"</f>
        <v>26056</v>
      </c>
      <c r="G3173" t="s">
        <v>49</v>
      </c>
      <c r="H3173" t="s">
        <v>1334</v>
      </c>
      <c r="K3173" t="s">
        <v>51</v>
      </c>
      <c r="L3173" t="s">
        <v>52</v>
      </c>
      <c r="M3173">
        <v>137696.32999999999</v>
      </c>
      <c r="N3173">
        <v>467506.11</v>
      </c>
      <c r="O3173" t="s">
        <v>53</v>
      </c>
      <c r="P3173" t="s">
        <v>54</v>
      </c>
      <c r="Q3173" t="s">
        <v>55</v>
      </c>
      <c r="T3173" t="s">
        <v>818</v>
      </c>
      <c r="U3173">
        <v>40</v>
      </c>
      <c r="V3173" s="1">
        <v>29586</v>
      </c>
      <c r="W3173" s="1">
        <v>29586</v>
      </c>
      <c r="X3173" s="1">
        <v>29586</v>
      </c>
      <c r="Y3173" s="1">
        <v>44196</v>
      </c>
      <c r="Z3173" t="s">
        <v>51</v>
      </c>
      <c r="AB3173" t="s">
        <v>54</v>
      </c>
      <c r="AC3173">
        <v>1</v>
      </c>
      <c r="AE3173" t="s">
        <v>819</v>
      </c>
      <c r="AF3173">
        <v>20</v>
      </c>
      <c r="AG3173" s="1">
        <v>35025</v>
      </c>
      <c r="AH3173" s="1">
        <v>35025</v>
      </c>
      <c r="AI3173" s="1">
        <v>35025</v>
      </c>
      <c r="AJ3173" s="1">
        <v>42330</v>
      </c>
      <c r="AK3173" t="s">
        <v>51</v>
      </c>
      <c r="AN3173">
        <v>0</v>
      </c>
      <c r="AO3173" t="s">
        <v>54</v>
      </c>
      <c r="AP3173" t="s">
        <v>53</v>
      </c>
      <c r="AQ3173">
        <v>0</v>
      </c>
      <c r="AR3173" t="s">
        <v>53</v>
      </c>
      <c r="AS3173">
        <v>0</v>
      </c>
      <c r="AT3173">
        <v>0</v>
      </c>
      <c r="CC3173" t="s">
        <v>850</v>
      </c>
      <c r="CD3173">
        <v>1</v>
      </c>
      <c r="CE3173" s="1">
        <v>42552</v>
      </c>
      <c r="CF3173" s="1">
        <v>42552</v>
      </c>
      <c r="CG3173" s="1">
        <v>42552</v>
      </c>
      <c r="CH3173" s="1">
        <v>49714</v>
      </c>
      <c r="CI3173" t="s">
        <v>51</v>
      </c>
      <c r="CK3173" t="s">
        <v>78</v>
      </c>
      <c r="CM3173" t="s">
        <v>54</v>
      </c>
      <c r="CN3173" t="s">
        <v>174</v>
      </c>
      <c r="CO3173" t="s">
        <v>86</v>
      </c>
      <c r="CR3173">
        <v>18</v>
      </c>
      <c r="CS3173">
        <v>0</v>
      </c>
      <c r="CT3173">
        <v>0</v>
      </c>
      <c r="CU3173">
        <v>0</v>
      </c>
    </row>
    <row r="3174" spans="1:99" x14ac:dyDescent="0.2">
      <c r="A3174" t="s">
        <v>367</v>
      </c>
      <c r="B3174" t="s">
        <v>368</v>
      </c>
      <c r="C3174" t="s">
        <v>369</v>
      </c>
      <c r="D3174" t="s">
        <v>1335</v>
      </c>
      <c r="F3174" t="str">
        <f>"26057"</f>
        <v>26057</v>
      </c>
      <c r="G3174" t="s">
        <v>49</v>
      </c>
      <c r="H3174" t="s">
        <v>1303</v>
      </c>
      <c r="K3174" t="s">
        <v>51</v>
      </c>
      <c r="L3174" t="s">
        <v>52</v>
      </c>
      <c r="M3174">
        <v>137745.14000000001</v>
      </c>
      <c r="N3174">
        <v>467584</v>
      </c>
      <c r="O3174" t="s">
        <v>53</v>
      </c>
      <c r="P3174" t="s">
        <v>54</v>
      </c>
      <c r="Q3174" t="s">
        <v>55</v>
      </c>
      <c r="T3174" t="s">
        <v>818</v>
      </c>
      <c r="U3174">
        <v>40</v>
      </c>
      <c r="V3174" s="1">
        <v>29586</v>
      </c>
      <c r="W3174" s="1">
        <v>29586</v>
      </c>
      <c r="X3174" s="1">
        <v>29586</v>
      </c>
      <c r="Y3174" s="1">
        <v>44196</v>
      </c>
      <c r="Z3174" t="s">
        <v>51</v>
      </c>
      <c r="AB3174" t="s">
        <v>54</v>
      </c>
      <c r="AC3174">
        <v>1</v>
      </c>
      <c r="AE3174" t="s">
        <v>827</v>
      </c>
      <c r="AF3174">
        <v>20</v>
      </c>
      <c r="AG3174" s="1">
        <v>31047</v>
      </c>
      <c r="AH3174" s="1">
        <v>31047</v>
      </c>
      <c r="AI3174" s="1">
        <v>31047</v>
      </c>
      <c r="AJ3174" s="1">
        <v>38352</v>
      </c>
      <c r="AK3174" t="s">
        <v>51</v>
      </c>
      <c r="AN3174">
        <v>0</v>
      </c>
      <c r="AO3174" t="s">
        <v>54</v>
      </c>
      <c r="AP3174" t="s">
        <v>53</v>
      </c>
      <c r="AQ3174">
        <v>0</v>
      </c>
      <c r="AR3174" t="s">
        <v>53</v>
      </c>
      <c r="AS3174">
        <v>0</v>
      </c>
      <c r="AT3174">
        <v>0</v>
      </c>
      <c r="CC3174" t="s">
        <v>850</v>
      </c>
      <c r="CD3174">
        <v>1</v>
      </c>
      <c r="CE3174" s="1">
        <v>42552</v>
      </c>
      <c r="CF3174" s="1">
        <v>42552</v>
      </c>
      <c r="CG3174" s="1">
        <v>42552</v>
      </c>
      <c r="CH3174" s="1">
        <v>49714</v>
      </c>
      <c r="CI3174" t="s">
        <v>51</v>
      </c>
      <c r="CK3174" t="s">
        <v>78</v>
      </c>
      <c r="CM3174" t="s">
        <v>54</v>
      </c>
      <c r="CN3174" t="s">
        <v>174</v>
      </c>
      <c r="CO3174" t="s">
        <v>86</v>
      </c>
      <c r="CR3174">
        <v>18</v>
      </c>
      <c r="CS3174">
        <v>0</v>
      </c>
      <c r="CT3174">
        <v>0</v>
      </c>
      <c r="CU3174">
        <v>0</v>
      </c>
    </row>
    <row r="3175" spans="1:99" x14ac:dyDescent="0.2">
      <c r="A3175" t="s">
        <v>367</v>
      </c>
      <c r="B3175" t="s">
        <v>368</v>
      </c>
      <c r="C3175" t="s">
        <v>369</v>
      </c>
      <c r="D3175" t="s">
        <v>1335</v>
      </c>
      <c r="F3175" t="str">
        <f>"26058"</f>
        <v>26058</v>
      </c>
      <c r="G3175" t="s">
        <v>49</v>
      </c>
      <c r="H3175" t="s">
        <v>1336</v>
      </c>
      <c r="K3175" t="s">
        <v>51</v>
      </c>
      <c r="L3175" t="s">
        <v>52</v>
      </c>
      <c r="M3175">
        <v>137760.85</v>
      </c>
      <c r="N3175">
        <v>467579.35</v>
      </c>
      <c r="O3175" t="s">
        <v>53</v>
      </c>
      <c r="P3175" t="s">
        <v>54</v>
      </c>
      <c r="Q3175" t="s">
        <v>55</v>
      </c>
      <c r="T3175" t="s">
        <v>818</v>
      </c>
      <c r="U3175">
        <v>40</v>
      </c>
      <c r="V3175" s="1">
        <v>29586</v>
      </c>
      <c r="W3175" s="1">
        <v>29586</v>
      </c>
      <c r="X3175" s="1">
        <v>29586</v>
      </c>
      <c r="Y3175" s="1">
        <v>44196</v>
      </c>
      <c r="Z3175" t="s">
        <v>51</v>
      </c>
      <c r="AB3175" t="s">
        <v>54</v>
      </c>
      <c r="AC3175">
        <v>1</v>
      </c>
      <c r="AE3175" t="s">
        <v>827</v>
      </c>
      <c r="AF3175">
        <v>20</v>
      </c>
      <c r="AG3175" s="1">
        <v>31047</v>
      </c>
      <c r="AH3175" s="1">
        <v>31047</v>
      </c>
      <c r="AI3175" s="1">
        <v>31047</v>
      </c>
      <c r="AJ3175" s="1">
        <v>38352</v>
      </c>
      <c r="AK3175" t="s">
        <v>51</v>
      </c>
      <c r="AN3175">
        <v>0</v>
      </c>
      <c r="AO3175" t="s">
        <v>54</v>
      </c>
      <c r="AP3175" t="s">
        <v>53</v>
      </c>
      <c r="AQ3175">
        <v>0</v>
      </c>
      <c r="AR3175" t="s">
        <v>53</v>
      </c>
      <c r="AS3175">
        <v>0</v>
      </c>
      <c r="AT3175">
        <v>0</v>
      </c>
      <c r="CC3175" t="s">
        <v>850</v>
      </c>
      <c r="CD3175">
        <v>1</v>
      </c>
      <c r="CE3175" s="1">
        <v>42552</v>
      </c>
      <c r="CF3175" s="1">
        <v>42552</v>
      </c>
      <c r="CG3175" s="1">
        <v>42552</v>
      </c>
      <c r="CH3175" s="1">
        <v>49714</v>
      </c>
      <c r="CI3175" t="s">
        <v>51</v>
      </c>
      <c r="CK3175" t="s">
        <v>78</v>
      </c>
      <c r="CM3175" t="s">
        <v>54</v>
      </c>
      <c r="CN3175" t="s">
        <v>174</v>
      </c>
      <c r="CO3175" t="s">
        <v>86</v>
      </c>
      <c r="CR3175">
        <v>18</v>
      </c>
      <c r="CS3175">
        <v>0</v>
      </c>
      <c r="CT3175">
        <v>0</v>
      </c>
      <c r="CU3175">
        <v>0</v>
      </c>
    </row>
    <row r="3176" spans="1:99" x14ac:dyDescent="0.2">
      <c r="A3176" t="s">
        <v>367</v>
      </c>
      <c r="B3176" t="s">
        <v>368</v>
      </c>
      <c r="C3176" t="s">
        <v>369</v>
      </c>
      <c r="D3176" t="s">
        <v>1335</v>
      </c>
      <c r="F3176" t="str">
        <f>"26059"</f>
        <v>26059</v>
      </c>
      <c r="G3176" t="s">
        <v>49</v>
      </c>
      <c r="H3176" t="s">
        <v>1337</v>
      </c>
      <c r="K3176" t="s">
        <v>51</v>
      </c>
      <c r="L3176" t="s">
        <v>52</v>
      </c>
      <c r="M3176">
        <v>137773.98000000001</v>
      </c>
      <c r="N3176">
        <v>467586.16</v>
      </c>
      <c r="O3176" t="s">
        <v>53</v>
      </c>
      <c r="P3176" t="s">
        <v>54</v>
      </c>
      <c r="Q3176" t="s">
        <v>55</v>
      </c>
      <c r="T3176" t="s">
        <v>818</v>
      </c>
      <c r="U3176">
        <v>40</v>
      </c>
      <c r="V3176" s="1">
        <v>29586</v>
      </c>
      <c r="W3176" s="1">
        <v>29586</v>
      </c>
      <c r="X3176" s="1">
        <v>29586</v>
      </c>
      <c r="Y3176" s="1">
        <v>44196</v>
      </c>
      <c r="Z3176" t="s">
        <v>51</v>
      </c>
      <c r="AB3176" t="s">
        <v>54</v>
      </c>
      <c r="AC3176">
        <v>1</v>
      </c>
      <c r="AE3176" t="s">
        <v>827</v>
      </c>
      <c r="AF3176">
        <v>20</v>
      </c>
      <c r="AG3176" s="1">
        <v>31047</v>
      </c>
      <c r="AH3176" s="1">
        <v>31047</v>
      </c>
      <c r="AI3176" s="1">
        <v>31047</v>
      </c>
      <c r="AJ3176" s="1">
        <v>38352</v>
      </c>
      <c r="AK3176" t="s">
        <v>51</v>
      </c>
      <c r="AN3176">
        <v>0</v>
      </c>
      <c r="AO3176" t="s">
        <v>54</v>
      </c>
      <c r="AP3176" t="s">
        <v>53</v>
      </c>
      <c r="AQ3176">
        <v>0</v>
      </c>
      <c r="AR3176" t="s">
        <v>53</v>
      </c>
      <c r="AS3176">
        <v>0</v>
      </c>
      <c r="AT3176">
        <v>0</v>
      </c>
      <c r="CC3176" t="s">
        <v>850</v>
      </c>
      <c r="CD3176">
        <v>1</v>
      </c>
      <c r="CE3176" s="1">
        <v>42552</v>
      </c>
      <c r="CF3176" s="1">
        <v>42552</v>
      </c>
      <c r="CG3176" s="1">
        <v>42552</v>
      </c>
      <c r="CH3176" s="1">
        <v>49714</v>
      </c>
      <c r="CI3176" t="s">
        <v>51</v>
      </c>
      <c r="CK3176" t="s">
        <v>78</v>
      </c>
      <c r="CM3176" t="s">
        <v>54</v>
      </c>
      <c r="CN3176" t="s">
        <v>174</v>
      </c>
      <c r="CO3176" t="s">
        <v>86</v>
      </c>
      <c r="CR3176">
        <v>18</v>
      </c>
      <c r="CS3176">
        <v>0</v>
      </c>
      <c r="CT3176">
        <v>0</v>
      </c>
      <c r="CU3176">
        <v>0</v>
      </c>
    </row>
    <row r="3177" spans="1:99" x14ac:dyDescent="0.2">
      <c r="A3177" t="s">
        <v>367</v>
      </c>
      <c r="B3177" t="s">
        <v>368</v>
      </c>
      <c r="C3177" t="s">
        <v>369</v>
      </c>
      <c r="D3177" t="s">
        <v>1335</v>
      </c>
      <c r="F3177" t="str">
        <f>"26060"</f>
        <v>26060</v>
      </c>
      <c r="G3177" t="s">
        <v>49</v>
      </c>
      <c r="H3177" t="s">
        <v>1232</v>
      </c>
      <c r="K3177" t="s">
        <v>51</v>
      </c>
      <c r="L3177" t="s">
        <v>52</v>
      </c>
      <c r="M3177">
        <v>137789.20000000001</v>
      </c>
      <c r="N3177">
        <v>467570.93</v>
      </c>
      <c r="O3177" t="s">
        <v>53</v>
      </c>
      <c r="P3177" t="s">
        <v>54</v>
      </c>
      <c r="Q3177" t="s">
        <v>55</v>
      </c>
      <c r="T3177" t="s">
        <v>818</v>
      </c>
      <c r="U3177">
        <v>40</v>
      </c>
      <c r="V3177" s="1">
        <v>29586</v>
      </c>
      <c r="W3177" s="1">
        <v>29586</v>
      </c>
      <c r="X3177" s="1">
        <v>29586</v>
      </c>
      <c r="Y3177" s="1">
        <v>44196</v>
      </c>
      <c r="Z3177" t="s">
        <v>51</v>
      </c>
      <c r="AB3177" t="s">
        <v>54</v>
      </c>
      <c r="AC3177">
        <v>1</v>
      </c>
      <c r="AE3177" t="s">
        <v>827</v>
      </c>
      <c r="AF3177">
        <v>20</v>
      </c>
      <c r="AG3177" s="1">
        <v>31047</v>
      </c>
      <c r="AH3177" s="1">
        <v>31047</v>
      </c>
      <c r="AI3177" s="1">
        <v>31047</v>
      </c>
      <c r="AJ3177" s="1">
        <v>38352</v>
      </c>
      <c r="AK3177" t="s">
        <v>51</v>
      </c>
      <c r="AN3177">
        <v>0</v>
      </c>
      <c r="AO3177" t="s">
        <v>54</v>
      </c>
      <c r="AP3177" t="s">
        <v>53</v>
      </c>
      <c r="AQ3177">
        <v>0</v>
      </c>
      <c r="AR3177" t="s">
        <v>53</v>
      </c>
      <c r="AS3177">
        <v>0</v>
      </c>
      <c r="AT3177">
        <v>0</v>
      </c>
      <c r="CC3177" t="s">
        <v>850</v>
      </c>
      <c r="CD3177">
        <v>1</v>
      </c>
      <c r="CE3177" s="1">
        <v>42552</v>
      </c>
      <c r="CF3177" s="1">
        <v>42552</v>
      </c>
      <c r="CG3177" s="1">
        <v>42552</v>
      </c>
      <c r="CH3177" s="1">
        <v>49714</v>
      </c>
      <c r="CI3177" t="s">
        <v>51</v>
      </c>
      <c r="CK3177" t="s">
        <v>78</v>
      </c>
      <c r="CM3177" t="s">
        <v>54</v>
      </c>
      <c r="CN3177" t="s">
        <v>174</v>
      </c>
      <c r="CO3177" t="s">
        <v>86</v>
      </c>
      <c r="CR3177">
        <v>18</v>
      </c>
      <c r="CS3177">
        <v>0</v>
      </c>
      <c r="CT3177">
        <v>0</v>
      </c>
      <c r="CU3177">
        <v>0</v>
      </c>
    </row>
    <row r="3178" spans="1:99" x14ac:dyDescent="0.2">
      <c r="A3178" t="s">
        <v>367</v>
      </c>
      <c r="B3178" t="s">
        <v>368</v>
      </c>
      <c r="C3178" t="s">
        <v>369</v>
      </c>
      <c r="D3178" t="s">
        <v>1335</v>
      </c>
      <c r="F3178" t="str">
        <f>"26061"</f>
        <v>26061</v>
      </c>
      <c r="G3178" t="s">
        <v>49</v>
      </c>
      <c r="H3178" t="s">
        <v>1338</v>
      </c>
      <c r="K3178" t="s">
        <v>51</v>
      </c>
      <c r="L3178" t="s">
        <v>52</v>
      </c>
      <c r="M3178">
        <v>137798.54</v>
      </c>
      <c r="N3178">
        <v>467584.93</v>
      </c>
      <c r="O3178" t="s">
        <v>53</v>
      </c>
      <c r="P3178" t="s">
        <v>54</v>
      </c>
      <c r="Q3178" t="s">
        <v>55</v>
      </c>
      <c r="T3178" t="s">
        <v>818</v>
      </c>
      <c r="U3178">
        <v>40</v>
      </c>
      <c r="V3178" s="1">
        <v>29586</v>
      </c>
      <c r="W3178" s="1">
        <v>29586</v>
      </c>
      <c r="X3178" s="1">
        <v>29586</v>
      </c>
      <c r="Y3178" s="1">
        <v>44196</v>
      </c>
      <c r="Z3178" t="s">
        <v>51</v>
      </c>
      <c r="AB3178" t="s">
        <v>54</v>
      </c>
      <c r="AC3178">
        <v>1</v>
      </c>
      <c r="AE3178" t="s">
        <v>827</v>
      </c>
      <c r="AF3178">
        <v>20</v>
      </c>
      <c r="AG3178" s="1">
        <v>31047</v>
      </c>
      <c r="AH3178" s="1">
        <v>31047</v>
      </c>
      <c r="AI3178" s="1">
        <v>31047</v>
      </c>
      <c r="AJ3178" s="1">
        <v>38352</v>
      </c>
      <c r="AK3178" t="s">
        <v>51</v>
      </c>
      <c r="AN3178">
        <v>0</v>
      </c>
      <c r="AO3178" t="s">
        <v>54</v>
      </c>
      <c r="AP3178" t="s">
        <v>53</v>
      </c>
      <c r="AQ3178">
        <v>0</v>
      </c>
      <c r="AR3178" t="s">
        <v>53</v>
      </c>
      <c r="AS3178">
        <v>0</v>
      </c>
      <c r="AT3178">
        <v>0</v>
      </c>
      <c r="CC3178" t="s">
        <v>850</v>
      </c>
      <c r="CD3178">
        <v>1</v>
      </c>
      <c r="CE3178" s="1">
        <v>42552</v>
      </c>
      <c r="CF3178" s="1">
        <v>42552</v>
      </c>
      <c r="CG3178" s="1">
        <v>42552</v>
      </c>
      <c r="CH3178" s="1">
        <v>49714</v>
      </c>
      <c r="CI3178" t="s">
        <v>51</v>
      </c>
      <c r="CK3178" t="s">
        <v>78</v>
      </c>
      <c r="CM3178" t="s">
        <v>54</v>
      </c>
      <c r="CN3178" t="s">
        <v>174</v>
      </c>
      <c r="CO3178" t="s">
        <v>86</v>
      </c>
      <c r="CR3178">
        <v>18</v>
      </c>
      <c r="CS3178">
        <v>0</v>
      </c>
      <c r="CT3178">
        <v>0</v>
      </c>
      <c r="CU3178">
        <v>0</v>
      </c>
    </row>
    <row r="3179" spans="1:99" x14ac:dyDescent="0.2">
      <c r="A3179" t="s">
        <v>367</v>
      </c>
      <c r="B3179" t="s">
        <v>368</v>
      </c>
      <c r="C3179" t="s">
        <v>369</v>
      </c>
      <c r="D3179" t="s">
        <v>1335</v>
      </c>
      <c r="F3179" t="str">
        <f>"26062"</f>
        <v>26062</v>
      </c>
      <c r="G3179" t="s">
        <v>49</v>
      </c>
      <c r="H3179" t="s">
        <v>1326</v>
      </c>
      <c r="K3179" t="s">
        <v>51</v>
      </c>
      <c r="L3179" t="s">
        <v>52</v>
      </c>
      <c r="M3179">
        <v>137819.76999999999</v>
      </c>
      <c r="N3179">
        <v>467577.64</v>
      </c>
      <c r="O3179" t="s">
        <v>53</v>
      </c>
      <c r="P3179" t="s">
        <v>54</v>
      </c>
      <c r="Q3179" t="s">
        <v>55</v>
      </c>
      <c r="T3179" t="s">
        <v>818</v>
      </c>
      <c r="U3179">
        <v>40</v>
      </c>
      <c r="V3179" s="1">
        <v>29586</v>
      </c>
      <c r="W3179" s="1">
        <v>29586</v>
      </c>
      <c r="X3179" s="1">
        <v>29586</v>
      </c>
      <c r="Y3179" s="1">
        <v>44196</v>
      </c>
      <c r="Z3179" t="s">
        <v>51</v>
      </c>
      <c r="AB3179" t="s">
        <v>54</v>
      </c>
      <c r="AC3179">
        <v>1</v>
      </c>
      <c r="AE3179" t="s">
        <v>827</v>
      </c>
      <c r="AF3179">
        <v>20</v>
      </c>
      <c r="AG3179" s="1">
        <v>31047</v>
      </c>
      <c r="AH3179" s="1">
        <v>31047</v>
      </c>
      <c r="AI3179" s="1">
        <v>31047</v>
      </c>
      <c r="AJ3179" s="1">
        <v>38352</v>
      </c>
      <c r="AK3179" t="s">
        <v>51</v>
      </c>
      <c r="AN3179">
        <v>0</v>
      </c>
      <c r="AO3179" t="s">
        <v>54</v>
      </c>
      <c r="AP3179" t="s">
        <v>53</v>
      </c>
      <c r="AQ3179">
        <v>0</v>
      </c>
      <c r="AR3179" t="s">
        <v>53</v>
      </c>
      <c r="AS3179">
        <v>0</v>
      </c>
      <c r="AT3179">
        <v>0</v>
      </c>
      <c r="CC3179" t="s">
        <v>850</v>
      </c>
      <c r="CD3179">
        <v>1</v>
      </c>
      <c r="CE3179" s="1">
        <v>42552</v>
      </c>
      <c r="CF3179" s="1">
        <v>42552</v>
      </c>
      <c r="CG3179" s="1">
        <v>42552</v>
      </c>
      <c r="CH3179" s="1">
        <v>49714</v>
      </c>
      <c r="CI3179" t="s">
        <v>51</v>
      </c>
      <c r="CK3179" t="s">
        <v>78</v>
      </c>
      <c r="CM3179" t="s">
        <v>54</v>
      </c>
      <c r="CN3179" t="s">
        <v>174</v>
      </c>
      <c r="CO3179" t="s">
        <v>86</v>
      </c>
      <c r="CR3179">
        <v>18</v>
      </c>
      <c r="CS3179">
        <v>0</v>
      </c>
      <c r="CT3179">
        <v>0</v>
      </c>
      <c r="CU3179">
        <v>0</v>
      </c>
    </row>
    <row r="3180" spans="1:99" x14ac:dyDescent="0.2">
      <c r="A3180" t="s">
        <v>367</v>
      </c>
      <c r="B3180" t="s">
        <v>368</v>
      </c>
      <c r="C3180" t="s">
        <v>369</v>
      </c>
      <c r="D3180" t="s">
        <v>1335</v>
      </c>
      <c r="F3180" t="str">
        <f>"26063"</f>
        <v>26063</v>
      </c>
      <c r="G3180" t="s">
        <v>49</v>
      </c>
      <c r="H3180" t="s">
        <v>1313</v>
      </c>
      <c r="K3180" t="s">
        <v>51</v>
      </c>
      <c r="L3180" t="s">
        <v>52</v>
      </c>
      <c r="M3180">
        <v>137823.53</v>
      </c>
      <c r="N3180">
        <v>467562.23999999999</v>
      </c>
      <c r="O3180" t="s">
        <v>53</v>
      </c>
      <c r="P3180" t="s">
        <v>54</v>
      </c>
      <c r="Q3180" t="s">
        <v>55</v>
      </c>
      <c r="T3180" t="s">
        <v>818</v>
      </c>
      <c r="U3180">
        <v>40</v>
      </c>
      <c r="V3180" s="1">
        <v>29586</v>
      </c>
      <c r="W3180" s="1">
        <v>29586</v>
      </c>
      <c r="X3180" s="1">
        <v>29586</v>
      </c>
      <c r="Y3180" s="1">
        <v>44196</v>
      </c>
      <c r="Z3180" t="s">
        <v>51</v>
      </c>
      <c r="AB3180" t="s">
        <v>54</v>
      </c>
      <c r="AC3180">
        <v>1</v>
      </c>
      <c r="AE3180" t="s">
        <v>827</v>
      </c>
      <c r="AF3180">
        <v>20</v>
      </c>
      <c r="AG3180" s="1">
        <v>31047</v>
      </c>
      <c r="AH3180" s="1">
        <v>31047</v>
      </c>
      <c r="AI3180" s="1">
        <v>31047</v>
      </c>
      <c r="AJ3180" s="1">
        <v>38352</v>
      </c>
      <c r="AK3180" t="s">
        <v>51</v>
      </c>
      <c r="AN3180">
        <v>0</v>
      </c>
      <c r="AO3180" t="s">
        <v>54</v>
      </c>
      <c r="AP3180" t="s">
        <v>53</v>
      </c>
      <c r="AQ3180">
        <v>0</v>
      </c>
      <c r="AR3180" t="s">
        <v>53</v>
      </c>
      <c r="AS3180">
        <v>0</v>
      </c>
      <c r="AT3180">
        <v>0</v>
      </c>
      <c r="CC3180" t="s">
        <v>850</v>
      </c>
      <c r="CD3180">
        <v>1</v>
      </c>
      <c r="CE3180" s="1">
        <v>42552</v>
      </c>
      <c r="CF3180" s="1">
        <v>42552</v>
      </c>
      <c r="CG3180" s="1">
        <v>42552</v>
      </c>
      <c r="CH3180" s="1">
        <v>49714</v>
      </c>
      <c r="CI3180" t="s">
        <v>51</v>
      </c>
      <c r="CK3180" t="s">
        <v>78</v>
      </c>
      <c r="CM3180" t="s">
        <v>54</v>
      </c>
      <c r="CN3180" t="s">
        <v>174</v>
      </c>
      <c r="CO3180" t="s">
        <v>86</v>
      </c>
      <c r="CR3180">
        <v>18</v>
      </c>
      <c r="CS3180">
        <v>0</v>
      </c>
      <c r="CT3180">
        <v>0</v>
      </c>
      <c r="CU3180">
        <v>0</v>
      </c>
    </row>
    <row r="3181" spans="1:99" x14ac:dyDescent="0.2">
      <c r="A3181" t="s">
        <v>367</v>
      </c>
      <c r="B3181" t="s">
        <v>368</v>
      </c>
      <c r="C3181" t="s">
        <v>369</v>
      </c>
      <c r="D3181" t="s">
        <v>1335</v>
      </c>
      <c r="F3181" t="str">
        <f>"26064"</f>
        <v>26064</v>
      </c>
      <c r="G3181" t="s">
        <v>49</v>
      </c>
      <c r="H3181" t="s">
        <v>1339</v>
      </c>
      <c r="K3181" t="s">
        <v>51</v>
      </c>
      <c r="L3181" t="s">
        <v>52</v>
      </c>
      <c r="M3181">
        <v>137843.13</v>
      </c>
      <c r="N3181">
        <v>467548.04</v>
      </c>
      <c r="O3181" t="s">
        <v>53</v>
      </c>
      <c r="P3181" t="s">
        <v>54</v>
      </c>
      <c r="Q3181" t="s">
        <v>55</v>
      </c>
      <c r="T3181" t="s">
        <v>818</v>
      </c>
      <c r="U3181">
        <v>40</v>
      </c>
      <c r="V3181" s="1">
        <v>29586</v>
      </c>
      <c r="W3181" s="1">
        <v>29586</v>
      </c>
      <c r="X3181" s="1">
        <v>29586</v>
      </c>
      <c r="Y3181" s="1">
        <v>44196</v>
      </c>
      <c r="Z3181" t="s">
        <v>51</v>
      </c>
      <c r="AB3181" t="s">
        <v>54</v>
      </c>
      <c r="AC3181">
        <v>1</v>
      </c>
      <c r="AE3181" t="s">
        <v>827</v>
      </c>
      <c r="AF3181">
        <v>20</v>
      </c>
      <c r="AG3181" s="1">
        <v>31047</v>
      </c>
      <c r="AH3181" s="1">
        <v>31047</v>
      </c>
      <c r="AI3181" s="1">
        <v>31047</v>
      </c>
      <c r="AJ3181" s="1">
        <v>38352</v>
      </c>
      <c r="AK3181" t="s">
        <v>51</v>
      </c>
      <c r="AN3181">
        <v>0</v>
      </c>
      <c r="AO3181" t="s">
        <v>54</v>
      </c>
      <c r="AP3181" t="s">
        <v>53</v>
      </c>
      <c r="AQ3181">
        <v>0</v>
      </c>
      <c r="AR3181" t="s">
        <v>53</v>
      </c>
      <c r="AS3181">
        <v>0</v>
      </c>
      <c r="AT3181">
        <v>0</v>
      </c>
      <c r="CC3181" t="s">
        <v>850</v>
      </c>
      <c r="CD3181">
        <v>1</v>
      </c>
      <c r="CE3181" s="1">
        <v>42552</v>
      </c>
      <c r="CF3181" s="1">
        <v>42552</v>
      </c>
      <c r="CG3181" s="1">
        <v>42552</v>
      </c>
      <c r="CH3181" s="1">
        <v>49714</v>
      </c>
      <c r="CI3181" t="s">
        <v>51</v>
      </c>
      <c r="CK3181" t="s">
        <v>78</v>
      </c>
      <c r="CM3181" t="s">
        <v>54</v>
      </c>
      <c r="CN3181" t="s">
        <v>174</v>
      </c>
      <c r="CO3181" t="s">
        <v>86</v>
      </c>
      <c r="CR3181">
        <v>18</v>
      </c>
      <c r="CS3181">
        <v>0</v>
      </c>
      <c r="CT3181">
        <v>0</v>
      </c>
      <c r="CU3181">
        <v>0</v>
      </c>
    </row>
    <row r="3182" spans="1:99" x14ac:dyDescent="0.2">
      <c r="A3182" t="s">
        <v>367</v>
      </c>
      <c r="B3182" t="s">
        <v>368</v>
      </c>
      <c r="C3182" t="s">
        <v>369</v>
      </c>
      <c r="D3182" t="s">
        <v>1340</v>
      </c>
      <c r="F3182" t="str">
        <f>"26065"</f>
        <v>26065</v>
      </c>
      <c r="G3182" t="s">
        <v>49</v>
      </c>
      <c r="H3182" t="s">
        <v>1341</v>
      </c>
      <c r="K3182" t="s">
        <v>51</v>
      </c>
      <c r="L3182" t="s">
        <v>52</v>
      </c>
      <c r="M3182">
        <v>137814.19</v>
      </c>
      <c r="N3182">
        <v>467496.13</v>
      </c>
      <c r="O3182" t="s">
        <v>53</v>
      </c>
      <c r="P3182" t="s">
        <v>54</v>
      </c>
      <c r="Q3182" t="s">
        <v>55</v>
      </c>
      <c r="T3182" t="s">
        <v>818</v>
      </c>
      <c r="U3182">
        <v>40</v>
      </c>
      <c r="V3182" s="1">
        <v>29951</v>
      </c>
      <c r="W3182" s="1">
        <v>29951</v>
      </c>
      <c r="X3182" s="1">
        <v>29951</v>
      </c>
      <c r="Y3182" s="1">
        <v>44561</v>
      </c>
      <c r="Z3182" t="s">
        <v>51</v>
      </c>
      <c r="AB3182" t="s">
        <v>54</v>
      </c>
      <c r="AC3182">
        <v>1</v>
      </c>
      <c r="AE3182" t="s">
        <v>827</v>
      </c>
      <c r="AF3182">
        <v>20</v>
      </c>
      <c r="AG3182" s="1">
        <v>31777</v>
      </c>
      <c r="AH3182" s="1">
        <v>31777</v>
      </c>
      <c r="AI3182" s="1">
        <v>31777</v>
      </c>
      <c r="AJ3182" s="1">
        <v>39082</v>
      </c>
      <c r="AK3182" t="s">
        <v>51</v>
      </c>
      <c r="AN3182">
        <v>0</v>
      </c>
      <c r="AO3182" t="s">
        <v>54</v>
      </c>
      <c r="AP3182" t="s">
        <v>53</v>
      </c>
      <c r="AQ3182">
        <v>0</v>
      </c>
      <c r="AR3182" t="s">
        <v>53</v>
      </c>
      <c r="AS3182">
        <v>0</v>
      </c>
      <c r="AT3182">
        <v>0</v>
      </c>
      <c r="CC3182" t="s">
        <v>850</v>
      </c>
      <c r="CD3182">
        <v>1</v>
      </c>
      <c r="CE3182" s="1">
        <v>42552</v>
      </c>
      <c r="CF3182" s="1">
        <v>42552</v>
      </c>
      <c r="CG3182" s="1">
        <v>42552</v>
      </c>
      <c r="CH3182" s="1">
        <v>49714</v>
      </c>
      <c r="CI3182" t="s">
        <v>51</v>
      </c>
      <c r="CK3182" t="s">
        <v>78</v>
      </c>
      <c r="CM3182" t="s">
        <v>54</v>
      </c>
      <c r="CN3182" t="s">
        <v>174</v>
      </c>
      <c r="CO3182" t="s">
        <v>86</v>
      </c>
      <c r="CR3182">
        <v>18</v>
      </c>
      <c r="CS3182">
        <v>0</v>
      </c>
      <c r="CT3182">
        <v>0</v>
      </c>
      <c r="CU3182">
        <v>0</v>
      </c>
    </row>
    <row r="3183" spans="1:99" x14ac:dyDescent="0.2">
      <c r="A3183" t="s">
        <v>367</v>
      </c>
      <c r="B3183" t="s">
        <v>368</v>
      </c>
      <c r="C3183" t="s">
        <v>369</v>
      </c>
      <c r="D3183" t="s">
        <v>1340</v>
      </c>
      <c r="F3183" t="str">
        <f>"26066"</f>
        <v>26066</v>
      </c>
      <c r="G3183" t="s">
        <v>49</v>
      </c>
      <c r="H3183" t="s">
        <v>1326</v>
      </c>
      <c r="K3183" t="s">
        <v>51</v>
      </c>
      <c r="L3183" t="s">
        <v>52</v>
      </c>
      <c r="M3183">
        <v>137790.25</v>
      </c>
      <c r="N3183">
        <v>467508.73</v>
      </c>
      <c r="O3183" t="s">
        <v>53</v>
      </c>
      <c r="P3183" t="s">
        <v>54</v>
      </c>
      <c r="Q3183" t="s">
        <v>55</v>
      </c>
      <c r="T3183" t="s">
        <v>818</v>
      </c>
      <c r="U3183">
        <v>40</v>
      </c>
      <c r="V3183" s="1">
        <v>29951</v>
      </c>
      <c r="W3183" s="1">
        <v>29951</v>
      </c>
      <c r="X3183" s="1">
        <v>29951</v>
      </c>
      <c r="Y3183" s="1">
        <v>44561</v>
      </c>
      <c r="Z3183" t="s">
        <v>51</v>
      </c>
      <c r="AB3183" t="s">
        <v>54</v>
      </c>
      <c r="AC3183">
        <v>1</v>
      </c>
      <c r="AE3183" t="s">
        <v>827</v>
      </c>
      <c r="AF3183">
        <v>20</v>
      </c>
      <c r="AG3183" s="1">
        <v>31777</v>
      </c>
      <c r="AH3183" s="1">
        <v>31777</v>
      </c>
      <c r="AI3183" s="1">
        <v>31777</v>
      </c>
      <c r="AJ3183" s="1">
        <v>39082</v>
      </c>
      <c r="AK3183" t="s">
        <v>51</v>
      </c>
      <c r="AN3183">
        <v>0</v>
      </c>
      <c r="AO3183" t="s">
        <v>54</v>
      </c>
      <c r="AP3183" t="s">
        <v>53</v>
      </c>
      <c r="AQ3183">
        <v>0</v>
      </c>
      <c r="AR3183" t="s">
        <v>53</v>
      </c>
      <c r="AS3183">
        <v>0</v>
      </c>
      <c r="AT3183">
        <v>0</v>
      </c>
      <c r="CC3183" t="s">
        <v>850</v>
      </c>
      <c r="CD3183">
        <v>1</v>
      </c>
      <c r="CE3183" s="1">
        <v>42552</v>
      </c>
      <c r="CF3183" s="1">
        <v>42552</v>
      </c>
      <c r="CG3183" s="1">
        <v>42552</v>
      </c>
      <c r="CH3183" s="1">
        <v>49714</v>
      </c>
      <c r="CI3183" t="s">
        <v>51</v>
      </c>
      <c r="CK3183" t="s">
        <v>78</v>
      </c>
      <c r="CM3183" t="s">
        <v>54</v>
      </c>
      <c r="CN3183" t="s">
        <v>174</v>
      </c>
      <c r="CO3183" t="s">
        <v>86</v>
      </c>
      <c r="CR3183">
        <v>18</v>
      </c>
      <c r="CS3183">
        <v>0</v>
      </c>
      <c r="CT3183">
        <v>0</v>
      </c>
      <c r="CU3183">
        <v>0</v>
      </c>
    </row>
    <row r="3184" spans="1:99" x14ac:dyDescent="0.2">
      <c r="A3184" t="s">
        <v>367</v>
      </c>
      <c r="B3184" t="s">
        <v>368</v>
      </c>
      <c r="C3184" t="s">
        <v>369</v>
      </c>
      <c r="D3184" t="s">
        <v>1340</v>
      </c>
      <c r="F3184" t="str">
        <f>"26067"</f>
        <v>26067</v>
      </c>
      <c r="G3184" t="s">
        <v>49</v>
      </c>
      <c r="H3184" t="s">
        <v>1342</v>
      </c>
      <c r="K3184" t="s">
        <v>51</v>
      </c>
      <c r="L3184" t="s">
        <v>52</v>
      </c>
      <c r="M3184">
        <v>137766.73000000001</v>
      </c>
      <c r="N3184">
        <v>467518.11</v>
      </c>
      <c r="O3184" t="s">
        <v>53</v>
      </c>
      <c r="P3184" t="s">
        <v>54</v>
      </c>
      <c r="Q3184" t="s">
        <v>55</v>
      </c>
      <c r="T3184" t="s">
        <v>818</v>
      </c>
      <c r="U3184">
        <v>40</v>
      </c>
      <c r="V3184" s="1">
        <v>29951</v>
      </c>
      <c r="W3184" s="1">
        <v>29951</v>
      </c>
      <c r="X3184" s="1">
        <v>29951</v>
      </c>
      <c r="Y3184" s="1">
        <v>44561</v>
      </c>
      <c r="Z3184" t="s">
        <v>51</v>
      </c>
      <c r="AB3184" t="s">
        <v>54</v>
      </c>
      <c r="AC3184">
        <v>1</v>
      </c>
      <c r="AE3184" t="s">
        <v>827</v>
      </c>
      <c r="AF3184">
        <v>20</v>
      </c>
      <c r="AG3184" s="1">
        <v>31777</v>
      </c>
      <c r="AH3184" s="1">
        <v>31777</v>
      </c>
      <c r="AI3184" s="1">
        <v>31777</v>
      </c>
      <c r="AJ3184" s="1">
        <v>39082</v>
      </c>
      <c r="AK3184" t="s">
        <v>51</v>
      </c>
      <c r="AN3184">
        <v>0</v>
      </c>
      <c r="AO3184" t="s">
        <v>54</v>
      </c>
      <c r="AP3184" t="s">
        <v>53</v>
      </c>
      <c r="AQ3184">
        <v>0</v>
      </c>
      <c r="AR3184" t="s">
        <v>53</v>
      </c>
      <c r="AS3184">
        <v>0</v>
      </c>
      <c r="AT3184">
        <v>0</v>
      </c>
      <c r="CC3184" t="s">
        <v>850</v>
      </c>
      <c r="CD3184">
        <v>1</v>
      </c>
      <c r="CE3184" s="1">
        <v>42552</v>
      </c>
      <c r="CF3184" s="1">
        <v>42552</v>
      </c>
      <c r="CG3184" s="1">
        <v>42552</v>
      </c>
      <c r="CH3184" s="1">
        <v>49714</v>
      </c>
      <c r="CI3184" t="s">
        <v>51</v>
      </c>
      <c r="CK3184" t="s">
        <v>78</v>
      </c>
      <c r="CM3184" t="s">
        <v>54</v>
      </c>
      <c r="CN3184" t="s">
        <v>174</v>
      </c>
      <c r="CO3184" t="s">
        <v>86</v>
      </c>
      <c r="CR3184">
        <v>18</v>
      </c>
      <c r="CS3184">
        <v>0</v>
      </c>
      <c r="CT3184">
        <v>0</v>
      </c>
      <c r="CU3184">
        <v>0</v>
      </c>
    </row>
    <row r="3185" spans="1:99" x14ac:dyDescent="0.2">
      <c r="A3185" t="s">
        <v>367</v>
      </c>
      <c r="B3185" t="s">
        <v>368</v>
      </c>
      <c r="C3185" t="s">
        <v>369</v>
      </c>
      <c r="D3185" t="s">
        <v>1340</v>
      </c>
      <c r="F3185" t="str">
        <f>"26068"</f>
        <v>26068</v>
      </c>
      <c r="G3185" t="s">
        <v>49</v>
      </c>
      <c r="H3185" t="s">
        <v>1337</v>
      </c>
      <c r="K3185" t="s">
        <v>51</v>
      </c>
      <c r="L3185" t="s">
        <v>52</v>
      </c>
      <c r="M3185">
        <v>137748.39000000001</v>
      </c>
      <c r="N3185">
        <v>467518.95</v>
      </c>
      <c r="O3185" t="s">
        <v>53</v>
      </c>
      <c r="P3185" t="s">
        <v>54</v>
      </c>
      <c r="Q3185" t="s">
        <v>55</v>
      </c>
      <c r="T3185" t="s">
        <v>818</v>
      </c>
      <c r="U3185">
        <v>40</v>
      </c>
      <c r="V3185" s="1">
        <v>39841</v>
      </c>
      <c r="W3185" s="1">
        <v>39841</v>
      </c>
      <c r="X3185" s="1">
        <v>39841</v>
      </c>
      <c r="Y3185" s="1">
        <v>54451</v>
      </c>
      <c r="Z3185" t="s">
        <v>51</v>
      </c>
      <c r="AB3185" t="s">
        <v>54</v>
      </c>
      <c r="AC3185">
        <v>1</v>
      </c>
      <c r="AE3185" t="s">
        <v>819</v>
      </c>
      <c r="AF3185">
        <v>20</v>
      </c>
      <c r="AG3185" s="1">
        <v>39841</v>
      </c>
      <c r="AH3185" s="1">
        <v>39841</v>
      </c>
      <c r="AI3185" s="1">
        <v>39841</v>
      </c>
      <c r="AJ3185" s="1">
        <v>47146</v>
      </c>
      <c r="AK3185" t="s">
        <v>51</v>
      </c>
      <c r="AN3185">
        <v>0</v>
      </c>
      <c r="AO3185" t="s">
        <v>54</v>
      </c>
      <c r="AP3185" t="s">
        <v>53</v>
      </c>
      <c r="AQ3185">
        <v>0</v>
      </c>
      <c r="AR3185" t="s">
        <v>53</v>
      </c>
      <c r="AS3185">
        <v>0</v>
      </c>
      <c r="AT3185">
        <v>0</v>
      </c>
      <c r="CC3185" t="s">
        <v>850</v>
      </c>
      <c r="CD3185">
        <v>1</v>
      </c>
      <c r="CE3185" s="1">
        <v>42552</v>
      </c>
      <c r="CF3185" s="1">
        <v>42552</v>
      </c>
      <c r="CG3185" s="1">
        <v>42552</v>
      </c>
      <c r="CH3185" s="1">
        <v>49714</v>
      </c>
      <c r="CI3185" t="s">
        <v>51</v>
      </c>
      <c r="CK3185" t="s">
        <v>78</v>
      </c>
      <c r="CM3185" t="s">
        <v>54</v>
      </c>
      <c r="CN3185" t="s">
        <v>174</v>
      </c>
      <c r="CO3185" t="s">
        <v>86</v>
      </c>
      <c r="CR3185">
        <v>18</v>
      </c>
      <c r="CS3185">
        <v>0</v>
      </c>
      <c r="CT3185">
        <v>0</v>
      </c>
      <c r="CU3185">
        <v>0</v>
      </c>
    </row>
    <row r="3186" spans="1:99" x14ac:dyDescent="0.2">
      <c r="A3186" t="s">
        <v>367</v>
      </c>
      <c r="B3186" t="s">
        <v>368</v>
      </c>
      <c r="C3186" t="s">
        <v>369</v>
      </c>
      <c r="D3186" t="s">
        <v>1340</v>
      </c>
      <c r="F3186" t="str">
        <f>"26069"</f>
        <v>26069</v>
      </c>
      <c r="G3186" t="s">
        <v>49</v>
      </c>
      <c r="H3186" t="s">
        <v>1343</v>
      </c>
      <c r="K3186" t="s">
        <v>51</v>
      </c>
      <c r="L3186" t="s">
        <v>52</v>
      </c>
      <c r="M3186">
        <v>137737.04999999999</v>
      </c>
      <c r="N3186">
        <v>467487.17</v>
      </c>
      <c r="O3186" t="s">
        <v>53</v>
      </c>
      <c r="P3186" t="s">
        <v>54</v>
      </c>
      <c r="Q3186" t="s">
        <v>55</v>
      </c>
      <c r="T3186" t="s">
        <v>818</v>
      </c>
      <c r="U3186">
        <v>40</v>
      </c>
      <c r="V3186" s="1">
        <v>29951</v>
      </c>
      <c r="W3186" s="1">
        <v>29951</v>
      </c>
      <c r="X3186" s="1">
        <v>29951</v>
      </c>
      <c r="Y3186" s="1">
        <v>44561</v>
      </c>
      <c r="Z3186" t="s">
        <v>51</v>
      </c>
      <c r="AB3186" t="s">
        <v>54</v>
      </c>
      <c r="AC3186">
        <v>1</v>
      </c>
      <c r="AE3186" t="s">
        <v>819</v>
      </c>
      <c r="AF3186">
        <v>20</v>
      </c>
      <c r="AG3186" s="1">
        <v>31777</v>
      </c>
      <c r="AH3186" s="1">
        <v>31777</v>
      </c>
      <c r="AI3186" s="1">
        <v>31777</v>
      </c>
      <c r="AJ3186" s="1">
        <v>39082</v>
      </c>
      <c r="AK3186" t="s">
        <v>51</v>
      </c>
      <c r="AN3186">
        <v>0</v>
      </c>
      <c r="AO3186" t="s">
        <v>54</v>
      </c>
      <c r="AP3186" t="s">
        <v>53</v>
      </c>
      <c r="AQ3186">
        <v>0</v>
      </c>
      <c r="AR3186" t="s">
        <v>53</v>
      </c>
      <c r="AS3186">
        <v>0</v>
      </c>
      <c r="AT3186">
        <v>0</v>
      </c>
      <c r="CC3186" t="s">
        <v>850</v>
      </c>
      <c r="CD3186">
        <v>1</v>
      </c>
      <c r="CE3186" s="1">
        <v>42552</v>
      </c>
      <c r="CF3186" s="1">
        <v>42552</v>
      </c>
      <c r="CG3186" s="1">
        <v>42552</v>
      </c>
      <c r="CH3186" s="1">
        <v>49714</v>
      </c>
      <c r="CI3186" t="s">
        <v>51</v>
      </c>
      <c r="CK3186" t="s">
        <v>78</v>
      </c>
      <c r="CM3186" t="s">
        <v>54</v>
      </c>
      <c r="CN3186" t="s">
        <v>174</v>
      </c>
      <c r="CO3186" t="s">
        <v>86</v>
      </c>
      <c r="CR3186">
        <v>18</v>
      </c>
      <c r="CS3186">
        <v>0</v>
      </c>
      <c r="CT3186">
        <v>0</v>
      </c>
      <c r="CU3186">
        <v>0</v>
      </c>
    </row>
    <row r="3187" spans="1:99" x14ac:dyDescent="0.2">
      <c r="A3187" t="s">
        <v>367</v>
      </c>
      <c r="B3187" t="s">
        <v>368</v>
      </c>
      <c r="C3187" t="s">
        <v>369</v>
      </c>
      <c r="D3187" t="s">
        <v>1186</v>
      </c>
      <c r="F3187" t="str">
        <f>"26070"</f>
        <v>26070</v>
      </c>
      <c r="G3187" t="s">
        <v>49</v>
      </c>
      <c r="H3187" t="s">
        <v>861</v>
      </c>
      <c r="K3187" t="s">
        <v>51</v>
      </c>
      <c r="L3187" t="s">
        <v>52</v>
      </c>
      <c r="M3187">
        <v>137910.89000000001</v>
      </c>
      <c r="N3187">
        <v>467460.5</v>
      </c>
      <c r="O3187" t="s">
        <v>53</v>
      </c>
      <c r="P3187" t="s">
        <v>54</v>
      </c>
      <c r="Q3187" t="s">
        <v>55</v>
      </c>
      <c r="T3187" t="s">
        <v>818</v>
      </c>
      <c r="U3187">
        <v>40</v>
      </c>
      <c r="V3187" s="1">
        <v>28490</v>
      </c>
      <c r="W3187" s="1">
        <v>28490</v>
      </c>
      <c r="X3187" s="1">
        <v>28490</v>
      </c>
      <c r="Y3187" s="1">
        <v>43100</v>
      </c>
      <c r="Z3187" t="s">
        <v>51</v>
      </c>
      <c r="AB3187" t="s">
        <v>54</v>
      </c>
      <c r="AC3187">
        <v>1</v>
      </c>
      <c r="AE3187" t="s">
        <v>825</v>
      </c>
      <c r="AF3187">
        <v>20</v>
      </c>
      <c r="AG3187" s="1">
        <v>36924</v>
      </c>
      <c r="AH3187" s="1">
        <v>36924</v>
      </c>
      <c r="AI3187" s="1">
        <v>36924</v>
      </c>
      <c r="AJ3187" s="1">
        <v>44229</v>
      </c>
      <c r="AK3187" t="s">
        <v>51</v>
      </c>
      <c r="AN3187">
        <v>0</v>
      </c>
      <c r="AO3187" t="s">
        <v>54</v>
      </c>
      <c r="AP3187" t="s">
        <v>53</v>
      </c>
      <c r="AQ3187">
        <v>0</v>
      </c>
      <c r="AR3187" t="s">
        <v>53</v>
      </c>
      <c r="AS3187">
        <v>0</v>
      </c>
      <c r="AT3187">
        <v>0</v>
      </c>
      <c r="AW3187" t="s">
        <v>58</v>
      </c>
      <c r="AX3187">
        <v>20</v>
      </c>
      <c r="AY3187" s="1">
        <v>44270</v>
      </c>
      <c r="AZ3187" s="1">
        <v>44270</v>
      </c>
      <c r="BA3187" s="1">
        <v>44270</v>
      </c>
      <c r="BB3187" s="1">
        <v>51575</v>
      </c>
      <c r="BC3187" t="s">
        <v>51</v>
      </c>
      <c r="BE3187" t="s">
        <v>54</v>
      </c>
      <c r="BF3187">
        <v>2</v>
      </c>
      <c r="BG3187">
        <v>0</v>
      </c>
      <c r="BH3187" t="s">
        <v>53</v>
      </c>
      <c r="BK3187" t="s">
        <v>59</v>
      </c>
      <c r="BL3187">
        <v>14000</v>
      </c>
      <c r="BM3187" s="1">
        <v>44270</v>
      </c>
      <c r="BN3187" s="1">
        <v>44270</v>
      </c>
      <c r="BO3187" s="1">
        <v>44270</v>
      </c>
      <c r="BP3187" s="1">
        <v>45483</v>
      </c>
      <c r="BQ3187" t="s">
        <v>51</v>
      </c>
      <c r="BS3187" t="s">
        <v>60</v>
      </c>
      <c r="BT3187" t="s">
        <v>54</v>
      </c>
      <c r="BU3187" t="s">
        <v>61</v>
      </c>
      <c r="BV3187" t="s">
        <v>62</v>
      </c>
      <c r="BX3187">
        <v>24</v>
      </c>
      <c r="BY3187">
        <v>0</v>
      </c>
      <c r="BZ3187">
        <v>0</v>
      </c>
    </row>
    <row r="3188" spans="1:99" x14ac:dyDescent="0.2">
      <c r="A3188" t="s">
        <v>367</v>
      </c>
      <c r="B3188" t="s">
        <v>368</v>
      </c>
      <c r="C3188" t="s">
        <v>369</v>
      </c>
      <c r="D3188" t="s">
        <v>1186</v>
      </c>
      <c r="F3188" t="str">
        <f>"26071"</f>
        <v>26071</v>
      </c>
      <c r="G3188" t="s">
        <v>49</v>
      </c>
      <c r="H3188" t="s">
        <v>1344</v>
      </c>
      <c r="K3188" t="s">
        <v>51</v>
      </c>
      <c r="L3188" t="s">
        <v>52</v>
      </c>
      <c r="M3188">
        <v>137913.85</v>
      </c>
      <c r="N3188">
        <v>467469.45</v>
      </c>
      <c r="O3188" t="s">
        <v>53</v>
      </c>
      <c r="P3188" t="s">
        <v>54</v>
      </c>
      <c r="Q3188" t="s">
        <v>55</v>
      </c>
      <c r="T3188" t="s">
        <v>818</v>
      </c>
      <c r="U3188">
        <v>40</v>
      </c>
      <c r="V3188" s="1">
        <v>28490</v>
      </c>
      <c r="W3188" s="1">
        <v>28490</v>
      </c>
      <c r="X3188" s="1">
        <v>28490</v>
      </c>
      <c r="Y3188" s="1">
        <v>43100</v>
      </c>
      <c r="Z3188" t="s">
        <v>51</v>
      </c>
      <c r="AB3188" t="s">
        <v>54</v>
      </c>
      <c r="AC3188">
        <v>1</v>
      </c>
      <c r="AE3188" t="s">
        <v>825</v>
      </c>
      <c r="AF3188">
        <v>20</v>
      </c>
      <c r="AG3188" s="1">
        <v>36929</v>
      </c>
      <c r="AH3188" s="1">
        <v>36929</v>
      </c>
      <c r="AI3188" s="1">
        <v>36929</v>
      </c>
      <c r="AJ3188" s="1">
        <v>44234</v>
      </c>
      <c r="AK3188" t="s">
        <v>51</v>
      </c>
      <c r="AN3188">
        <v>0</v>
      </c>
      <c r="AO3188" t="s">
        <v>54</v>
      </c>
      <c r="AP3188" t="s">
        <v>53</v>
      </c>
      <c r="AQ3188">
        <v>0</v>
      </c>
      <c r="AR3188" t="s">
        <v>53</v>
      </c>
      <c r="AS3188">
        <v>0</v>
      </c>
      <c r="AT3188">
        <v>0</v>
      </c>
      <c r="AW3188" t="s">
        <v>58</v>
      </c>
      <c r="AX3188">
        <v>20</v>
      </c>
      <c r="AY3188" s="1">
        <v>36929</v>
      </c>
      <c r="AZ3188" s="1">
        <v>36929</v>
      </c>
      <c r="BA3188" s="1">
        <v>36929</v>
      </c>
      <c r="BB3188" s="1">
        <v>44234</v>
      </c>
      <c r="BC3188" t="s">
        <v>51</v>
      </c>
      <c r="BE3188" t="s">
        <v>54</v>
      </c>
      <c r="BF3188">
        <v>2</v>
      </c>
      <c r="BG3188">
        <v>0</v>
      </c>
      <c r="BH3188" t="s">
        <v>53</v>
      </c>
      <c r="BK3188" t="s">
        <v>59</v>
      </c>
      <c r="BL3188">
        <v>14000</v>
      </c>
      <c r="BM3188" s="1">
        <v>42552</v>
      </c>
      <c r="BN3188" s="1">
        <v>42552</v>
      </c>
      <c r="BO3188" s="1">
        <v>42552</v>
      </c>
      <c r="BP3188" s="1">
        <v>43752</v>
      </c>
      <c r="BQ3188" t="s">
        <v>51</v>
      </c>
      <c r="BS3188" t="s">
        <v>60</v>
      </c>
      <c r="BT3188" t="s">
        <v>54</v>
      </c>
      <c r="BU3188" t="s">
        <v>61</v>
      </c>
      <c r="BV3188" t="s">
        <v>62</v>
      </c>
      <c r="BX3188">
        <v>24</v>
      </c>
      <c r="BY3188">
        <v>0</v>
      </c>
      <c r="BZ3188">
        <v>0</v>
      </c>
    </row>
    <row r="3189" spans="1:99" x14ac:dyDescent="0.2">
      <c r="A3189" t="s">
        <v>367</v>
      </c>
      <c r="B3189" t="s">
        <v>368</v>
      </c>
      <c r="C3189" t="s">
        <v>369</v>
      </c>
      <c r="D3189" t="s">
        <v>1186</v>
      </c>
      <c r="F3189" t="str">
        <f>"26072"</f>
        <v>26072</v>
      </c>
      <c r="G3189" t="s">
        <v>49</v>
      </c>
      <c r="H3189" t="s">
        <v>1345</v>
      </c>
      <c r="K3189" t="s">
        <v>51</v>
      </c>
      <c r="L3189" t="s">
        <v>52</v>
      </c>
      <c r="M3189">
        <v>137923.41</v>
      </c>
      <c r="N3189">
        <v>467466.07</v>
      </c>
      <c r="O3189" t="s">
        <v>53</v>
      </c>
      <c r="P3189" t="s">
        <v>54</v>
      </c>
      <c r="Q3189" t="s">
        <v>55</v>
      </c>
      <c r="T3189" t="s">
        <v>818</v>
      </c>
      <c r="U3189">
        <v>40</v>
      </c>
      <c r="V3189" s="1">
        <v>28490</v>
      </c>
      <c r="W3189" s="1">
        <v>28490</v>
      </c>
      <c r="X3189" s="1">
        <v>28490</v>
      </c>
      <c r="Y3189" s="1">
        <v>43100</v>
      </c>
      <c r="Z3189" t="s">
        <v>51</v>
      </c>
      <c r="AB3189" t="s">
        <v>54</v>
      </c>
      <c r="AC3189">
        <v>1</v>
      </c>
      <c r="AE3189" t="s">
        <v>825</v>
      </c>
      <c r="AF3189">
        <v>20</v>
      </c>
      <c r="AG3189" s="1">
        <v>36929</v>
      </c>
      <c r="AH3189" s="1">
        <v>36929</v>
      </c>
      <c r="AI3189" s="1">
        <v>36929</v>
      </c>
      <c r="AJ3189" s="1">
        <v>44234</v>
      </c>
      <c r="AK3189" t="s">
        <v>51</v>
      </c>
      <c r="AN3189">
        <v>0</v>
      </c>
      <c r="AO3189" t="s">
        <v>54</v>
      </c>
      <c r="AP3189" t="s">
        <v>53</v>
      </c>
      <c r="AQ3189">
        <v>0</v>
      </c>
      <c r="AR3189" t="s">
        <v>53</v>
      </c>
      <c r="AS3189">
        <v>0</v>
      </c>
      <c r="AT3189">
        <v>0</v>
      </c>
      <c r="AW3189" t="s">
        <v>58</v>
      </c>
      <c r="AX3189">
        <v>20</v>
      </c>
      <c r="AY3189" s="1">
        <v>44270</v>
      </c>
      <c r="AZ3189" s="1">
        <v>44270</v>
      </c>
      <c r="BA3189" s="1">
        <v>44270</v>
      </c>
      <c r="BB3189" s="1">
        <v>51575</v>
      </c>
      <c r="BC3189" t="s">
        <v>51</v>
      </c>
      <c r="BE3189" t="s">
        <v>54</v>
      </c>
      <c r="BF3189">
        <v>2</v>
      </c>
      <c r="BG3189">
        <v>0</v>
      </c>
      <c r="BH3189" t="s">
        <v>53</v>
      </c>
      <c r="BK3189" t="s">
        <v>59</v>
      </c>
      <c r="BL3189">
        <v>14000</v>
      </c>
      <c r="BM3189" s="1">
        <v>42552</v>
      </c>
      <c r="BN3189" s="1">
        <v>42552</v>
      </c>
      <c r="BO3189" s="1">
        <v>44270</v>
      </c>
      <c r="BP3189" s="1">
        <v>43752</v>
      </c>
      <c r="BQ3189" t="s">
        <v>51</v>
      </c>
      <c r="BS3189" t="s">
        <v>60</v>
      </c>
      <c r="BT3189" t="s">
        <v>54</v>
      </c>
      <c r="BU3189" t="s">
        <v>61</v>
      </c>
      <c r="BV3189" t="s">
        <v>62</v>
      </c>
      <c r="BX3189">
        <v>24</v>
      </c>
      <c r="BY3189">
        <v>0</v>
      </c>
      <c r="BZ3189">
        <v>0</v>
      </c>
    </row>
    <row r="3190" spans="1:99" x14ac:dyDescent="0.2">
      <c r="A3190" t="s">
        <v>367</v>
      </c>
      <c r="B3190" t="s">
        <v>368</v>
      </c>
      <c r="C3190" t="s">
        <v>369</v>
      </c>
      <c r="D3190" t="s">
        <v>1186</v>
      </c>
      <c r="F3190" t="str">
        <f>"26073"</f>
        <v>26073</v>
      </c>
      <c r="G3190" t="s">
        <v>49</v>
      </c>
      <c r="H3190" t="s">
        <v>1346</v>
      </c>
      <c r="K3190" t="s">
        <v>51</v>
      </c>
      <c r="L3190" t="s">
        <v>52</v>
      </c>
      <c r="M3190">
        <v>137919.44</v>
      </c>
      <c r="N3190">
        <v>467456.67</v>
      </c>
      <c r="O3190" t="s">
        <v>53</v>
      </c>
      <c r="P3190" t="s">
        <v>54</v>
      </c>
      <c r="Q3190" t="s">
        <v>55</v>
      </c>
      <c r="T3190" t="s">
        <v>818</v>
      </c>
      <c r="U3190">
        <v>40</v>
      </c>
      <c r="V3190" s="1">
        <v>28490</v>
      </c>
      <c r="W3190" s="1">
        <v>28490</v>
      </c>
      <c r="X3190" s="1">
        <v>28490</v>
      </c>
      <c r="Y3190" s="1">
        <v>43100</v>
      </c>
      <c r="Z3190" t="s">
        <v>51</v>
      </c>
      <c r="AB3190" t="s">
        <v>54</v>
      </c>
      <c r="AC3190">
        <v>1</v>
      </c>
      <c r="AE3190" t="s">
        <v>825</v>
      </c>
      <c r="AF3190">
        <v>20</v>
      </c>
      <c r="AG3190" s="1">
        <v>36929</v>
      </c>
      <c r="AH3190" s="1">
        <v>36929</v>
      </c>
      <c r="AI3190" s="1">
        <v>36929</v>
      </c>
      <c r="AJ3190" s="1">
        <v>44234</v>
      </c>
      <c r="AK3190" t="s">
        <v>51</v>
      </c>
      <c r="AN3190">
        <v>0</v>
      </c>
      <c r="AO3190" t="s">
        <v>54</v>
      </c>
      <c r="AP3190" t="s">
        <v>53</v>
      </c>
      <c r="AQ3190">
        <v>0</v>
      </c>
      <c r="AR3190" t="s">
        <v>53</v>
      </c>
      <c r="AS3190">
        <v>0</v>
      </c>
      <c r="AT3190">
        <v>0</v>
      </c>
      <c r="AW3190" t="s">
        <v>58</v>
      </c>
      <c r="AX3190">
        <v>20</v>
      </c>
      <c r="AY3190" s="1">
        <v>44270</v>
      </c>
      <c r="AZ3190" s="1">
        <v>44270</v>
      </c>
      <c r="BA3190" s="1">
        <v>44270</v>
      </c>
      <c r="BB3190" s="1">
        <v>51575</v>
      </c>
      <c r="BC3190" t="s">
        <v>51</v>
      </c>
      <c r="BE3190" t="s">
        <v>54</v>
      </c>
      <c r="BF3190">
        <v>2</v>
      </c>
      <c r="BG3190">
        <v>0</v>
      </c>
      <c r="BH3190" t="s">
        <v>53</v>
      </c>
      <c r="BK3190" t="s">
        <v>59</v>
      </c>
      <c r="BL3190">
        <v>14000</v>
      </c>
      <c r="BM3190" s="1">
        <v>44270</v>
      </c>
      <c r="BN3190" s="1">
        <v>44270</v>
      </c>
      <c r="BO3190" s="1">
        <v>44270</v>
      </c>
      <c r="BP3190" s="1">
        <v>45483</v>
      </c>
      <c r="BQ3190" t="s">
        <v>51</v>
      </c>
      <c r="BS3190" t="s">
        <v>60</v>
      </c>
      <c r="BT3190" t="s">
        <v>54</v>
      </c>
      <c r="BU3190" t="s">
        <v>61</v>
      </c>
      <c r="BV3190" t="s">
        <v>62</v>
      </c>
      <c r="BX3190">
        <v>24</v>
      </c>
      <c r="BY3190">
        <v>0</v>
      </c>
      <c r="BZ3190">
        <v>0</v>
      </c>
    </row>
    <row r="3191" spans="1:99" x14ac:dyDescent="0.2">
      <c r="A3191" t="s">
        <v>367</v>
      </c>
      <c r="B3191" t="s">
        <v>368</v>
      </c>
      <c r="C3191" t="s">
        <v>369</v>
      </c>
      <c r="D3191" t="s">
        <v>1186</v>
      </c>
      <c r="F3191" t="str">
        <f>"26074"</f>
        <v>26074</v>
      </c>
      <c r="G3191" t="s">
        <v>49</v>
      </c>
      <c r="H3191" t="s">
        <v>1304</v>
      </c>
      <c r="K3191" t="s">
        <v>51</v>
      </c>
      <c r="L3191" t="s">
        <v>52</v>
      </c>
      <c r="M3191">
        <v>137921.64000000001</v>
      </c>
      <c r="N3191">
        <v>467431.76</v>
      </c>
      <c r="O3191" t="s">
        <v>53</v>
      </c>
      <c r="P3191" t="s">
        <v>54</v>
      </c>
      <c r="Q3191" t="s">
        <v>55</v>
      </c>
      <c r="T3191" t="s">
        <v>818</v>
      </c>
      <c r="U3191">
        <v>40</v>
      </c>
      <c r="V3191" s="1">
        <v>28490</v>
      </c>
      <c r="W3191" s="1">
        <v>28490</v>
      </c>
      <c r="X3191" s="1">
        <v>28490</v>
      </c>
      <c r="Y3191" s="1">
        <v>43100</v>
      </c>
      <c r="Z3191" t="s">
        <v>51</v>
      </c>
      <c r="AB3191" t="s">
        <v>54</v>
      </c>
      <c r="AC3191">
        <v>1</v>
      </c>
      <c r="AE3191" t="s">
        <v>825</v>
      </c>
      <c r="AF3191">
        <v>20</v>
      </c>
      <c r="AG3191" s="1">
        <v>36928</v>
      </c>
      <c r="AH3191" s="1">
        <v>36928</v>
      </c>
      <c r="AI3191" s="1">
        <v>36928</v>
      </c>
      <c r="AJ3191" s="1">
        <v>44233</v>
      </c>
      <c r="AK3191" t="s">
        <v>51</v>
      </c>
      <c r="AN3191">
        <v>0</v>
      </c>
      <c r="AO3191" t="s">
        <v>54</v>
      </c>
      <c r="AP3191" t="s">
        <v>53</v>
      </c>
      <c r="AQ3191">
        <v>0</v>
      </c>
      <c r="AR3191" t="s">
        <v>53</v>
      </c>
      <c r="AS3191">
        <v>0</v>
      </c>
      <c r="AT3191">
        <v>0</v>
      </c>
      <c r="AW3191" t="s">
        <v>58</v>
      </c>
      <c r="AX3191">
        <v>20</v>
      </c>
      <c r="AY3191" s="1">
        <v>36928</v>
      </c>
      <c r="AZ3191" s="1">
        <v>36928</v>
      </c>
      <c r="BA3191" s="1">
        <v>36928</v>
      </c>
      <c r="BB3191" s="1">
        <v>44233</v>
      </c>
      <c r="BC3191" t="s">
        <v>51</v>
      </c>
      <c r="BE3191" t="s">
        <v>54</v>
      </c>
      <c r="BF3191">
        <v>2</v>
      </c>
      <c r="BG3191">
        <v>0</v>
      </c>
      <c r="BH3191" t="s">
        <v>53</v>
      </c>
      <c r="BK3191" t="s">
        <v>59</v>
      </c>
      <c r="BL3191">
        <v>14000</v>
      </c>
      <c r="BM3191" s="1">
        <v>42552</v>
      </c>
      <c r="BN3191" s="1">
        <v>42552</v>
      </c>
      <c r="BO3191" s="1">
        <v>42552</v>
      </c>
      <c r="BP3191" s="1">
        <v>43752</v>
      </c>
      <c r="BQ3191" t="s">
        <v>51</v>
      </c>
      <c r="BS3191" t="s">
        <v>60</v>
      </c>
      <c r="BT3191" t="s">
        <v>54</v>
      </c>
      <c r="BU3191" t="s">
        <v>61</v>
      </c>
      <c r="BV3191" t="s">
        <v>62</v>
      </c>
      <c r="BX3191">
        <v>24</v>
      </c>
      <c r="BY3191">
        <v>0</v>
      </c>
      <c r="BZ3191">
        <v>0</v>
      </c>
    </row>
    <row r="3192" spans="1:99" x14ac:dyDescent="0.2">
      <c r="A3192" t="s">
        <v>367</v>
      </c>
      <c r="B3192" t="s">
        <v>368</v>
      </c>
      <c r="C3192" t="s">
        <v>369</v>
      </c>
      <c r="D3192" t="s">
        <v>1186</v>
      </c>
      <c r="F3192" t="str">
        <f>"26075"</f>
        <v>26075</v>
      </c>
      <c r="G3192" t="s">
        <v>49</v>
      </c>
      <c r="H3192" t="s">
        <v>1230</v>
      </c>
      <c r="K3192" t="s">
        <v>51</v>
      </c>
      <c r="L3192" t="s">
        <v>52</v>
      </c>
      <c r="M3192">
        <v>137910.44</v>
      </c>
      <c r="N3192">
        <v>467414.26</v>
      </c>
      <c r="O3192" t="s">
        <v>53</v>
      </c>
      <c r="P3192" t="s">
        <v>54</v>
      </c>
      <c r="Q3192" t="s">
        <v>55</v>
      </c>
      <c r="T3192" t="s">
        <v>818</v>
      </c>
      <c r="U3192">
        <v>40</v>
      </c>
      <c r="V3192" s="1">
        <v>28490</v>
      </c>
      <c r="W3192" s="1">
        <v>28490</v>
      </c>
      <c r="X3192" s="1">
        <v>28490</v>
      </c>
      <c r="Y3192" s="1">
        <v>43100</v>
      </c>
      <c r="Z3192" t="s">
        <v>51</v>
      </c>
      <c r="AB3192" t="s">
        <v>54</v>
      </c>
      <c r="AC3192">
        <v>1</v>
      </c>
      <c r="AE3192" t="s">
        <v>825</v>
      </c>
      <c r="AF3192">
        <v>20</v>
      </c>
      <c r="AG3192" s="1">
        <v>36924</v>
      </c>
      <c r="AH3192" s="1">
        <v>36924</v>
      </c>
      <c r="AI3192" s="1">
        <v>36924</v>
      </c>
      <c r="AJ3192" s="1">
        <v>44229</v>
      </c>
      <c r="AK3192" t="s">
        <v>51</v>
      </c>
      <c r="AN3192">
        <v>0</v>
      </c>
      <c r="AO3192" t="s">
        <v>54</v>
      </c>
      <c r="AP3192" t="s">
        <v>53</v>
      </c>
      <c r="AQ3192">
        <v>0</v>
      </c>
      <c r="AR3192" t="s">
        <v>53</v>
      </c>
      <c r="AS3192">
        <v>0</v>
      </c>
      <c r="AT3192">
        <v>0</v>
      </c>
      <c r="AW3192" t="s">
        <v>58</v>
      </c>
      <c r="AX3192">
        <v>20</v>
      </c>
      <c r="AY3192" s="1">
        <v>36924</v>
      </c>
      <c r="AZ3192" s="1">
        <v>36924</v>
      </c>
      <c r="BA3192" s="1">
        <v>36924</v>
      </c>
      <c r="BB3192" s="1">
        <v>44229</v>
      </c>
      <c r="BC3192" t="s">
        <v>51</v>
      </c>
      <c r="BE3192" t="s">
        <v>54</v>
      </c>
      <c r="BF3192">
        <v>2</v>
      </c>
      <c r="BG3192">
        <v>0</v>
      </c>
      <c r="BH3192" t="s">
        <v>53</v>
      </c>
      <c r="BK3192" t="s">
        <v>59</v>
      </c>
      <c r="BL3192">
        <v>14000</v>
      </c>
      <c r="BM3192" s="1">
        <v>42552</v>
      </c>
      <c r="BN3192" s="1">
        <v>42552</v>
      </c>
      <c r="BO3192" s="1">
        <v>42552</v>
      </c>
      <c r="BP3192" s="1">
        <v>43752</v>
      </c>
      <c r="BQ3192" t="s">
        <v>51</v>
      </c>
      <c r="BS3192" t="s">
        <v>60</v>
      </c>
      <c r="BT3192" t="s">
        <v>54</v>
      </c>
      <c r="BU3192" t="s">
        <v>61</v>
      </c>
      <c r="BV3192" t="s">
        <v>62</v>
      </c>
      <c r="BX3192">
        <v>24</v>
      </c>
      <c r="BY3192">
        <v>0</v>
      </c>
      <c r="BZ3192">
        <v>0</v>
      </c>
    </row>
    <row r="3193" spans="1:99" x14ac:dyDescent="0.2">
      <c r="A3193" t="s">
        <v>367</v>
      </c>
      <c r="B3193" t="s">
        <v>368</v>
      </c>
      <c r="C3193" t="s">
        <v>369</v>
      </c>
      <c r="D3193" t="s">
        <v>1186</v>
      </c>
      <c r="F3193" t="str">
        <f>"26076"</f>
        <v>26076</v>
      </c>
      <c r="G3193" t="s">
        <v>49</v>
      </c>
      <c r="H3193" t="s">
        <v>1231</v>
      </c>
      <c r="K3193" t="s">
        <v>51</v>
      </c>
      <c r="L3193" t="s">
        <v>52</v>
      </c>
      <c r="M3193">
        <v>137938.79999999999</v>
      </c>
      <c r="N3193">
        <v>467469.36</v>
      </c>
      <c r="O3193" t="s">
        <v>53</v>
      </c>
      <c r="P3193" t="s">
        <v>54</v>
      </c>
      <c r="Q3193" t="s">
        <v>55</v>
      </c>
      <c r="T3193" t="s">
        <v>818</v>
      </c>
      <c r="U3193">
        <v>40</v>
      </c>
      <c r="V3193" s="1">
        <v>28490</v>
      </c>
      <c r="W3193" s="1">
        <v>28490</v>
      </c>
      <c r="X3193" s="1">
        <v>28490</v>
      </c>
      <c r="Y3193" s="1">
        <v>43100</v>
      </c>
      <c r="Z3193" t="s">
        <v>51</v>
      </c>
      <c r="AB3193" t="s">
        <v>54</v>
      </c>
      <c r="AC3193">
        <v>1</v>
      </c>
      <c r="AE3193" t="s">
        <v>825</v>
      </c>
      <c r="AF3193">
        <v>20</v>
      </c>
      <c r="AG3193" s="1">
        <v>36929</v>
      </c>
      <c r="AH3193" s="1">
        <v>36929</v>
      </c>
      <c r="AI3193" s="1">
        <v>36929</v>
      </c>
      <c r="AJ3193" s="1">
        <v>44234</v>
      </c>
      <c r="AK3193" t="s">
        <v>51</v>
      </c>
      <c r="AN3193">
        <v>0</v>
      </c>
      <c r="AO3193" t="s">
        <v>54</v>
      </c>
      <c r="AP3193" t="s">
        <v>53</v>
      </c>
      <c r="AQ3193">
        <v>0</v>
      </c>
      <c r="AR3193" t="s">
        <v>53</v>
      </c>
      <c r="AS3193">
        <v>0</v>
      </c>
      <c r="AT3193">
        <v>0</v>
      </c>
      <c r="AW3193" t="s">
        <v>58</v>
      </c>
      <c r="AX3193">
        <v>20</v>
      </c>
      <c r="AY3193" s="1">
        <v>36929</v>
      </c>
      <c r="AZ3193" s="1">
        <v>36929</v>
      </c>
      <c r="BA3193" s="1">
        <v>36929</v>
      </c>
      <c r="BB3193" s="1">
        <v>44234</v>
      </c>
      <c r="BC3193" t="s">
        <v>51</v>
      </c>
      <c r="BE3193" t="s">
        <v>54</v>
      </c>
      <c r="BF3193">
        <v>2</v>
      </c>
      <c r="BG3193">
        <v>0</v>
      </c>
      <c r="BH3193" t="s">
        <v>53</v>
      </c>
      <c r="BK3193" t="s">
        <v>59</v>
      </c>
      <c r="BL3193">
        <v>14000</v>
      </c>
      <c r="BM3193" s="1">
        <v>42552</v>
      </c>
      <c r="BN3193" s="1">
        <v>42552</v>
      </c>
      <c r="BO3193" s="1">
        <v>42552</v>
      </c>
      <c r="BP3193" s="1">
        <v>43752</v>
      </c>
      <c r="BQ3193" t="s">
        <v>51</v>
      </c>
      <c r="BS3193" t="s">
        <v>60</v>
      </c>
      <c r="BT3193" t="s">
        <v>54</v>
      </c>
      <c r="BU3193" t="s">
        <v>61</v>
      </c>
      <c r="BV3193" t="s">
        <v>62</v>
      </c>
      <c r="BX3193">
        <v>24</v>
      </c>
      <c r="BY3193">
        <v>0</v>
      </c>
      <c r="BZ3193">
        <v>0</v>
      </c>
    </row>
    <row r="3194" spans="1:99" x14ac:dyDescent="0.2">
      <c r="A3194" t="s">
        <v>367</v>
      </c>
      <c r="B3194" t="s">
        <v>368</v>
      </c>
      <c r="C3194" t="s">
        <v>369</v>
      </c>
      <c r="D3194" t="s">
        <v>1186</v>
      </c>
      <c r="F3194" t="str">
        <f>"26077"</f>
        <v>26077</v>
      </c>
      <c r="G3194" t="s">
        <v>49</v>
      </c>
      <c r="H3194" t="s">
        <v>1347</v>
      </c>
      <c r="K3194" t="s">
        <v>51</v>
      </c>
      <c r="L3194" t="s">
        <v>52</v>
      </c>
      <c r="M3194">
        <v>137958.28</v>
      </c>
      <c r="N3194">
        <v>467452.93</v>
      </c>
      <c r="O3194" t="s">
        <v>53</v>
      </c>
      <c r="P3194" t="s">
        <v>54</v>
      </c>
      <c r="Q3194" t="s">
        <v>55</v>
      </c>
      <c r="T3194" t="s">
        <v>818</v>
      </c>
      <c r="U3194">
        <v>40</v>
      </c>
      <c r="V3194" s="1">
        <v>28490</v>
      </c>
      <c r="W3194" s="1">
        <v>28490</v>
      </c>
      <c r="X3194" s="1">
        <v>28490</v>
      </c>
      <c r="Y3194" s="1">
        <v>43100</v>
      </c>
      <c r="Z3194" t="s">
        <v>51</v>
      </c>
      <c r="AB3194" t="s">
        <v>54</v>
      </c>
      <c r="AC3194">
        <v>1</v>
      </c>
      <c r="AE3194" t="s">
        <v>825</v>
      </c>
      <c r="AF3194">
        <v>20</v>
      </c>
      <c r="AG3194" s="1">
        <v>36928</v>
      </c>
      <c r="AH3194" s="1">
        <v>36928</v>
      </c>
      <c r="AI3194" s="1">
        <v>36928</v>
      </c>
      <c r="AJ3194" s="1">
        <v>44233</v>
      </c>
      <c r="AK3194" t="s">
        <v>51</v>
      </c>
      <c r="AN3194">
        <v>0</v>
      </c>
      <c r="AO3194" t="s">
        <v>54</v>
      </c>
      <c r="AP3194" t="s">
        <v>53</v>
      </c>
      <c r="AQ3194">
        <v>0</v>
      </c>
      <c r="AR3194" t="s">
        <v>53</v>
      </c>
      <c r="AS3194">
        <v>0</v>
      </c>
      <c r="AT3194">
        <v>0</v>
      </c>
      <c r="AW3194" t="s">
        <v>58</v>
      </c>
      <c r="AX3194">
        <v>20</v>
      </c>
      <c r="AY3194" s="1">
        <v>36928</v>
      </c>
      <c r="AZ3194" s="1">
        <v>36928</v>
      </c>
      <c r="BA3194" s="1">
        <v>36928</v>
      </c>
      <c r="BB3194" s="1">
        <v>44233</v>
      </c>
      <c r="BC3194" t="s">
        <v>51</v>
      </c>
      <c r="BE3194" t="s">
        <v>54</v>
      </c>
      <c r="BF3194">
        <v>2</v>
      </c>
      <c r="BG3194">
        <v>0</v>
      </c>
      <c r="BH3194" t="s">
        <v>53</v>
      </c>
      <c r="BK3194" t="s">
        <v>59</v>
      </c>
      <c r="BL3194">
        <v>14000</v>
      </c>
      <c r="BM3194" s="1">
        <v>42552</v>
      </c>
      <c r="BN3194" s="1">
        <v>42552</v>
      </c>
      <c r="BO3194" s="1">
        <v>42552</v>
      </c>
      <c r="BP3194" s="1">
        <v>43752</v>
      </c>
      <c r="BQ3194" t="s">
        <v>51</v>
      </c>
      <c r="BS3194" t="s">
        <v>60</v>
      </c>
      <c r="BT3194" t="s">
        <v>54</v>
      </c>
      <c r="BU3194" t="s">
        <v>61</v>
      </c>
      <c r="BV3194" t="s">
        <v>62</v>
      </c>
      <c r="BX3194">
        <v>24</v>
      </c>
      <c r="BY3194">
        <v>0</v>
      </c>
      <c r="BZ3194">
        <v>0</v>
      </c>
    </row>
    <row r="3195" spans="1:99" x14ac:dyDescent="0.2">
      <c r="A3195" t="s">
        <v>367</v>
      </c>
      <c r="B3195" t="s">
        <v>368</v>
      </c>
      <c r="C3195" t="s">
        <v>369</v>
      </c>
      <c r="D3195" t="s">
        <v>1186</v>
      </c>
      <c r="F3195" t="str">
        <f>"26078"</f>
        <v>26078</v>
      </c>
      <c r="G3195" t="s">
        <v>49</v>
      </c>
      <c r="H3195" t="s">
        <v>1348</v>
      </c>
      <c r="K3195" t="s">
        <v>51</v>
      </c>
      <c r="L3195" t="s">
        <v>52</v>
      </c>
      <c r="M3195">
        <v>137964.04</v>
      </c>
      <c r="N3195">
        <v>467437.71</v>
      </c>
      <c r="O3195" t="s">
        <v>53</v>
      </c>
      <c r="P3195" t="s">
        <v>54</v>
      </c>
      <c r="Q3195" t="s">
        <v>55</v>
      </c>
      <c r="T3195" t="s">
        <v>818</v>
      </c>
      <c r="U3195">
        <v>40</v>
      </c>
      <c r="V3195" s="1">
        <v>28490</v>
      </c>
      <c r="W3195" s="1">
        <v>28490</v>
      </c>
      <c r="X3195" s="1">
        <v>28490</v>
      </c>
      <c r="Y3195" s="1">
        <v>43100</v>
      </c>
      <c r="Z3195" t="s">
        <v>51</v>
      </c>
      <c r="AB3195" t="s">
        <v>54</v>
      </c>
      <c r="AC3195">
        <v>1</v>
      </c>
      <c r="AE3195" t="s">
        <v>825</v>
      </c>
      <c r="AF3195">
        <v>20</v>
      </c>
      <c r="AG3195" s="1">
        <v>36928</v>
      </c>
      <c r="AH3195" s="1">
        <v>36928</v>
      </c>
      <c r="AI3195" s="1">
        <v>36928</v>
      </c>
      <c r="AJ3195" s="1">
        <v>44233</v>
      </c>
      <c r="AK3195" t="s">
        <v>51</v>
      </c>
      <c r="AN3195">
        <v>0</v>
      </c>
      <c r="AO3195" t="s">
        <v>54</v>
      </c>
      <c r="AP3195" t="s">
        <v>53</v>
      </c>
      <c r="AQ3195">
        <v>0</v>
      </c>
      <c r="AR3195" t="s">
        <v>53</v>
      </c>
      <c r="AS3195">
        <v>0</v>
      </c>
      <c r="AT3195">
        <v>0</v>
      </c>
      <c r="AW3195" t="s">
        <v>58</v>
      </c>
      <c r="AX3195">
        <v>20</v>
      </c>
      <c r="AY3195" s="1">
        <v>36928</v>
      </c>
      <c r="AZ3195" s="1">
        <v>36928</v>
      </c>
      <c r="BA3195" s="1">
        <v>36928</v>
      </c>
      <c r="BB3195" s="1">
        <v>44233</v>
      </c>
      <c r="BC3195" t="s">
        <v>51</v>
      </c>
      <c r="BE3195" t="s">
        <v>54</v>
      </c>
      <c r="BF3195">
        <v>2</v>
      </c>
      <c r="BG3195">
        <v>0</v>
      </c>
      <c r="BH3195" t="s">
        <v>53</v>
      </c>
      <c r="BK3195" t="s">
        <v>59</v>
      </c>
      <c r="BL3195">
        <v>14000</v>
      </c>
      <c r="BM3195" s="1">
        <v>42552</v>
      </c>
      <c r="BN3195" s="1">
        <v>42552</v>
      </c>
      <c r="BO3195" s="1">
        <v>42552</v>
      </c>
      <c r="BP3195" s="1">
        <v>43752</v>
      </c>
      <c r="BQ3195" t="s">
        <v>51</v>
      </c>
      <c r="BS3195" t="s">
        <v>60</v>
      </c>
      <c r="BT3195" t="s">
        <v>54</v>
      </c>
      <c r="BU3195" t="s">
        <v>61</v>
      </c>
      <c r="BV3195" t="s">
        <v>62</v>
      </c>
      <c r="BX3195">
        <v>24</v>
      </c>
      <c r="BY3195">
        <v>0</v>
      </c>
      <c r="BZ3195">
        <v>0</v>
      </c>
    </row>
    <row r="3196" spans="1:99" x14ac:dyDescent="0.2">
      <c r="A3196" t="s">
        <v>367</v>
      </c>
      <c r="B3196" t="s">
        <v>368</v>
      </c>
      <c r="C3196" t="s">
        <v>369</v>
      </c>
      <c r="D3196" t="s">
        <v>1186</v>
      </c>
      <c r="F3196" t="str">
        <f>"26079"</f>
        <v>26079</v>
      </c>
      <c r="G3196" t="s">
        <v>49</v>
      </c>
      <c r="H3196" t="s">
        <v>1349</v>
      </c>
      <c r="K3196" t="s">
        <v>51</v>
      </c>
      <c r="L3196" t="s">
        <v>52</v>
      </c>
      <c r="M3196">
        <v>137957.42000000001</v>
      </c>
      <c r="N3196">
        <v>467420.78</v>
      </c>
      <c r="O3196" t="s">
        <v>53</v>
      </c>
      <c r="P3196" t="s">
        <v>54</v>
      </c>
      <c r="Q3196" t="s">
        <v>55</v>
      </c>
      <c r="T3196" t="s">
        <v>818</v>
      </c>
      <c r="U3196">
        <v>40</v>
      </c>
      <c r="V3196" s="1">
        <v>28490</v>
      </c>
      <c r="W3196" s="1">
        <v>28490</v>
      </c>
      <c r="X3196" s="1">
        <v>28490</v>
      </c>
      <c r="Y3196" s="1">
        <v>43100</v>
      </c>
      <c r="Z3196" t="s">
        <v>51</v>
      </c>
      <c r="AB3196" t="s">
        <v>54</v>
      </c>
      <c r="AC3196">
        <v>1</v>
      </c>
      <c r="AE3196" t="s">
        <v>552</v>
      </c>
      <c r="AF3196">
        <v>20</v>
      </c>
      <c r="AG3196" s="1">
        <v>44642</v>
      </c>
      <c r="AH3196" s="1">
        <v>44642</v>
      </c>
      <c r="AI3196" s="1">
        <v>44642</v>
      </c>
      <c r="AJ3196" s="1">
        <v>51947</v>
      </c>
      <c r="AK3196" t="s">
        <v>51</v>
      </c>
      <c r="AN3196">
        <v>0</v>
      </c>
      <c r="AO3196" t="s">
        <v>54</v>
      </c>
      <c r="AP3196" t="s">
        <v>53</v>
      </c>
      <c r="AQ3196">
        <v>0</v>
      </c>
      <c r="AR3196" t="s">
        <v>145</v>
      </c>
      <c r="AS3196">
        <v>0</v>
      </c>
      <c r="AT3196">
        <v>0</v>
      </c>
      <c r="AW3196" t="s">
        <v>58</v>
      </c>
      <c r="AX3196">
        <v>20</v>
      </c>
      <c r="AY3196" s="1">
        <v>36929</v>
      </c>
      <c r="AZ3196" s="1">
        <v>36929</v>
      </c>
      <c r="BA3196" s="1">
        <v>44642</v>
      </c>
      <c r="BB3196" s="1">
        <v>44234</v>
      </c>
      <c r="BC3196" t="s">
        <v>51</v>
      </c>
      <c r="BE3196" t="s">
        <v>54</v>
      </c>
      <c r="BF3196">
        <v>2</v>
      </c>
      <c r="BG3196">
        <v>0</v>
      </c>
      <c r="BH3196" t="s">
        <v>53</v>
      </c>
      <c r="BK3196" t="s">
        <v>59</v>
      </c>
      <c r="BL3196">
        <v>14000</v>
      </c>
      <c r="BM3196" s="1">
        <v>42552</v>
      </c>
      <c r="BN3196" s="1">
        <v>42552</v>
      </c>
      <c r="BO3196" s="1">
        <v>44642</v>
      </c>
      <c r="BP3196" s="1">
        <v>43752</v>
      </c>
      <c r="BQ3196" t="s">
        <v>51</v>
      </c>
      <c r="BS3196" t="s">
        <v>60</v>
      </c>
      <c r="BT3196" t="s">
        <v>54</v>
      </c>
      <c r="BU3196" t="s">
        <v>61</v>
      </c>
      <c r="BV3196" t="s">
        <v>62</v>
      </c>
      <c r="BX3196">
        <v>24</v>
      </c>
      <c r="BY3196">
        <v>0</v>
      </c>
      <c r="BZ3196">
        <v>0</v>
      </c>
    </row>
    <row r="3197" spans="1:99" x14ac:dyDescent="0.2">
      <c r="A3197" t="s">
        <v>367</v>
      </c>
      <c r="B3197" t="s">
        <v>368</v>
      </c>
      <c r="C3197" t="s">
        <v>369</v>
      </c>
      <c r="D3197" t="s">
        <v>1186</v>
      </c>
      <c r="F3197" t="str">
        <f>"26080"</f>
        <v>26080</v>
      </c>
      <c r="G3197" t="s">
        <v>49</v>
      </c>
      <c r="H3197" t="s">
        <v>869</v>
      </c>
      <c r="K3197" t="s">
        <v>51</v>
      </c>
      <c r="L3197" t="s">
        <v>52</v>
      </c>
      <c r="M3197">
        <v>137951.94</v>
      </c>
      <c r="N3197">
        <v>467406.99</v>
      </c>
      <c r="O3197" t="s">
        <v>53</v>
      </c>
      <c r="P3197" t="s">
        <v>54</v>
      </c>
      <c r="Q3197" t="s">
        <v>55</v>
      </c>
      <c r="T3197" t="s">
        <v>818</v>
      </c>
      <c r="U3197">
        <v>40</v>
      </c>
      <c r="V3197" s="1">
        <v>28490</v>
      </c>
      <c r="W3197" s="1">
        <v>28490</v>
      </c>
      <c r="X3197" s="1">
        <v>28490</v>
      </c>
      <c r="Y3197" s="1">
        <v>43100</v>
      </c>
      <c r="Z3197" t="s">
        <v>51</v>
      </c>
      <c r="AB3197" t="s">
        <v>54</v>
      </c>
      <c r="AC3197">
        <v>1</v>
      </c>
      <c r="AE3197" t="s">
        <v>825</v>
      </c>
      <c r="AF3197">
        <v>20</v>
      </c>
      <c r="AG3197" s="1">
        <v>36929</v>
      </c>
      <c r="AH3197" s="1">
        <v>36929</v>
      </c>
      <c r="AI3197" s="1">
        <v>36929</v>
      </c>
      <c r="AJ3197" s="1">
        <v>44234</v>
      </c>
      <c r="AK3197" t="s">
        <v>51</v>
      </c>
      <c r="AN3197">
        <v>0</v>
      </c>
      <c r="AO3197" t="s">
        <v>54</v>
      </c>
      <c r="AP3197" t="s">
        <v>53</v>
      </c>
      <c r="AQ3197">
        <v>0</v>
      </c>
      <c r="AR3197" t="s">
        <v>53</v>
      </c>
      <c r="AS3197">
        <v>0</v>
      </c>
      <c r="AT3197">
        <v>0</v>
      </c>
      <c r="AW3197" t="s">
        <v>58</v>
      </c>
      <c r="AX3197">
        <v>20</v>
      </c>
      <c r="AY3197" s="1">
        <v>36929</v>
      </c>
      <c r="AZ3197" s="1">
        <v>36929</v>
      </c>
      <c r="BA3197" s="1">
        <v>36929</v>
      </c>
      <c r="BB3197" s="1">
        <v>44234</v>
      </c>
      <c r="BC3197" t="s">
        <v>51</v>
      </c>
      <c r="BE3197" t="s">
        <v>54</v>
      </c>
      <c r="BF3197">
        <v>2</v>
      </c>
      <c r="BG3197">
        <v>0</v>
      </c>
      <c r="BH3197" t="s">
        <v>53</v>
      </c>
      <c r="BK3197" t="s">
        <v>59</v>
      </c>
      <c r="BL3197">
        <v>14000</v>
      </c>
      <c r="BM3197" s="1">
        <v>42552</v>
      </c>
      <c r="BN3197" s="1">
        <v>42552</v>
      </c>
      <c r="BO3197" s="1">
        <v>42552</v>
      </c>
      <c r="BP3197" s="1">
        <v>43752</v>
      </c>
      <c r="BQ3197" t="s">
        <v>51</v>
      </c>
      <c r="BS3197" t="s">
        <v>60</v>
      </c>
      <c r="BT3197" t="s">
        <v>54</v>
      </c>
      <c r="BU3197" t="s">
        <v>61</v>
      </c>
      <c r="BV3197" t="s">
        <v>62</v>
      </c>
      <c r="BX3197">
        <v>24</v>
      </c>
      <c r="BY3197">
        <v>0</v>
      </c>
      <c r="BZ3197">
        <v>0</v>
      </c>
    </row>
    <row r="3198" spans="1:99" x14ac:dyDescent="0.2">
      <c r="A3198" t="s">
        <v>367</v>
      </c>
      <c r="B3198" t="s">
        <v>368</v>
      </c>
      <c r="C3198" t="s">
        <v>369</v>
      </c>
      <c r="D3198" t="s">
        <v>1186</v>
      </c>
      <c r="F3198" t="str">
        <f>"26082"</f>
        <v>26082</v>
      </c>
      <c r="G3198" t="s">
        <v>49</v>
      </c>
      <c r="H3198" t="s">
        <v>1350</v>
      </c>
      <c r="K3198" t="s">
        <v>51</v>
      </c>
      <c r="L3198" t="s">
        <v>52</v>
      </c>
      <c r="M3198">
        <v>137948.88</v>
      </c>
      <c r="N3198">
        <v>467389.14</v>
      </c>
      <c r="O3198" t="s">
        <v>53</v>
      </c>
      <c r="P3198" t="s">
        <v>54</v>
      </c>
      <c r="Q3198" t="s">
        <v>55</v>
      </c>
      <c r="T3198" t="s">
        <v>818</v>
      </c>
      <c r="U3198">
        <v>40</v>
      </c>
      <c r="V3198" s="1">
        <v>28490</v>
      </c>
      <c r="W3198" s="1">
        <v>28490</v>
      </c>
      <c r="X3198" s="1">
        <v>28490</v>
      </c>
      <c r="Y3198" s="1">
        <v>43100</v>
      </c>
      <c r="Z3198" t="s">
        <v>51</v>
      </c>
      <c r="AB3198" t="s">
        <v>54</v>
      </c>
      <c r="AC3198">
        <v>1</v>
      </c>
      <c r="AE3198" t="s">
        <v>825</v>
      </c>
      <c r="AF3198">
        <v>20</v>
      </c>
      <c r="AG3198" s="1">
        <v>36928</v>
      </c>
      <c r="AH3198" s="1">
        <v>36928</v>
      </c>
      <c r="AI3198" s="1">
        <v>36928</v>
      </c>
      <c r="AJ3198" s="1">
        <v>44233</v>
      </c>
      <c r="AK3198" t="s">
        <v>51</v>
      </c>
      <c r="AN3198">
        <v>0</v>
      </c>
      <c r="AO3198" t="s">
        <v>54</v>
      </c>
      <c r="AP3198" t="s">
        <v>53</v>
      </c>
      <c r="AQ3198">
        <v>0</v>
      </c>
      <c r="AR3198" t="s">
        <v>53</v>
      </c>
      <c r="AS3198">
        <v>0</v>
      </c>
      <c r="AT3198">
        <v>0</v>
      </c>
      <c r="AW3198" t="s">
        <v>58</v>
      </c>
      <c r="AX3198">
        <v>20</v>
      </c>
      <c r="AY3198" s="1">
        <v>36928</v>
      </c>
      <c r="AZ3198" s="1">
        <v>36928</v>
      </c>
      <c r="BA3198" s="1">
        <v>36928</v>
      </c>
      <c r="BB3198" s="1">
        <v>44233</v>
      </c>
      <c r="BC3198" t="s">
        <v>51</v>
      </c>
      <c r="BE3198" t="s">
        <v>54</v>
      </c>
      <c r="BF3198">
        <v>2</v>
      </c>
      <c r="BG3198">
        <v>0</v>
      </c>
      <c r="BH3198" t="s">
        <v>53</v>
      </c>
      <c r="BK3198" t="s">
        <v>59</v>
      </c>
      <c r="BL3198">
        <v>14000</v>
      </c>
      <c r="BM3198" s="1">
        <v>43150</v>
      </c>
      <c r="BN3198" s="1">
        <v>43150</v>
      </c>
      <c r="BO3198" s="1">
        <v>43150</v>
      </c>
      <c r="BP3198" s="1">
        <v>44344</v>
      </c>
      <c r="BQ3198" t="s">
        <v>51</v>
      </c>
      <c r="BS3198" t="s">
        <v>60</v>
      </c>
      <c r="BT3198" t="s">
        <v>54</v>
      </c>
      <c r="BU3198" t="s">
        <v>61</v>
      </c>
      <c r="BV3198" t="s">
        <v>62</v>
      </c>
      <c r="BX3198">
        <v>24</v>
      </c>
      <c r="BY3198">
        <v>0</v>
      </c>
      <c r="BZ3198">
        <v>0</v>
      </c>
    </row>
    <row r="3199" spans="1:99" x14ac:dyDescent="0.2">
      <c r="A3199" t="s">
        <v>367</v>
      </c>
      <c r="B3199" t="s">
        <v>368</v>
      </c>
      <c r="C3199" t="s">
        <v>369</v>
      </c>
      <c r="D3199" t="s">
        <v>1186</v>
      </c>
      <c r="F3199" t="str">
        <f>"26083"</f>
        <v>26083</v>
      </c>
      <c r="G3199" t="s">
        <v>49</v>
      </c>
      <c r="H3199" t="s">
        <v>1351</v>
      </c>
      <c r="K3199" t="s">
        <v>51</v>
      </c>
      <c r="L3199" t="s">
        <v>52</v>
      </c>
      <c r="M3199">
        <v>137975.34</v>
      </c>
      <c r="N3199">
        <v>467437.72</v>
      </c>
      <c r="O3199" t="s">
        <v>53</v>
      </c>
      <c r="P3199" t="s">
        <v>54</v>
      </c>
      <c r="Q3199" t="s">
        <v>55</v>
      </c>
      <c r="T3199" t="s">
        <v>818</v>
      </c>
      <c r="U3199">
        <v>40</v>
      </c>
      <c r="V3199" s="1">
        <v>28490</v>
      </c>
      <c r="W3199" s="1">
        <v>28490</v>
      </c>
      <c r="X3199" s="1">
        <v>28490</v>
      </c>
      <c r="Y3199" s="1">
        <v>43100</v>
      </c>
      <c r="Z3199" t="s">
        <v>51</v>
      </c>
      <c r="AB3199" t="s">
        <v>54</v>
      </c>
      <c r="AC3199">
        <v>1</v>
      </c>
      <c r="AE3199" t="s">
        <v>825</v>
      </c>
      <c r="AF3199">
        <v>20</v>
      </c>
      <c r="AG3199" s="1">
        <v>36949</v>
      </c>
      <c r="AH3199" s="1">
        <v>36949</v>
      </c>
      <c r="AI3199" s="1">
        <v>36949</v>
      </c>
      <c r="AJ3199" s="1">
        <v>44254</v>
      </c>
      <c r="AK3199" t="s">
        <v>51</v>
      </c>
      <c r="AN3199">
        <v>0</v>
      </c>
      <c r="AO3199" t="s">
        <v>54</v>
      </c>
      <c r="AP3199" t="s">
        <v>53</v>
      </c>
      <c r="AQ3199">
        <v>0</v>
      </c>
      <c r="AR3199" t="s">
        <v>53</v>
      </c>
      <c r="AS3199">
        <v>0</v>
      </c>
      <c r="AT3199">
        <v>0</v>
      </c>
      <c r="AW3199" t="s">
        <v>58</v>
      </c>
      <c r="AX3199">
        <v>20</v>
      </c>
      <c r="AY3199" s="1">
        <v>43871</v>
      </c>
      <c r="AZ3199" s="1">
        <v>43871</v>
      </c>
      <c r="BA3199" s="1">
        <v>43871</v>
      </c>
      <c r="BB3199" s="1">
        <v>51176</v>
      </c>
      <c r="BC3199" t="s">
        <v>51</v>
      </c>
      <c r="BE3199" t="s">
        <v>54</v>
      </c>
      <c r="BF3199">
        <v>2</v>
      </c>
      <c r="BG3199">
        <v>0</v>
      </c>
      <c r="BH3199" t="s">
        <v>53</v>
      </c>
      <c r="BK3199" t="s">
        <v>59</v>
      </c>
      <c r="BL3199">
        <v>14000</v>
      </c>
      <c r="BM3199" s="1">
        <v>43871</v>
      </c>
      <c r="BN3199" s="1">
        <v>43871</v>
      </c>
      <c r="BO3199" s="1">
        <v>43871</v>
      </c>
      <c r="BP3199" s="1">
        <v>45057</v>
      </c>
      <c r="BQ3199" t="s">
        <v>51</v>
      </c>
      <c r="BS3199" t="s">
        <v>60</v>
      </c>
      <c r="BT3199" t="s">
        <v>54</v>
      </c>
      <c r="BU3199" t="s">
        <v>61</v>
      </c>
      <c r="BV3199" t="s">
        <v>62</v>
      </c>
      <c r="BX3199">
        <v>24</v>
      </c>
      <c r="BY3199">
        <v>0</v>
      </c>
      <c r="BZ3199">
        <v>0</v>
      </c>
    </row>
    <row r="3200" spans="1:99" x14ac:dyDescent="0.2">
      <c r="A3200" t="s">
        <v>367</v>
      </c>
      <c r="B3200" t="s">
        <v>368</v>
      </c>
      <c r="C3200" t="s">
        <v>369</v>
      </c>
      <c r="D3200" t="s">
        <v>1186</v>
      </c>
      <c r="F3200" t="str">
        <f>"26084"</f>
        <v>26084</v>
      </c>
      <c r="G3200" t="s">
        <v>49</v>
      </c>
      <c r="H3200" t="s">
        <v>1319</v>
      </c>
      <c r="K3200" t="s">
        <v>51</v>
      </c>
      <c r="L3200" t="s">
        <v>52</v>
      </c>
      <c r="M3200">
        <v>137992.04</v>
      </c>
      <c r="N3200">
        <v>467430.46</v>
      </c>
      <c r="O3200" t="s">
        <v>53</v>
      </c>
      <c r="P3200" t="s">
        <v>54</v>
      </c>
      <c r="Q3200" t="s">
        <v>55</v>
      </c>
      <c r="T3200" t="s">
        <v>818</v>
      </c>
      <c r="U3200">
        <v>40</v>
      </c>
      <c r="V3200" s="1">
        <v>28490</v>
      </c>
      <c r="W3200" s="1">
        <v>28490</v>
      </c>
      <c r="X3200" s="1">
        <v>28490</v>
      </c>
      <c r="Y3200" s="1">
        <v>43100</v>
      </c>
      <c r="Z3200" t="s">
        <v>51</v>
      </c>
      <c r="AB3200" t="s">
        <v>54</v>
      </c>
      <c r="AC3200">
        <v>1</v>
      </c>
      <c r="AE3200" t="s">
        <v>827</v>
      </c>
      <c r="AF3200">
        <v>20</v>
      </c>
      <c r="AG3200" s="1">
        <v>43997</v>
      </c>
      <c r="AH3200" s="1">
        <v>43997</v>
      </c>
      <c r="AI3200" s="1">
        <v>43997</v>
      </c>
      <c r="AJ3200" s="1">
        <v>51302</v>
      </c>
      <c r="AK3200" t="s">
        <v>51</v>
      </c>
      <c r="AN3200">
        <v>0</v>
      </c>
      <c r="AO3200" t="s">
        <v>54</v>
      </c>
      <c r="AP3200" t="s">
        <v>53</v>
      </c>
      <c r="AQ3200">
        <v>0</v>
      </c>
      <c r="AR3200" t="s">
        <v>53</v>
      </c>
      <c r="AS3200">
        <v>0</v>
      </c>
      <c r="AT3200">
        <v>0</v>
      </c>
      <c r="BK3200" t="s">
        <v>720</v>
      </c>
      <c r="BL3200">
        <v>17000</v>
      </c>
      <c r="BM3200" s="1">
        <v>43997</v>
      </c>
      <c r="BN3200" s="1">
        <v>43997</v>
      </c>
      <c r="BO3200" s="1">
        <v>43997</v>
      </c>
      <c r="BP3200" s="1">
        <v>45420</v>
      </c>
      <c r="BQ3200" t="s">
        <v>51</v>
      </c>
      <c r="BS3200" t="s">
        <v>60</v>
      </c>
      <c r="BT3200" t="s">
        <v>54</v>
      </c>
      <c r="BU3200" t="s">
        <v>721</v>
      </c>
      <c r="BV3200" t="s">
        <v>722</v>
      </c>
      <c r="BX3200">
        <v>18</v>
      </c>
      <c r="BY3200">
        <v>0</v>
      </c>
      <c r="BZ3200">
        <v>0</v>
      </c>
    </row>
    <row r="3201" spans="1:78" x14ac:dyDescent="0.2">
      <c r="A3201" t="s">
        <v>367</v>
      </c>
      <c r="B3201" t="s">
        <v>368</v>
      </c>
      <c r="C3201" t="s">
        <v>369</v>
      </c>
      <c r="D3201" t="s">
        <v>1186</v>
      </c>
      <c r="F3201" t="str">
        <f>"26085"</f>
        <v>26085</v>
      </c>
      <c r="G3201" t="s">
        <v>49</v>
      </c>
      <c r="H3201" t="s">
        <v>1352</v>
      </c>
      <c r="K3201" t="s">
        <v>51</v>
      </c>
      <c r="L3201" t="s">
        <v>52</v>
      </c>
      <c r="M3201">
        <v>138008.76999999999</v>
      </c>
      <c r="N3201">
        <v>467424.29</v>
      </c>
      <c r="O3201" t="s">
        <v>53</v>
      </c>
      <c r="P3201" t="s">
        <v>54</v>
      </c>
      <c r="Q3201" t="s">
        <v>55</v>
      </c>
      <c r="T3201" t="s">
        <v>818</v>
      </c>
      <c r="U3201">
        <v>40</v>
      </c>
      <c r="V3201" s="1">
        <v>28490</v>
      </c>
      <c r="W3201" s="1">
        <v>28490</v>
      </c>
      <c r="X3201" s="1">
        <v>28490</v>
      </c>
      <c r="Y3201" s="1">
        <v>43100</v>
      </c>
      <c r="Z3201" t="s">
        <v>51</v>
      </c>
      <c r="AB3201" t="s">
        <v>54</v>
      </c>
      <c r="AC3201">
        <v>1</v>
      </c>
      <c r="AE3201" t="s">
        <v>825</v>
      </c>
      <c r="AF3201">
        <v>20</v>
      </c>
      <c r="AG3201" s="1">
        <v>36942</v>
      </c>
      <c r="AH3201" s="1">
        <v>36942</v>
      </c>
      <c r="AI3201" s="1">
        <v>36942</v>
      </c>
      <c r="AJ3201" s="1">
        <v>44247</v>
      </c>
      <c r="AK3201" t="s">
        <v>51</v>
      </c>
      <c r="AN3201">
        <v>0</v>
      </c>
      <c r="AO3201" t="s">
        <v>54</v>
      </c>
      <c r="AP3201" t="s">
        <v>53</v>
      </c>
      <c r="AQ3201">
        <v>0</v>
      </c>
      <c r="AR3201" t="s">
        <v>53</v>
      </c>
      <c r="AS3201">
        <v>0</v>
      </c>
      <c r="AT3201">
        <v>0</v>
      </c>
      <c r="AW3201" t="s">
        <v>58</v>
      </c>
      <c r="AX3201">
        <v>20</v>
      </c>
      <c r="AY3201" s="1">
        <v>36942</v>
      </c>
      <c r="AZ3201" s="1">
        <v>36942</v>
      </c>
      <c r="BA3201" s="1">
        <v>36942</v>
      </c>
      <c r="BB3201" s="1">
        <v>44247</v>
      </c>
      <c r="BC3201" t="s">
        <v>51</v>
      </c>
      <c r="BE3201" t="s">
        <v>54</v>
      </c>
      <c r="BF3201">
        <v>2</v>
      </c>
      <c r="BG3201">
        <v>0</v>
      </c>
      <c r="BH3201" t="s">
        <v>53</v>
      </c>
      <c r="BK3201" t="s">
        <v>59</v>
      </c>
      <c r="BL3201">
        <v>14000</v>
      </c>
      <c r="BM3201" s="1">
        <v>42552</v>
      </c>
      <c r="BN3201" s="1">
        <v>42552</v>
      </c>
      <c r="BO3201" s="1">
        <v>42552</v>
      </c>
      <c r="BP3201" s="1">
        <v>43752</v>
      </c>
      <c r="BQ3201" t="s">
        <v>51</v>
      </c>
      <c r="BS3201" t="s">
        <v>60</v>
      </c>
      <c r="BT3201" t="s">
        <v>54</v>
      </c>
      <c r="BU3201" t="s">
        <v>61</v>
      </c>
      <c r="BV3201" t="s">
        <v>62</v>
      </c>
      <c r="BX3201">
        <v>24</v>
      </c>
      <c r="BY3201">
        <v>0</v>
      </c>
      <c r="BZ3201">
        <v>0</v>
      </c>
    </row>
    <row r="3202" spans="1:78" x14ac:dyDescent="0.2">
      <c r="A3202" t="s">
        <v>367</v>
      </c>
      <c r="B3202" t="s">
        <v>368</v>
      </c>
      <c r="C3202" t="s">
        <v>369</v>
      </c>
      <c r="D3202" t="s">
        <v>1186</v>
      </c>
      <c r="F3202" t="str">
        <f>"26086"</f>
        <v>26086</v>
      </c>
      <c r="G3202" t="s">
        <v>49</v>
      </c>
      <c r="H3202" t="s">
        <v>1353</v>
      </c>
      <c r="K3202" t="s">
        <v>51</v>
      </c>
      <c r="L3202" t="s">
        <v>52</v>
      </c>
      <c r="M3202">
        <v>138022.28</v>
      </c>
      <c r="N3202">
        <v>467416.54</v>
      </c>
      <c r="O3202" t="s">
        <v>53</v>
      </c>
      <c r="P3202" t="s">
        <v>54</v>
      </c>
      <c r="Q3202" t="s">
        <v>55</v>
      </c>
      <c r="T3202" t="s">
        <v>818</v>
      </c>
      <c r="U3202">
        <v>40</v>
      </c>
      <c r="V3202" s="1">
        <v>28490</v>
      </c>
      <c r="W3202" s="1">
        <v>28490</v>
      </c>
      <c r="X3202" s="1">
        <v>28490</v>
      </c>
      <c r="Y3202" s="1">
        <v>43100</v>
      </c>
      <c r="Z3202" t="s">
        <v>51</v>
      </c>
      <c r="AB3202" t="s">
        <v>54</v>
      </c>
      <c r="AC3202">
        <v>1</v>
      </c>
      <c r="AE3202" t="s">
        <v>825</v>
      </c>
      <c r="AF3202">
        <v>20</v>
      </c>
      <c r="AG3202" s="1">
        <v>36929</v>
      </c>
      <c r="AH3202" s="1">
        <v>36929</v>
      </c>
      <c r="AI3202" s="1">
        <v>36929</v>
      </c>
      <c r="AJ3202" s="1">
        <v>44234</v>
      </c>
      <c r="AK3202" t="s">
        <v>51</v>
      </c>
      <c r="AN3202">
        <v>0</v>
      </c>
      <c r="AO3202" t="s">
        <v>54</v>
      </c>
      <c r="AP3202" t="s">
        <v>53</v>
      </c>
      <c r="AQ3202">
        <v>0</v>
      </c>
      <c r="AR3202" t="s">
        <v>53</v>
      </c>
      <c r="AS3202">
        <v>0</v>
      </c>
      <c r="AT3202">
        <v>0</v>
      </c>
      <c r="AW3202" t="s">
        <v>58</v>
      </c>
      <c r="AX3202">
        <v>20</v>
      </c>
      <c r="AY3202" s="1">
        <v>36929</v>
      </c>
      <c r="AZ3202" s="1">
        <v>36929</v>
      </c>
      <c r="BA3202" s="1">
        <v>36929</v>
      </c>
      <c r="BB3202" s="1">
        <v>44234</v>
      </c>
      <c r="BC3202" t="s">
        <v>51</v>
      </c>
      <c r="BE3202" t="s">
        <v>54</v>
      </c>
      <c r="BF3202">
        <v>2</v>
      </c>
      <c r="BG3202">
        <v>0</v>
      </c>
      <c r="BH3202" t="s">
        <v>53</v>
      </c>
      <c r="BK3202" t="s">
        <v>59</v>
      </c>
      <c r="BL3202">
        <v>14000</v>
      </c>
      <c r="BM3202" s="1">
        <v>43794</v>
      </c>
      <c r="BN3202" s="1">
        <v>43794</v>
      </c>
      <c r="BO3202" s="1">
        <v>43794</v>
      </c>
      <c r="BP3202" s="1">
        <v>44952</v>
      </c>
      <c r="BQ3202" t="s">
        <v>51</v>
      </c>
      <c r="BS3202" t="s">
        <v>60</v>
      </c>
      <c r="BT3202" t="s">
        <v>54</v>
      </c>
      <c r="BU3202" t="s">
        <v>61</v>
      </c>
      <c r="BV3202" t="s">
        <v>62</v>
      </c>
      <c r="BX3202">
        <v>24</v>
      </c>
      <c r="BY3202">
        <v>0</v>
      </c>
      <c r="BZ3202">
        <v>0</v>
      </c>
    </row>
    <row r="3203" spans="1:78" x14ac:dyDescent="0.2">
      <c r="A3203" t="s">
        <v>367</v>
      </c>
      <c r="B3203" t="s">
        <v>368</v>
      </c>
      <c r="C3203" t="s">
        <v>369</v>
      </c>
      <c r="D3203" t="s">
        <v>1186</v>
      </c>
      <c r="F3203" t="str">
        <f>"26087"</f>
        <v>26087</v>
      </c>
      <c r="G3203" t="s">
        <v>49</v>
      </c>
      <c r="H3203" t="s">
        <v>1354</v>
      </c>
      <c r="K3203" t="s">
        <v>51</v>
      </c>
      <c r="L3203" t="s">
        <v>52</v>
      </c>
      <c r="M3203">
        <v>138034.9</v>
      </c>
      <c r="N3203">
        <v>467414.9</v>
      </c>
      <c r="O3203" t="s">
        <v>53</v>
      </c>
      <c r="P3203" t="s">
        <v>54</v>
      </c>
      <c r="Q3203" t="s">
        <v>55</v>
      </c>
      <c r="T3203" t="s">
        <v>818</v>
      </c>
      <c r="U3203">
        <v>40</v>
      </c>
      <c r="V3203" s="1">
        <v>28490</v>
      </c>
      <c r="W3203" s="1">
        <v>28490</v>
      </c>
      <c r="X3203" s="1">
        <v>28490</v>
      </c>
      <c r="Y3203" s="1">
        <v>43100</v>
      </c>
      <c r="Z3203" t="s">
        <v>51</v>
      </c>
      <c r="AB3203" t="s">
        <v>54</v>
      </c>
      <c r="AC3203">
        <v>1</v>
      </c>
      <c r="AE3203" t="s">
        <v>825</v>
      </c>
      <c r="AF3203">
        <v>20</v>
      </c>
      <c r="AG3203" s="1">
        <v>38933</v>
      </c>
      <c r="AH3203" s="1">
        <v>38933</v>
      </c>
      <c r="AI3203" s="1">
        <v>38933</v>
      </c>
      <c r="AJ3203" s="1">
        <v>46238</v>
      </c>
      <c r="AK3203" t="s">
        <v>51</v>
      </c>
      <c r="AN3203">
        <v>0</v>
      </c>
      <c r="AO3203" t="s">
        <v>54</v>
      </c>
      <c r="AP3203" t="s">
        <v>53</v>
      </c>
      <c r="AQ3203">
        <v>0</v>
      </c>
      <c r="AR3203" t="s">
        <v>53</v>
      </c>
      <c r="AS3203">
        <v>0</v>
      </c>
      <c r="AT3203">
        <v>0</v>
      </c>
      <c r="AW3203" t="s">
        <v>58</v>
      </c>
      <c r="AX3203">
        <v>20</v>
      </c>
      <c r="AY3203" s="1">
        <v>38933</v>
      </c>
      <c r="AZ3203" s="1">
        <v>38933</v>
      </c>
      <c r="BA3203" s="1">
        <v>38933</v>
      </c>
      <c r="BB3203" s="1">
        <v>46238</v>
      </c>
      <c r="BC3203" t="s">
        <v>51</v>
      </c>
      <c r="BE3203" t="s">
        <v>54</v>
      </c>
      <c r="BF3203">
        <v>2</v>
      </c>
      <c r="BG3203">
        <v>0</v>
      </c>
      <c r="BH3203" t="s">
        <v>53</v>
      </c>
      <c r="BK3203" t="s">
        <v>59</v>
      </c>
      <c r="BL3203">
        <v>14000</v>
      </c>
      <c r="BM3203" s="1">
        <v>42552</v>
      </c>
      <c r="BN3203" s="1">
        <v>42552</v>
      </c>
      <c r="BO3203" s="1">
        <v>42552</v>
      </c>
      <c r="BP3203" s="1">
        <v>43752</v>
      </c>
      <c r="BQ3203" t="s">
        <v>51</v>
      </c>
      <c r="BS3203" t="s">
        <v>60</v>
      </c>
      <c r="BT3203" t="s">
        <v>54</v>
      </c>
      <c r="BU3203" t="s">
        <v>61</v>
      </c>
      <c r="BV3203" t="s">
        <v>62</v>
      </c>
      <c r="BX3203">
        <v>24</v>
      </c>
      <c r="BY3203">
        <v>0</v>
      </c>
      <c r="BZ3203">
        <v>0</v>
      </c>
    </row>
    <row r="3204" spans="1:78" x14ac:dyDescent="0.2">
      <c r="A3204" t="s">
        <v>367</v>
      </c>
      <c r="B3204" t="s">
        <v>368</v>
      </c>
      <c r="C3204" t="s">
        <v>369</v>
      </c>
      <c r="D3204" t="s">
        <v>1186</v>
      </c>
      <c r="F3204" t="str">
        <f>"26088"</f>
        <v>26088</v>
      </c>
      <c r="G3204" t="s">
        <v>49</v>
      </c>
      <c r="H3204" t="s">
        <v>1355</v>
      </c>
      <c r="K3204" t="s">
        <v>51</v>
      </c>
      <c r="L3204" t="s">
        <v>52</v>
      </c>
      <c r="M3204">
        <v>138036.6</v>
      </c>
      <c r="N3204">
        <v>467403.54</v>
      </c>
      <c r="O3204" t="s">
        <v>53</v>
      </c>
      <c r="P3204" t="s">
        <v>54</v>
      </c>
      <c r="Q3204" t="s">
        <v>55</v>
      </c>
      <c r="T3204" t="s">
        <v>818</v>
      </c>
      <c r="U3204">
        <v>40</v>
      </c>
      <c r="V3204" s="1">
        <v>28490</v>
      </c>
      <c r="W3204" s="1">
        <v>28490</v>
      </c>
      <c r="X3204" s="1">
        <v>28490</v>
      </c>
      <c r="Y3204" s="1">
        <v>43100</v>
      </c>
      <c r="Z3204" t="s">
        <v>51</v>
      </c>
      <c r="AB3204" t="s">
        <v>54</v>
      </c>
      <c r="AC3204">
        <v>1</v>
      </c>
      <c r="AE3204" t="s">
        <v>825</v>
      </c>
      <c r="AF3204">
        <v>20</v>
      </c>
      <c r="AG3204" s="1">
        <v>36929</v>
      </c>
      <c r="AH3204" s="1">
        <v>36929</v>
      </c>
      <c r="AI3204" s="1">
        <v>36929</v>
      </c>
      <c r="AJ3204" s="1">
        <v>44234</v>
      </c>
      <c r="AK3204" t="s">
        <v>51</v>
      </c>
      <c r="AN3204">
        <v>0</v>
      </c>
      <c r="AO3204" t="s">
        <v>54</v>
      </c>
      <c r="AP3204" t="s">
        <v>53</v>
      </c>
      <c r="AQ3204">
        <v>0</v>
      </c>
      <c r="AR3204" t="s">
        <v>53</v>
      </c>
      <c r="AS3204">
        <v>0</v>
      </c>
      <c r="AT3204">
        <v>0</v>
      </c>
      <c r="AW3204" t="s">
        <v>58</v>
      </c>
      <c r="AX3204">
        <v>20</v>
      </c>
      <c r="AY3204" s="1">
        <v>36929</v>
      </c>
      <c r="AZ3204" s="1">
        <v>36929</v>
      </c>
      <c r="BA3204" s="1">
        <v>36929</v>
      </c>
      <c r="BB3204" s="1">
        <v>44234</v>
      </c>
      <c r="BC3204" t="s">
        <v>51</v>
      </c>
      <c r="BE3204" t="s">
        <v>54</v>
      </c>
      <c r="BF3204">
        <v>2</v>
      </c>
      <c r="BG3204">
        <v>0</v>
      </c>
      <c r="BH3204" t="s">
        <v>53</v>
      </c>
      <c r="BK3204" t="s">
        <v>59</v>
      </c>
      <c r="BL3204">
        <v>14000</v>
      </c>
      <c r="BM3204" s="1">
        <v>42552</v>
      </c>
      <c r="BN3204" s="1">
        <v>42552</v>
      </c>
      <c r="BO3204" s="1">
        <v>42552</v>
      </c>
      <c r="BP3204" s="1">
        <v>43752</v>
      </c>
      <c r="BQ3204" t="s">
        <v>51</v>
      </c>
      <c r="BS3204" t="s">
        <v>60</v>
      </c>
      <c r="BT3204" t="s">
        <v>54</v>
      </c>
      <c r="BU3204" t="s">
        <v>61</v>
      </c>
      <c r="BV3204" t="s">
        <v>62</v>
      </c>
      <c r="BX3204">
        <v>24</v>
      </c>
      <c r="BY3204">
        <v>0</v>
      </c>
      <c r="BZ3204">
        <v>0</v>
      </c>
    </row>
    <row r="3205" spans="1:78" x14ac:dyDescent="0.2">
      <c r="A3205" t="s">
        <v>367</v>
      </c>
      <c r="B3205" t="s">
        <v>368</v>
      </c>
      <c r="C3205" t="s">
        <v>369</v>
      </c>
      <c r="D3205" t="s">
        <v>1186</v>
      </c>
      <c r="F3205" t="str">
        <f>"26089"</f>
        <v>26089</v>
      </c>
      <c r="G3205" t="s">
        <v>49</v>
      </c>
      <c r="H3205" t="s">
        <v>1356</v>
      </c>
      <c r="K3205" t="s">
        <v>51</v>
      </c>
      <c r="L3205" t="s">
        <v>52</v>
      </c>
      <c r="M3205">
        <v>138052.14000000001</v>
      </c>
      <c r="N3205">
        <v>467403.05</v>
      </c>
      <c r="O3205" t="s">
        <v>53</v>
      </c>
      <c r="P3205" t="s">
        <v>54</v>
      </c>
      <c r="Q3205" t="s">
        <v>55</v>
      </c>
      <c r="T3205" t="s">
        <v>818</v>
      </c>
      <c r="U3205">
        <v>40</v>
      </c>
      <c r="V3205" s="1">
        <v>28490</v>
      </c>
      <c r="W3205" s="1">
        <v>28490</v>
      </c>
      <c r="X3205" s="1">
        <v>28490</v>
      </c>
      <c r="Y3205" s="1">
        <v>43100</v>
      </c>
      <c r="Z3205" t="s">
        <v>51</v>
      </c>
      <c r="AB3205" t="s">
        <v>54</v>
      </c>
      <c r="AC3205">
        <v>1</v>
      </c>
      <c r="AE3205" t="s">
        <v>825</v>
      </c>
      <c r="AF3205">
        <v>20</v>
      </c>
      <c r="AG3205" s="1">
        <v>36942</v>
      </c>
      <c r="AH3205" s="1">
        <v>36942</v>
      </c>
      <c r="AI3205" s="1">
        <v>36942</v>
      </c>
      <c r="AJ3205" s="1">
        <v>44247</v>
      </c>
      <c r="AK3205" t="s">
        <v>51</v>
      </c>
      <c r="AN3205">
        <v>0</v>
      </c>
      <c r="AO3205" t="s">
        <v>54</v>
      </c>
      <c r="AP3205" t="s">
        <v>53</v>
      </c>
      <c r="AQ3205">
        <v>0</v>
      </c>
      <c r="AR3205" t="s">
        <v>53</v>
      </c>
      <c r="AS3205">
        <v>0</v>
      </c>
      <c r="AT3205">
        <v>0</v>
      </c>
      <c r="AW3205" t="s">
        <v>58</v>
      </c>
      <c r="AX3205">
        <v>20</v>
      </c>
      <c r="AY3205" s="1">
        <v>36942</v>
      </c>
      <c r="AZ3205" s="1">
        <v>36942</v>
      </c>
      <c r="BA3205" s="1">
        <v>36942</v>
      </c>
      <c r="BB3205" s="1">
        <v>44247</v>
      </c>
      <c r="BC3205" t="s">
        <v>51</v>
      </c>
      <c r="BE3205" t="s">
        <v>54</v>
      </c>
      <c r="BF3205">
        <v>2</v>
      </c>
      <c r="BG3205">
        <v>0</v>
      </c>
      <c r="BH3205" t="s">
        <v>53</v>
      </c>
      <c r="BK3205" t="s">
        <v>59</v>
      </c>
      <c r="BL3205">
        <v>14000</v>
      </c>
      <c r="BM3205" s="1">
        <v>42552</v>
      </c>
      <c r="BN3205" s="1">
        <v>42552</v>
      </c>
      <c r="BO3205" s="1">
        <v>42552</v>
      </c>
      <c r="BP3205" s="1">
        <v>43752</v>
      </c>
      <c r="BQ3205" t="s">
        <v>51</v>
      </c>
      <c r="BS3205" t="s">
        <v>60</v>
      </c>
      <c r="BT3205" t="s">
        <v>54</v>
      </c>
      <c r="BU3205" t="s">
        <v>61</v>
      </c>
      <c r="BV3205" t="s">
        <v>62</v>
      </c>
      <c r="BX3205">
        <v>24</v>
      </c>
      <c r="BY3205">
        <v>0</v>
      </c>
      <c r="BZ3205">
        <v>0</v>
      </c>
    </row>
    <row r="3206" spans="1:78" x14ac:dyDescent="0.2">
      <c r="A3206" t="s">
        <v>367</v>
      </c>
      <c r="B3206" t="s">
        <v>368</v>
      </c>
      <c r="C3206" t="s">
        <v>369</v>
      </c>
      <c r="D3206" t="s">
        <v>1186</v>
      </c>
      <c r="F3206" t="str">
        <f>"26090"</f>
        <v>26090</v>
      </c>
      <c r="G3206" t="s">
        <v>49</v>
      </c>
      <c r="H3206" t="s">
        <v>1357</v>
      </c>
      <c r="K3206" t="s">
        <v>51</v>
      </c>
      <c r="L3206" t="s">
        <v>52</v>
      </c>
      <c r="M3206">
        <v>138053.4</v>
      </c>
      <c r="N3206">
        <v>467386.32</v>
      </c>
      <c r="O3206" t="s">
        <v>53</v>
      </c>
      <c r="P3206" t="s">
        <v>54</v>
      </c>
      <c r="Q3206" t="s">
        <v>55</v>
      </c>
      <c r="T3206" t="s">
        <v>818</v>
      </c>
      <c r="U3206">
        <v>40</v>
      </c>
      <c r="V3206" s="1">
        <v>28490</v>
      </c>
      <c r="W3206" s="1">
        <v>28490</v>
      </c>
      <c r="X3206" s="1">
        <v>28490</v>
      </c>
      <c r="Y3206" s="1">
        <v>43100</v>
      </c>
      <c r="Z3206" t="s">
        <v>51</v>
      </c>
      <c r="AB3206" t="s">
        <v>54</v>
      </c>
      <c r="AC3206">
        <v>1</v>
      </c>
      <c r="AE3206" t="s">
        <v>552</v>
      </c>
      <c r="AF3206">
        <v>20</v>
      </c>
      <c r="AG3206" s="1">
        <v>44620</v>
      </c>
      <c r="AH3206" s="1">
        <v>44620</v>
      </c>
      <c r="AI3206" s="1">
        <v>44620</v>
      </c>
      <c r="AJ3206" s="1">
        <v>51925</v>
      </c>
      <c r="AK3206" t="s">
        <v>51</v>
      </c>
      <c r="AN3206">
        <v>0</v>
      </c>
      <c r="AO3206" t="s">
        <v>54</v>
      </c>
      <c r="AP3206" t="s">
        <v>53</v>
      </c>
      <c r="AQ3206">
        <v>0</v>
      </c>
      <c r="AR3206" t="s">
        <v>145</v>
      </c>
      <c r="AS3206">
        <v>0</v>
      </c>
      <c r="AT3206">
        <v>0</v>
      </c>
      <c r="AW3206" t="s">
        <v>172</v>
      </c>
      <c r="AX3206">
        <v>15</v>
      </c>
      <c r="AY3206" s="1">
        <v>44620</v>
      </c>
      <c r="AZ3206" s="1">
        <v>44620</v>
      </c>
      <c r="BA3206" s="1">
        <v>44620</v>
      </c>
      <c r="BB3206" s="1">
        <v>50099</v>
      </c>
      <c r="BC3206" t="s">
        <v>51</v>
      </c>
      <c r="BE3206" t="s">
        <v>54</v>
      </c>
      <c r="BF3206">
        <v>40</v>
      </c>
      <c r="BG3206">
        <v>0</v>
      </c>
      <c r="BH3206" t="s">
        <v>145</v>
      </c>
      <c r="BK3206" t="s">
        <v>59</v>
      </c>
      <c r="BL3206">
        <v>14000</v>
      </c>
      <c r="BM3206" s="1">
        <v>42552</v>
      </c>
      <c r="BN3206" s="1">
        <v>42552</v>
      </c>
      <c r="BO3206" s="1">
        <v>44620</v>
      </c>
      <c r="BP3206" s="1">
        <v>43752</v>
      </c>
      <c r="BQ3206" t="s">
        <v>51</v>
      </c>
      <c r="BS3206" t="s">
        <v>60</v>
      </c>
      <c r="BT3206" t="s">
        <v>54</v>
      </c>
      <c r="BU3206" t="s">
        <v>61</v>
      </c>
      <c r="BV3206" t="s">
        <v>62</v>
      </c>
      <c r="BX3206">
        <v>24</v>
      </c>
      <c r="BY3206">
        <v>0</v>
      </c>
      <c r="BZ3206">
        <v>0</v>
      </c>
    </row>
    <row r="3207" spans="1:78" x14ac:dyDescent="0.2">
      <c r="A3207" t="s">
        <v>367</v>
      </c>
      <c r="B3207" t="s">
        <v>368</v>
      </c>
      <c r="C3207" t="s">
        <v>369</v>
      </c>
      <c r="D3207" t="s">
        <v>1186</v>
      </c>
      <c r="F3207" t="str">
        <f>"26091"</f>
        <v>26091</v>
      </c>
      <c r="G3207" t="s">
        <v>49</v>
      </c>
      <c r="H3207" t="s">
        <v>1358</v>
      </c>
      <c r="K3207" t="s">
        <v>51</v>
      </c>
      <c r="L3207" t="s">
        <v>52</v>
      </c>
      <c r="M3207">
        <v>138077.9</v>
      </c>
      <c r="N3207">
        <v>467401.86</v>
      </c>
      <c r="O3207" t="s">
        <v>53</v>
      </c>
      <c r="P3207" t="s">
        <v>54</v>
      </c>
      <c r="Q3207" t="s">
        <v>55</v>
      </c>
      <c r="T3207" t="s">
        <v>818</v>
      </c>
      <c r="U3207">
        <v>40</v>
      </c>
      <c r="V3207" s="1">
        <v>28490</v>
      </c>
      <c r="W3207" s="1">
        <v>28490</v>
      </c>
      <c r="X3207" s="1">
        <v>28490</v>
      </c>
      <c r="Y3207" s="1">
        <v>43100</v>
      </c>
      <c r="Z3207" t="s">
        <v>51</v>
      </c>
      <c r="AB3207" t="s">
        <v>54</v>
      </c>
      <c r="AC3207">
        <v>1</v>
      </c>
      <c r="AE3207" t="s">
        <v>825</v>
      </c>
      <c r="AF3207">
        <v>20</v>
      </c>
      <c r="AG3207" s="1">
        <v>36942</v>
      </c>
      <c r="AH3207" s="1">
        <v>36942</v>
      </c>
      <c r="AI3207" s="1">
        <v>36942</v>
      </c>
      <c r="AJ3207" s="1">
        <v>44247</v>
      </c>
      <c r="AK3207" t="s">
        <v>51</v>
      </c>
      <c r="AN3207">
        <v>0</v>
      </c>
      <c r="AO3207" t="s">
        <v>54</v>
      </c>
      <c r="AP3207" t="s">
        <v>53</v>
      </c>
      <c r="AQ3207">
        <v>0</v>
      </c>
      <c r="AR3207" t="s">
        <v>53</v>
      </c>
      <c r="AS3207">
        <v>0</v>
      </c>
      <c r="AT3207">
        <v>0</v>
      </c>
      <c r="AW3207" t="s">
        <v>58</v>
      </c>
      <c r="AX3207">
        <v>20</v>
      </c>
      <c r="AY3207" s="1">
        <v>36942</v>
      </c>
      <c r="AZ3207" s="1">
        <v>36942</v>
      </c>
      <c r="BA3207" s="1">
        <v>36942</v>
      </c>
      <c r="BB3207" s="1">
        <v>44247</v>
      </c>
      <c r="BC3207" t="s">
        <v>51</v>
      </c>
      <c r="BE3207" t="s">
        <v>54</v>
      </c>
      <c r="BF3207">
        <v>2</v>
      </c>
      <c r="BG3207">
        <v>0</v>
      </c>
      <c r="BH3207" t="s">
        <v>53</v>
      </c>
      <c r="BK3207" t="s">
        <v>59</v>
      </c>
      <c r="BL3207">
        <v>14000</v>
      </c>
      <c r="BM3207" s="1">
        <v>42552</v>
      </c>
      <c r="BN3207" s="1">
        <v>42552</v>
      </c>
      <c r="BO3207" s="1">
        <v>42552</v>
      </c>
      <c r="BP3207" s="1">
        <v>43752</v>
      </c>
      <c r="BQ3207" t="s">
        <v>51</v>
      </c>
      <c r="BS3207" t="s">
        <v>60</v>
      </c>
      <c r="BT3207" t="s">
        <v>54</v>
      </c>
      <c r="BU3207" t="s">
        <v>61</v>
      </c>
      <c r="BV3207" t="s">
        <v>62</v>
      </c>
      <c r="BX3207">
        <v>24</v>
      </c>
      <c r="BY3207">
        <v>0</v>
      </c>
      <c r="BZ3207">
        <v>0</v>
      </c>
    </row>
    <row r="3208" spans="1:78" x14ac:dyDescent="0.2">
      <c r="A3208" t="s">
        <v>367</v>
      </c>
      <c r="B3208" t="s">
        <v>368</v>
      </c>
      <c r="C3208" t="s">
        <v>369</v>
      </c>
      <c r="D3208" t="s">
        <v>1186</v>
      </c>
      <c r="F3208" t="str">
        <f>"26092"</f>
        <v>26092</v>
      </c>
      <c r="G3208" t="s">
        <v>49</v>
      </c>
      <c r="H3208" t="s">
        <v>1359</v>
      </c>
      <c r="K3208" t="s">
        <v>51</v>
      </c>
      <c r="L3208" t="s">
        <v>52</v>
      </c>
      <c r="M3208">
        <v>138046.78</v>
      </c>
      <c r="N3208">
        <v>467375.35</v>
      </c>
      <c r="O3208" t="s">
        <v>53</v>
      </c>
      <c r="P3208" t="s">
        <v>54</v>
      </c>
      <c r="Q3208" t="s">
        <v>55</v>
      </c>
      <c r="T3208" t="s">
        <v>818</v>
      </c>
      <c r="U3208">
        <v>40</v>
      </c>
      <c r="V3208" s="1">
        <v>28490</v>
      </c>
      <c r="W3208" s="1">
        <v>28490</v>
      </c>
      <c r="X3208" s="1">
        <v>28490</v>
      </c>
      <c r="Y3208" s="1">
        <v>43100</v>
      </c>
      <c r="Z3208" t="s">
        <v>51</v>
      </c>
      <c r="AB3208" t="s">
        <v>54</v>
      </c>
      <c r="AC3208">
        <v>1</v>
      </c>
      <c r="AE3208" t="s">
        <v>552</v>
      </c>
      <c r="AF3208">
        <v>20</v>
      </c>
      <c r="AG3208" s="1">
        <v>44620</v>
      </c>
      <c r="AH3208" s="1">
        <v>44620</v>
      </c>
      <c r="AI3208" s="1">
        <v>44620</v>
      </c>
      <c r="AJ3208" s="1">
        <v>51925</v>
      </c>
      <c r="AK3208" t="s">
        <v>51</v>
      </c>
      <c r="AN3208">
        <v>0</v>
      </c>
      <c r="AO3208" t="s">
        <v>54</v>
      </c>
      <c r="AP3208" t="s">
        <v>53</v>
      </c>
      <c r="AQ3208">
        <v>0</v>
      </c>
      <c r="AR3208" t="s">
        <v>145</v>
      </c>
      <c r="AS3208">
        <v>0</v>
      </c>
      <c r="AT3208">
        <v>0</v>
      </c>
      <c r="AW3208" t="s">
        <v>172</v>
      </c>
      <c r="AX3208">
        <v>15</v>
      </c>
      <c r="AY3208" s="1">
        <v>44620</v>
      </c>
      <c r="AZ3208" s="1">
        <v>44620</v>
      </c>
      <c r="BA3208" s="1">
        <v>44620</v>
      </c>
      <c r="BB3208" s="1">
        <v>50099</v>
      </c>
      <c r="BC3208" t="s">
        <v>51</v>
      </c>
      <c r="BE3208" t="s">
        <v>54</v>
      </c>
      <c r="BF3208">
        <v>40</v>
      </c>
      <c r="BG3208">
        <v>0</v>
      </c>
      <c r="BH3208" t="s">
        <v>145</v>
      </c>
      <c r="BK3208" t="s">
        <v>59</v>
      </c>
      <c r="BL3208">
        <v>14000</v>
      </c>
      <c r="BM3208" s="1">
        <v>43997</v>
      </c>
      <c r="BN3208" s="1">
        <v>43997</v>
      </c>
      <c r="BO3208" s="1">
        <v>44620</v>
      </c>
      <c r="BP3208" s="1">
        <v>45203</v>
      </c>
      <c r="BQ3208" t="s">
        <v>51</v>
      </c>
      <c r="BS3208" t="s">
        <v>60</v>
      </c>
      <c r="BT3208" t="s">
        <v>54</v>
      </c>
      <c r="BU3208" t="s">
        <v>61</v>
      </c>
      <c r="BV3208" t="s">
        <v>62</v>
      </c>
      <c r="BX3208">
        <v>24</v>
      </c>
      <c r="BY3208">
        <v>0</v>
      </c>
      <c r="BZ3208">
        <v>0</v>
      </c>
    </row>
    <row r="3209" spans="1:78" x14ac:dyDescent="0.2">
      <c r="A3209" t="s">
        <v>367</v>
      </c>
      <c r="B3209" t="s">
        <v>368</v>
      </c>
      <c r="C3209" t="s">
        <v>369</v>
      </c>
      <c r="D3209" t="s">
        <v>1186</v>
      </c>
      <c r="F3209" t="str">
        <f>"26093"</f>
        <v>26093</v>
      </c>
      <c r="G3209" t="s">
        <v>49</v>
      </c>
      <c r="H3209" t="s">
        <v>1360</v>
      </c>
      <c r="K3209" t="s">
        <v>51</v>
      </c>
      <c r="L3209" t="s">
        <v>52</v>
      </c>
      <c r="M3209">
        <v>138029.32</v>
      </c>
      <c r="N3209">
        <v>467351.18</v>
      </c>
      <c r="O3209" t="s">
        <v>53</v>
      </c>
      <c r="P3209" t="s">
        <v>54</v>
      </c>
      <c r="Q3209" t="s">
        <v>55</v>
      </c>
      <c r="T3209" t="s">
        <v>818</v>
      </c>
      <c r="U3209">
        <v>40</v>
      </c>
      <c r="V3209" s="1">
        <v>28490</v>
      </c>
      <c r="W3209" s="1">
        <v>28490</v>
      </c>
      <c r="X3209" s="1">
        <v>28490</v>
      </c>
      <c r="Y3209" s="1">
        <v>43100</v>
      </c>
      <c r="Z3209" t="s">
        <v>51</v>
      </c>
      <c r="AB3209" t="s">
        <v>54</v>
      </c>
      <c r="AC3209">
        <v>1</v>
      </c>
      <c r="AE3209" t="s">
        <v>825</v>
      </c>
      <c r="AF3209">
        <v>20</v>
      </c>
      <c r="AG3209" s="1">
        <v>36942</v>
      </c>
      <c r="AH3209" s="1">
        <v>36942</v>
      </c>
      <c r="AI3209" s="1">
        <v>36942</v>
      </c>
      <c r="AJ3209" s="1">
        <v>44247</v>
      </c>
      <c r="AK3209" t="s">
        <v>51</v>
      </c>
      <c r="AN3209">
        <v>0</v>
      </c>
      <c r="AO3209" t="s">
        <v>54</v>
      </c>
      <c r="AP3209" t="s">
        <v>53</v>
      </c>
      <c r="AQ3209">
        <v>0</v>
      </c>
      <c r="AR3209" t="s">
        <v>53</v>
      </c>
      <c r="AS3209">
        <v>0</v>
      </c>
      <c r="AT3209">
        <v>0</v>
      </c>
      <c r="AW3209" t="s">
        <v>58</v>
      </c>
      <c r="AX3209">
        <v>20</v>
      </c>
      <c r="AY3209" s="1">
        <v>36942</v>
      </c>
      <c r="AZ3209" s="1">
        <v>36942</v>
      </c>
      <c r="BA3209" s="1">
        <v>36942</v>
      </c>
      <c r="BB3209" s="1">
        <v>44247</v>
      </c>
      <c r="BC3209" t="s">
        <v>51</v>
      </c>
      <c r="BE3209" t="s">
        <v>54</v>
      </c>
      <c r="BF3209">
        <v>2</v>
      </c>
      <c r="BG3209">
        <v>0</v>
      </c>
      <c r="BH3209" t="s">
        <v>53</v>
      </c>
      <c r="BK3209" t="s">
        <v>59</v>
      </c>
      <c r="BL3209">
        <v>14000</v>
      </c>
      <c r="BM3209" s="1">
        <v>43108</v>
      </c>
      <c r="BN3209" s="1">
        <v>43108</v>
      </c>
      <c r="BO3209" s="1">
        <v>43108</v>
      </c>
      <c r="BP3209" s="1">
        <v>44275</v>
      </c>
      <c r="BQ3209" t="s">
        <v>51</v>
      </c>
      <c r="BS3209" t="s">
        <v>60</v>
      </c>
      <c r="BT3209" t="s">
        <v>54</v>
      </c>
      <c r="BU3209" t="s">
        <v>61</v>
      </c>
      <c r="BV3209" t="s">
        <v>62</v>
      </c>
      <c r="BX3209">
        <v>24</v>
      </c>
      <c r="BY3209">
        <v>0</v>
      </c>
      <c r="BZ3209">
        <v>0</v>
      </c>
    </row>
    <row r="3210" spans="1:78" x14ac:dyDescent="0.2">
      <c r="A3210" t="s">
        <v>367</v>
      </c>
      <c r="B3210" t="s">
        <v>368</v>
      </c>
      <c r="C3210" t="s">
        <v>369</v>
      </c>
      <c r="D3210" t="s">
        <v>1186</v>
      </c>
      <c r="F3210" t="str">
        <f>"26094"</f>
        <v>26094</v>
      </c>
      <c r="G3210" t="s">
        <v>49</v>
      </c>
      <c r="H3210" t="s">
        <v>1303</v>
      </c>
      <c r="K3210" t="s">
        <v>51</v>
      </c>
      <c r="L3210" t="s">
        <v>52</v>
      </c>
      <c r="M3210">
        <v>138069.66</v>
      </c>
      <c r="N3210">
        <v>467383.08</v>
      </c>
      <c r="O3210" t="s">
        <v>53</v>
      </c>
      <c r="P3210" t="s">
        <v>54</v>
      </c>
      <c r="Q3210" t="s">
        <v>55</v>
      </c>
      <c r="T3210" t="s">
        <v>818</v>
      </c>
      <c r="U3210">
        <v>40</v>
      </c>
      <c r="V3210" s="1">
        <v>28490</v>
      </c>
      <c r="W3210" s="1">
        <v>28490</v>
      </c>
      <c r="X3210" s="1">
        <v>28490</v>
      </c>
      <c r="Y3210" s="1">
        <v>43100</v>
      </c>
      <c r="Z3210" t="s">
        <v>51</v>
      </c>
      <c r="AB3210" t="s">
        <v>54</v>
      </c>
      <c r="AC3210">
        <v>1</v>
      </c>
      <c r="AE3210" t="s">
        <v>825</v>
      </c>
      <c r="AF3210">
        <v>20</v>
      </c>
      <c r="AG3210" s="1">
        <v>36942</v>
      </c>
      <c r="AH3210" s="1">
        <v>36942</v>
      </c>
      <c r="AI3210" s="1">
        <v>36942</v>
      </c>
      <c r="AJ3210" s="1">
        <v>44247</v>
      </c>
      <c r="AK3210" t="s">
        <v>51</v>
      </c>
      <c r="AN3210">
        <v>0</v>
      </c>
      <c r="AO3210" t="s">
        <v>54</v>
      </c>
      <c r="AP3210" t="s">
        <v>53</v>
      </c>
      <c r="AQ3210">
        <v>0</v>
      </c>
      <c r="AR3210" t="s">
        <v>53</v>
      </c>
      <c r="AS3210">
        <v>0</v>
      </c>
      <c r="AT3210">
        <v>0</v>
      </c>
      <c r="AW3210" t="s">
        <v>58</v>
      </c>
      <c r="AX3210">
        <v>20</v>
      </c>
      <c r="AY3210" s="1">
        <v>36942</v>
      </c>
      <c r="AZ3210" s="1">
        <v>36942</v>
      </c>
      <c r="BA3210" s="1">
        <v>36942</v>
      </c>
      <c r="BB3210" s="1">
        <v>44247</v>
      </c>
      <c r="BC3210" t="s">
        <v>51</v>
      </c>
      <c r="BE3210" t="s">
        <v>54</v>
      </c>
      <c r="BF3210">
        <v>2</v>
      </c>
      <c r="BG3210">
        <v>0</v>
      </c>
      <c r="BH3210" t="s">
        <v>53</v>
      </c>
      <c r="BK3210" t="s">
        <v>59</v>
      </c>
      <c r="BL3210">
        <v>14000</v>
      </c>
      <c r="BM3210" s="1">
        <v>42552</v>
      </c>
      <c r="BN3210" s="1">
        <v>42552</v>
      </c>
      <c r="BO3210" s="1">
        <v>42552</v>
      </c>
      <c r="BP3210" s="1">
        <v>43752</v>
      </c>
      <c r="BQ3210" t="s">
        <v>51</v>
      </c>
      <c r="BS3210" t="s">
        <v>60</v>
      </c>
      <c r="BT3210" t="s">
        <v>54</v>
      </c>
      <c r="BU3210" t="s">
        <v>61</v>
      </c>
      <c r="BV3210" t="s">
        <v>62</v>
      </c>
      <c r="BX3210">
        <v>24</v>
      </c>
      <c r="BY3210">
        <v>0</v>
      </c>
      <c r="BZ3210">
        <v>0</v>
      </c>
    </row>
    <row r="3211" spans="1:78" x14ac:dyDescent="0.2">
      <c r="A3211" t="s">
        <v>367</v>
      </c>
      <c r="B3211" t="s">
        <v>368</v>
      </c>
      <c r="C3211" t="s">
        <v>369</v>
      </c>
      <c r="D3211" t="s">
        <v>1186</v>
      </c>
      <c r="F3211" t="str">
        <f>"26095"</f>
        <v>26095</v>
      </c>
      <c r="G3211" t="s">
        <v>49</v>
      </c>
      <c r="H3211" t="s">
        <v>1361</v>
      </c>
      <c r="K3211" t="s">
        <v>51</v>
      </c>
      <c r="L3211" t="s">
        <v>52</v>
      </c>
      <c r="M3211">
        <v>138061.31</v>
      </c>
      <c r="N3211">
        <v>467369.15</v>
      </c>
      <c r="O3211" t="s">
        <v>53</v>
      </c>
      <c r="P3211" t="s">
        <v>54</v>
      </c>
      <c r="Q3211" t="s">
        <v>55</v>
      </c>
      <c r="T3211" t="s">
        <v>818</v>
      </c>
      <c r="U3211">
        <v>40</v>
      </c>
      <c r="V3211" s="1">
        <v>28490</v>
      </c>
      <c r="W3211" s="1">
        <v>28490</v>
      </c>
      <c r="X3211" s="1">
        <v>28490</v>
      </c>
      <c r="Y3211" s="1">
        <v>43100</v>
      </c>
      <c r="Z3211" t="s">
        <v>51</v>
      </c>
      <c r="AB3211" t="s">
        <v>54</v>
      </c>
      <c r="AC3211">
        <v>1</v>
      </c>
      <c r="AE3211" t="s">
        <v>825</v>
      </c>
      <c r="AF3211">
        <v>20</v>
      </c>
      <c r="AG3211" s="1">
        <v>36942</v>
      </c>
      <c r="AH3211" s="1">
        <v>36942</v>
      </c>
      <c r="AI3211" s="1">
        <v>36942</v>
      </c>
      <c r="AJ3211" s="1">
        <v>44247</v>
      </c>
      <c r="AK3211" t="s">
        <v>51</v>
      </c>
      <c r="AN3211">
        <v>0</v>
      </c>
      <c r="AO3211" t="s">
        <v>54</v>
      </c>
      <c r="AP3211" t="s">
        <v>53</v>
      </c>
      <c r="AQ3211">
        <v>0</v>
      </c>
      <c r="AR3211" t="s">
        <v>53</v>
      </c>
      <c r="AS3211">
        <v>0</v>
      </c>
      <c r="AT3211">
        <v>0</v>
      </c>
      <c r="AW3211" t="s">
        <v>58</v>
      </c>
      <c r="AX3211">
        <v>20</v>
      </c>
      <c r="AY3211" s="1">
        <v>36942</v>
      </c>
      <c r="AZ3211" s="1">
        <v>36942</v>
      </c>
      <c r="BA3211" s="1">
        <v>36942</v>
      </c>
      <c r="BB3211" s="1">
        <v>44247</v>
      </c>
      <c r="BC3211" t="s">
        <v>51</v>
      </c>
      <c r="BE3211" t="s">
        <v>54</v>
      </c>
      <c r="BF3211">
        <v>2</v>
      </c>
      <c r="BG3211">
        <v>0</v>
      </c>
      <c r="BH3211" t="s">
        <v>53</v>
      </c>
      <c r="BK3211" t="s">
        <v>59</v>
      </c>
      <c r="BL3211">
        <v>14000</v>
      </c>
      <c r="BM3211" s="1">
        <v>42552</v>
      </c>
      <c r="BN3211" s="1">
        <v>42552</v>
      </c>
      <c r="BO3211" s="1">
        <v>42552</v>
      </c>
      <c r="BP3211" s="1">
        <v>43752</v>
      </c>
      <c r="BQ3211" t="s">
        <v>51</v>
      </c>
      <c r="BS3211" t="s">
        <v>60</v>
      </c>
      <c r="BT3211" t="s">
        <v>54</v>
      </c>
      <c r="BU3211" t="s">
        <v>61</v>
      </c>
      <c r="BV3211" t="s">
        <v>62</v>
      </c>
      <c r="BX3211">
        <v>24</v>
      </c>
      <c r="BY3211">
        <v>0</v>
      </c>
      <c r="BZ3211">
        <v>0</v>
      </c>
    </row>
    <row r="3212" spans="1:78" x14ac:dyDescent="0.2">
      <c r="A3212" t="s">
        <v>367</v>
      </c>
      <c r="B3212" t="s">
        <v>368</v>
      </c>
      <c r="C3212" t="s">
        <v>369</v>
      </c>
      <c r="D3212" t="s">
        <v>1186</v>
      </c>
      <c r="F3212" t="str">
        <f>"26096"</f>
        <v>26096</v>
      </c>
      <c r="G3212" t="s">
        <v>49</v>
      </c>
      <c r="H3212" t="s">
        <v>1362</v>
      </c>
      <c r="K3212" t="s">
        <v>51</v>
      </c>
      <c r="L3212" t="s">
        <v>52</v>
      </c>
      <c r="M3212">
        <v>138081.96</v>
      </c>
      <c r="N3212">
        <v>467359.73</v>
      </c>
      <c r="O3212" t="s">
        <v>53</v>
      </c>
      <c r="P3212" t="s">
        <v>54</v>
      </c>
      <c r="Q3212" t="s">
        <v>55</v>
      </c>
      <c r="T3212" t="s">
        <v>818</v>
      </c>
      <c r="U3212">
        <v>40</v>
      </c>
      <c r="V3212" s="1">
        <v>28490</v>
      </c>
      <c r="W3212" s="1">
        <v>28490</v>
      </c>
      <c r="X3212" s="1">
        <v>28490</v>
      </c>
      <c r="Y3212" s="1">
        <v>43100</v>
      </c>
      <c r="Z3212" t="s">
        <v>51</v>
      </c>
      <c r="AB3212" t="s">
        <v>54</v>
      </c>
      <c r="AC3212">
        <v>1</v>
      </c>
      <c r="AE3212" t="s">
        <v>825</v>
      </c>
      <c r="AF3212">
        <v>20</v>
      </c>
      <c r="AG3212" s="1">
        <v>36942</v>
      </c>
      <c r="AH3212" s="1">
        <v>36942</v>
      </c>
      <c r="AI3212" s="1">
        <v>36942</v>
      </c>
      <c r="AJ3212" s="1">
        <v>44247</v>
      </c>
      <c r="AK3212" t="s">
        <v>51</v>
      </c>
      <c r="AN3212">
        <v>0</v>
      </c>
      <c r="AO3212" t="s">
        <v>54</v>
      </c>
      <c r="AP3212" t="s">
        <v>53</v>
      </c>
      <c r="AQ3212">
        <v>0</v>
      </c>
      <c r="AR3212" t="s">
        <v>53</v>
      </c>
      <c r="AS3212">
        <v>0</v>
      </c>
      <c r="AT3212">
        <v>0</v>
      </c>
      <c r="AW3212" t="s">
        <v>58</v>
      </c>
      <c r="AX3212">
        <v>20</v>
      </c>
      <c r="AY3212" s="1">
        <v>36942</v>
      </c>
      <c r="AZ3212" s="1">
        <v>36942</v>
      </c>
      <c r="BA3212" s="1">
        <v>36942</v>
      </c>
      <c r="BB3212" s="1">
        <v>44247</v>
      </c>
      <c r="BC3212" t="s">
        <v>51</v>
      </c>
      <c r="BE3212" t="s">
        <v>54</v>
      </c>
      <c r="BF3212">
        <v>2</v>
      </c>
      <c r="BG3212">
        <v>0</v>
      </c>
      <c r="BH3212" t="s">
        <v>53</v>
      </c>
      <c r="BK3212" t="s">
        <v>59</v>
      </c>
      <c r="BL3212">
        <v>14000</v>
      </c>
      <c r="BM3212" s="1">
        <v>42552</v>
      </c>
      <c r="BN3212" s="1">
        <v>42552</v>
      </c>
      <c r="BO3212" s="1">
        <v>42552</v>
      </c>
      <c r="BP3212" s="1">
        <v>43752</v>
      </c>
      <c r="BQ3212" t="s">
        <v>51</v>
      </c>
      <c r="BS3212" t="s">
        <v>60</v>
      </c>
      <c r="BT3212" t="s">
        <v>54</v>
      </c>
      <c r="BU3212" t="s">
        <v>61</v>
      </c>
      <c r="BV3212" t="s">
        <v>62</v>
      </c>
      <c r="BX3212">
        <v>24</v>
      </c>
      <c r="BY3212">
        <v>0</v>
      </c>
      <c r="BZ3212">
        <v>0</v>
      </c>
    </row>
    <row r="3213" spans="1:78" x14ac:dyDescent="0.2">
      <c r="A3213" t="s">
        <v>367</v>
      </c>
      <c r="B3213" t="s">
        <v>368</v>
      </c>
      <c r="C3213" t="s">
        <v>369</v>
      </c>
      <c r="D3213" t="s">
        <v>1186</v>
      </c>
      <c r="F3213" t="str">
        <f>"26097"</f>
        <v>26097</v>
      </c>
      <c r="G3213" t="s">
        <v>49</v>
      </c>
      <c r="H3213" t="s">
        <v>1363</v>
      </c>
      <c r="K3213" t="s">
        <v>51</v>
      </c>
      <c r="L3213" t="s">
        <v>52</v>
      </c>
      <c r="M3213">
        <v>138096.19</v>
      </c>
      <c r="N3213">
        <v>467351.07</v>
      </c>
      <c r="O3213" t="s">
        <v>53</v>
      </c>
      <c r="P3213" t="s">
        <v>54</v>
      </c>
      <c r="Q3213" t="s">
        <v>55</v>
      </c>
      <c r="T3213" t="s">
        <v>818</v>
      </c>
      <c r="U3213">
        <v>40</v>
      </c>
      <c r="V3213" s="1">
        <v>28490</v>
      </c>
      <c r="W3213" s="1">
        <v>28490</v>
      </c>
      <c r="X3213" s="1">
        <v>28490</v>
      </c>
      <c r="Y3213" s="1">
        <v>43100</v>
      </c>
      <c r="Z3213" t="s">
        <v>51</v>
      </c>
      <c r="AB3213" t="s">
        <v>54</v>
      </c>
      <c r="AC3213">
        <v>1</v>
      </c>
      <c r="AE3213" t="s">
        <v>825</v>
      </c>
      <c r="AF3213">
        <v>20</v>
      </c>
      <c r="AG3213" s="1">
        <v>36949</v>
      </c>
      <c r="AH3213" s="1">
        <v>36949</v>
      </c>
      <c r="AI3213" s="1">
        <v>36949</v>
      </c>
      <c r="AJ3213" s="1">
        <v>44254</v>
      </c>
      <c r="AK3213" t="s">
        <v>51</v>
      </c>
      <c r="AN3213">
        <v>0</v>
      </c>
      <c r="AO3213" t="s">
        <v>54</v>
      </c>
      <c r="AP3213" t="s">
        <v>53</v>
      </c>
      <c r="AQ3213">
        <v>0</v>
      </c>
      <c r="AR3213" t="s">
        <v>53</v>
      </c>
      <c r="AS3213">
        <v>0</v>
      </c>
      <c r="AT3213">
        <v>0</v>
      </c>
      <c r="AW3213" t="s">
        <v>58</v>
      </c>
      <c r="AX3213">
        <v>20</v>
      </c>
      <c r="AY3213" s="1">
        <v>36949</v>
      </c>
      <c r="AZ3213" s="1">
        <v>36949</v>
      </c>
      <c r="BA3213" s="1">
        <v>36949</v>
      </c>
      <c r="BB3213" s="1">
        <v>44254</v>
      </c>
      <c r="BC3213" t="s">
        <v>51</v>
      </c>
      <c r="BE3213" t="s">
        <v>54</v>
      </c>
      <c r="BF3213">
        <v>2</v>
      </c>
      <c r="BG3213">
        <v>0</v>
      </c>
      <c r="BH3213" t="s">
        <v>53</v>
      </c>
      <c r="BK3213" t="s">
        <v>59</v>
      </c>
      <c r="BL3213">
        <v>14000</v>
      </c>
      <c r="BM3213" s="1">
        <v>42552</v>
      </c>
      <c r="BN3213" s="1">
        <v>42552</v>
      </c>
      <c r="BO3213" s="1">
        <v>42552</v>
      </c>
      <c r="BP3213" s="1">
        <v>43752</v>
      </c>
      <c r="BQ3213" t="s">
        <v>51</v>
      </c>
      <c r="BS3213" t="s">
        <v>60</v>
      </c>
      <c r="BT3213" t="s">
        <v>54</v>
      </c>
      <c r="BU3213" t="s">
        <v>61</v>
      </c>
      <c r="BV3213" t="s">
        <v>62</v>
      </c>
      <c r="BX3213">
        <v>24</v>
      </c>
      <c r="BY3213">
        <v>0</v>
      </c>
      <c r="BZ3213">
        <v>0</v>
      </c>
    </row>
    <row r="3214" spans="1:78" x14ac:dyDescent="0.2">
      <c r="A3214" t="s">
        <v>367</v>
      </c>
      <c r="B3214" t="s">
        <v>368</v>
      </c>
      <c r="C3214" t="s">
        <v>369</v>
      </c>
      <c r="D3214" t="s">
        <v>1186</v>
      </c>
      <c r="F3214" t="str">
        <f>"26098"</f>
        <v>26098</v>
      </c>
      <c r="G3214" t="s">
        <v>49</v>
      </c>
      <c r="H3214" t="s">
        <v>1364</v>
      </c>
      <c r="K3214" t="s">
        <v>51</v>
      </c>
      <c r="L3214" t="s">
        <v>52</v>
      </c>
      <c r="M3214">
        <v>138112.07999999999</v>
      </c>
      <c r="N3214">
        <v>467341.61</v>
      </c>
      <c r="O3214" t="s">
        <v>53</v>
      </c>
      <c r="P3214" t="s">
        <v>54</v>
      </c>
      <c r="Q3214" t="s">
        <v>55</v>
      </c>
      <c r="T3214" t="s">
        <v>818</v>
      </c>
      <c r="U3214">
        <v>40</v>
      </c>
      <c r="V3214" s="1">
        <v>28490</v>
      </c>
      <c r="W3214" s="1">
        <v>28490</v>
      </c>
      <c r="X3214" s="1">
        <v>28490</v>
      </c>
      <c r="Y3214" s="1">
        <v>43100</v>
      </c>
      <c r="Z3214" t="s">
        <v>51</v>
      </c>
      <c r="AB3214" t="s">
        <v>54</v>
      </c>
      <c r="AC3214">
        <v>1</v>
      </c>
      <c r="AE3214" t="s">
        <v>825</v>
      </c>
      <c r="AF3214">
        <v>20</v>
      </c>
      <c r="AG3214" s="1">
        <v>36942</v>
      </c>
      <c r="AH3214" s="1">
        <v>36942</v>
      </c>
      <c r="AI3214" s="1">
        <v>36942</v>
      </c>
      <c r="AJ3214" s="1">
        <v>44247</v>
      </c>
      <c r="AK3214" t="s">
        <v>51</v>
      </c>
      <c r="AN3214">
        <v>0</v>
      </c>
      <c r="AO3214" t="s">
        <v>54</v>
      </c>
      <c r="AP3214" t="s">
        <v>53</v>
      </c>
      <c r="AQ3214">
        <v>0</v>
      </c>
      <c r="AR3214" t="s">
        <v>53</v>
      </c>
      <c r="AS3214">
        <v>0</v>
      </c>
      <c r="AT3214">
        <v>0</v>
      </c>
      <c r="AW3214" t="s">
        <v>58</v>
      </c>
      <c r="AX3214">
        <v>20</v>
      </c>
      <c r="AY3214" s="1">
        <v>44375</v>
      </c>
      <c r="AZ3214" s="1">
        <v>44375</v>
      </c>
      <c r="BA3214" s="1">
        <v>44375</v>
      </c>
      <c r="BB3214" s="1">
        <v>51680</v>
      </c>
      <c r="BC3214" t="s">
        <v>51</v>
      </c>
      <c r="BE3214" t="s">
        <v>54</v>
      </c>
      <c r="BF3214">
        <v>2</v>
      </c>
      <c r="BG3214">
        <v>0</v>
      </c>
      <c r="BH3214" t="s">
        <v>53</v>
      </c>
      <c r="BK3214" t="s">
        <v>59</v>
      </c>
      <c r="BL3214">
        <v>14000</v>
      </c>
      <c r="BM3214" s="1">
        <v>44375</v>
      </c>
      <c r="BN3214" s="1">
        <v>44375</v>
      </c>
      <c r="BO3214" s="1">
        <v>44375</v>
      </c>
      <c r="BP3214" s="1">
        <v>45575</v>
      </c>
      <c r="BQ3214" t="s">
        <v>51</v>
      </c>
      <c r="BS3214" t="s">
        <v>60</v>
      </c>
      <c r="BT3214" t="s">
        <v>54</v>
      </c>
      <c r="BU3214" t="s">
        <v>61</v>
      </c>
      <c r="BV3214" t="s">
        <v>62</v>
      </c>
      <c r="BX3214">
        <v>24</v>
      </c>
      <c r="BY3214">
        <v>0</v>
      </c>
      <c r="BZ3214">
        <v>0</v>
      </c>
    </row>
    <row r="3215" spans="1:78" x14ac:dyDescent="0.2">
      <c r="A3215" t="s">
        <v>367</v>
      </c>
      <c r="B3215" t="s">
        <v>368</v>
      </c>
      <c r="C3215" t="s">
        <v>369</v>
      </c>
      <c r="D3215" t="s">
        <v>1186</v>
      </c>
      <c r="F3215" t="str">
        <f>"26099"</f>
        <v>26099</v>
      </c>
      <c r="G3215" t="s">
        <v>49</v>
      </c>
      <c r="H3215" t="s">
        <v>1365</v>
      </c>
      <c r="K3215" t="s">
        <v>51</v>
      </c>
      <c r="L3215" t="s">
        <v>52</v>
      </c>
      <c r="M3215">
        <v>138109.12</v>
      </c>
      <c r="N3215">
        <v>467319.96</v>
      </c>
      <c r="O3215" t="s">
        <v>53</v>
      </c>
      <c r="P3215" t="s">
        <v>54</v>
      </c>
      <c r="Q3215" t="s">
        <v>55</v>
      </c>
      <c r="T3215" t="s">
        <v>818</v>
      </c>
      <c r="U3215">
        <v>40</v>
      </c>
      <c r="V3215" s="1">
        <v>28490</v>
      </c>
      <c r="W3215" s="1">
        <v>28490</v>
      </c>
      <c r="X3215" s="1">
        <v>28490</v>
      </c>
      <c r="Y3215" s="1">
        <v>43100</v>
      </c>
      <c r="Z3215" t="s">
        <v>51</v>
      </c>
      <c r="AB3215" t="s">
        <v>54</v>
      </c>
      <c r="AC3215">
        <v>1</v>
      </c>
      <c r="AE3215" t="s">
        <v>825</v>
      </c>
      <c r="AF3215">
        <v>20</v>
      </c>
      <c r="AG3215" s="1">
        <v>36942</v>
      </c>
      <c r="AH3215" s="1">
        <v>36942</v>
      </c>
      <c r="AI3215" s="1">
        <v>36942</v>
      </c>
      <c r="AJ3215" s="1">
        <v>44247</v>
      </c>
      <c r="AK3215" t="s">
        <v>51</v>
      </c>
      <c r="AN3215">
        <v>0</v>
      </c>
      <c r="AO3215" t="s">
        <v>54</v>
      </c>
      <c r="AP3215" t="s">
        <v>53</v>
      </c>
      <c r="AQ3215">
        <v>0</v>
      </c>
      <c r="AR3215" t="s">
        <v>53</v>
      </c>
      <c r="AS3215">
        <v>0</v>
      </c>
      <c r="AT3215">
        <v>0</v>
      </c>
      <c r="AW3215" t="s">
        <v>58</v>
      </c>
      <c r="AX3215">
        <v>20</v>
      </c>
      <c r="AY3215" s="1">
        <v>36942</v>
      </c>
      <c r="AZ3215" s="1">
        <v>36942</v>
      </c>
      <c r="BA3215" s="1">
        <v>36942</v>
      </c>
      <c r="BB3215" s="1">
        <v>44247</v>
      </c>
      <c r="BC3215" t="s">
        <v>51</v>
      </c>
      <c r="BE3215" t="s">
        <v>54</v>
      </c>
      <c r="BF3215">
        <v>2</v>
      </c>
      <c r="BG3215">
        <v>0</v>
      </c>
      <c r="BH3215" t="s">
        <v>53</v>
      </c>
      <c r="BK3215" t="s">
        <v>59</v>
      </c>
      <c r="BL3215">
        <v>14000</v>
      </c>
      <c r="BM3215" s="1">
        <v>42552</v>
      </c>
      <c r="BN3215" s="1">
        <v>42552</v>
      </c>
      <c r="BO3215" s="1">
        <v>42552</v>
      </c>
      <c r="BP3215" s="1">
        <v>43752</v>
      </c>
      <c r="BQ3215" t="s">
        <v>51</v>
      </c>
      <c r="BS3215" t="s">
        <v>60</v>
      </c>
      <c r="BT3215" t="s">
        <v>54</v>
      </c>
      <c r="BU3215" t="s">
        <v>61</v>
      </c>
      <c r="BV3215" t="s">
        <v>62</v>
      </c>
      <c r="BX3215">
        <v>24</v>
      </c>
      <c r="BY3215">
        <v>0</v>
      </c>
      <c r="BZ3215">
        <v>0</v>
      </c>
    </row>
    <row r="3216" spans="1:78" x14ac:dyDescent="0.2">
      <c r="A3216" t="s">
        <v>367</v>
      </c>
      <c r="B3216" t="s">
        <v>368</v>
      </c>
      <c r="C3216" t="s">
        <v>369</v>
      </c>
      <c r="D3216" t="s">
        <v>1186</v>
      </c>
      <c r="F3216" t="str">
        <f>"26100"</f>
        <v>26100</v>
      </c>
      <c r="G3216" t="s">
        <v>49</v>
      </c>
      <c r="H3216" t="s">
        <v>1366</v>
      </c>
      <c r="K3216" t="s">
        <v>51</v>
      </c>
      <c r="L3216" t="s">
        <v>52</v>
      </c>
      <c r="M3216">
        <v>138128.01999999999</v>
      </c>
      <c r="N3216">
        <v>467352.3</v>
      </c>
      <c r="O3216" t="s">
        <v>53</v>
      </c>
      <c r="P3216" t="s">
        <v>54</v>
      </c>
      <c r="Q3216" t="s">
        <v>55</v>
      </c>
      <c r="T3216" t="s">
        <v>818</v>
      </c>
      <c r="U3216">
        <v>40</v>
      </c>
      <c r="V3216" s="1">
        <v>28490</v>
      </c>
      <c r="W3216" s="1">
        <v>28490</v>
      </c>
      <c r="X3216" s="1">
        <v>28490</v>
      </c>
      <c r="Y3216" s="1">
        <v>43100</v>
      </c>
      <c r="Z3216" t="s">
        <v>51</v>
      </c>
      <c r="AB3216" t="s">
        <v>54</v>
      </c>
      <c r="AC3216">
        <v>1</v>
      </c>
      <c r="AE3216" t="s">
        <v>825</v>
      </c>
      <c r="AF3216">
        <v>20</v>
      </c>
      <c r="AG3216" s="1">
        <v>36942</v>
      </c>
      <c r="AH3216" s="1">
        <v>36942</v>
      </c>
      <c r="AI3216" s="1">
        <v>36942</v>
      </c>
      <c r="AJ3216" s="1">
        <v>44247</v>
      </c>
      <c r="AK3216" t="s">
        <v>51</v>
      </c>
      <c r="AN3216">
        <v>0</v>
      </c>
      <c r="AO3216" t="s">
        <v>54</v>
      </c>
      <c r="AP3216" t="s">
        <v>53</v>
      </c>
      <c r="AQ3216">
        <v>0</v>
      </c>
      <c r="AR3216" t="s">
        <v>53</v>
      </c>
      <c r="AS3216">
        <v>0</v>
      </c>
      <c r="AT3216">
        <v>0</v>
      </c>
      <c r="AW3216" t="s">
        <v>58</v>
      </c>
      <c r="AX3216">
        <v>20</v>
      </c>
      <c r="AY3216" s="1">
        <v>36942</v>
      </c>
      <c r="AZ3216" s="1">
        <v>36942</v>
      </c>
      <c r="BA3216" s="1">
        <v>36942</v>
      </c>
      <c r="BB3216" s="1">
        <v>44247</v>
      </c>
      <c r="BC3216" t="s">
        <v>51</v>
      </c>
      <c r="BE3216" t="s">
        <v>54</v>
      </c>
      <c r="BF3216">
        <v>2</v>
      </c>
      <c r="BG3216">
        <v>0</v>
      </c>
      <c r="BH3216" t="s">
        <v>53</v>
      </c>
      <c r="BK3216" t="s">
        <v>59</v>
      </c>
      <c r="BL3216">
        <v>14000</v>
      </c>
      <c r="BM3216" s="1">
        <v>42552</v>
      </c>
      <c r="BN3216" s="1">
        <v>42552</v>
      </c>
      <c r="BO3216" s="1">
        <v>42552</v>
      </c>
      <c r="BP3216" s="1">
        <v>43752</v>
      </c>
      <c r="BQ3216" t="s">
        <v>51</v>
      </c>
      <c r="BS3216" t="s">
        <v>60</v>
      </c>
      <c r="BT3216" t="s">
        <v>54</v>
      </c>
      <c r="BU3216" t="s">
        <v>61</v>
      </c>
      <c r="BV3216" t="s">
        <v>62</v>
      </c>
      <c r="BX3216">
        <v>24</v>
      </c>
      <c r="BY3216">
        <v>0</v>
      </c>
      <c r="BZ3216">
        <v>0</v>
      </c>
    </row>
    <row r="3217" spans="1:78" x14ac:dyDescent="0.2">
      <c r="A3217" t="s">
        <v>367</v>
      </c>
      <c r="B3217" t="s">
        <v>368</v>
      </c>
      <c r="C3217" t="s">
        <v>369</v>
      </c>
      <c r="D3217" t="s">
        <v>1186</v>
      </c>
      <c r="F3217" t="str">
        <f>"26101"</f>
        <v>26101</v>
      </c>
      <c r="G3217" t="s">
        <v>49</v>
      </c>
      <c r="H3217" t="s">
        <v>1367</v>
      </c>
      <c r="K3217" t="s">
        <v>51</v>
      </c>
      <c r="L3217" t="s">
        <v>52</v>
      </c>
      <c r="M3217">
        <v>138133.69</v>
      </c>
      <c r="N3217">
        <v>467368.7</v>
      </c>
      <c r="O3217" t="s">
        <v>53</v>
      </c>
      <c r="P3217" t="s">
        <v>54</v>
      </c>
      <c r="Q3217" t="s">
        <v>55</v>
      </c>
      <c r="T3217" t="s">
        <v>818</v>
      </c>
      <c r="U3217">
        <v>40</v>
      </c>
      <c r="V3217" s="1">
        <v>28490</v>
      </c>
      <c r="W3217" s="1">
        <v>28490</v>
      </c>
      <c r="X3217" s="1">
        <v>28490</v>
      </c>
      <c r="Y3217" s="1">
        <v>43100</v>
      </c>
      <c r="Z3217" t="s">
        <v>51</v>
      </c>
      <c r="AB3217" t="s">
        <v>54</v>
      </c>
      <c r="AC3217">
        <v>1</v>
      </c>
      <c r="AE3217" t="s">
        <v>825</v>
      </c>
      <c r="AF3217">
        <v>20</v>
      </c>
      <c r="AG3217" s="1">
        <v>36942</v>
      </c>
      <c r="AH3217" s="1">
        <v>36942</v>
      </c>
      <c r="AI3217" s="1">
        <v>36942</v>
      </c>
      <c r="AJ3217" s="1">
        <v>44247</v>
      </c>
      <c r="AK3217" t="s">
        <v>51</v>
      </c>
      <c r="AN3217">
        <v>0</v>
      </c>
      <c r="AO3217" t="s">
        <v>54</v>
      </c>
      <c r="AP3217" t="s">
        <v>53</v>
      </c>
      <c r="AQ3217">
        <v>0</v>
      </c>
      <c r="AR3217" t="s">
        <v>53</v>
      </c>
      <c r="AS3217">
        <v>0</v>
      </c>
      <c r="AT3217">
        <v>0</v>
      </c>
      <c r="AW3217" t="s">
        <v>58</v>
      </c>
      <c r="AX3217">
        <v>20</v>
      </c>
      <c r="AY3217" s="1">
        <v>45040</v>
      </c>
      <c r="AZ3217" s="1">
        <v>45040</v>
      </c>
      <c r="BA3217" s="1">
        <v>45040</v>
      </c>
      <c r="BB3217" s="1">
        <v>52345</v>
      </c>
      <c r="BC3217" t="s">
        <v>51</v>
      </c>
      <c r="BE3217" t="s">
        <v>54</v>
      </c>
      <c r="BF3217">
        <v>2</v>
      </c>
      <c r="BG3217">
        <v>0</v>
      </c>
      <c r="BH3217" t="s">
        <v>53</v>
      </c>
      <c r="BK3217" t="s">
        <v>59</v>
      </c>
      <c r="BL3217">
        <v>14000</v>
      </c>
      <c r="BM3217" s="1">
        <v>45040</v>
      </c>
      <c r="BN3217" s="1">
        <v>45040</v>
      </c>
      <c r="BO3217" s="1">
        <v>45040</v>
      </c>
      <c r="BP3217" s="1">
        <v>46264</v>
      </c>
      <c r="BQ3217" t="s">
        <v>51</v>
      </c>
      <c r="BS3217" t="s">
        <v>60</v>
      </c>
      <c r="BT3217" t="s">
        <v>54</v>
      </c>
      <c r="BU3217" t="s">
        <v>61</v>
      </c>
      <c r="BV3217" t="s">
        <v>62</v>
      </c>
      <c r="BX3217">
        <v>24</v>
      </c>
      <c r="BY3217">
        <v>0</v>
      </c>
      <c r="BZ3217">
        <v>0</v>
      </c>
    </row>
    <row r="3218" spans="1:78" x14ac:dyDescent="0.2">
      <c r="A3218" t="s">
        <v>367</v>
      </c>
      <c r="B3218" t="s">
        <v>368</v>
      </c>
      <c r="C3218" t="s">
        <v>369</v>
      </c>
      <c r="D3218" t="s">
        <v>1368</v>
      </c>
      <c r="F3218" t="str">
        <f>"26102"</f>
        <v>26102</v>
      </c>
      <c r="G3218" t="s">
        <v>49</v>
      </c>
      <c r="H3218" t="s">
        <v>1369</v>
      </c>
      <c r="K3218" t="s">
        <v>51</v>
      </c>
      <c r="L3218" t="s">
        <v>52</v>
      </c>
      <c r="M3218">
        <v>137914.64000000001</v>
      </c>
      <c r="N3218">
        <v>467491.54</v>
      </c>
      <c r="O3218" t="s">
        <v>53</v>
      </c>
      <c r="P3218" t="s">
        <v>54</v>
      </c>
      <c r="Q3218" t="s">
        <v>55</v>
      </c>
      <c r="T3218" t="s">
        <v>818</v>
      </c>
      <c r="U3218">
        <v>40</v>
      </c>
      <c r="V3218" s="1">
        <v>28125</v>
      </c>
      <c r="W3218" s="1">
        <v>28125</v>
      </c>
      <c r="X3218" s="1">
        <v>28125</v>
      </c>
      <c r="Y3218" s="1">
        <v>42735</v>
      </c>
      <c r="Z3218" t="s">
        <v>51</v>
      </c>
      <c r="AB3218" t="s">
        <v>54</v>
      </c>
      <c r="AC3218">
        <v>1</v>
      </c>
      <c r="AE3218" t="s">
        <v>825</v>
      </c>
      <c r="AF3218">
        <v>20</v>
      </c>
      <c r="AG3218" s="1">
        <v>36924</v>
      </c>
      <c r="AH3218" s="1">
        <v>36924</v>
      </c>
      <c r="AI3218" s="1">
        <v>36924</v>
      </c>
      <c r="AJ3218" s="1">
        <v>44229</v>
      </c>
      <c r="AK3218" t="s">
        <v>51</v>
      </c>
      <c r="AN3218">
        <v>0</v>
      </c>
      <c r="AO3218" t="s">
        <v>54</v>
      </c>
      <c r="AP3218" t="s">
        <v>53</v>
      </c>
      <c r="AQ3218">
        <v>0</v>
      </c>
      <c r="AR3218" t="s">
        <v>53</v>
      </c>
      <c r="AS3218">
        <v>0</v>
      </c>
      <c r="AT3218">
        <v>0</v>
      </c>
      <c r="AW3218" t="s">
        <v>58</v>
      </c>
      <c r="AX3218">
        <v>20</v>
      </c>
      <c r="AY3218" s="1">
        <v>36924</v>
      </c>
      <c r="AZ3218" s="1">
        <v>36924</v>
      </c>
      <c r="BA3218" s="1">
        <v>36924</v>
      </c>
      <c r="BB3218" s="1">
        <v>44229</v>
      </c>
      <c r="BC3218" t="s">
        <v>51</v>
      </c>
      <c r="BE3218" t="s">
        <v>54</v>
      </c>
      <c r="BF3218">
        <v>2</v>
      </c>
      <c r="BG3218">
        <v>0</v>
      </c>
      <c r="BH3218" t="s">
        <v>53</v>
      </c>
      <c r="BK3218" t="s">
        <v>59</v>
      </c>
      <c r="BL3218">
        <v>14000</v>
      </c>
      <c r="BM3218" s="1">
        <v>42552</v>
      </c>
      <c r="BN3218" s="1">
        <v>42552</v>
      </c>
      <c r="BO3218" s="1">
        <v>42552</v>
      </c>
      <c r="BP3218" s="1">
        <v>43752</v>
      </c>
      <c r="BQ3218" t="s">
        <v>51</v>
      </c>
      <c r="BS3218" t="s">
        <v>60</v>
      </c>
      <c r="BT3218" t="s">
        <v>54</v>
      </c>
      <c r="BU3218" t="s">
        <v>61</v>
      </c>
      <c r="BV3218" t="s">
        <v>62</v>
      </c>
      <c r="BX3218">
        <v>24</v>
      </c>
      <c r="BY3218">
        <v>0</v>
      </c>
      <c r="BZ3218">
        <v>0</v>
      </c>
    </row>
    <row r="3219" spans="1:78" x14ac:dyDescent="0.2">
      <c r="A3219" t="s">
        <v>367</v>
      </c>
      <c r="B3219" t="s">
        <v>368</v>
      </c>
      <c r="C3219" t="s">
        <v>369</v>
      </c>
      <c r="D3219" t="s">
        <v>1368</v>
      </c>
      <c r="F3219" t="str">
        <f>"26103"</f>
        <v>26103</v>
      </c>
      <c r="G3219" t="s">
        <v>49</v>
      </c>
      <c r="H3219" t="s">
        <v>1370</v>
      </c>
      <c r="K3219" t="s">
        <v>51</v>
      </c>
      <c r="L3219" t="s">
        <v>52</v>
      </c>
      <c r="M3219">
        <v>137924.39000000001</v>
      </c>
      <c r="N3219">
        <v>467512.19</v>
      </c>
      <c r="O3219" t="s">
        <v>53</v>
      </c>
      <c r="P3219" t="s">
        <v>54</v>
      </c>
      <c r="Q3219" t="s">
        <v>55</v>
      </c>
      <c r="T3219" t="s">
        <v>818</v>
      </c>
      <c r="U3219">
        <v>40</v>
      </c>
      <c r="V3219" s="1">
        <v>28125</v>
      </c>
      <c r="W3219" s="1">
        <v>28125</v>
      </c>
      <c r="X3219" s="1">
        <v>28125</v>
      </c>
      <c r="Y3219" s="1">
        <v>42735</v>
      </c>
      <c r="Z3219" t="s">
        <v>51</v>
      </c>
      <c r="AB3219" t="s">
        <v>54</v>
      </c>
      <c r="AC3219">
        <v>1</v>
      </c>
      <c r="AE3219" t="s">
        <v>844</v>
      </c>
      <c r="AF3219">
        <v>20</v>
      </c>
      <c r="AG3219" s="1">
        <v>39419</v>
      </c>
      <c r="AH3219" s="1">
        <v>39419</v>
      </c>
      <c r="AI3219" s="1">
        <v>39419</v>
      </c>
      <c r="AJ3219" s="1">
        <v>46724</v>
      </c>
      <c r="AK3219" t="s">
        <v>51</v>
      </c>
      <c r="AN3219">
        <v>0</v>
      </c>
      <c r="AO3219" t="s">
        <v>54</v>
      </c>
      <c r="AP3219" t="s">
        <v>53</v>
      </c>
      <c r="AQ3219">
        <v>0</v>
      </c>
      <c r="AR3219" t="s">
        <v>53</v>
      </c>
      <c r="AS3219">
        <v>0</v>
      </c>
      <c r="AT3219">
        <v>0</v>
      </c>
      <c r="AW3219" t="s">
        <v>58</v>
      </c>
      <c r="AX3219">
        <v>20</v>
      </c>
      <c r="AY3219" s="1">
        <v>44599</v>
      </c>
      <c r="AZ3219" s="1">
        <v>44599</v>
      </c>
      <c r="BA3219" s="1">
        <v>44599</v>
      </c>
      <c r="BB3219" s="1">
        <v>51904</v>
      </c>
      <c r="BC3219" t="s">
        <v>51</v>
      </c>
      <c r="BE3219" t="s">
        <v>54</v>
      </c>
      <c r="BF3219">
        <v>2</v>
      </c>
      <c r="BG3219">
        <v>0</v>
      </c>
      <c r="BH3219" t="s">
        <v>53</v>
      </c>
      <c r="BK3219" t="s">
        <v>845</v>
      </c>
      <c r="BL3219">
        <v>12000</v>
      </c>
      <c r="BM3219" s="1">
        <v>44599</v>
      </c>
      <c r="BN3219" s="1">
        <v>44599</v>
      </c>
      <c r="BO3219" s="1">
        <v>44599</v>
      </c>
      <c r="BP3219" s="1">
        <v>45633</v>
      </c>
      <c r="BQ3219" t="s">
        <v>51</v>
      </c>
      <c r="BS3219" t="s">
        <v>60</v>
      </c>
      <c r="BT3219" t="s">
        <v>54</v>
      </c>
      <c r="BU3219" t="s">
        <v>72</v>
      </c>
      <c r="BV3219" t="s">
        <v>73</v>
      </c>
      <c r="BX3219">
        <v>90</v>
      </c>
      <c r="BY3219">
        <v>0</v>
      </c>
      <c r="BZ3219">
        <v>0</v>
      </c>
    </row>
    <row r="3220" spans="1:78" x14ac:dyDescent="0.2">
      <c r="A3220" t="s">
        <v>367</v>
      </c>
      <c r="B3220" t="s">
        <v>368</v>
      </c>
      <c r="C3220" t="s">
        <v>369</v>
      </c>
      <c r="D3220" t="s">
        <v>1368</v>
      </c>
      <c r="F3220" t="str">
        <f>"26104"</f>
        <v>26104</v>
      </c>
      <c r="G3220" t="s">
        <v>49</v>
      </c>
      <c r="H3220" t="s">
        <v>1296</v>
      </c>
      <c r="K3220" t="s">
        <v>51</v>
      </c>
      <c r="L3220" t="s">
        <v>52</v>
      </c>
      <c r="M3220">
        <v>137936.95000000001</v>
      </c>
      <c r="N3220">
        <v>467531.62</v>
      </c>
      <c r="O3220" t="s">
        <v>53</v>
      </c>
      <c r="P3220" t="s">
        <v>54</v>
      </c>
      <c r="Q3220" t="s">
        <v>55</v>
      </c>
      <c r="T3220" t="s">
        <v>818</v>
      </c>
      <c r="U3220">
        <v>40</v>
      </c>
      <c r="V3220" s="1">
        <v>28125</v>
      </c>
      <c r="W3220" s="1">
        <v>28125</v>
      </c>
      <c r="X3220" s="1">
        <v>28125</v>
      </c>
      <c r="Y3220" s="1">
        <v>42735</v>
      </c>
      <c r="Z3220" t="s">
        <v>51</v>
      </c>
      <c r="AB3220" t="s">
        <v>54</v>
      </c>
      <c r="AC3220">
        <v>1</v>
      </c>
      <c r="AE3220" t="s">
        <v>825</v>
      </c>
      <c r="AF3220">
        <v>20</v>
      </c>
      <c r="AG3220" s="1">
        <v>36929</v>
      </c>
      <c r="AH3220" s="1">
        <v>36929</v>
      </c>
      <c r="AI3220" s="1">
        <v>36929</v>
      </c>
      <c r="AJ3220" s="1">
        <v>44234</v>
      </c>
      <c r="AK3220" t="s">
        <v>51</v>
      </c>
      <c r="AN3220">
        <v>0</v>
      </c>
      <c r="AO3220" t="s">
        <v>54</v>
      </c>
      <c r="AP3220" t="s">
        <v>53</v>
      </c>
      <c r="AQ3220">
        <v>0</v>
      </c>
      <c r="AR3220" t="s">
        <v>53</v>
      </c>
      <c r="AS3220">
        <v>0</v>
      </c>
      <c r="AT3220">
        <v>0</v>
      </c>
      <c r="AW3220" t="s">
        <v>58</v>
      </c>
      <c r="AX3220">
        <v>20</v>
      </c>
      <c r="AY3220" s="1">
        <v>36929</v>
      </c>
      <c r="AZ3220" s="1">
        <v>36929</v>
      </c>
      <c r="BA3220" s="1">
        <v>36929</v>
      </c>
      <c r="BB3220" s="1">
        <v>44234</v>
      </c>
      <c r="BC3220" t="s">
        <v>51</v>
      </c>
      <c r="BE3220" t="s">
        <v>54</v>
      </c>
      <c r="BF3220">
        <v>2</v>
      </c>
      <c r="BG3220">
        <v>0</v>
      </c>
      <c r="BH3220" t="s">
        <v>53</v>
      </c>
      <c r="BK3220" t="s">
        <v>59</v>
      </c>
      <c r="BL3220">
        <v>14000</v>
      </c>
      <c r="BM3220" s="1">
        <v>42552</v>
      </c>
      <c r="BN3220" s="1">
        <v>42552</v>
      </c>
      <c r="BO3220" s="1">
        <v>42552</v>
      </c>
      <c r="BP3220" s="1">
        <v>43752</v>
      </c>
      <c r="BQ3220" t="s">
        <v>51</v>
      </c>
      <c r="BS3220" t="s">
        <v>60</v>
      </c>
      <c r="BT3220" t="s">
        <v>54</v>
      </c>
      <c r="BU3220" t="s">
        <v>61</v>
      </c>
      <c r="BV3220" t="s">
        <v>62</v>
      </c>
      <c r="BX3220">
        <v>24</v>
      </c>
      <c r="BY3220">
        <v>0</v>
      </c>
      <c r="BZ3220">
        <v>0</v>
      </c>
    </row>
    <row r="3221" spans="1:78" x14ac:dyDescent="0.2">
      <c r="A3221" t="s">
        <v>367</v>
      </c>
      <c r="B3221" t="s">
        <v>368</v>
      </c>
      <c r="C3221" t="s">
        <v>369</v>
      </c>
      <c r="D3221" t="s">
        <v>1368</v>
      </c>
      <c r="F3221" t="str">
        <f>"26105"</f>
        <v>26105</v>
      </c>
      <c r="G3221" t="s">
        <v>49</v>
      </c>
      <c r="H3221" t="s">
        <v>1371</v>
      </c>
      <c r="K3221" t="s">
        <v>51</v>
      </c>
      <c r="L3221" t="s">
        <v>52</v>
      </c>
      <c r="M3221">
        <v>137945.99</v>
      </c>
      <c r="N3221">
        <v>467542.17</v>
      </c>
      <c r="O3221" t="s">
        <v>53</v>
      </c>
      <c r="P3221" t="s">
        <v>54</v>
      </c>
      <c r="Q3221" t="s">
        <v>55</v>
      </c>
      <c r="T3221" t="s">
        <v>818</v>
      </c>
      <c r="U3221">
        <v>40</v>
      </c>
      <c r="V3221" s="1">
        <v>28125</v>
      </c>
      <c r="W3221" s="1">
        <v>28125</v>
      </c>
      <c r="X3221" s="1">
        <v>28125</v>
      </c>
      <c r="Y3221" s="1">
        <v>42735</v>
      </c>
      <c r="Z3221" t="s">
        <v>51</v>
      </c>
      <c r="AB3221" t="s">
        <v>54</v>
      </c>
      <c r="AC3221">
        <v>1</v>
      </c>
      <c r="AE3221" t="s">
        <v>825</v>
      </c>
      <c r="AF3221">
        <v>20</v>
      </c>
      <c r="AG3221" s="1">
        <v>36956</v>
      </c>
      <c r="AH3221" s="1">
        <v>36956</v>
      </c>
      <c r="AI3221" s="1">
        <v>36956</v>
      </c>
      <c r="AJ3221" s="1">
        <v>44261</v>
      </c>
      <c r="AK3221" t="s">
        <v>51</v>
      </c>
      <c r="AN3221">
        <v>0</v>
      </c>
      <c r="AO3221" t="s">
        <v>54</v>
      </c>
      <c r="AP3221" t="s">
        <v>53</v>
      </c>
      <c r="AQ3221">
        <v>0</v>
      </c>
      <c r="AR3221" t="s">
        <v>53</v>
      </c>
      <c r="AS3221">
        <v>0</v>
      </c>
      <c r="AT3221">
        <v>0</v>
      </c>
      <c r="AW3221" t="s">
        <v>58</v>
      </c>
      <c r="AX3221">
        <v>20</v>
      </c>
      <c r="AY3221" s="1">
        <v>36956</v>
      </c>
      <c r="AZ3221" s="1">
        <v>36956</v>
      </c>
      <c r="BA3221" s="1">
        <v>36956</v>
      </c>
      <c r="BB3221" s="1">
        <v>44261</v>
      </c>
      <c r="BC3221" t="s">
        <v>51</v>
      </c>
      <c r="BE3221" t="s">
        <v>54</v>
      </c>
      <c r="BF3221">
        <v>2</v>
      </c>
      <c r="BG3221">
        <v>0</v>
      </c>
      <c r="BH3221" t="s">
        <v>53</v>
      </c>
      <c r="BK3221" t="s">
        <v>59</v>
      </c>
      <c r="BL3221">
        <v>14000</v>
      </c>
      <c r="BM3221" s="1">
        <v>42552</v>
      </c>
      <c r="BN3221" s="1">
        <v>42552</v>
      </c>
      <c r="BO3221" s="1">
        <v>42552</v>
      </c>
      <c r="BP3221" s="1">
        <v>43752</v>
      </c>
      <c r="BQ3221" t="s">
        <v>51</v>
      </c>
      <c r="BS3221" t="s">
        <v>60</v>
      </c>
      <c r="BT3221" t="s">
        <v>54</v>
      </c>
      <c r="BU3221" t="s">
        <v>61</v>
      </c>
      <c r="BV3221" t="s">
        <v>62</v>
      </c>
      <c r="BX3221">
        <v>24</v>
      </c>
      <c r="BY3221">
        <v>0</v>
      </c>
      <c r="BZ3221">
        <v>0</v>
      </c>
    </row>
    <row r="3222" spans="1:78" x14ac:dyDescent="0.2">
      <c r="A3222" t="s">
        <v>367</v>
      </c>
      <c r="B3222" t="s">
        <v>368</v>
      </c>
      <c r="C3222" t="s">
        <v>369</v>
      </c>
      <c r="D3222" t="s">
        <v>1368</v>
      </c>
      <c r="F3222" t="str">
        <f>"26106"</f>
        <v>26106</v>
      </c>
      <c r="G3222" t="s">
        <v>49</v>
      </c>
      <c r="H3222" t="s">
        <v>949</v>
      </c>
      <c r="K3222" t="s">
        <v>51</v>
      </c>
      <c r="L3222" t="s">
        <v>52</v>
      </c>
      <c r="M3222">
        <v>137950.48000000001</v>
      </c>
      <c r="N3222">
        <v>467556.08</v>
      </c>
      <c r="O3222" t="s">
        <v>53</v>
      </c>
      <c r="P3222" t="s">
        <v>54</v>
      </c>
      <c r="Q3222" t="s">
        <v>55</v>
      </c>
      <c r="T3222" t="s">
        <v>818</v>
      </c>
      <c r="U3222">
        <v>40</v>
      </c>
      <c r="V3222" s="1">
        <v>28125</v>
      </c>
      <c r="W3222" s="1">
        <v>28125</v>
      </c>
      <c r="X3222" s="1">
        <v>28125</v>
      </c>
      <c r="Y3222" s="1">
        <v>42735</v>
      </c>
      <c r="Z3222" t="s">
        <v>51</v>
      </c>
      <c r="AB3222" t="s">
        <v>54</v>
      </c>
      <c r="AC3222">
        <v>1</v>
      </c>
      <c r="AE3222" t="s">
        <v>825</v>
      </c>
      <c r="AF3222">
        <v>20</v>
      </c>
      <c r="AG3222" s="1">
        <v>40812</v>
      </c>
      <c r="AH3222" s="1">
        <v>40812</v>
      </c>
      <c r="AI3222" s="1">
        <v>40812</v>
      </c>
      <c r="AJ3222" s="1">
        <v>48117</v>
      </c>
      <c r="AK3222" t="s">
        <v>51</v>
      </c>
      <c r="AN3222">
        <v>0</v>
      </c>
      <c r="AO3222" t="s">
        <v>54</v>
      </c>
      <c r="AP3222" t="s">
        <v>53</v>
      </c>
      <c r="AQ3222">
        <v>0</v>
      </c>
      <c r="AR3222" t="s">
        <v>53</v>
      </c>
      <c r="AS3222">
        <v>0</v>
      </c>
      <c r="AT3222">
        <v>0</v>
      </c>
      <c r="AW3222" t="s">
        <v>58</v>
      </c>
      <c r="AX3222">
        <v>20</v>
      </c>
      <c r="AY3222" s="1">
        <v>40812</v>
      </c>
      <c r="AZ3222" s="1">
        <v>40812</v>
      </c>
      <c r="BA3222" s="1">
        <v>40812</v>
      </c>
      <c r="BB3222" s="1">
        <v>48117</v>
      </c>
      <c r="BC3222" t="s">
        <v>51</v>
      </c>
      <c r="BE3222" t="s">
        <v>54</v>
      </c>
      <c r="BF3222">
        <v>2</v>
      </c>
      <c r="BG3222">
        <v>0</v>
      </c>
      <c r="BH3222" t="s">
        <v>53</v>
      </c>
      <c r="BK3222" t="s">
        <v>59</v>
      </c>
      <c r="BL3222">
        <v>14000</v>
      </c>
      <c r="BM3222" s="1">
        <v>42552</v>
      </c>
      <c r="BN3222" s="1">
        <v>42552</v>
      </c>
      <c r="BO3222" s="1">
        <v>42552</v>
      </c>
      <c r="BP3222" s="1">
        <v>43752</v>
      </c>
      <c r="BQ3222" t="s">
        <v>51</v>
      </c>
      <c r="BS3222" t="s">
        <v>60</v>
      </c>
      <c r="BT3222" t="s">
        <v>54</v>
      </c>
      <c r="BU3222" t="s">
        <v>61</v>
      </c>
      <c r="BV3222" t="s">
        <v>62</v>
      </c>
      <c r="BX3222">
        <v>24</v>
      </c>
      <c r="BY3222">
        <v>0</v>
      </c>
      <c r="BZ3222">
        <v>0</v>
      </c>
    </row>
    <row r="3223" spans="1:78" x14ac:dyDescent="0.2">
      <c r="A3223" t="s">
        <v>367</v>
      </c>
      <c r="B3223" t="s">
        <v>368</v>
      </c>
      <c r="C3223" t="s">
        <v>369</v>
      </c>
      <c r="D3223" t="s">
        <v>1368</v>
      </c>
      <c r="F3223" t="str">
        <f>"26107"</f>
        <v>26107</v>
      </c>
      <c r="G3223" t="s">
        <v>49</v>
      </c>
      <c r="H3223" t="s">
        <v>1372</v>
      </c>
      <c r="K3223" t="s">
        <v>51</v>
      </c>
      <c r="L3223" t="s">
        <v>52</v>
      </c>
      <c r="M3223">
        <v>137959.72</v>
      </c>
      <c r="N3223">
        <v>467567</v>
      </c>
      <c r="O3223" t="s">
        <v>53</v>
      </c>
      <c r="P3223" t="s">
        <v>54</v>
      </c>
      <c r="Q3223" t="s">
        <v>55</v>
      </c>
      <c r="T3223" t="s">
        <v>818</v>
      </c>
      <c r="U3223">
        <v>40</v>
      </c>
      <c r="V3223" s="1">
        <v>39906</v>
      </c>
      <c r="W3223" s="1">
        <v>39906</v>
      </c>
      <c r="X3223" s="1">
        <v>39906</v>
      </c>
      <c r="Y3223" s="1">
        <v>54516</v>
      </c>
      <c r="Z3223" t="s">
        <v>51</v>
      </c>
      <c r="AB3223" t="s">
        <v>54</v>
      </c>
      <c r="AC3223">
        <v>1</v>
      </c>
      <c r="AE3223" t="s">
        <v>825</v>
      </c>
      <c r="AF3223">
        <v>20</v>
      </c>
      <c r="AG3223" s="1">
        <v>39906</v>
      </c>
      <c r="AH3223" s="1">
        <v>39906</v>
      </c>
      <c r="AI3223" s="1">
        <v>39906</v>
      </c>
      <c r="AJ3223" s="1">
        <v>47211</v>
      </c>
      <c r="AK3223" t="s">
        <v>51</v>
      </c>
      <c r="AN3223">
        <v>0</v>
      </c>
      <c r="AO3223" t="s">
        <v>54</v>
      </c>
      <c r="AP3223" t="s">
        <v>53</v>
      </c>
      <c r="AQ3223">
        <v>0</v>
      </c>
      <c r="AR3223" t="s">
        <v>53</v>
      </c>
      <c r="AS3223">
        <v>0</v>
      </c>
      <c r="AT3223">
        <v>0</v>
      </c>
      <c r="AW3223" t="s">
        <v>58</v>
      </c>
      <c r="AX3223">
        <v>20</v>
      </c>
      <c r="AY3223" s="1">
        <v>39906</v>
      </c>
      <c r="AZ3223" s="1">
        <v>39906</v>
      </c>
      <c r="BA3223" s="1">
        <v>39906</v>
      </c>
      <c r="BB3223" s="1">
        <v>47211</v>
      </c>
      <c r="BC3223" t="s">
        <v>51</v>
      </c>
      <c r="BE3223" t="s">
        <v>54</v>
      </c>
      <c r="BF3223">
        <v>2</v>
      </c>
      <c r="BG3223">
        <v>0</v>
      </c>
      <c r="BH3223" t="s">
        <v>53</v>
      </c>
      <c r="BK3223" t="s">
        <v>59</v>
      </c>
      <c r="BL3223">
        <v>14000</v>
      </c>
      <c r="BM3223" s="1">
        <v>42552</v>
      </c>
      <c r="BN3223" s="1">
        <v>42552</v>
      </c>
      <c r="BO3223" s="1">
        <v>42552</v>
      </c>
      <c r="BP3223" s="1">
        <v>43752</v>
      </c>
      <c r="BQ3223" t="s">
        <v>51</v>
      </c>
      <c r="BS3223" t="s">
        <v>60</v>
      </c>
      <c r="BT3223" t="s">
        <v>54</v>
      </c>
      <c r="BU3223" t="s">
        <v>61</v>
      </c>
      <c r="BV3223" t="s">
        <v>62</v>
      </c>
      <c r="BX3223">
        <v>24</v>
      </c>
      <c r="BY3223">
        <v>0</v>
      </c>
      <c r="BZ3223">
        <v>0</v>
      </c>
    </row>
    <row r="3224" spans="1:78" x14ac:dyDescent="0.2">
      <c r="A3224" t="s">
        <v>367</v>
      </c>
      <c r="B3224" t="s">
        <v>368</v>
      </c>
      <c r="C3224" t="s">
        <v>369</v>
      </c>
      <c r="D3224" t="s">
        <v>1368</v>
      </c>
      <c r="F3224" t="str">
        <f>"26108"</f>
        <v>26108</v>
      </c>
      <c r="G3224" t="s">
        <v>49</v>
      </c>
      <c r="H3224" t="s">
        <v>1373</v>
      </c>
      <c r="K3224" t="s">
        <v>51</v>
      </c>
      <c r="L3224" t="s">
        <v>52</v>
      </c>
      <c r="M3224">
        <v>137972.59</v>
      </c>
      <c r="N3224">
        <v>467577.24</v>
      </c>
      <c r="O3224" t="s">
        <v>53</v>
      </c>
      <c r="P3224" t="s">
        <v>54</v>
      </c>
      <c r="Q3224" t="s">
        <v>55</v>
      </c>
      <c r="T3224" t="s">
        <v>818</v>
      </c>
      <c r="U3224">
        <v>40</v>
      </c>
      <c r="V3224" s="1">
        <v>28125</v>
      </c>
      <c r="W3224" s="1">
        <v>28125</v>
      </c>
      <c r="X3224" s="1">
        <v>28125</v>
      </c>
      <c r="Y3224" s="1">
        <v>42735</v>
      </c>
      <c r="Z3224" t="s">
        <v>51</v>
      </c>
      <c r="AB3224" t="s">
        <v>54</v>
      </c>
      <c r="AC3224">
        <v>1</v>
      </c>
      <c r="AE3224" t="s">
        <v>825</v>
      </c>
      <c r="AF3224">
        <v>20</v>
      </c>
      <c r="AG3224" s="1">
        <v>36929</v>
      </c>
      <c r="AH3224" s="1">
        <v>36929</v>
      </c>
      <c r="AI3224" s="1">
        <v>36929</v>
      </c>
      <c r="AJ3224" s="1">
        <v>44234</v>
      </c>
      <c r="AK3224" t="s">
        <v>51</v>
      </c>
      <c r="AN3224">
        <v>0</v>
      </c>
      <c r="AO3224" t="s">
        <v>54</v>
      </c>
      <c r="AP3224" t="s">
        <v>53</v>
      </c>
      <c r="AQ3224">
        <v>0</v>
      </c>
      <c r="AR3224" t="s">
        <v>53</v>
      </c>
      <c r="AS3224">
        <v>0</v>
      </c>
      <c r="AT3224">
        <v>0</v>
      </c>
      <c r="AW3224" t="s">
        <v>58</v>
      </c>
      <c r="AX3224">
        <v>20</v>
      </c>
      <c r="AY3224" s="1">
        <v>36929</v>
      </c>
      <c r="AZ3224" s="1">
        <v>36929</v>
      </c>
      <c r="BA3224" s="1">
        <v>36929</v>
      </c>
      <c r="BB3224" s="1">
        <v>44234</v>
      </c>
      <c r="BC3224" t="s">
        <v>51</v>
      </c>
      <c r="BE3224" t="s">
        <v>54</v>
      </c>
      <c r="BF3224">
        <v>2</v>
      </c>
      <c r="BG3224">
        <v>0</v>
      </c>
      <c r="BH3224" t="s">
        <v>53</v>
      </c>
      <c r="BK3224" t="s">
        <v>59</v>
      </c>
      <c r="BL3224">
        <v>14000</v>
      </c>
      <c r="BM3224" s="1">
        <v>42552</v>
      </c>
      <c r="BN3224" s="1">
        <v>42552</v>
      </c>
      <c r="BO3224" s="1">
        <v>42552</v>
      </c>
      <c r="BP3224" s="1">
        <v>43752</v>
      </c>
      <c r="BQ3224" t="s">
        <v>51</v>
      </c>
      <c r="BS3224" t="s">
        <v>60</v>
      </c>
      <c r="BT3224" t="s">
        <v>54</v>
      </c>
      <c r="BU3224" t="s">
        <v>61</v>
      </c>
      <c r="BV3224" t="s">
        <v>62</v>
      </c>
      <c r="BX3224">
        <v>24</v>
      </c>
      <c r="BY3224">
        <v>0</v>
      </c>
      <c r="BZ3224">
        <v>0</v>
      </c>
    </row>
    <row r="3225" spans="1:78" x14ac:dyDescent="0.2">
      <c r="A3225" t="s">
        <v>367</v>
      </c>
      <c r="B3225" t="s">
        <v>368</v>
      </c>
      <c r="C3225" t="s">
        <v>369</v>
      </c>
      <c r="D3225" t="s">
        <v>1368</v>
      </c>
      <c r="F3225" t="str">
        <f>"26109"</f>
        <v>26109</v>
      </c>
      <c r="G3225" t="s">
        <v>49</v>
      </c>
      <c r="H3225" t="s">
        <v>1319</v>
      </c>
      <c r="K3225" t="s">
        <v>51</v>
      </c>
      <c r="L3225" t="s">
        <v>52</v>
      </c>
      <c r="M3225">
        <v>137972.78</v>
      </c>
      <c r="N3225">
        <v>467594.93</v>
      </c>
      <c r="O3225" t="s">
        <v>53</v>
      </c>
      <c r="P3225" t="s">
        <v>54</v>
      </c>
      <c r="Q3225" t="s">
        <v>55</v>
      </c>
      <c r="T3225" t="s">
        <v>818</v>
      </c>
      <c r="U3225">
        <v>40</v>
      </c>
      <c r="V3225" s="1">
        <v>28125</v>
      </c>
      <c r="W3225" s="1">
        <v>28125</v>
      </c>
      <c r="X3225" s="1">
        <v>28125</v>
      </c>
      <c r="Y3225" s="1">
        <v>42735</v>
      </c>
      <c r="Z3225" t="s">
        <v>51</v>
      </c>
      <c r="AB3225" t="s">
        <v>54</v>
      </c>
      <c r="AC3225">
        <v>1</v>
      </c>
      <c r="AE3225" t="s">
        <v>825</v>
      </c>
      <c r="AF3225">
        <v>20</v>
      </c>
      <c r="AG3225" s="1">
        <v>36929</v>
      </c>
      <c r="AH3225" s="1">
        <v>36929</v>
      </c>
      <c r="AI3225" s="1">
        <v>36929</v>
      </c>
      <c r="AJ3225" s="1">
        <v>44234</v>
      </c>
      <c r="AK3225" t="s">
        <v>51</v>
      </c>
      <c r="AN3225">
        <v>0</v>
      </c>
      <c r="AO3225" t="s">
        <v>54</v>
      </c>
      <c r="AP3225" t="s">
        <v>53</v>
      </c>
      <c r="AQ3225">
        <v>0</v>
      </c>
      <c r="AR3225" t="s">
        <v>53</v>
      </c>
      <c r="AS3225">
        <v>0</v>
      </c>
      <c r="AT3225">
        <v>0</v>
      </c>
      <c r="AW3225" t="s">
        <v>58</v>
      </c>
      <c r="AX3225">
        <v>20</v>
      </c>
      <c r="AY3225" s="1">
        <v>36929</v>
      </c>
      <c r="AZ3225" s="1">
        <v>36929</v>
      </c>
      <c r="BA3225" s="1">
        <v>36929</v>
      </c>
      <c r="BB3225" s="1">
        <v>44234</v>
      </c>
      <c r="BC3225" t="s">
        <v>51</v>
      </c>
      <c r="BE3225" t="s">
        <v>54</v>
      </c>
      <c r="BF3225">
        <v>2</v>
      </c>
      <c r="BG3225">
        <v>0</v>
      </c>
      <c r="BH3225" t="s">
        <v>53</v>
      </c>
      <c r="BK3225" t="s">
        <v>59</v>
      </c>
      <c r="BL3225">
        <v>14000</v>
      </c>
      <c r="BM3225" s="1">
        <v>42552</v>
      </c>
      <c r="BN3225" s="1">
        <v>42552</v>
      </c>
      <c r="BO3225" s="1">
        <v>42552</v>
      </c>
      <c r="BP3225" s="1">
        <v>43752</v>
      </c>
      <c r="BQ3225" t="s">
        <v>51</v>
      </c>
      <c r="BS3225" t="s">
        <v>60</v>
      </c>
      <c r="BT3225" t="s">
        <v>54</v>
      </c>
      <c r="BU3225" t="s">
        <v>61</v>
      </c>
      <c r="BV3225" t="s">
        <v>62</v>
      </c>
      <c r="BX3225">
        <v>24</v>
      </c>
      <c r="BY3225">
        <v>0</v>
      </c>
      <c r="BZ3225">
        <v>0</v>
      </c>
    </row>
    <row r="3226" spans="1:78" x14ac:dyDescent="0.2">
      <c r="A3226" t="s">
        <v>367</v>
      </c>
      <c r="B3226" t="s">
        <v>368</v>
      </c>
      <c r="C3226" t="s">
        <v>369</v>
      </c>
      <c r="D3226" t="s">
        <v>1368</v>
      </c>
      <c r="F3226" t="str">
        <f>"26110"</f>
        <v>26110</v>
      </c>
      <c r="G3226" t="s">
        <v>49</v>
      </c>
      <c r="H3226" t="s">
        <v>1374</v>
      </c>
      <c r="K3226" t="s">
        <v>51</v>
      </c>
      <c r="L3226" t="s">
        <v>52</v>
      </c>
      <c r="M3226">
        <v>137981.14000000001</v>
      </c>
      <c r="N3226">
        <v>467613.76</v>
      </c>
      <c r="O3226" t="s">
        <v>53</v>
      </c>
      <c r="P3226" t="s">
        <v>54</v>
      </c>
      <c r="Q3226" t="s">
        <v>55</v>
      </c>
      <c r="T3226" t="s">
        <v>818</v>
      </c>
      <c r="U3226">
        <v>40</v>
      </c>
      <c r="V3226" s="1">
        <v>28125</v>
      </c>
      <c r="W3226" s="1">
        <v>28125</v>
      </c>
      <c r="X3226" s="1">
        <v>28125</v>
      </c>
      <c r="Y3226" s="1">
        <v>42735</v>
      </c>
      <c r="Z3226" t="s">
        <v>51</v>
      </c>
      <c r="AB3226" t="s">
        <v>54</v>
      </c>
      <c r="AC3226">
        <v>1</v>
      </c>
      <c r="AE3226" t="s">
        <v>825</v>
      </c>
      <c r="AF3226">
        <v>20</v>
      </c>
      <c r="AG3226" s="1">
        <v>36928</v>
      </c>
      <c r="AH3226" s="1">
        <v>36928</v>
      </c>
      <c r="AI3226" s="1">
        <v>36928</v>
      </c>
      <c r="AJ3226" s="1">
        <v>44233</v>
      </c>
      <c r="AK3226" t="s">
        <v>51</v>
      </c>
      <c r="AN3226">
        <v>0</v>
      </c>
      <c r="AO3226" t="s">
        <v>54</v>
      </c>
      <c r="AP3226" t="s">
        <v>53</v>
      </c>
      <c r="AQ3226">
        <v>0</v>
      </c>
      <c r="AR3226" t="s">
        <v>53</v>
      </c>
      <c r="AS3226">
        <v>0</v>
      </c>
      <c r="AT3226">
        <v>0</v>
      </c>
      <c r="AW3226" t="s">
        <v>58</v>
      </c>
      <c r="AX3226">
        <v>20</v>
      </c>
      <c r="AY3226" s="1">
        <v>36928</v>
      </c>
      <c r="AZ3226" s="1">
        <v>36928</v>
      </c>
      <c r="BA3226" s="1">
        <v>36928</v>
      </c>
      <c r="BB3226" s="1">
        <v>44233</v>
      </c>
      <c r="BC3226" t="s">
        <v>51</v>
      </c>
      <c r="BE3226" t="s">
        <v>54</v>
      </c>
      <c r="BF3226">
        <v>2</v>
      </c>
      <c r="BG3226">
        <v>0</v>
      </c>
      <c r="BH3226" t="s">
        <v>53</v>
      </c>
      <c r="BK3226" t="s">
        <v>59</v>
      </c>
      <c r="BL3226">
        <v>14000</v>
      </c>
      <c r="BM3226" s="1">
        <v>42552</v>
      </c>
      <c r="BN3226" s="1">
        <v>42552</v>
      </c>
      <c r="BO3226" s="1">
        <v>42552</v>
      </c>
      <c r="BP3226" s="1">
        <v>43752</v>
      </c>
      <c r="BQ3226" t="s">
        <v>51</v>
      </c>
      <c r="BS3226" t="s">
        <v>60</v>
      </c>
      <c r="BT3226" t="s">
        <v>54</v>
      </c>
      <c r="BU3226" t="s">
        <v>61</v>
      </c>
      <c r="BV3226" t="s">
        <v>62</v>
      </c>
      <c r="BX3226">
        <v>24</v>
      </c>
      <c r="BY3226">
        <v>0</v>
      </c>
      <c r="BZ3226">
        <v>0</v>
      </c>
    </row>
    <row r="3227" spans="1:78" x14ac:dyDescent="0.2">
      <c r="A3227" t="s">
        <v>367</v>
      </c>
      <c r="B3227" t="s">
        <v>368</v>
      </c>
      <c r="C3227" t="s">
        <v>369</v>
      </c>
      <c r="D3227" t="s">
        <v>1368</v>
      </c>
      <c r="F3227" t="str">
        <f>"26111"</f>
        <v>26111</v>
      </c>
      <c r="G3227" t="s">
        <v>49</v>
      </c>
      <c r="H3227" t="s">
        <v>1229</v>
      </c>
      <c r="K3227" t="s">
        <v>51</v>
      </c>
      <c r="L3227" t="s">
        <v>52</v>
      </c>
      <c r="M3227">
        <v>137997.79999999999</v>
      </c>
      <c r="N3227">
        <v>467611.66</v>
      </c>
      <c r="O3227" t="s">
        <v>53</v>
      </c>
      <c r="P3227" t="s">
        <v>54</v>
      </c>
      <c r="Q3227" t="s">
        <v>55</v>
      </c>
      <c r="T3227" t="s">
        <v>818</v>
      </c>
      <c r="U3227">
        <v>40</v>
      </c>
      <c r="V3227" s="1">
        <v>28125</v>
      </c>
      <c r="W3227" s="1">
        <v>28125</v>
      </c>
      <c r="X3227" s="1">
        <v>28125</v>
      </c>
      <c r="Y3227" s="1">
        <v>42735</v>
      </c>
      <c r="Z3227" t="s">
        <v>51</v>
      </c>
      <c r="AB3227" t="s">
        <v>54</v>
      </c>
      <c r="AC3227">
        <v>1</v>
      </c>
      <c r="AE3227" t="s">
        <v>825</v>
      </c>
      <c r="AF3227">
        <v>20</v>
      </c>
      <c r="AG3227" s="1">
        <v>36928</v>
      </c>
      <c r="AH3227" s="1">
        <v>36928</v>
      </c>
      <c r="AI3227" s="1">
        <v>36928</v>
      </c>
      <c r="AJ3227" s="1">
        <v>44233</v>
      </c>
      <c r="AK3227" t="s">
        <v>51</v>
      </c>
      <c r="AN3227">
        <v>0</v>
      </c>
      <c r="AO3227" t="s">
        <v>54</v>
      </c>
      <c r="AP3227" t="s">
        <v>53</v>
      </c>
      <c r="AQ3227">
        <v>0</v>
      </c>
      <c r="AR3227" t="s">
        <v>53</v>
      </c>
      <c r="AS3227">
        <v>0</v>
      </c>
      <c r="AT3227">
        <v>0</v>
      </c>
      <c r="AW3227" t="s">
        <v>58</v>
      </c>
      <c r="AX3227">
        <v>20</v>
      </c>
      <c r="AY3227" s="1">
        <v>36928</v>
      </c>
      <c r="AZ3227" s="1">
        <v>36928</v>
      </c>
      <c r="BA3227" s="1">
        <v>36928</v>
      </c>
      <c r="BB3227" s="1">
        <v>44233</v>
      </c>
      <c r="BC3227" t="s">
        <v>51</v>
      </c>
      <c r="BE3227" t="s">
        <v>54</v>
      </c>
      <c r="BF3227">
        <v>2</v>
      </c>
      <c r="BG3227">
        <v>0</v>
      </c>
      <c r="BH3227" t="s">
        <v>53</v>
      </c>
      <c r="BK3227" t="s">
        <v>59</v>
      </c>
      <c r="BL3227">
        <v>14000</v>
      </c>
      <c r="BM3227" s="1">
        <v>43865</v>
      </c>
      <c r="BN3227" s="1">
        <v>43865</v>
      </c>
      <c r="BO3227" s="1">
        <v>43865</v>
      </c>
      <c r="BP3227" s="1">
        <v>45047</v>
      </c>
      <c r="BQ3227" t="s">
        <v>51</v>
      </c>
      <c r="BS3227" t="s">
        <v>60</v>
      </c>
      <c r="BT3227" t="s">
        <v>54</v>
      </c>
      <c r="BU3227" t="s">
        <v>61</v>
      </c>
      <c r="BV3227" t="s">
        <v>62</v>
      </c>
      <c r="BX3227">
        <v>24</v>
      </c>
      <c r="BY3227">
        <v>0</v>
      </c>
      <c r="BZ3227">
        <v>0</v>
      </c>
    </row>
    <row r="3228" spans="1:78" x14ac:dyDescent="0.2">
      <c r="A3228" t="s">
        <v>367</v>
      </c>
      <c r="B3228" t="s">
        <v>368</v>
      </c>
      <c r="C3228" t="s">
        <v>369</v>
      </c>
      <c r="D3228" t="s">
        <v>1368</v>
      </c>
      <c r="F3228" t="str">
        <f>"26112"</f>
        <v>26112</v>
      </c>
      <c r="G3228" t="s">
        <v>49</v>
      </c>
      <c r="H3228" t="s">
        <v>1375</v>
      </c>
      <c r="K3228" t="s">
        <v>51</v>
      </c>
      <c r="L3228" t="s">
        <v>52</v>
      </c>
      <c r="M3228">
        <v>138015.24</v>
      </c>
      <c r="N3228">
        <v>467602.85</v>
      </c>
      <c r="O3228" t="s">
        <v>53</v>
      </c>
      <c r="P3228" t="s">
        <v>54</v>
      </c>
      <c r="Q3228" t="s">
        <v>55</v>
      </c>
      <c r="T3228" t="s">
        <v>818</v>
      </c>
      <c r="U3228">
        <v>40</v>
      </c>
      <c r="V3228" s="1">
        <v>28125</v>
      </c>
      <c r="W3228" s="1">
        <v>28125</v>
      </c>
      <c r="X3228" s="1">
        <v>28125</v>
      </c>
      <c r="Y3228" s="1">
        <v>42735</v>
      </c>
      <c r="Z3228" t="s">
        <v>51</v>
      </c>
      <c r="AB3228" t="s">
        <v>54</v>
      </c>
      <c r="AC3228">
        <v>1</v>
      </c>
      <c r="AE3228" t="s">
        <v>825</v>
      </c>
      <c r="AF3228">
        <v>20</v>
      </c>
      <c r="AG3228" s="1">
        <v>36930</v>
      </c>
      <c r="AH3228" s="1">
        <v>36930</v>
      </c>
      <c r="AI3228" s="1">
        <v>36930</v>
      </c>
      <c r="AJ3228" s="1">
        <v>44235</v>
      </c>
      <c r="AK3228" t="s">
        <v>51</v>
      </c>
      <c r="AN3228">
        <v>0</v>
      </c>
      <c r="AO3228" t="s">
        <v>54</v>
      </c>
      <c r="AP3228" t="s">
        <v>53</v>
      </c>
      <c r="AQ3228">
        <v>0</v>
      </c>
      <c r="AR3228" t="s">
        <v>53</v>
      </c>
      <c r="AS3228">
        <v>0</v>
      </c>
      <c r="AT3228">
        <v>0</v>
      </c>
      <c r="AW3228" t="s">
        <v>58</v>
      </c>
      <c r="AX3228">
        <v>20</v>
      </c>
      <c r="AY3228" s="1">
        <v>44830</v>
      </c>
      <c r="AZ3228" s="1">
        <v>44830</v>
      </c>
      <c r="BA3228" s="1">
        <v>44830</v>
      </c>
      <c r="BB3228" s="1">
        <v>52135</v>
      </c>
      <c r="BC3228" t="s">
        <v>51</v>
      </c>
      <c r="BE3228" t="s">
        <v>54</v>
      </c>
      <c r="BF3228">
        <v>2</v>
      </c>
      <c r="BG3228">
        <v>0</v>
      </c>
      <c r="BH3228" t="s">
        <v>53</v>
      </c>
      <c r="BK3228" t="s">
        <v>59</v>
      </c>
      <c r="BL3228">
        <v>14000</v>
      </c>
      <c r="BM3228" s="1">
        <v>44830</v>
      </c>
      <c r="BN3228" s="1">
        <v>44830</v>
      </c>
      <c r="BO3228" s="1">
        <v>44830</v>
      </c>
      <c r="BP3228" s="1">
        <v>45996</v>
      </c>
      <c r="BQ3228" t="s">
        <v>51</v>
      </c>
      <c r="BS3228" t="s">
        <v>60</v>
      </c>
      <c r="BT3228" t="s">
        <v>54</v>
      </c>
      <c r="BU3228" t="s">
        <v>61</v>
      </c>
      <c r="BV3228" t="s">
        <v>62</v>
      </c>
      <c r="BX3228">
        <v>24</v>
      </c>
      <c r="BY3228">
        <v>0</v>
      </c>
      <c r="BZ3228">
        <v>0</v>
      </c>
    </row>
    <row r="3229" spans="1:78" x14ac:dyDescent="0.2">
      <c r="A3229" t="s">
        <v>367</v>
      </c>
      <c r="B3229" t="s">
        <v>368</v>
      </c>
      <c r="C3229" t="s">
        <v>369</v>
      </c>
      <c r="D3229" t="s">
        <v>1368</v>
      </c>
      <c r="F3229" t="str">
        <f>"26113"</f>
        <v>26113</v>
      </c>
      <c r="G3229" t="s">
        <v>49</v>
      </c>
      <c r="H3229" t="s">
        <v>1376</v>
      </c>
      <c r="K3229" t="s">
        <v>51</v>
      </c>
      <c r="L3229" t="s">
        <v>52</v>
      </c>
      <c r="M3229">
        <v>137981.70000000001</v>
      </c>
      <c r="N3229">
        <v>467629.16</v>
      </c>
      <c r="O3229" t="s">
        <v>53</v>
      </c>
      <c r="P3229" t="s">
        <v>54</v>
      </c>
      <c r="Q3229" t="s">
        <v>55</v>
      </c>
      <c r="T3229" t="s">
        <v>818</v>
      </c>
      <c r="U3229">
        <v>40</v>
      </c>
      <c r="V3229" s="1">
        <v>28125</v>
      </c>
      <c r="W3229" s="1">
        <v>28125</v>
      </c>
      <c r="X3229" s="1">
        <v>28125</v>
      </c>
      <c r="Y3229" s="1">
        <v>42735</v>
      </c>
      <c r="Z3229" t="s">
        <v>51</v>
      </c>
      <c r="AB3229" t="s">
        <v>54</v>
      </c>
      <c r="AC3229">
        <v>1</v>
      </c>
      <c r="AE3229" t="s">
        <v>825</v>
      </c>
      <c r="AF3229">
        <v>20</v>
      </c>
      <c r="AG3229" s="1">
        <v>36929</v>
      </c>
      <c r="AH3229" s="1">
        <v>36929</v>
      </c>
      <c r="AI3229" s="1">
        <v>36929</v>
      </c>
      <c r="AJ3229" s="1">
        <v>44234</v>
      </c>
      <c r="AK3229" t="s">
        <v>51</v>
      </c>
      <c r="AN3229">
        <v>0</v>
      </c>
      <c r="AO3229" t="s">
        <v>54</v>
      </c>
      <c r="AP3229" t="s">
        <v>53</v>
      </c>
      <c r="AQ3229">
        <v>0</v>
      </c>
      <c r="AR3229" t="s">
        <v>53</v>
      </c>
      <c r="AS3229">
        <v>0</v>
      </c>
      <c r="AT3229">
        <v>0</v>
      </c>
      <c r="AW3229" t="s">
        <v>58</v>
      </c>
      <c r="AX3229">
        <v>20</v>
      </c>
      <c r="AY3229" s="1">
        <v>36929</v>
      </c>
      <c r="AZ3229" s="1">
        <v>36929</v>
      </c>
      <c r="BA3229" s="1">
        <v>36929</v>
      </c>
      <c r="BB3229" s="1">
        <v>44234</v>
      </c>
      <c r="BC3229" t="s">
        <v>51</v>
      </c>
      <c r="BE3229" t="s">
        <v>54</v>
      </c>
      <c r="BF3229">
        <v>2</v>
      </c>
      <c r="BG3229">
        <v>0</v>
      </c>
      <c r="BH3229" t="s">
        <v>53</v>
      </c>
      <c r="BK3229" t="s">
        <v>59</v>
      </c>
      <c r="BL3229">
        <v>14000</v>
      </c>
      <c r="BM3229" s="1">
        <v>42552</v>
      </c>
      <c r="BN3229" s="1">
        <v>42552</v>
      </c>
      <c r="BO3229" s="1">
        <v>42552</v>
      </c>
      <c r="BP3229" s="1">
        <v>43752</v>
      </c>
      <c r="BQ3229" t="s">
        <v>51</v>
      </c>
      <c r="BS3229" t="s">
        <v>60</v>
      </c>
      <c r="BT3229" t="s">
        <v>54</v>
      </c>
      <c r="BU3229" t="s">
        <v>61</v>
      </c>
      <c r="BV3229" t="s">
        <v>62</v>
      </c>
      <c r="BX3229">
        <v>24</v>
      </c>
      <c r="BY3229">
        <v>0</v>
      </c>
      <c r="BZ3229">
        <v>0</v>
      </c>
    </row>
    <row r="3230" spans="1:78" x14ac:dyDescent="0.2">
      <c r="A3230" t="s">
        <v>367</v>
      </c>
      <c r="B3230" t="s">
        <v>368</v>
      </c>
      <c r="C3230" t="s">
        <v>369</v>
      </c>
      <c r="D3230" t="s">
        <v>1368</v>
      </c>
      <c r="F3230" t="str">
        <f>"26114"</f>
        <v>26114</v>
      </c>
      <c r="G3230" t="s">
        <v>49</v>
      </c>
      <c r="H3230" t="s">
        <v>1377</v>
      </c>
      <c r="K3230" t="s">
        <v>51</v>
      </c>
      <c r="L3230" t="s">
        <v>52</v>
      </c>
      <c r="M3230">
        <v>137983.51999999999</v>
      </c>
      <c r="N3230">
        <v>467644.14</v>
      </c>
      <c r="O3230" t="s">
        <v>53</v>
      </c>
      <c r="P3230" t="s">
        <v>54</v>
      </c>
      <c r="Q3230" t="s">
        <v>55</v>
      </c>
      <c r="T3230" t="s">
        <v>818</v>
      </c>
      <c r="U3230">
        <v>40</v>
      </c>
      <c r="V3230" s="1">
        <v>28125</v>
      </c>
      <c r="W3230" s="1">
        <v>28125</v>
      </c>
      <c r="X3230" s="1">
        <v>28125</v>
      </c>
      <c r="Y3230" s="1">
        <v>42735</v>
      </c>
      <c r="Z3230" t="s">
        <v>51</v>
      </c>
      <c r="AB3230" t="s">
        <v>54</v>
      </c>
      <c r="AC3230">
        <v>1</v>
      </c>
      <c r="AE3230" t="s">
        <v>825</v>
      </c>
      <c r="AF3230">
        <v>20</v>
      </c>
      <c r="AG3230" s="1">
        <v>36930</v>
      </c>
      <c r="AH3230" s="1">
        <v>36930</v>
      </c>
      <c r="AI3230" s="1">
        <v>36930</v>
      </c>
      <c r="AJ3230" s="1">
        <v>44235</v>
      </c>
      <c r="AK3230" t="s">
        <v>51</v>
      </c>
      <c r="AN3230">
        <v>0</v>
      </c>
      <c r="AO3230" t="s">
        <v>54</v>
      </c>
      <c r="AP3230" t="s">
        <v>53</v>
      </c>
      <c r="AQ3230">
        <v>0</v>
      </c>
      <c r="AR3230" t="s">
        <v>53</v>
      </c>
      <c r="AS3230">
        <v>0</v>
      </c>
      <c r="AT3230">
        <v>0</v>
      </c>
      <c r="AW3230" t="s">
        <v>58</v>
      </c>
      <c r="AX3230">
        <v>20</v>
      </c>
      <c r="AY3230" s="1">
        <v>36930</v>
      </c>
      <c r="AZ3230" s="1">
        <v>36930</v>
      </c>
      <c r="BA3230" s="1">
        <v>36930</v>
      </c>
      <c r="BB3230" s="1">
        <v>44235</v>
      </c>
      <c r="BC3230" t="s">
        <v>51</v>
      </c>
      <c r="BE3230" t="s">
        <v>54</v>
      </c>
      <c r="BF3230">
        <v>2</v>
      </c>
      <c r="BG3230">
        <v>0</v>
      </c>
      <c r="BH3230" t="s">
        <v>53</v>
      </c>
      <c r="BK3230" t="s">
        <v>59</v>
      </c>
      <c r="BL3230">
        <v>14000</v>
      </c>
      <c r="BM3230" s="1">
        <v>42552</v>
      </c>
      <c r="BN3230" s="1">
        <v>42552</v>
      </c>
      <c r="BO3230" s="1">
        <v>42552</v>
      </c>
      <c r="BP3230" s="1">
        <v>43752</v>
      </c>
      <c r="BQ3230" t="s">
        <v>51</v>
      </c>
      <c r="BS3230" t="s">
        <v>60</v>
      </c>
      <c r="BT3230" t="s">
        <v>54</v>
      </c>
      <c r="BU3230" t="s">
        <v>61</v>
      </c>
      <c r="BV3230" t="s">
        <v>62</v>
      </c>
      <c r="BX3230">
        <v>24</v>
      </c>
      <c r="BY3230">
        <v>0</v>
      </c>
      <c r="BZ3230">
        <v>0</v>
      </c>
    </row>
    <row r="3231" spans="1:78" x14ac:dyDescent="0.2">
      <c r="A3231" t="s">
        <v>367</v>
      </c>
      <c r="B3231" t="s">
        <v>368</v>
      </c>
      <c r="C3231" t="s">
        <v>369</v>
      </c>
      <c r="D3231" t="s">
        <v>1368</v>
      </c>
      <c r="F3231" t="str">
        <f>"26115"</f>
        <v>26115</v>
      </c>
      <c r="G3231" t="s">
        <v>49</v>
      </c>
      <c r="H3231" t="s">
        <v>1378</v>
      </c>
      <c r="K3231" t="s">
        <v>51</v>
      </c>
      <c r="L3231" t="s">
        <v>52</v>
      </c>
      <c r="M3231">
        <v>137967.14000000001</v>
      </c>
      <c r="N3231">
        <v>467652.26</v>
      </c>
      <c r="O3231" t="s">
        <v>53</v>
      </c>
      <c r="P3231" t="s">
        <v>54</v>
      </c>
      <c r="Q3231" t="s">
        <v>55</v>
      </c>
      <c r="T3231" t="s">
        <v>818</v>
      </c>
      <c r="U3231">
        <v>40</v>
      </c>
      <c r="V3231" s="1">
        <v>28490</v>
      </c>
      <c r="W3231" s="1">
        <v>28490</v>
      </c>
      <c r="X3231" s="1">
        <v>28490</v>
      </c>
      <c r="Y3231" s="1">
        <v>43100</v>
      </c>
      <c r="Z3231" t="s">
        <v>51</v>
      </c>
      <c r="AB3231" t="s">
        <v>54</v>
      </c>
      <c r="AC3231">
        <v>1</v>
      </c>
      <c r="AE3231" t="s">
        <v>825</v>
      </c>
      <c r="AF3231">
        <v>20</v>
      </c>
      <c r="AG3231" s="1">
        <v>36942</v>
      </c>
      <c r="AH3231" s="1">
        <v>36942</v>
      </c>
      <c r="AI3231" s="1">
        <v>36942</v>
      </c>
      <c r="AJ3231" s="1">
        <v>44247</v>
      </c>
      <c r="AK3231" t="s">
        <v>51</v>
      </c>
      <c r="AN3231">
        <v>0</v>
      </c>
      <c r="AO3231" t="s">
        <v>54</v>
      </c>
      <c r="AP3231" t="s">
        <v>53</v>
      </c>
      <c r="AQ3231">
        <v>0</v>
      </c>
      <c r="AR3231" t="s">
        <v>53</v>
      </c>
      <c r="AS3231">
        <v>0</v>
      </c>
      <c r="AT3231">
        <v>0</v>
      </c>
      <c r="AW3231" t="s">
        <v>58</v>
      </c>
      <c r="AX3231">
        <v>20</v>
      </c>
      <c r="AY3231" s="1">
        <v>36942</v>
      </c>
      <c r="AZ3231" s="1">
        <v>36942</v>
      </c>
      <c r="BA3231" s="1">
        <v>36942</v>
      </c>
      <c r="BB3231" s="1">
        <v>44247</v>
      </c>
      <c r="BC3231" t="s">
        <v>51</v>
      </c>
      <c r="BE3231" t="s">
        <v>54</v>
      </c>
      <c r="BF3231">
        <v>2</v>
      </c>
      <c r="BG3231">
        <v>0</v>
      </c>
      <c r="BH3231" t="s">
        <v>53</v>
      </c>
      <c r="BK3231" t="s">
        <v>59</v>
      </c>
      <c r="BL3231">
        <v>14000</v>
      </c>
      <c r="BM3231" s="1">
        <v>44886</v>
      </c>
      <c r="BN3231" s="1">
        <v>44886</v>
      </c>
      <c r="BO3231" s="1">
        <v>44886</v>
      </c>
      <c r="BP3231" s="1">
        <v>46045</v>
      </c>
      <c r="BQ3231" t="s">
        <v>51</v>
      </c>
      <c r="BS3231" t="s">
        <v>60</v>
      </c>
      <c r="BT3231" t="s">
        <v>54</v>
      </c>
      <c r="BU3231" t="s">
        <v>61</v>
      </c>
      <c r="BV3231" t="s">
        <v>62</v>
      </c>
      <c r="BX3231">
        <v>24</v>
      </c>
      <c r="BY3231">
        <v>0</v>
      </c>
      <c r="BZ3231">
        <v>0</v>
      </c>
    </row>
    <row r="3232" spans="1:78" x14ac:dyDescent="0.2">
      <c r="A3232" t="s">
        <v>367</v>
      </c>
      <c r="B3232" t="s">
        <v>368</v>
      </c>
      <c r="C3232" t="s">
        <v>369</v>
      </c>
      <c r="D3232" t="s">
        <v>1368</v>
      </c>
      <c r="F3232" t="str">
        <f>"26116"</f>
        <v>26116</v>
      </c>
      <c r="G3232" t="s">
        <v>49</v>
      </c>
      <c r="H3232" t="s">
        <v>1379</v>
      </c>
      <c r="K3232" t="s">
        <v>51</v>
      </c>
      <c r="L3232" t="s">
        <v>52</v>
      </c>
      <c r="M3232">
        <v>137949.22</v>
      </c>
      <c r="N3232">
        <v>467649.32</v>
      </c>
      <c r="O3232" t="s">
        <v>53</v>
      </c>
      <c r="P3232" t="s">
        <v>54</v>
      </c>
      <c r="Q3232" t="s">
        <v>55</v>
      </c>
      <c r="T3232" t="s">
        <v>818</v>
      </c>
      <c r="U3232">
        <v>40</v>
      </c>
      <c r="V3232" s="1">
        <v>28125</v>
      </c>
      <c r="W3232" s="1">
        <v>28125</v>
      </c>
      <c r="X3232" s="1">
        <v>28125</v>
      </c>
      <c r="Y3232" s="1">
        <v>42735</v>
      </c>
      <c r="Z3232" t="s">
        <v>51</v>
      </c>
      <c r="AB3232" t="s">
        <v>54</v>
      </c>
      <c r="AC3232">
        <v>1</v>
      </c>
      <c r="AE3232" t="s">
        <v>825</v>
      </c>
      <c r="AF3232">
        <v>20</v>
      </c>
      <c r="AG3232" s="1">
        <v>36931</v>
      </c>
      <c r="AH3232" s="1">
        <v>36931</v>
      </c>
      <c r="AI3232" s="1">
        <v>36931</v>
      </c>
      <c r="AJ3232" s="1">
        <v>44236</v>
      </c>
      <c r="AK3232" t="s">
        <v>51</v>
      </c>
      <c r="AN3232">
        <v>0</v>
      </c>
      <c r="AO3232" t="s">
        <v>54</v>
      </c>
      <c r="AP3232" t="s">
        <v>53</v>
      </c>
      <c r="AQ3232">
        <v>0</v>
      </c>
      <c r="AR3232" t="s">
        <v>53</v>
      </c>
      <c r="AS3232">
        <v>0</v>
      </c>
      <c r="AT3232">
        <v>0</v>
      </c>
      <c r="AW3232" t="s">
        <v>58</v>
      </c>
      <c r="AX3232">
        <v>20</v>
      </c>
      <c r="AY3232" s="1">
        <v>36931</v>
      </c>
      <c r="AZ3232" s="1">
        <v>36931</v>
      </c>
      <c r="BA3232" s="1">
        <v>36931</v>
      </c>
      <c r="BB3232" s="1">
        <v>44236</v>
      </c>
      <c r="BC3232" t="s">
        <v>51</v>
      </c>
      <c r="BE3232" t="s">
        <v>54</v>
      </c>
      <c r="BF3232">
        <v>2</v>
      </c>
      <c r="BG3232">
        <v>0</v>
      </c>
      <c r="BH3232" t="s">
        <v>53</v>
      </c>
      <c r="BK3232" t="s">
        <v>59</v>
      </c>
      <c r="BL3232">
        <v>14000</v>
      </c>
      <c r="BM3232" s="1">
        <v>42552</v>
      </c>
      <c r="BN3232" s="1">
        <v>42552</v>
      </c>
      <c r="BO3232" s="1">
        <v>42552</v>
      </c>
      <c r="BP3232" s="1">
        <v>43752</v>
      </c>
      <c r="BQ3232" t="s">
        <v>51</v>
      </c>
      <c r="BS3232" t="s">
        <v>60</v>
      </c>
      <c r="BT3232" t="s">
        <v>54</v>
      </c>
      <c r="BU3232" t="s">
        <v>61</v>
      </c>
      <c r="BV3232" t="s">
        <v>62</v>
      </c>
      <c r="BX3232">
        <v>24</v>
      </c>
      <c r="BY3232">
        <v>0</v>
      </c>
      <c r="BZ3232">
        <v>0</v>
      </c>
    </row>
    <row r="3233" spans="1:78" x14ac:dyDescent="0.2">
      <c r="A3233" t="s">
        <v>367</v>
      </c>
      <c r="B3233" t="s">
        <v>368</v>
      </c>
      <c r="C3233" t="s">
        <v>369</v>
      </c>
      <c r="D3233" t="s">
        <v>1368</v>
      </c>
      <c r="F3233" t="str">
        <f>"26117"</f>
        <v>26117</v>
      </c>
      <c r="G3233" t="s">
        <v>49</v>
      </c>
      <c r="H3233" t="s">
        <v>1380</v>
      </c>
      <c r="K3233" t="s">
        <v>51</v>
      </c>
      <c r="L3233" t="s">
        <v>52</v>
      </c>
      <c r="M3233">
        <v>137926.26</v>
      </c>
      <c r="N3233">
        <v>467648.9</v>
      </c>
      <c r="O3233" t="s">
        <v>53</v>
      </c>
      <c r="P3233" t="s">
        <v>54</v>
      </c>
      <c r="Q3233" t="s">
        <v>55</v>
      </c>
      <c r="T3233" t="s">
        <v>818</v>
      </c>
      <c r="U3233">
        <v>40</v>
      </c>
      <c r="V3233" s="1">
        <v>28125</v>
      </c>
      <c r="W3233" s="1">
        <v>28125</v>
      </c>
      <c r="X3233" s="1">
        <v>28125</v>
      </c>
      <c r="Y3233" s="1">
        <v>42735</v>
      </c>
      <c r="Z3233" t="s">
        <v>51</v>
      </c>
      <c r="AB3233" t="s">
        <v>54</v>
      </c>
      <c r="AC3233">
        <v>1</v>
      </c>
      <c r="AE3233" t="s">
        <v>825</v>
      </c>
      <c r="AF3233">
        <v>20</v>
      </c>
      <c r="AG3233" s="1">
        <v>36929</v>
      </c>
      <c r="AH3233" s="1">
        <v>36929</v>
      </c>
      <c r="AI3233" s="1">
        <v>36929</v>
      </c>
      <c r="AJ3233" s="1">
        <v>44234</v>
      </c>
      <c r="AK3233" t="s">
        <v>51</v>
      </c>
      <c r="AN3233">
        <v>0</v>
      </c>
      <c r="AO3233" t="s">
        <v>54</v>
      </c>
      <c r="AP3233" t="s">
        <v>53</v>
      </c>
      <c r="AQ3233">
        <v>0</v>
      </c>
      <c r="AR3233" t="s">
        <v>53</v>
      </c>
      <c r="AS3233">
        <v>0</v>
      </c>
      <c r="AT3233">
        <v>0</v>
      </c>
      <c r="AW3233" t="s">
        <v>58</v>
      </c>
      <c r="AX3233">
        <v>20</v>
      </c>
      <c r="AY3233" s="1">
        <v>36929</v>
      </c>
      <c r="AZ3233" s="1">
        <v>36929</v>
      </c>
      <c r="BA3233" s="1">
        <v>36929</v>
      </c>
      <c r="BB3233" s="1">
        <v>44234</v>
      </c>
      <c r="BC3233" t="s">
        <v>51</v>
      </c>
      <c r="BE3233" t="s">
        <v>54</v>
      </c>
      <c r="BF3233">
        <v>2</v>
      </c>
      <c r="BG3233">
        <v>0</v>
      </c>
      <c r="BH3233" t="s">
        <v>53</v>
      </c>
      <c r="BK3233" t="s">
        <v>59</v>
      </c>
      <c r="BL3233">
        <v>14000</v>
      </c>
      <c r="BM3233" s="1">
        <v>42552</v>
      </c>
      <c r="BN3233" s="1">
        <v>42552</v>
      </c>
      <c r="BO3233" s="1">
        <v>42552</v>
      </c>
      <c r="BP3233" s="1">
        <v>43752</v>
      </c>
      <c r="BQ3233" t="s">
        <v>51</v>
      </c>
      <c r="BS3233" t="s">
        <v>60</v>
      </c>
      <c r="BT3233" t="s">
        <v>54</v>
      </c>
      <c r="BU3233" t="s">
        <v>61</v>
      </c>
      <c r="BV3233" t="s">
        <v>62</v>
      </c>
      <c r="BX3233">
        <v>24</v>
      </c>
      <c r="BY3233">
        <v>0</v>
      </c>
      <c r="BZ3233">
        <v>0</v>
      </c>
    </row>
    <row r="3234" spans="1:78" x14ac:dyDescent="0.2">
      <c r="A3234" t="s">
        <v>367</v>
      </c>
      <c r="B3234" t="s">
        <v>368</v>
      </c>
      <c r="C3234" t="s">
        <v>369</v>
      </c>
      <c r="D3234" t="s">
        <v>1368</v>
      </c>
      <c r="F3234" t="str">
        <f>"26118"</f>
        <v>26118</v>
      </c>
      <c r="G3234" t="s">
        <v>49</v>
      </c>
      <c r="H3234" t="s">
        <v>1381</v>
      </c>
      <c r="K3234" t="s">
        <v>51</v>
      </c>
      <c r="L3234" t="s">
        <v>52</v>
      </c>
      <c r="M3234">
        <v>137915.9</v>
      </c>
      <c r="N3234">
        <v>467656.6</v>
      </c>
      <c r="O3234" t="s">
        <v>53</v>
      </c>
      <c r="P3234" t="s">
        <v>54</v>
      </c>
      <c r="Q3234" t="s">
        <v>55</v>
      </c>
      <c r="T3234" t="s">
        <v>818</v>
      </c>
      <c r="U3234">
        <v>40</v>
      </c>
      <c r="V3234" s="1">
        <v>28125</v>
      </c>
      <c r="W3234" s="1">
        <v>28125</v>
      </c>
      <c r="X3234" s="1">
        <v>28125</v>
      </c>
      <c r="Y3234" s="1">
        <v>42735</v>
      </c>
      <c r="Z3234" t="s">
        <v>51</v>
      </c>
      <c r="AB3234" t="s">
        <v>54</v>
      </c>
      <c r="AC3234">
        <v>1</v>
      </c>
      <c r="AE3234" t="s">
        <v>825</v>
      </c>
      <c r="AF3234">
        <v>20</v>
      </c>
      <c r="AG3234" s="1">
        <v>36931</v>
      </c>
      <c r="AH3234" s="1">
        <v>36931</v>
      </c>
      <c r="AI3234" s="1">
        <v>36931</v>
      </c>
      <c r="AJ3234" s="1">
        <v>44236</v>
      </c>
      <c r="AK3234" t="s">
        <v>51</v>
      </c>
      <c r="AN3234">
        <v>0</v>
      </c>
      <c r="AO3234" t="s">
        <v>54</v>
      </c>
      <c r="AP3234" t="s">
        <v>53</v>
      </c>
      <c r="AQ3234">
        <v>0</v>
      </c>
      <c r="AR3234" t="s">
        <v>53</v>
      </c>
      <c r="AS3234">
        <v>0</v>
      </c>
      <c r="AT3234">
        <v>0</v>
      </c>
      <c r="AW3234" t="s">
        <v>58</v>
      </c>
      <c r="AX3234">
        <v>20</v>
      </c>
      <c r="AY3234" s="1">
        <v>36931</v>
      </c>
      <c r="AZ3234" s="1">
        <v>36931</v>
      </c>
      <c r="BA3234" s="1">
        <v>36931</v>
      </c>
      <c r="BB3234" s="1">
        <v>44236</v>
      </c>
      <c r="BC3234" t="s">
        <v>51</v>
      </c>
      <c r="BE3234" t="s">
        <v>54</v>
      </c>
      <c r="BF3234">
        <v>2</v>
      </c>
      <c r="BG3234">
        <v>0</v>
      </c>
      <c r="BH3234" t="s">
        <v>53</v>
      </c>
      <c r="BK3234" t="s">
        <v>59</v>
      </c>
      <c r="BL3234">
        <v>14000</v>
      </c>
      <c r="BM3234" s="1">
        <v>42552</v>
      </c>
      <c r="BN3234" s="1">
        <v>42552</v>
      </c>
      <c r="BO3234" s="1">
        <v>42552</v>
      </c>
      <c r="BP3234" s="1">
        <v>43752</v>
      </c>
      <c r="BQ3234" t="s">
        <v>51</v>
      </c>
      <c r="BS3234" t="s">
        <v>60</v>
      </c>
      <c r="BT3234" t="s">
        <v>54</v>
      </c>
      <c r="BU3234" t="s">
        <v>61</v>
      </c>
      <c r="BV3234" t="s">
        <v>62</v>
      </c>
      <c r="BX3234">
        <v>24</v>
      </c>
      <c r="BY3234">
        <v>0</v>
      </c>
      <c r="BZ3234">
        <v>0</v>
      </c>
    </row>
    <row r="3235" spans="1:78" x14ac:dyDescent="0.2">
      <c r="A3235" t="s">
        <v>367</v>
      </c>
      <c r="B3235" t="s">
        <v>368</v>
      </c>
      <c r="C3235" t="s">
        <v>369</v>
      </c>
      <c r="D3235" t="s">
        <v>1368</v>
      </c>
      <c r="F3235" t="str">
        <f>"26119"</f>
        <v>26119</v>
      </c>
      <c r="G3235" t="s">
        <v>49</v>
      </c>
      <c r="H3235" t="s">
        <v>1382</v>
      </c>
      <c r="K3235" t="s">
        <v>51</v>
      </c>
      <c r="L3235" t="s">
        <v>52</v>
      </c>
      <c r="M3235">
        <v>137989.12</v>
      </c>
      <c r="N3235">
        <v>467657.72</v>
      </c>
      <c r="O3235" t="s">
        <v>53</v>
      </c>
      <c r="P3235" t="s">
        <v>54</v>
      </c>
      <c r="Q3235" t="s">
        <v>55</v>
      </c>
      <c r="T3235" t="s">
        <v>818</v>
      </c>
      <c r="U3235">
        <v>40</v>
      </c>
      <c r="V3235" s="1">
        <v>28125</v>
      </c>
      <c r="W3235" s="1">
        <v>28125</v>
      </c>
      <c r="X3235" s="1">
        <v>28125</v>
      </c>
      <c r="Y3235" s="1">
        <v>42735</v>
      </c>
      <c r="Z3235" t="s">
        <v>51</v>
      </c>
      <c r="AB3235" t="s">
        <v>54</v>
      </c>
      <c r="AC3235">
        <v>1</v>
      </c>
      <c r="AE3235" t="s">
        <v>825</v>
      </c>
      <c r="AF3235">
        <v>20</v>
      </c>
      <c r="AG3235" s="1">
        <v>36930</v>
      </c>
      <c r="AH3235" s="1">
        <v>36930</v>
      </c>
      <c r="AI3235" s="1">
        <v>36930</v>
      </c>
      <c r="AJ3235" s="1">
        <v>44235</v>
      </c>
      <c r="AK3235" t="s">
        <v>51</v>
      </c>
      <c r="AN3235">
        <v>0</v>
      </c>
      <c r="AO3235" t="s">
        <v>54</v>
      </c>
      <c r="AP3235" t="s">
        <v>53</v>
      </c>
      <c r="AQ3235">
        <v>0</v>
      </c>
      <c r="AR3235" t="s">
        <v>53</v>
      </c>
      <c r="AS3235">
        <v>0</v>
      </c>
      <c r="AT3235">
        <v>0</v>
      </c>
      <c r="AW3235" t="s">
        <v>58</v>
      </c>
      <c r="AX3235">
        <v>20</v>
      </c>
      <c r="AY3235" s="1">
        <v>36930</v>
      </c>
      <c r="AZ3235" s="1">
        <v>36930</v>
      </c>
      <c r="BA3235" s="1">
        <v>36930</v>
      </c>
      <c r="BB3235" s="1">
        <v>44235</v>
      </c>
      <c r="BC3235" t="s">
        <v>51</v>
      </c>
      <c r="BE3235" t="s">
        <v>54</v>
      </c>
      <c r="BF3235">
        <v>2</v>
      </c>
      <c r="BG3235">
        <v>0</v>
      </c>
      <c r="BH3235" t="s">
        <v>53</v>
      </c>
      <c r="BK3235" t="s">
        <v>59</v>
      </c>
      <c r="BL3235">
        <v>14000</v>
      </c>
      <c r="BM3235" s="1">
        <v>42552</v>
      </c>
      <c r="BN3235" s="1">
        <v>42552</v>
      </c>
      <c r="BO3235" s="1">
        <v>42552</v>
      </c>
      <c r="BP3235" s="1">
        <v>43752</v>
      </c>
      <c r="BQ3235" t="s">
        <v>51</v>
      </c>
      <c r="BS3235" t="s">
        <v>60</v>
      </c>
      <c r="BT3235" t="s">
        <v>54</v>
      </c>
      <c r="BU3235" t="s">
        <v>61</v>
      </c>
      <c r="BV3235" t="s">
        <v>62</v>
      </c>
      <c r="BX3235">
        <v>24</v>
      </c>
      <c r="BY3235">
        <v>0</v>
      </c>
      <c r="BZ3235">
        <v>0</v>
      </c>
    </row>
    <row r="3236" spans="1:78" x14ac:dyDescent="0.2">
      <c r="A3236" t="s">
        <v>367</v>
      </c>
      <c r="B3236" t="s">
        <v>368</v>
      </c>
      <c r="C3236" t="s">
        <v>369</v>
      </c>
      <c r="D3236" t="s">
        <v>1368</v>
      </c>
      <c r="F3236" t="str">
        <f>"26120"</f>
        <v>26120</v>
      </c>
      <c r="G3236" t="s">
        <v>49</v>
      </c>
      <c r="H3236" t="s">
        <v>852</v>
      </c>
      <c r="K3236" t="s">
        <v>51</v>
      </c>
      <c r="L3236" t="s">
        <v>52</v>
      </c>
      <c r="M3236">
        <v>137985.54</v>
      </c>
      <c r="N3236">
        <v>467675.23</v>
      </c>
      <c r="O3236" t="s">
        <v>53</v>
      </c>
      <c r="P3236" t="s">
        <v>54</v>
      </c>
      <c r="Q3236" t="s">
        <v>55</v>
      </c>
      <c r="T3236" t="s">
        <v>818</v>
      </c>
      <c r="U3236">
        <v>40</v>
      </c>
      <c r="V3236" s="1">
        <v>28125</v>
      </c>
      <c r="W3236" s="1">
        <v>28125</v>
      </c>
      <c r="X3236" s="1">
        <v>28125</v>
      </c>
      <c r="Y3236" s="1">
        <v>42735</v>
      </c>
      <c r="Z3236" t="s">
        <v>51</v>
      </c>
      <c r="AB3236" t="s">
        <v>54</v>
      </c>
      <c r="AC3236">
        <v>1</v>
      </c>
      <c r="AE3236" t="s">
        <v>825</v>
      </c>
      <c r="AF3236">
        <v>20</v>
      </c>
      <c r="AG3236" s="1">
        <v>36931</v>
      </c>
      <c r="AH3236" s="1">
        <v>36931</v>
      </c>
      <c r="AI3236" s="1">
        <v>36931</v>
      </c>
      <c r="AJ3236" s="1">
        <v>44236</v>
      </c>
      <c r="AK3236" t="s">
        <v>51</v>
      </c>
      <c r="AN3236">
        <v>0</v>
      </c>
      <c r="AO3236" t="s">
        <v>54</v>
      </c>
      <c r="AP3236" t="s">
        <v>53</v>
      </c>
      <c r="AQ3236">
        <v>0</v>
      </c>
      <c r="AR3236" t="s">
        <v>53</v>
      </c>
      <c r="AS3236">
        <v>0</v>
      </c>
      <c r="AT3236">
        <v>0</v>
      </c>
      <c r="AW3236" t="s">
        <v>58</v>
      </c>
      <c r="AX3236">
        <v>20</v>
      </c>
      <c r="AY3236" s="1">
        <v>44886</v>
      </c>
      <c r="AZ3236" s="1">
        <v>44886</v>
      </c>
      <c r="BA3236" s="1">
        <v>44886</v>
      </c>
      <c r="BB3236" s="1">
        <v>52191</v>
      </c>
      <c r="BC3236" t="s">
        <v>51</v>
      </c>
      <c r="BE3236" t="s">
        <v>54</v>
      </c>
      <c r="BF3236">
        <v>2</v>
      </c>
      <c r="BG3236">
        <v>0</v>
      </c>
      <c r="BH3236" t="s">
        <v>53</v>
      </c>
      <c r="BK3236" t="s">
        <v>59</v>
      </c>
      <c r="BL3236">
        <v>14000</v>
      </c>
      <c r="BM3236" s="1">
        <v>44886</v>
      </c>
      <c r="BN3236" s="1">
        <v>44886</v>
      </c>
      <c r="BO3236" s="1">
        <v>44886</v>
      </c>
      <c r="BP3236" s="1">
        <v>46045</v>
      </c>
      <c r="BQ3236" t="s">
        <v>51</v>
      </c>
      <c r="BS3236" t="s">
        <v>60</v>
      </c>
      <c r="BT3236" t="s">
        <v>54</v>
      </c>
      <c r="BU3236" t="s">
        <v>61</v>
      </c>
      <c r="BV3236" t="s">
        <v>62</v>
      </c>
      <c r="BX3236">
        <v>24</v>
      </c>
      <c r="BY3236">
        <v>0</v>
      </c>
      <c r="BZ3236">
        <v>0</v>
      </c>
    </row>
    <row r="3237" spans="1:78" x14ac:dyDescent="0.2">
      <c r="A3237" t="s">
        <v>367</v>
      </c>
      <c r="B3237" t="s">
        <v>368</v>
      </c>
      <c r="C3237" t="s">
        <v>369</v>
      </c>
      <c r="D3237" t="s">
        <v>1368</v>
      </c>
      <c r="F3237" t="str">
        <f>"26121"</f>
        <v>26121</v>
      </c>
      <c r="G3237" t="s">
        <v>49</v>
      </c>
      <c r="H3237" t="s">
        <v>1223</v>
      </c>
      <c r="K3237" t="s">
        <v>51</v>
      </c>
      <c r="L3237" t="s">
        <v>52</v>
      </c>
      <c r="M3237">
        <v>138001.85999999999</v>
      </c>
      <c r="N3237">
        <v>467687.4</v>
      </c>
      <c r="O3237" t="s">
        <v>53</v>
      </c>
      <c r="P3237" t="s">
        <v>54</v>
      </c>
      <c r="Q3237" t="s">
        <v>55</v>
      </c>
      <c r="T3237" t="s">
        <v>818</v>
      </c>
      <c r="U3237">
        <v>40</v>
      </c>
      <c r="V3237" s="1">
        <v>28125</v>
      </c>
      <c r="W3237" s="1">
        <v>28125</v>
      </c>
      <c r="X3237" s="1">
        <v>28125</v>
      </c>
      <c r="Y3237" s="1">
        <v>42735</v>
      </c>
      <c r="Z3237" t="s">
        <v>51</v>
      </c>
      <c r="AB3237" t="s">
        <v>54</v>
      </c>
      <c r="AC3237">
        <v>1</v>
      </c>
      <c r="AE3237" t="s">
        <v>827</v>
      </c>
      <c r="AF3237">
        <v>20</v>
      </c>
      <c r="AG3237" s="1">
        <v>31777</v>
      </c>
      <c r="AH3237" s="1">
        <v>31777</v>
      </c>
      <c r="AI3237" s="1">
        <v>31777</v>
      </c>
      <c r="AJ3237" s="1">
        <v>39082</v>
      </c>
      <c r="AK3237" t="s">
        <v>51</v>
      </c>
      <c r="AN3237">
        <v>0</v>
      </c>
      <c r="AO3237" t="s">
        <v>54</v>
      </c>
      <c r="AP3237" t="s">
        <v>53</v>
      </c>
      <c r="AQ3237">
        <v>0</v>
      </c>
      <c r="AR3237" t="s">
        <v>53</v>
      </c>
      <c r="AS3237">
        <v>0</v>
      </c>
      <c r="AT3237">
        <v>0</v>
      </c>
      <c r="AW3237" t="s">
        <v>58</v>
      </c>
      <c r="AX3237">
        <v>20</v>
      </c>
      <c r="AY3237" s="1">
        <v>31777</v>
      </c>
      <c r="AZ3237" s="1">
        <v>31777</v>
      </c>
      <c r="BA3237" s="1">
        <v>31777</v>
      </c>
      <c r="BB3237" s="1">
        <v>39082</v>
      </c>
      <c r="BC3237" t="s">
        <v>51</v>
      </c>
      <c r="BE3237" t="s">
        <v>54</v>
      </c>
      <c r="BF3237">
        <v>2</v>
      </c>
      <c r="BG3237">
        <v>0</v>
      </c>
      <c r="BH3237" t="s">
        <v>53</v>
      </c>
      <c r="BK3237" t="s">
        <v>720</v>
      </c>
      <c r="BL3237">
        <v>17000</v>
      </c>
      <c r="BM3237" s="1">
        <v>44851</v>
      </c>
      <c r="BN3237" s="1">
        <v>44851</v>
      </c>
      <c r="BO3237" s="1">
        <v>44851</v>
      </c>
      <c r="BP3237" s="1">
        <v>46290</v>
      </c>
      <c r="BQ3237" t="s">
        <v>51</v>
      </c>
      <c r="BS3237" t="s">
        <v>60</v>
      </c>
      <c r="BT3237" t="s">
        <v>54</v>
      </c>
      <c r="BU3237" t="s">
        <v>721</v>
      </c>
      <c r="BV3237" t="s">
        <v>722</v>
      </c>
      <c r="BX3237">
        <v>18</v>
      </c>
      <c r="BY3237">
        <v>0</v>
      </c>
      <c r="BZ3237">
        <v>0</v>
      </c>
    </row>
    <row r="3238" spans="1:78" x14ac:dyDescent="0.2">
      <c r="A3238" t="s">
        <v>367</v>
      </c>
      <c r="B3238" t="s">
        <v>368</v>
      </c>
      <c r="C3238" t="s">
        <v>369</v>
      </c>
      <c r="D3238" t="s">
        <v>1368</v>
      </c>
      <c r="F3238" t="str">
        <f>"26122"</f>
        <v>26122</v>
      </c>
      <c r="G3238" t="s">
        <v>49</v>
      </c>
      <c r="H3238" t="s">
        <v>1383</v>
      </c>
      <c r="K3238" t="s">
        <v>51</v>
      </c>
      <c r="L3238" t="s">
        <v>52</v>
      </c>
      <c r="M3238">
        <v>138021.04</v>
      </c>
      <c r="N3238">
        <v>467679</v>
      </c>
      <c r="O3238" t="s">
        <v>53</v>
      </c>
      <c r="P3238" t="s">
        <v>54</v>
      </c>
      <c r="Q3238" t="s">
        <v>55</v>
      </c>
      <c r="T3238" t="s">
        <v>818</v>
      </c>
      <c r="U3238">
        <v>40</v>
      </c>
      <c r="V3238" s="1">
        <v>28125</v>
      </c>
      <c r="W3238" s="1">
        <v>28125</v>
      </c>
      <c r="X3238" s="1">
        <v>28125</v>
      </c>
      <c r="Y3238" s="1">
        <v>42735</v>
      </c>
      <c r="Z3238" t="s">
        <v>51</v>
      </c>
      <c r="AB3238" t="s">
        <v>54</v>
      </c>
      <c r="AC3238">
        <v>1</v>
      </c>
      <c r="AE3238" t="s">
        <v>827</v>
      </c>
      <c r="AF3238">
        <v>20</v>
      </c>
      <c r="AG3238" s="1">
        <v>31777</v>
      </c>
      <c r="AH3238" s="1">
        <v>31777</v>
      </c>
      <c r="AI3238" s="1">
        <v>31777</v>
      </c>
      <c r="AJ3238" s="1">
        <v>39082</v>
      </c>
      <c r="AK3238" t="s">
        <v>51</v>
      </c>
      <c r="AN3238">
        <v>0</v>
      </c>
      <c r="AO3238" t="s">
        <v>54</v>
      </c>
      <c r="AP3238" t="s">
        <v>53</v>
      </c>
      <c r="AQ3238">
        <v>0</v>
      </c>
      <c r="AR3238" t="s">
        <v>53</v>
      </c>
      <c r="AS3238">
        <v>0</v>
      </c>
      <c r="AT3238">
        <v>0</v>
      </c>
      <c r="AW3238" t="s">
        <v>58</v>
      </c>
      <c r="AX3238">
        <v>20</v>
      </c>
      <c r="AY3238" s="1">
        <v>31777</v>
      </c>
      <c r="AZ3238" s="1">
        <v>31777</v>
      </c>
      <c r="BA3238" s="1">
        <v>31777</v>
      </c>
      <c r="BB3238" s="1">
        <v>39082</v>
      </c>
      <c r="BC3238" t="s">
        <v>51</v>
      </c>
      <c r="BE3238" t="s">
        <v>54</v>
      </c>
      <c r="BF3238">
        <v>2</v>
      </c>
      <c r="BG3238">
        <v>0</v>
      </c>
      <c r="BH3238" t="s">
        <v>53</v>
      </c>
      <c r="BK3238" t="s">
        <v>720</v>
      </c>
      <c r="BL3238">
        <v>17000</v>
      </c>
      <c r="BM3238" s="1">
        <v>44851</v>
      </c>
      <c r="BN3238" s="1">
        <v>44851</v>
      </c>
      <c r="BO3238" s="1">
        <v>44851</v>
      </c>
      <c r="BP3238" s="1">
        <v>46290</v>
      </c>
      <c r="BQ3238" t="s">
        <v>51</v>
      </c>
      <c r="BS3238" t="s">
        <v>60</v>
      </c>
      <c r="BT3238" t="s">
        <v>54</v>
      </c>
      <c r="BU3238" t="s">
        <v>721</v>
      </c>
      <c r="BV3238" t="s">
        <v>722</v>
      </c>
      <c r="BX3238">
        <v>18</v>
      </c>
      <c r="BY3238">
        <v>0</v>
      </c>
      <c r="BZ3238">
        <v>0</v>
      </c>
    </row>
    <row r="3239" spans="1:78" x14ac:dyDescent="0.2">
      <c r="A3239" t="s">
        <v>367</v>
      </c>
      <c r="B3239" t="s">
        <v>368</v>
      </c>
      <c r="C3239" t="s">
        <v>369</v>
      </c>
      <c r="D3239" t="s">
        <v>1368</v>
      </c>
      <c r="F3239" t="str">
        <f>"26123"</f>
        <v>26123</v>
      </c>
      <c r="G3239" t="s">
        <v>49</v>
      </c>
      <c r="H3239" t="s">
        <v>1228</v>
      </c>
      <c r="K3239" t="s">
        <v>51</v>
      </c>
      <c r="L3239" t="s">
        <v>52</v>
      </c>
      <c r="M3239">
        <v>138036.72</v>
      </c>
      <c r="N3239">
        <v>467672.42</v>
      </c>
      <c r="O3239" t="s">
        <v>53</v>
      </c>
      <c r="P3239" t="s">
        <v>54</v>
      </c>
      <c r="Q3239" t="s">
        <v>55</v>
      </c>
      <c r="T3239" t="s">
        <v>818</v>
      </c>
      <c r="U3239">
        <v>40</v>
      </c>
      <c r="V3239" s="1">
        <v>28125</v>
      </c>
      <c r="W3239" s="1">
        <v>28125</v>
      </c>
      <c r="X3239" s="1">
        <v>28125</v>
      </c>
      <c r="Y3239" s="1">
        <v>42735</v>
      </c>
      <c r="Z3239" t="s">
        <v>51</v>
      </c>
      <c r="AB3239" t="s">
        <v>54</v>
      </c>
      <c r="AC3239">
        <v>1</v>
      </c>
      <c r="AE3239" t="s">
        <v>827</v>
      </c>
      <c r="AF3239">
        <v>20</v>
      </c>
      <c r="AG3239" s="1">
        <v>31777</v>
      </c>
      <c r="AH3239" s="1">
        <v>31777</v>
      </c>
      <c r="AI3239" s="1">
        <v>31777</v>
      </c>
      <c r="AJ3239" s="1">
        <v>39082</v>
      </c>
      <c r="AK3239" t="s">
        <v>51</v>
      </c>
      <c r="AN3239">
        <v>0</v>
      </c>
      <c r="AO3239" t="s">
        <v>54</v>
      </c>
      <c r="AP3239" t="s">
        <v>53</v>
      </c>
      <c r="AQ3239">
        <v>0</v>
      </c>
      <c r="AR3239" t="s">
        <v>53</v>
      </c>
      <c r="AS3239">
        <v>0</v>
      </c>
      <c r="AT3239">
        <v>0</v>
      </c>
      <c r="AW3239" t="s">
        <v>58</v>
      </c>
      <c r="AX3239">
        <v>20</v>
      </c>
      <c r="AY3239" s="1">
        <v>31777</v>
      </c>
      <c r="AZ3239" s="1">
        <v>31777</v>
      </c>
      <c r="BA3239" s="1">
        <v>31777</v>
      </c>
      <c r="BB3239" s="1">
        <v>39082</v>
      </c>
      <c r="BC3239" t="s">
        <v>51</v>
      </c>
      <c r="BE3239" t="s">
        <v>54</v>
      </c>
      <c r="BF3239">
        <v>2</v>
      </c>
      <c r="BG3239">
        <v>0</v>
      </c>
      <c r="BH3239" t="s">
        <v>53</v>
      </c>
      <c r="BK3239" t="s">
        <v>720</v>
      </c>
      <c r="BL3239">
        <v>17000</v>
      </c>
      <c r="BM3239" s="1">
        <v>43753</v>
      </c>
      <c r="BN3239" s="1">
        <v>43753</v>
      </c>
      <c r="BO3239" s="1">
        <v>43753</v>
      </c>
      <c r="BP3239" s="1">
        <v>45191</v>
      </c>
      <c r="BQ3239" t="s">
        <v>51</v>
      </c>
      <c r="BS3239" t="s">
        <v>60</v>
      </c>
      <c r="BT3239" t="s">
        <v>54</v>
      </c>
      <c r="BU3239" t="s">
        <v>721</v>
      </c>
      <c r="BV3239" t="s">
        <v>722</v>
      </c>
      <c r="BX3239">
        <v>18</v>
      </c>
      <c r="BY3239">
        <v>0</v>
      </c>
      <c r="BZ3239">
        <v>0</v>
      </c>
    </row>
    <row r="3240" spans="1:78" x14ac:dyDescent="0.2">
      <c r="A3240" t="s">
        <v>367</v>
      </c>
      <c r="B3240" t="s">
        <v>368</v>
      </c>
      <c r="C3240" t="s">
        <v>369</v>
      </c>
      <c r="D3240" t="s">
        <v>1189</v>
      </c>
      <c r="F3240" t="str">
        <f>"254122"</f>
        <v>254122</v>
      </c>
      <c r="G3240" t="s">
        <v>49</v>
      </c>
      <c r="H3240" t="s">
        <v>1384</v>
      </c>
      <c r="K3240" t="s">
        <v>51</v>
      </c>
      <c r="L3240" t="s">
        <v>52</v>
      </c>
      <c r="M3240">
        <v>137965.07</v>
      </c>
      <c r="N3240">
        <v>467782.7</v>
      </c>
      <c r="O3240" t="s">
        <v>53</v>
      </c>
      <c r="P3240" t="s">
        <v>54</v>
      </c>
      <c r="Q3240" t="s">
        <v>55</v>
      </c>
      <c r="T3240" t="s">
        <v>1385</v>
      </c>
      <c r="U3240">
        <v>40</v>
      </c>
      <c r="V3240" s="1">
        <v>25933</v>
      </c>
      <c r="W3240" s="1">
        <v>25933</v>
      </c>
      <c r="X3240" s="1">
        <v>25933</v>
      </c>
      <c r="Y3240" s="1">
        <v>40543</v>
      </c>
      <c r="Z3240" t="s">
        <v>51</v>
      </c>
      <c r="AB3240" t="s">
        <v>54</v>
      </c>
      <c r="AC3240">
        <v>1</v>
      </c>
      <c r="AE3240" t="s">
        <v>827</v>
      </c>
      <c r="AF3240">
        <v>20</v>
      </c>
      <c r="AG3240" s="1">
        <v>43502</v>
      </c>
      <c r="AH3240" s="1">
        <v>43502</v>
      </c>
      <c r="AI3240" s="1">
        <v>43502</v>
      </c>
      <c r="AJ3240" s="1">
        <v>50807</v>
      </c>
      <c r="AK3240" t="s">
        <v>51</v>
      </c>
      <c r="AN3240">
        <v>0</v>
      </c>
      <c r="AO3240" t="s">
        <v>54</v>
      </c>
      <c r="AP3240" t="s">
        <v>53</v>
      </c>
      <c r="AQ3240">
        <v>0</v>
      </c>
      <c r="AR3240" t="s">
        <v>53</v>
      </c>
      <c r="AS3240">
        <v>0</v>
      </c>
      <c r="AT3240">
        <v>0</v>
      </c>
      <c r="BK3240" t="s">
        <v>720</v>
      </c>
      <c r="BL3240">
        <v>17000</v>
      </c>
      <c r="BM3240" s="1">
        <v>43502</v>
      </c>
      <c r="BN3240" s="1">
        <v>43502</v>
      </c>
      <c r="BO3240" s="1">
        <v>43502</v>
      </c>
      <c r="BP3240" s="1">
        <v>44944</v>
      </c>
      <c r="BQ3240" t="s">
        <v>51</v>
      </c>
      <c r="BS3240" t="s">
        <v>60</v>
      </c>
      <c r="BT3240" t="s">
        <v>54</v>
      </c>
      <c r="BU3240" t="s">
        <v>721</v>
      </c>
      <c r="BV3240" t="s">
        <v>722</v>
      </c>
      <c r="BX3240">
        <v>18</v>
      </c>
      <c r="BY3240">
        <v>0</v>
      </c>
      <c r="BZ3240">
        <v>0</v>
      </c>
    </row>
    <row r="3241" spans="1:78" x14ac:dyDescent="0.2">
      <c r="A3241" t="s">
        <v>367</v>
      </c>
      <c r="B3241" t="s">
        <v>368</v>
      </c>
      <c r="C3241" t="s">
        <v>369</v>
      </c>
      <c r="D3241" t="s">
        <v>1189</v>
      </c>
      <c r="F3241" t="str">
        <f>"26125"</f>
        <v>26125</v>
      </c>
      <c r="G3241" t="s">
        <v>49</v>
      </c>
      <c r="H3241" t="s">
        <v>1386</v>
      </c>
      <c r="K3241" t="s">
        <v>51</v>
      </c>
      <c r="L3241" t="s">
        <v>52</v>
      </c>
      <c r="M3241">
        <v>137939.45000000001</v>
      </c>
      <c r="N3241">
        <v>467788.02</v>
      </c>
      <c r="O3241" t="s">
        <v>53</v>
      </c>
      <c r="P3241" t="s">
        <v>54</v>
      </c>
      <c r="Q3241" t="s">
        <v>55</v>
      </c>
      <c r="T3241" t="s">
        <v>1385</v>
      </c>
      <c r="U3241">
        <v>40</v>
      </c>
      <c r="V3241" s="1">
        <v>25933</v>
      </c>
      <c r="W3241" s="1">
        <v>25933</v>
      </c>
      <c r="X3241" s="1">
        <v>25933</v>
      </c>
      <c r="Y3241" s="1">
        <v>40543</v>
      </c>
      <c r="Z3241" t="s">
        <v>51</v>
      </c>
      <c r="AB3241" t="s">
        <v>54</v>
      </c>
      <c r="AC3241">
        <v>1</v>
      </c>
      <c r="AE3241" t="s">
        <v>827</v>
      </c>
      <c r="AF3241">
        <v>20</v>
      </c>
      <c r="AG3241" s="1">
        <v>31777</v>
      </c>
      <c r="AH3241" s="1">
        <v>31777</v>
      </c>
      <c r="AI3241" s="1">
        <v>31777</v>
      </c>
      <c r="AJ3241" s="1">
        <v>39082</v>
      </c>
      <c r="AK3241" t="s">
        <v>51</v>
      </c>
      <c r="AN3241">
        <v>0</v>
      </c>
      <c r="AO3241" t="s">
        <v>54</v>
      </c>
      <c r="AP3241" t="s">
        <v>53</v>
      </c>
      <c r="AQ3241">
        <v>0</v>
      </c>
      <c r="AR3241" t="s">
        <v>53</v>
      </c>
      <c r="AS3241">
        <v>0</v>
      </c>
      <c r="AT3241">
        <v>0</v>
      </c>
      <c r="AW3241" t="s">
        <v>58</v>
      </c>
      <c r="AX3241">
        <v>20</v>
      </c>
      <c r="AY3241" s="1">
        <v>31777</v>
      </c>
      <c r="AZ3241" s="1">
        <v>31777</v>
      </c>
      <c r="BA3241" s="1">
        <v>31777</v>
      </c>
      <c r="BB3241" s="1">
        <v>39082</v>
      </c>
      <c r="BC3241" t="s">
        <v>51</v>
      </c>
      <c r="BE3241" t="s">
        <v>54</v>
      </c>
      <c r="BF3241">
        <v>2</v>
      </c>
      <c r="BG3241">
        <v>0</v>
      </c>
      <c r="BH3241" t="s">
        <v>53</v>
      </c>
      <c r="BK3241" t="s">
        <v>720</v>
      </c>
      <c r="BL3241">
        <v>17000</v>
      </c>
      <c r="BM3241" s="1">
        <v>43613</v>
      </c>
      <c r="BN3241" s="1">
        <v>43613</v>
      </c>
      <c r="BO3241" s="1">
        <v>43613</v>
      </c>
      <c r="BP3241" s="1">
        <v>45039</v>
      </c>
      <c r="BQ3241" t="s">
        <v>51</v>
      </c>
      <c r="BS3241" t="s">
        <v>60</v>
      </c>
      <c r="BT3241" t="s">
        <v>54</v>
      </c>
      <c r="BU3241" t="s">
        <v>721</v>
      </c>
      <c r="BV3241" t="s">
        <v>722</v>
      </c>
      <c r="BX3241">
        <v>18</v>
      </c>
      <c r="BY3241">
        <v>0</v>
      </c>
      <c r="BZ3241">
        <v>0</v>
      </c>
    </row>
    <row r="3242" spans="1:78" x14ac:dyDescent="0.2">
      <c r="A3242" t="s">
        <v>367</v>
      </c>
      <c r="B3242" t="s">
        <v>368</v>
      </c>
      <c r="C3242" t="s">
        <v>369</v>
      </c>
      <c r="D3242" t="s">
        <v>1200</v>
      </c>
      <c r="F3242" t="str">
        <f>"26126"</f>
        <v>26126</v>
      </c>
      <c r="G3242" t="s">
        <v>49</v>
      </c>
      <c r="H3242" t="s">
        <v>1387</v>
      </c>
      <c r="K3242" t="s">
        <v>51</v>
      </c>
      <c r="L3242" t="s">
        <v>52</v>
      </c>
      <c r="M3242">
        <v>138010.43</v>
      </c>
      <c r="N3242">
        <v>467772.9</v>
      </c>
      <c r="O3242" t="s">
        <v>53</v>
      </c>
      <c r="P3242" t="s">
        <v>54</v>
      </c>
      <c r="Q3242" t="s">
        <v>55</v>
      </c>
      <c r="T3242" t="s">
        <v>1385</v>
      </c>
      <c r="U3242">
        <v>40</v>
      </c>
      <c r="V3242" s="1">
        <v>25568</v>
      </c>
      <c r="W3242" s="1">
        <v>25568</v>
      </c>
      <c r="X3242" s="1">
        <v>25568</v>
      </c>
      <c r="Y3242" s="1">
        <v>40178</v>
      </c>
      <c r="Z3242" t="s">
        <v>51</v>
      </c>
      <c r="AB3242" t="s">
        <v>54</v>
      </c>
      <c r="AC3242">
        <v>1</v>
      </c>
      <c r="AE3242" t="s">
        <v>827</v>
      </c>
      <c r="AF3242">
        <v>20</v>
      </c>
      <c r="AG3242" s="1">
        <v>31777</v>
      </c>
      <c r="AH3242" s="1">
        <v>31777</v>
      </c>
      <c r="AI3242" s="1">
        <v>31777</v>
      </c>
      <c r="AJ3242" s="1">
        <v>39082</v>
      </c>
      <c r="AK3242" t="s">
        <v>51</v>
      </c>
      <c r="AN3242">
        <v>0</v>
      </c>
      <c r="AO3242" t="s">
        <v>54</v>
      </c>
      <c r="AP3242" t="s">
        <v>53</v>
      </c>
      <c r="AQ3242">
        <v>0</v>
      </c>
      <c r="AR3242" t="s">
        <v>53</v>
      </c>
      <c r="AS3242">
        <v>0</v>
      </c>
      <c r="AT3242">
        <v>0</v>
      </c>
      <c r="AW3242" t="s">
        <v>58</v>
      </c>
      <c r="AX3242">
        <v>20</v>
      </c>
      <c r="AY3242" s="1">
        <v>31777</v>
      </c>
      <c r="AZ3242" s="1">
        <v>31777</v>
      </c>
      <c r="BA3242" s="1">
        <v>31777</v>
      </c>
      <c r="BB3242" s="1">
        <v>39082</v>
      </c>
      <c r="BC3242" t="s">
        <v>51</v>
      </c>
      <c r="BE3242" t="s">
        <v>54</v>
      </c>
      <c r="BF3242">
        <v>2</v>
      </c>
      <c r="BG3242">
        <v>0</v>
      </c>
      <c r="BH3242" t="s">
        <v>53</v>
      </c>
      <c r="BK3242" t="s">
        <v>720</v>
      </c>
      <c r="BL3242">
        <v>17000</v>
      </c>
      <c r="BM3242" s="1">
        <v>44620</v>
      </c>
      <c r="BN3242" s="1">
        <v>44620</v>
      </c>
      <c r="BO3242" s="1">
        <v>44620</v>
      </c>
      <c r="BP3242" s="1">
        <v>46061</v>
      </c>
      <c r="BQ3242" t="s">
        <v>51</v>
      </c>
      <c r="BS3242" t="s">
        <v>60</v>
      </c>
      <c r="BT3242" t="s">
        <v>54</v>
      </c>
      <c r="BU3242" t="s">
        <v>721</v>
      </c>
      <c r="BV3242" t="s">
        <v>722</v>
      </c>
      <c r="BX3242">
        <v>18</v>
      </c>
      <c r="BY3242">
        <v>0</v>
      </c>
      <c r="BZ3242">
        <v>0</v>
      </c>
    </row>
    <row r="3243" spans="1:78" x14ac:dyDescent="0.2">
      <c r="A3243" t="s">
        <v>367</v>
      </c>
      <c r="B3243" t="s">
        <v>368</v>
      </c>
      <c r="C3243" t="s">
        <v>369</v>
      </c>
      <c r="D3243" t="s">
        <v>1200</v>
      </c>
      <c r="F3243" t="str">
        <f>"26127"</f>
        <v>26127</v>
      </c>
      <c r="G3243" t="s">
        <v>49</v>
      </c>
      <c r="H3243" t="s">
        <v>1337</v>
      </c>
      <c r="K3243" t="s">
        <v>51</v>
      </c>
      <c r="L3243" t="s">
        <v>52</v>
      </c>
      <c r="M3243">
        <v>138036.19</v>
      </c>
      <c r="N3243">
        <v>467767.72</v>
      </c>
      <c r="O3243" t="s">
        <v>53</v>
      </c>
      <c r="P3243" t="s">
        <v>54</v>
      </c>
      <c r="Q3243" t="s">
        <v>55</v>
      </c>
      <c r="T3243" t="s">
        <v>1385</v>
      </c>
      <c r="U3243">
        <v>40</v>
      </c>
      <c r="V3243" s="1">
        <v>25568</v>
      </c>
      <c r="W3243" s="1">
        <v>25568</v>
      </c>
      <c r="X3243" s="1">
        <v>25568</v>
      </c>
      <c r="Y3243" s="1">
        <v>40178</v>
      </c>
      <c r="Z3243" t="s">
        <v>51</v>
      </c>
      <c r="AB3243" t="s">
        <v>54</v>
      </c>
      <c r="AC3243">
        <v>1</v>
      </c>
      <c r="AE3243" t="s">
        <v>827</v>
      </c>
      <c r="AF3243">
        <v>20</v>
      </c>
      <c r="AG3243" s="1">
        <v>31777</v>
      </c>
      <c r="AH3243" s="1">
        <v>31777</v>
      </c>
      <c r="AI3243" s="1">
        <v>31777</v>
      </c>
      <c r="AJ3243" s="1">
        <v>39082</v>
      </c>
      <c r="AK3243" t="s">
        <v>51</v>
      </c>
      <c r="AN3243">
        <v>0</v>
      </c>
      <c r="AO3243" t="s">
        <v>54</v>
      </c>
      <c r="AP3243" t="s">
        <v>53</v>
      </c>
      <c r="AQ3243">
        <v>0</v>
      </c>
      <c r="AR3243" t="s">
        <v>53</v>
      </c>
      <c r="AS3243">
        <v>0</v>
      </c>
      <c r="AT3243">
        <v>0</v>
      </c>
      <c r="AW3243" t="s">
        <v>58</v>
      </c>
      <c r="AX3243">
        <v>20</v>
      </c>
      <c r="AY3243" s="1">
        <v>31777</v>
      </c>
      <c r="AZ3243" s="1">
        <v>31777</v>
      </c>
      <c r="BA3243" s="1">
        <v>31777</v>
      </c>
      <c r="BB3243" s="1">
        <v>39082</v>
      </c>
      <c r="BC3243" t="s">
        <v>51</v>
      </c>
      <c r="BE3243" t="s">
        <v>54</v>
      </c>
      <c r="BF3243">
        <v>2</v>
      </c>
      <c r="BG3243">
        <v>0</v>
      </c>
      <c r="BH3243" t="s">
        <v>53</v>
      </c>
      <c r="BK3243" t="s">
        <v>720</v>
      </c>
      <c r="BL3243">
        <v>17000</v>
      </c>
      <c r="BM3243" s="1">
        <v>42552</v>
      </c>
      <c r="BN3243" s="1">
        <v>42552</v>
      </c>
      <c r="BO3243" s="1">
        <v>42552</v>
      </c>
      <c r="BP3243" s="1">
        <v>43974</v>
      </c>
      <c r="BQ3243" t="s">
        <v>51</v>
      </c>
      <c r="BS3243" t="s">
        <v>60</v>
      </c>
      <c r="BT3243" t="s">
        <v>54</v>
      </c>
      <c r="BU3243" t="s">
        <v>721</v>
      </c>
      <c r="BV3243" t="s">
        <v>722</v>
      </c>
      <c r="BX3243">
        <v>18</v>
      </c>
      <c r="BY3243">
        <v>0</v>
      </c>
      <c r="BZ3243">
        <v>0</v>
      </c>
    </row>
    <row r="3244" spans="1:78" x14ac:dyDescent="0.2">
      <c r="A3244" t="s">
        <v>367</v>
      </c>
      <c r="B3244" t="s">
        <v>368</v>
      </c>
      <c r="C3244" t="s">
        <v>369</v>
      </c>
      <c r="D3244" t="s">
        <v>1200</v>
      </c>
      <c r="F3244" t="str">
        <f>"26128"</f>
        <v>26128</v>
      </c>
      <c r="G3244" t="s">
        <v>49</v>
      </c>
      <c r="H3244" t="s">
        <v>1231</v>
      </c>
      <c r="K3244" t="s">
        <v>51</v>
      </c>
      <c r="L3244" t="s">
        <v>52</v>
      </c>
      <c r="M3244">
        <v>138063.35</v>
      </c>
      <c r="N3244">
        <v>467762.12</v>
      </c>
      <c r="O3244" t="s">
        <v>53</v>
      </c>
      <c r="P3244" t="s">
        <v>54</v>
      </c>
      <c r="Q3244" t="s">
        <v>55</v>
      </c>
      <c r="T3244" t="s">
        <v>1385</v>
      </c>
      <c r="U3244">
        <v>40</v>
      </c>
      <c r="V3244" s="1">
        <v>25568</v>
      </c>
      <c r="W3244" s="1">
        <v>25568</v>
      </c>
      <c r="X3244" s="1">
        <v>25568</v>
      </c>
      <c r="Y3244" s="1">
        <v>40178</v>
      </c>
      <c r="Z3244" t="s">
        <v>51</v>
      </c>
      <c r="AB3244" t="s">
        <v>54</v>
      </c>
      <c r="AC3244">
        <v>1</v>
      </c>
      <c r="AE3244" t="s">
        <v>827</v>
      </c>
      <c r="AF3244">
        <v>20</v>
      </c>
      <c r="AG3244" s="1">
        <v>31777</v>
      </c>
      <c r="AH3244" s="1">
        <v>31777</v>
      </c>
      <c r="AI3244" s="1">
        <v>31777</v>
      </c>
      <c r="AJ3244" s="1">
        <v>39082</v>
      </c>
      <c r="AK3244" t="s">
        <v>51</v>
      </c>
      <c r="AN3244">
        <v>0</v>
      </c>
      <c r="AO3244" t="s">
        <v>54</v>
      </c>
      <c r="AP3244" t="s">
        <v>53</v>
      </c>
      <c r="AQ3244">
        <v>0</v>
      </c>
      <c r="AR3244" t="s">
        <v>53</v>
      </c>
      <c r="AS3244">
        <v>0</v>
      </c>
      <c r="AT3244">
        <v>0</v>
      </c>
      <c r="AW3244" t="s">
        <v>58</v>
      </c>
      <c r="AX3244">
        <v>20</v>
      </c>
      <c r="AY3244" s="1">
        <v>31777</v>
      </c>
      <c r="AZ3244" s="1">
        <v>31777</v>
      </c>
      <c r="BA3244" s="1">
        <v>31777</v>
      </c>
      <c r="BB3244" s="1">
        <v>39082</v>
      </c>
      <c r="BC3244" t="s">
        <v>51</v>
      </c>
      <c r="BE3244" t="s">
        <v>54</v>
      </c>
      <c r="BF3244">
        <v>2</v>
      </c>
      <c r="BG3244">
        <v>0</v>
      </c>
      <c r="BH3244" t="s">
        <v>53</v>
      </c>
      <c r="BK3244" t="s">
        <v>720</v>
      </c>
      <c r="BL3244">
        <v>17000</v>
      </c>
      <c r="BM3244" s="1">
        <v>43899</v>
      </c>
      <c r="BN3244" s="1">
        <v>43899</v>
      </c>
      <c r="BO3244" s="1">
        <v>43899</v>
      </c>
      <c r="BP3244" s="1">
        <v>45339</v>
      </c>
      <c r="BQ3244" t="s">
        <v>51</v>
      </c>
      <c r="BS3244" t="s">
        <v>60</v>
      </c>
      <c r="BT3244" t="s">
        <v>54</v>
      </c>
      <c r="BU3244" t="s">
        <v>721</v>
      </c>
      <c r="BV3244" t="s">
        <v>722</v>
      </c>
      <c r="BX3244">
        <v>18</v>
      </c>
      <c r="BY3244">
        <v>0</v>
      </c>
      <c r="BZ3244">
        <v>0</v>
      </c>
    </row>
    <row r="3245" spans="1:78" x14ac:dyDescent="0.2">
      <c r="A3245" t="s">
        <v>367</v>
      </c>
      <c r="B3245" t="s">
        <v>368</v>
      </c>
      <c r="C3245" t="s">
        <v>369</v>
      </c>
      <c r="D3245" t="s">
        <v>1200</v>
      </c>
      <c r="F3245" t="str">
        <f>"26129"</f>
        <v>26129</v>
      </c>
      <c r="G3245" t="s">
        <v>49</v>
      </c>
      <c r="H3245" t="s">
        <v>1320</v>
      </c>
      <c r="K3245" t="s">
        <v>51</v>
      </c>
      <c r="L3245" t="s">
        <v>52</v>
      </c>
      <c r="M3245">
        <v>138089.85</v>
      </c>
      <c r="N3245">
        <v>467757.04</v>
      </c>
      <c r="O3245" t="s">
        <v>53</v>
      </c>
      <c r="P3245" t="s">
        <v>54</v>
      </c>
      <c r="Q3245" t="s">
        <v>55</v>
      </c>
      <c r="T3245" t="s">
        <v>1385</v>
      </c>
      <c r="U3245">
        <v>40</v>
      </c>
      <c r="V3245" s="1">
        <v>25568</v>
      </c>
      <c r="W3245" s="1">
        <v>25568</v>
      </c>
      <c r="X3245" s="1">
        <v>25568</v>
      </c>
      <c r="Y3245" s="1">
        <v>40178</v>
      </c>
      <c r="Z3245" t="s">
        <v>51</v>
      </c>
      <c r="AB3245" t="s">
        <v>54</v>
      </c>
      <c r="AC3245">
        <v>1</v>
      </c>
      <c r="AE3245" t="s">
        <v>827</v>
      </c>
      <c r="AF3245">
        <v>20</v>
      </c>
      <c r="AG3245" s="1">
        <v>31777</v>
      </c>
      <c r="AH3245" s="1">
        <v>31777</v>
      </c>
      <c r="AI3245" s="1">
        <v>31777</v>
      </c>
      <c r="AJ3245" s="1">
        <v>39082</v>
      </c>
      <c r="AK3245" t="s">
        <v>51</v>
      </c>
      <c r="AN3245">
        <v>0</v>
      </c>
      <c r="AO3245" t="s">
        <v>54</v>
      </c>
      <c r="AP3245" t="s">
        <v>53</v>
      </c>
      <c r="AQ3245">
        <v>0</v>
      </c>
      <c r="AR3245" t="s">
        <v>53</v>
      </c>
      <c r="AS3245">
        <v>0</v>
      </c>
      <c r="AT3245">
        <v>0</v>
      </c>
      <c r="AW3245" t="s">
        <v>58</v>
      </c>
      <c r="AX3245">
        <v>20</v>
      </c>
      <c r="AY3245" s="1">
        <v>31777</v>
      </c>
      <c r="AZ3245" s="1">
        <v>31777</v>
      </c>
      <c r="BA3245" s="1">
        <v>31777</v>
      </c>
      <c r="BB3245" s="1">
        <v>39082</v>
      </c>
      <c r="BC3245" t="s">
        <v>51</v>
      </c>
      <c r="BE3245" t="s">
        <v>54</v>
      </c>
      <c r="BF3245">
        <v>2</v>
      </c>
      <c r="BG3245">
        <v>0</v>
      </c>
      <c r="BH3245" t="s">
        <v>53</v>
      </c>
      <c r="BK3245" t="s">
        <v>720</v>
      </c>
      <c r="BL3245">
        <v>17000</v>
      </c>
      <c r="BM3245" s="1">
        <v>44341</v>
      </c>
      <c r="BN3245" s="1">
        <v>44341</v>
      </c>
      <c r="BO3245" s="1">
        <v>44341</v>
      </c>
      <c r="BP3245" s="1">
        <v>45768</v>
      </c>
      <c r="BQ3245" t="s">
        <v>51</v>
      </c>
      <c r="BS3245" t="s">
        <v>60</v>
      </c>
      <c r="BT3245" t="s">
        <v>54</v>
      </c>
      <c r="BU3245" t="s">
        <v>721</v>
      </c>
      <c r="BV3245" t="s">
        <v>722</v>
      </c>
      <c r="BX3245">
        <v>18</v>
      </c>
      <c r="BY3245">
        <v>0</v>
      </c>
      <c r="BZ3245">
        <v>0</v>
      </c>
    </row>
    <row r="3246" spans="1:78" x14ac:dyDescent="0.2">
      <c r="A3246" t="s">
        <v>367</v>
      </c>
      <c r="B3246" t="s">
        <v>368</v>
      </c>
      <c r="C3246" t="s">
        <v>369</v>
      </c>
      <c r="D3246" t="s">
        <v>1200</v>
      </c>
      <c r="F3246" t="str">
        <f>"26130"</f>
        <v>26130</v>
      </c>
      <c r="G3246" t="s">
        <v>49</v>
      </c>
      <c r="H3246" t="s">
        <v>1388</v>
      </c>
      <c r="K3246" t="s">
        <v>51</v>
      </c>
      <c r="L3246" t="s">
        <v>52</v>
      </c>
      <c r="M3246">
        <v>138115.47</v>
      </c>
      <c r="N3246">
        <v>467751.72</v>
      </c>
      <c r="O3246" t="s">
        <v>53</v>
      </c>
      <c r="P3246" t="s">
        <v>54</v>
      </c>
      <c r="Q3246" t="s">
        <v>55</v>
      </c>
      <c r="T3246" t="s">
        <v>1385</v>
      </c>
      <c r="U3246">
        <v>40</v>
      </c>
      <c r="V3246" s="1">
        <v>25568</v>
      </c>
      <c r="W3246" s="1">
        <v>25568</v>
      </c>
      <c r="X3246" s="1">
        <v>25568</v>
      </c>
      <c r="Y3246" s="1">
        <v>40178</v>
      </c>
      <c r="Z3246" t="s">
        <v>51</v>
      </c>
      <c r="AB3246" t="s">
        <v>54</v>
      </c>
      <c r="AC3246">
        <v>1</v>
      </c>
      <c r="AE3246" t="s">
        <v>827</v>
      </c>
      <c r="AF3246">
        <v>20</v>
      </c>
      <c r="AG3246" s="1">
        <v>31777</v>
      </c>
      <c r="AH3246" s="1">
        <v>31777</v>
      </c>
      <c r="AI3246" s="1">
        <v>31777</v>
      </c>
      <c r="AJ3246" s="1">
        <v>39082</v>
      </c>
      <c r="AK3246" t="s">
        <v>51</v>
      </c>
      <c r="AN3246">
        <v>0</v>
      </c>
      <c r="AO3246" t="s">
        <v>54</v>
      </c>
      <c r="AP3246" t="s">
        <v>53</v>
      </c>
      <c r="AQ3246">
        <v>0</v>
      </c>
      <c r="AR3246" t="s">
        <v>53</v>
      </c>
      <c r="AS3246">
        <v>0</v>
      </c>
      <c r="AT3246">
        <v>0</v>
      </c>
      <c r="AW3246" t="s">
        <v>58</v>
      </c>
      <c r="AX3246">
        <v>20</v>
      </c>
      <c r="AY3246" s="1">
        <v>31777</v>
      </c>
      <c r="AZ3246" s="1">
        <v>31777</v>
      </c>
      <c r="BA3246" s="1">
        <v>31777</v>
      </c>
      <c r="BB3246" s="1">
        <v>39082</v>
      </c>
      <c r="BC3246" t="s">
        <v>51</v>
      </c>
      <c r="BE3246" t="s">
        <v>54</v>
      </c>
      <c r="BF3246">
        <v>2</v>
      </c>
      <c r="BG3246">
        <v>0</v>
      </c>
      <c r="BH3246" t="s">
        <v>53</v>
      </c>
      <c r="BK3246" t="s">
        <v>720</v>
      </c>
      <c r="BL3246">
        <v>17000</v>
      </c>
      <c r="BM3246" s="1">
        <v>44504</v>
      </c>
      <c r="BN3246" s="1">
        <v>44504</v>
      </c>
      <c r="BO3246" s="1">
        <v>44504</v>
      </c>
      <c r="BP3246" s="1">
        <v>45945</v>
      </c>
      <c r="BQ3246" t="s">
        <v>51</v>
      </c>
      <c r="BS3246" t="s">
        <v>60</v>
      </c>
      <c r="BT3246" t="s">
        <v>54</v>
      </c>
      <c r="BU3246" t="s">
        <v>721</v>
      </c>
      <c r="BV3246" t="s">
        <v>722</v>
      </c>
      <c r="BX3246">
        <v>18</v>
      </c>
      <c r="BY3246">
        <v>0</v>
      </c>
      <c r="BZ3246">
        <v>0</v>
      </c>
    </row>
    <row r="3247" spans="1:78" x14ac:dyDescent="0.2">
      <c r="A3247" t="s">
        <v>367</v>
      </c>
      <c r="B3247" t="s">
        <v>368</v>
      </c>
      <c r="C3247" t="s">
        <v>369</v>
      </c>
      <c r="D3247" t="s">
        <v>1200</v>
      </c>
      <c r="F3247" t="str">
        <f>"26131"</f>
        <v>26131</v>
      </c>
      <c r="G3247" t="s">
        <v>49</v>
      </c>
      <c r="H3247" t="s">
        <v>1227</v>
      </c>
      <c r="K3247" t="s">
        <v>51</v>
      </c>
      <c r="L3247" t="s">
        <v>52</v>
      </c>
      <c r="M3247">
        <v>138063.21</v>
      </c>
      <c r="N3247">
        <v>467789.7</v>
      </c>
      <c r="O3247" t="s">
        <v>53</v>
      </c>
      <c r="P3247" t="s">
        <v>54</v>
      </c>
      <c r="Q3247" t="s">
        <v>55</v>
      </c>
      <c r="T3247" t="s">
        <v>818</v>
      </c>
      <c r="U3247">
        <v>40</v>
      </c>
      <c r="V3247" s="1">
        <v>27759</v>
      </c>
      <c r="W3247" s="1">
        <v>27759</v>
      </c>
      <c r="X3247" s="1">
        <v>27759</v>
      </c>
      <c r="Y3247" s="1">
        <v>42369</v>
      </c>
      <c r="Z3247" t="s">
        <v>51</v>
      </c>
      <c r="AB3247" t="s">
        <v>54</v>
      </c>
      <c r="AC3247">
        <v>1</v>
      </c>
      <c r="AE3247" t="s">
        <v>827</v>
      </c>
      <c r="AF3247">
        <v>20</v>
      </c>
      <c r="AG3247" s="1">
        <v>31777</v>
      </c>
      <c r="AH3247" s="1">
        <v>31777</v>
      </c>
      <c r="AI3247" s="1">
        <v>31777</v>
      </c>
      <c r="AJ3247" s="1">
        <v>39082</v>
      </c>
      <c r="AK3247" t="s">
        <v>51</v>
      </c>
      <c r="AN3247">
        <v>0</v>
      </c>
      <c r="AO3247" t="s">
        <v>54</v>
      </c>
      <c r="AP3247" t="s">
        <v>53</v>
      </c>
      <c r="AQ3247">
        <v>0</v>
      </c>
      <c r="AR3247" t="s">
        <v>53</v>
      </c>
      <c r="AS3247">
        <v>0</v>
      </c>
      <c r="AT3247">
        <v>0</v>
      </c>
      <c r="AW3247" t="s">
        <v>58</v>
      </c>
      <c r="AX3247">
        <v>20</v>
      </c>
      <c r="AY3247" s="1">
        <v>31777</v>
      </c>
      <c r="AZ3247" s="1">
        <v>31777</v>
      </c>
      <c r="BA3247" s="1">
        <v>31777</v>
      </c>
      <c r="BB3247" s="1">
        <v>39082</v>
      </c>
      <c r="BC3247" t="s">
        <v>51</v>
      </c>
      <c r="BE3247" t="s">
        <v>54</v>
      </c>
      <c r="BF3247">
        <v>2</v>
      </c>
      <c r="BG3247">
        <v>0</v>
      </c>
      <c r="BH3247" t="s">
        <v>53</v>
      </c>
      <c r="BK3247" t="s">
        <v>720</v>
      </c>
      <c r="BL3247">
        <v>17000</v>
      </c>
      <c r="BM3247" s="1">
        <v>44480</v>
      </c>
      <c r="BN3247" s="1">
        <v>44480</v>
      </c>
      <c r="BO3247" s="1">
        <v>44480</v>
      </c>
      <c r="BP3247" s="1">
        <v>45917</v>
      </c>
      <c r="BQ3247" t="s">
        <v>51</v>
      </c>
      <c r="BS3247" t="s">
        <v>60</v>
      </c>
      <c r="BT3247" t="s">
        <v>54</v>
      </c>
      <c r="BU3247" t="s">
        <v>721</v>
      </c>
      <c r="BV3247" t="s">
        <v>722</v>
      </c>
      <c r="BX3247">
        <v>18</v>
      </c>
      <c r="BY3247">
        <v>0</v>
      </c>
      <c r="BZ3247">
        <v>0</v>
      </c>
    </row>
    <row r="3248" spans="1:78" x14ac:dyDescent="0.2">
      <c r="A3248" t="s">
        <v>367</v>
      </c>
      <c r="B3248" t="s">
        <v>368</v>
      </c>
      <c r="C3248" t="s">
        <v>369</v>
      </c>
      <c r="D3248" t="s">
        <v>1200</v>
      </c>
      <c r="F3248" t="str">
        <f>"26132"</f>
        <v>26132</v>
      </c>
      <c r="G3248" t="s">
        <v>49</v>
      </c>
      <c r="H3248" t="s">
        <v>1389</v>
      </c>
      <c r="K3248" t="s">
        <v>51</v>
      </c>
      <c r="L3248" t="s">
        <v>52</v>
      </c>
      <c r="M3248">
        <v>138068.32</v>
      </c>
      <c r="N3248">
        <v>467815.03</v>
      </c>
      <c r="O3248" t="s">
        <v>53</v>
      </c>
      <c r="P3248" t="s">
        <v>54</v>
      </c>
      <c r="Q3248" t="s">
        <v>55</v>
      </c>
      <c r="T3248" t="s">
        <v>183</v>
      </c>
      <c r="U3248">
        <v>40</v>
      </c>
      <c r="V3248" s="1">
        <v>25568</v>
      </c>
      <c r="W3248" s="1">
        <v>25568</v>
      </c>
      <c r="X3248" s="1">
        <v>25568</v>
      </c>
      <c r="Y3248" s="1">
        <v>40178</v>
      </c>
      <c r="Z3248" t="s">
        <v>51</v>
      </c>
      <c r="AB3248" t="s">
        <v>54</v>
      </c>
      <c r="AC3248">
        <v>1</v>
      </c>
      <c r="AE3248" t="s">
        <v>1212</v>
      </c>
      <c r="AF3248">
        <v>20</v>
      </c>
      <c r="AG3248" s="1">
        <v>35962</v>
      </c>
      <c r="AH3248" s="1">
        <v>35962</v>
      </c>
      <c r="AI3248" s="1">
        <v>35962</v>
      </c>
      <c r="AJ3248" s="1">
        <v>43267</v>
      </c>
      <c r="AK3248" t="s">
        <v>51</v>
      </c>
      <c r="AN3248">
        <v>0</v>
      </c>
      <c r="AO3248" t="s">
        <v>54</v>
      </c>
      <c r="AP3248" t="s">
        <v>53</v>
      </c>
      <c r="AQ3248">
        <v>0</v>
      </c>
      <c r="AR3248" t="s">
        <v>53</v>
      </c>
      <c r="AS3248">
        <v>0</v>
      </c>
      <c r="AT3248">
        <v>0</v>
      </c>
      <c r="AW3248" t="s">
        <v>58</v>
      </c>
      <c r="AX3248">
        <v>20</v>
      </c>
      <c r="AY3248" s="1">
        <v>35962</v>
      </c>
      <c r="AZ3248" s="1">
        <v>35962</v>
      </c>
      <c r="BA3248" s="1">
        <v>35962</v>
      </c>
      <c r="BB3248" s="1">
        <v>43267</v>
      </c>
      <c r="BC3248" t="s">
        <v>51</v>
      </c>
      <c r="BE3248" t="s">
        <v>54</v>
      </c>
      <c r="BF3248">
        <v>2</v>
      </c>
      <c r="BG3248">
        <v>0</v>
      </c>
      <c r="BH3248" t="s">
        <v>53</v>
      </c>
      <c r="BK3248" t="s">
        <v>720</v>
      </c>
      <c r="BL3248">
        <v>17000</v>
      </c>
      <c r="BM3248" s="1">
        <v>42552</v>
      </c>
      <c r="BN3248" s="1">
        <v>42552</v>
      </c>
      <c r="BO3248" s="1">
        <v>42552</v>
      </c>
      <c r="BP3248" s="1">
        <v>43974</v>
      </c>
      <c r="BQ3248" t="s">
        <v>51</v>
      </c>
      <c r="BS3248" t="s">
        <v>60</v>
      </c>
      <c r="BT3248" t="s">
        <v>54</v>
      </c>
      <c r="BU3248" t="s">
        <v>721</v>
      </c>
      <c r="BV3248" t="s">
        <v>722</v>
      </c>
      <c r="BX3248">
        <v>18</v>
      </c>
      <c r="BY3248">
        <v>0</v>
      </c>
      <c r="BZ3248">
        <v>0</v>
      </c>
    </row>
    <row r="3249" spans="1:99" x14ac:dyDescent="0.2">
      <c r="A3249" t="s">
        <v>367</v>
      </c>
      <c r="B3249" t="s">
        <v>368</v>
      </c>
      <c r="C3249" t="s">
        <v>369</v>
      </c>
      <c r="D3249" t="s">
        <v>1210</v>
      </c>
      <c r="F3249" t="str">
        <f>"26135"</f>
        <v>26135</v>
      </c>
      <c r="G3249" t="s">
        <v>49</v>
      </c>
      <c r="H3249" t="s">
        <v>1390</v>
      </c>
      <c r="K3249" t="s">
        <v>51</v>
      </c>
      <c r="L3249" t="s">
        <v>52</v>
      </c>
      <c r="M3249">
        <v>138162.42000000001</v>
      </c>
      <c r="N3249">
        <v>467919.58</v>
      </c>
      <c r="O3249" t="s">
        <v>53</v>
      </c>
      <c r="P3249" t="s">
        <v>54</v>
      </c>
      <c r="Q3249" t="s">
        <v>55</v>
      </c>
      <c r="T3249" t="s">
        <v>818</v>
      </c>
      <c r="U3249">
        <v>40</v>
      </c>
      <c r="V3249" s="1">
        <v>27759</v>
      </c>
      <c r="W3249" s="1">
        <v>27759</v>
      </c>
      <c r="X3249" s="1">
        <v>27759</v>
      </c>
      <c r="Y3249" s="1">
        <v>42369</v>
      </c>
      <c r="Z3249" t="s">
        <v>51</v>
      </c>
      <c r="AB3249" t="s">
        <v>54</v>
      </c>
      <c r="AC3249">
        <v>1</v>
      </c>
      <c r="AE3249" t="s">
        <v>827</v>
      </c>
      <c r="AF3249">
        <v>20</v>
      </c>
      <c r="AG3249" s="1">
        <v>38670</v>
      </c>
      <c r="AH3249" s="1">
        <v>38670</v>
      </c>
      <c r="AI3249" s="1">
        <v>38670</v>
      </c>
      <c r="AJ3249" s="1">
        <v>45975</v>
      </c>
      <c r="AK3249" t="s">
        <v>51</v>
      </c>
      <c r="AN3249">
        <v>0</v>
      </c>
      <c r="AO3249" t="s">
        <v>54</v>
      </c>
      <c r="AP3249" t="s">
        <v>53</v>
      </c>
      <c r="AQ3249">
        <v>0</v>
      </c>
      <c r="AR3249" t="s">
        <v>53</v>
      </c>
      <c r="AS3249">
        <v>0</v>
      </c>
      <c r="AT3249">
        <v>0</v>
      </c>
      <c r="AW3249" t="s">
        <v>58</v>
      </c>
      <c r="AX3249">
        <v>20</v>
      </c>
      <c r="AY3249" s="1">
        <v>38670</v>
      </c>
      <c r="AZ3249" s="1">
        <v>38670</v>
      </c>
      <c r="BA3249" s="1">
        <v>38670</v>
      </c>
      <c r="BB3249" s="1">
        <v>45975</v>
      </c>
      <c r="BC3249" t="s">
        <v>51</v>
      </c>
      <c r="BE3249" t="s">
        <v>54</v>
      </c>
      <c r="BF3249">
        <v>2</v>
      </c>
      <c r="BG3249">
        <v>0</v>
      </c>
      <c r="BH3249" t="s">
        <v>53</v>
      </c>
      <c r="BK3249" t="s">
        <v>720</v>
      </c>
      <c r="BL3249">
        <v>17000</v>
      </c>
      <c r="BM3249" s="1">
        <v>42552</v>
      </c>
      <c r="BN3249" s="1">
        <v>42552</v>
      </c>
      <c r="BO3249" s="1">
        <v>42552</v>
      </c>
      <c r="BP3249" s="1">
        <v>43974</v>
      </c>
      <c r="BQ3249" t="s">
        <v>51</v>
      </c>
      <c r="BS3249" t="s">
        <v>60</v>
      </c>
      <c r="BT3249" t="s">
        <v>54</v>
      </c>
      <c r="BU3249" t="s">
        <v>721</v>
      </c>
      <c r="BV3249" t="s">
        <v>722</v>
      </c>
      <c r="BX3249">
        <v>18</v>
      </c>
      <c r="BY3249">
        <v>0</v>
      </c>
      <c r="BZ3249">
        <v>0</v>
      </c>
    </row>
    <row r="3250" spans="1:99" x14ac:dyDescent="0.2">
      <c r="A3250" t="s">
        <v>367</v>
      </c>
      <c r="B3250" t="s">
        <v>368</v>
      </c>
      <c r="C3250" t="s">
        <v>369</v>
      </c>
      <c r="D3250" t="s">
        <v>1188</v>
      </c>
      <c r="F3250" t="str">
        <f>"26136"</f>
        <v>26136</v>
      </c>
      <c r="G3250" t="s">
        <v>49</v>
      </c>
      <c r="H3250" t="s">
        <v>1372</v>
      </c>
      <c r="K3250" t="s">
        <v>51</v>
      </c>
      <c r="L3250" t="s">
        <v>52</v>
      </c>
      <c r="M3250">
        <v>138095.85</v>
      </c>
      <c r="N3250">
        <v>467899.73</v>
      </c>
      <c r="O3250" t="s">
        <v>53</v>
      </c>
      <c r="P3250" t="s">
        <v>54</v>
      </c>
      <c r="Q3250" t="s">
        <v>55</v>
      </c>
      <c r="T3250" t="s">
        <v>588</v>
      </c>
      <c r="U3250">
        <v>40</v>
      </c>
      <c r="V3250" s="1">
        <v>31047</v>
      </c>
      <c r="W3250" s="1">
        <v>31047</v>
      </c>
      <c r="X3250" s="1">
        <v>31047</v>
      </c>
      <c r="Y3250" s="1">
        <v>45657</v>
      </c>
      <c r="Z3250" t="s">
        <v>51</v>
      </c>
      <c r="AB3250" t="s">
        <v>54</v>
      </c>
      <c r="AC3250">
        <v>1</v>
      </c>
      <c r="AE3250" t="s">
        <v>827</v>
      </c>
      <c r="AF3250">
        <v>20</v>
      </c>
      <c r="AG3250" s="1">
        <v>31777</v>
      </c>
      <c r="AH3250" s="1">
        <v>31777</v>
      </c>
      <c r="AI3250" s="1">
        <v>31777</v>
      </c>
      <c r="AJ3250" s="1">
        <v>39082</v>
      </c>
      <c r="AK3250" t="s">
        <v>51</v>
      </c>
      <c r="AN3250">
        <v>0</v>
      </c>
      <c r="AO3250" t="s">
        <v>54</v>
      </c>
      <c r="AP3250" t="s">
        <v>53</v>
      </c>
      <c r="AQ3250">
        <v>0</v>
      </c>
      <c r="AR3250" t="s">
        <v>53</v>
      </c>
      <c r="AS3250">
        <v>0</v>
      </c>
      <c r="AT3250">
        <v>0</v>
      </c>
      <c r="CC3250" t="s">
        <v>850</v>
      </c>
      <c r="CD3250">
        <v>1</v>
      </c>
      <c r="CE3250" s="1">
        <v>42552</v>
      </c>
      <c r="CF3250" s="1">
        <v>42552</v>
      </c>
      <c r="CG3250" s="1">
        <v>42552</v>
      </c>
      <c r="CH3250" s="1">
        <v>49714</v>
      </c>
      <c r="CI3250" t="s">
        <v>51</v>
      </c>
      <c r="CK3250" t="s">
        <v>78</v>
      </c>
      <c r="CM3250" t="s">
        <v>54</v>
      </c>
      <c r="CN3250" t="s">
        <v>174</v>
      </c>
      <c r="CO3250" t="s">
        <v>86</v>
      </c>
      <c r="CR3250">
        <v>18</v>
      </c>
      <c r="CS3250">
        <v>0</v>
      </c>
      <c r="CT3250">
        <v>0</v>
      </c>
      <c r="CU3250">
        <v>0</v>
      </c>
    </row>
    <row r="3251" spans="1:99" x14ac:dyDescent="0.2">
      <c r="A3251" t="s">
        <v>367</v>
      </c>
      <c r="B3251" t="s">
        <v>368</v>
      </c>
      <c r="C3251" t="s">
        <v>369</v>
      </c>
      <c r="D3251" t="s">
        <v>1188</v>
      </c>
      <c r="F3251" t="str">
        <f>"26137"</f>
        <v>26137</v>
      </c>
      <c r="G3251" t="s">
        <v>49</v>
      </c>
      <c r="H3251" t="s">
        <v>1319</v>
      </c>
      <c r="K3251" t="s">
        <v>51</v>
      </c>
      <c r="L3251" t="s">
        <v>52</v>
      </c>
      <c r="M3251">
        <v>138071.56</v>
      </c>
      <c r="N3251">
        <v>467893.71</v>
      </c>
      <c r="O3251" t="s">
        <v>53</v>
      </c>
      <c r="P3251" t="s">
        <v>54</v>
      </c>
      <c r="Q3251" t="s">
        <v>55</v>
      </c>
      <c r="T3251" t="s">
        <v>588</v>
      </c>
      <c r="U3251">
        <v>40</v>
      </c>
      <c r="V3251" s="1">
        <v>31047</v>
      </c>
      <c r="W3251" s="1">
        <v>31047</v>
      </c>
      <c r="X3251" s="1">
        <v>31047</v>
      </c>
      <c r="Y3251" s="1">
        <v>45657</v>
      </c>
      <c r="Z3251" t="s">
        <v>51</v>
      </c>
      <c r="AB3251" t="s">
        <v>54</v>
      </c>
      <c r="AC3251">
        <v>1</v>
      </c>
      <c r="AE3251" t="s">
        <v>827</v>
      </c>
      <c r="AF3251">
        <v>20</v>
      </c>
      <c r="AG3251" s="1">
        <v>31777</v>
      </c>
      <c r="AH3251" s="1">
        <v>31777</v>
      </c>
      <c r="AI3251" s="1">
        <v>31777</v>
      </c>
      <c r="AJ3251" s="1">
        <v>39082</v>
      </c>
      <c r="AK3251" t="s">
        <v>51</v>
      </c>
      <c r="AN3251">
        <v>0</v>
      </c>
      <c r="AO3251" t="s">
        <v>54</v>
      </c>
      <c r="AP3251" t="s">
        <v>53</v>
      </c>
      <c r="AQ3251">
        <v>0</v>
      </c>
      <c r="AR3251" t="s">
        <v>53</v>
      </c>
      <c r="AS3251">
        <v>0</v>
      </c>
      <c r="AT3251">
        <v>0</v>
      </c>
      <c r="CC3251" t="s">
        <v>850</v>
      </c>
      <c r="CD3251">
        <v>1</v>
      </c>
      <c r="CE3251" s="1">
        <v>42552</v>
      </c>
      <c r="CF3251" s="1">
        <v>42552</v>
      </c>
      <c r="CG3251" s="1">
        <v>42552</v>
      </c>
      <c r="CH3251" s="1">
        <v>42552</v>
      </c>
      <c r="CI3251" t="s">
        <v>51</v>
      </c>
      <c r="CK3251" t="s">
        <v>78</v>
      </c>
      <c r="CM3251" t="s">
        <v>54</v>
      </c>
      <c r="CN3251" t="s">
        <v>174</v>
      </c>
      <c r="CO3251" t="s">
        <v>86</v>
      </c>
      <c r="CR3251">
        <v>18</v>
      </c>
      <c r="CS3251">
        <v>0</v>
      </c>
      <c r="CT3251">
        <v>0</v>
      </c>
      <c r="CU3251">
        <v>0</v>
      </c>
    </row>
    <row r="3252" spans="1:99" x14ac:dyDescent="0.2">
      <c r="A3252" t="s">
        <v>367</v>
      </c>
      <c r="B3252" t="s">
        <v>368</v>
      </c>
      <c r="C3252" t="s">
        <v>369</v>
      </c>
      <c r="D3252" t="s">
        <v>1188</v>
      </c>
      <c r="F3252" t="str">
        <f>"26138"</f>
        <v>26138</v>
      </c>
      <c r="G3252" t="s">
        <v>49</v>
      </c>
      <c r="H3252" t="s">
        <v>1311</v>
      </c>
      <c r="K3252" t="s">
        <v>51</v>
      </c>
      <c r="L3252" t="s">
        <v>52</v>
      </c>
      <c r="M3252">
        <v>138048.9</v>
      </c>
      <c r="N3252">
        <v>467897.1</v>
      </c>
      <c r="O3252" t="s">
        <v>53</v>
      </c>
      <c r="P3252" t="s">
        <v>54</v>
      </c>
      <c r="Q3252" t="s">
        <v>55</v>
      </c>
      <c r="T3252" t="s">
        <v>588</v>
      </c>
      <c r="U3252">
        <v>40</v>
      </c>
      <c r="V3252" s="1">
        <v>31047</v>
      </c>
      <c r="W3252" s="1">
        <v>31047</v>
      </c>
      <c r="X3252" s="1">
        <v>31047</v>
      </c>
      <c r="Y3252" s="1">
        <v>45657</v>
      </c>
      <c r="Z3252" t="s">
        <v>51</v>
      </c>
      <c r="AB3252" t="s">
        <v>54</v>
      </c>
      <c r="AC3252">
        <v>1</v>
      </c>
      <c r="AE3252" t="s">
        <v>827</v>
      </c>
      <c r="AF3252">
        <v>20</v>
      </c>
      <c r="AG3252" s="1">
        <v>31777</v>
      </c>
      <c r="AH3252" s="1">
        <v>31777</v>
      </c>
      <c r="AI3252" s="1">
        <v>31777</v>
      </c>
      <c r="AJ3252" s="1">
        <v>39082</v>
      </c>
      <c r="AK3252" t="s">
        <v>51</v>
      </c>
      <c r="AN3252">
        <v>0</v>
      </c>
      <c r="AO3252" t="s">
        <v>54</v>
      </c>
      <c r="AP3252" t="s">
        <v>53</v>
      </c>
      <c r="AQ3252">
        <v>0</v>
      </c>
      <c r="AR3252" t="s">
        <v>53</v>
      </c>
      <c r="AS3252">
        <v>0</v>
      </c>
      <c r="AT3252">
        <v>0</v>
      </c>
      <c r="CC3252" t="s">
        <v>850</v>
      </c>
      <c r="CD3252">
        <v>1</v>
      </c>
      <c r="CE3252" s="1">
        <v>42552</v>
      </c>
      <c r="CF3252" s="1">
        <v>42552</v>
      </c>
      <c r="CG3252" s="1">
        <v>42552</v>
      </c>
      <c r="CH3252" s="1">
        <v>49714</v>
      </c>
      <c r="CI3252" t="s">
        <v>51</v>
      </c>
      <c r="CK3252" t="s">
        <v>78</v>
      </c>
      <c r="CM3252" t="s">
        <v>54</v>
      </c>
      <c r="CN3252" t="s">
        <v>174</v>
      </c>
      <c r="CO3252" t="s">
        <v>86</v>
      </c>
      <c r="CR3252">
        <v>18</v>
      </c>
      <c r="CS3252">
        <v>0</v>
      </c>
      <c r="CT3252">
        <v>0</v>
      </c>
      <c r="CU3252">
        <v>0</v>
      </c>
    </row>
    <row r="3253" spans="1:99" x14ac:dyDescent="0.2">
      <c r="A3253" t="s">
        <v>367</v>
      </c>
      <c r="B3253" t="s">
        <v>368</v>
      </c>
      <c r="C3253" t="s">
        <v>369</v>
      </c>
      <c r="D3253" t="s">
        <v>1188</v>
      </c>
      <c r="F3253" t="str">
        <f>"26139"</f>
        <v>26139</v>
      </c>
      <c r="G3253" t="s">
        <v>49</v>
      </c>
      <c r="H3253" t="s">
        <v>1256</v>
      </c>
      <c r="K3253" t="s">
        <v>51</v>
      </c>
      <c r="L3253" t="s">
        <v>52</v>
      </c>
      <c r="M3253">
        <v>138026.06</v>
      </c>
      <c r="N3253">
        <v>467900.75</v>
      </c>
      <c r="O3253" t="s">
        <v>53</v>
      </c>
      <c r="P3253" t="s">
        <v>54</v>
      </c>
      <c r="Q3253" t="s">
        <v>55</v>
      </c>
      <c r="T3253" t="s">
        <v>588</v>
      </c>
      <c r="U3253">
        <v>40</v>
      </c>
      <c r="V3253" s="1">
        <v>31047</v>
      </c>
      <c r="W3253" s="1">
        <v>31047</v>
      </c>
      <c r="X3253" s="1">
        <v>31047</v>
      </c>
      <c r="Y3253" s="1">
        <v>45657</v>
      </c>
      <c r="Z3253" t="s">
        <v>51</v>
      </c>
      <c r="AB3253" t="s">
        <v>54</v>
      </c>
      <c r="AC3253">
        <v>1</v>
      </c>
      <c r="AE3253" t="s">
        <v>827</v>
      </c>
      <c r="AF3253">
        <v>20</v>
      </c>
      <c r="AG3253" s="1">
        <v>31777</v>
      </c>
      <c r="AH3253" s="1">
        <v>31777</v>
      </c>
      <c r="AI3253" s="1">
        <v>31777</v>
      </c>
      <c r="AJ3253" s="1">
        <v>39082</v>
      </c>
      <c r="AK3253" t="s">
        <v>51</v>
      </c>
      <c r="AN3253">
        <v>0</v>
      </c>
      <c r="AO3253" t="s">
        <v>54</v>
      </c>
      <c r="AP3253" t="s">
        <v>53</v>
      </c>
      <c r="AQ3253">
        <v>0</v>
      </c>
      <c r="AR3253" t="s">
        <v>53</v>
      </c>
      <c r="AS3253">
        <v>0</v>
      </c>
      <c r="AT3253">
        <v>0</v>
      </c>
      <c r="CC3253" t="s">
        <v>850</v>
      </c>
      <c r="CD3253">
        <v>1</v>
      </c>
      <c r="CE3253" s="1">
        <v>42552</v>
      </c>
      <c r="CF3253" s="1">
        <v>42552</v>
      </c>
      <c r="CG3253" s="1">
        <v>42552</v>
      </c>
      <c r="CH3253" s="1">
        <v>49714</v>
      </c>
      <c r="CI3253" t="s">
        <v>51</v>
      </c>
      <c r="CK3253" t="s">
        <v>78</v>
      </c>
      <c r="CM3253" t="s">
        <v>54</v>
      </c>
      <c r="CN3253" t="s">
        <v>174</v>
      </c>
      <c r="CO3253" t="s">
        <v>86</v>
      </c>
      <c r="CR3253">
        <v>18</v>
      </c>
      <c r="CS3253">
        <v>0</v>
      </c>
      <c r="CT3253">
        <v>0</v>
      </c>
      <c r="CU3253">
        <v>0</v>
      </c>
    </row>
    <row r="3254" spans="1:99" x14ac:dyDescent="0.2">
      <c r="A3254" t="s">
        <v>367</v>
      </c>
      <c r="B3254" t="s">
        <v>368</v>
      </c>
      <c r="C3254" t="s">
        <v>369</v>
      </c>
      <c r="D3254" t="s">
        <v>1188</v>
      </c>
      <c r="F3254" t="str">
        <f>"26140"</f>
        <v>26140</v>
      </c>
      <c r="G3254" t="s">
        <v>49</v>
      </c>
      <c r="H3254" t="s">
        <v>1321</v>
      </c>
      <c r="K3254" t="s">
        <v>51</v>
      </c>
      <c r="L3254" t="s">
        <v>52</v>
      </c>
      <c r="M3254">
        <v>138002.69</v>
      </c>
      <c r="N3254">
        <v>467904.67</v>
      </c>
      <c r="O3254" t="s">
        <v>53</v>
      </c>
      <c r="P3254" t="s">
        <v>54</v>
      </c>
      <c r="Q3254" t="s">
        <v>55</v>
      </c>
      <c r="T3254" t="s">
        <v>588</v>
      </c>
      <c r="U3254">
        <v>40</v>
      </c>
      <c r="V3254" s="1">
        <v>31047</v>
      </c>
      <c r="W3254" s="1">
        <v>31047</v>
      </c>
      <c r="X3254" s="1">
        <v>31047</v>
      </c>
      <c r="Y3254" s="1">
        <v>45657</v>
      </c>
      <c r="Z3254" t="s">
        <v>51</v>
      </c>
      <c r="AB3254" t="s">
        <v>54</v>
      </c>
      <c r="AC3254">
        <v>1</v>
      </c>
      <c r="AE3254" t="s">
        <v>827</v>
      </c>
      <c r="AF3254">
        <v>20</v>
      </c>
      <c r="AG3254" s="1">
        <v>31777</v>
      </c>
      <c r="AH3254" s="1">
        <v>31777</v>
      </c>
      <c r="AI3254" s="1">
        <v>31777</v>
      </c>
      <c r="AJ3254" s="1">
        <v>39082</v>
      </c>
      <c r="AK3254" t="s">
        <v>51</v>
      </c>
      <c r="AN3254">
        <v>0</v>
      </c>
      <c r="AO3254" t="s">
        <v>54</v>
      </c>
      <c r="AP3254" t="s">
        <v>53</v>
      </c>
      <c r="AQ3254">
        <v>0</v>
      </c>
      <c r="AR3254" t="s">
        <v>53</v>
      </c>
      <c r="AS3254">
        <v>0</v>
      </c>
      <c r="AT3254">
        <v>0</v>
      </c>
      <c r="CC3254" t="s">
        <v>850</v>
      </c>
      <c r="CD3254">
        <v>1</v>
      </c>
      <c r="CE3254" s="1">
        <v>42552</v>
      </c>
      <c r="CF3254" s="1">
        <v>42552</v>
      </c>
      <c r="CG3254" s="1">
        <v>42552</v>
      </c>
      <c r="CH3254" s="1">
        <v>42552</v>
      </c>
      <c r="CI3254" t="s">
        <v>51</v>
      </c>
      <c r="CK3254" t="s">
        <v>78</v>
      </c>
      <c r="CM3254" t="s">
        <v>54</v>
      </c>
      <c r="CN3254" t="s">
        <v>174</v>
      </c>
      <c r="CO3254" t="s">
        <v>86</v>
      </c>
      <c r="CR3254">
        <v>18</v>
      </c>
      <c r="CS3254">
        <v>0</v>
      </c>
      <c r="CT3254">
        <v>0</v>
      </c>
      <c r="CU3254">
        <v>0</v>
      </c>
    </row>
    <row r="3255" spans="1:99" x14ac:dyDescent="0.2">
      <c r="A3255" t="s">
        <v>367</v>
      </c>
      <c r="B3255" t="s">
        <v>368</v>
      </c>
      <c r="C3255" t="s">
        <v>369</v>
      </c>
      <c r="D3255" t="s">
        <v>1205</v>
      </c>
      <c r="F3255" t="str">
        <f>"26143"</f>
        <v>26143</v>
      </c>
      <c r="G3255" t="s">
        <v>49</v>
      </c>
      <c r="H3255" t="s">
        <v>1235</v>
      </c>
      <c r="K3255" t="s">
        <v>51</v>
      </c>
      <c r="L3255" t="s">
        <v>52</v>
      </c>
      <c r="M3255">
        <v>138252.17000000001</v>
      </c>
      <c r="N3255">
        <v>467889.91</v>
      </c>
      <c r="O3255" t="s">
        <v>53</v>
      </c>
      <c r="P3255" t="s">
        <v>54</v>
      </c>
      <c r="Q3255" t="s">
        <v>55</v>
      </c>
      <c r="T3255" t="s">
        <v>588</v>
      </c>
      <c r="U3255">
        <v>40</v>
      </c>
      <c r="V3255" s="1">
        <v>31047</v>
      </c>
      <c r="W3255" s="1">
        <v>31047</v>
      </c>
      <c r="X3255" s="1">
        <v>31047</v>
      </c>
      <c r="Y3255" s="1">
        <v>45657</v>
      </c>
      <c r="Z3255" t="s">
        <v>51</v>
      </c>
      <c r="AB3255" t="s">
        <v>54</v>
      </c>
      <c r="AC3255">
        <v>1</v>
      </c>
      <c r="AE3255" t="s">
        <v>827</v>
      </c>
      <c r="AF3255">
        <v>20</v>
      </c>
      <c r="AG3255" s="1">
        <v>31777</v>
      </c>
      <c r="AH3255" s="1">
        <v>31777</v>
      </c>
      <c r="AI3255" s="1">
        <v>31777</v>
      </c>
      <c r="AJ3255" s="1">
        <v>39082</v>
      </c>
      <c r="AK3255" t="s">
        <v>51</v>
      </c>
      <c r="AN3255">
        <v>0</v>
      </c>
      <c r="AO3255" t="s">
        <v>54</v>
      </c>
      <c r="AP3255" t="s">
        <v>53</v>
      </c>
      <c r="AQ3255">
        <v>0</v>
      </c>
      <c r="AR3255" t="s">
        <v>53</v>
      </c>
      <c r="AS3255">
        <v>0</v>
      </c>
      <c r="AT3255">
        <v>0</v>
      </c>
      <c r="AW3255" t="s">
        <v>58</v>
      </c>
      <c r="AX3255">
        <v>20</v>
      </c>
      <c r="AY3255" s="1">
        <v>31777</v>
      </c>
      <c r="AZ3255" s="1">
        <v>31777</v>
      </c>
      <c r="BA3255" s="1">
        <v>31777</v>
      </c>
      <c r="BB3255" s="1">
        <v>39082</v>
      </c>
      <c r="BC3255" t="s">
        <v>51</v>
      </c>
      <c r="BE3255" t="s">
        <v>54</v>
      </c>
      <c r="BF3255">
        <v>2</v>
      </c>
      <c r="BG3255">
        <v>0</v>
      </c>
      <c r="BH3255" t="s">
        <v>53</v>
      </c>
      <c r="BK3255" t="s">
        <v>720</v>
      </c>
      <c r="BL3255">
        <v>17000</v>
      </c>
      <c r="BM3255" s="1">
        <v>44504</v>
      </c>
      <c r="BN3255" s="1">
        <v>44504</v>
      </c>
      <c r="BO3255" s="1">
        <v>44504</v>
      </c>
      <c r="BP3255" s="1">
        <v>45945</v>
      </c>
      <c r="BQ3255" t="s">
        <v>51</v>
      </c>
      <c r="BS3255" t="s">
        <v>60</v>
      </c>
      <c r="BT3255" t="s">
        <v>54</v>
      </c>
      <c r="BU3255" t="s">
        <v>721</v>
      </c>
      <c r="BV3255" t="s">
        <v>722</v>
      </c>
      <c r="BX3255">
        <v>18</v>
      </c>
      <c r="BY3255">
        <v>0</v>
      </c>
      <c r="BZ3255">
        <v>0</v>
      </c>
    </row>
    <row r="3256" spans="1:99" x14ac:dyDescent="0.2">
      <c r="A3256" t="s">
        <v>367</v>
      </c>
      <c r="B3256" t="s">
        <v>368</v>
      </c>
      <c r="C3256" t="s">
        <v>369</v>
      </c>
      <c r="D3256" t="s">
        <v>1205</v>
      </c>
      <c r="F3256" t="str">
        <f>"26144"</f>
        <v>26144</v>
      </c>
      <c r="G3256" t="s">
        <v>49</v>
      </c>
      <c r="H3256" t="s">
        <v>1338</v>
      </c>
      <c r="K3256" t="s">
        <v>51</v>
      </c>
      <c r="L3256" t="s">
        <v>52</v>
      </c>
      <c r="M3256">
        <v>138273.01</v>
      </c>
      <c r="N3256">
        <v>467879.84</v>
      </c>
      <c r="O3256" t="s">
        <v>53</v>
      </c>
      <c r="P3256" t="s">
        <v>54</v>
      </c>
      <c r="Q3256" t="s">
        <v>55</v>
      </c>
      <c r="T3256" t="s">
        <v>588</v>
      </c>
      <c r="U3256">
        <v>40</v>
      </c>
      <c r="V3256" s="1">
        <v>31047</v>
      </c>
      <c r="W3256" s="1">
        <v>31047</v>
      </c>
      <c r="X3256" s="1">
        <v>31047</v>
      </c>
      <c r="Y3256" s="1">
        <v>45657</v>
      </c>
      <c r="Z3256" t="s">
        <v>51</v>
      </c>
      <c r="AB3256" t="s">
        <v>54</v>
      </c>
      <c r="AC3256">
        <v>1</v>
      </c>
      <c r="AE3256" t="s">
        <v>827</v>
      </c>
      <c r="AF3256">
        <v>20</v>
      </c>
      <c r="AG3256" s="1">
        <v>31777</v>
      </c>
      <c r="AH3256" s="1">
        <v>31777</v>
      </c>
      <c r="AI3256" s="1">
        <v>31777</v>
      </c>
      <c r="AJ3256" s="1">
        <v>39082</v>
      </c>
      <c r="AK3256" t="s">
        <v>51</v>
      </c>
      <c r="AN3256">
        <v>0</v>
      </c>
      <c r="AO3256" t="s">
        <v>54</v>
      </c>
      <c r="AP3256" t="s">
        <v>53</v>
      </c>
      <c r="AQ3256">
        <v>0</v>
      </c>
      <c r="AR3256" t="s">
        <v>53</v>
      </c>
      <c r="AS3256">
        <v>0</v>
      </c>
      <c r="AT3256">
        <v>0</v>
      </c>
      <c r="AW3256" t="s">
        <v>58</v>
      </c>
      <c r="AX3256">
        <v>20</v>
      </c>
      <c r="AY3256" s="1">
        <v>31777</v>
      </c>
      <c r="AZ3256" s="1">
        <v>31777</v>
      </c>
      <c r="BA3256" s="1">
        <v>31777</v>
      </c>
      <c r="BB3256" s="1">
        <v>39082</v>
      </c>
      <c r="BC3256" t="s">
        <v>51</v>
      </c>
      <c r="BE3256" t="s">
        <v>54</v>
      </c>
      <c r="BF3256">
        <v>2</v>
      </c>
      <c r="BG3256">
        <v>0</v>
      </c>
      <c r="BH3256" t="s">
        <v>53</v>
      </c>
      <c r="BK3256" t="s">
        <v>720</v>
      </c>
      <c r="BL3256">
        <v>17000</v>
      </c>
      <c r="BM3256" s="1">
        <v>44578</v>
      </c>
      <c r="BN3256" s="1">
        <v>44578</v>
      </c>
      <c r="BO3256" s="1">
        <v>44578</v>
      </c>
      <c r="BP3256" s="1">
        <v>46020</v>
      </c>
      <c r="BQ3256" t="s">
        <v>51</v>
      </c>
      <c r="BS3256" t="s">
        <v>60</v>
      </c>
      <c r="BT3256" t="s">
        <v>54</v>
      </c>
      <c r="BU3256" t="s">
        <v>721</v>
      </c>
      <c r="BV3256" t="s">
        <v>722</v>
      </c>
      <c r="BX3256">
        <v>18</v>
      </c>
      <c r="BY3256">
        <v>0</v>
      </c>
      <c r="BZ3256">
        <v>0</v>
      </c>
    </row>
    <row r="3257" spans="1:99" x14ac:dyDescent="0.2">
      <c r="A3257" t="s">
        <v>367</v>
      </c>
      <c r="B3257" t="s">
        <v>368</v>
      </c>
      <c r="C3257" t="s">
        <v>369</v>
      </c>
      <c r="D3257" t="s">
        <v>1205</v>
      </c>
      <c r="F3257" t="str">
        <f>"26145"</f>
        <v>26145</v>
      </c>
      <c r="G3257" t="s">
        <v>49</v>
      </c>
      <c r="H3257" t="s">
        <v>1214</v>
      </c>
      <c r="K3257" t="s">
        <v>51</v>
      </c>
      <c r="L3257" t="s">
        <v>52</v>
      </c>
      <c r="M3257">
        <v>138294.31</v>
      </c>
      <c r="N3257">
        <v>467877.31</v>
      </c>
      <c r="O3257" t="s">
        <v>53</v>
      </c>
      <c r="P3257" t="s">
        <v>54</v>
      </c>
      <c r="Q3257" t="s">
        <v>55</v>
      </c>
      <c r="T3257" t="s">
        <v>588</v>
      </c>
      <c r="U3257">
        <v>40</v>
      </c>
      <c r="V3257" s="1">
        <v>31047</v>
      </c>
      <c r="W3257" s="1">
        <v>31047</v>
      </c>
      <c r="X3257" s="1">
        <v>31047</v>
      </c>
      <c r="Y3257" s="1">
        <v>45657</v>
      </c>
      <c r="Z3257" t="s">
        <v>51</v>
      </c>
      <c r="AB3257" t="s">
        <v>54</v>
      </c>
      <c r="AC3257">
        <v>1</v>
      </c>
      <c r="AE3257" t="s">
        <v>827</v>
      </c>
      <c r="AF3257">
        <v>20</v>
      </c>
      <c r="AG3257" s="1">
        <v>31777</v>
      </c>
      <c r="AH3257" s="1">
        <v>31777</v>
      </c>
      <c r="AI3257" s="1">
        <v>31777</v>
      </c>
      <c r="AJ3257" s="1">
        <v>39082</v>
      </c>
      <c r="AK3257" t="s">
        <v>51</v>
      </c>
      <c r="AN3257">
        <v>0</v>
      </c>
      <c r="AO3257" t="s">
        <v>54</v>
      </c>
      <c r="AP3257" t="s">
        <v>53</v>
      </c>
      <c r="AQ3257">
        <v>0</v>
      </c>
      <c r="AR3257" t="s">
        <v>53</v>
      </c>
      <c r="AS3257">
        <v>0</v>
      </c>
      <c r="AT3257">
        <v>0</v>
      </c>
      <c r="AW3257" t="s">
        <v>58</v>
      </c>
      <c r="AX3257">
        <v>20</v>
      </c>
      <c r="AY3257" s="1">
        <v>31777</v>
      </c>
      <c r="AZ3257" s="1">
        <v>31777</v>
      </c>
      <c r="BA3257" s="1">
        <v>31777</v>
      </c>
      <c r="BB3257" s="1">
        <v>39082</v>
      </c>
      <c r="BC3257" t="s">
        <v>51</v>
      </c>
      <c r="BE3257" t="s">
        <v>54</v>
      </c>
      <c r="BF3257">
        <v>2</v>
      </c>
      <c r="BG3257">
        <v>0</v>
      </c>
      <c r="BH3257" t="s">
        <v>53</v>
      </c>
      <c r="BK3257" t="s">
        <v>720</v>
      </c>
      <c r="BL3257">
        <v>17000</v>
      </c>
      <c r="BM3257" s="1">
        <v>43676</v>
      </c>
      <c r="BN3257" s="1">
        <v>43676</v>
      </c>
      <c r="BO3257" s="1">
        <v>43676</v>
      </c>
      <c r="BP3257" s="1">
        <v>45099</v>
      </c>
      <c r="BQ3257" t="s">
        <v>51</v>
      </c>
      <c r="BS3257" t="s">
        <v>60</v>
      </c>
      <c r="BT3257" t="s">
        <v>54</v>
      </c>
      <c r="BU3257" t="s">
        <v>721</v>
      </c>
      <c r="BV3257" t="s">
        <v>722</v>
      </c>
      <c r="BX3257">
        <v>18</v>
      </c>
      <c r="BY3257">
        <v>0</v>
      </c>
      <c r="BZ3257">
        <v>0</v>
      </c>
    </row>
    <row r="3258" spans="1:99" x14ac:dyDescent="0.2">
      <c r="A3258" t="s">
        <v>367</v>
      </c>
      <c r="B3258" t="s">
        <v>368</v>
      </c>
      <c r="C3258" t="s">
        <v>369</v>
      </c>
      <c r="D3258" t="s">
        <v>1205</v>
      </c>
      <c r="F3258" t="str">
        <f>"26146"</f>
        <v>26146</v>
      </c>
      <c r="G3258" t="s">
        <v>49</v>
      </c>
      <c r="H3258" t="s">
        <v>1376</v>
      </c>
      <c r="K3258" t="s">
        <v>51</v>
      </c>
      <c r="L3258" t="s">
        <v>52</v>
      </c>
      <c r="M3258">
        <v>138377.73000000001</v>
      </c>
      <c r="N3258">
        <v>467868.54</v>
      </c>
      <c r="O3258" t="s">
        <v>53</v>
      </c>
      <c r="P3258" t="s">
        <v>54</v>
      </c>
      <c r="Q3258" t="s">
        <v>55</v>
      </c>
      <c r="T3258" t="s">
        <v>588</v>
      </c>
      <c r="U3258">
        <v>40</v>
      </c>
      <c r="V3258" s="1">
        <v>31047</v>
      </c>
      <c r="W3258" s="1">
        <v>31047</v>
      </c>
      <c r="X3258" s="1">
        <v>31047</v>
      </c>
      <c r="Y3258" s="1">
        <v>45657</v>
      </c>
      <c r="Z3258" t="s">
        <v>51</v>
      </c>
      <c r="AB3258" t="s">
        <v>54</v>
      </c>
      <c r="AC3258">
        <v>1</v>
      </c>
      <c r="AE3258" t="s">
        <v>827</v>
      </c>
      <c r="AF3258">
        <v>20</v>
      </c>
      <c r="AG3258" s="1">
        <v>31777</v>
      </c>
      <c r="AH3258" s="1">
        <v>31777</v>
      </c>
      <c r="AI3258" s="1">
        <v>31777</v>
      </c>
      <c r="AJ3258" s="1">
        <v>39082</v>
      </c>
      <c r="AK3258" t="s">
        <v>51</v>
      </c>
      <c r="AN3258">
        <v>0</v>
      </c>
      <c r="AO3258" t="s">
        <v>54</v>
      </c>
      <c r="AP3258" t="s">
        <v>53</v>
      </c>
      <c r="AQ3258">
        <v>0</v>
      </c>
      <c r="AR3258" t="s">
        <v>53</v>
      </c>
      <c r="AS3258">
        <v>0</v>
      </c>
      <c r="AT3258">
        <v>0</v>
      </c>
      <c r="AW3258" t="s">
        <v>58</v>
      </c>
      <c r="AX3258">
        <v>20</v>
      </c>
      <c r="AY3258" s="1">
        <v>31777</v>
      </c>
      <c r="AZ3258" s="1">
        <v>31777</v>
      </c>
      <c r="BA3258" s="1">
        <v>31777</v>
      </c>
      <c r="BB3258" s="1">
        <v>39082</v>
      </c>
      <c r="BC3258" t="s">
        <v>51</v>
      </c>
      <c r="BE3258" t="s">
        <v>54</v>
      </c>
      <c r="BF3258">
        <v>2</v>
      </c>
      <c r="BG3258">
        <v>0</v>
      </c>
      <c r="BH3258" t="s">
        <v>53</v>
      </c>
      <c r="BK3258" t="s">
        <v>720</v>
      </c>
      <c r="BL3258">
        <v>17000</v>
      </c>
      <c r="BM3258" s="1">
        <v>45054</v>
      </c>
      <c r="BN3258" s="1">
        <v>45054</v>
      </c>
      <c r="BO3258" s="1">
        <v>45054</v>
      </c>
      <c r="BP3258" s="1">
        <v>46484</v>
      </c>
      <c r="BQ3258" t="s">
        <v>51</v>
      </c>
      <c r="BS3258" t="s">
        <v>60</v>
      </c>
      <c r="BT3258" t="s">
        <v>54</v>
      </c>
      <c r="BU3258" t="s">
        <v>721</v>
      </c>
      <c r="BV3258" t="s">
        <v>722</v>
      </c>
      <c r="BX3258">
        <v>18</v>
      </c>
      <c r="BY3258">
        <v>0</v>
      </c>
      <c r="BZ3258">
        <v>0</v>
      </c>
    </row>
    <row r="3259" spans="1:99" x14ac:dyDescent="0.2">
      <c r="A3259" t="s">
        <v>367</v>
      </c>
      <c r="B3259" t="s">
        <v>368</v>
      </c>
      <c r="C3259" t="s">
        <v>369</v>
      </c>
      <c r="D3259" t="s">
        <v>1205</v>
      </c>
      <c r="F3259" t="str">
        <f>"26148"</f>
        <v>26148</v>
      </c>
      <c r="G3259" t="s">
        <v>49</v>
      </c>
      <c r="H3259" t="s">
        <v>1391</v>
      </c>
      <c r="K3259" t="s">
        <v>51</v>
      </c>
      <c r="L3259" t="s">
        <v>52</v>
      </c>
      <c r="M3259">
        <v>138337.23000000001</v>
      </c>
      <c r="N3259">
        <v>467880.57</v>
      </c>
      <c r="O3259" t="s">
        <v>53</v>
      </c>
      <c r="P3259" t="s">
        <v>54</v>
      </c>
      <c r="Q3259" t="s">
        <v>55</v>
      </c>
      <c r="T3259" t="s">
        <v>588</v>
      </c>
      <c r="U3259">
        <v>40</v>
      </c>
      <c r="V3259" s="1">
        <v>31047</v>
      </c>
      <c r="W3259" s="1">
        <v>31047</v>
      </c>
      <c r="X3259" s="1">
        <v>31047</v>
      </c>
      <c r="Y3259" s="1">
        <v>45657</v>
      </c>
      <c r="Z3259" t="s">
        <v>51</v>
      </c>
      <c r="AB3259" t="s">
        <v>54</v>
      </c>
      <c r="AC3259">
        <v>1</v>
      </c>
      <c r="AE3259" t="s">
        <v>827</v>
      </c>
      <c r="AF3259">
        <v>20</v>
      </c>
      <c r="AG3259" s="1">
        <v>31777</v>
      </c>
      <c r="AH3259" s="1">
        <v>31777</v>
      </c>
      <c r="AI3259" s="1">
        <v>31777</v>
      </c>
      <c r="AJ3259" s="1">
        <v>39082</v>
      </c>
      <c r="AK3259" t="s">
        <v>51</v>
      </c>
      <c r="AN3259">
        <v>0</v>
      </c>
      <c r="AO3259" t="s">
        <v>54</v>
      </c>
      <c r="AP3259" t="s">
        <v>53</v>
      </c>
      <c r="AQ3259">
        <v>0</v>
      </c>
      <c r="AR3259" t="s">
        <v>53</v>
      </c>
      <c r="AS3259">
        <v>0</v>
      </c>
      <c r="AT3259">
        <v>0</v>
      </c>
      <c r="AW3259" t="s">
        <v>333</v>
      </c>
      <c r="AX3259">
        <v>0</v>
      </c>
      <c r="AY3259" s="1">
        <v>44530</v>
      </c>
      <c r="AZ3259" s="1">
        <v>44530</v>
      </c>
      <c r="BA3259" s="1">
        <v>44530</v>
      </c>
      <c r="BB3259" s="1">
        <v>44530</v>
      </c>
      <c r="BC3259" t="s">
        <v>51</v>
      </c>
      <c r="BE3259" t="s">
        <v>54</v>
      </c>
      <c r="BF3259">
        <v>0</v>
      </c>
      <c r="BG3259">
        <v>0</v>
      </c>
      <c r="BH3259" t="s">
        <v>53</v>
      </c>
      <c r="BK3259" t="s">
        <v>720</v>
      </c>
      <c r="BL3259">
        <v>17000</v>
      </c>
      <c r="BM3259" s="1">
        <v>44530</v>
      </c>
      <c r="BN3259" s="1">
        <v>44530</v>
      </c>
      <c r="BO3259" s="1">
        <v>44530</v>
      </c>
      <c r="BP3259" s="1">
        <v>45972</v>
      </c>
      <c r="BQ3259" t="s">
        <v>51</v>
      </c>
      <c r="BS3259" t="s">
        <v>60</v>
      </c>
      <c r="BT3259" t="s">
        <v>54</v>
      </c>
      <c r="BU3259" t="s">
        <v>721</v>
      </c>
      <c r="BV3259" t="s">
        <v>722</v>
      </c>
      <c r="BX3259">
        <v>18</v>
      </c>
      <c r="BY3259">
        <v>0</v>
      </c>
      <c r="BZ3259">
        <v>0</v>
      </c>
    </row>
    <row r="3260" spans="1:99" x14ac:dyDescent="0.2">
      <c r="A3260" t="s">
        <v>367</v>
      </c>
      <c r="B3260" t="s">
        <v>368</v>
      </c>
      <c r="C3260" t="s">
        <v>369</v>
      </c>
      <c r="D3260" t="s">
        <v>1205</v>
      </c>
      <c r="F3260" t="str">
        <f>"26149"</f>
        <v>26149</v>
      </c>
      <c r="G3260" t="s">
        <v>49</v>
      </c>
      <c r="H3260" t="s">
        <v>1230</v>
      </c>
      <c r="K3260" t="s">
        <v>51</v>
      </c>
      <c r="L3260" t="s">
        <v>52</v>
      </c>
      <c r="M3260">
        <v>138359.73000000001</v>
      </c>
      <c r="N3260">
        <v>467870.38</v>
      </c>
      <c r="O3260" t="s">
        <v>53</v>
      </c>
      <c r="P3260" t="s">
        <v>54</v>
      </c>
      <c r="Q3260" t="s">
        <v>55</v>
      </c>
      <c r="T3260" t="s">
        <v>588</v>
      </c>
      <c r="U3260">
        <v>40</v>
      </c>
      <c r="V3260" s="1">
        <v>31047</v>
      </c>
      <c r="W3260" s="1">
        <v>31047</v>
      </c>
      <c r="X3260" s="1">
        <v>31047</v>
      </c>
      <c r="Y3260" s="1">
        <v>45657</v>
      </c>
      <c r="Z3260" t="s">
        <v>51</v>
      </c>
      <c r="AB3260" t="s">
        <v>54</v>
      </c>
      <c r="AC3260">
        <v>1</v>
      </c>
      <c r="AE3260" t="s">
        <v>827</v>
      </c>
      <c r="AF3260">
        <v>20</v>
      </c>
      <c r="AG3260" s="1">
        <v>31777</v>
      </c>
      <c r="AH3260" s="1">
        <v>31777</v>
      </c>
      <c r="AI3260" s="1">
        <v>31777</v>
      </c>
      <c r="AJ3260" s="1">
        <v>39082</v>
      </c>
      <c r="AK3260" t="s">
        <v>51</v>
      </c>
      <c r="AN3260">
        <v>0</v>
      </c>
      <c r="AO3260" t="s">
        <v>54</v>
      </c>
      <c r="AP3260" t="s">
        <v>53</v>
      </c>
      <c r="AQ3260">
        <v>0</v>
      </c>
      <c r="AR3260" t="s">
        <v>53</v>
      </c>
      <c r="AS3260">
        <v>0</v>
      </c>
      <c r="AT3260">
        <v>0</v>
      </c>
      <c r="AW3260" t="s">
        <v>58</v>
      </c>
      <c r="AX3260">
        <v>20</v>
      </c>
      <c r="AY3260" s="1">
        <v>31777</v>
      </c>
      <c r="AZ3260" s="1">
        <v>31777</v>
      </c>
      <c r="BA3260" s="1">
        <v>31777</v>
      </c>
      <c r="BB3260" s="1">
        <v>39082</v>
      </c>
      <c r="BC3260" t="s">
        <v>51</v>
      </c>
      <c r="BE3260" t="s">
        <v>54</v>
      </c>
      <c r="BF3260">
        <v>2</v>
      </c>
      <c r="BG3260">
        <v>0</v>
      </c>
      <c r="BH3260" t="s">
        <v>53</v>
      </c>
      <c r="BK3260" t="s">
        <v>720</v>
      </c>
      <c r="BL3260">
        <v>17000</v>
      </c>
      <c r="BM3260" s="1">
        <v>44424</v>
      </c>
      <c r="BN3260" s="1">
        <v>44424</v>
      </c>
      <c r="BO3260" s="1">
        <v>44424</v>
      </c>
      <c r="BP3260" s="1">
        <v>45851</v>
      </c>
      <c r="BQ3260" t="s">
        <v>51</v>
      </c>
      <c r="BS3260" t="s">
        <v>60</v>
      </c>
      <c r="BT3260" t="s">
        <v>54</v>
      </c>
      <c r="BU3260" t="s">
        <v>721</v>
      </c>
      <c r="BV3260" t="s">
        <v>722</v>
      </c>
      <c r="BX3260">
        <v>18</v>
      </c>
      <c r="BY3260">
        <v>0</v>
      </c>
      <c r="BZ3260">
        <v>0</v>
      </c>
    </row>
    <row r="3261" spans="1:99" x14ac:dyDescent="0.2">
      <c r="A3261" t="s">
        <v>367</v>
      </c>
      <c r="B3261" t="s">
        <v>368</v>
      </c>
      <c r="C3261" t="s">
        <v>369</v>
      </c>
      <c r="D3261" t="s">
        <v>1392</v>
      </c>
      <c r="F3261" t="str">
        <f>"26150"</f>
        <v>26150</v>
      </c>
      <c r="G3261" t="s">
        <v>49</v>
      </c>
      <c r="H3261" t="s">
        <v>1393</v>
      </c>
      <c r="K3261" t="s">
        <v>51</v>
      </c>
      <c r="L3261" t="s">
        <v>52</v>
      </c>
      <c r="M3261">
        <v>138466.07999999999</v>
      </c>
      <c r="N3261">
        <v>467796.33</v>
      </c>
      <c r="O3261" t="s">
        <v>53</v>
      </c>
      <c r="P3261" t="s">
        <v>54</v>
      </c>
      <c r="Q3261" t="s">
        <v>55</v>
      </c>
      <c r="T3261" t="s">
        <v>818</v>
      </c>
      <c r="U3261">
        <v>40</v>
      </c>
      <c r="V3261" s="1">
        <v>27759</v>
      </c>
      <c r="W3261" s="1">
        <v>27759</v>
      </c>
      <c r="X3261" s="1">
        <v>27759</v>
      </c>
      <c r="Y3261" s="1">
        <v>42369</v>
      </c>
      <c r="Z3261" t="s">
        <v>51</v>
      </c>
      <c r="AB3261" t="s">
        <v>54</v>
      </c>
      <c r="AC3261">
        <v>1</v>
      </c>
      <c r="AE3261" t="s">
        <v>827</v>
      </c>
      <c r="AF3261">
        <v>20</v>
      </c>
      <c r="AG3261" s="1">
        <v>31777</v>
      </c>
      <c r="AH3261" s="1">
        <v>31777</v>
      </c>
      <c r="AI3261" s="1">
        <v>31777</v>
      </c>
      <c r="AJ3261" s="1">
        <v>39082</v>
      </c>
      <c r="AK3261" t="s">
        <v>51</v>
      </c>
      <c r="AN3261">
        <v>0</v>
      </c>
      <c r="AO3261" t="s">
        <v>54</v>
      </c>
      <c r="AP3261" t="s">
        <v>53</v>
      </c>
      <c r="AQ3261">
        <v>0</v>
      </c>
      <c r="AR3261" t="s">
        <v>53</v>
      </c>
      <c r="AS3261">
        <v>0</v>
      </c>
      <c r="AT3261">
        <v>0</v>
      </c>
      <c r="AW3261" t="s">
        <v>58</v>
      </c>
      <c r="AX3261">
        <v>20</v>
      </c>
      <c r="AY3261" s="1">
        <v>31777</v>
      </c>
      <c r="AZ3261" s="1">
        <v>31777</v>
      </c>
      <c r="BA3261" s="1">
        <v>31777</v>
      </c>
      <c r="BB3261" s="1">
        <v>39082</v>
      </c>
      <c r="BC3261" t="s">
        <v>51</v>
      </c>
      <c r="BE3261" t="s">
        <v>54</v>
      </c>
      <c r="BF3261">
        <v>2</v>
      </c>
      <c r="BG3261">
        <v>0</v>
      </c>
      <c r="BH3261" t="s">
        <v>53</v>
      </c>
      <c r="BK3261" t="s">
        <v>720</v>
      </c>
      <c r="BL3261">
        <v>17000</v>
      </c>
      <c r="BM3261" s="1">
        <v>44095</v>
      </c>
      <c r="BN3261" s="1">
        <v>44095</v>
      </c>
      <c r="BO3261" s="1">
        <v>44095</v>
      </c>
      <c r="BP3261" s="1">
        <v>45530</v>
      </c>
      <c r="BQ3261" t="s">
        <v>51</v>
      </c>
      <c r="BS3261" t="s">
        <v>60</v>
      </c>
      <c r="BT3261" t="s">
        <v>54</v>
      </c>
      <c r="BU3261" t="s">
        <v>721</v>
      </c>
      <c r="BV3261" t="s">
        <v>722</v>
      </c>
      <c r="BX3261">
        <v>18</v>
      </c>
      <c r="BY3261">
        <v>0</v>
      </c>
      <c r="BZ3261">
        <v>0</v>
      </c>
    </row>
    <row r="3262" spans="1:99" x14ac:dyDescent="0.2">
      <c r="A3262" t="s">
        <v>425</v>
      </c>
      <c r="B3262" t="s">
        <v>425</v>
      </c>
      <c r="C3262" t="s">
        <v>425</v>
      </c>
      <c r="D3262" t="s">
        <v>1392</v>
      </c>
      <c r="F3262" t="str">
        <f>"254256"</f>
        <v>254256</v>
      </c>
      <c r="G3262" t="s">
        <v>49</v>
      </c>
      <c r="H3262" t="s">
        <v>1394</v>
      </c>
      <c r="K3262" t="s">
        <v>51</v>
      </c>
      <c r="L3262" t="s">
        <v>52</v>
      </c>
      <c r="M3262">
        <v>138350.01999999999</v>
      </c>
      <c r="N3262">
        <v>467511.43</v>
      </c>
      <c r="O3262" t="s">
        <v>53</v>
      </c>
      <c r="P3262" t="s">
        <v>54</v>
      </c>
      <c r="Q3262" t="s">
        <v>55</v>
      </c>
      <c r="T3262" t="s">
        <v>83</v>
      </c>
      <c r="U3262">
        <v>40</v>
      </c>
      <c r="V3262" s="1">
        <v>42552</v>
      </c>
      <c r="W3262" s="1">
        <v>42552</v>
      </c>
      <c r="X3262" s="1">
        <v>42552</v>
      </c>
      <c r="Y3262" s="1">
        <v>57162</v>
      </c>
      <c r="Z3262" t="s">
        <v>51</v>
      </c>
      <c r="AB3262" t="s">
        <v>54</v>
      </c>
      <c r="AC3262">
        <v>1</v>
      </c>
      <c r="AE3262" t="s">
        <v>79</v>
      </c>
      <c r="AF3262">
        <v>20</v>
      </c>
      <c r="AG3262" s="1">
        <v>42552</v>
      </c>
      <c r="AH3262" s="1">
        <v>42552</v>
      </c>
      <c r="AI3262" s="1">
        <v>42552</v>
      </c>
      <c r="AJ3262" s="1">
        <v>49857</v>
      </c>
      <c r="AK3262" t="s">
        <v>51</v>
      </c>
      <c r="AN3262">
        <v>0</v>
      </c>
      <c r="AO3262" t="s">
        <v>54</v>
      </c>
      <c r="AP3262" t="s">
        <v>53</v>
      </c>
      <c r="AQ3262">
        <v>0</v>
      </c>
      <c r="AR3262" t="s">
        <v>145</v>
      </c>
      <c r="AS3262">
        <v>0</v>
      </c>
      <c r="AT3262">
        <v>0</v>
      </c>
      <c r="CC3262" t="s">
        <v>555</v>
      </c>
      <c r="CD3262">
        <v>85000</v>
      </c>
      <c r="CE3262" s="1">
        <v>42552</v>
      </c>
      <c r="CF3262" s="1">
        <v>42552</v>
      </c>
      <c r="CG3262" s="1">
        <v>42552</v>
      </c>
      <c r="CH3262" s="1">
        <v>49714</v>
      </c>
      <c r="CI3262" t="s">
        <v>51</v>
      </c>
      <c r="CK3262" t="s">
        <v>78</v>
      </c>
      <c r="CM3262" t="s">
        <v>54</v>
      </c>
      <c r="CN3262" t="s">
        <v>174</v>
      </c>
      <c r="CO3262" t="s">
        <v>86</v>
      </c>
      <c r="CR3262">
        <v>20</v>
      </c>
      <c r="CS3262">
        <v>0</v>
      </c>
      <c r="CT3262">
        <v>0</v>
      </c>
      <c r="CU3262">
        <v>0</v>
      </c>
    </row>
    <row r="3263" spans="1:99" x14ac:dyDescent="0.2">
      <c r="A3263" t="s">
        <v>425</v>
      </c>
      <c r="B3263" t="s">
        <v>425</v>
      </c>
      <c r="C3263" t="s">
        <v>425</v>
      </c>
      <c r="D3263" t="s">
        <v>1392</v>
      </c>
      <c r="F3263" t="str">
        <f>"26164"</f>
        <v>26164</v>
      </c>
      <c r="G3263" t="s">
        <v>49</v>
      </c>
      <c r="H3263" t="s">
        <v>1395</v>
      </c>
      <c r="K3263" t="s">
        <v>51</v>
      </c>
      <c r="L3263" t="s">
        <v>52</v>
      </c>
      <c r="M3263">
        <v>138340.76999999999</v>
      </c>
      <c r="N3263">
        <v>467483.99</v>
      </c>
      <c r="O3263" t="s">
        <v>53</v>
      </c>
      <c r="P3263" t="s">
        <v>54</v>
      </c>
      <c r="Q3263" t="s">
        <v>55</v>
      </c>
      <c r="T3263" t="s">
        <v>83</v>
      </c>
      <c r="U3263">
        <v>40</v>
      </c>
      <c r="V3263" s="1">
        <v>42552</v>
      </c>
      <c r="W3263" s="1">
        <v>42552</v>
      </c>
      <c r="X3263" s="1">
        <v>42552</v>
      </c>
      <c r="Y3263" s="1">
        <v>57162</v>
      </c>
      <c r="Z3263" t="s">
        <v>51</v>
      </c>
      <c r="AB3263" t="s">
        <v>54</v>
      </c>
      <c r="AC3263">
        <v>1</v>
      </c>
      <c r="AE3263" t="s">
        <v>79</v>
      </c>
      <c r="AF3263">
        <v>20</v>
      </c>
      <c r="AG3263" s="1">
        <v>42552</v>
      </c>
      <c r="AH3263" s="1">
        <v>42552</v>
      </c>
      <c r="AI3263" s="1">
        <v>42552</v>
      </c>
      <c r="AJ3263" s="1">
        <v>49857</v>
      </c>
      <c r="AK3263" t="s">
        <v>51</v>
      </c>
      <c r="AN3263">
        <v>0</v>
      </c>
      <c r="AO3263" t="s">
        <v>54</v>
      </c>
      <c r="AP3263" t="s">
        <v>53</v>
      </c>
      <c r="AQ3263">
        <v>0</v>
      </c>
      <c r="AR3263" t="s">
        <v>145</v>
      </c>
      <c r="AS3263">
        <v>0</v>
      </c>
      <c r="AT3263">
        <v>0</v>
      </c>
      <c r="CC3263" t="s">
        <v>555</v>
      </c>
      <c r="CD3263">
        <v>85000</v>
      </c>
      <c r="CE3263" s="1">
        <v>42552</v>
      </c>
      <c r="CF3263" s="1">
        <v>42552</v>
      </c>
      <c r="CG3263" s="1">
        <v>42552</v>
      </c>
      <c r="CH3263" s="1">
        <v>49714</v>
      </c>
      <c r="CI3263" t="s">
        <v>51</v>
      </c>
      <c r="CK3263" t="s">
        <v>78</v>
      </c>
      <c r="CM3263" t="s">
        <v>54</v>
      </c>
      <c r="CN3263" t="s">
        <v>174</v>
      </c>
      <c r="CO3263" t="s">
        <v>86</v>
      </c>
      <c r="CR3263">
        <v>20</v>
      </c>
      <c r="CS3263">
        <v>0</v>
      </c>
      <c r="CT3263">
        <v>0</v>
      </c>
      <c r="CU3263">
        <v>0</v>
      </c>
    </row>
    <row r="3264" spans="1:99" x14ac:dyDescent="0.2">
      <c r="A3264" t="s">
        <v>367</v>
      </c>
      <c r="B3264" t="s">
        <v>368</v>
      </c>
      <c r="C3264" t="s">
        <v>369</v>
      </c>
      <c r="D3264" t="s">
        <v>1396</v>
      </c>
      <c r="F3264" t="str">
        <f>"26177"</f>
        <v>26177</v>
      </c>
      <c r="G3264" t="s">
        <v>49</v>
      </c>
      <c r="H3264" t="s">
        <v>1397</v>
      </c>
      <c r="K3264" t="s">
        <v>51</v>
      </c>
      <c r="L3264" t="s">
        <v>52</v>
      </c>
      <c r="M3264">
        <v>138184.67000000001</v>
      </c>
      <c r="N3264">
        <v>467357.18</v>
      </c>
      <c r="O3264" t="s">
        <v>53</v>
      </c>
      <c r="P3264" t="s">
        <v>54</v>
      </c>
      <c r="Q3264" t="s">
        <v>55</v>
      </c>
      <c r="T3264" t="s">
        <v>841</v>
      </c>
      <c r="U3264">
        <v>40</v>
      </c>
      <c r="V3264" s="1">
        <v>37782</v>
      </c>
      <c r="W3264" s="1">
        <v>37782</v>
      </c>
      <c r="X3264" s="1">
        <v>37782</v>
      </c>
      <c r="Y3264" s="1">
        <v>52392</v>
      </c>
      <c r="Z3264" t="s">
        <v>51</v>
      </c>
      <c r="AB3264" t="s">
        <v>54</v>
      </c>
      <c r="AC3264">
        <v>1</v>
      </c>
      <c r="AE3264" t="s">
        <v>64</v>
      </c>
      <c r="AF3264">
        <v>20</v>
      </c>
      <c r="AG3264" s="1">
        <v>37782</v>
      </c>
      <c r="AH3264" s="1">
        <v>37782</v>
      </c>
      <c r="AI3264" s="1">
        <v>37782</v>
      </c>
      <c r="AJ3264" s="1">
        <v>45087</v>
      </c>
      <c r="AK3264" t="s">
        <v>51</v>
      </c>
      <c r="AN3264">
        <v>0</v>
      </c>
      <c r="AO3264" t="s">
        <v>54</v>
      </c>
      <c r="AP3264" t="s">
        <v>53</v>
      </c>
      <c r="AQ3264">
        <v>0</v>
      </c>
      <c r="AR3264" t="s">
        <v>53</v>
      </c>
      <c r="AS3264">
        <v>0</v>
      </c>
      <c r="AT3264">
        <v>0</v>
      </c>
      <c r="CC3264" t="s">
        <v>555</v>
      </c>
      <c r="CD3264">
        <v>85000</v>
      </c>
      <c r="CE3264" s="1">
        <v>42552</v>
      </c>
      <c r="CF3264" s="1">
        <v>42552</v>
      </c>
      <c r="CG3264" s="1">
        <v>42552</v>
      </c>
      <c r="CH3264" s="1">
        <v>49714</v>
      </c>
      <c r="CI3264" t="s">
        <v>51</v>
      </c>
      <c r="CK3264" t="s">
        <v>78</v>
      </c>
      <c r="CM3264" t="s">
        <v>54</v>
      </c>
      <c r="CN3264" t="s">
        <v>174</v>
      </c>
      <c r="CO3264" t="s">
        <v>86</v>
      </c>
      <c r="CR3264">
        <v>20</v>
      </c>
      <c r="CS3264">
        <v>0</v>
      </c>
      <c r="CT3264">
        <v>0</v>
      </c>
      <c r="CU3264">
        <v>0</v>
      </c>
    </row>
    <row r="3265" spans="1:99" x14ac:dyDescent="0.2">
      <c r="A3265" t="s">
        <v>367</v>
      </c>
      <c r="B3265" t="s">
        <v>368</v>
      </c>
      <c r="C3265" t="s">
        <v>369</v>
      </c>
      <c r="D3265" t="s">
        <v>1396</v>
      </c>
      <c r="F3265" t="str">
        <f>"26178"</f>
        <v>26178</v>
      </c>
      <c r="G3265" t="s">
        <v>49</v>
      </c>
      <c r="H3265" t="s">
        <v>1397</v>
      </c>
      <c r="K3265" t="s">
        <v>51</v>
      </c>
      <c r="L3265" t="s">
        <v>52</v>
      </c>
      <c r="M3265">
        <v>138165.14000000001</v>
      </c>
      <c r="N3265">
        <v>467364.99</v>
      </c>
      <c r="O3265" t="s">
        <v>53</v>
      </c>
      <c r="P3265" t="s">
        <v>54</v>
      </c>
      <c r="Q3265" t="s">
        <v>55</v>
      </c>
      <c r="T3265" t="s">
        <v>841</v>
      </c>
      <c r="U3265">
        <v>40</v>
      </c>
      <c r="V3265" s="1">
        <v>37782</v>
      </c>
      <c r="W3265" s="1">
        <v>37782</v>
      </c>
      <c r="X3265" s="1">
        <v>37782</v>
      </c>
      <c r="Y3265" s="1">
        <v>52392</v>
      </c>
      <c r="Z3265" t="s">
        <v>51</v>
      </c>
      <c r="AB3265" t="s">
        <v>54</v>
      </c>
      <c r="AC3265">
        <v>1</v>
      </c>
      <c r="AE3265" t="s">
        <v>64</v>
      </c>
      <c r="AF3265">
        <v>20</v>
      </c>
      <c r="AG3265" s="1">
        <v>37782</v>
      </c>
      <c r="AH3265" s="1">
        <v>37782</v>
      </c>
      <c r="AI3265" s="1">
        <v>37782</v>
      </c>
      <c r="AJ3265" s="1">
        <v>45087</v>
      </c>
      <c r="AK3265" t="s">
        <v>51</v>
      </c>
      <c r="AN3265">
        <v>0</v>
      </c>
      <c r="AO3265" t="s">
        <v>54</v>
      </c>
      <c r="AP3265" t="s">
        <v>53</v>
      </c>
      <c r="AQ3265">
        <v>0</v>
      </c>
      <c r="AR3265" t="s">
        <v>53</v>
      </c>
      <c r="AS3265">
        <v>0</v>
      </c>
      <c r="AT3265">
        <v>0</v>
      </c>
      <c r="CC3265" t="s">
        <v>555</v>
      </c>
      <c r="CD3265">
        <v>85000</v>
      </c>
      <c r="CE3265" s="1">
        <v>42552</v>
      </c>
      <c r="CF3265" s="1">
        <v>42552</v>
      </c>
      <c r="CG3265" s="1">
        <v>42552</v>
      </c>
      <c r="CH3265" s="1">
        <v>49714</v>
      </c>
      <c r="CI3265" t="s">
        <v>51</v>
      </c>
      <c r="CK3265" t="s">
        <v>78</v>
      </c>
      <c r="CM3265" t="s">
        <v>54</v>
      </c>
      <c r="CN3265" t="s">
        <v>174</v>
      </c>
      <c r="CO3265" t="s">
        <v>86</v>
      </c>
      <c r="CR3265">
        <v>20</v>
      </c>
      <c r="CS3265">
        <v>0</v>
      </c>
      <c r="CT3265">
        <v>0</v>
      </c>
      <c r="CU3265">
        <v>0</v>
      </c>
    </row>
    <row r="3266" spans="1:99" x14ac:dyDescent="0.2">
      <c r="A3266" t="s">
        <v>367</v>
      </c>
      <c r="B3266" t="s">
        <v>368</v>
      </c>
      <c r="C3266" t="s">
        <v>369</v>
      </c>
      <c r="D3266" t="s">
        <v>1396</v>
      </c>
      <c r="F3266" t="str">
        <f>"26176"</f>
        <v>26176</v>
      </c>
      <c r="G3266" t="s">
        <v>49</v>
      </c>
      <c r="H3266" t="s">
        <v>1398</v>
      </c>
      <c r="K3266" t="s">
        <v>51</v>
      </c>
      <c r="L3266" t="s">
        <v>52</v>
      </c>
      <c r="M3266">
        <v>138146.6</v>
      </c>
      <c r="N3266">
        <v>467411.03</v>
      </c>
      <c r="O3266" t="s">
        <v>53</v>
      </c>
      <c r="P3266" t="s">
        <v>54</v>
      </c>
      <c r="Q3266" t="s">
        <v>55</v>
      </c>
      <c r="T3266" t="s">
        <v>841</v>
      </c>
      <c r="U3266">
        <v>40</v>
      </c>
      <c r="V3266" s="1">
        <v>37782</v>
      </c>
      <c r="W3266" s="1">
        <v>37782</v>
      </c>
      <c r="X3266" s="1">
        <v>37782</v>
      </c>
      <c r="Y3266" s="1">
        <v>52392</v>
      </c>
      <c r="Z3266" t="s">
        <v>51</v>
      </c>
      <c r="AB3266" t="s">
        <v>54</v>
      </c>
      <c r="AC3266">
        <v>1</v>
      </c>
      <c r="AE3266" t="s">
        <v>64</v>
      </c>
      <c r="AF3266">
        <v>20</v>
      </c>
      <c r="AG3266" s="1">
        <v>37782</v>
      </c>
      <c r="AH3266" s="1">
        <v>37782</v>
      </c>
      <c r="AI3266" s="1">
        <v>37782</v>
      </c>
      <c r="AJ3266" s="1">
        <v>45087</v>
      </c>
      <c r="AK3266" t="s">
        <v>51</v>
      </c>
      <c r="AN3266">
        <v>0</v>
      </c>
      <c r="AO3266" t="s">
        <v>54</v>
      </c>
      <c r="AP3266" t="s">
        <v>53</v>
      </c>
      <c r="AQ3266">
        <v>0</v>
      </c>
      <c r="AR3266" t="s">
        <v>53</v>
      </c>
      <c r="AS3266">
        <v>0</v>
      </c>
      <c r="AT3266">
        <v>0</v>
      </c>
      <c r="CC3266" t="s">
        <v>555</v>
      </c>
      <c r="CD3266">
        <v>85000</v>
      </c>
      <c r="CE3266" s="1">
        <v>42552</v>
      </c>
      <c r="CF3266" s="1">
        <v>42552</v>
      </c>
      <c r="CG3266" s="1">
        <v>42552</v>
      </c>
      <c r="CH3266" s="1">
        <v>49714</v>
      </c>
      <c r="CI3266" t="s">
        <v>51</v>
      </c>
      <c r="CK3266" t="s">
        <v>78</v>
      </c>
      <c r="CM3266" t="s">
        <v>54</v>
      </c>
      <c r="CN3266" t="s">
        <v>174</v>
      </c>
      <c r="CO3266" t="s">
        <v>86</v>
      </c>
      <c r="CR3266">
        <v>20</v>
      </c>
      <c r="CS3266">
        <v>0</v>
      </c>
      <c r="CT3266">
        <v>0</v>
      </c>
      <c r="CU3266">
        <v>0</v>
      </c>
    </row>
    <row r="3267" spans="1:99" x14ac:dyDescent="0.2">
      <c r="A3267" t="s">
        <v>367</v>
      </c>
      <c r="B3267" t="s">
        <v>368</v>
      </c>
      <c r="C3267" t="s">
        <v>369</v>
      </c>
      <c r="D3267" t="s">
        <v>1396</v>
      </c>
      <c r="F3267" t="str">
        <f>"254255"</f>
        <v>254255</v>
      </c>
      <c r="G3267" t="s">
        <v>49</v>
      </c>
      <c r="H3267" t="s">
        <v>1304</v>
      </c>
      <c r="K3267" t="s">
        <v>51</v>
      </c>
      <c r="L3267" t="s">
        <v>52</v>
      </c>
      <c r="M3267">
        <v>138115.65</v>
      </c>
      <c r="N3267">
        <v>467425.75</v>
      </c>
      <c r="O3267" t="s">
        <v>53</v>
      </c>
      <c r="P3267" t="s">
        <v>54</v>
      </c>
      <c r="Q3267" t="s">
        <v>55</v>
      </c>
      <c r="T3267" t="s">
        <v>841</v>
      </c>
      <c r="U3267">
        <v>40</v>
      </c>
      <c r="V3267" s="1">
        <v>37782</v>
      </c>
      <c r="W3267" s="1">
        <v>37782</v>
      </c>
      <c r="X3267" s="1">
        <v>37782</v>
      </c>
      <c r="Y3267" s="1">
        <v>52392</v>
      </c>
      <c r="Z3267" t="s">
        <v>51</v>
      </c>
      <c r="AB3267" t="s">
        <v>54</v>
      </c>
      <c r="AC3267">
        <v>1</v>
      </c>
      <c r="AE3267" t="s">
        <v>64</v>
      </c>
      <c r="AF3267">
        <v>20</v>
      </c>
      <c r="AG3267" s="1">
        <v>37782</v>
      </c>
      <c r="AH3267" s="1">
        <v>37782</v>
      </c>
      <c r="AI3267" s="1">
        <v>37782</v>
      </c>
      <c r="AJ3267" s="1">
        <v>45087</v>
      </c>
      <c r="AK3267" t="s">
        <v>51</v>
      </c>
      <c r="AN3267">
        <v>0</v>
      </c>
      <c r="AO3267" t="s">
        <v>54</v>
      </c>
      <c r="AP3267" t="s">
        <v>53</v>
      </c>
      <c r="AQ3267">
        <v>0</v>
      </c>
      <c r="AR3267" t="s">
        <v>53</v>
      </c>
      <c r="AS3267">
        <v>0</v>
      </c>
      <c r="AT3267">
        <v>0</v>
      </c>
      <c r="AW3267" t="s">
        <v>58</v>
      </c>
      <c r="AX3267">
        <v>20</v>
      </c>
      <c r="AY3267" s="1">
        <v>37782</v>
      </c>
      <c r="AZ3267" s="1">
        <v>37782</v>
      </c>
      <c r="BA3267" s="1">
        <v>37782</v>
      </c>
      <c r="BB3267" s="1">
        <v>45087</v>
      </c>
      <c r="BC3267" t="s">
        <v>51</v>
      </c>
      <c r="BE3267" t="s">
        <v>54</v>
      </c>
      <c r="BF3267">
        <v>2</v>
      </c>
      <c r="BG3267">
        <v>0</v>
      </c>
      <c r="BH3267" t="s">
        <v>53</v>
      </c>
      <c r="BK3267" t="s">
        <v>65</v>
      </c>
      <c r="BL3267">
        <v>14000</v>
      </c>
      <c r="BM3267" s="1">
        <v>42552</v>
      </c>
      <c r="BN3267" s="1">
        <v>42552</v>
      </c>
      <c r="BO3267" s="1">
        <v>42552</v>
      </c>
      <c r="BP3267" s="1">
        <v>43752</v>
      </c>
      <c r="BQ3267" t="s">
        <v>51</v>
      </c>
      <c r="BS3267" t="s">
        <v>60</v>
      </c>
      <c r="BT3267" t="s">
        <v>54</v>
      </c>
      <c r="BU3267" t="s">
        <v>61</v>
      </c>
      <c r="BV3267" t="s">
        <v>62</v>
      </c>
      <c r="BX3267">
        <v>36</v>
      </c>
      <c r="BY3267">
        <v>0</v>
      </c>
      <c r="BZ3267">
        <v>0</v>
      </c>
    </row>
    <row r="3268" spans="1:99" x14ac:dyDescent="0.2">
      <c r="A3268" t="s">
        <v>367</v>
      </c>
      <c r="B3268" t="s">
        <v>368</v>
      </c>
      <c r="C3268" t="s">
        <v>369</v>
      </c>
      <c r="D3268" t="s">
        <v>1396</v>
      </c>
      <c r="F3268" t="str">
        <f>"26182"</f>
        <v>26182</v>
      </c>
      <c r="G3268" t="s">
        <v>49</v>
      </c>
      <c r="H3268" t="s">
        <v>1331</v>
      </c>
      <c r="K3268" t="s">
        <v>51</v>
      </c>
      <c r="L3268" t="s">
        <v>52</v>
      </c>
      <c r="M3268">
        <v>138088.01999999999</v>
      </c>
      <c r="N3268">
        <v>467457.11</v>
      </c>
      <c r="O3268" t="s">
        <v>53</v>
      </c>
      <c r="P3268" t="s">
        <v>54</v>
      </c>
      <c r="Q3268" t="s">
        <v>55</v>
      </c>
      <c r="T3268" t="s">
        <v>841</v>
      </c>
      <c r="U3268">
        <v>40</v>
      </c>
      <c r="V3268" s="1">
        <v>37782</v>
      </c>
      <c r="W3268" s="1">
        <v>37782</v>
      </c>
      <c r="X3268" s="1">
        <v>37782</v>
      </c>
      <c r="Y3268" s="1">
        <v>52392</v>
      </c>
      <c r="Z3268" t="s">
        <v>51</v>
      </c>
      <c r="AB3268" t="s">
        <v>54</v>
      </c>
      <c r="AC3268">
        <v>1</v>
      </c>
      <c r="AE3268" t="s">
        <v>64</v>
      </c>
      <c r="AF3268">
        <v>20</v>
      </c>
      <c r="AG3268" s="1">
        <v>37782</v>
      </c>
      <c r="AH3268" s="1">
        <v>37782</v>
      </c>
      <c r="AI3268" s="1">
        <v>37782</v>
      </c>
      <c r="AJ3268" s="1">
        <v>45087</v>
      </c>
      <c r="AK3268" t="s">
        <v>51</v>
      </c>
      <c r="AN3268">
        <v>0</v>
      </c>
      <c r="AO3268" t="s">
        <v>54</v>
      </c>
      <c r="AP3268" t="s">
        <v>53</v>
      </c>
      <c r="AQ3268">
        <v>0</v>
      </c>
      <c r="AR3268" t="s">
        <v>53</v>
      </c>
      <c r="AS3268">
        <v>0</v>
      </c>
      <c r="AT3268">
        <v>0</v>
      </c>
      <c r="CC3268" t="s">
        <v>555</v>
      </c>
      <c r="CD3268">
        <v>85000</v>
      </c>
      <c r="CE3268" s="1">
        <v>42552</v>
      </c>
      <c r="CF3268" s="1">
        <v>42552</v>
      </c>
      <c r="CG3268" s="1">
        <v>42552</v>
      </c>
      <c r="CH3268" s="1">
        <v>49714</v>
      </c>
      <c r="CI3268" t="s">
        <v>51</v>
      </c>
      <c r="CK3268" t="s">
        <v>78</v>
      </c>
      <c r="CM3268" t="s">
        <v>54</v>
      </c>
      <c r="CN3268" t="s">
        <v>174</v>
      </c>
      <c r="CO3268" t="s">
        <v>86</v>
      </c>
      <c r="CR3268">
        <v>20</v>
      </c>
      <c r="CS3268">
        <v>0</v>
      </c>
      <c r="CT3268">
        <v>0</v>
      </c>
      <c r="CU3268">
        <v>0</v>
      </c>
    </row>
    <row r="3269" spans="1:99" x14ac:dyDescent="0.2">
      <c r="A3269" t="s">
        <v>367</v>
      </c>
      <c r="B3269" t="s">
        <v>368</v>
      </c>
      <c r="C3269" t="s">
        <v>369</v>
      </c>
      <c r="D3269" t="s">
        <v>1396</v>
      </c>
      <c r="F3269" t="str">
        <f>"26183"</f>
        <v>26183</v>
      </c>
      <c r="G3269" t="s">
        <v>49</v>
      </c>
      <c r="H3269" t="s">
        <v>1399</v>
      </c>
      <c r="K3269" t="s">
        <v>51</v>
      </c>
      <c r="L3269" t="s">
        <v>52</v>
      </c>
      <c r="M3269">
        <v>138100.79</v>
      </c>
      <c r="N3269">
        <v>467492.83</v>
      </c>
      <c r="O3269" t="s">
        <v>53</v>
      </c>
      <c r="P3269" t="s">
        <v>54</v>
      </c>
      <c r="Q3269" t="s">
        <v>55</v>
      </c>
      <c r="T3269" t="s">
        <v>841</v>
      </c>
      <c r="U3269">
        <v>40</v>
      </c>
      <c r="V3269" s="1">
        <v>37782</v>
      </c>
      <c r="W3269" s="1">
        <v>37782</v>
      </c>
      <c r="X3269" s="1">
        <v>37782</v>
      </c>
      <c r="Y3269" s="1">
        <v>52392</v>
      </c>
      <c r="Z3269" t="s">
        <v>51</v>
      </c>
      <c r="AB3269" t="s">
        <v>54</v>
      </c>
      <c r="AC3269">
        <v>1</v>
      </c>
      <c r="AE3269" t="s">
        <v>64</v>
      </c>
      <c r="AF3269">
        <v>20</v>
      </c>
      <c r="AG3269" s="1">
        <v>37782</v>
      </c>
      <c r="AH3269" s="1">
        <v>37782</v>
      </c>
      <c r="AI3269" s="1">
        <v>37782</v>
      </c>
      <c r="AJ3269" s="1">
        <v>45087</v>
      </c>
      <c r="AK3269" t="s">
        <v>51</v>
      </c>
      <c r="AN3269">
        <v>0</v>
      </c>
      <c r="AO3269" t="s">
        <v>54</v>
      </c>
      <c r="AP3269" t="s">
        <v>53</v>
      </c>
      <c r="AQ3269">
        <v>0</v>
      </c>
      <c r="AR3269" t="s">
        <v>53</v>
      </c>
      <c r="AS3269">
        <v>0</v>
      </c>
      <c r="AT3269">
        <v>0</v>
      </c>
      <c r="CC3269" t="s">
        <v>555</v>
      </c>
      <c r="CD3269">
        <v>85000</v>
      </c>
      <c r="CE3269" s="1">
        <v>42552</v>
      </c>
      <c r="CF3269" s="1">
        <v>42552</v>
      </c>
      <c r="CG3269" s="1">
        <v>42552</v>
      </c>
      <c r="CH3269" s="1">
        <v>49714</v>
      </c>
      <c r="CI3269" t="s">
        <v>51</v>
      </c>
      <c r="CK3269" t="s">
        <v>78</v>
      </c>
      <c r="CM3269" t="s">
        <v>54</v>
      </c>
      <c r="CN3269" t="s">
        <v>174</v>
      </c>
      <c r="CO3269" t="s">
        <v>86</v>
      </c>
      <c r="CR3269">
        <v>20</v>
      </c>
      <c r="CS3269">
        <v>0</v>
      </c>
      <c r="CT3269">
        <v>0</v>
      </c>
      <c r="CU3269">
        <v>0</v>
      </c>
    </row>
    <row r="3270" spans="1:99" x14ac:dyDescent="0.2">
      <c r="A3270" t="s">
        <v>367</v>
      </c>
      <c r="B3270" t="s">
        <v>368</v>
      </c>
      <c r="C3270" t="s">
        <v>369</v>
      </c>
      <c r="D3270" t="s">
        <v>1396</v>
      </c>
      <c r="F3270" t="str">
        <f>"26184"</f>
        <v>26184</v>
      </c>
      <c r="G3270" t="s">
        <v>49</v>
      </c>
      <c r="H3270" t="s">
        <v>1337</v>
      </c>
      <c r="K3270" t="s">
        <v>51</v>
      </c>
      <c r="L3270" t="s">
        <v>52</v>
      </c>
      <c r="M3270">
        <v>138116.07</v>
      </c>
      <c r="N3270">
        <v>467538.45</v>
      </c>
      <c r="O3270" t="s">
        <v>53</v>
      </c>
      <c r="P3270" t="s">
        <v>54</v>
      </c>
      <c r="Q3270" t="s">
        <v>55</v>
      </c>
      <c r="T3270" t="s">
        <v>841</v>
      </c>
      <c r="U3270">
        <v>40</v>
      </c>
      <c r="V3270" s="1">
        <v>37782</v>
      </c>
      <c r="W3270" s="1">
        <v>37782</v>
      </c>
      <c r="X3270" s="1">
        <v>37782</v>
      </c>
      <c r="Y3270" s="1">
        <v>52392</v>
      </c>
      <c r="Z3270" t="s">
        <v>51</v>
      </c>
      <c r="AB3270" t="s">
        <v>54</v>
      </c>
      <c r="AC3270">
        <v>1</v>
      </c>
      <c r="AE3270" t="s">
        <v>64</v>
      </c>
      <c r="AF3270">
        <v>20</v>
      </c>
      <c r="AG3270" s="1">
        <v>37782</v>
      </c>
      <c r="AH3270" s="1">
        <v>37782</v>
      </c>
      <c r="AI3270" s="1">
        <v>37782</v>
      </c>
      <c r="AJ3270" s="1">
        <v>45087</v>
      </c>
      <c r="AK3270" t="s">
        <v>51</v>
      </c>
      <c r="AN3270">
        <v>0</v>
      </c>
      <c r="AO3270" t="s">
        <v>54</v>
      </c>
      <c r="AP3270" t="s">
        <v>53</v>
      </c>
      <c r="AQ3270">
        <v>0</v>
      </c>
      <c r="AR3270" t="s">
        <v>53</v>
      </c>
      <c r="AS3270">
        <v>0</v>
      </c>
      <c r="AT3270">
        <v>0</v>
      </c>
      <c r="CC3270" t="s">
        <v>555</v>
      </c>
      <c r="CD3270">
        <v>85000</v>
      </c>
      <c r="CE3270" s="1">
        <v>42552</v>
      </c>
      <c r="CF3270" s="1">
        <v>42552</v>
      </c>
      <c r="CG3270" s="1">
        <v>42552</v>
      </c>
      <c r="CH3270" s="1">
        <v>49714</v>
      </c>
      <c r="CI3270" t="s">
        <v>51</v>
      </c>
      <c r="CK3270" t="s">
        <v>78</v>
      </c>
      <c r="CM3270" t="s">
        <v>54</v>
      </c>
      <c r="CN3270" t="s">
        <v>174</v>
      </c>
      <c r="CO3270" t="s">
        <v>86</v>
      </c>
      <c r="CR3270">
        <v>20</v>
      </c>
      <c r="CS3270">
        <v>0</v>
      </c>
      <c r="CT3270">
        <v>0</v>
      </c>
      <c r="CU3270">
        <v>0</v>
      </c>
    </row>
    <row r="3271" spans="1:99" x14ac:dyDescent="0.2">
      <c r="A3271" t="s">
        <v>367</v>
      </c>
      <c r="B3271" t="s">
        <v>368</v>
      </c>
      <c r="C3271" t="s">
        <v>369</v>
      </c>
      <c r="D3271" t="s">
        <v>1396</v>
      </c>
      <c r="F3271" t="str">
        <f>"26185"</f>
        <v>26185</v>
      </c>
      <c r="G3271" t="s">
        <v>49</v>
      </c>
      <c r="H3271" t="s">
        <v>1214</v>
      </c>
      <c r="K3271" t="s">
        <v>51</v>
      </c>
      <c r="L3271" t="s">
        <v>52</v>
      </c>
      <c r="M3271">
        <v>138136.04</v>
      </c>
      <c r="N3271">
        <v>467552.42</v>
      </c>
      <c r="O3271" t="s">
        <v>53</v>
      </c>
      <c r="P3271" t="s">
        <v>54</v>
      </c>
      <c r="Q3271" t="s">
        <v>55</v>
      </c>
      <c r="T3271" t="s">
        <v>841</v>
      </c>
      <c r="U3271">
        <v>40</v>
      </c>
      <c r="V3271" s="1">
        <v>37782</v>
      </c>
      <c r="W3271" s="1">
        <v>37782</v>
      </c>
      <c r="X3271" s="1">
        <v>37782</v>
      </c>
      <c r="Y3271" s="1">
        <v>52392</v>
      </c>
      <c r="Z3271" t="s">
        <v>51</v>
      </c>
      <c r="AB3271" t="s">
        <v>54</v>
      </c>
      <c r="AC3271">
        <v>1</v>
      </c>
      <c r="AE3271" t="s">
        <v>64</v>
      </c>
      <c r="AF3271">
        <v>20</v>
      </c>
      <c r="AG3271" s="1">
        <v>37782</v>
      </c>
      <c r="AH3271" s="1">
        <v>37782</v>
      </c>
      <c r="AI3271" s="1">
        <v>37782</v>
      </c>
      <c r="AJ3271" s="1">
        <v>45087</v>
      </c>
      <c r="AK3271" t="s">
        <v>51</v>
      </c>
      <c r="AN3271">
        <v>0</v>
      </c>
      <c r="AO3271" t="s">
        <v>54</v>
      </c>
      <c r="AP3271" t="s">
        <v>53</v>
      </c>
      <c r="AQ3271">
        <v>0</v>
      </c>
      <c r="AR3271" t="s">
        <v>53</v>
      </c>
      <c r="AS3271">
        <v>0</v>
      </c>
      <c r="AT3271">
        <v>0</v>
      </c>
      <c r="CC3271" t="s">
        <v>555</v>
      </c>
      <c r="CD3271">
        <v>85000</v>
      </c>
      <c r="CE3271" s="1">
        <v>42552</v>
      </c>
      <c r="CF3271" s="1">
        <v>42552</v>
      </c>
      <c r="CG3271" s="1">
        <v>42552</v>
      </c>
      <c r="CH3271" s="1">
        <v>49714</v>
      </c>
      <c r="CI3271" t="s">
        <v>51</v>
      </c>
      <c r="CK3271" t="s">
        <v>78</v>
      </c>
      <c r="CM3271" t="s">
        <v>54</v>
      </c>
      <c r="CN3271" t="s">
        <v>174</v>
      </c>
      <c r="CO3271" t="s">
        <v>86</v>
      </c>
      <c r="CR3271">
        <v>20</v>
      </c>
      <c r="CS3271">
        <v>0</v>
      </c>
      <c r="CT3271">
        <v>0</v>
      </c>
      <c r="CU3271">
        <v>0</v>
      </c>
    </row>
    <row r="3272" spans="1:99" x14ac:dyDescent="0.2">
      <c r="A3272" t="s">
        <v>367</v>
      </c>
      <c r="B3272" t="s">
        <v>368</v>
      </c>
      <c r="C3272" t="s">
        <v>369</v>
      </c>
      <c r="D3272" t="s">
        <v>1396</v>
      </c>
      <c r="F3272" t="str">
        <f>"26190"</f>
        <v>26190</v>
      </c>
      <c r="G3272" t="s">
        <v>49</v>
      </c>
      <c r="H3272" t="s">
        <v>1400</v>
      </c>
      <c r="K3272" t="s">
        <v>51</v>
      </c>
      <c r="L3272" t="s">
        <v>52</v>
      </c>
      <c r="M3272">
        <v>138261.75</v>
      </c>
      <c r="N3272">
        <v>467508.86</v>
      </c>
      <c r="O3272" t="s">
        <v>53</v>
      </c>
      <c r="P3272" t="s">
        <v>54</v>
      </c>
      <c r="Q3272" t="s">
        <v>55</v>
      </c>
      <c r="T3272" t="s">
        <v>841</v>
      </c>
      <c r="U3272">
        <v>40</v>
      </c>
      <c r="V3272" s="1">
        <v>37782</v>
      </c>
      <c r="W3272" s="1">
        <v>37782</v>
      </c>
      <c r="X3272" s="1">
        <v>37782</v>
      </c>
      <c r="Y3272" s="1">
        <v>52392</v>
      </c>
      <c r="Z3272" t="s">
        <v>51</v>
      </c>
      <c r="AB3272" t="s">
        <v>54</v>
      </c>
      <c r="AC3272">
        <v>1</v>
      </c>
      <c r="AE3272" t="s">
        <v>64</v>
      </c>
      <c r="AF3272">
        <v>20</v>
      </c>
      <c r="AG3272" s="1">
        <v>37782</v>
      </c>
      <c r="AH3272" s="1">
        <v>37782</v>
      </c>
      <c r="AI3272" s="1">
        <v>37782</v>
      </c>
      <c r="AJ3272" s="1">
        <v>45087</v>
      </c>
      <c r="AK3272" t="s">
        <v>51</v>
      </c>
      <c r="AN3272">
        <v>0</v>
      </c>
      <c r="AO3272" t="s">
        <v>54</v>
      </c>
      <c r="AP3272" t="s">
        <v>53</v>
      </c>
      <c r="AQ3272">
        <v>0</v>
      </c>
      <c r="AR3272" t="s">
        <v>53</v>
      </c>
      <c r="AS3272">
        <v>0</v>
      </c>
      <c r="AT3272">
        <v>0</v>
      </c>
      <c r="CC3272" t="s">
        <v>555</v>
      </c>
      <c r="CD3272">
        <v>85000</v>
      </c>
      <c r="CE3272" s="1">
        <v>42552</v>
      </c>
      <c r="CF3272" s="1">
        <v>42552</v>
      </c>
      <c r="CG3272" s="1">
        <v>42552</v>
      </c>
      <c r="CH3272" s="1">
        <v>49714</v>
      </c>
      <c r="CI3272" t="s">
        <v>51</v>
      </c>
      <c r="CK3272" t="s">
        <v>78</v>
      </c>
      <c r="CM3272" t="s">
        <v>54</v>
      </c>
      <c r="CN3272" t="s">
        <v>174</v>
      </c>
      <c r="CO3272" t="s">
        <v>86</v>
      </c>
      <c r="CR3272">
        <v>20</v>
      </c>
      <c r="CS3272">
        <v>0</v>
      </c>
      <c r="CT3272">
        <v>0</v>
      </c>
      <c r="CU3272">
        <v>0</v>
      </c>
    </row>
    <row r="3273" spans="1:99" x14ac:dyDescent="0.2">
      <c r="A3273" t="s">
        <v>367</v>
      </c>
      <c r="B3273" t="s">
        <v>368</v>
      </c>
      <c r="C3273" t="s">
        <v>369</v>
      </c>
      <c r="D3273" t="s">
        <v>1396</v>
      </c>
      <c r="F3273" t="str">
        <f>"26191"</f>
        <v>26191</v>
      </c>
      <c r="G3273" t="s">
        <v>49</v>
      </c>
      <c r="H3273" t="s">
        <v>1401</v>
      </c>
      <c r="K3273" t="s">
        <v>51</v>
      </c>
      <c r="L3273" t="s">
        <v>52</v>
      </c>
      <c r="M3273">
        <v>138293.18</v>
      </c>
      <c r="N3273">
        <v>467497.43</v>
      </c>
      <c r="O3273" t="s">
        <v>53</v>
      </c>
      <c r="P3273" t="s">
        <v>54</v>
      </c>
      <c r="Q3273" t="s">
        <v>55</v>
      </c>
      <c r="T3273" t="s">
        <v>841</v>
      </c>
      <c r="U3273">
        <v>40</v>
      </c>
      <c r="V3273" s="1">
        <v>37782</v>
      </c>
      <c r="W3273" s="1">
        <v>37782</v>
      </c>
      <c r="X3273" s="1">
        <v>37782</v>
      </c>
      <c r="Y3273" s="1">
        <v>52392</v>
      </c>
      <c r="Z3273" t="s">
        <v>51</v>
      </c>
      <c r="AB3273" t="s">
        <v>54</v>
      </c>
      <c r="AC3273">
        <v>1</v>
      </c>
      <c r="AE3273" t="s">
        <v>64</v>
      </c>
      <c r="AF3273">
        <v>20</v>
      </c>
      <c r="AG3273" s="1">
        <v>37782</v>
      </c>
      <c r="AH3273" s="1">
        <v>37782</v>
      </c>
      <c r="AI3273" s="1">
        <v>37782</v>
      </c>
      <c r="AJ3273" s="1">
        <v>45087</v>
      </c>
      <c r="AK3273" t="s">
        <v>51</v>
      </c>
      <c r="AN3273">
        <v>0</v>
      </c>
      <c r="AO3273" t="s">
        <v>54</v>
      </c>
      <c r="AP3273" t="s">
        <v>53</v>
      </c>
      <c r="AQ3273">
        <v>0</v>
      </c>
      <c r="AR3273" t="s">
        <v>53</v>
      </c>
      <c r="AS3273">
        <v>0</v>
      </c>
      <c r="AT3273">
        <v>0</v>
      </c>
      <c r="CC3273" t="s">
        <v>555</v>
      </c>
      <c r="CD3273">
        <v>85000</v>
      </c>
      <c r="CE3273" s="1">
        <v>42552</v>
      </c>
      <c r="CF3273" s="1">
        <v>42552</v>
      </c>
      <c r="CG3273" s="1">
        <v>42552</v>
      </c>
      <c r="CH3273" s="1">
        <v>49714</v>
      </c>
      <c r="CI3273" t="s">
        <v>51</v>
      </c>
      <c r="CK3273" t="s">
        <v>78</v>
      </c>
      <c r="CM3273" t="s">
        <v>54</v>
      </c>
      <c r="CN3273" t="s">
        <v>174</v>
      </c>
      <c r="CO3273" t="s">
        <v>86</v>
      </c>
      <c r="CR3273">
        <v>20</v>
      </c>
      <c r="CS3273">
        <v>0</v>
      </c>
      <c r="CT3273">
        <v>0</v>
      </c>
      <c r="CU3273">
        <v>0</v>
      </c>
    </row>
    <row r="3274" spans="1:99" x14ac:dyDescent="0.2">
      <c r="A3274" t="s">
        <v>367</v>
      </c>
      <c r="B3274" t="s">
        <v>368</v>
      </c>
      <c r="C3274" t="s">
        <v>369</v>
      </c>
      <c r="D3274" t="s">
        <v>1396</v>
      </c>
      <c r="F3274" t="str">
        <f>"26192"</f>
        <v>26192</v>
      </c>
      <c r="G3274" t="s">
        <v>49</v>
      </c>
      <c r="H3274" t="s">
        <v>1402</v>
      </c>
      <c r="K3274" t="s">
        <v>51</v>
      </c>
      <c r="L3274" t="s">
        <v>52</v>
      </c>
      <c r="M3274">
        <v>138322.35</v>
      </c>
      <c r="N3274">
        <v>467487.07</v>
      </c>
      <c r="O3274" t="s">
        <v>53</v>
      </c>
      <c r="P3274" t="s">
        <v>54</v>
      </c>
      <c r="Q3274" t="s">
        <v>55</v>
      </c>
      <c r="T3274" t="s">
        <v>841</v>
      </c>
      <c r="U3274">
        <v>40</v>
      </c>
      <c r="V3274" s="1">
        <v>37782</v>
      </c>
      <c r="W3274" s="1">
        <v>37782</v>
      </c>
      <c r="X3274" s="1">
        <v>37782</v>
      </c>
      <c r="Y3274" s="1">
        <v>52392</v>
      </c>
      <c r="Z3274" t="s">
        <v>51</v>
      </c>
      <c r="AB3274" t="s">
        <v>54</v>
      </c>
      <c r="AC3274">
        <v>1</v>
      </c>
      <c r="AE3274" t="s">
        <v>64</v>
      </c>
      <c r="AF3274">
        <v>20</v>
      </c>
      <c r="AG3274" s="1">
        <v>37782</v>
      </c>
      <c r="AH3274" s="1">
        <v>37782</v>
      </c>
      <c r="AI3274" s="1">
        <v>37782</v>
      </c>
      <c r="AJ3274" s="1">
        <v>45087</v>
      </c>
      <c r="AK3274" t="s">
        <v>51</v>
      </c>
      <c r="AN3274">
        <v>0</v>
      </c>
      <c r="AO3274" t="s">
        <v>54</v>
      </c>
      <c r="AP3274" t="s">
        <v>53</v>
      </c>
      <c r="AQ3274">
        <v>0</v>
      </c>
      <c r="AR3274" t="s">
        <v>53</v>
      </c>
      <c r="AS3274">
        <v>0</v>
      </c>
      <c r="AT3274">
        <v>0</v>
      </c>
      <c r="CC3274" t="s">
        <v>555</v>
      </c>
      <c r="CD3274">
        <v>85000</v>
      </c>
      <c r="CE3274" s="1">
        <v>42552</v>
      </c>
      <c r="CF3274" s="1">
        <v>42552</v>
      </c>
      <c r="CG3274" s="1">
        <v>42552</v>
      </c>
      <c r="CH3274" s="1">
        <v>49714</v>
      </c>
      <c r="CI3274" t="s">
        <v>51</v>
      </c>
      <c r="CK3274" t="s">
        <v>78</v>
      </c>
      <c r="CM3274" t="s">
        <v>54</v>
      </c>
      <c r="CN3274" t="s">
        <v>174</v>
      </c>
      <c r="CO3274" t="s">
        <v>86</v>
      </c>
      <c r="CR3274">
        <v>20</v>
      </c>
      <c r="CS3274">
        <v>0</v>
      </c>
      <c r="CT3274">
        <v>0</v>
      </c>
      <c r="CU3274">
        <v>0</v>
      </c>
    </row>
    <row r="3275" spans="1:99" x14ac:dyDescent="0.2">
      <c r="A3275" t="s">
        <v>367</v>
      </c>
      <c r="B3275" t="s">
        <v>368</v>
      </c>
      <c r="C3275" t="s">
        <v>369</v>
      </c>
      <c r="D3275" t="s">
        <v>1403</v>
      </c>
      <c r="F3275" t="str">
        <f>"26193"</f>
        <v>26193</v>
      </c>
      <c r="G3275" t="s">
        <v>49</v>
      </c>
      <c r="H3275" t="s">
        <v>1402</v>
      </c>
      <c r="K3275" t="s">
        <v>51</v>
      </c>
      <c r="L3275" t="s">
        <v>52</v>
      </c>
      <c r="M3275">
        <v>138375.57999999999</v>
      </c>
      <c r="N3275">
        <v>467563.07</v>
      </c>
      <c r="O3275" t="s">
        <v>53</v>
      </c>
      <c r="P3275" t="s">
        <v>54</v>
      </c>
      <c r="Q3275" t="s">
        <v>55</v>
      </c>
      <c r="T3275" t="s">
        <v>1266</v>
      </c>
      <c r="U3275">
        <v>40</v>
      </c>
      <c r="V3275" s="1">
        <v>28490</v>
      </c>
      <c r="W3275" s="1">
        <v>28490</v>
      </c>
      <c r="X3275" s="1">
        <v>28490</v>
      </c>
      <c r="Y3275" s="1">
        <v>43100</v>
      </c>
      <c r="Z3275" t="s">
        <v>51</v>
      </c>
      <c r="AB3275" t="s">
        <v>54</v>
      </c>
      <c r="AC3275">
        <v>1</v>
      </c>
      <c r="AE3275" t="s">
        <v>844</v>
      </c>
      <c r="AF3275">
        <v>20</v>
      </c>
      <c r="AG3275" s="1">
        <v>31777</v>
      </c>
      <c r="AH3275" s="1">
        <v>31777</v>
      </c>
      <c r="AI3275" s="1">
        <v>31777</v>
      </c>
      <c r="AJ3275" s="1">
        <v>39082</v>
      </c>
      <c r="AK3275" t="s">
        <v>51</v>
      </c>
      <c r="AN3275">
        <v>0</v>
      </c>
      <c r="AO3275" t="s">
        <v>54</v>
      </c>
      <c r="AP3275" t="s">
        <v>53</v>
      </c>
      <c r="AQ3275">
        <v>0</v>
      </c>
      <c r="AR3275" t="s">
        <v>53</v>
      </c>
      <c r="AS3275">
        <v>0</v>
      </c>
      <c r="AT3275">
        <v>0</v>
      </c>
      <c r="CC3275" t="s">
        <v>555</v>
      </c>
      <c r="CD3275">
        <v>85000</v>
      </c>
      <c r="CE3275" s="1">
        <v>42552</v>
      </c>
      <c r="CF3275" s="1">
        <v>42552</v>
      </c>
      <c r="CG3275" s="1">
        <v>42552</v>
      </c>
      <c r="CH3275" s="1">
        <v>49714</v>
      </c>
      <c r="CI3275" t="s">
        <v>51</v>
      </c>
      <c r="CK3275" t="s">
        <v>78</v>
      </c>
      <c r="CM3275" t="s">
        <v>54</v>
      </c>
      <c r="CN3275" t="s">
        <v>174</v>
      </c>
      <c r="CO3275" t="s">
        <v>86</v>
      </c>
      <c r="CR3275">
        <v>20</v>
      </c>
      <c r="CS3275">
        <v>0</v>
      </c>
      <c r="CT3275">
        <v>0</v>
      </c>
      <c r="CU3275">
        <v>0</v>
      </c>
    </row>
    <row r="3276" spans="1:99" x14ac:dyDescent="0.2">
      <c r="A3276" t="s">
        <v>367</v>
      </c>
      <c r="B3276" t="s">
        <v>368</v>
      </c>
      <c r="C3276" t="s">
        <v>369</v>
      </c>
      <c r="D3276" t="s">
        <v>1403</v>
      </c>
      <c r="F3276" t="str">
        <f>"26194"</f>
        <v>26194</v>
      </c>
      <c r="G3276" t="s">
        <v>49</v>
      </c>
      <c r="H3276" t="s">
        <v>1404</v>
      </c>
      <c r="K3276" t="s">
        <v>51</v>
      </c>
      <c r="L3276" t="s">
        <v>52</v>
      </c>
      <c r="M3276">
        <v>138347.09</v>
      </c>
      <c r="N3276">
        <v>467578.42</v>
      </c>
      <c r="O3276" t="s">
        <v>53</v>
      </c>
      <c r="P3276" t="s">
        <v>54</v>
      </c>
      <c r="Q3276" t="s">
        <v>55</v>
      </c>
      <c r="T3276" t="s">
        <v>1266</v>
      </c>
      <c r="U3276">
        <v>40</v>
      </c>
      <c r="V3276" s="1">
        <v>28490</v>
      </c>
      <c r="W3276" s="1">
        <v>28490</v>
      </c>
      <c r="X3276" s="1">
        <v>28490</v>
      </c>
      <c r="Y3276" s="1">
        <v>43100</v>
      </c>
      <c r="Z3276" t="s">
        <v>51</v>
      </c>
      <c r="AB3276" t="s">
        <v>54</v>
      </c>
      <c r="AC3276">
        <v>1</v>
      </c>
      <c r="AE3276" t="s">
        <v>844</v>
      </c>
      <c r="AF3276">
        <v>20</v>
      </c>
      <c r="AG3276" s="1">
        <v>31777</v>
      </c>
      <c r="AH3276" s="1">
        <v>31777</v>
      </c>
      <c r="AI3276" s="1">
        <v>31777</v>
      </c>
      <c r="AJ3276" s="1">
        <v>39082</v>
      </c>
      <c r="AK3276" t="s">
        <v>51</v>
      </c>
      <c r="AN3276">
        <v>0</v>
      </c>
      <c r="AO3276" t="s">
        <v>54</v>
      </c>
      <c r="AP3276" t="s">
        <v>53</v>
      </c>
      <c r="AQ3276">
        <v>0</v>
      </c>
      <c r="AR3276" t="s">
        <v>53</v>
      </c>
      <c r="AS3276">
        <v>0</v>
      </c>
      <c r="AT3276">
        <v>0</v>
      </c>
      <c r="CC3276" t="s">
        <v>555</v>
      </c>
      <c r="CD3276">
        <v>85000</v>
      </c>
      <c r="CE3276" s="1">
        <v>42552</v>
      </c>
      <c r="CF3276" s="1">
        <v>42552</v>
      </c>
      <c r="CG3276" s="1">
        <v>42552</v>
      </c>
      <c r="CH3276" s="1">
        <v>49714</v>
      </c>
      <c r="CI3276" t="s">
        <v>51</v>
      </c>
      <c r="CK3276" t="s">
        <v>78</v>
      </c>
      <c r="CM3276" t="s">
        <v>54</v>
      </c>
      <c r="CN3276" t="s">
        <v>174</v>
      </c>
      <c r="CO3276" t="s">
        <v>86</v>
      </c>
      <c r="CR3276">
        <v>20</v>
      </c>
      <c r="CS3276">
        <v>0</v>
      </c>
      <c r="CT3276">
        <v>0</v>
      </c>
      <c r="CU3276">
        <v>0</v>
      </c>
    </row>
    <row r="3277" spans="1:99" x14ac:dyDescent="0.2">
      <c r="A3277" t="s">
        <v>367</v>
      </c>
      <c r="B3277" t="s">
        <v>368</v>
      </c>
      <c r="C3277" t="s">
        <v>369</v>
      </c>
      <c r="D3277" t="s">
        <v>1403</v>
      </c>
      <c r="F3277" t="str">
        <f>"26195"</f>
        <v>26195</v>
      </c>
      <c r="G3277" t="s">
        <v>49</v>
      </c>
      <c r="H3277" t="s">
        <v>1404</v>
      </c>
      <c r="K3277" t="s">
        <v>51</v>
      </c>
      <c r="L3277" t="s">
        <v>52</v>
      </c>
      <c r="M3277">
        <v>138319.72</v>
      </c>
      <c r="N3277">
        <v>467578.05</v>
      </c>
      <c r="O3277" t="s">
        <v>53</v>
      </c>
      <c r="P3277" t="s">
        <v>54</v>
      </c>
      <c r="Q3277" t="s">
        <v>55</v>
      </c>
      <c r="T3277" t="s">
        <v>1266</v>
      </c>
      <c r="U3277">
        <v>40</v>
      </c>
      <c r="V3277" s="1">
        <v>28490</v>
      </c>
      <c r="W3277" s="1">
        <v>28490</v>
      </c>
      <c r="X3277" s="1">
        <v>28490</v>
      </c>
      <c r="Y3277" s="1">
        <v>43100</v>
      </c>
      <c r="Z3277" t="s">
        <v>51</v>
      </c>
      <c r="AB3277" t="s">
        <v>54</v>
      </c>
      <c r="AC3277">
        <v>1</v>
      </c>
      <c r="AE3277" t="s">
        <v>844</v>
      </c>
      <c r="AF3277">
        <v>20</v>
      </c>
      <c r="AG3277" s="1">
        <v>31777</v>
      </c>
      <c r="AH3277" s="1">
        <v>31777</v>
      </c>
      <c r="AI3277" s="1">
        <v>31777</v>
      </c>
      <c r="AJ3277" s="1">
        <v>39082</v>
      </c>
      <c r="AK3277" t="s">
        <v>51</v>
      </c>
      <c r="AN3277">
        <v>0</v>
      </c>
      <c r="AO3277" t="s">
        <v>54</v>
      </c>
      <c r="AP3277" t="s">
        <v>53</v>
      </c>
      <c r="AQ3277">
        <v>0</v>
      </c>
      <c r="AR3277" t="s">
        <v>53</v>
      </c>
      <c r="AS3277">
        <v>0</v>
      </c>
      <c r="AT3277">
        <v>0</v>
      </c>
      <c r="CC3277" t="s">
        <v>555</v>
      </c>
      <c r="CD3277">
        <v>85000</v>
      </c>
      <c r="CE3277" s="1">
        <v>42552</v>
      </c>
      <c r="CF3277" s="1">
        <v>42552</v>
      </c>
      <c r="CG3277" s="1">
        <v>42552</v>
      </c>
      <c r="CH3277" s="1">
        <v>49714</v>
      </c>
      <c r="CI3277" t="s">
        <v>51</v>
      </c>
      <c r="CK3277" t="s">
        <v>78</v>
      </c>
      <c r="CM3277" t="s">
        <v>54</v>
      </c>
      <c r="CN3277" t="s">
        <v>174</v>
      </c>
      <c r="CO3277" t="s">
        <v>86</v>
      </c>
      <c r="CR3277">
        <v>20</v>
      </c>
      <c r="CS3277">
        <v>0</v>
      </c>
      <c r="CT3277">
        <v>0</v>
      </c>
      <c r="CU3277">
        <v>0</v>
      </c>
    </row>
    <row r="3278" spans="1:99" x14ac:dyDescent="0.2">
      <c r="A3278" t="s">
        <v>367</v>
      </c>
      <c r="B3278" t="s">
        <v>368</v>
      </c>
      <c r="C3278" t="s">
        <v>369</v>
      </c>
      <c r="D3278" t="s">
        <v>1403</v>
      </c>
      <c r="F3278" t="str">
        <f>"26196"</f>
        <v>26196</v>
      </c>
      <c r="G3278" t="s">
        <v>49</v>
      </c>
      <c r="H3278" t="s">
        <v>1404</v>
      </c>
      <c r="K3278" t="s">
        <v>51</v>
      </c>
      <c r="L3278" t="s">
        <v>52</v>
      </c>
      <c r="M3278">
        <v>138297.18</v>
      </c>
      <c r="N3278">
        <v>467587.01</v>
      </c>
      <c r="O3278" t="s">
        <v>53</v>
      </c>
      <c r="P3278" t="s">
        <v>54</v>
      </c>
      <c r="Q3278" t="s">
        <v>55</v>
      </c>
      <c r="T3278" t="s">
        <v>1266</v>
      </c>
      <c r="U3278">
        <v>40</v>
      </c>
      <c r="V3278" s="1">
        <v>28490</v>
      </c>
      <c r="W3278" s="1">
        <v>28490</v>
      </c>
      <c r="X3278" s="1">
        <v>28490</v>
      </c>
      <c r="Y3278" s="1">
        <v>43100</v>
      </c>
      <c r="Z3278" t="s">
        <v>51</v>
      </c>
      <c r="AB3278" t="s">
        <v>54</v>
      </c>
      <c r="AC3278">
        <v>1</v>
      </c>
      <c r="AE3278" t="s">
        <v>844</v>
      </c>
      <c r="AF3278">
        <v>20</v>
      </c>
      <c r="AG3278" s="1">
        <v>31777</v>
      </c>
      <c r="AH3278" s="1">
        <v>31777</v>
      </c>
      <c r="AI3278" s="1">
        <v>31777</v>
      </c>
      <c r="AJ3278" s="1">
        <v>39082</v>
      </c>
      <c r="AK3278" t="s">
        <v>51</v>
      </c>
      <c r="AN3278">
        <v>0</v>
      </c>
      <c r="AO3278" t="s">
        <v>54</v>
      </c>
      <c r="AP3278" t="s">
        <v>53</v>
      </c>
      <c r="AQ3278">
        <v>0</v>
      </c>
      <c r="AR3278" t="s">
        <v>53</v>
      </c>
      <c r="AS3278">
        <v>0</v>
      </c>
      <c r="AT3278">
        <v>0</v>
      </c>
      <c r="CC3278" t="s">
        <v>555</v>
      </c>
      <c r="CD3278">
        <v>85000</v>
      </c>
      <c r="CE3278" s="1">
        <v>42552</v>
      </c>
      <c r="CF3278" s="1">
        <v>42552</v>
      </c>
      <c r="CG3278" s="1">
        <v>42552</v>
      </c>
      <c r="CH3278" s="1">
        <v>49714</v>
      </c>
      <c r="CI3278" t="s">
        <v>51</v>
      </c>
      <c r="CK3278" t="s">
        <v>78</v>
      </c>
      <c r="CM3278" t="s">
        <v>54</v>
      </c>
      <c r="CN3278" t="s">
        <v>174</v>
      </c>
      <c r="CO3278" t="s">
        <v>86</v>
      </c>
      <c r="CR3278">
        <v>20</v>
      </c>
      <c r="CS3278">
        <v>0</v>
      </c>
      <c r="CT3278">
        <v>0</v>
      </c>
      <c r="CU3278">
        <v>0</v>
      </c>
    </row>
    <row r="3279" spans="1:99" x14ac:dyDescent="0.2">
      <c r="A3279" t="s">
        <v>367</v>
      </c>
      <c r="B3279" t="s">
        <v>368</v>
      </c>
      <c r="C3279" t="s">
        <v>369</v>
      </c>
      <c r="D3279" t="s">
        <v>1403</v>
      </c>
      <c r="F3279" t="str">
        <f>"26197"</f>
        <v>26197</v>
      </c>
      <c r="G3279" t="s">
        <v>49</v>
      </c>
      <c r="H3279" t="s">
        <v>1404</v>
      </c>
      <c r="K3279" t="s">
        <v>51</v>
      </c>
      <c r="L3279" t="s">
        <v>52</v>
      </c>
      <c r="M3279">
        <v>138270.44</v>
      </c>
      <c r="N3279">
        <v>467597.09</v>
      </c>
      <c r="O3279" t="s">
        <v>53</v>
      </c>
      <c r="P3279" t="s">
        <v>54</v>
      </c>
      <c r="Q3279" t="s">
        <v>55</v>
      </c>
      <c r="T3279" t="s">
        <v>1266</v>
      </c>
      <c r="U3279">
        <v>40</v>
      </c>
      <c r="V3279" s="1">
        <v>28490</v>
      </c>
      <c r="W3279" s="1">
        <v>28490</v>
      </c>
      <c r="X3279" s="1">
        <v>28490</v>
      </c>
      <c r="Y3279" s="1">
        <v>43100</v>
      </c>
      <c r="Z3279" t="s">
        <v>51</v>
      </c>
      <c r="AB3279" t="s">
        <v>54</v>
      </c>
      <c r="AC3279">
        <v>1</v>
      </c>
      <c r="AE3279" t="s">
        <v>844</v>
      </c>
      <c r="AF3279">
        <v>20</v>
      </c>
      <c r="AG3279" s="1">
        <v>31777</v>
      </c>
      <c r="AH3279" s="1">
        <v>31777</v>
      </c>
      <c r="AI3279" s="1">
        <v>31777</v>
      </c>
      <c r="AJ3279" s="1">
        <v>39082</v>
      </c>
      <c r="AK3279" t="s">
        <v>51</v>
      </c>
      <c r="AN3279">
        <v>0</v>
      </c>
      <c r="AO3279" t="s">
        <v>54</v>
      </c>
      <c r="AP3279" t="s">
        <v>53</v>
      </c>
      <c r="AQ3279">
        <v>0</v>
      </c>
      <c r="AR3279" t="s">
        <v>53</v>
      </c>
      <c r="AS3279">
        <v>0</v>
      </c>
      <c r="AT3279">
        <v>0</v>
      </c>
      <c r="CC3279" t="s">
        <v>555</v>
      </c>
      <c r="CD3279">
        <v>85000</v>
      </c>
      <c r="CE3279" s="1">
        <v>42552</v>
      </c>
      <c r="CF3279" s="1">
        <v>42552</v>
      </c>
      <c r="CG3279" s="1">
        <v>42552</v>
      </c>
      <c r="CH3279" s="1">
        <v>49714</v>
      </c>
      <c r="CI3279" t="s">
        <v>51</v>
      </c>
      <c r="CK3279" t="s">
        <v>78</v>
      </c>
      <c r="CM3279" t="s">
        <v>54</v>
      </c>
      <c r="CN3279" t="s">
        <v>174</v>
      </c>
      <c r="CO3279" t="s">
        <v>86</v>
      </c>
      <c r="CR3279">
        <v>20</v>
      </c>
      <c r="CS3279">
        <v>0</v>
      </c>
      <c r="CT3279">
        <v>0</v>
      </c>
      <c r="CU3279">
        <v>0</v>
      </c>
    </row>
    <row r="3280" spans="1:99" x14ac:dyDescent="0.2">
      <c r="A3280" t="s">
        <v>367</v>
      </c>
      <c r="B3280" t="s">
        <v>368</v>
      </c>
      <c r="C3280" t="s">
        <v>369</v>
      </c>
      <c r="D3280" t="s">
        <v>1403</v>
      </c>
      <c r="F3280" t="str">
        <f>"26198"</f>
        <v>26198</v>
      </c>
      <c r="G3280" t="s">
        <v>49</v>
      </c>
      <c r="H3280" t="s">
        <v>1404</v>
      </c>
      <c r="K3280" t="s">
        <v>51</v>
      </c>
      <c r="L3280" t="s">
        <v>52</v>
      </c>
      <c r="M3280">
        <v>138242.57999999999</v>
      </c>
      <c r="N3280">
        <v>467609.41</v>
      </c>
      <c r="O3280" t="s">
        <v>53</v>
      </c>
      <c r="P3280" t="s">
        <v>54</v>
      </c>
      <c r="Q3280" t="s">
        <v>55</v>
      </c>
      <c r="T3280" t="s">
        <v>1266</v>
      </c>
      <c r="U3280">
        <v>40</v>
      </c>
      <c r="V3280" s="1">
        <v>28490</v>
      </c>
      <c r="W3280" s="1">
        <v>28490</v>
      </c>
      <c r="X3280" s="1">
        <v>28490</v>
      </c>
      <c r="Y3280" s="1">
        <v>43100</v>
      </c>
      <c r="Z3280" t="s">
        <v>51</v>
      </c>
      <c r="AB3280" t="s">
        <v>54</v>
      </c>
      <c r="AC3280">
        <v>1</v>
      </c>
      <c r="AE3280" t="s">
        <v>844</v>
      </c>
      <c r="AF3280">
        <v>20</v>
      </c>
      <c r="AG3280" s="1">
        <v>43451</v>
      </c>
      <c r="AH3280" s="1">
        <v>43451</v>
      </c>
      <c r="AI3280" s="1">
        <v>43451</v>
      </c>
      <c r="AJ3280" s="1">
        <v>50756</v>
      </c>
      <c r="AK3280" t="s">
        <v>51</v>
      </c>
      <c r="AN3280">
        <v>0</v>
      </c>
      <c r="AO3280" t="s">
        <v>54</v>
      </c>
      <c r="AP3280" t="s">
        <v>53</v>
      </c>
      <c r="AQ3280">
        <v>0</v>
      </c>
      <c r="AR3280" t="s">
        <v>53</v>
      </c>
      <c r="AS3280">
        <v>0</v>
      </c>
      <c r="AT3280">
        <v>0</v>
      </c>
      <c r="CC3280" t="s">
        <v>555</v>
      </c>
      <c r="CD3280">
        <v>85000</v>
      </c>
      <c r="CE3280" s="1">
        <v>43144</v>
      </c>
      <c r="CF3280" s="1">
        <v>43144</v>
      </c>
      <c r="CG3280" s="1">
        <v>43451</v>
      </c>
      <c r="CH3280" s="1">
        <v>50359</v>
      </c>
      <c r="CI3280" t="s">
        <v>51</v>
      </c>
      <c r="CK3280" t="s">
        <v>78</v>
      </c>
      <c r="CM3280" t="s">
        <v>54</v>
      </c>
      <c r="CN3280" t="s">
        <v>174</v>
      </c>
      <c r="CO3280" t="s">
        <v>86</v>
      </c>
      <c r="CR3280">
        <v>20</v>
      </c>
      <c r="CS3280">
        <v>0</v>
      </c>
      <c r="CT3280">
        <v>0</v>
      </c>
      <c r="CU3280">
        <v>0</v>
      </c>
    </row>
    <row r="3281" spans="1:99" x14ac:dyDescent="0.2">
      <c r="A3281" t="s">
        <v>367</v>
      </c>
      <c r="B3281" t="s">
        <v>368</v>
      </c>
      <c r="C3281" t="s">
        <v>369</v>
      </c>
      <c r="D3281" t="s">
        <v>1403</v>
      </c>
      <c r="F3281" t="str">
        <f>"26199"</f>
        <v>26199</v>
      </c>
      <c r="G3281" t="s">
        <v>49</v>
      </c>
      <c r="H3281" t="s">
        <v>1405</v>
      </c>
      <c r="K3281" t="s">
        <v>51</v>
      </c>
      <c r="L3281" t="s">
        <v>52</v>
      </c>
      <c r="M3281">
        <v>138223.54</v>
      </c>
      <c r="N3281">
        <v>467632.37</v>
      </c>
      <c r="O3281" t="s">
        <v>53</v>
      </c>
      <c r="P3281" t="s">
        <v>54</v>
      </c>
      <c r="Q3281" t="s">
        <v>55</v>
      </c>
      <c r="T3281" t="s">
        <v>1266</v>
      </c>
      <c r="U3281">
        <v>40</v>
      </c>
      <c r="V3281" s="1">
        <v>28490</v>
      </c>
      <c r="W3281" s="1">
        <v>28490</v>
      </c>
      <c r="X3281" s="1">
        <v>28490</v>
      </c>
      <c r="Y3281" s="1">
        <v>43100</v>
      </c>
      <c r="Z3281" t="s">
        <v>51</v>
      </c>
      <c r="AB3281" t="s">
        <v>54</v>
      </c>
      <c r="AC3281">
        <v>1</v>
      </c>
      <c r="AE3281" t="s">
        <v>844</v>
      </c>
      <c r="AF3281">
        <v>20</v>
      </c>
      <c r="AG3281" s="1">
        <v>31777</v>
      </c>
      <c r="AH3281" s="1">
        <v>31777</v>
      </c>
      <c r="AI3281" s="1">
        <v>31777</v>
      </c>
      <c r="AJ3281" s="1">
        <v>39082</v>
      </c>
      <c r="AK3281" t="s">
        <v>51</v>
      </c>
      <c r="AN3281">
        <v>0</v>
      </c>
      <c r="AO3281" t="s">
        <v>54</v>
      </c>
      <c r="AP3281" t="s">
        <v>53</v>
      </c>
      <c r="AQ3281">
        <v>0</v>
      </c>
      <c r="AR3281" t="s">
        <v>53</v>
      </c>
      <c r="AS3281">
        <v>0</v>
      </c>
      <c r="AT3281">
        <v>0</v>
      </c>
      <c r="CC3281" t="s">
        <v>555</v>
      </c>
      <c r="CD3281">
        <v>85000</v>
      </c>
      <c r="CE3281" s="1">
        <v>42552</v>
      </c>
      <c r="CF3281" s="1">
        <v>42552</v>
      </c>
      <c r="CG3281" s="1">
        <v>42552</v>
      </c>
      <c r="CH3281" s="1">
        <v>49714</v>
      </c>
      <c r="CI3281" t="s">
        <v>51</v>
      </c>
      <c r="CK3281" t="s">
        <v>78</v>
      </c>
      <c r="CM3281" t="s">
        <v>54</v>
      </c>
      <c r="CN3281" t="s">
        <v>174</v>
      </c>
      <c r="CO3281" t="s">
        <v>86</v>
      </c>
      <c r="CR3281">
        <v>20</v>
      </c>
      <c r="CS3281">
        <v>0</v>
      </c>
      <c r="CT3281">
        <v>0</v>
      </c>
      <c r="CU3281">
        <v>0</v>
      </c>
    </row>
    <row r="3282" spans="1:99" x14ac:dyDescent="0.2">
      <c r="A3282" t="s">
        <v>367</v>
      </c>
      <c r="B3282" t="s">
        <v>368</v>
      </c>
      <c r="C3282" t="s">
        <v>369</v>
      </c>
      <c r="D3282" t="s">
        <v>1406</v>
      </c>
      <c r="F3282" t="str">
        <f>"26200"</f>
        <v>26200</v>
      </c>
      <c r="G3282" t="s">
        <v>49</v>
      </c>
      <c r="H3282" t="s">
        <v>1407</v>
      </c>
      <c r="K3282" t="s">
        <v>51</v>
      </c>
      <c r="L3282" t="s">
        <v>52</v>
      </c>
      <c r="M3282">
        <v>138138.64000000001</v>
      </c>
      <c r="N3282">
        <v>467702.8</v>
      </c>
      <c r="O3282" t="s">
        <v>53</v>
      </c>
      <c r="P3282" t="s">
        <v>54</v>
      </c>
      <c r="Q3282" t="s">
        <v>55</v>
      </c>
      <c r="T3282" t="s">
        <v>183</v>
      </c>
      <c r="U3282">
        <v>40</v>
      </c>
      <c r="V3282" s="1">
        <v>25568</v>
      </c>
      <c r="W3282" s="1">
        <v>25568</v>
      </c>
      <c r="X3282" s="1">
        <v>25568</v>
      </c>
      <c r="Y3282" s="1">
        <v>40178</v>
      </c>
      <c r="Z3282" t="s">
        <v>51</v>
      </c>
      <c r="AB3282" t="s">
        <v>54</v>
      </c>
      <c r="AC3282">
        <v>1</v>
      </c>
      <c r="AE3282" t="s">
        <v>1212</v>
      </c>
      <c r="AF3282">
        <v>20</v>
      </c>
      <c r="AG3282" s="1">
        <v>36452</v>
      </c>
      <c r="AH3282" s="1">
        <v>36452</v>
      </c>
      <c r="AI3282" s="1">
        <v>36452</v>
      </c>
      <c r="AJ3282" s="1">
        <v>43757</v>
      </c>
      <c r="AK3282" t="s">
        <v>51</v>
      </c>
      <c r="AN3282">
        <v>0</v>
      </c>
      <c r="AO3282" t="s">
        <v>54</v>
      </c>
      <c r="AP3282" t="s">
        <v>53</v>
      </c>
      <c r="AQ3282">
        <v>0</v>
      </c>
      <c r="AR3282" t="s">
        <v>53</v>
      </c>
      <c r="AS3282">
        <v>0</v>
      </c>
      <c r="AT3282">
        <v>0</v>
      </c>
      <c r="AW3282" t="s">
        <v>58</v>
      </c>
      <c r="AX3282">
        <v>20</v>
      </c>
      <c r="AY3282" s="1">
        <v>36452</v>
      </c>
      <c r="AZ3282" s="1">
        <v>36452</v>
      </c>
      <c r="BA3282" s="1">
        <v>36452</v>
      </c>
      <c r="BB3282" s="1">
        <v>43757</v>
      </c>
      <c r="BC3282" t="s">
        <v>51</v>
      </c>
      <c r="BE3282" t="s">
        <v>54</v>
      </c>
      <c r="BF3282">
        <v>2</v>
      </c>
      <c r="BG3282">
        <v>0</v>
      </c>
      <c r="BH3282" t="s">
        <v>53</v>
      </c>
      <c r="BK3282" t="s">
        <v>720</v>
      </c>
      <c r="BL3282">
        <v>17000</v>
      </c>
      <c r="BM3282" s="1">
        <v>43374</v>
      </c>
      <c r="BN3282" s="1">
        <v>43374</v>
      </c>
      <c r="BO3282" s="1">
        <v>43374</v>
      </c>
      <c r="BP3282" s="1">
        <v>44811</v>
      </c>
      <c r="BQ3282" t="s">
        <v>51</v>
      </c>
      <c r="BS3282" t="s">
        <v>60</v>
      </c>
      <c r="BT3282" t="s">
        <v>54</v>
      </c>
      <c r="BU3282" t="s">
        <v>721</v>
      </c>
      <c r="BV3282" t="s">
        <v>722</v>
      </c>
      <c r="BX3282">
        <v>18</v>
      </c>
      <c r="BY3282">
        <v>0</v>
      </c>
      <c r="BZ3282">
        <v>0</v>
      </c>
    </row>
    <row r="3283" spans="1:99" x14ac:dyDescent="0.2">
      <c r="A3283" t="s">
        <v>367</v>
      </c>
      <c r="B3283" t="s">
        <v>368</v>
      </c>
      <c r="C3283" t="s">
        <v>369</v>
      </c>
      <c r="D3283" t="s">
        <v>1406</v>
      </c>
      <c r="F3283" t="str">
        <f>"26201"</f>
        <v>26201</v>
      </c>
      <c r="G3283" t="s">
        <v>49</v>
      </c>
      <c r="H3283" t="s">
        <v>1321</v>
      </c>
      <c r="K3283" t="s">
        <v>51</v>
      </c>
      <c r="L3283" t="s">
        <v>52</v>
      </c>
      <c r="M3283">
        <v>138131.70000000001</v>
      </c>
      <c r="N3283">
        <v>467732.19</v>
      </c>
      <c r="O3283" t="s">
        <v>53</v>
      </c>
      <c r="P3283" t="s">
        <v>54</v>
      </c>
      <c r="Q3283" t="s">
        <v>55</v>
      </c>
      <c r="T3283" t="s">
        <v>183</v>
      </c>
      <c r="U3283">
        <v>40</v>
      </c>
      <c r="V3283" s="1">
        <v>25568</v>
      </c>
      <c r="W3283" s="1">
        <v>25568</v>
      </c>
      <c r="X3283" s="1">
        <v>25568</v>
      </c>
      <c r="Y3283" s="1">
        <v>40178</v>
      </c>
      <c r="Z3283" t="s">
        <v>51</v>
      </c>
      <c r="AB3283" t="s">
        <v>54</v>
      </c>
      <c r="AC3283">
        <v>1</v>
      </c>
      <c r="AE3283" t="s">
        <v>1212</v>
      </c>
      <c r="AF3283">
        <v>20</v>
      </c>
      <c r="AG3283" s="1">
        <v>31777</v>
      </c>
      <c r="AH3283" s="1">
        <v>31777</v>
      </c>
      <c r="AI3283" s="1">
        <v>31777</v>
      </c>
      <c r="AJ3283" s="1">
        <v>39082</v>
      </c>
      <c r="AK3283" t="s">
        <v>51</v>
      </c>
      <c r="AN3283">
        <v>0</v>
      </c>
      <c r="AO3283" t="s">
        <v>54</v>
      </c>
      <c r="AP3283" t="s">
        <v>53</v>
      </c>
      <c r="AQ3283">
        <v>0</v>
      </c>
      <c r="AR3283" t="s">
        <v>53</v>
      </c>
      <c r="AS3283">
        <v>0</v>
      </c>
      <c r="AT3283">
        <v>0</v>
      </c>
      <c r="AW3283" t="s">
        <v>58</v>
      </c>
      <c r="AX3283">
        <v>20</v>
      </c>
      <c r="AY3283" s="1">
        <v>31777</v>
      </c>
      <c r="AZ3283" s="1">
        <v>31777</v>
      </c>
      <c r="BA3283" s="1">
        <v>31777</v>
      </c>
      <c r="BB3283" s="1">
        <v>39082</v>
      </c>
      <c r="BC3283" t="s">
        <v>51</v>
      </c>
      <c r="BE3283" t="s">
        <v>54</v>
      </c>
      <c r="BF3283">
        <v>2</v>
      </c>
      <c r="BG3283">
        <v>0</v>
      </c>
      <c r="BH3283" t="s">
        <v>53</v>
      </c>
      <c r="BK3283" t="s">
        <v>720</v>
      </c>
      <c r="BL3283">
        <v>17000</v>
      </c>
      <c r="BM3283" s="1">
        <v>43949</v>
      </c>
      <c r="BN3283" s="1">
        <v>43949</v>
      </c>
      <c r="BO3283" s="1">
        <v>43949</v>
      </c>
      <c r="BP3283" s="1">
        <v>45381</v>
      </c>
      <c r="BQ3283" t="s">
        <v>51</v>
      </c>
      <c r="BS3283" t="s">
        <v>60</v>
      </c>
      <c r="BT3283" t="s">
        <v>54</v>
      </c>
      <c r="BU3283" t="s">
        <v>721</v>
      </c>
      <c r="BV3283" t="s">
        <v>722</v>
      </c>
      <c r="BX3283">
        <v>18</v>
      </c>
      <c r="BY3283">
        <v>0</v>
      </c>
      <c r="BZ3283">
        <v>0</v>
      </c>
    </row>
    <row r="3284" spans="1:99" x14ac:dyDescent="0.2">
      <c r="A3284" t="s">
        <v>367</v>
      </c>
      <c r="B3284" t="s">
        <v>368</v>
      </c>
      <c r="C3284" t="s">
        <v>369</v>
      </c>
      <c r="D3284" t="s">
        <v>1406</v>
      </c>
      <c r="F3284" t="str">
        <f>"26202"</f>
        <v>26202</v>
      </c>
      <c r="G3284" t="s">
        <v>49</v>
      </c>
      <c r="H3284" t="s">
        <v>1253</v>
      </c>
      <c r="K3284" t="s">
        <v>51</v>
      </c>
      <c r="L3284" t="s">
        <v>52</v>
      </c>
      <c r="M3284">
        <v>138146.51999999999</v>
      </c>
      <c r="N3284">
        <v>467763.45</v>
      </c>
      <c r="O3284" t="s">
        <v>53</v>
      </c>
      <c r="P3284" t="s">
        <v>54</v>
      </c>
      <c r="Q3284" t="s">
        <v>55</v>
      </c>
      <c r="T3284" t="s">
        <v>183</v>
      </c>
      <c r="U3284">
        <v>40</v>
      </c>
      <c r="V3284" s="1">
        <v>25568</v>
      </c>
      <c r="W3284" s="1">
        <v>25568</v>
      </c>
      <c r="X3284" s="1">
        <v>25568</v>
      </c>
      <c r="Y3284" s="1">
        <v>40178</v>
      </c>
      <c r="Z3284" t="s">
        <v>51</v>
      </c>
      <c r="AB3284" t="s">
        <v>54</v>
      </c>
      <c r="AC3284">
        <v>1</v>
      </c>
      <c r="AE3284" t="s">
        <v>1212</v>
      </c>
      <c r="AF3284">
        <v>20</v>
      </c>
      <c r="AG3284" s="1">
        <v>31777</v>
      </c>
      <c r="AH3284" s="1">
        <v>31777</v>
      </c>
      <c r="AI3284" s="1">
        <v>31777</v>
      </c>
      <c r="AJ3284" s="1">
        <v>39082</v>
      </c>
      <c r="AK3284" t="s">
        <v>51</v>
      </c>
      <c r="AN3284">
        <v>0</v>
      </c>
      <c r="AO3284" t="s">
        <v>54</v>
      </c>
      <c r="AP3284" t="s">
        <v>53</v>
      </c>
      <c r="AQ3284">
        <v>0</v>
      </c>
      <c r="AR3284" t="s">
        <v>53</v>
      </c>
      <c r="AS3284">
        <v>0</v>
      </c>
      <c r="AT3284">
        <v>0</v>
      </c>
      <c r="AW3284" t="s">
        <v>58</v>
      </c>
      <c r="AX3284">
        <v>20</v>
      </c>
      <c r="AY3284" s="1">
        <v>31777</v>
      </c>
      <c r="AZ3284" s="1">
        <v>31777</v>
      </c>
      <c r="BA3284" s="1">
        <v>31777</v>
      </c>
      <c r="BB3284" s="1">
        <v>39082</v>
      </c>
      <c r="BC3284" t="s">
        <v>51</v>
      </c>
      <c r="BE3284" t="s">
        <v>54</v>
      </c>
      <c r="BF3284">
        <v>2</v>
      </c>
      <c r="BG3284">
        <v>0</v>
      </c>
      <c r="BH3284" t="s">
        <v>53</v>
      </c>
      <c r="BK3284" t="s">
        <v>720</v>
      </c>
      <c r="BL3284">
        <v>17000</v>
      </c>
      <c r="BM3284" s="1">
        <v>44039</v>
      </c>
      <c r="BN3284" s="1">
        <v>44039</v>
      </c>
      <c r="BO3284" s="1">
        <v>44039</v>
      </c>
      <c r="BP3284" s="1">
        <v>45462</v>
      </c>
      <c r="BQ3284" t="s">
        <v>51</v>
      </c>
      <c r="BS3284" t="s">
        <v>60</v>
      </c>
      <c r="BT3284" t="s">
        <v>54</v>
      </c>
      <c r="BU3284" t="s">
        <v>721</v>
      </c>
      <c r="BV3284" t="s">
        <v>722</v>
      </c>
      <c r="BX3284">
        <v>18</v>
      </c>
      <c r="BY3284">
        <v>0</v>
      </c>
      <c r="BZ3284">
        <v>0</v>
      </c>
    </row>
    <row r="3285" spans="1:99" x14ac:dyDescent="0.2">
      <c r="A3285" t="s">
        <v>367</v>
      </c>
      <c r="B3285" t="s">
        <v>368</v>
      </c>
      <c r="C3285" t="s">
        <v>369</v>
      </c>
      <c r="D3285" t="s">
        <v>1406</v>
      </c>
      <c r="F3285" t="str">
        <f>"26203"</f>
        <v>26203</v>
      </c>
      <c r="G3285" t="s">
        <v>49</v>
      </c>
      <c r="H3285" t="s">
        <v>1214</v>
      </c>
      <c r="K3285" t="s">
        <v>51</v>
      </c>
      <c r="L3285" t="s">
        <v>52</v>
      </c>
      <c r="M3285">
        <v>138141.9</v>
      </c>
      <c r="N3285">
        <v>467790.95</v>
      </c>
      <c r="O3285" t="s">
        <v>53</v>
      </c>
      <c r="P3285" t="s">
        <v>54</v>
      </c>
      <c r="Q3285" t="s">
        <v>55</v>
      </c>
      <c r="T3285" t="s">
        <v>183</v>
      </c>
      <c r="U3285">
        <v>40</v>
      </c>
      <c r="V3285" s="1">
        <v>25568</v>
      </c>
      <c r="W3285" s="1">
        <v>25568</v>
      </c>
      <c r="X3285" s="1">
        <v>25568</v>
      </c>
      <c r="Y3285" s="1">
        <v>40178</v>
      </c>
      <c r="Z3285" t="s">
        <v>51</v>
      </c>
      <c r="AB3285" t="s">
        <v>54</v>
      </c>
      <c r="AC3285">
        <v>1</v>
      </c>
      <c r="AE3285" t="s">
        <v>1212</v>
      </c>
      <c r="AF3285">
        <v>20</v>
      </c>
      <c r="AG3285" s="1">
        <v>31777</v>
      </c>
      <c r="AH3285" s="1">
        <v>31777</v>
      </c>
      <c r="AI3285" s="1">
        <v>31777</v>
      </c>
      <c r="AJ3285" s="1">
        <v>39082</v>
      </c>
      <c r="AK3285" t="s">
        <v>51</v>
      </c>
      <c r="AN3285">
        <v>0</v>
      </c>
      <c r="AO3285" t="s">
        <v>54</v>
      </c>
      <c r="AP3285" t="s">
        <v>53</v>
      </c>
      <c r="AQ3285">
        <v>0</v>
      </c>
      <c r="AR3285" t="s">
        <v>53</v>
      </c>
      <c r="AS3285">
        <v>0</v>
      </c>
      <c r="AT3285">
        <v>0</v>
      </c>
      <c r="AW3285" t="s">
        <v>58</v>
      </c>
      <c r="AX3285">
        <v>20</v>
      </c>
      <c r="AY3285" s="1">
        <v>31777</v>
      </c>
      <c r="AZ3285" s="1">
        <v>31777</v>
      </c>
      <c r="BA3285" s="1">
        <v>31777</v>
      </c>
      <c r="BB3285" s="1">
        <v>39082</v>
      </c>
      <c r="BC3285" t="s">
        <v>51</v>
      </c>
      <c r="BE3285" t="s">
        <v>54</v>
      </c>
      <c r="BF3285">
        <v>2</v>
      </c>
      <c r="BG3285">
        <v>0</v>
      </c>
      <c r="BH3285" t="s">
        <v>53</v>
      </c>
      <c r="BK3285" t="s">
        <v>720</v>
      </c>
      <c r="BL3285">
        <v>17000</v>
      </c>
      <c r="BM3285" s="1">
        <v>45083</v>
      </c>
      <c r="BN3285" s="1">
        <v>45083</v>
      </c>
      <c r="BO3285" s="1">
        <v>45083</v>
      </c>
      <c r="BP3285" s="1">
        <v>46508</v>
      </c>
      <c r="BQ3285" t="s">
        <v>51</v>
      </c>
      <c r="BS3285" t="s">
        <v>60</v>
      </c>
      <c r="BT3285" t="s">
        <v>54</v>
      </c>
      <c r="BU3285" t="s">
        <v>721</v>
      </c>
      <c r="BV3285" t="s">
        <v>722</v>
      </c>
      <c r="BX3285">
        <v>18</v>
      </c>
      <c r="BY3285">
        <v>0</v>
      </c>
      <c r="BZ3285">
        <v>0</v>
      </c>
    </row>
    <row r="3286" spans="1:99" x14ac:dyDescent="0.2">
      <c r="A3286" t="s">
        <v>367</v>
      </c>
      <c r="B3286" t="s">
        <v>368</v>
      </c>
      <c r="C3286" t="s">
        <v>369</v>
      </c>
      <c r="D3286" t="s">
        <v>1406</v>
      </c>
      <c r="F3286" t="str">
        <f>"26204"</f>
        <v>26204</v>
      </c>
      <c r="G3286" t="s">
        <v>49</v>
      </c>
      <c r="H3286" t="s">
        <v>1232</v>
      </c>
      <c r="K3286" t="s">
        <v>51</v>
      </c>
      <c r="L3286" t="s">
        <v>52</v>
      </c>
      <c r="M3286">
        <v>138156.06</v>
      </c>
      <c r="N3286">
        <v>467821.65</v>
      </c>
      <c r="O3286" t="s">
        <v>53</v>
      </c>
      <c r="P3286" t="s">
        <v>54</v>
      </c>
      <c r="Q3286" t="s">
        <v>55</v>
      </c>
      <c r="T3286" t="s">
        <v>183</v>
      </c>
      <c r="U3286">
        <v>40</v>
      </c>
      <c r="V3286" s="1">
        <v>25568</v>
      </c>
      <c r="W3286" s="1">
        <v>25568</v>
      </c>
      <c r="X3286" s="1">
        <v>25568</v>
      </c>
      <c r="Y3286" s="1">
        <v>40178</v>
      </c>
      <c r="Z3286" t="s">
        <v>51</v>
      </c>
      <c r="AB3286" t="s">
        <v>54</v>
      </c>
      <c r="AC3286">
        <v>1</v>
      </c>
      <c r="AE3286" t="s">
        <v>1212</v>
      </c>
      <c r="AF3286">
        <v>20</v>
      </c>
      <c r="AG3286" s="1">
        <v>31777</v>
      </c>
      <c r="AH3286" s="1">
        <v>31777</v>
      </c>
      <c r="AI3286" s="1">
        <v>31777</v>
      </c>
      <c r="AJ3286" s="1">
        <v>39082</v>
      </c>
      <c r="AK3286" t="s">
        <v>51</v>
      </c>
      <c r="AN3286">
        <v>0</v>
      </c>
      <c r="AO3286" t="s">
        <v>54</v>
      </c>
      <c r="AP3286" t="s">
        <v>53</v>
      </c>
      <c r="AQ3286">
        <v>0</v>
      </c>
      <c r="AR3286" t="s">
        <v>53</v>
      </c>
      <c r="AS3286">
        <v>0</v>
      </c>
      <c r="AT3286">
        <v>0</v>
      </c>
      <c r="AW3286" t="s">
        <v>58</v>
      </c>
      <c r="AX3286">
        <v>20</v>
      </c>
      <c r="AY3286" s="1">
        <v>31777</v>
      </c>
      <c r="AZ3286" s="1">
        <v>31777</v>
      </c>
      <c r="BA3286" s="1">
        <v>31777</v>
      </c>
      <c r="BB3286" s="1">
        <v>39082</v>
      </c>
      <c r="BC3286" t="s">
        <v>51</v>
      </c>
      <c r="BE3286" t="s">
        <v>54</v>
      </c>
      <c r="BF3286">
        <v>2</v>
      </c>
      <c r="BG3286">
        <v>0</v>
      </c>
      <c r="BH3286" t="s">
        <v>53</v>
      </c>
      <c r="BK3286" t="s">
        <v>720</v>
      </c>
      <c r="BL3286">
        <v>17000</v>
      </c>
      <c r="BM3286" s="1">
        <v>43598</v>
      </c>
      <c r="BN3286" s="1">
        <v>43598</v>
      </c>
      <c r="BO3286" s="1">
        <v>43598</v>
      </c>
      <c r="BP3286" s="1">
        <v>45027</v>
      </c>
      <c r="BQ3286" t="s">
        <v>51</v>
      </c>
      <c r="BS3286" t="s">
        <v>60</v>
      </c>
      <c r="BT3286" t="s">
        <v>54</v>
      </c>
      <c r="BU3286" t="s">
        <v>721</v>
      </c>
      <c r="BV3286" t="s">
        <v>722</v>
      </c>
      <c r="BX3286">
        <v>18</v>
      </c>
      <c r="BY3286">
        <v>0</v>
      </c>
      <c r="BZ3286">
        <v>0</v>
      </c>
    </row>
    <row r="3287" spans="1:99" x14ac:dyDescent="0.2">
      <c r="A3287" t="s">
        <v>367</v>
      </c>
      <c r="B3287" t="s">
        <v>368</v>
      </c>
      <c r="C3287" t="s">
        <v>369</v>
      </c>
      <c r="D3287" t="s">
        <v>1406</v>
      </c>
      <c r="F3287" t="str">
        <f>"26205"</f>
        <v>26205</v>
      </c>
      <c r="G3287" t="s">
        <v>49</v>
      </c>
      <c r="H3287" t="s">
        <v>1338</v>
      </c>
      <c r="K3287" t="s">
        <v>51</v>
      </c>
      <c r="L3287" t="s">
        <v>52</v>
      </c>
      <c r="M3287">
        <v>138150.18</v>
      </c>
      <c r="N3287">
        <v>467855.39</v>
      </c>
      <c r="O3287" t="s">
        <v>53</v>
      </c>
      <c r="P3287" t="s">
        <v>54</v>
      </c>
      <c r="Q3287" t="s">
        <v>55</v>
      </c>
      <c r="T3287" t="s">
        <v>183</v>
      </c>
      <c r="U3287">
        <v>40</v>
      </c>
      <c r="V3287" s="1">
        <v>25568</v>
      </c>
      <c r="W3287" s="1">
        <v>25568</v>
      </c>
      <c r="X3287" s="1">
        <v>25568</v>
      </c>
      <c r="Y3287" s="1">
        <v>40178</v>
      </c>
      <c r="Z3287" t="s">
        <v>51</v>
      </c>
      <c r="AB3287" t="s">
        <v>54</v>
      </c>
      <c r="AC3287">
        <v>1</v>
      </c>
      <c r="AE3287" t="s">
        <v>1212</v>
      </c>
      <c r="AF3287">
        <v>20</v>
      </c>
      <c r="AG3287" s="1">
        <v>31777</v>
      </c>
      <c r="AH3287" s="1">
        <v>31777</v>
      </c>
      <c r="AI3287" s="1">
        <v>31777</v>
      </c>
      <c r="AJ3287" s="1">
        <v>39082</v>
      </c>
      <c r="AK3287" t="s">
        <v>51</v>
      </c>
      <c r="AN3287">
        <v>0</v>
      </c>
      <c r="AO3287" t="s">
        <v>54</v>
      </c>
      <c r="AP3287" t="s">
        <v>53</v>
      </c>
      <c r="AQ3287">
        <v>0</v>
      </c>
      <c r="AR3287" t="s">
        <v>53</v>
      </c>
      <c r="AS3287">
        <v>0</v>
      </c>
      <c r="AT3287">
        <v>0</v>
      </c>
      <c r="AW3287" t="s">
        <v>58</v>
      </c>
      <c r="AX3287">
        <v>20</v>
      </c>
      <c r="AY3287" s="1">
        <v>31777</v>
      </c>
      <c r="AZ3287" s="1">
        <v>31777</v>
      </c>
      <c r="BA3287" s="1">
        <v>31777</v>
      </c>
      <c r="BB3287" s="1">
        <v>39082</v>
      </c>
      <c r="BC3287" t="s">
        <v>51</v>
      </c>
      <c r="BE3287" t="s">
        <v>54</v>
      </c>
      <c r="BF3287">
        <v>2</v>
      </c>
      <c r="BG3287">
        <v>0</v>
      </c>
      <c r="BH3287" t="s">
        <v>53</v>
      </c>
      <c r="BK3287" t="s">
        <v>720</v>
      </c>
      <c r="BL3287">
        <v>17000</v>
      </c>
      <c r="BM3287" s="1">
        <v>43879</v>
      </c>
      <c r="BN3287" s="1">
        <v>43879</v>
      </c>
      <c r="BO3287" s="1">
        <v>43879</v>
      </c>
      <c r="BP3287" s="1">
        <v>45319</v>
      </c>
      <c r="BQ3287" t="s">
        <v>51</v>
      </c>
      <c r="BS3287" t="s">
        <v>60</v>
      </c>
      <c r="BT3287" t="s">
        <v>54</v>
      </c>
      <c r="BU3287" t="s">
        <v>721</v>
      </c>
      <c r="BV3287" t="s">
        <v>722</v>
      </c>
      <c r="BX3287">
        <v>18</v>
      </c>
      <c r="BY3287">
        <v>0</v>
      </c>
      <c r="BZ3287">
        <v>0</v>
      </c>
    </row>
    <row r="3288" spans="1:99" x14ac:dyDescent="0.2">
      <c r="A3288" t="s">
        <v>367</v>
      </c>
      <c r="B3288" t="s">
        <v>368</v>
      </c>
      <c r="C3288" t="s">
        <v>369</v>
      </c>
      <c r="D3288" t="s">
        <v>1188</v>
      </c>
      <c r="F3288" t="str">
        <f>"26206"</f>
        <v>26206</v>
      </c>
      <c r="G3288" t="s">
        <v>49</v>
      </c>
      <c r="H3288" t="s">
        <v>1408</v>
      </c>
      <c r="K3288" t="s">
        <v>51</v>
      </c>
      <c r="L3288" t="s">
        <v>52</v>
      </c>
      <c r="M3288">
        <v>138211.26999999999</v>
      </c>
      <c r="N3288">
        <v>467881.63</v>
      </c>
      <c r="O3288" t="s">
        <v>53</v>
      </c>
      <c r="P3288" t="s">
        <v>54</v>
      </c>
      <c r="Q3288" t="s">
        <v>55</v>
      </c>
      <c r="T3288" t="s">
        <v>183</v>
      </c>
      <c r="U3288">
        <v>40</v>
      </c>
      <c r="V3288" s="1">
        <v>25933</v>
      </c>
      <c r="W3288" s="1">
        <v>25933</v>
      </c>
      <c r="X3288" s="1">
        <v>25933</v>
      </c>
      <c r="Y3288" s="1">
        <v>40543</v>
      </c>
      <c r="Z3288" t="s">
        <v>51</v>
      </c>
      <c r="AB3288" t="s">
        <v>54</v>
      </c>
      <c r="AC3288">
        <v>1</v>
      </c>
      <c r="AE3288" t="s">
        <v>57</v>
      </c>
      <c r="AF3288">
        <v>20</v>
      </c>
      <c r="AG3288" s="1">
        <v>38506</v>
      </c>
      <c r="AH3288" s="1">
        <v>38506</v>
      </c>
      <c r="AI3288" s="1">
        <v>38506</v>
      </c>
      <c r="AJ3288" s="1">
        <v>45811</v>
      </c>
      <c r="AK3288" t="s">
        <v>51</v>
      </c>
      <c r="AN3288">
        <v>0</v>
      </c>
      <c r="AO3288" t="s">
        <v>54</v>
      </c>
      <c r="AP3288" t="s">
        <v>53</v>
      </c>
      <c r="AQ3288">
        <v>0</v>
      </c>
      <c r="AR3288" t="s">
        <v>53</v>
      </c>
      <c r="AS3288">
        <v>0</v>
      </c>
      <c r="AT3288">
        <v>0</v>
      </c>
      <c r="AW3288" t="s">
        <v>58</v>
      </c>
      <c r="AX3288">
        <v>20</v>
      </c>
      <c r="AY3288" s="1">
        <v>38506</v>
      </c>
      <c r="AZ3288" s="1">
        <v>38506</v>
      </c>
      <c r="BA3288" s="1">
        <v>38506</v>
      </c>
      <c r="BB3288" s="1">
        <v>45811</v>
      </c>
      <c r="BC3288" t="s">
        <v>51</v>
      </c>
      <c r="BE3288" t="s">
        <v>54</v>
      </c>
      <c r="BF3288">
        <v>2</v>
      </c>
      <c r="BG3288">
        <v>0</v>
      </c>
      <c r="BH3288" t="s">
        <v>53</v>
      </c>
      <c r="BK3288" t="s">
        <v>59</v>
      </c>
      <c r="BL3288">
        <v>14000</v>
      </c>
      <c r="BM3288" s="1">
        <v>44620</v>
      </c>
      <c r="BN3288" s="1">
        <v>44620</v>
      </c>
      <c r="BO3288" s="1">
        <v>44620</v>
      </c>
      <c r="BP3288" s="1">
        <v>45823</v>
      </c>
      <c r="BQ3288" t="s">
        <v>51</v>
      </c>
      <c r="BS3288" t="s">
        <v>60</v>
      </c>
      <c r="BT3288" t="s">
        <v>54</v>
      </c>
      <c r="BU3288" t="s">
        <v>61</v>
      </c>
      <c r="BV3288" t="s">
        <v>62</v>
      </c>
      <c r="BX3288">
        <v>24</v>
      </c>
      <c r="BY3288">
        <v>0</v>
      </c>
      <c r="BZ3288">
        <v>0</v>
      </c>
    </row>
    <row r="3289" spans="1:99" x14ac:dyDescent="0.2">
      <c r="A3289" t="s">
        <v>367</v>
      </c>
      <c r="B3289" t="s">
        <v>368</v>
      </c>
      <c r="C3289" t="s">
        <v>369</v>
      </c>
      <c r="D3289" t="s">
        <v>1188</v>
      </c>
      <c r="F3289" t="str">
        <f>"26207"</f>
        <v>26207</v>
      </c>
      <c r="G3289" t="s">
        <v>49</v>
      </c>
      <c r="H3289" t="s">
        <v>1409</v>
      </c>
      <c r="K3289" t="s">
        <v>51</v>
      </c>
      <c r="L3289" t="s">
        <v>52</v>
      </c>
      <c r="M3289">
        <v>138184.78</v>
      </c>
      <c r="N3289">
        <v>467875.41</v>
      </c>
      <c r="O3289" t="s">
        <v>53</v>
      </c>
      <c r="P3289" t="s">
        <v>54</v>
      </c>
      <c r="Q3289" t="s">
        <v>55</v>
      </c>
      <c r="T3289" t="s">
        <v>183</v>
      </c>
      <c r="U3289">
        <v>40</v>
      </c>
      <c r="V3289" s="1">
        <v>25933</v>
      </c>
      <c r="W3289" s="1">
        <v>25933</v>
      </c>
      <c r="X3289" s="1">
        <v>25933</v>
      </c>
      <c r="Y3289" s="1">
        <v>40543</v>
      </c>
      <c r="Z3289" t="s">
        <v>51</v>
      </c>
      <c r="AB3289" t="s">
        <v>54</v>
      </c>
      <c r="AC3289">
        <v>1</v>
      </c>
      <c r="AE3289" t="s">
        <v>1212</v>
      </c>
      <c r="AF3289">
        <v>20</v>
      </c>
      <c r="AG3289" s="1">
        <v>31777</v>
      </c>
      <c r="AH3289" s="1">
        <v>31777</v>
      </c>
      <c r="AI3289" s="1">
        <v>31777</v>
      </c>
      <c r="AJ3289" s="1">
        <v>39082</v>
      </c>
      <c r="AK3289" t="s">
        <v>51</v>
      </c>
      <c r="AN3289">
        <v>0</v>
      </c>
      <c r="AO3289" t="s">
        <v>54</v>
      </c>
      <c r="AP3289" t="s">
        <v>53</v>
      </c>
      <c r="AQ3289">
        <v>0</v>
      </c>
      <c r="AR3289" t="s">
        <v>53</v>
      </c>
      <c r="AS3289">
        <v>0</v>
      </c>
      <c r="AT3289">
        <v>0</v>
      </c>
      <c r="AW3289" t="s">
        <v>58</v>
      </c>
      <c r="AX3289">
        <v>20</v>
      </c>
      <c r="AY3289" s="1">
        <v>31777</v>
      </c>
      <c r="AZ3289" s="1">
        <v>31777</v>
      </c>
      <c r="BA3289" s="1">
        <v>31777</v>
      </c>
      <c r="BB3289" s="1">
        <v>39082</v>
      </c>
      <c r="BC3289" t="s">
        <v>51</v>
      </c>
      <c r="BE3289" t="s">
        <v>54</v>
      </c>
      <c r="BF3289">
        <v>2</v>
      </c>
      <c r="BG3289">
        <v>0</v>
      </c>
      <c r="BH3289" t="s">
        <v>53</v>
      </c>
      <c r="BK3289" t="s">
        <v>720</v>
      </c>
      <c r="BL3289">
        <v>17000</v>
      </c>
      <c r="BM3289" s="1">
        <v>42552</v>
      </c>
      <c r="BN3289" s="1">
        <v>42552</v>
      </c>
      <c r="BO3289" s="1">
        <v>42552</v>
      </c>
      <c r="BP3289" s="1">
        <v>43974</v>
      </c>
      <c r="BQ3289" t="s">
        <v>51</v>
      </c>
      <c r="BS3289" t="s">
        <v>60</v>
      </c>
      <c r="BT3289" t="s">
        <v>54</v>
      </c>
      <c r="BU3289" t="s">
        <v>721</v>
      </c>
      <c r="BV3289" t="s">
        <v>722</v>
      </c>
      <c r="BX3289">
        <v>18</v>
      </c>
      <c r="BY3289">
        <v>0</v>
      </c>
      <c r="BZ3289">
        <v>0</v>
      </c>
    </row>
    <row r="3290" spans="1:99" x14ac:dyDescent="0.2">
      <c r="A3290" t="s">
        <v>367</v>
      </c>
      <c r="B3290" t="s">
        <v>368</v>
      </c>
      <c r="C3290" t="s">
        <v>369</v>
      </c>
      <c r="D3290" t="s">
        <v>1188</v>
      </c>
      <c r="F3290" t="str">
        <f>"26208"</f>
        <v>26208</v>
      </c>
      <c r="G3290" t="s">
        <v>49</v>
      </c>
      <c r="H3290" t="s">
        <v>1410</v>
      </c>
      <c r="K3290" t="s">
        <v>51</v>
      </c>
      <c r="L3290" t="s">
        <v>52</v>
      </c>
      <c r="M3290">
        <v>138157.32999999999</v>
      </c>
      <c r="N3290">
        <v>467889.8</v>
      </c>
      <c r="O3290" t="s">
        <v>53</v>
      </c>
      <c r="P3290" t="s">
        <v>54</v>
      </c>
      <c r="Q3290" t="s">
        <v>55</v>
      </c>
      <c r="T3290" t="s">
        <v>841</v>
      </c>
      <c r="U3290">
        <v>40</v>
      </c>
      <c r="V3290" s="1">
        <v>27759</v>
      </c>
      <c r="W3290" s="1">
        <v>27759</v>
      </c>
      <c r="X3290" s="1">
        <v>27759</v>
      </c>
      <c r="Y3290" s="1">
        <v>42369</v>
      </c>
      <c r="Z3290" t="s">
        <v>51</v>
      </c>
      <c r="AB3290" t="s">
        <v>54</v>
      </c>
      <c r="AC3290">
        <v>1</v>
      </c>
      <c r="AE3290" t="s">
        <v>1212</v>
      </c>
      <c r="AF3290">
        <v>20</v>
      </c>
      <c r="AG3290" s="1">
        <v>31777</v>
      </c>
      <c r="AH3290" s="1">
        <v>31777</v>
      </c>
      <c r="AI3290" s="1">
        <v>31777</v>
      </c>
      <c r="AJ3290" s="1">
        <v>39082</v>
      </c>
      <c r="AK3290" t="s">
        <v>51</v>
      </c>
      <c r="AN3290">
        <v>0</v>
      </c>
      <c r="AO3290" t="s">
        <v>54</v>
      </c>
      <c r="AP3290" t="s">
        <v>53</v>
      </c>
      <c r="AQ3290">
        <v>0</v>
      </c>
      <c r="AR3290" t="s">
        <v>53</v>
      </c>
      <c r="AS3290">
        <v>0</v>
      </c>
      <c r="AT3290">
        <v>0</v>
      </c>
      <c r="AW3290" t="s">
        <v>58</v>
      </c>
      <c r="AX3290">
        <v>20</v>
      </c>
      <c r="AY3290" s="1">
        <v>31777</v>
      </c>
      <c r="AZ3290" s="1">
        <v>31777</v>
      </c>
      <c r="BA3290" s="1">
        <v>31777</v>
      </c>
      <c r="BB3290" s="1">
        <v>39082</v>
      </c>
      <c r="BC3290" t="s">
        <v>51</v>
      </c>
      <c r="BE3290" t="s">
        <v>54</v>
      </c>
      <c r="BF3290">
        <v>2</v>
      </c>
      <c r="BG3290">
        <v>0</v>
      </c>
      <c r="BH3290" t="s">
        <v>53</v>
      </c>
      <c r="BK3290" t="s">
        <v>720</v>
      </c>
      <c r="BL3290">
        <v>17000</v>
      </c>
      <c r="BM3290" s="1">
        <v>42552</v>
      </c>
      <c r="BN3290" s="1">
        <v>42552</v>
      </c>
      <c r="BO3290" s="1">
        <v>42552</v>
      </c>
      <c r="BP3290" s="1">
        <v>43974</v>
      </c>
      <c r="BQ3290" t="s">
        <v>51</v>
      </c>
      <c r="BS3290" t="s">
        <v>60</v>
      </c>
      <c r="BT3290" t="s">
        <v>54</v>
      </c>
      <c r="BU3290" t="s">
        <v>721</v>
      </c>
      <c r="BV3290" t="s">
        <v>722</v>
      </c>
      <c r="BX3290">
        <v>18</v>
      </c>
      <c r="BY3290">
        <v>0</v>
      </c>
      <c r="BZ3290">
        <v>0</v>
      </c>
    </row>
    <row r="3291" spans="1:99" x14ac:dyDescent="0.2">
      <c r="A3291" t="s">
        <v>367</v>
      </c>
      <c r="B3291" t="s">
        <v>368</v>
      </c>
      <c r="C3291" t="s">
        <v>369</v>
      </c>
      <c r="D3291" t="s">
        <v>1210</v>
      </c>
      <c r="F3291" t="str">
        <f>"26209"</f>
        <v>26209</v>
      </c>
      <c r="G3291" t="s">
        <v>49</v>
      </c>
      <c r="H3291" t="s">
        <v>1411</v>
      </c>
      <c r="K3291" t="s">
        <v>51</v>
      </c>
      <c r="L3291" t="s">
        <v>52</v>
      </c>
      <c r="M3291">
        <v>138147.84</v>
      </c>
      <c r="N3291">
        <v>467912.8</v>
      </c>
      <c r="O3291" t="s">
        <v>53</v>
      </c>
      <c r="P3291" t="s">
        <v>54</v>
      </c>
      <c r="Q3291" t="s">
        <v>55</v>
      </c>
      <c r="T3291" t="s">
        <v>183</v>
      </c>
      <c r="U3291">
        <v>40</v>
      </c>
      <c r="V3291" s="1">
        <v>25933</v>
      </c>
      <c r="W3291" s="1">
        <v>25933</v>
      </c>
      <c r="X3291" s="1">
        <v>25933</v>
      </c>
      <c r="Y3291" s="1">
        <v>40543</v>
      </c>
      <c r="Z3291" t="s">
        <v>51</v>
      </c>
      <c r="AB3291" t="s">
        <v>54</v>
      </c>
      <c r="AC3291">
        <v>1</v>
      </c>
      <c r="AE3291" t="s">
        <v>1212</v>
      </c>
      <c r="AF3291">
        <v>20</v>
      </c>
      <c r="AG3291" s="1">
        <v>31777</v>
      </c>
      <c r="AH3291" s="1">
        <v>31777</v>
      </c>
      <c r="AI3291" s="1">
        <v>31777</v>
      </c>
      <c r="AJ3291" s="1">
        <v>39082</v>
      </c>
      <c r="AK3291" t="s">
        <v>51</v>
      </c>
      <c r="AN3291">
        <v>0</v>
      </c>
      <c r="AO3291" t="s">
        <v>54</v>
      </c>
      <c r="AP3291" t="s">
        <v>53</v>
      </c>
      <c r="AQ3291">
        <v>0</v>
      </c>
      <c r="AR3291" t="s">
        <v>53</v>
      </c>
      <c r="AS3291">
        <v>0</v>
      </c>
      <c r="AT3291">
        <v>0</v>
      </c>
      <c r="AW3291" t="s">
        <v>58</v>
      </c>
      <c r="AX3291">
        <v>20</v>
      </c>
      <c r="AY3291" s="1">
        <v>31777</v>
      </c>
      <c r="AZ3291" s="1">
        <v>31777</v>
      </c>
      <c r="BA3291" s="1">
        <v>31777</v>
      </c>
      <c r="BB3291" s="1">
        <v>39082</v>
      </c>
      <c r="BC3291" t="s">
        <v>51</v>
      </c>
      <c r="BE3291" t="s">
        <v>54</v>
      </c>
      <c r="BF3291">
        <v>2</v>
      </c>
      <c r="BG3291">
        <v>0</v>
      </c>
      <c r="BH3291" t="s">
        <v>53</v>
      </c>
      <c r="BK3291" t="s">
        <v>720</v>
      </c>
      <c r="BL3291">
        <v>17000</v>
      </c>
      <c r="BM3291" s="1">
        <v>42552</v>
      </c>
      <c r="BN3291" s="1">
        <v>42552</v>
      </c>
      <c r="BO3291" s="1">
        <v>42552</v>
      </c>
      <c r="BP3291" s="1">
        <v>43974</v>
      </c>
      <c r="BQ3291" t="s">
        <v>51</v>
      </c>
      <c r="BS3291" t="s">
        <v>60</v>
      </c>
      <c r="BT3291" t="s">
        <v>54</v>
      </c>
      <c r="BU3291" t="s">
        <v>721</v>
      </c>
      <c r="BV3291" t="s">
        <v>722</v>
      </c>
      <c r="BX3291">
        <v>18</v>
      </c>
      <c r="BY3291">
        <v>0</v>
      </c>
      <c r="BZ3291">
        <v>0</v>
      </c>
    </row>
    <row r="3292" spans="1:99" x14ac:dyDescent="0.2">
      <c r="A3292" t="s">
        <v>367</v>
      </c>
      <c r="B3292" t="s">
        <v>368</v>
      </c>
      <c r="C3292" t="s">
        <v>369</v>
      </c>
      <c r="D3292" t="s">
        <v>1210</v>
      </c>
      <c r="F3292" t="str">
        <f>"26210"</f>
        <v>26210</v>
      </c>
      <c r="G3292" t="s">
        <v>49</v>
      </c>
      <c r="H3292" t="s">
        <v>1326</v>
      </c>
      <c r="K3292" t="s">
        <v>51</v>
      </c>
      <c r="L3292" t="s">
        <v>52</v>
      </c>
      <c r="M3292">
        <v>138141.92000000001</v>
      </c>
      <c r="N3292">
        <v>467934.51</v>
      </c>
      <c r="O3292" t="s">
        <v>53</v>
      </c>
      <c r="P3292" t="s">
        <v>54</v>
      </c>
      <c r="Q3292" t="s">
        <v>55</v>
      </c>
      <c r="T3292" t="s">
        <v>841</v>
      </c>
      <c r="U3292">
        <v>40</v>
      </c>
      <c r="V3292" s="1">
        <v>27759</v>
      </c>
      <c r="W3292" s="1">
        <v>27759</v>
      </c>
      <c r="X3292" s="1">
        <v>27759</v>
      </c>
      <c r="Y3292" s="1">
        <v>42369</v>
      </c>
      <c r="Z3292" t="s">
        <v>51</v>
      </c>
      <c r="AB3292" t="s">
        <v>54</v>
      </c>
      <c r="AC3292">
        <v>1</v>
      </c>
      <c r="AE3292" t="s">
        <v>1212</v>
      </c>
      <c r="AF3292">
        <v>20</v>
      </c>
      <c r="AG3292" s="1">
        <v>31777</v>
      </c>
      <c r="AH3292" s="1">
        <v>31777</v>
      </c>
      <c r="AI3292" s="1">
        <v>31777</v>
      </c>
      <c r="AJ3292" s="1">
        <v>39082</v>
      </c>
      <c r="AK3292" t="s">
        <v>51</v>
      </c>
      <c r="AN3292">
        <v>0</v>
      </c>
      <c r="AO3292" t="s">
        <v>54</v>
      </c>
      <c r="AP3292" t="s">
        <v>53</v>
      </c>
      <c r="AQ3292">
        <v>0</v>
      </c>
      <c r="AR3292" t="s">
        <v>53</v>
      </c>
      <c r="AS3292">
        <v>0</v>
      </c>
      <c r="AT3292">
        <v>0</v>
      </c>
      <c r="AW3292" t="s">
        <v>58</v>
      </c>
      <c r="AX3292">
        <v>20</v>
      </c>
      <c r="AY3292" s="1">
        <v>31777</v>
      </c>
      <c r="AZ3292" s="1">
        <v>31777</v>
      </c>
      <c r="BA3292" s="1">
        <v>31777</v>
      </c>
      <c r="BB3292" s="1">
        <v>39082</v>
      </c>
      <c r="BC3292" t="s">
        <v>51</v>
      </c>
      <c r="BE3292" t="s">
        <v>54</v>
      </c>
      <c r="BF3292">
        <v>2</v>
      </c>
      <c r="BG3292">
        <v>0</v>
      </c>
      <c r="BH3292" t="s">
        <v>53</v>
      </c>
      <c r="BK3292" t="s">
        <v>720</v>
      </c>
      <c r="BL3292">
        <v>17000</v>
      </c>
      <c r="BM3292" s="1">
        <v>42552</v>
      </c>
      <c r="BN3292" s="1">
        <v>42552</v>
      </c>
      <c r="BO3292" s="1">
        <v>42552</v>
      </c>
      <c r="BP3292" s="1">
        <v>43974</v>
      </c>
      <c r="BQ3292" t="s">
        <v>51</v>
      </c>
      <c r="BS3292" t="s">
        <v>60</v>
      </c>
      <c r="BT3292" t="s">
        <v>54</v>
      </c>
      <c r="BU3292" t="s">
        <v>721</v>
      </c>
      <c r="BV3292" t="s">
        <v>722</v>
      </c>
      <c r="BX3292">
        <v>18</v>
      </c>
      <c r="BY3292">
        <v>0</v>
      </c>
      <c r="BZ3292">
        <v>0</v>
      </c>
    </row>
    <row r="3293" spans="1:99" x14ac:dyDescent="0.2">
      <c r="A3293" t="s">
        <v>367</v>
      </c>
      <c r="B3293" t="s">
        <v>368</v>
      </c>
      <c r="C3293" t="s">
        <v>369</v>
      </c>
      <c r="D3293" t="s">
        <v>1396</v>
      </c>
      <c r="F3293" t="str">
        <f>"26213"</f>
        <v>26213</v>
      </c>
      <c r="G3293" t="s">
        <v>49</v>
      </c>
      <c r="H3293" t="s">
        <v>1412</v>
      </c>
      <c r="K3293" t="s">
        <v>51</v>
      </c>
      <c r="L3293" t="s">
        <v>52</v>
      </c>
      <c r="M3293">
        <v>138233.65</v>
      </c>
      <c r="N3293">
        <v>467939.96</v>
      </c>
      <c r="O3293" t="s">
        <v>53</v>
      </c>
      <c r="P3293" t="s">
        <v>54</v>
      </c>
      <c r="Q3293" t="s">
        <v>55</v>
      </c>
      <c r="T3293" t="s">
        <v>183</v>
      </c>
      <c r="U3293">
        <v>40</v>
      </c>
      <c r="V3293" s="1">
        <v>24107</v>
      </c>
      <c r="W3293" s="1">
        <v>24107</v>
      </c>
      <c r="X3293" s="1">
        <v>24107</v>
      </c>
      <c r="Y3293" s="1">
        <v>38717</v>
      </c>
      <c r="Z3293" t="s">
        <v>51</v>
      </c>
      <c r="AB3293" t="s">
        <v>54</v>
      </c>
      <c r="AC3293">
        <v>1</v>
      </c>
      <c r="AE3293" t="s">
        <v>1212</v>
      </c>
      <c r="AF3293">
        <v>20</v>
      </c>
      <c r="AG3293" s="1">
        <v>36452</v>
      </c>
      <c r="AH3293" s="1">
        <v>36452</v>
      </c>
      <c r="AI3293" s="1">
        <v>36452</v>
      </c>
      <c r="AJ3293" s="1">
        <v>43757</v>
      </c>
      <c r="AK3293" t="s">
        <v>51</v>
      </c>
      <c r="AN3293">
        <v>0</v>
      </c>
      <c r="AO3293" t="s">
        <v>54</v>
      </c>
      <c r="AP3293" t="s">
        <v>53</v>
      </c>
      <c r="AQ3293">
        <v>0</v>
      </c>
      <c r="AR3293" t="s">
        <v>53</v>
      </c>
      <c r="AS3293">
        <v>0</v>
      </c>
      <c r="AT3293">
        <v>0</v>
      </c>
      <c r="AW3293" t="s">
        <v>58</v>
      </c>
      <c r="AX3293">
        <v>20</v>
      </c>
      <c r="AY3293" s="1">
        <v>36452</v>
      </c>
      <c r="AZ3293" s="1">
        <v>36452</v>
      </c>
      <c r="BA3293" s="1">
        <v>36452</v>
      </c>
      <c r="BB3293" s="1">
        <v>43757</v>
      </c>
      <c r="BC3293" t="s">
        <v>51</v>
      </c>
      <c r="BE3293" t="s">
        <v>54</v>
      </c>
      <c r="BF3293">
        <v>2</v>
      </c>
      <c r="BG3293">
        <v>0</v>
      </c>
      <c r="BH3293" t="s">
        <v>53</v>
      </c>
      <c r="BK3293" t="s">
        <v>720</v>
      </c>
      <c r="BL3293">
        <v>17000</v>
      </c>
      <c r="BM3293" s="1">
        <v>43437</v>
      </c>
      <c r="BN3293" s="1">
        <v>43437</v>
      </c>
      <c r="BO3293" s="1">
        <v>43437</v>
      </c>
      <c r="BP3293" s="1">
        <v>44879</v>
      </c>
      <c r="BQ3293" t="s">
        <v>51</v>
      </c>
      <c r="BS3293" t="s">
        <v>60</v>
      </c>
      <c r="BT3293" t="s">
        <v>54</v>
      </c>
      <c r="BU3293" t="s">
        <v>721</v>
      </c>
      <c r="BV3293" t="s">
        <v>722</v>
      </c>
      <c r="BX3293">
        <v>18</v>
      </c>
      <c r="BY3293">
        <v>0</v>
      </c>
      <c r="BZ3293">
        <v>0</v>
      </c>
    </row>
    <row r="3294" spans="1:99" x14ac:dyDescent="0.2">
      <c r="A3294" t="s">
        <v>367</v>
      </c>
      <c r="B3294" t="s">
        <v>368</v>
      </c>
      <c r="C3294" t="s">
        <v>369</v>
      </c>
      <c r="D3294" t="s">
        <v>1396</v>
      </c>
      <c r="F3294" t="str">
        <f>"26214"</f>
        <v>26214</v>
      </c>
      <c r="G3294" t="s">
        <v>49</v>
      </c>
      <c r="H3294" t="s">
        <v>1413</v>
      </c>
      <c r="K3294" t="s">
        <v>51</v>
      </c>
      <c r="L3294" t="s">
        <v>52</v>
      </c>
      <c r="M3294">
        <v>138240.04</v>
      </c>
      <c r="N3294">
        <v>467919.71</v>
      </c>
      <c r="O3294" t="s">
        <v>53</v>
      </c>
      <c r="P3294" t="s">
        <v>54</v>
      </c>
      <c r="Q3294" t="s">
        <v>55</v>
      </c>
      <c r="T3294" t="s">
        <v>183</v>
      </c>
      <c r="U3294">
        <v>40</v>
      </c>
      <c r="V3294" s="1">
        <v>24107</v>
      </c>
      <c r="W3294" s="1">
        <v>24107</v>
      </c>
      <c r="X3294" s="1">
        <v>24107</v>
      </c>
      <c r="Y3294" s="1">
        <v>38717</v>
      </c>
      <c r="Z3294" t="s">
        <v>51</v>
      </c>
      <c r="AB3294" t="s">
        <v>54</v>
      </c>
      <c r="AC3294">
        <v>1</v>
      </c>
      <c r="AE3294" t="s">
        <v>1212</v>
      </c>
      <c r="AF3294">
        <v>20</v>
      </c>
      <c r="AG3294" s="1">
        <v>31777</v>
      </c>
      <c r="AH3294" s="1">
        <v>31777</v>
      </c>
      <c r="AI3294" s="1">
        <v>31777</v>
      </c>
      <c r="AJ3294" s="1">
        <v>39082</v>
      </c>
      <c r="AK3294" t="s">
        <v>51</v>
      </c>
      <c r="AN3294">
        <v>0</v>
      </c>
      <c r="AO3294" t="s">
        <v>54</v>
      </c>
      <c r="AP3294" t="s">
        <v>53</v>
      </c>
      <c r="AQ3294">
        <v>0</v>
      </c>
      <c r="AR3294" t="s">
        <v>53</v>
      </c>
      <c r="AS3294">
        <v>0</v>
      </c>
      <c r="AT3294">
        <v>0</v>
      </c>
      <c r="AW3294" t="s">
        <v>58</v>
      </c>
      <c r="AX3294">
        <v>20</v>
      </c>
      <c r="AY3294" s="1">
        <v>31777</v>
      </c>
      <c r="AZ3294" s="1">
        <v>31777</v>
      </c>
      <c r="BA3294" s="1">
        <v>31777</v>
      </c>
      <c r="BB3294" s="1">
        <v>39082</v>
      </c>
      <c r="BC3294" t="s">
        <v>51</v>
      </c>
      <c r="BE3294" t="s">
        <v>54</v>
      </c>
      <c r="BF3294">
        <v>2</v>
      </c>
      <c r="BG3294">
        <v>0</v>
      </c>
      <c r="BH3294" t="s">
        <v>53</v>
      </c>
      <c r="BK3294" t="s">
        <v>720</v>
      </c>
      <c r="BL3294">
        <v>17000</v>
      </c>
      <c r="BM3294" s="1">
        <v>44795</v>
      </c>
      <c r="BN3294" s="1">
        <v>44795</v>
      </c>
      <c r="BO3294" s="1">
        <v>44795</v>
      </c>
      <c r="BP3294" s="1">
        <v>46222</v>
      </c>
      <c r="BQ3294" t="s">
        <v>51</v>
      </c>
      <c r="BS3294" t="s">
        <v>60</v>
      </c>
      <c r="BT3294" t="s">
        <v>54</v>
      </c>
      <c r="BU3294" t="s">
        <v>721</v>
      </c>
      <c r="BV3294" t="s">
        <v>722</v>
      </c>
      <c r="BX3294">
        <v>18</v>
      </c>
      <c r="BY3294">
        <v>0</v>
      </c>
      <c r="BZ3294">
        <v>0</v>
      </c>
    </row>
    <row r="3295" spans="1:99" x14ac:dyDescent="0.2">
      <c r="A3295" t="s">
        <v>367</v>
      </c>
      <c r="B3295" t="s">
        <v>368</v>
      </c>
      <c r="C3295" t="s">
        <v>369</v>
      </c>
      <c r="D3295" t="s">
        <v>1396</v>
      </c>
      <c r="F3295" t="str">
        <f>"26215"</f>
        <v>26215</v>
      </c>
      <c r="G3295" t="s">
        <v>49</v>
      </c>
      <c r="H3295" t="s">
        <v>1414</v>
      </c>
      <c r="K3295" t="s">
        <v>51</v>
      </c>
      <c r="L3295" t="s">
        <v>52</v>
      </c>
      <c r="M3295">
        <v>138230.32999999999</v>
      </c>
      <c r="N3295">
        <v>467899.91</v>
      </c>
      <c r="O3295" t="s">
        <v>53</v>
      </c>
      <c r="P3295" t="s">
        <v>54</v>
      </c>
      <c r="Q3295" t="s">
        <v>55</v>
      </c>
      <c r="T3295" t="s">
        <v>841</v>
      </c>
      <c r="U3295">
        <v>40</v>
      </c>
      <c r="V3295" s="1">
        <v>31777</v>
      </c>
      <c r="W3295" s="1">
        <v>31777</v>
      </c>
      <c r="X3295" s="1">
        <v>31777</v>
      </c>
      <c r="Y3295" s="1">
        <v>46387</v>
      </c>
      <c r="Z3295" t="s">
        <v>51</v>
      </c>
      <c r="AB3295" t="s">
        <v>54</v>
      </c>
      <c r="AC3295">
        <v>1</v>
      </c>
      <c r="AE3295" t="s">
        <v>57</v>
      </c>
      <c r="AF3295">
        <v>20</v>
      </c>
      <c r="AG3295" s="1">
        <v>40297</v>
      </c>
      <c r="AH3295" s="1">
        <v>40297</v>
      </c>
      <c r="AI3295" s="1">
        <v>40297</v>
      </c>
      <c r="AJ3295" s="1">
        <v>47602</v>
      </c>
      <c r="AK3295" t="s">
        <v>51</v>
      </c>
      <c r="AN3295">
        <v>0</v>
      </c>
      <c r="AO3295" t="s">
        <v>54</v>
      </c>
      <c r="AP3295" t="s">
        <v>53</v>
      </c>
      <c r="AQ3295">
        <v>0</v>
      </c>
      <c r="AR3295" t="s">
        <v>53</v>
      </c>
      <c r="AS3295">
        <v>0</v>
      </c>
      <c r="AT3295">
        <v>0</v>
      </c>
      <c r="AW3295" t="s">
        <v>58</v>
      </c>
      <c r="AX3295">
        <v>20</v>
      </c>
      <c r="AY3295" s="1">
        <v>40297</v>
      </c>
      <c r="AZ3295" s="1">
        <v>40297</v>
      </c>
      <c r="BA3295" s="1">
        <v>40297</v>
      </c>
      <c r="BB3295" s="1">
        <v>47602</v>
      </c>
      <c r="BC3295" t="s">
        <v>51</v>
      </c>
      <c r="BE3295" t="s">
        <v>54</v>
      </c>
      <c r="BF3295">
        <v>2</v>
      </c>
      <c r="BG3295">
        <v>0</v>
      </c>
      <c r="BH3295" t="s">
        <v>53</v>
      </c>
      <c r="BK3295" t="s">
        <v>59</v>
      </c>
      <c r="BL3295">
        <v>14000</v>
      </c>
      <c r="BM3295" s="1">
        <v>42552</v>
      </c>
      <c r="BN3295" s="1">
        <v>42552</v>
      </c>
      <c r="BO3295" s="1">
        <v>42552</v>
      </c>
      <c r="BP3295" s="1">
        <v>43752</v>
      </c>
      <c r="BQ3295" t="s">
        <v>51</v>
      </c>
      <c r="BS3295" t="s">
        <v>60</v>
      </c>
      <c r="BT3295" t="s">
        <v>54</v>
      </c>
      <c r="BU3295" t="s">
        <v>61</v>
      </c>
      <c r="BV3295" t="s">
        <v>62</v>
      </c>
      <c r="BX3295">
        <v>24</v>
      </c>
      <c r="BY3295">
        <v>0</v>
      </c>
      <c r="BZ3295">
        <v>0</v>
      </c>
    </row>
    <row r="3296" spans="1:99" x14ac:dyDescent="0.2">
      <c r="A3296" t="s">
        <v>367</v>
      </c>
      <c r="B3296" t="s">
        <v>368</v>
      </c>
      <c r="C3296" t="s">
        <v>369</v>
      </c>
      <c r="D3296" t="s">
        <v>1192</v>
      </c>
      <c r="F3296" t="str">
        <f>"26217"</f>
        <v>26217</v>
      </c>
      <c r="G3296" t="s">
        <v>49</v>
      </c>
      <c r="H3296" t="s">
        <v>1415</v>
      </c>
      <c r="K3296" t="s">
        <v>51</v>
      </c>
      <c r="L3296" t="s">
        <v>52</v>
      </c>
      <c r="M3296">
        <v>138235.18</v>
      </c>
      <c r="N3296">
        <v>467840.23</v>
      </c>
      <c r="O3296" t="s">
        <v>53</v>
      </c>
      <c r="P3296" t="s">
        <v>54</v>
      </c>
      <c r="Q3296" t="s">
        <v>55</v>
      </c>
      <c r="T3296" t="s">
        <v>183</v>
      </c>
      <c r="U3296">
        <v>40</v>
      </c>
      <c r="V3296" s="1">
        <v>24107</v>
      </c>
      <c r="W3296" s="1">
        <v>24107</v>
      </c>
      <c r="X3296" s="1">
        <v>24107</v>
      </c>
      <c r="Y3296" s="1">
        <v>38717</v>
      </c>
      <c r="Z3296" t="s">
        <v>51</v>
      </c>
      <c r="AB3296" t="s">
        <v>54</v>
      </c>
      <c r="AC3296">
        <v>1</v>
      </c>
      <c r="AE3296" t="s">
        <v>1212</v>
      </c>
      <c r="AF3296">
        <v>20</v>
      </c>
      <c r="AG3296" s="1">
        <v>31777</v>
      </c>
      <c r="AH3296" s="1">
        <v>31777</v>
      </c>
      <c r="AI3296" s="1">
        <v>31777</v>
      </c>
      <c r="AJ3296" s="1">
        <v>39082</v>
      </c>
      <c r="AK3296" t="s">
        <v>51</v>
      </c>
      <c r="AN3296">
        <v>0</v>
      </c>
      <c r="AO3296" t="s">
        <v>54</v>
      </c>
      <c r="AP3296" t="s">
        <v>53</v>
      </c>
      <c r="AQ3296">
        <v>0</v>
      </c>
      <c r="AR3296" t="s">
        <v>53</v>
      </c>
      <c r="AS3296">
        <v>0</v>
      </c>
      <c r="AT3296">
        <v>0</v>
      </c>
      <c r="AW3296" t="s">
        <v>58</v>
      </c>
      <c r="AX3296">
        <v>20</v>
      </c>
      <c r="AY3296" s="1">
        <v>31777</v>
      </c>
      <c r="AZ3296" s="1">
        <v>31777</v>
      </c>
      <c r="BA3296" s="1">
        <v>31777</v>
      </c>
      <c r="BB3296" s="1">
        <v>39082</v>
      </c>
      <c r="BC3296" t="s">
        <v>51</v>
      </c>
      <c r="BE3296" t="s">
        <v>54</v>
      </c>
      <c r="BF3296">
        <v>2</v>
      </c>
      <c r="BG3296">
        <v>0</v>
      </c>
      <c r="BH3296" t="s">
        <v>53</v>
      </c>
      <c r="BK3296" t="s">
        <v>720</v>
      </c>
      <c r="BL3296">
        <v>17000</v>
      </c>
      <c r="BM3296" s="1">
        <v>43838</v>
      </c>
      <c r="BN3296" s="1">
        <v>43838</v>
      </c>
      <c r="BO3296" s="1">
        <v>43838</v>
      </c>
      <c r="BP3296" s="1">
        <v>45280</v>
      </c>
      <c r="BQ3296" t="s">
        <v>51</v>
      </c>
      <c r="BS3296" t="s">
        <v>60</v>
      </c>
      <c r="BT3296" t="s">
        <v>54</v>
      </c>
      <c r="BU3296" t="s">
        <v>721</v>
      </c>
      <c r="BV3296" t="s">
        <v>722</v>
      </c>
      <c r="BX3296">
        <v>18</v>
      </c>
      <c r="BY3296">
        <v>0</v>
      </c>
      <c r="BZ3296">
        <v>0</v>
      </c>
    </row>
    <row r="3297" spans="1:78" x14ac:dyDescent="0.2">
      <c r="A3297" t="s">
        <v>367</v>
      </c>
      <c r="B3297" t="s">
        <v>368</v>
      </c>
      <c r="C3297" t="s">
        <v>369</v>
      </c>
      <c r="D3297" t="s">
        <v>1192</v>
      </c>
      <c r="F3297" t="str">
        <f>"26218"</f>
        <v>26218</v>
      </c>
      <c r="G3297" t="s">
        <v>49</v>
      </c>
      <c r="H3297" t="s">
        <v>1416</v>
      </c>
      <c r="K3297" t="s">
        <v>51</v>
      </c>
      <c r="L3297" t="s">
        <v>52</v>
      </c>
      <c r="M3297">
        <v>138222.18</v>
      </c>
      <c r="N3297">
        <v>467813.37</v>
      </c>
      <c r="O3297" t="s">
        <v>53</v>
      </c>
      <c r="P3297" t="s">
        <v>54</v>
      </c>
      <c r="Q3297" t="s">
        <v>55</v>
      </c>
      <c r="T3297" t="s">
        <v>183</v>
      </c>
      <c r="U3297">
        <v>40</v>
      </c>
      <c r="V3297" s="1">
        <v>25203</v>
      </c>
      <c r="W3297" s="1">
        <v>25203</v>
      </c>
      <c r="X3297" s="1">
        <v>25203</v>
      </c>
      <c r="Y3297" s="1">
        <v>39813</v>
      </c>
      <c r="Z3297" t="s">
        <v>51</v>
      </c>
      <c r="AB3297" t="s">
        <v>54</v>
      </c>
      <c r="AC3297">
        <v>1</v>
      </c>
      <c r="AE3297" t="s">
        <v>1212</v>
      </c>
      <c r="AF3297">
        <v>20</v>
      </c>
      <c r="AG3297" s="1">
        <v>31777</v>
      </c>
      <c r="AH3297" s="1">
        <v>31777</v>
      </c>
      <c r="AI3297" s="1">
        <v>31777</v>
      </c>
      <c r="AJ3297" s="1">
        <v>39082</v>
      </c>
      <c r="AK3297" t="s">
        <v>51</v>
      </c>
      <c r="AN3297">
        <v>0</v>
      </c>
      <c r="AO3297" t="s">
        <v>54</v>
      </c>
      <c r="AP3297" t="s">
        <v>53</v>
      </c>
      <c r="AQ3297">
        <v>0</v>
      </c>
      <c r="AR3297" t="s">
        <v>53</v>
      </c>
      <c r="AS3297">
        <v>0</v>
      </c>
      <c r="AT3297">
        <v>0</v>
      </c>
      <c r="AW3297" t="s">
        <v>58</v>
      </c>
      <c r="AX3297">
        <v>20</v>
      </c>
      <c r="AY3297" s="1">
        <v>31777</v>
      </c>
      <c r="AZ3297" s="1">
        <v>31777</v>
      </c>
      <c r="BA3297" s="1">
        <v>31777</v>
      </c>
      <c r="BB3297" s="1">
        <v>39082</v>
      </c>
      <c r="BC3297" t="s">
        <v>51</v>
      </c>
      <c r="BE3297" t="s">
        <v>54</v>
      </c>
      <c r="BF3297">
        <v>2</v>
      </c>
      <c r="BG3297">
        <v>0</v>
      </c>
      <c r="BH3297" t="s">
        <v>53</v>
      </c>
      <c r="BK3297" t="s">
        <v>720</v>
      </c>
      <c r="BL3297">
        <v>17000</v>
      </c>
      <c r="BM3297" s="1">
        <v>42552</v>
      </c>
      <c r="BN3297" s="1">
        <v>42552</v>
      </c>
      <c r="BO3297" s="1">
        <v>42552</v>
      </c>
      <c r="BP3297" s="1">
        <v>43974</v>
      </c>
      <c r="BQ3297" t="s">
        <v>51</v>
      </c>
      <c r="BS3297" t="s">
        <v>60</v>
      </c>
      <c r="BT3297" t="s">
        <v>54</v>
      </c>
      <c r="BU3297" t="s">
        <v>721</v>
      </c>
      <c r="BV3297" t="s">
        <v>722</v>
      </c>
      <c r="BX3297">
        <v>18</v>
      </c>
      <c r="BY3297">
        <v>0</v>
      </c>
      <c r="BZ3297">
        <v>0</v>
      </c>
    </row>
    <row r="3298" spans="1:78" x14ac:dyDescent="0.2">
      <c r="A3298" t="s">
        <v>367</v>
      </c>
      <c r="B3298" t="s">
        <v>368</v>
      </c>
      <c r="C3298" t="s">
        <v>369</v>
      </c>
      <c r="D3298" t="s">
        <v>1192</v>
      </c>
      <c r="F3298" t="str">
        <f>"26219"</f>
        <v>26219</v>
      </c>
      <c r="G3298" t="s">
        <v>49</v>
      </c>
      <c r="H3298" t="s">
        <v>1417</v>
      </c>
      <c r="K3298" t="s">
        <v>51</v>
      </c>
      <c r="L3298" t="s">
        <v>52</v>
      </c>
      <c r="M3298">
        <v>138223.29999999999</v>
      </c>
      <c r="N3298">
        <v>467775.55</v>
      </c>
      <c r="O3298" t="s">
        <v>53</v>
      </c>
      <c r="P3298" t="s">
        <v>54</v>
      </c>
      <c r="Q3298" t="s">
        <v>55</v>
      </c>
      <c r="T3298" t="s">
        <v>183</v>
      </c>
      <c r="U3298">
        <v>40</v>
      </c>
      <c r="V3298" s="1">
        <v>25203</v>
      </c>
      <c r="W3298" s="1">
        <v>25203</v>
      </c>
      <c r="X3298" s="1">
        <v>25203</v>
      </c>
      <c r="Y3298" s="1">
        <v>39813</v>
      </c>
      <c r="Z3298" t="s">
        <v>51</v>
      </c>
      <c r="AB3298" t="s">
        <v>54</v>
      </c>
      <c r="AC3298">
        <v>1</v>
      </c>
      <c r="AE3298" t="s">
        <v>1212</v>
      </c>
      <c r="AF3298">
        <v>20</v>
      </c>
      <c r="AG3298" s="1">
        <v>31777</v>
      </c>
      <c r="AH3298" s="1">
        <v>31777</v>
      </c>
      <c r="AI3298" s="1">
        <v>31777</v>
      </c>
      <c r="AJ3298" s="1">
        <v>39082</v>
      </c>
      <c r="AK3298" t="s">
        <v>51</v>
      </c>
      <c r="AN3298">
        <v>0</v>
      </c>
      <c r="AO3298" t="s">
        <v>54</v>
      </c>
      <c r="AP3298" t="s">
        <v>53</v>
      </c>
      <c r="AQ3298">
        <v>0</v>
      </c>
      <c r="AR3298" t="s">
        <v>53</v>
      </c>
      <c r="AS3298">
        <v>0</v>
      </c>
      <c r="AT3298">
        <v>0</v>
      </c>
      <c r="AW3298" t="s">
        <v>58</v>
      </c>
      <c r="AX3298">
        <v>20</v>
      </c>
      <c r="AY3298" s="1">
        <v>31777</v>
      </c>
      <c r="AZ3298" s="1">
        <v>31777</v>
      </c>
      <c r="BA3298" s="1">
        <v>31777</v>
      </c>
      <c r="BB3298" s="1">
        <v>39082</v>
      </c>
      <c r="BC3298" t="s">
        <v>51</v>
      </c>
      <c r="BE3298" t="s">
        <v>54</v>
      </c>
      <c r="BF3298">
        <v>2</v>
      </c>
      <c r="BG3298">
        <v>0</v>
      </c>
      <c r="BH3298" t="s">
        <v>53</v>
      </c>
      <c r="BK3298" t="s">
        <v>720</v>
      </c>
      <c r="BL3298">
        <v>17000</v>
      </c>
      <c r="BM3298" s="1">
        <v>44494</v>
      </c>
      <c r="BN3298" s="1">
        <v>44494</v>
      </c>
      <c r="BO3298" s="1">
        <v>44494</v>
      </c>
      <c r="BP3298" s="1">
        <v>45933</v>
      </c>
      <c r="BQ3298" t="s">
        <v>51</v>
      </c>
      <c r="BS3298" t="s">
        <v>60</v>
      </c>
      <c r="BT3298" t="s">
        <v>54</v>
      </c>
      <c r="BU3298" t="s">
        <v>721</v>
      </c>
      <c r="BV3298" t="s">
        <v>722</v>
      </c>
      <c r="BX3298">
        <v>18</v>
      </c>
      <c r="BY3298">
        <v>0</v>
      </c>
      <c r="BZ3298">
        <v>0</v>
      </c>
    </row>
    <row r="3299" spans="1:78" x14ac:dyDescent="0.2">
      <c r="A3299" t="s">
        <v>367</v>
      </c>
      <c r="B3299" t="s">
        <v>368</v>
      </c>
      <c r="C3299" t="s">
        <v>369</v>
      </c>
      <c r="D3299" t="s">
        <v>1192</v>
      </c>
      <c r="F3299" t="str">
        <f>"26220"</f>
        <v>26220</v>
      </c>
      <c r="G3299" t="s">
        <v>49</v>
      </c>
      <c r="H3299" t="s">
        <v>1418</v>
      </c>
      <c r="K3299" t="s">
        <v>51</v>
      </c>
      <c r="L3299" t="s">
        <v>52</v>
      </c>
      <c r="M3299">
        <v>138217.14000000001</v>
      </c>
      <c r="N3299">
        <v>467750.25</v>
      </c>
      <c r="O3299" t="s">
        <v>53</v>
      </c>
      <c r="P3299" t="s">
        <v>54</v>
      </c>
      <c r="Q3299" t="s">
        <v>55</v>
      </c>
      <c r="T3299" t="s">
        <v>183</v>
      </c>
      <c r="U3299">
        <v>40</v>
      </c>
      <c r="V3299" s="1">
        <v>25203</v>
      </c>
      <c r="W3299" s="1">
        <v>25203</v>
      </c>
      <c r="X3299" s="1">
        <v>25203</v>
      </c>
      <c r="Y3299" s="1">
        <v>39813</v>
      </c>
      <c r="Z3299" t="s">
        <v>51</v>
      </c>
      <c r="AB3299" t="s">
        <v>54</v>
      </c>
      <c r="AC3299">
        <v>1</v>
      </c>
      <c r="AE3299" t="s">
        <v>1212</v>
      </c>
      <c r="AF3299">
        <v>20</v>
      </c>
      <c r="AG3299" s="1">
        <v>31777</v>
      </c>
      <c r="AH3299" s="1">
        <v>31777</v>
      </c>
      <c r="AI3299" s="1">
        <v>31777</v>
      </c>
      <c r="AJ3299" s="1">
        <v>39082</v>
      </c>
      <c r="AK3299" t="s">
        <v>51</v>
      </c>
      <c r="AN3299">
        <v>0</v>
      </c>
      <c r="AO3299" t="s">
        <v>54</v>
      </c>
      <c r="AP3299" t="s">
        <v>53</v>
      </c>
      <c r="AQ3299">
        <v>0</v>
      </c>
      <c r="AR3299" t="s">
        <v>53</v>
      </c>
      <c r="AS3299">
        <v>0</v>
      </c>
      <c r="AT3299">
        <v>0</v>
      </c>
      <c r="AW3299" t="s">
        <v>333</v>
      </c>
      <c r="AX3299">
        <v>0</v>
      </c>
      <c r="AY3299" s="1">
        <v>44662</v>
      </c>
      <c r="AZ3299" s="1">
        <v>44662</v>
      </c>
      <c r="BA3299" s="1">
        <v>44662</v>
      </c>
      <c r="BB3299" s="1">
        <v>44662</v>
      </c>
      <c r="BC3299" t="s">
        <v>51</v>
      </c>
      <c r="BE3299" t="s">
        <v>54</v>
      </c>
      <c r="BF3299">
        <v>0</v>
      </c>
      <c r="BG3299">
        <v>0</v>
      </c>
      <c r="BH3299" t="s">
        <v>53</v>
      </c>
      <c r="BK3299" t="s">
        <v>720</v>
      </c>
      <c r="BL3299">
        <v>17000</v>
      </c>
      <c r="BM3299" s="1">
        <v>44662</v>
      </c>
      <c r="BN3299" s="1">
        <v>44662</v>
      </c>
      <c r="BO3299" s="1">
        <v>44662</v>
      </c>
      <c r="BP3299" s="1">
        <v>46096</v>
      </c>
      <c r="BQ3299" t="s">
        <v>51</v>
      </c>
      <c r="BS3299" t="s">
        <v>60</v>
      </c>
      <c r="BT3299" t="s">
        <v>54</v>
      </c>
      <c r="BU3299" t="s">
        <v>721</v>
      </c>
      <c r="BV3299" t="s">
        <v>722</v>
      </c>
      <c r="BX3299">
        <v>18</v>
      </c>
      <c r="BY3299">
        <v>0</v>
      </c>
      <c r="BZ3299">
        <v>0</v>
      </c>
    </row>
    <row r="3300" spans="1:78" x14ac:dyDescent="0.2">
      <c r="A3300" t="s">
        <v>367</v>
      </c>
      <c r="B3300" t="s">
        <v>368</v>
      </c>
      <c r="C3300" t="s">
        <v>369</v>
      </c>
      <c r="D3300" t="s">
        <v>1192</v>
      </c>
      <c r="F3300" t="str">
        <f>"26221"</f>
        <v>26221</v>
      </c>
      <c r="G3300" t="s">
        <v>49</v>
      </c>
      <c r="H3300" t="s">
        <v>1419</v>
      </c>
      <c r="K3300" t="s">
        <v>51</v>
      </c>
      <c r="L3300" t="s">
        <v>52</v>
      </c>
      <c r="M3300">
        <v>138201.29999999999</v>
      </c>
      <c r="N3300">
        <v>467722.97</v>
      </c>
      <c r="O3300" t="s">
        <v>53</v>
      </c>
      <c r="P3300" t="s">
        <v>54</v>
      </c>
      <c r="Q3300" t="s">
        <v>55</v>
      </c>
      <c r="T3300" t="s">
        <v>183</v>
      </c>
      <c r="U3300">
        <v>40</v>
      </c>
      <c r="V3300" s="1">
        <v>25203</v>
      </c>
      <c r="W3300" s="1">
        <v>25203</v>
      </c>
      <c r="X3300" s="1">
        <v>25203</v>
      </c>
      <c r="Y3300" s="1">
        <v>39813</v>
      </c>
      <c r="Z3300" t="s">
        <v>51</v>
      </c>
      <c r="AB3300" t="s">
        <v>54</v>
      </c>
      <c r="AC3300">
        <v>1</v>
      </c>
      <c r="AE3300" t="s">
        <v>1212</v>
      </c>
      <c r="AF3300">
        <v>20</v>
      </c>
      <c r="AG3300" s="1">
        <v>31777</v>
      </c>
      <c r="AH3300" s="1">
        <v>31777</v>
      </c>
      <c r="AI3300" s="1">
        <v>31777</v>
      </c>
      <c r="AJ3300" s="1">
        <v>39082</v>
      </c>
      <c r="AK3300" t="s">
        <v>51</v>
      </c>
      <c r="AN3300">
        <v>0</v>
      </c>
      <c r="AO3300" t="s">
        <v>54</v>
      </c>
      <c r="AP3300" t="s">
        <v>53</v>
      </c>
      <c r="AQ3300">
        <v>0</v>
      </c>
      <c r="AR3300" t="s">
        <v>53</v>
      </c>
      <c r="AS3300">
        <v>0</v>
      </c>
      <c r="AT3300">
        <v>0</v>
      </c>
      <c r="AW3300" t="s">
        <v>58</v>
      </c>
      <c r="AX3300">
        <v>20</v>
      </c>
      <c r="AY3300" s="1">
        <v>31777</v>
      </c>
      <c r="AZ3300" s="1">
        <v>31777</v>
      </c>
      <c r="BA3300" s="1">
        <v>31777</v>
      </c>
      <c r="BB3300" s="1">
        <v>39082</v>
      </c>
      <c r="BC3300" t="s">
        <v>51</v>
      </c>
      <c r="BE3300" t="s">
        <v>54</v>
      </c>
      <c r="BF3300">
        <v>2</v>
      </c>
      <c r="BG3300">
        <v>0</v>
      </c>
      <c r="BH3300" t="s">
        <v>53</v>
      </c>
      <c r="BK3300" t="s">
        <v>720</v>
      </c>
      <c r="BL3300">
        <v>17000</v>
      </c>
      <c r="BM3300" s="1">
        <v>43781</v>
      </c>
      <c r="BN3300" s="1">
        <v>43781</v>
      </c>
      <c r="BO3300" s="1">
        <v>43781</v>
      </c>
      <c r="BP3300" s="1">
        <v>45222</v>
      </c>
      <c r="BQ3300" t="s">
        <v>51</v>
      </c>
      <c r="BS3300" t="s">
        <v>60</v>
      </c>
      <c r="BT3300" t="s">
        <v>54</v>
      </c>
      <c r="BU3300" t="s">
        <v>721</v>
      </c>
      <c r="BV3300" t="s">
        <v>722</v>
      </c>
      <c r="BX3300">
        <v>18</v>
      </c>
      <c r="BY3300">
        <v>0</v>
      </c>
      <c r="BZ3300">
        <v>0</v>
      </c>
    </row>
    <row r="3301" spans="1:78" x14ac:dyDescent="0.2">
      <c r="A3301" t="s">
        <v>367</v>
      </c>
      <c r="B3301" t="s">
        <v>368</v>
      </c>
      <c r="C3301" t="s">
        <v>369</v>
      </c>
      <c r="D3301" t="s">
        <v>1192</v>
      </c>
      <c r="F3301" t="str">
        <f>"26222"</f>
        <v>26222</v>
      </c>
      <c r="G3301" t="s">
        <v>49</v>
      </c>
      <c r="H3301" t="s">
        <v>1420</v>
      </c>
      <c r="K3301" t="s">
        <v>51</v>
      </c>
      <c r="L3301" t="s">
        <v>52</v>
      </c>
      <c r="M3301">
        <v>138203.44</v>
      </c>
      <c r="N3301">
        <v>467693.99</v>
      </c>
      <c r="O3301" t="s">
        <v>53</v>
      </c>
      <c r="P3301" t="s">
        <v>54</v>
      </c>
      <c r="Q3301" t="s">
        <v>55</v>
      </c>
      <c r="T3301" t="s">
        <v>183</v>
      </c>
      <c r="U3301">
        <v>40</v>
      </c>
      <c r="V3301" s="1">
        <v>25203</v>
      </c>
      <c r="W3301" s="1">
        <v>25203</v>
      </c>
      <c r="X3301" s="1">
        <v>25203</v>
      </c>
      <c r="Y3301" s="1">
        <v>39813</v>
      </c>
      <c r="Z3301" t="s">
        <v>51</v>
      </c>
      <c r="AB3301" t="s">
        <v>54</v>
      </c>
      <c r="AC3301">
        <v>1</v>
      </c>
      <c r="AE3301" t="s">
        <v>1212</v>
      </c>
      <c r="AF3301">
        <v>20</v>
      </c>
      <c r="AG3301" s="1">
        <v>31777</v>
      </c>
      <c r="AH3301" s="1">
        <v>31777</v>
      </c>
      <c r="AI3301" s="1">
        <v>31777</v>
      </c>
      <c r="AJ3301" s="1">
        <v>39082</v>
      </c>
      <c r="AK3301" t="s">
        <v>51</v>
      </c>
      <c r="AN3301">
        <v>0</v>
      </c>
      <c r="AO3301" t="s">
        <v>54</v>
      </c>
      <c r="AP3301" t="s">
        <v>53</v>
      </c>
      <c r="AQ3301">
        <v>0</v>
      </c>
      <c r="AR3301" t="s">
        <v>53</v>
      </c>
      <c r="AS3301">
        <v>0</v>
      </c>
      <c r="AT3301">
        <v>0</v>
      </c>
      <c r="AW3301" t="s">
        <v>58</v>
      </c>
      <c r="AX3301">
        <v>20</v>
      </c>
      <c r="AY3301" s="1">
        <v>31777</v>
      </c>
      <c r="AZ3301" s="1">
        <v>31777</v>
      </c>
      <c r="BA3301" s="1">
        <v>31777</v>
      </c>
      <c r="BB3301" s="1">
        <v>39082</v>
      </c>
      <c r="BC3301" t="s">
        <v>51</v>
      </c>
      <c r="BE3301" t="s">
        <v>54</v>
      </c>
      <c r="BF3301">
        <v>2</v>
      </c>
      <c r="BG3301">
        <v>0</v>
      </c>
      <c r="BH3301" t="s">
        <v>53</v>
      </c>
      <c r="BK3301" t="s">
        <v>720</v>
      </c>
      <c r="BL3301">
        <v>17000</v>
      </c>
      <c r="BM3301" s="1">
        <v>43850</v>
      </c>
      <c r="BN3301" s="1">
        <v>43850</v>
      </c>
      <c r="BO3301" s="1">
        <v>43850</v>
      </c>
      <c r="BP3301" s="1">
        <v>45293</v>
      </c>
      <c r="BQ3301" t="s">
        <v>51</v>
      </c>
      <c r="BS3301" t="s">
        <v>60</v>
      </c>
      <c r="BT3301" t="s">
        <v>54</v>
      </c>
      <c r="BU3301" t="s">
        <v>721</v>
      </c>
      <c r="BV3301" t="s">
        <v>722</v>
      </c>
      <c r="BX3301">
        <v>18</v>
      </c>
      <c r="BY3301">
        <v>0</v>
      </c>
      <c r="BZ3301">
        <v>0</v>
      </c>
    </row>
    <row r="3302" spans="1:78" x14ac:dyDescent="0.2">
      <c r="A3302" t="s">
        <v>367</v>
      </c>
      <c r="B3302" t="s">
        <v>368</v>
      </c>
      <c r="C3302" t="s">
        <v>369</v>
      </c>
      <c r="D3302" t="s">
        <v>1199</v>
      </c>
      <c r="F3302" t="str">
        <f>"26223"</f>
        <v>26223</v>
      </c>
      <c r="G3302" t="s">
        <v>49</v>
      </c>
      <c r="H3302" t="s">
        <v>1421</v>
      </c>
      <c r="K3302" t="s">
        <v>51</v>
      </c>
      <c r="L3302" t="s">
        <v>52</v>
      </c>
      <c r="M3302">
        <v>138209.44</v>
      </c>
      <c r="N3302">
        <v>467674.57</v>
      </c>
      <c r="O3302" t="s">
        <v>53</v>
      </c>
      <c r="P3302" t="s">
        <v>54</v>
      </c>
      <c r="Q3302" t="s">
        <v>55</v>
      </c>
      <c r="T3302" t="s">
        <v>183</v>
      </c>
      <c r="U3302">
        <v>40</v>
      </c>
      <c r="V3302" s="1">
        <v>25933</v>
      </c>
      <c r="W3302" s="1">
        <v>25933</v>
      </c>
      <c r="X3302" s="1">
        <v>25933</v>
      </c>
      <c r="Y3302" s="1">
        <v>40543</v>
      </c>
      <c r="Z3302" t="s">
        <v>51</v>
      </c>
      <c r="AB3302" t="s">
        <v>54</v>
      </c>
      <c r="AC3302">
        <v>1</v>
      </c>
      <c r="AE3302" t="s">
        <v>1212</v>
      </c>
      <c r="AF3302">
        <v>20</v>
      </c>
      <c r="AG3302" s="1">
        <v>31777</v>
      </c>
      <c r="AH3302" s="1">
        <v>31777</v>
      </c>
      <c r="AI3302" s="1">
        <v>31777</v>
      </c>
      <c r="AJ3302" s="1">
        <v>39082</v>
      </c>
      <c r="AK3302" t="s">
        <v>51</v>
      </c>
      <c r="AN3302">
        <v>0</v>
      </c>
      <c r="AO3302" t="s">
        <v>54</v>
      </c>
      <c r="AP3302" t="s">
        <v>53</v>
      </c>
      <c r="AQ3302">
        <v>0</v>
      </c>
      <c r="AR3302" t="s">
        <v>53</v>
      </c>
      <c r="AS3302">
        <v>0</v>
      </c>
      <c r="AT3302">
        <v>0</v>
      </c>
      <c r="AW3302" t="s">
        <v>58</v>
      </c>
      <c r="AX3302">
        <v>20</v>
      </c>
      <c r="AY3302" s="1">
        <v>31777</v>
      </c>
      <c r="AZ3302" s="1">
        <v>31777</v>
      </c>
      <c r="BA3302" s="1">
        <v>31777</v>
      </c>
      <c r="BB3302" s="1">
        <v>39082</v>
      </c>
      <c r="BC3302" t="s">
        <v>51</v>
      </c>
      <c r="BE3302" t="s">
        <v>54</v>
      </c>
      <c r="BF3302">
        <v>2</v>
      </c>
      <c r="BG3302">
        <v>0</v>
      </c>
      <c r="BH3302" t="s">
        <v>53</v>
      </c>
      <c r="BK3302" t="s">
        <v>720</v>
      </c>
      <c r="BL3302">
        <v>17000</v>
      </c>
      <c r="BM3302" s="1">
        <v>45005</v>
      </c>
      <c r="BN3302" s="1">
        <v>45005</v>
      </c>
      <c r="BO3302" s="1">
        <v>45005</v>
      </c>
      <c r="BP3302" s="1">
        <v>46442</v>
      </c>
      <c r="BQ3302" t="s">
        <v>51</v>
      </c>
      <c r="BS3302" t="s">
        <v>60</v>
      </c>
      <c r="BT3302" t="s">
        <v>54</v>
      </c>
      <c r="BU3302" t="s">
        <v>721</v>
      </c>
      <c r="BV3302" t="s">
        <v>722</v>
      </c>
      <c r="BX3302">
        <v>18</v>
      </c>
      <c r="BY3302">
        <v>0</v>
      </c>
      <c r="BZ3302">
        <v>0</v>
      </c>
    </row>
    <row r="3303" spans="1:78" x14ac:dyDescent="0.2">
      <c r="A3303" t="s">
        <v>367</v>
      </c>
      <c r="B3303" t="s">
        <v>368</v>
      </c>
      <c r="C3303" t="s">
        <v>369</v>
      </c>
      <c r="D3303" t="s">
        <v>1199</v>
      </c>
      <c r="F3303" t="str">
        <f>"26224"</f>
        <v>26224</v>
      </c>
      <c r="G3303" t="s">
        <v>49</v>
      </c>
      <c r="H3303" t="s">
        <v>1422</v>
      </c>
      <c r="K3303" t="s">
        <v>51</v>
      </c>
      <c r="L3303" t="s">
        <v>52</v>
      </c>
      <c r="M3303">
        <v>138240.24</v>
      </c>
      <c r="N3303">
        <v>467675.67</v>
      </c>
      <c r="O3303" t="s">
        <v>53</v>
      </c>
      <c r="P3303" t="s">
        <v>54</v>
      </c>
      <c r="Q3303" t="s">
        <v>55</v>
      </c>
      <c r="T3303" t="s">
        <v>183</v>
      </c>
      <c r="U3303">
        <v>40</v>
      </c>
      <c r="V3303" s="1">
        <v>25933</v>
      </c>
      <c r="W3303" s="1">
        <v>25933</v>
      </c>
      <c r="X3303" s="1">
        <v>25933</v>
      </c>
      <c r="Y3303" s="1">
        <v>40543</v>
      </c>
      <c r="Z3303" t="s">
        <v>51</v>
      </c>
      <c r="AB3303" t="s">
        <v>54</v>
      </c>
      <c r="AC3303">
        <v>1</v>
      </c>
      <c r="AE3303" t="s">
        <v>1212</v>
      </c>
      <c r="AF3303">
        <v>20</v>
      </c>
      <c r="AG3303" s="1">
        <v>31777</v>
      </c>
      <c r="AH3303" s="1">
        <v>31777</v>
      </c>
      <c r="AI3303" s="1">
        <v>31777</v>
      </c>
      <c r="AJ3303" s="1">
        <v>39082</v>
      </c>
      <c r="AK3303" t="s">
        <v>51</v>
      </c>
      <c r="AN3303">
        <v>0</v>
      </c>
      <c r="AO3303" t="s">
        <v>54</v>
      </c>
      <c r="AP3303" t="s">
        <v>53</v>
      </c>
      <c r="AQ3303">
        <v>0</v>
      </c>
      <c r="AR3303" t="s">
        <v>53</v>
      </c>
      <c r="AS3303">
        <v>0</v>
      </c>
      <c r="AT3303">
        <v>0</v>
      </c>
      <c r="AW3303" t="s">
        <v>58</v>
      </c>
      <c r="AX3303">
        <v>20</v>
      </c>
      <c r="AY3303" s="1">
        <v>31777</v>
      </c>
      <c r="AZ3303" s="1">
        <v>31777</v>
      </c>
      <c r="BA3303" s="1">
        <v>31777</v>
      </c>
      <c r="BB3303" s="1">
        <v>39082</v>
      </c>
      <c r="BC3303" t="s">
        <v>51</v>
      </c>
      <c r="BE3303" t="s">
        <v>54</v>
      </c>
      <c r="BF3303">
        <v>2</v>
      </c>
      <c r="BG3303">
        <v>0</v>
      </c>
      <c r="BH3303" t="s">
        <v>53</v>
      </c>
      <c r="BK3303" t="s">
        <v>720</v>
      </c>
      <c r="BL3303">
        <v>17000</v>
      </c>
      <c r="BM3303" s="1">
        <v>43913</v>
      </c>
      <c r="BN3303" s="1">
        <v>43913</v>
      </c>
      <c r="BO3303" s="1">
        <v>43913</v>
      </c>
      <c r="BP3303" s="1">
        <v>45351</v>
      </c>
      <c r="BQ3303" t="s">
        <v>51</v>
      </c>
      <c r="BS3303" t="s">
        <v>60</v>
      </c>
      <c r="BT3303" t="s">
        <v>54</v>
      </c>
      <c r="BU3303" t="s">
        <v>721</v>
      </c>
      <c r="BV3303" t="s">
        <v>722</v>
      </c>
      <c r="BX3303">
        <v>18</v>
      </c>
      <c r="BY3303">
        <v>0</v>
      </c>
      <c r="BZ3303">
        <v>0</v>
      </c>
    </row>
    <row r="3304" spans="1:78" x14ac:dyDescent="0.2">
      <c r="A3304" t="s">
        <v>367</v>
      </c>
      <c r="B3304" t="s">
        <v>368</v>
      </c>
      <c r="C3304" t="s">
        <v>369</v>
      </c>
      <c r="D3304" t="s">
        <v>1199</v>
      </c>
      <c r="F3304" t="str">
        <f>"26225"</f>
        <v>26225</v>
      </c>
      <c r="G3304" t="s">
        <v>49</v>
      </c>
      <c r="H3304" t="s">
        <v>1423</v>
      </c>
      <c r="K3304" t="s">
        <v>51</v>
      </c>
      <c r="L3304" t="s">
        <v>52</v>
      </c>
      <c r="M3304">
        <v>138265.44</v>
      </c>
      <c r="N3304">
        <v>467660.15</v>
      </c>
      <c r="O3304" t="s">
        <v>53</v>
      </c>
      <c r="P3304" t="s">
        <v>54</v>
      </c>
      <c r="Q3304" t="s">
        <v>55</v>
      </c>
      <c r="T3304" t="s">
        <v>183</v>
      </c>
      <c r="U3304">
        <v>40</v>
      </c>
      <c r="V3304" s="1">
        <v>25933</v>
      </c>
      <c r="W3304" s="1">
        <v>25933</v>
      </c>
      <c r="X3304" s="1">
        <v>25933</v>
      </c>
      <c r="Y3304" s="1">
        <v>40543</v>
      </c>
      <c r="Z3304" t="s">
        <v>51</v>
      </c>
      <c r="AB3304" t="s">
        <v>54</v>
      </c>
      <c r="AC3304">
        <v>1</v>
      </c>
      <c r="AE3304" t="s">
        <v>1212</v>
      </c>
      <c r="AF3304">
        <v>20</v>
      </c>
      <c r="AG3304" s="1">
        <v>31777</v>
      </c>
      <c r="AH3304" s="1">
        <v>31777</v>
      </c>
      <c r="AI3304" s="1">
        <v>31777</v>
      </c>
      <c r="AJ3304" s="1">
        <v>39082</v>
      </c>
      <c r="AK3304" t="s">
        <v>51</v>
      </c>
      <c r="AN3304">
        <v>0</v>
      </c>
      <c r="AO3304" t="s">
        <v>54</v>
      </c>
      <c r="AP3304" t="s">
        <v>53</v>
      </c>
      <c r="AQ3304">
        <v>0</v>
      </c>
      <c r="AR3304" t="s">
        <v>53</v>
      </c>
      <c r="AS3304">
        <v>0</v>
      </c>
      <c r="AT3304">
        <v>0</v>
      </c>
      <c r="AW3304" t="s">
        <v>58</v>
      </c>
      <c r="AX3304">
        <v>20</v>
      </c>
      <c r="AY3304" s="1">
        <v>31777</v>
      </c>
      <c r="AZ3304" s="1">
        <v>31777</v>
      </c>
      <c r="BA3304" s="1">
        <v>31777</v>
      </c>
      <c r="BB3304" s="1">
        <v>39082</v>
      </c>
      <c r="BC3304" t="s">
        <v>51</v>
      </c>
      <c r="BE3304" t="s">
        <v>54</v>
      </c>
      <c r="BF3304">
        <v>2</v>
      </c>
      <c r="BG3304">
        <v>0</v>
      </c>
      <c r="BH3304" t="s">
        <v>53</v>
      </c>
      <c r="BK3304" t="s">
        <v>720</v>
      </c>
      <c r="BL3304">
        <v>17000</v>
      </c>
      <c r="BM3304" s="1">
        <v>44879</v>
      </c>
      <c r="BN3304" s="1">
        <v>44879</v>
      </c>
      <c r="BO3304" s="1">
        <v>44879</v>
      </c>
      <c r="BP3304" s="1">
        <v>46320</v>
      </c>
      <c r="BQ3304" t="s">
        <v>51</v>
      </c>
      <c r="BS3304" t="s">
        <v>60</v>
      </c>
      <c r="BT3304" t="s">
        <v>54</v>
      </c>
      <c r="BU3304" t="s">
        <v>721</v>
      </c>
      <c r="BV3304" t="s">
        <v>722</v>
      </c>
      <c r="BX3304">
        <v>18</v>
      </c>
      <c r="BY3304">
        <v>0</v>
      </c>
      <c r="BZ3304">
        <v>0</v>
      </c>
    </row>
    <row r="3305" spans="1:78" x14ac:dyDescent="0.2">
      <c r="A3305" t="s">
        <v>367</v>
      </c>
      <c r="B3305" t="s">
        <v>368</v>
      </c>
      <c r="C3305" t="s">
        <v>369</v>
      </c>
      <c r="D3305" t="s">
        <v>1199</v>
      </c>
      <c r="F3305" t="str">
        <f>"26226"</f>
        <v>26226</v>
      </c>
      <c r="G3305" t="s">
        <v>49</v>
      </c>
      <c r="H3305" t="s">
        <v>1424</v>
      </c>
      <c r="K3305" t="s">
        <v>51</v>
      </c>
      <c r="L3305" t="s">
        <v>52</v>
      </c>
      <c r="M3305">
        <v>138295.01999999999</v>
      </c>
      <c r="N3305">
        <v>467660.93</v>
      </c>
      <c r="O3305" t="s">
        <v>53</v>
      </c>
      <c r="P3305" t="s">
        <v>54</v>
      </c>
      <c r="Q3305" t="s">
        <v>55</v>
      </c>
      <c r="T3305" t="s">
        <v>183</v>
      </c>
      <c r="U3305">
        <v>40</v>
      </c>
      <c r="V3305" s="1">
        <v>25933</v>
      </c>
      <c r="W3305" s="1">
        <v>25933</v>
      </c>
      <c r="X3305" s="1">
        <v>25933</v>
      </c>
      <c r="Y3305" s="1">
        <v>40543</v>
      </c>
      <c r="Z3305" t="s">
        <v>51</v>
      </c>
      <c r="AB3305" t="s">
        <v>54</v>
      </c>
      <c r="AC3305">
        <v>1</v>
      </c>
      <c r="AE3305" t="s">
        <v>1212</v>
      </c>
      <c r="AF3305">
        <v>20</v>
      </c>
      <c r="AG3305" s="1">
        <v>31777</v>
      </c>
      <c r="AH3305" s="1">
        <v>31777</v>
      </c>
      <c r="AI3305" s="1">
        <v>31777</v>
      </c>
      <c r="AJ3305" s="1">
        <v>39082</v>
      </c>
      <c r="AK3305" t="s">
        <v>51</v>
      </c>
      <c r="AN3305">
        <v>0</v>
      </c>
      <c r="AO3305" t="s">
        <v>54</v>
      </c>
      <c r="AP3305" t="s">
        <v>53</v>
      </c>
      <c r="AQ3305">
        <v>0</v>
      </c>
      <c r="AR3305" t="s">
        <v>53</v>
      </c>
      <c r="AS3305">
        <v>0</v>
      </c>
      <c r="AT3305">
        <v>0</v>
      </c>
      <c r="AW3305" t="s">
        <v>58</v>
      </c>
      <c r="AX3305">
        <v>20</v>
      </c>
      <c r="AY3305" s="1">
        <v>31777</v>
      </c>
      <c r="AZ3305" s="1">
        <v>31777</v>
      </c>
      <c r="BA3305" s="1">
        <v>31777</v>
      </c>
      <c r="BB3305" s="1">
        <v>39082</v>
      </c>
      <c r="BC3305" t="s">
        <v>51</v>
      </c>
      <c r="BE3305" t="s">
        <v>54</v>
      </c>
      <c r="BF3305">
        <v>2</v>
      </c>
      <c r="BG3305">
        <v>0</v>
      </c>
      <c r="BH3305" t="s">
        <v>53</v>
      </c>
      <c r="BK3305" t="s">
        <v>720</v>
      </c>
      <c r="BL3305">
        <v>17000</v>
      </c>
      <c r="BM3305" s="1">
        <v>43913</v>
      </c>
      <c r="BN3305" s="1">
        <v>43913</v>
      </c>
      <c r="BO3305" s="1">
        <v>43913</v>
      </c>
      <c r="BP3305" s="1">
        <v>45351</v>
      </c>
      <c r="BQ3305" t="s">
        <v>51</v>
      </c>
      <c r="BS3305" t="s">
        <v>60</v>
      </c>
      <c r="BT3305" t="s">
        <v>54</v>
      </c>
      <c r="BU3305" t="s">
        <v>721</v>
      </c>
      <c r="BV3305" t="s">
        <v>722</v>
      </c>
      <c r="BX3305">
        <v>18</v>
      </c>
      <c r="BY3305">
        <v>0</v>
      </c>
      <c r="BZ3305">
        <v>0</v>
      </c>
    </row>
    <row r="3306" spans="1:78" x14ac:dyDescent="0.2">
      <c r="A3306" t="s">
        <v>367</v>
      </c>
      <c r="B3306" t="s">
        <v>368</v>
      </c>
      <c r="C3306" t="s">
        <v>369</v>
      </c>
      <c r="D3306" t="s">
        <v>1199</v>
      </c>
      <c r="F3306" t="str">
        <f>"26227"</f>
        <v>26227</v>
      </c>
      <c r="G3306" t="s">
        <v>49</v>
      </c>
      <c r="H3306" t="s">
        <v>1425</v>
      </c>
      <c r="K3306" t="s">
        <v>51</v>
      </c>
      <c r="L3306" t="s">
        <v>52</v>
      </c>
      <c r="M3306">
        <v>138321.42000000001</v>
      </c>
      <c r="N3306">
        <v>467645.31</v>
      </c>
      <c r="O3306" t="s">
        <v>53</v>
      </c>
      <c r="P3306" t="s">
        <v>54</v>
      </c>
      <c r="Q3306" t="s">
        <v>55</v>
      </c>
      <c r="T3306" t="s">
        <v>183</v>
      </c>
      <c r="U3306">
        <v>40</v>
      </c>
      <c r="V3306" s="1">
        <v>25933</v>
      </c>
      <c r="W3306" s="1">
        <v>25933</v>
      </c>
      <c r="X3306" s="1">
        <v>25933</v>
      </c>
      <c r="Y3306" s="1">
        <v>40543</v>
      </c>
      <c r="Z3306" t="s">
        <v>51</v>
      </c>
      <c r="AB3306" t="s">
        <v>54</v>
      </c>
      <c r="AC3306">
        <v>1</v>
      </c>
      <c r="AE3306" t="s">
        <v>1212</v>
      </c>
      <c r="AF3306">
        <v>20</v>
      </c>
      <c r="AG3306" s="1">
        <v>31777</v>
      </c>
      <c r="AH3306" s="1">
        <v>31777</v>
      </c>
      <c r="AI3306" s="1">
        <v>31777</v>
      </c>
      <c r="AJ3306" s="1">
        <v>39082</v>
      </c>
      <c r="AK3306" t="s">
        <v>51</v>
      </c>
      <c r="AN3306">
        <v>0</v>
      </c>
      <c r="AO3306" t="s">
        <v>54</v>
      </c>
      <c r="AP3306" t="s">
        <v>53</v>
      </c>
      <c r="AQ3306">
        <v>0</v>
      </c>
      <c r="AR3306" t="s">
        <v>53</v>
      </c>
      <c r="AS3306">
        <v>0</v>
      </c>
      <c r="AT3306">
        <v>0</v>
      </c>
      <c r="AW3306" t="s">
        <v>58</v>
      </c>
      <c r="AX3306">
        <v>20</v>
      </c>
      <c r="AY3306" s="1">
        <v>31777</v>
      </c>
      <c r="AZ3306" s="1">
        <v>31777</v>
      </c>
      <c r="BA3306" s="1">
        <v>31777</v>
      </c>
      <c r="BB3306" s="1">
        <v>39082</v>
      </c>
      <c r="BC3306" t="s">
        <v>51</v>
      </c>
      <c r="BE3306" t="s">
        <v>54</v>
      </c>
      <c r="BF3306">
        <v>2</v>
      </c>
      <c r="BG3306">
        <v>0</v>
      </c>
      <c r="BH3306" t="s">
        <v>53</v>
      </c>
      <c r="BK3306" t="s">
        <v>720</v>
      </c>
      <c r="BL3306">
        <v>17000</v>
      </c>
      <c r="BM3306" s="1">
        <v>43794</v>
      </c>
      <c r="BN3306" s="1">
        <v>43794</v>
      </c>
      <c r="BO3306" s="1">
        <v>43794</v>
      </c>
      <c r="BP3306" s="1">
        <v>45236</v>
      </c>
      <c r="BQ3306" t="s">
        <v>51</v>
      </c>
      <c r="BS3306" t="s">
        <v>60</v>
      </c>
      <c r="BT3306" t="s">
        <v>54</v>
      </c>
      <c r="BU3306" t="s">
        <v>721</v>
      </c>
      <c r="BV3306" t="s">
        <v>722</v>
      </c>
      <c r="BX3306">
        <v>18</v>
      </c>
      <c r="BY3306">
        <v>0</v>
      </c>
      <c r="BZ3306">
        <v>0</v>
      </c>
    </row>
    <row r="3307" spans="1:78" x14ac:dyDescent="0.2">
      <c r="A3307" t="s">
        <v>367</v>
      </c>
      <c r="B3307" t="s">
        <v>368</v>
      </c>
      <c r="C3307" t="s">
        <v>369</v>
      </c>
      <c r="D3307" t="s">
        <v>1199</v>
      </c>
      <c r="F3307" t="str">
        <f>"26228"</f>
        <v>26228</v>
      </c>
      <c r="G3307" t="s">
        <v>49</v>
      </c>
      <c r="H3307" t="s">
        <v>1426</v>
      </c>
      <c r="K3307" t="s">
        <v>51</v>
      </c>
      <c r="L3307" t="s">
        <v>52</v>
      </c>
      <c r="M3307">
        <v>138349.35999999999</v>
      </c>
      <c r="N3307">
        <v>467637.83</v>
      </c>
      <c r="O3307" t="s">
        <v>53</v>
      </c>
      <c r="P3307" t="s">
        <v>54</v>
      </c>
      <c r="Q3307" t="s">
        <v>55</v>
      </c>
      <c r="T3307" t="s">
        <v>183</v>
      </c>
      <c r="U3307">
        <v>40</v>
      </c>
      <c r="V3307" s="1">
        <v>25933</v>
      </c>
      <c r="W3307" s="1">
        <v>25933</v>
      </c>
      <c r="X3307" s="1">
        <v>25933</v>
      </c>
      <c r="Y3307" s="1">
        <v>40543</v>
      </c>
      <c r="Z3307" t="s">
        <v>51</v>
      </c>
      <c r="AB3307" t="s">
        <v>54</v>
      </c>
      <c r="AC3307">
        <v>1</v>
      </c>
      <c r="AE3307" t="s">
        <v>1212</v>
      </c>
      <c r="AF3307">
        <v>20</v>
      </c>
      <c r="AG3307" s="1">
        <v>31777</v>
      </c>
      <c r="AH3307" s="1">
        <v>31777</v>
      </c>
      <c r="AI3307" s="1">
        <v>31777</v>
      </c>
      <c r="AJ3307" s="1">
        <v>39082</v>
      </c>
      <c r="AK3307" t="s">
        <v>51</v>
      </c>
      <c r="AN3307">
        <v>0</v>
      </c>
      <c r="AO3307" t="s">
        <v>54</v>
      </c>
      <c r="AP3307" t="s">
        <v>53</v>
      </c>
      <c r="AQ3307">
        <v>0</v>
      </c>
      <c r="AR3307" t="s">
        <v>53</v>
      </c>
      <c r="AS3307">
        <v>0</v>
      </c>
      <c r="AT3307">
        <v>0</v>
      </c>
      <c r="AW3307" t="s">
        <v>58</v>
      </c>
      <c r="AX3307">
        <v>20</v>
      </c>
      <c r="AY3307" s="1">
        <v>31777</v>
      </c>
      <c r="AZ3307" s="1">
        <v>31777</v>
      </c>
      <c r="BA3307" s="1">
        <v>31777</v>
      </c>
      <c r="BB3307" s="1">
        <v>39082</v>
      </c>
      <c r="BC3307" t="s">
        <v>51</v>
      </c>
      <c r="BE3307" t="s">
        <v>54</v>
      </c>
      <c r="BF3307">
        <v>2</v>
      </c>
      <c r="BG3307">
        <v>0</v>
      </c>
      <c r="BH3307" t="s">
        <v>53</v>
      </c>
      <c r="BK3307" t="s">
        <v>720</v>
      </c>
      <c r="BL3307">
        <v>17000</v>
      </c>
      <c r="BM3307" s="1">
        <v>43871</v>
      </c>
      <c r="BN3307" s="1">
        <v>43871</v>
      </c>
      <c r="BO3307" s="1">
        <v>43871</v>
      </c>
      <c r="BP3307" s="1">
        <v>45313</v>
      </c>
      <c r="BQ3307" t="s">
        <v>51</v>
      </c>
      <c r="BS3307" t="s">
        <v>60</v>
      </c>
      <c r="BT3307" t="s">
        <v>54</v>
      </c>
      <c r="BU3307" t="s">
        <v>721</v>
      </c>
      <c r="BV3307" t="s">
        <v>722</v>
      </c>
      <c r="BX3307">
        <v>18</v>
      </c>
      <c r="BY3307">
        <v>0</v>
      </c>
      <c r="BZ3307">
        <v>0</v>
      </c>
    </row>
    <row r="3308" spans="1:78" x14ac:dyDescent="0.2">
      <c r="A3308" t="s">
        <v>367</v>
      </c>
      <c r="B3308" t="s">
        <v>368</v>
      </c>
      <c r="C3308" t="s">
        <v>369</v>
      </c>
      <c r="D3308" t="s">
        <v>1427</v>
      </c>
      <c r="F3308" t="str">
        <f>"26229"</f>
        <v>26229</v>
      </c>
      <c r="G3308" t="s">
        <v>49</v>
      </c>
      <c r="H3308" t="s">
        <v>1428</v>
      </c>
      <c r="K3308" t="s">
        <v>51</v>
      </c>
      <c r="L3308" t="s">
        <v>52</v>
      </c>
      <c r="M3308">
        <v>138370.16</v>
      </c>
      <c r="N3308">
        <v>467647.83</v>
      </c>
      <c r="O3308" t="s">
        <v>53</v>
      </c>
      <c r="P3308" t="s">
        <v>54</v>
      </c>
      <c r="Q3308" t="s">
        <v>55</v>
      </c>
      <c r="T3308" t="s">
        <v>183</v>
      </c>
      <c r="U3308">
        <v>40</v>
      </c>
      <c r="V3308" s="1">
        <v>25933</v>
      </c>
      <c r="W3308" s="1">
        <v>25933</v>
      </c>
      <c r="X3308" s="1">
        <v>25933</v>
      </c>
      <c r="Y3308" s="1">
        <v>40543</v>
      </c>
      <c r="Z3308" t="s">
        <v>51</v>
      </c>
      <c r="AB3308" t="s">
        <v>54</v>
      </c>
      <c r="AC3308">
        <v>1</v>
      </c>
      <c r="AE3308" t="s">
        <v>1212</v>
      </c>
      <c r="AF3308">
        <v>20</v>
      </c>
      <c r="AG3308" s="1">
        <v>31777</v>
      </c>
      <c r="AH3308" s="1">
        <v>31777</v>
      </c>
      <c r="AI3308" s="1">
        <v>31777</v>
      </c>
      <c r="AJ3308" s="1">
        <v>39082</v>
      </c>
      <c r="AK3308" t="s">
        <v>51</v>
      </c>
      <c r="AN3308">
        <v>0</v>
      </c>
      <c r="AO3308" t="s">
        <v>54</v>
      </c>
      <c r="AP3308" t="s">
        <v>53</v>
      </c>
      <c r="AQ3308">
        <v>0</v>
      </c>
      <c r="AR3308" t="s">
        <v>53</v>
      </c>
      <c r="AS3308">
        <v>0</v>
      </c>
      <c r="AT3308">
        <v>0</v>
      </c>
      <c r="AW3308" t="s">
        <v>58</v>
      </c>
      <c r="AX3308">
        <v>20</v>
      </c>
      <c r="AY3308" s="1">
        <v>31777</v>
      </c>
      <c r="AZ3308" s="1">
        <v>31777</v>
      </c>
      <c r="BA3308" s="1">
        <v>31777</v>
      </c>
      <c r="BB3308" s="1">
        <v>39082</v>
      </c>
      <c r="BC3308" t="s">
        <v>51</v>
      </c>
      <c r="BE3308" t="s">
        <v>54</v>
      </c>
      <c r="BF3308">
        <v>2</v>
      </c>
      <c r="BG3308">
        <v>0</v>
      </c>
      <c r="BH3308" t="s">
        <v>53</v>
      </c>
      <c r="BK3308" t="s">
        <v>720</v>
      </c>
      <c r="BL3308">
        <v>17000</v>
      </c>
      <c r="BM3308" s="1">
        <v>44886</v>
      </c>
      <c r="BN3308" s="1">
        <v>44886</v>
      </c>
      <c r="BO3308" s="1">
        <v>44886</v>
      </c>
      <c r="BP3308" s="1">
        <v>46327</v>
      </c>
      <c r="BQ3308" t="s">
        <v>51</v>
      </c>
      <c r="BS3308" t="s">
        <v>60</v>
      </c>
      <c r="BT3308" t="s">
        <v>54</v>
      </c>
      <c r="BU3308" t="s">
        <v>721</v>
      </c>
      <c r="BV3308" t="s">
        <v>722</v>
      </c>
      <c r="BX3308">
        <v>18</v>
      </c>
      <c r="BY3308">
        <v>0</v>
      </c>
      <c r="BZ3308">
        <v>0</v>
      </c>
    </row>
    <row r="3309" spans="1:78" x14ac:dyDescent="0.2">
      <c r="A3309" t="s">
        <v>367</v>
      </c>
      <c r="B3309" t="s">
        <v>368</v>
      </c>
      <c r="C3309" t="s">
        <v>369</v>
      </c>
      <c r="D3309" t="s">
        <v>1427</v>
      </c>
      <c r="F3309" t="str">
        <f>"26230"</f>
        <v>26230</v>
      </c>
      <c r="G3309" t="s">
        <v>49</v>
      </c>
      <c r="H3309" t="s">
        <v>1429</v>
      </c>
      <c r="K3309" t="s">
        <v>51</v>
      </c>
      <c r="L3309" t="s">
        <v>52</v>
      </c>
      <c r="M3309">
        <v>138378.62</v>
      </c>
      <c r="N3309">
        <v>467675.67</v>
      </c>
      <c r="O3309" t="s">
        <v>53</v>
      </c>
      <c r="P3309" t="s">
        <v>54</v>
      </c>
      <c r="Q3309" t="s">
        <v>55</v>
      </c>
      <c r="T3309" t="s">
        <v>183</v>
      </c>
      <c r="U3309">
        <v>40</v>
      </c>
      <c r="V3309" s="1">
        <v>25933</v>
      </c>
      <c r="W3309" s="1">
        <v>25933</v>
      </c>
      <c r="X3309" s="1">
        <v>25933</v>
      </c>
      <c r="Y3309" s="1">
        <v>40543</v>
      </c>
      <c r="Z3309" t="s">
        <v>51</v>
      </c>
      <c r="AB3309" t="s">
        <v>54</v>
      </c>
      <c r="AC3309">
        <v>1</v>
      </c>
      <c r="AE3309" t="s">
        <v>1212</v>
      </c>
      <c r="AF3309">
        <v>20</v>
      </c>
      <c r="AG3309" s="1">
        <v>31777</v>
      </c>
      <c r="AH3309" s="1">
        <v>31777</v>
      </c>
      <c r="AI3309" s="1">
        <v>31777</v>
      </c>
      <c r="AJ3309" s="1">
        <v>39082</v>
      </c>
      <c r="AK3309" t="s">
        <v>51</v>
      </c>
      <c r="AN3309">
        <v>0</v>
      </c>
      <c r="AO3309" t="s">
        <v>54</v>
      </c>
      <c r="AP3309" t="s">
        <v>53</v>
      </c>
      <c r="AQ3309">
        <v>0</v>
      </c>
      <c r="AR3309" t="s">
        <v>53</v>
      </c>
      <c r="AS3309">
        <v>0</v>
      </c>
      <c r="AT3309">
        <v>0</v>
      </c>
      <c r="AW3309" t="s">
        <v>58</v>
      </c>
      <c r="AX3309">
        <v>20</v>
      </c>
      <c r="AY3309" s="1">
        <v>31777</v>
      </c>
      <c r="AZ3309" s="1">
        <v>31777</v>
      </c>
      <c r="BA3309" s="1">
        <v>31777</v>
      </c>
      <c r="BB3309" s="1">
        <v>39082</v>
      </c>
      <c r="BC3309" t="s">
        <v>51</v>
      </c>
      <c r="BE3309" t="s">
        <v>54</v>
      </c>
      <c r="BF3309">
        <v>2</v>
      </c>
      <c r="BG3309">
        <v>0</v>
      </c>
      <c r="BH3309" t="s">
        <v>53</v>
      </c>
      <c r="BK3309" t="s">
        <v>720</v>
      </c>
      <c r="BL3309">
        <v>17000</v>
      </c>
      <c r="BM3309" s="1">
        <v>43725</v>
      </c>
      <c r="BN3309" s="1">
        <v>43725</v>
      </c>
      <c r="BO3309" s="1">
        <v>43725</v>
      </c>
      <c r="BP3309" s="1">
        <v>45159</v>
      </c>
      <c r="BQ3309" t="s">
        <v>51</v>
      </c>
      <c r="BS3309" t="s">
        <v>60</v>
      </c>
      <c r="BT3309" t="s">
        <v>54</v>
      </c>
      <c r="BU3309" t="s">
        <v>721</v>
      </c>
      <c r="BV3309" t="s">
        <v>722</v>
      </c>
      <c r="BX3309">
        <v>18</v>
      </c>
      <c r="BY3309">
        <v>0</v>
      </c>
      <c r="BZ3309">
        <v>0</v>
      </c>
    </row>
    <row r="3310" spans="1:78" x14ac:dyDescent="0.2">
      <c r="A3310" t="s">
        <v>367</v>
      </c>
      <c r="B3310" t="s">
        <v>368</v>
      </c>
      <c r="C3310" t="s">
        <v>369</v>
      </c>
      <c r="D3310" t="s">
        <v>1427</v>
      </c>
      <c r="F3310" t="str">
        <f>"26231"</f>
        <v>26231</v>
      </c>
      <c r="G3310" t="s">
        <v>49</v>
      </c>
      <c r="H3310" t="s">
        <v>881</v>
      </c>
      <c r="K3310" t="s">
        <v>51</v>
      </c>
      <c r="L3310" t="s">
        <v>52</v>
      </c>
      <c r="M3310">
        <v>138374.64000000001</v>
      </c>
      <c r="N3310">
        <v>467708.73</v>
      </c>
      <c r="O3310" t="s">
        <v>53</v>
      </c>
      <c r="P3310" t="s">
        <v>54</v>
      </c>
      <c r="Q3310" t="s">
        <v>55</v>
      </c>
      <c r="T3310" t="s">
        <v>183</v>
      </c>
      <c r="U3310">
        <v>40</v>
      </c>
      <c r="V3310" s="1">
        <v>25933</v>
      </c>
      <c r="W3310" s="1">
        <v>25933</v>
      </c>
      <c r="X3310" s="1">
        <v>25933</v>
      </c>
      <c r="Y3310" s="1">
        <v>40543</v>
      </c>
      <c r="Z3310" t="s">
        <v>51</v>
      </c>
      <c r="AB3310" t="s">
        <v>54</v>
      </c>
      <c r="AC3310">
        <v>1</v>
      </c>
      <c r="AE3310" t="s">
        <v>1212</v>
      </c>
      <c r="AF3310">
        <v>20</v>
      </c>
      <c r="AG3310" s="1">
        <v>31777</v>
      </c>
      <c r="AH3310" s="1">
        <v>31777</v>
      </c>
      <c r="AI3310" s="1">
        <v>31777</v>
      </c>
      <c r="AJ3310" s="1">
        <v>39082</v>
      </c>
      <c r="AK3310" t="s">
        <v>51</v>
      </c>
      <c r="AN3310">
        <v>0</v>
      </c>
      <c r="AO3310" t="s">
        <v>54</v>
      </c>
      <c r="AP3310" t="s">
        <v>53</v>
      </c>
      <c r="AQ3310">
        <v>0</v>
      </c>
      <c r="AR3310" t="s">
        <v>53</v>
      </c>
      <c r="AS3310">
        <v>0</v>
      </c>
      <c r="AT3310">
        <v>0</v>
      </c>
      <c r="AW3310" t="s">
        <v>58</v>
      </c>
      <c r="AX3310">
        <v>20</v>
      </c>
      <c r="AY3310" s="1">
        <v>31777</v>
      </c>
      <c r="AZ3310" s="1">
        <v>31777</v>
      </c>
      <c r="BA3310" s="1">
        <v>31777</v>
      </c>
      <c r="BB3310" s="1">
        <v>39082</v>
      </c>
      <c r="BC3310" t="s">
        <v>51</v>
      </c>
      <c r="BE3310" t="s">
        <v>54</v>
      </c>
      <c r="BF3310">
        <v>2</v>
      </c>
      <c r="BG3310">
        <v>0</v>
      </c>
      <c r="BH3310" t="s">
        <v>53</v>
      </c>
      <c r="BK3310" t="s">
        <v>720</v>
      </c>
      <c r="BL3310">
        <v>17000</v>
      </c>
      <c r="BM3310" s="1">
        <v>43844</v>
      </c>
      <c r="BN3310" s="1">
        <v>43844</v>
      </c>
      <c r="BO3310" s="1">
        <v>43844</v>
      </c>
      <c r="BP3310" s="1">
        <v>45286</v>
      </c>
      <c r="BQ3310" t="s">
        <v>51</v>
      </c>
      <c r="BS3310" t="s">
        <v>60</v>
      </c>
      <c r="BT3310" t="s">
        <v>54</v>
      </c>
      <c r="BU3310" t="s">
        <v>721</v>
      </c>
      <c r="BV3310" t="s">
        <v>722</v>
      </c>
      <c r="BX3310">
        <v>18</v>
      </c>
      <c r="BY3310">
        <v>0</v>
      </c>
      <c r="BZ3310">
        <v>0</v>
      </c>
    </row>
    <row r="3311" spans="1:78" x14ac:dyDescent="0.2">
      <c r="A3311" t="s">
        <v>367</v>
      </c>
      <c r="B3311" t="s">
        <v>368</v>
      </c>
      <c r="C3311" t="s">
        <v>369</v>
      </c>
      <c r="D3311" t="s">
        <v>1427</v>
      </c>
      <c r="F3311" t="str">
        <f>"26232"</f>
        <v>26232</v>
      </c>
      <c r="G3311" t="s">
        <v>49</v>
      </c>
      <c r="H3311" t="s">
        <v>1430</v>
      </c>
      <c r="K3311" t="s">
        <v>51</v>
      </c>
      <c r="L3311" t="s">
        <v>52</v>
      </c>
      <c r="M3311">
        <v>138396.44</v>
      </c>
      <c r="N3311">
        <v>467734.41</v>
      </c>
      <c r="O3311" t="s">
        <v>53</v>
      </c>
      <c r="P3311" t="s">
        <v>54</v>
      </c>
      <c r="Q3311" t="s">
        <v>55</v>
      </c>
      <c r="T3311" t="s">
        <v>183</v>
      </c>
      <c r="U3311">
        <v>40</v>
      </c>
      <c r="V3311" s="1">
        <v>25933</v>
      </c>
      <c r="W3311" s="1">
        <v>25933</v>
      </c>
      <c r="X3311" s="1">
        <v>25933</v>
      </c>
      <c r="Y3311" s="1">
        <v>40543</v>
      </c>
      <c r="Z3311" t="s">
        <v>51</v>
      </c>
      <c r="AB3311" t="s">
        <v>54</v>
      </c>
      <c r="AC3311">
        <v>1</v>
      </c>
      <c r="AE3311" t="s">
        <v>1212</v>
      </c>
      <c r="AF3311">
        <v>20</v>
      </c>
      <c r="AG3311" s="1">
        <v>31777</v>
      </c>
      <c r="AH3311" s="1">
        <v>31777</v>
      </c>
      <c r="AI3311" s="1">
        <v>31777</v>
      </c>
      <c r="AJ3311" s="1">
        <v>39082</v>
      </c>
      <c r="AK3311" t="s">
        <v>51</v>
      </c>
      <c r="AN3311">
        <v>0</v>
      </c>
      <c r="AO3311" t="s">
        <v>54</v>
      </c>
      <c r="AP3311" t="s">
        <v>53</v>
      </c>
      <c r="AQ3311">
        <v>0</v>
      </c>
      <c r="AR3311" t="s">
        <v>53</v>
      </c>
      <c r="AS3311">
        <v>0</v>
      </c>
      <c r="AT3311">
        <v>0</v>
      </c>
      <c r="AW3311" t="s">
        <v>58</v>
      </c>
      <c r="AX3311">
        <v>20</v>
      </c>
      <c r="AY3311" s="1">
        <v>31777</v>
      </c>
      <c r="AZ3311" s="1">
        <v>31777</v>
      </c>
      <c r="BA3311" s="1">
        <v>31777</v>
      </c>
      <c r="BB3311" s="1">
        <v>39082</v>
      </c>
      <c r="BC3311" t="s">
        <v>51</v>
      </c>
      <c r="BE3311" t="s">
        <v>54</v>
      </c>
      <c r="BF3311">
        <v>2</v>
      </c>
      <c r="BG3311">
        <v>0</v>
      </c>
      <c r="BH3311" t="s">
        <v>53</v>
      </c>
      <c r="BK3311" t="s">
        <v>720</v>
      </c>
      <c r="BL3311">
        <v>17000</v>
      </c>
      <c r="BM3311" s="1">
        <v>44522</v>
      </c>
      <c r="BN3311" s="1">
        <v>44522</v>
      </c>
      <c r="BO3311" s="1">
        <v>44522</v>
      </c>
      <c r="BP3311" s="1">
        <v>45963</v>
      </c>
      <c r="BQ3311" t="s">
        <v>51</v>
      </c>
      <c r="BS3311" t="s">
        <v>60</v>
      </c>
      <c r="BT3311" t="s">
        <v>54</v>
      </c>
      <c r="BU3311" t="s">
        <v>721</v>
      </c>
      <c r="BV3311" t="s">
        <v>722</v>
      </c>
      <c r="BX3311">
        <v>18</v>
      </c>
      <c r="BY3311">
        <v>0</v>
      </c>
      <c r="BZ3311">
        <v>0</v>
      </c>
    </row>
    <row r="3312" spans="1:78" x14ac:dyDescent="0.2">
      <c r="A3312" t="s">
        <v>367</v>
      </c>
      <c r="B3312" t="s">
        <v>368</v>
      </c>
      <c r="C3312" t="s">
        <v>369</v>
      </c>
      <c r="D3312" t="s">
        <v>1427</v>
      </c>
      <c r="F3312" t="str">
        <f>"26233"</f>
        <v>26233</v>
      </c>
      <c r="G3312" t="s">
        <v>49</v>
      </c>
      <c r="H3312" t="s">
        <v>1431</v>
      </c>
      <c r="K3312" t="s">
        <v>51</v>
      </c>
      <c r="L3312" t="s">
        <v>52</v>
      </c>
      <c r="M3312">
        <v>138395.92000000001</v>
      </c>
      <c r="N3312">
        <v>467765.85</v>
      </c>
      <c r="O3312" t="s">
        <v>53</v>
      </c>
      <c r="P3312" t="s">
        <v>54</v>
      </c>
      <c r="Q3312" t="s">
        <v>55</v>
      </c>
      <c r="T3312" t="s">
        <v>183</v>
      </c>
      <c r="U3312">
        <v>40</v>
      </c>
      <c r="V3312" s="1">
        <v>25933</v>
      </c>
      <c r="W3312" s="1">
        <v>25933</v>
      </c>
      <c r="X3312" s="1">
        <v>25933</v>
      </c>
      <c r="Y3312" s="1">
        <v>40543</v>
      </c>
      <c r="Z3312" t="s">
        <v>51</v>
      </c>
      <c r="AB3312" t="s">
        <v>54</v>
      </c>
      <c r="AC3312">
        <v>1</v>
      </c>
      <c r="AE3312" t="s">
        <v>1212</v>
      </c>
      <c r="AF3312">
        <v>20</v>
      </c>
      <c r="AG3312" s="1">
        <v>31777</v>
      </c>
      <c r="AH3312" s="1">
        <v>31777</v>
      </c>
      <c r="AI3312" s="1">
        <v>31777</v>
      </c>
      <c r="AJ3312" s="1">
        <v>39082</v>
      </c>
      <c r="AK3312" t="s">
        <v>51</v>
      </c>
      <c r="AN3312">
        <v>0</v>
      </c>
      <c r="AO3312" t="s">
        <v>54</v>
      </c>
      <c r="AP3312" t="s">
        <v>53</v>
      </c>
      <c r="AQ3312">
        <v>0</v>
      </c>
      <c r="AR3312" t="s">
        <v>53</v>
      </c>
      <c r="AS3312">
        <v>0</v>
      </c>
      <c r="AT3312">
        <v>0</v>
      </c>
      <c r="AW3312" t="s">
        <v>58</v>
      </c>
      <c r="AX3312">
        <v>20</v>
      </c>
      <c r="AY3312" s="1">
        <v>31777</v>
      </c>
      <c r="AZ3312" s="1">
        <v>31777</v>
      </c>
      <c r="BA3312" s="1">
        <v>31777</v>
      </c>
      <c r="BB3312" s="1">
        <v>39082</v>
      </c>
      <c r="BC3312" t="s">
        <v>51</v>
      </c>
      <c r="BE3312" t="s">
        <v>54</v>
      </c>
      <c r="BF3312">
        <v>2</v>
      </c>
      <c r="BG3312">
        <v>0</v>
      </c>
      <c r="BH3312" t="s">
        <v>53</v>
      </c>
      <c r="BK3312" t="s">
        <v>720</v>
      </c>
      <c r="BL3312">
        <v>17000</v>
      </c>
      <c r="BM3312" s="1">
        <v>44998</v>
      </c>
      <c r="BN3312" s="1">
        <v>44998</v>
      </c>
      <c r="BO3312" s="1">
        <v>44998</v>
      </c>
      <c r="BP3312" s="1">
        <v>46437</v>
      </c>
      <c r="BQ3312" t="s">
        <v>51</v>
      </c>
      <c r="BS3312" t="s">
        <v>60</v>
      </c>
      <c r="BT3312" t="s">
        <v>54</v>
      </c>
      <c r="BU3312" t="s">
        <v>721</v>
      </c>
      <c r="BV3312" t="s">
        <v>722</v>
      </c>
      <c r="BX3312">
        <v>18</v>
      </c>
      <c r="BY3312">
        <v>0</v>
      </c>
      <c r="BZ3312">
        <v>0</v>
      </c>
    </row>
    <row r="3313" spans="1:78" x14ac:dyDescent="0.2">
      <c r="A3313" t="s">
        <v>367</v>
      </c>
      <c r="B3313" t="s">
        <v>368</v>
      </c>
      <c r="C3313" t="s">
        <v>369</v>
      </c>
      <c r="D3313" t="s">
        <v>1427</v>
      </c>
      <c r="F3313" t="str">
        <f>"26234"</f>
        <v>26234</v>
      </c>
      <c r="G3313" t="s">
        <v>49</v>
      </c>
      <c r="H3313" t="s">
        <v>1432</v>
      </c>
      <c r="K3313" t="s">
        <v>51</v>
      </c>
      <c r="L3313" t="s">
        <v>52</v>
      </c>
      <c r="M3313">
        <v>138412.06</v>
      </c>
      <c r="N3313">
        <v>467793.59</v>
      </c>
      <c r="O3313" t="s">
        <v>53</v>
      </c>
      <c r="P3313" t="s">
        <v>54</v>
      </c>
      <c r="Q3313" t="s">
        <v>55</v>
      </c>
      <c r="T3313" t="s">
        <v>183</v>
      </c>
      <c r="U3313">
        <v>40</v>
      </c>
      <c r="V3313" s="1">
        <v>25933</v>
      </c>
      <c r="W3313" s="1">
        <v>25933</v>
      </c>
      <c r="X3313" s="1">
        <v>25933</v>
      </c>
      <c r="Y3313" s="1">
        <v>40543</v>
      </c>
      <c r="Z3313" t="s">
        <v>51</v>
      </c>
      <c r="AB3313" t="s">
        <v>54</v>
      </c>
      <c r="AC3313">
        <v>1</v>
      </c>
      <c r="AE3313" t="s">
        <v>1212</v>
      </c>
      <c r="AF3313">
        <v>20</v>
      </c>
      <c r="AG3313" s="1">
        <v>31777</v>
      </c>
      <c r="AH3313" s="1">
        <v>31777</v>
      </c>
      <c r="AI3313" s="1">
        <v>31777</v>
      </c>
      <c r="AJ3313" s="1">
        <v>39082</v>
      </c>
      <c r="AK3313" t="s">
        <v>51</v>
      </c>
      <c r="AN3313">
        <v>0</v>
      </c>
      <c r="AO3313" t="s">
        <v>54</v>
      </c>
      <c r="AP3313" t="s">
        <v>53</v>
      </c>
      <c r="AQ3313">
        <v>0</v>
      </c>
      <c r="AR3313" t="s">
        <v>53</v>
      </c>
      <c r="AS3313">
        <v>0</v>
      </c>
      <c r="AT3313">
        <v>0</v>
      </c>
      <c r="AW3313" t="s">
        <v>58</v>
      </c>
      <c r="AX3313">
        <v>20</v>
      </c>
      <c r="AY3313" s="1">
        <v>31777</v>
      </c>
      <c r="AZ3313" s="1">
        <v>31777</v>
      </c>
      <c r="BA3313" s="1">
        <v>31777</v>
      </c>
      <c r="BB3313" s="1">
        <v>39082</v>
      </c>
      <c r="BC3313" t="s">
        <v>51</v>
      </c>
      <c r="BE3313" t="s">
        <v>54</v>
      </c>
      <c r="BF3313">
        <v>2</v>
      </c>
      <c r="BG3313">
        <v>0</v>
      </c>
      <c r="BH3313" t="s">
        <v>53</v>
      </c>
      <c r="BK3313" t="s">
        <v>720</v>
      </c>
      <c r="BL3313">
        <v>17000</v>
      </c>
      <c r="BM3313" s="1">
        <v>44109</v>
      </c>
      <c r="BN3313" s="1">
        <v>44109</v>
      </c>
      <c r="BO3313" s="1">
        <v>44109</v>
      </c>
      <c r="BP3313" s="1">
        <v>45545</v>
      </c>
      <c r="BQ3313" t="s">
        <v>51</v>
      </c>
      <c r="BS3313" t="s">
        <v>60</v>
      </c>
      <c r="BT3313" t="s">
        <v>54</v>
      </c>
      <c r="BU3313" t="s">
        <v>721</v>
      </c>
      <c r="BV3313" t="s">
        <v>722</v>
      </c>
      <c r="BX3313">
        <v>18</v>
      </c>
      <c r="BY3313">
        <v>0</v>
      </c>
      <c r="BZ3313">
        <v>0</v>
      </c>
    </row>
    <row r="3314" spans="1:78" x14ac:dyDescent="0.2">
      <c r="A3314" t="s">
        <v>367</v>
      </c>
      <c r="B3314" t="s">
        <v>368</v>
      </c>
      <c r="C3314" t="s">
        <v>369</v>
      </c>
      <c r="D3314" t="s">
        <v>1427</v>
      </c>
      <c r="F3314" t="str">
        <f>"26235"</f>
        <v>26235</v>
      </c>
      <c r="G3314" t="s">
        <v>49</v>
      </c>
      <c r="H3314" t="s">
        <v>1433</v>
      </c>
      <c r="K3314" t="s">
        <v>51</v>
      </c>
      <c r="L3314" t="s">
        <v>52</v>
      </c>
      <c r="M3314">
        <v>138434.57999999999</v>
      </c>
      <c r="N3314">
        <v>467799.13</v>
      </c>
      <c r="O3314" t="s">
        <v>53</v>
      </c>
      <c r="P3314" t="s">
        <v>54</v>
      </c>
      <c r="Q3314" t="s">
        <v>55</v>
      </c>
      <c r="T3314" t="s">
        <v>183</v>
      </c>
      <c r="U3314">
        <v>40</v>
      </c>
      <c r="V3314" s="1">
        <v>25933</v>
      </c>
      <c r="W3314" s="1">
        <v>25933</v>
      </c>
      <c r="X3314" s="1">
        <v>25933</v>
      </c>
      <c r="Y3314" s="1">
        <v>40543</v>
      </c>
      <c r="Z3314" t="s">
        <v>51</v>
      </c>
      <c r="AB3314" t="s">
        <v>54</v>
      </c>
      <c r="AC3314">
        <v>1</v>
      </c>
      <c r="AE3314" t="s">
        <v>1212</v>
      </c>
      <c r="AF3314">
        <v>20</v>
      </c>
      <c r="AG3314" s="1">
        <v>31777</v>
      </c>
      <c r="AH3314" s="1">
        <v>31777</v>
      </c>
      <c r="AI3314" s="1">
        <v>31777</v>
      </c>
      <c r="AJ3314" s="1">
        <v>39082</v>
      </c>
      <c r="AK3314" t="s">
        <v>51</v>
      </c>
      <c r="AN3314">
        <v>0</v>
      </c>
      <c r="AO3314" t="s">
        <v>54</v>
      </c>
      <c r="AP3314" t="s">
        <v>53</v>
      </c>
      <c r="AQ3314">
        <v>0</v>
      </c>
      <c r="AR3314" t="s">
        <v>53</v>
      </c>
      <c r="AS3314">
        <v>0</v>
      </c>
      <c r="AT3314">
        <v>0</v>
      </c>
      <c r="AW3314" t="s">
        <v>58</v>
      </c>
      <c r="AX3314">
        <v>20</v>
      </c>
      <c r="AY3314" s="1">
        <v>31777</v>
      </c>
      <c r="AZ3314" s="1">
        <v>31777</v>
      </c>
      <c r="BA3314" s="1">
        <v>31777</v>
      </c>
      <c r="BB3314" s="1">
        <v>39082</v>
      </c>
      <c r="BC3314" t="s">
        <v>51</v>
      </c>
      <c r="BE3314" t="s">
        <v>54</v>
      </c>
      <c r="BF3314">
        <v>2</v>
      </c>
      <c r="BG3314">
        <v>0</v>
      </c>
      <c r="BH3314" t="s">
        <v>53</v>
      </c>
      <c r="BK3314" t="s">
        <v>720</v>
      </c>
      <c r="BL3314">
        <v>17000</v>
      </c>
      <c r="BM3314" s="1">
        <v>45019</v>
      </c>
      <c r="BN3314" s="1">
        <v>45019</v>
      </c>
      <c r="BO3314" s="1">
        <v>45019</v>
      </c>
      <c r="BP3314" s="1">
        <v>46456</v>
      </c>
      <c r="BQ3314" t="s">
        <v>51</v>
      </c>
      <c r="BS3314" t="s">
        <v>60</v>
      </c>
      <c r="BT3314" t="s">
        <v>54</v>
      </c>
      <c r="BU3314" t="s">
        <v>721</v>
      </c>
      <c r="BV3314" t="s">
        <v>722</v>
      </c>
      <c r="BX3314">
        <v>18</v>
      </c>
      <c r="BY3314">
        <v>0</v>
      </c>
      <c r="BZ3314">
        <v>0</v>
      </c>
    </row>
    <row r="3315" spans="1:78" x14ac:dyDescent="0.2">
      <c r="A3315" t="s">
        <v>367</v>
      </c>
      <c r="B3315" t="s">
        <v>368</v>
      </c>
      <c r="C3315" t="s">
        <v>369</v>
      </c>
      <c r="D3315" t="s">
        <v>1427</v>
      </c>
      <c r="F3315" t="str">
        <f>"26236"</f>
        <v>26236</v>
      </c>
      <c r="G3315" t="s">
        <v>49</v>
      </c>
      <c r="H3315" t="s">
        <v>1434</v>
      </c>
      <c r="K3315" t="s">
        <v>51</v>
      </c>
      <c r="L3315" t="s">
        <v>52</v>
      </c>
      <c r="M3315">
        <v>138415.99</v>
      </c>
      <c r="N3315">
        <v>467820.16</v>
      </c>
      <c r="O3315" t="s">
        <v>53</v>
      </c>
      <c r="P3315" t="s">
        <v>54</v>
      </c>
      <c r="Q3315" t="s">
        <v>55</v>
      </c>
      <c r="T3315" t="s">
        <v>183</v>
      </c>
      <c r="U3315">
        <v>40</v>
      </c>
      <c r="V3315" s="1">
        <v>25933</v>
      </c>
      <c r="W3315" s="1">
        <v>25933</v>
      </c>
      <c r="X3315" s="1">
        <v>25933</v>
      </c>
      <c r="Y3315" s="1">
        <v>40543</v>
      </c>
      <c r="Z3315" t="s">
        <v>51</v>
      </c>
      <c r="AB3315" t="s">
        <v>54</v>
      </c>
      <c r="AC3315">
        <v>1</v>
      </c>
      <c r="AE3315" t="s">
        <v>1212</v>
      </c>
      <c r="AF3315">
        <v>20</v>
      </c>
      <c r="AG3315" s="1">
        <v>31777</v>
      </c>
      <c r="AH3315" s="1">
        <v>31777</v>
      </c>
      <c r="AI3315" s="1">
        <v>31777</v>
      </c>
      <c r="AJ3315" s="1">
        <v>39082</v>
      </c>
      <c r="AK3315" t="s">
        <v>51</v>
      </c>
      <c r="AN3315">
        <v>0</v>
      </c>
      <c r="AO3315" t="s">
        <v>54</v>
      </c>
      <c r="AP3315" t="s">
        <v>53</v>
      </c>
      <c r="AQ3315">
        <v>0</v>
      </c>
      <c r="AR3315" t="s">
        <v>53</v>
      </c>
      <c r="AS3315">
        <v>0</v>
      </c>
      <c r="AT3315">
        <v>0</v>
      </c>
      <c r="AW3315" t="s">
        <v>58</v>
      </c>
      <c r="AX3315">
        <v>20</v>
      </c>
      <c r="AY3315" s="1">
        <v>31777</v>
      </c>
      <c r="AZ3315" s="1">
        <v>31777</v>
      </c>
      <c r="BA3315" s="1">
        <v>31777</v>
      </c>
      <c r="BB3315" s="1">
        <v>39082</v>
      </c>
      <c r="BC3315" t="s">
        <v>51</v>
      </c>
      <c r="BE3315" t="s">
        <v>54</v>
      </c>
      <c r="BF3315">
        <v>2</v>
      </c>
      <c r="BG3315">
        <v>0</v>
      </c>
      <c r="BH3315" t="s">
        <v>53</v>
      </c>
      <c r="BK3315" t="s">
        <v>720</v>
      </c>
      <c r="BL3315">
        <v>17000</v>
      </c>
      <c r="BM3315" s="1">
        <v>43787</v>
      </c>
      <c r="BN3315" s="1">
        <v>43787</v>
      </c>
      <c r="BO3315" s="1">
        <v>43787</v>
      </c>
      <c r="BP3315" s="1">
        <v>45228</v>
      </c>
      <c r="BQ3315" t="s">
        <v>51</v>
      </c>
      <c r="BS3315" t="s">
        <v>60</v>
      </c>
      <c r="BT3315" t="s">
        <v>54</v>
      </c>
      <c r="BU3315" t="s">
        <v>721</v>
      </c>
      <c r="BV3315" t="s">
        <v>722</v>
      </c>
      <c r="BX3315">
        <v>18</v>
      </c>
      <c r="BY3315">
        <v>0</v>
      </c>
      <c r="BZ3315">
        <v>0</v>
      </c>
    </row>
    <row r="3316" spans="1:78" x14ac:dyDescent="0.2">
      <c r="A3316" t="s">
        <v>367</v>
      </c>
      <c r="B3316" t="s">
        <v>368</v>
      </c>
      <c r="C3316" t="s">
        <v>369</v>
      </c>
      <c r="D3316" t="s">
        <v>1427</v>
      </c>
      <c r="F3316" t="str">
        <f>"26237"</f>
        <v>26237</v>
      </c>
      <c r="G3316" t="s">
        <v>49</v>
      </c>
      <c r="H3316" t="s">
        <v>1435</v>
      </c>
      <c r="K3316" t="s">
        <v>51</v>
      </c>
      <c r="L3316" t="s">
        <v>52</v>
      </c>
      <c r="M3316">
        <v>138409.51999999999</v>
      </c>
      <c r="N3316">
        <v>467851.63</v>
      </c>
      <c r="O3316" t="s">
        <v>53</v>
      </c>
      <c r="P3316" t="s">
        <v>54</v>
      </c>
      <c r="Q3316" t="s">
        <v>55</v>
      </c>
      <c r="T3316" t="s">
        <v>183</v>
      </c>
      <c r="U3316">
        <v>40</v>
      </c>
      <c r="V3316" s="1">
        <v>25933</v>
      </c>
      <c r="W3316" s="1">
        <v>25933</v>
      </c>
      <c r="X3316" s="1">
        <v>25933</v>
      </c>
      <c r="Y3316" s="1">
        <v>40543</v>
      </c>
      <c r="Z3316" t="s">
        <v>51</v>
      </c>
      <c r="AB3316" t="s">
        <v>54</v>
      </c>
      <c r="AC3316">
        <v>1</v>
      </c>
      <c r="AE3316" t="s">
        <v>356</v>
      </c>
      <c r="AF3316">
        <v>20</v>
      </c>
      <c r="AG3316" s="1">
        <v>44942</v>
      </c>
      <c r="AH3316" s="1">
        <v>44942</v>
      </c>
      <c r="AI3316" s="1">
        <v>44942</v>
      </c>
      <c r="AJ3316" s="1">
        <v>52247</v>
      </c>
      <c r="AK3316" t="s">
        <v>51</v>
      </c>
      <c r="AN3316">
        <v>0</v>
      </c>
      <c r="AO3316" t="s">
        <v>54</v>
      </c>
      <c r="AP3316" t="s">
        <v>53</v>
      </c>
      <c r="AQ3316">
        <v>0</v>
      </c>
      <c r="AR3316" t="s">
        <v>145</v>
      </c>
      <c r="AS3316">
        <v>0</v>
      </c>
      <c r="AT3316">
        <v>0</v>
      </c>
      <c r="AW3316" t="s">
        <v>58</v>
      </c>
      <c r="AX3316">
        <v>20</v>
      </c>
      <c r="AY3316" s="1">
        <v>31777</v>
      </c>
      <c r="AZ3316" s="1">
        <v>31777</v>
      </c>
      <c r="BA3316" s="1">
        <v>44942</v>
      </c>
      <c r="BB3316" s="1">
        <v>39082</v>
      </c>
      <c r="BC3316" t="s">
        <v>51</v>
      </c>
      <c r="BE3316" t="s">
        <v>54</v>
      </c>
      <c r="BF3316">
        <v>2</v>
      </c>
      <c r="BG3316">
        <v>0</v>
      </c>
      <c r="BH3316" t="s">
        <v>53</v>
      </c>
      <c r="BK3316" t="s">
        <v>720</v>
      </c>
      <c r="BL3316">
        <v>17000</v>
      </c>
      <c r="BM3316" s="1">
        <v>44886</v>
      </c>
      <c r="BN3316" s="1">
        <v>44886</v>
      </c>
      <c r="BO3316" s="1">
        <v>44942</v>
      </c>
      <c r="BP3316" s="1">
        <v>46327</v>
      </c>
      <c r="BQ3316" t="s">
        <v>51</v>
      </c>
      <c r="BS3316" t="s">
        <v>60</v>
      </c>
      <c r="BT3316" t="s">
        <v>54</v>
      </c>
      <c r="BU3316" t="s">
        <v>721</v>
      </c>
      <c r="BV3316" t="s">
        <v>722</v>
      </c>
      <c r="BX3316">
        <v>18</v>
      </c>
      <c r="BY3316">
        <v>0</v>
      </c>
      <c r="BZ3316">
        <v>0</v>
      </c>
    </row>
    <row r="3317" spans="1:78" x14ac:dyDescent="0.2">
      <c r="A3317" t="s">
        <v>367</v>
      </c>
      <c r="B3317" t="s">
        <v>368</v>
      </c>
      <c r="C3317" t="s">
        <v>369</v>
      </c>
      <c r="D3317" t="s">
        <v>1427</v>
      </c>
      <c r="F3317" t="str">
        <f>"26238"</f>
        <v>26238</v>
      </c>
      <c r="G3317" t="s">
        <v>49</v>
      </c>
      <c r="H3317" t="s">
        <v>1436</v>
      </c>
      <c r="K3317" t="s">
        <v>51</v>
      </c>
      <c r="L3317" t="s">
        <v>52</v>
      </c>
      <c r="M3317">
        <v>138421.14000000001</v>
      </c>
      <c r="N3317">
        <v>467866.73</v>
      </c>
      <c r="O3317" t="s">
        <v>53</v>
      </c>
      <c r="P3317" t="s">
        <v>54</v>
      </c>
      <c r="Q3317" t="s">
        <v>55</v>
      </c>
      <c r="T3317" t="s">
        <v>183</v>
      </c>
      <c r="U3317">
        <v>40</v>
      </c>
      <c r="V3317" s="1">
        <v>25933</v>
      </c>
      <c r="W3317" s="1">
        <v>25933</v>
      </c>
      <c r="X3317" s="1">
        <v>25933</v>
      </c>
      <c r="Y3317" s="1">
        <v>40543</v>
      </c>
      <c r="Z3317" t="s">
        <v>51</v>
      </c>
      <c r="AB3317" t="s">
        <v>54</v>
      </c>
      <c r="AC3317">
        <v>1</v>
      </c>
      <c r="AE3317" t="s">
        <v>1212</v>
      </c>
      <c r="AF3317">
        <v>20</v>
      </c>
      <c r="AG3317" s="1">
        <v>31777</v>
      </c>
      <c r="AH3317" s="1">
        <v>31777</v>
      </c>
      <c r="AI3317" s="1">
        <v>31777</v>
      </c>
      <c r="AJ3317" s="1">
        <v>39082</v>
      </c>
      <c r="AK3317" t="s">
        <v>51</v>
      </c>
      <c r="AN3317">
        <v>0</v>
      </c>
      <c r="AO3317" t="s">
        <v>54</v>
      </c>
      <c r="AP3317" t="s">
        <v>53</v>
      </c>
      <c r="AQ3317">
        <v>0</v>
      </c>
      <c r="AR3317" t="s">
        <v>53</v>
      </c>
      <c r="AS3317">
        <v>0</v>
      </c>
      <c r="AT3317">
        <v>0</v>
      </c>
      <c r="AW3317" t="s">
        <v>58</v>
      </c>
      <c r="AX3317">
        <v>20</v>
      </c>
      <c r="AY3317" s="1">
        <v>31777</v>
      </c>
      <c r="AZ3317" s="1">
        <v>31777</v>
      </c>
      <c r="BA3317" s="1">
        <v>31777</v>
      </c>
      <c r="BB3317" s="1">
        <v>39082</v>
      </c>
      <c r="BC3317" t="s">
        <v>51</v>
      </c>
      <c r="BE3317" t="s">
        <v>54</v>
      </c>
      <c r="BF3317">
        <v>2</v>
      </c>
      <c r="BG3317">
        <v>0</v>
      </c>
      <c r="BH3317" t="s">
        <v>53</v>
      </c>
      <c r="BK3317" t="s">
        <v>720</v>
      </c>
      <c r="BL3317">
        <v>17000</v>
      </c>
      <c r="BM3317" s="1">
        <v>44886</v>
      </c>
      <c r="BN3317" s="1">
        <v>44886</v>
      </c>
      <c r="BO3317" s="1">
        <v>44886</v>
      </c>
      <c r="BP3317" s="1">
        <v>46327</v>
      </c>
      <c r="BQ3317" t="s">
        <v>51</v>
      </c>
      <c r="BS3317" t="s">
        <v>60</v>
      </c>
      <c r="BT3317" t="s">
        <v>54</v>
      </c>
      <c r="BU3317" t="s">
        <v>721</v>
      </c>
      <c r="BV3317" t="s">
        <v>722</v>
      </c>
      <c r="BX3317">
        <v>18</v>
      </c>
      <c r="BY3317">
        <v>0</v>
      </c>
      <c r="BZ3317">
        <v>0</v>
      </c>
    </row>
    <row r="3318" spans="1:78" x14ac:dyDescent="0.2">
      <c r="A3318" t="s">
        <v>367</v>
      </c>
      <c r="B3318" t="s">
        <v>368</v>
      </c>
      <c r="C3318" t="s">
        <v>369</v>
      </c>
      <c r="D3318" t="s">
        <v>1427</v>
      </c>
      <c r="F3318" t="str">
        <f>"26239"</f>
        <v>26239</v>
      </c>
      <c r="G3318" t="s">
        <v>49</v>
      </c>
      <c r="H3318" t="s">
        <v>1437</v>
      </c>
      <c r="K3318" t="s">
        <v>51</v>
      </c>
      <c r="L3318" t="s">
        <v>52</v>
      </c>
      <c r="M3318">
        <v>138402.10999999999</v>
      </c>
      <c r="N3318">
        <v>467876.31</v>
      </c>
      <c r="O3318" t="s">
        <v>53</v>
      </c>
      <c r="P3318" t="s">
        <v>54</v>
      </c>
      <c r="Q3318" t="s">
        <v>55</v>
      </c>
      <c r="T3318" t="s">
        <v>841</v>
      </c>
      <c r="U3318">
        <v>40</v>
      </c>
      <c r="V3318" s="1">
        <v>39967</v>
      </c>
      <c r="W3318" s="1">
        <v>39967</v>
      </c>
      <c r="X3318" s="1">
        <v>39967</v>
      </c>
      <c r="Y3318" s="1">
        <v>54577</v>
      </c>
      <c r="Z3318" t="s">
        <v>51</v>
      </c>
      <c r="AB3318" t="s">
        <v>54</v>
      </c>
      <c r="AC3318">
        <v>1</v>
      </c>
      <c r="AE3318" t="s">
        <v>57</v>
      </c>
      <c r="AF3318">
        <v>20</v>
      </c>
      <c r="AG3318" s="1">
        <v>39967</v>
      </c>
      <c r="AH3318" s="1">
        <v>39967</v>
      </c>
      <c r="AI3318" s="1">
        <v>39967</v>
      </c>
      <c r="AJ3318" s="1">
        <v>47272</v>
      </c>
      <c r="AK3318" t="s">
        <v>51</v>
      </c>
      <c r="AN3318">
        <v>0</v>
      </c>
      <c r="AO3318" t="s">
        <v>54</v>
      </c>
      <c r="AP3318" t="s">
        <v>53</v>
      </c>
      <c r="AQ3318">
        <v>0</v>
      </c>
      <c r="AR3318" t="s">
        <v>53</v>
      </c>
      <c r="AS3318">
        <v>0</v>
      </c>
      <c r="AT3318">
        <v>0</v>
      </c>
      <c r="AW3318" t="s">
        <v>58</v>
      </c>
      <c r="AX3318">
        <v>20</v>
      </c>
      <c r="AY3318" s="1">
        <v>39967</v>
      </c>
      <c r="AZ3318" s="1">
        <v>39967</v>
      </c>
      <c r="BA3318" s="1">
        <v>39967</v>
      </c>
      <c r="BB3318" s="1">
        <v>47272</v>
      </c>
      <c r="BC3318" t="s">
        <v>51</v>
      </c>
      <c r="BE3318" t="s">
        <v>54</v>
      </c>
      <c r="BF3318">
        <v>2</v>
      </c>
      <c r="BG3318">
        <v>0</v>
      </c>
      <c r="BH3318" t="s">
        <v>53</v>
      </c>
      <c r="BK3318" t="s">
        <v>59</v>
      </c>
      <c r="BL3318">
        <v>14000</v>
      </c>
      <c r="BM3318" s="1">
        <v>43591</v>
      </c>
      <c r="BN3318" s="1">
        <v>43591</v>
      </c>
      <c r="BO3318" s="1">
        <v>43591</v>
      </c>
      <c r="BP3318" s="1">
        <v>44813</v>
      </c>
      <c r="BQ3318" t="s">
        <v>51</v>
      </c>
      <c r="BS3318" t="s">
        <v>60</v>
      </c>
      <c r="BT3318" t="s">
        <v>54</v>
      </c>
      <c r="BU3318" t="s">
        <v>61</v>
      </c>
      <c r="BV3318" t="s">
        <v>62</v>
      </c>
      <c r="BX3318">
        <v>24</v>
      </c>
      <c r="BY3318">
        <v>0</v>
      </c>
      <c r="BZ3318">
        <v>0</v>
      </c>
    </row>
    <row r="3319" spans="1:78" x14ac:dyDescent="0.2">
      <c r="A3319" t="s">
        <v>367</v>
      </c>
      <c r="B3319" t="s">
        <v>368</v>
      </c>
      <c r="C3319" t="s">
        <v>369</v>
      </c>
      <c r="D3319" t="s">
        <v>1427</v>
      </c>
      <c r="F3319" t="str">
        <f>"26240"</f>
        <v>26240</v>
      </c>
      <c r="G3319" t="s">
        <v>49</v>
      </c>
      <c r="H3319" t="s">
        <v>988</v>
      </c>
      <c r="K3319" t="s">
        <v>51</v>
      </c>
      <c r="L3319" t="s">
        <v>52</v>
      </c>
      <c r="M3319">
        <v>138412.53</v>
      </c>
      <c r="N3319">
        <v>467898.98</v>
      </c>
      <c r="O3319" t="s">
        <v>53</v>
      </c>
      <c r="P3319" t="s">
        <v>54</v>
      </c>
      <c r="Q3319" t="s">
        <v>55</v>
      </c>
      <c r="T3319" t="s">
        <v>183</v>
      </c>
      <c r="U3319">
        <v>40</v>
      </c>
      <c r="V3319" s="1">
        <v>27759</v>
      </c>
      <c r="W3319" s="1">
        <v>27759</v>
      </c>
      <c r="X3319" s="1">
        <v>27759</v>
      </c>
      <c r="Y3319" s="1">
        <v>42369</v>
      </c>
      <c r="Z3319" t="s">
        <v>51</v>
      </c>
      <c r="AB3319" t="s">
        <v>54</v>
      </c>
      <c r="AC3319">
        <v>1</v>
      </c>
      <c r="AE3319" t="s">
        <v>1212</v>
      </c>
      <c r="AF3319">
        <v>20</v>
      </c>
      <c r="AG3319" s="1">
        <v>31777</v>
      </c>
      <c r="AH3319" s="1">
        <v>31777</v>
      </c>
      <c r="AI3319" s="1">
        <v>31777</v>
      </c>
      <c r="AJ3319" s="1">
        <v>39082</v>
      </c>
      <c r="AK3319" t="s">
        <v>51</v>
      </c>
      <c r="AN3319">
        <v>0</v>
      </c>
      <c r="AO3319" t="s">
        <v>54</v>
      </c>
      <c r="AP3319" t="s">
        <v>53</v>
      </c>
      <c r="AQ3319">
        <v>0</v>
      </c>
      <c r="AR3319" t="s">
        <v>53</v>
      </c>
      <c r="AS3319">
        <v>0</v>
      </c>
      <c r="AT3319">
        <v>0</v>
      </c>
      <c r="AW3319" t="s">
        <v>58</v>
      </c>
      <c r="AX3319">
        <v>20</v>
      </c>
      <c r="AY3319" s="1">
        <v>31777</v>
      </c>
      <c r="AZ3319" s="1">
        <v>31777</v>
      </c>
      <c r="BA3319" s="1">
        <v>31777</v>
      </c>
      <c r="BB3319" s="1">
        <v>39082</v>
      </c>
      <c r="BC3319" t="s">
        <v>51</v>
      </c>
      <c r="BE3319" t="s">
        <v>54</v>
      </c>
      <c r="BF3319">
        <v>2</v>
      </c>
      <c r="BG3319">
        <v>0</v>
      </c>
      <c r="BH3319" t="s">
        <v>53</v>
      </c>
      <c r="BK3319" t="s">
        <v>720</v>
      </c>
      <c r="BL3319">
        <v>17000</v>
      </c>
      <c r="BM3319" s="1">
        <v>44165</v>
      </c>
      <c r="BN3319" s="1">
        <v>44165</v>
      </c>
      <c r="BO3319" s="1">
        <v>44165</v>
      </c>
      <c r="BP3319" s="1">
        <v>45607</v>
      </c>
      <c r="BQ3319" t="s">
        <v>51</v>
      </c>
      <c r="BS3319" t="s">
        <v>60</v>
      </c>
      <c r="BT3319" t="s">
        <v>54</v>
      </c>
      <c r="BU3319" t="s">
        <v>721</v>
      </c>
      <c r="BV3319" t="s">
        <v>722</v>
      </c>
      <c r="BX3319">
        <v>18</v>
      </c>
      <c r="BY3319">
        <v>0</v>
      </c>
      <c r="BZ3319">
        <v>0</v>
      </c>
    </row>
    <row r="3320" spans="1:78" x14ac:dyDescent="0.2">
      <c r="A3320" t="s">
        <v>367</v>
      </c>
      <c r="B3320" t="s">
        <v>368</v>
      </c>
      <c r="C3320" t="s">
        <v>369</v>
      </c>
      <c r="D3320" t="s">
        <v>1427</v>
      </c>
      <c r="F3320" t="str">
        <f>"26241"</f>
        <v>26241</v>
      </c>
      <c r="G3320" t="s">
        <v>49</v>
      </c>
      <c r="H3320" t="s">
        <v>1438</v>
      </c>
      <c r="K3320" t="s">
        <v>51</v>
      </c>
      <c r="L3320" t="s">
        <v>52</v>
      </c>
      <c r="M3320">
        <v>138407.60999999999</v>
      </c>
      <c r="N3320">
        <v>467923.7</v>
      </c>
      <c r="O3320" t="s">
        <v>53</v>
      </c>
      <c r="P3320" t="s">
        <v>54</v>
      </c>
      <c r="Q3320" t="s">
        <v>55</v>
      </c>
      <c r="T3320" t="s">
        <v>183</v>
      </c>
      <c r="U3320">
        <v>40</v>
      </c>
      <c r="V3320" s="1">
        <v>27759</v>
      </c>
      <c r="W3320" s="1">
        <v>27759</v>
      </c>
      <c r="X3320" s="1">
        <v>27759</v>
      </c>
      <c r="Y3320" s="1">
        <v>42369</v>
      </c>
      <c r="Z3320" t="s">
        <v>51</v>
      </c>
      <c r="AB3320" t="s">
        <v>54</v>
      </c>
      <c r="AC3320">
        <v>1</v>
      </c>
      <c r="AE3320" t="s">
        <v>1212</v>
      </c>
      <c r="AF3320">
        <v>20</v>
      </c>
      <c r="AG3320" s="1">
        <v>31777</v>
      </c>
      <c r="AH3320" s="1">
        <v>31777</v>
      </c>
      <c r="AI3320" s="1">
        <v>31777</v>
      </c>
      <c r="AJ3320" s="1">
        <v>39082</v>
      </c>
      <c r="AK3320" t="s">
        <v>51</v>
      </c>
      <c r="AN3320">
        <v>0</v>
      </c>
      <c r="AO3320" t="s">
        <v>54</v>
      </c>
      <c r="AP3320" t="s">
        <v>53</v>
      </c>
      <c r="AQ3320">
        <v>0</v>
      </c>
      <c r="AR3320" t="s">
        <v>53</v>
      </c>
      <c r="AS3320">
        <v>0</v>
      </c>
      <c r="AT3320">
        <v>0</v>
      </c>
      <c r="AW3320" t="s">
        <v>58</v>
      </c>
      <c r="AX3320">
        <v>20</v>
      </c>
      <c r="AY3320" s="1">
        <v>31777</v>
      </c>
      <c r="AZ3320" s="1">
        <v>31777</v>
      </c>
      <c r="BA3320" s="1">
        <v>31777</v>
      </c>
      <c r="BB3320" s="1">
        <v>39082</v>
      </c>
      <c r="BC3320" t="s">
        <v>51</v>
      </c>
      <c r="BE3320" t="s">
        <v>54</v>
      </c>
      <c r="BF3320">
        <v>2</v>
      </c>
      <c r="BG3320">
        <v>0</v>
      </c>
      <c r="BH3320" t="s">
        <v>53</v>
      </c>
      <c r="BK3320" t="s">
        <v>720</v>
      </c>
      <c r="BL3320">
        <v>17000</v>
      </c>
      <c r="BM3320" s="1">
        <v>43767</v>
      </c>
      <c r="BN3320" s="1">
        <v>43767</v>
      </c>
      <c r="BO3320" s="1">
        <v>43767</v>
      </c>
      <c r="BP3320" s="1">
        <v>45208</v>
      </c>
      <c r="BQ3320" t="s">
        <v>51</v>
      </c>
      <c r="BS3320" t="s">
        <v>60</v>
      </c>
      <c r="BT3320" t="s">
        <v>54</v>
      </c>
      <c r="BU3320" t="s">
        <v>721</v>
      </c>
      <c r="BV3320" t="s">
        <v>722</v>
      </c>
      <c r="BX3320">
        <v>18</v>
      </c>
      <c r="BY3320">
        <v>0</v>
      </c>
      <c r="BZ3320">
        <v>0</v>
      </c>
    </row>
    <row r="3321" spans="1:78" x14ac:dyDescent="0.2">
      <c r="A3321" t="s">
        <v>367</v>
      </c>
      <c r="B3321" t="s">
        <v>368</v>
      </c>
      <c r="C3321" t="s">
        <v>369</v>
      </c>
      <c r="D3321" t="s">
        <v>1213</v>
      </c>
      <c r="F3321" t="str">
        <f>"26242"</f>
        <v>26242</v>
      </c>
      <c r="G3321" t="s">
        <v>49</v>
      </c>
      <c r="H3321" t="s">
        <v>1439</v>
      </c>
      <c r="K3321" t="s">
        <v>51</v>
      </c>
      <c r="L3321" t="s">
        <v>52</v>
      </c>
      <c r="M3321">
        <v>138387.97</v>
      </c>
      <c r="N3321">
        <v>467802.48</v>
      </c>
      <c r="O3321" t="s">
        <v>53</v>
      </c>
      <c r="P3321" t="s">
        <v>54</v>
      </c>
      <c r="Q3321" t="s">
        <v>55</v>
      </c>
      <c r="T3321" t="s">
        <v>183</v>
      </c>
      <c r="U3321">
        <v>40</v>
      </c>
      <c r="V3321" s="1">
        <v>24472</v>
      </c>
      <c r="W3321" s="1">
        <v>24472</v>
      </c>
      <c r="X3321" s="1">
        <v>24472</v>
      </c>
      <c r="Y3321" s="1">
        <v>39082</v>
      </c>
      <c r="Z3321" t="s">
        <v>51</v>
      </c>
      <c r="AB3321" t="s">
        <v>54</v>
      </c>
      <c r="AC3321">
        <v>1</v>
      </c>
      <c r="AE3321" t="s">
        <v>1212</v>
      </c>
      <c r="AF3321">
        <v>20</v>
      </c>
      <c r="AG3321" s="1">
        <v>31777</v>
      </c>
      <c r="AH3321" s="1">
        <v>31777</v>
      </c>
      <c r="AI3321" s="1">
        <v>31777</v>
      </c>
      <c r="AJ3321" s="1">
        <v>39082</v>
      </c>
      <c r="AK3321" t="s">
        <v>51</v>
      </c>
      <c r="AN3321">
        <v>0</v>
      </c>
      <c r="AO3321" t="s">
        <v>54</v>
      </c>
      <c r="AP3321" t="s">
        <v>53</v>
      </c>
      <c r="AQ3321">
        <v>0</v>
      </c>
      <c r="AR3321" t="s">
        <v>53</v>
      </c>
      <c r="AS3321">
        <v>0</v>
      </c>
      <c r="AT3321">
        <v>0</v>
      </c>
      <c r="AW3321" t="s">
        <v>58</v>
      </c>
      <c r="AX3321">
        <v>20</v>
      </c>
      <c r="AY3321" s="1">
        <v>31777</v>
      </c>
      <c r="AZ3321" s="1">
        <v>31777</v>
      </c>
      <c r="BA3321" s="1">
        <v>31777</v>
      </c>
      <c r="BB3321" s="1">
        <v>39082</v>
      </c>
      <c r="BC3321" t="s">
        <v>51</v>
      </c>
      <c r="BE3321" t="s">
        <v>54</v>
      </c>
      <c r="BF3321">
        <v>2</v>
      </c>
      <c r="BG3321">
        <v>0</v>
      </c>
      <c r="BH3321" t="s">
        <v>53</v>
      </c>
      <c r="BK3321" t="s">
        <v>720</v>
      </c>
      <c r="BL3321">
        <v>17000</v>
      </c>
      <c r="BM3321" s="1">
        <v>43781</v>
      </c>
      <c r="BN3321" s="1">
        <v>43781</v>
      </c>
      <c r="BO3321" s="1">
        <v>43781</v>
      </c>
      <c r="BP3321" s="1">
        <v>45222</v>
      </c>
      <c r="BQ3321" t="s">
        <v>51</v>
      </c>
      <c r="BS3321" t="s">
        <v>60</v>
      </c>
      <c r="BT3321" t="s">
        <v>54</v>
      </c>
      <c r="BU3321" t="s">
        <v>721</v>
      </c>
      <c r="BV3321" t="s">
        <v>722</v>
      </c>
      <c r="BX3321">
        <v>18</v>
      </c>
      <c r="BY3321">
        <v>0</v>
      </c>
      <c r="BZ3321">
        <v>0</v>
      </c>
    </row>
    <row r="3322" spans="1:78" x14ac:dyDescent="0.2">
      <c r="A3322" t="s">
        <v>367</v>
      </c>
      <c r="B3322" t="s">
        <v>368</v>
      </c>
      <c r="C3322" t="s">
        <v>369</v>
      </c>
      <c r="D3322" t="s">
        <v>1190</v>
      </c>
      <c r="F3322" t="str">
        <f>"26250"</f>
        <v>26250</v>
      </c>
      <c r="G3322" t="s">
        <v>49</v>
      </c>
      <c r="H3322" t="s">
        <v>1440</v>
      </c>
      <c r="K3322" t="s">
        <v>51</v>
      </c>
      <c r="L3322" t="s">
        <v>52</v>
      </c>
      <c r="M3322">
        <v>138128.76999999999</v>
      </c>
      <c r="N3322">
        <v>467831.46</v>
      </c>
      <c r="O3322" t="s">
        <v>53</v>
      </c>
      <c r="P3322" t="s">
        <v>54</v>
      </c>
      <c r="Q3322" t="s">
        <v>55</v>
      </c>
      <c r="T3322" t="s">
        <v>183</v>
      </c>
      <c r="U3322">
        <v>40</v>
      </c>
      <c r="V3322" s="1">
        <v>24837</v>
      </c>
      <c r="W3322" s="1">
        <v>24837</v>
      </c>
      <c r="X3322" s="1">
        <v>24837</v>
      </c>
      <c r="Y3322" s="1">
        <v>39447</v>
      </c>
      <c r="Z3322" t="s">
        <v>51</v>
      </c>
      <c r="AB3322" t="s">
        <v>54</v>
      </c>
      <c r="AC3322">
        <v>1</v>
      </c>
      <c r="AE3322" t="s">
        <v>1212</v>
      </c>
      <c r="AF3322">
        <v>20</v>
      </c>
      <c r="AG3322" s="1">
        <v>31777</v>
      </c>
      <c r="AH3322" s="1">
        <v>31777</v>
      </c>
      <c r="AI3322" s="1">
        <v>31777</v>
      </c>
      <c r="AJ3322" s="1">
        <v>39082</v>
      </c>
      <c r="AK3322" t="s">
        <v>51</v>
      </c>
      <c r="AN3322">
        <v>0</v>
      </c>
      <c r="AO3322" t="s">
        <v>54</v>
      </c>
      <c r="AP3322" t="s">
        <v>53</v>
      </c>
      <c r="AQ3322">
        <v>0</v>
      </c>
      <c r="AR3322" t="s">
        <v>53</v>
      </c>
      <c r="AS3322">
        <v>0</v>
      </c>
      <c r="AT3322">
        <v>0</v>
      </c>
      <c r="AW3322" t="s">
        <v>58</v>
      </c>
      <c r="AX3322">
        <v>20</v>
      </c>
      <c r="AY3322" s="1">
        <v>31777</v>
      </c>
      <c r="AZ3322" s="1">
        <v>31777</v>
      </c>
      <c r="BA3322" s="1">
        <v>31777</v>
      </c>
      <c r="BB3322" s="1">
        <v>39082</v>
      </c>
      <c r="BC3322" t="s">
        <v>51</v>
      </c>
      <c r="BE3322" t="s">
        <v>54</v>
      </c>
      <c r="BF3322">
        <v>2</v>
      </c>
      <c r="BG3322">
        <v>0</v>
      </c>
      <c r="BH3322" t="s">
        <v>53</v>
      </c>
      <c r="BK3322" t="s">
        <v>720</v>
      </c>
      <c r="BL3322">
        <v>17000</v>
      </c>
      <c r="BM3322" s="1">
        <v>43725</v>
      </c>
      <c r="BN3322" s="1">
        <v>43725</v>
      </c>
      <c r="BO3322" s="1">
        <v>43725</v>
      </c>
      <c r="BP3322" s="1">
        <v>45159</v>
      </c>
      <c r="BQ3322" t="s">
        <v>51</v>
      </c>
      <c r="BS3322" t="s">
        <v>60</v>
      </c>
      <c r="BT3322" t="s">
        <v>54</v>
      </c>
      <c r="BU3322" t="s">
        <v>721</v>
      </c>
      <c r="BV3322" t="s">
        <v>722</v>
      </c>
      <c r="BX3322">
        <v>18</v>
      </c>
      <c r="BY3322">
        <v>0</v>
      </c>
      <c r="BZ3322">
        <v>0</v>
      </c>
    </row>
    <row r="3323" spans="1:78" x14ac:dyDescent="0.2">
      <c r="A3323" t="s">
        <v>367</v>
      </c>
      <c r="B3323" t="s">
        <v>368</v>
      </c>
      <c r="C3323" t="s">
        <v>369</v>
      </c>
      <c r="D3323" t="s">
        <v>1190</v>
      </c>
      <c r="F3323" t="str">
        <f>"26251"</f>
        <v>26251</v>
      </c>
      <c r="G3323" t="s">
        <v>49</v>
      </c>
      <c r="H3323" t="s">
        <v>1441</v>
      </c>
      <c r="K3323" t="s">
        <v>51</v>
      </c>
      <c r="L3323" t="s">
        <v>52</v>
      </c>
      <c r="M3323">
        <v>138101.79</v>
      </c>
      <c r="N3323">
        <v>467836.84</v>
      </c>
      <c r="O3323" t="s">
        <v>53</v>
      </c>
      <c r="P3323" t="s">
        <v>54</v>
      </c>
      <c r="Q3323" t="s">
        <v>55</v>
      </c>
      <c r="T3323" t="s">
        <v>183</v>
      </c>
      <c r="U3323">
        <v>40</v>
      </c>
      <c r="V3323" s="1">
        <v>24837</v>
      </c>
      <c r="W3323" s="1">
        <v>24837</v>
      </c>
      <c r="X3323" s="1">
        <v>24837</v>
      </c>
      <c r="Y3323" s="1">
        <v>39447</v>
      </c>
      <c r="Z3323" t="s">
        <v>51</v>
      </c>
      <c r="AB3323" t="s">
        <v>54</v>
      </c>
      <c r="AC3323">
        <v>1</v>
      </c>
      <c r="AE3323" t="s">
        <v>1212</v>
      </c>
      <c r="AF3323">
        <v>20</v>
      </c>
      <c r="AG3323" s="1">
        <v>36249</v>
      </c>
      <c r="AH3323" s="1">
        <v>36249</v>
      </c>
      <c r="AI3323" s="1">
        <v>36249</v>
      </c>
      <c r="AJ3323" s="1">
        <v>43554</v>
      </c>
      <c r="AK3323" t="s">
        <v>51</v>
      </c>
      <c r="AN3323">
        <v>0</v>
      </c>
      <c r="AO3323" t="s">
        <v>54</v>
      </c>
      <c r="AP3323" t="s">
        <v>53</v>
      </c>
      <c r="AQ3323">
        <v>0</v>
      </c>
      <c r="AR3323" t="s">
        <v>53</v>
      </c>
      <c r="AS3323">
        <v>0</v>
      </c>
      <c r="AT3323">
        <v>0</v>
      </c>
      <c r="AW3323" t="s">
        <v>333</v>
      </c>
      <c r="AX3323">
        <v>0</v>
      </c>
      <c r="AY3323" s="1">
        <v>43627</v>
      </c>
      <c r="AZ3323" s="1">
        <v>43627</v>
      </c>
      <c r="BA3323" s="1">
        <v>43627</v>
      </c>
      <c r="BB3323" s="1">
        <v>43627</v>
      </c>
      <c r="BC3323" t="s">
        <v>51</v>
      </c>
      <c r="BE3323" t="s">
        <v>54</v>
      </c>
      <c r="BF3323">
        <v>0</v>
      </c>
      <c r="BG3323">
        <v>0</v>
      </c>
      <c r="BH3323" t="s">
        <v>53</v>
      </c>
      <c r="BK3323" t="s">
        <v>720</v>
      </c>
      <c r="BL3323">
        <v>17000</v>
      </c>
      <c r="BM3323" s="1">
        <v>44823</v>
      </c>
      <c r="BN3323" s="1">
        <v>44823</v>
      </c>
      <c r="BO3323" s="1">
        <v>44823</v>
      </c>
      <c r="BP3323" s="1">
        <v>46257</v>
      </c>
      <c r="BQ3323" t="s">
        <v>51</v>
      </c>
      <c r="BS3323" t="s">
        <v>60</v>
      </c>
      <c r="BT3323" t="s">
        <v>54</v>
      </c>
      <c r="BU3323" t="s">
        <v>721</v>
      </c>
      <c r="BV3323" t="s">
        <v>722</v>
      </c>
      <c r="BX3323">
        <v>18</v>
      </c>
      <c r="BY3323">
        <v>0</v>
      </c>
      <c r="BZ3323">
        <v>0</v>
      </c>
    </row>
    <row r="3324" spans="1:78" x14ac:dyDescent="0.2">
      <c r="A3324" t="s">
        <v>367</v>
      </c>
      <c r="B3324" t="s">
        <v>368</v>
      </c>
      <c r="C3324" t="s">
        <v>369</v>
      </c>
      <c r="D3324" t="s">
        <v>1190</v>
      </c>
      <c r="F3324" t="str">
        <f>"26252"</f>
        <v>26252</v>
      </c>
      <c r="G3324" t="s">
        <v>49</v>
      </c>
      <c r="H3324" t="s">
        <v>1373</v>
      </c>
      <c r="K3324" t="s">
        <v>51</v>
      </c>
      <c r="L3324" t="s">
        <v>52</v>
      </c>
      <c r="M3324">
        <v>138073.22</v>
      </c>
      <c r="N3324">
        <v>467842.33</v>
      </c>
      <c r="O3324" t="s">
        <v>53</v>
      </c>
      <c r="P3324" t="s">
        <v>54</v>
      </c>
      <c r="Q3324" t="s">
        <v>55</v>
      </c>
      <c r="T3324" t="s">
        <v>183</v>
      </c>
      <c r="U3324">
        <v>40</v>
      </c>
      <c r="V3324" s="1">
        <v>24837</v>
      </c>
      <c r="W3324" s="1">
        <v>24837</v>
      </c>
      <c r="X3324" s="1">
        <v>24837</v>
      </c>
      <c r="Y3324" s="1">
        <v>39447</v>
      </c>
      <c r="Z3324" t="s">
        <v>51</v>
      </c>
      <c r="AB3324" t="s">
        <v>54</v>
      </c>
      <c r="AC3324">
        <v>1</v>
      </c>
      <c r="AE3324" t="s">
        <v>1212</v>
      </c>
      <c r="AF3324">
        <v>20</v>
      </c>
      <c r="AG3324" s="1">
        <v>31777</v>
      </c>
      <c r="AH3324" s="1">
        <v>31777</v>
      </c>
      <c r="AI3324" s="1">
        <v>31777</v>
      </c>
      <c r="AJ3324" s="1">
        <v>39082</v>
      </c>
      <c r="AK3324" t="s">
        <v>51</v>
      </c>
      <c r="AN3324">
        <v>0</v>
      </c>
      <c r="AO3324" t="s">
        <v>54</v>
      </c>
      <c r="AP3324" t="s">
        <v>53</v>
      </c>
      <c r="AQ3324">
        <v>0</v>
      </c>
      <c r="AR3324" t="s">
        <v>53</v>
      </c>
      <c r="AS3324">
        <v>0</v>
      </c>
      <c r="AT3324">
        <v>0</v>
      </c>
      <c r="AW3324" t="s">
        <v>58</v>
      </c>
      <c r="AX3324">
        <v>20</v>
      </c>
      <c r="AY3324" s="1">
        <v>31777</v>
      </c>
      <c r="AZ3324" s="1">
        <v>31777</v>
      </c>
      <c r="BA3324" s="1">
        <v>31777</v>
      </c>
      <c r="BB3324" s="1">
        <v>39082</v>
      </c>
      <c r="BC3324" t="s">
        <v>51</v>
      </c>
      <c r="BE3324" t="s">
        <v>54</v>
      </c>
      <c r="BF3324">
        <v>2</v>
      </c>
      <c r="BG3324">
        <v>0</v>
      </c>
      <c r="BH3324" t="s">
        <v>53</v>
      </c>
      <c r="BK3324" t="s">
        <v>720</v>
      </c>
      <c r="BL3324">
        <v>17000</v>
      </c>
      <c r="BM3324" s="1">
        <v>43865</v>
      </c>
      <c r="BN3324" s="1">
        <v>43865</v>
      </c>
      <c r="BO3324" s="1">
        <v>43865</v>
      </c>
      <c r="BP3324" s="1">
        <v>45307</v>
      </c>
      <c r="BQ3324" t="s">
        <v>51</v>
      </c>
      <c r="BS3324" t="s">
        <v>60</v>
      </c>
      <c r="BT3324" t="s">
        <v>54</v>
      </c>
      <c r="BU3324" t="s">
        <v>721</v>
      </c>
      <c r="BV3324" t="s">
        <v>722</v>
      </c>
      <c r="BX3324">
        <v>18</v>
      </c>
      <c r="BY3324">
        <v>0</v>
      </c>
      <c r="BZ3324">
        <v>0</v>
      </c>
    </row>
    <row r="3325" spans="1:78" x14ac:dyDescent="0.2">
      <c r="A3325" t="s">
        <v>367</v>
      </c>
      <c r="B3325" t="s">
        <v>368</v>
      </c>
      <c r="C3325" t="s">
        <v>369</v>
      </c>
      <c r="D3325" t="s">
        <v>1190</v>
      </c>
      <c r="F3325" t="str">
        <f>"26253"</f>
        <v>26253</v>
      </c>
      <c r="G3325" t="s">
        <v>49</v>
      </c>
      <c r="H3325" t="s">
        <v>1375</v>
      </c>
      <c r="K3325" t="s">
        <v>51</v>
      </c>
      <c r="L3325" t="s">
        <v>52</v>
      </c>
      <c r="M3325">
        <v>138044.37</v>
      </c>
      <c r="N3325">
        <v>467848.72</v>
      </c>
      <c r="O3325" t="s">
        <v>53</v>
      </c>
      <c r="P3325" t="s">
        <v>54</v>
      </c>
      <c r="Q3325" t="s">
        <v>55</v>
      </c>
      <c r="T3325" t="s">
        <v>183</v>
      </c>
      <c r="U3325">
        <v>40</v>
      </c>
      <c r="V3325" s="1">
        <v>24837</v>
      </c>
      <c r="W3325" s="1">
        <v>24837</v>
      </c>
      <c r="X3325" s="1">
        <v>24837</v>
      </c>
      <c r="Y3325" s="1">
        <v>39447</v>
      </c>
      <c r="Z3325" t="s">
        <v>51</v>
      </c>
      <c r="AB3325" t="s">
        <v>54</v>
      </c>
      <c r="AC3325">
        <v>1</v>
      </c>
      <c r="AE3325" t="s">
        <v>1212</v>
      </c>
      <c r="AF3325">
        <v>20</v>
      </c>
      <c r="AG3325" s="1">
        <v>36290</v>
      </c>
      <c r="AH3325" s="1">
        <v>36290</v>
      </c>
      <c r="AI3325" s="1">
        <v>36290</v>
      </c>
      <c r="AJ3325" s="1">
        <v>43595</v>
      </c>
      <c r="AK3325" t="s">
        <v>51</v>
      </c>
      <c r="AN3325">
        <v>0</v>
      </c>
      <c r="AO3325" t="s">
        <v>54</v>
      </c>
      <c r="AP3325" t="s">
        <v>53</v>
      </c>
      <c r="AQ3325">
        <v>0</v>
      </c>
      <c r="AR3325" t="s">
        <v>53</v>
      </c>
      <c r="AS3325">
        <v>0</v>
      </c>
      <c r="AT3325">
        <v>0</v>
      </c>
      <c r="AW3325" t="s">
        <v>58</v>
      </c>
      <c r="AX3325">
        <v>20</v>
      </c>
      <c r="AY3325" s="1">
        <v>36290</v>
      </c>
      <c r="AZ3325" s="1">
        <v>36290</v>
      </c>
      <c r="BA3325" s="1">
        <v>36290</v>
      </c>
      <c r="BB3325" s="1">
        <v>43595</v>
      </c>
      <c r="BC3325" t="s">
        <v>51</v>
      </c>
      <c r="BE3325" t="s">
        <v>54</v>
      </c>
      <c r="BF3325">
        <v>2</v>
      </c>
      <c r="BG3325">
        <v>0</v>
      </c>
      <c r="BH3325" t="s">
        <v>53</v>
      </c>
      <c r="BK3325" t="s">
        <v>720</v>
      </c>
      <c r="BL3325">
        <v>17000</v>
      </c>
      <c r="BM3325" s="1">
        <v>44802</v>
      </c>
      <c r="BN3325" s="1">
        <v>44802</v>
      </c>
      <c r="BO3325" s="1">
        <v>44802</v>
      </c>
      <c r="BP3325" s="1">
        <v>46232</v>
      </c>
      <c r="BQ3325" t="s">
        <v>51</v>
      </c>
      <c r="BS3325" t="s">
        <v>60</v>
      </c>
      <c r="BT3325" t="s">
        <v>54</v>
      </c>
      <c r="BU3325" t="s">
        <v>721</v>
      </c>
      <c r="BV3325" t="s">
        <v>722</v>
      </c>
      <c r="BX3325">
        <v>18</v>
      </c>
      <c r="BY3325">
        <v>0</v>
      </c>
      <c r="BZ3325">
        <v>0</v>
      </c>
    </row>
    <row r="3326" spans="1:78" x14ac:dyDescent="0.2">
      <c r="A3326" t="s">
        <v>367</v>
      </c>
      <c r="B3326" t="s">
        <v>368</v>
      </c>
      <c r="C3326" t="s">
        <v>369</v>
      </c>
      <c r="D3326" t="s">
        <v>1190</v>
      </c>
      <c r="F3326" t="str">
        <f>"26254"</f>
        <v>26254</v>
      </c>
      <c r="G3326" t="s">
        <v>49</v>
      </c>
      <c r="H3326" t="s">
        <v>1442</v>
      </c>
      <c r="K3326" t="s">
        <v>51</v>
      </c>
      <c r="L3326" t="s">
        <v>52</v>
      </c>
      <c r="M3326">
        <v>138015.67999999999</v>
      </c>
      <c r="N3326">
        <v>467853.95</v>
      </c>
      <c r="O3326" t="s">
        <v>53</v>
      </c>
      <c r="P3326" t="s">
        <v>54</v>
      </c>
      <c r="Q3326" t="s">
        <v>55</v>
      </c>
      <c r="T3326" t="s">
        <v>183</v>
      </c>
      <c r="U3326">
        <v>40</v>
      </c>
      <c r="V3326" s="1">
        <v>24837</v>
      </c>
      <c r="W3326" s="1">
        <v>24837</v>
      </c>
      <c r="X3326" s="1">
        <v>24837</v>
      </c>
      <c r="Y3326" s="1">
        <v>39447</v>
      </c>
      <c r="Z3326" t="s">
        <v>51</v>
      </c>
      <c r="AB3326" t="s">
        <v>54</v>
      </c>
      <c r="AC3326">
        <v>1</v>
      </c>
      <c r="AE3326" t="s">
        <v>1212</v>
      </c>
      <c r="AF3326">
        <v>20</v>
      </c>
      <c r="AG3326" s="1">
        <v>31777</v>
      </c>
      <c r="AH3326" s="1">
        <v>31777</v>
      </c>
      <c r="AI3326" s="1">
        <v>31777</v>
      </c>
      <c r="AJ3326" s="1">
        <v>39082</v>
      </c>
      <c r="AK3326" t="s">
        <v>51</v>
      </c>
      <c r="AN3326">
        <v>0</v>
      </c>
      <c r="AO3326" t="s">
        <v>54</v>
      </c>
      <c r="AP3326" t="s">
        <v>53</v>
      </c>
      <c r="AQ3326">
        <v>0</v>
      </c>
      <c r="AR3326" t="s">
        <v>53</v>
      </c>
      <c r="AS3326">
        <v>0</v>
      </c>
      <c r="AT3326">
        <v>0</v>
      </c>
      <c r="AW3326" t="s">
        <v>58</v>
      </c>
      <c r="AX3326">
        <v>20</v>
      </c>
      <c r="AY3326" s="1">
        <v>31777</v>
      </c>
      <c r="AZ3326" s="1">
        <v>31777</v>
      </c>
      <c r="BA3326" s="1">
        <v>31777</v>
      </c>
      <c r="BB3326" s="1">
        <v>39082</v>
      </c>
      <c r="BC3326" t="s">
        <v>51</v>
      </c>
      <c r="BE3326" t="s">
        <v>54</v>
      </c>
      <c r="BF3326">
        <v>2</v>
      </c>
      <c r="BG3326">
        <v>0</v>
      </c>
      <c r="BH3326" t="s">
        <v>53</v>
      </c>
      <c r="BK3326" t="s">
        <v>720</v>
      </c>
      <c r="BL3326">
        <v>17000</v>
      </c>
      <c r="BM3326" s="1">
        <v>43472</v>
      </c>
      <c r="BN3326" s="1">
        <v>43472</v>
      </c>
      <c r="BO3326" s="1">
        <v>43472</v>
      </c>
      <c r="BP3326" s="1">
        <v>44914</v>
      </c>
      <c r="BQ3326" t="s">
        <v>51</v>
      </c>
      <c r="BS3326" t="s">
        <v>60</v>
      </c>
      <c r="BT3326" t="s">
        <v>54</v>
      </c>
      <c r="BU3326" t="s">
        <v>721</v>
      </c>
      <c r="BV3326" t="s">
        <v>722</v>
      </c>
      <c r="BX3326">
        <v>18</v>
      </c>
      <c r="BY3326">
        <v>0</v>
      </c>
      <c r="BZ3326">
        <v>0</v>
      </c>
    </row>
    <row r="3327" spans="1:78" x14ac:dyDescent="0.2">
      <c r="A3327" t="s">
        <v>367</v>
      </c>
      <c r="B3327" t="s">
        <v>368</v>
      </c>
      <c r="C3327" t="s">
        <v>369</v>
      </c>
      <c r="D3327" t="s">
        <v>1190</v>
      </c>
      <c r="F3327" t="str">
        <f>"26255"</f>
        <v>26255</v>
      </c>
      <c r="G3327" t="s">
        <v>49</v>
      </c>
      <c r="H3327" t="s">
        <v>1336</v>
      </c>
      <c r="K3327" t="s">
        <v>51</v>
      </c>
      <c r="L3327" t="s">
        <v>52</v>
      </c>
      <c r="M3327">
        <v>137987.68</v>
      </c>
      <c r="N3327">
        <v>467859.55</v>
      </c>
      <c r="O3327" t="s">
        <v>53</v>
      </c>
      <c r="P3327" t="s">
        <v>54</v>
      </c>
      <c r="Q3327" t="s">
        <v>55</v>
      </c>
      <c r="T3327" t="s">
        <v>183</v>
      </c>
      <c r="U3327">
        <v>40</v>
      </c>
      <c r="V3327" s="1">
        <v>24837</v>
      </c>
      <c r="W3327" s="1">
        <v>24837</v>
      </c>
      <c r="X3327" s="1">
        <v>24837</v>
      </c>
      <c r="Y3327" s="1">
        <v>39447</v>
      </c>
      <c r="Z3327" t="s">
        <v>51</v>
      </c>
      <c r="AB3327" t="s">
        <v>54</v>
      </c>
      <c r="AC3327">
        <v>1</v>
      </c>
      <c r="AE3327" t="s">
        <v>1212</v>
      </c>
      <c r="AF3327">
        <v>20</v>
      </c>
      <c r="AG3327" s="1">
        <v>31777</v>
      </c>
      <c r="AH3327" s="1">
        <v>31777</v>
      </c>
      <c r="AI3327" s="1">
        <v>31777</v>
      </c>
      <c r="AJ3327" s="1">
        <v>39082</v>
      </c>
      <c r="AK3327" t="s">
        <v>51</v>
      </c>
      <c r="AN3327">
        <v>0</v>
      </c>
      <c r="AO3327" t="s">
        <v>54</v>
      </c>
      <c r="AP3327" t="s">
        <v>53</v>
      </c>
      <c r="AQ3327">
        <v>0</v>
      </c>
      <c r="AR3327" t="s">
        <v>53</v>
      </c>
      <c r="AS3327">
        <v>0</v>
      </c>
      <c r="AT3327">
        <v>0</v>
      </c>
      <c r="AW3327" t="s">
        <v>58</v>
      </c>
      <c r="AX3327">
        <v>20</v>
      </c>
      <c r="AY3327" s="1">
        <v>31777</v>
      </c>
      <c r="AZ3327" s="1">
        <v>31777</v>
      </c>
      <c r="BA3327" s="1">
        <v>31777</v>
      </c>
      <c r="BB3327" s="1">
        <v>39082</v>
      </c>
      <c r="BC3327" t="s">
        <v>51</v>
      </c>
      <c r="BE3327" t="s">
        <v>54</v>
      </c>
      <c r="BF3327">
        <v>2</v>
      </c>
      <c r="BG3327">
        <v>0</v>
      </c>
      <c r="BH3327" t="s">
        <v>53</v>
      </c>
      <c r="BK3327" t="s">
        <v>720</v>
      </c>
      <c r="BL3327">
        <v>17000</v>
      </c>
      <c r="BM3327" s="1">
        <v>43717</v>
      </c>
      <c r="BN3327" s="1">
        <v>43717</v>
      </c>
      <c r="BO3327" s="1">
        <v>43717</v>
      </c>
      <c r="BP3327" s="1">
        <v>45149</v>
      </c>
      <c r="BQ3327" t="s">
        <v>51</v>
      </c>
      <c r="BS3327" t="s">
        <v>60</v>
      </c>
      <c r="BT3327" t="s">
        <v>54</v>
      </c>
      <c r="BU3327" t="s">
        <v>721</v>
      </c>
      <c r="BV3327" t="s">
        <v>722</v>
      </c>
      <c r="BX3327">
        <v>18</v>
      </c>
      <c r="BY3327">
        <v>0</v>
      </c>
      <c r="BZ3327">
        <v>0</v>
      </c>
    </row>
    <row r="3328" spans="1:78" x14ac:dyDescent="0.2">
      <c r="A3328" t="s">
        <v>367</v>
      </c>
      <c r="B3328" t="s">
        <v>368</v>
      </c>
      <c r="C3328" t="s">
        <v>369</v>
      </c>
      <c r="D3328" t="s">
        <v>1190</v>
      </c>
      <c r="F3328" t="str">
        <f>"26256"</f>
        <v>26256</v>
      </c>
      <c r="G3328" t="s">
        <v>49</v>
      </c>
      <c r="H3328" t="s">
        <v>1232</v>
      </c>
      <c r="K3328" t="s">
        <v>51</v>
      </c>
      <c r="L3328" t="s">
        <v>52</v>
      </c>
      <c r="M3328">
        <v>137955.9</v>
      </c>
      <c r="N3328">
        <v>467865.99</v>
      </c>
      <c r="O3328" t="s">
        <v>53</v>
      </c>
      <c r="P3328" t="s">
        <v>54</v>
      </c>
      <c r="Q3328" t="s">
        <v>55</v>
      </c>
      <c r="T3328" t="s">
        <v>183</v>
      </c>
      <c r="U3328">
        <v>40</v>
      </c>
      <c r="V3328" s="1">
        <v>24837</v>
      </c>
      <c r="W3328" s="1">
        <v>24837</v>
      </c>
      <c r="X3328" s="1">
        <v>24837</v>
      </c>
      <c r="Y3328" s="1">
        <v>39447</v>
      </c>
      <c r="Z3328" t="s">
        <v>51</v>
      </c>
      <c r="AB3328" t="s">
        <v>54</v>
      </c>
      <c r="AC3328">
        <v>1</v>
      </c>
      <c r="AE3328" t="s">
        <v>1212</v>
      </c>
      <c r="AF3328">
        <v>20</v>
      </c>
      <c r="AG3328" s="1">
        <v>31777</v>
      </c>
      <c r="AH3328" s="1">
        <v>31777</v>
      </c>
      <c r="AI3328" s="1">
        <v>31777</v>
      </c>
      <c r="AJ3328" s="1">
        <v>39082</v>
      </c>
      <c r="AK3328" t="s">
        <v>51</v>
      </c>
      <c r="AN3328">
        <v>0</v>
      </c>
      <c r="AO3328" t="s">
        <v>54</v>
      </c>
      <c r="AP3328" t="s">
        <v>53</v>
      </c>
      <c r="AQ3328">
        <v>0</v>
      </c>
      <c r="AR3328" t="s">
        <v>53</v>
      </c>
      <c r="AS3328">
        <v>0</v>
      </c>
      <c r="AT3328">
        <v>0</v>
      </c>
      <c r="AW3328" t="s">
        <v>58</v>
      </c>
      <c r="AX3328">
        <v>20</v>
      </c>
      <c r="AY3328" s="1">
        <v>31777</v>
      </c>
      <c r="AZ3328" s="1">
        <v>31777</v>
      </c>
      <c r="BA3328" s="1">
        <v>31777</v>
      </c>
      <c r="BB3328" s="1">
        <v>39082</v>
      </c>
      <c r="BC3328" t="s">
        <v>51</v>
      </c>
      <c r="BE3328" t="s">
        <v>54</v>
      </c>
      <c r="BF3328">
        <v>2</v>
      </c>
      <c r="BG3328">
        <v>0</v>
      </c>
      <c r="BH3328" t="s">
        <v>53</v>
      </c>
      <c r="BK3328" t="s">
        <v>720</v>
      </c>
      <c r="BL3328">
        <v>17000</v>
      </c>
      <c r="BM3328" s="1">
        <v>44039</v>
      </c>
      <c r="BN3328" s="1">
        <v>44039</v>
      </c>
      <c r="BO3328" s="1">
        <v>44039</v>
      </c>
      <c r="BP3328" s="1">
        <v>45462</v>
      </c>
      <c r="BQ3328" t="s">
        <v>51</v>
      </c>
      <c r="BS3328" t="s">
        <v>60</v>
      </c>
      <c r="BT3328" t="s">
        <v>54</v>
      </c>
      <c r="BU3328" t="s">
        <v>721</v>
      </c>
      <c r="BV3328" t="s">
        <v>722</v>
      </c>
      <c r="BX3328">
        <v>18</v>
      </c>
      <c r="BY3328">
        <v>0</v>
      </c>
      <c r="BZ3328">
        <v>0</v>
      </c>
    </row>
    <row r="3329" spans="1:99" x14ac:dyDescent="0.2">
      <c r="A3329" t="s">
        <v>367</v>
      </c>
      <c r="B3329" t="s">
        <v>368</v>
      </c>
      <c r="C3329" t="s">
        <v>369</v>
      </c>
      <c r="D3329" t="s">
        <v>1191</v>
      </c>
      <c r="F3329" t="str">
        <f>"26257"</f>
        <v>26257</v>
      </c>
      <c r="G3329" t="s">
        <v>49</v>
      </c>
      <c r="H3329" t="s">
        <v>1443</v>
      </c>
      <c r="K3329" t="s">
        <v>51</v>
      </c>
      <c r="L3329" t="s">
        <v>52</v>
      </c>
      <c r="M3329">
        <v>138007.63</v>
      </c>
      <c r="N3329">
        <v>467826.66</v>
      </c>
      <c r="O3329" t="s">
        <v>53</v>
      </c>
      <c r="P3329" t="s">
        <v>54</v>
      </c>
      <c r="Q3329" t="s">
        <v>55</v>
      </c>
      <c r="T3329" t="s">
        <v>183</v>
      </c>
      <c r="U3329">
        <v>40</v>
      </c>
      <c r="V3329" s="1">
        <v>25933</v>
      </c>
      <c r="W3329" s="1">
        <v>25933</v>
      </c>
      <c r="X3329" s="1">
        <v>25933</v>
      </c>
      <c r="Y3329" s="1">
        <v>40543</v>
      </c>
      <c r="Z3329" t="s">
        <v>51</v>
      </c>
      <c r="AB3329" t="s">
        <v>54</v>
      </c>
      <c r="AC3329">
        <v>1</v>
      </c>
      <c r="AE3329" t="s">
        <v>1212</v>
      </c>
      <c r="AF3329">
        <v>20</v>
      </c>
      <c r="AG3329" s="1">
        <v>36452</v>
      </c>
      <c r="AH3329" s="1">
        <v>36452</v>
      </c>
      <c r="AI3329" s="1">
        <v>36452</v>
      </c>
      <c r="AJ3329" s="1">
        <v>43757</v>
      </c>
      <c r="AK3329" t="s">
        <v>51</v>
      </c>
      <c r="AN3329">
        <v>0</v>
      </c>
      <c r="AO3329" t="s">
        <v>54</v>
      </c>
      <c r="AP3329" t="s">
        <v>53</v>
      </c>
      <c r="AQ3329">
        <v>0</v>
      </c>
      <c r="AR3329" t="s">
        <v>53</v>
      </c>
      <c r="AS3329">
        <v>0</v>
      </c>
      <c r="AT3329">
        <v>0</v>
      </c>
      <c r="AW3329" t="s">
        <v>58</v>
      </c>
      <c r="AX3329">
        <v>20</v>
      </c>
      <c r="AY3329" s="1">
        <v>36452</v>
      </c>
      <c r="AZ3329" s="1">
        <v>36452</v>
      </c>
      <c r="BA3329" s="1">
        <v>36452</v>
      </c>
      <c r="BB3329" s="1">
        <v>43757</v>
      </c>
      <c r="BC3329" t="s">
        <v>51</v>
      </c>
      <c r="BE3329" t="s">
        <v>54</v>
      </c>
      <c r="BF3329">
        <v>2</v>
      </c>
      <c r="BG3329">
        <v>0</v>
      </c>
      <c r="BH3329" t="s">
        <v>53</v>
      </c>
      <c r="BK3329" t="s">
        <v>720</v>
      </c>
      <c r="BL3329">
        <v>17000</v>
      </c>
      <c r="BM3329" s="1">
        <v>43858</v>
      </c>
      <c r="BN3329" s="1">
        <v>43858</v>
      </c>
      <c r="BO3329" s="1">
        <v>43858</v>
      </c>
      <c r="BP3329" s="1">
        <v>45301</v>
      </c>
      <c r="BQ3329" t="s">
        <v>51</v>
      </c>
      <c r="BS3329" t="s">
        <v>60</v>
      </c>
      <c r="BT3329" t="s">
        <v>54</v>
      </c>
      <c r="BU3329" t="s">
        <v>721</v>
      </c>
      <c r="BV3329" t="s">
        <v>722</v>
      </c>
      <c r="BX3329">
        <v>18</v>
      </c>
      <c r="BY3329">
        <v>0</v>
      </c>
      <c r="BZ3329">
        <v>0</v>
      </c>
    </row>
    <row r="3330" spans="1:99" x14ac:dyDescent="0.2">
      <c r="A3330" t="s">
        <v>367</v>
      </c>
      <c r="B3330" t="s">
        <v>368</v>
      </c>
      <c r="C3330" t="s">
        <v>369</v>
      </c>
      <c r="D3330" t="s">
        <v>1191</v>
      </c>
      <c r="F3330" t="str">
        <f>"26258"</f>
        <v>26258</v>
      </c>
      <c r="G3330" t="s">
        <v>49</v>
      </c>
      <c r="H3330" t="s">
        <v>1444</v>
      </c>
      <c r="K3330" t="s">
        <v>51</v>
      </c>
      <c r="L3330" t="s">
        <v>52</v>
      </c>
      <c r="M3330">
        <v>137991.10999999999</v>
      </c>
      <c r="N3330">
        <v>467803.56</v>
      </c>
      <c r="O3330" t="s">
        <v>53</v>
      </c>
      <c r="P3330" t="s">
        <v>54</v>
      </c>
      <c r="Q3330" t="s">
        <v>55</v>
      </c>
      <c r="T3330" t="s">
        <v>183</v>
      </c>
      <c r="U3330">
        <v>40</v>
      </c>
      <c r="V3330" s="1">
        <v>25933</v>
      </c>
      <c r="W3330" s="1">
        <v>25933</v>
      </c>
      <c r="X3330" s="1">
        <v>25933</v>
      </c>
      <c r="Y3330" s="1">
        <v>40543</v>
      </c>
      <c r="Z3330" t="s">
        <v>51</v>
      </c>
      <c r="AB3330" t="s">
        <v>54</v>
      </c>
      <c r="AC3330">
        <v>1</v>
      </c>
      <c r="AE3330" t="s">
        <v>1212</v>
      </c>
      <c r="AF3330">
        <v>20</v>
      </c>
      <c r="AG3330" s="1">
        <v>34649</v>
      </c>
      <c r="AH3330" s="1">
        <v>34649</v>
      </c>
      <c r="AI3330" s="1">
        <v>34649</v>
      </c>
      <c r="AJ3330" s="1">
        <v>41954</v>
      </c>
      <c r="AK3330" t="s">
        <v>51</v>
      </c>
      <c r="AN3330">
        <v>0</v>
      </c>
      <c r="AO3330" t="s">
        <v>54</v>
      </c>
      <c r="AP3330" t="s">
        <v>53</v>
      </c>
      <c r="AQ3330">
        <v>0</v>
      </c>
      <c r="AR3330" t="s">
        <v>53</v>
      </c>
      <c r="AS3330">
        <v>0</v>
      </c>
      <c r="AT3330">
        <v>0</v>
      </c>
      <c r="AW3330" t="s">
        <v>58</v>
      </c>
      <c r="AX3330">
        <v>20</v>
      </c>
      <c r="AY3330" s="1">
        <v>34649</v>
      </c>
      <c r="AZ3330" s="1">
        <v>34649</v>
      </c>
      <c r="BA3330" s="1">
        <v>34649</v>
      </c>
      <c r="BB3330" s="1">
        <v>41954</v>
      </c>
      <c r="BC3330" t="s">
        <v>51</v>
      </c>
      <c r="BE3330" t="s">
        <v>54</v>
      </c>
      <c r="BF3330">
        <v>2</v>
      </c>
      <c r="BG3330">
        <v>0</v>
      </c>
      <c r="BH3330" t="s">
        <v>53</v>
      </c>
      <c r="BK3330" t="s">
        <v>720</v>
      </c>
      <c r="BL3330">
        <v>17000</v>
      </c>
      <c r="BM3330" s="1">
        <v>43374</v>
      </c>
      <c r="BN3330" s="1">
        <v>43374</v>
      </c>
      <c r="BO3330" s="1">
        <v>43374</v>
      </c>
      <c r="BP3330" s="1">
        <v>44811</v>
      </c>
      <c r="BQ3330" t="s">
        <v>51</v>
      </c>
      <c r="BS3330" t="s">
        <v>60</v>
      </c>
      <c r="BT3330" t="s">
        <v>54</v>
      </c>
      <c r="BU3330" t="s">
        <v>721</v>
      </c>
      <c r="BV3330" t="s">
        <v>722</v>
      </c>
      <c r="BX3330">
        <v>18</v>
      </c>
      <c r="BY3330">
        <v>0</v>
      </c>
      <c r="BZ3330">
        <v>0</v>
      </c>
    </row>
    <row r="3331" spans="1:99" x14ac:dyDescent="0.2">
      <c r="A3331" t="s">
        <v>367</v>
      </c>
      <c r="B3331" t="s">
        <v>368</v>
      </c>
      <c r="C3331" t="s">
        <v>369</v>
      </c>
      <c r="D3331" t="s">
        <v>1191</v>
      </c>
      <c r="F3331" t="str">
        <f>"26259"</f>
        <v>26259</v>
      </c>
      <c r="G3331" t="s">
        <v>49</v>
      </c>
      <c r="H3331" t="s">
        <v>1231</v>
      </c>
      <c r="K3331" t="s">
        <v>51</v>
      </c>
      <c r="L3331" t="s">
        <v>52</v>
      </c>
      <c r="M3331">
        <v>137993.49</v>
      </c>
      <c r="N3331">
        <v>467769.96</v>
      </c>
      <c r="O3331" t="s">
        <v>53</v>
      </c>
      <c r="P3331" t="s">
        <v>54</v>
      </c>
      <c r="Q3331" t="s">
        <v>55</v>
      </c>
      <c r="T3331" t="s">
        <v>183</v>
      </c>
      <c r="U3331">
        <v>40</v>
      </c>
      <c r="V3331" s="1">
        <v>25933</v>
      </c>
      <c r="W3331" s="1">
        <v>25933</v>
      </c>
      <c r="X3331" s="1">
        <v>25933</v>
      </c>
      <c r="Y3331" s="1">
        <v>40543</v>
      </c>
      <c r="Z3331" t="s">
        <v>51</v>
      </c>
      <c r="AB3331" t="s">
        <v>54</v>
      </c>
      <c r="AC3331">
        <v>1</v>
      </c>
      <c r="AE3331" t="s">
        <v>1212</v>
      </c>
      <c r="AF3331">
        <v>20</v>
      </c>
      <c r="AG3331" s="1">
        <v>31777</v>
      </c>
      <c r="AH3331" s="1">
        <v>31777</v>
      </c>
      <c r="AI3331" s="1">
        <v>31777</v>
      </c>
      <c r="AJ3331" s="1">
        <v>39082</v>
      </c>
      <c r="AK3331" t="s">
        <v>51</v>
      </c>
      <c r="AN3331">
        <v>0</v>
      </c>
      <c r="AO3331" t="s">
        <v>54</v>
      </c>
      <c r="AP3331" t="s">
        <v>53</v>
      </c>
      <c r="AQ3331">
        <v>0</v>
      </c>
      <c r="AR3331" t="s">
        <v>53</v>
      </c>
      <c r="AS3331">
        <v>0</v>
      </c>
      <c r="AT3331">
        <v>0</v>
      </c>
      <c r="AW3331" t="s">
        <v>58</v>
      </c>
      <c r="AX3331">
        <v>20</v>
      </c>
      <c r="AY3331" s="1">
        <v>31777</v>
      </c>
      <c r="AZ3331" s="1">
        <v>31777</v>
      </c>
      <c r="BA3331" s="1">
        <v>31777</v>
      </c>
      <c r="BB3331" s="1">
        <v>39082</v>
      </c>
      <c r="BC3331" t="s">
        <v>51</v>
      </c>
      <c r="BE3331" t="s">
        <v>54</v>
      </c>
      <c r="BF3331">
        <v>2</v>
      </c>
      <c r="BG3331">
        <v>0</v>
      </c>
      <c r="BH3331" t="s">
        <v>53</v>
      </c>
      <c r="BK3331" t="s">
        <v>720</v>
      </c>
      <c r="BL3331">
        <v>17000</v>
      </c>
      <c r="BM3331" s="1">
        <v>42552</v>
      </c>
      <c r="BN3331" s="1">
        <v>42552</v>
      </c>
      <c r="BO3331" s="1">
        <v>42552</v>
      </c>
      <c r="BP3331" s="1">
        <v>43974</v>
      </c>
      <c r="BQ3331" t="s">
        <v>51</v>
      </c>
      <c r="BS3331" t="s">
        <v>60</v>
      </c>
      <c r="BT3331" t="s">
        <v>54</v>
      </c>
      <c r="BU3331" t="s">
        <v>721</v>
      </c>
      <c r="BV3331" t="s">
        <v>722</v>
      </c>
      <c r="BX3331">
        <v>18</v>
      </c>
      <c r="BY3331">
        <v>0</v>
      </c>
      <c r="BZ3331">
        <v>0</v>
      </c>
    </row>
    <row r="3332" spans="1:99" x14ac:dyDescent="0.2">
      <c r="A3332" t="s">
        <v>367</v>
      </c>
      <c r="B3332" t="s">
        <v>368</v>
      </c>
      <c r="C3332" t="s">
        <v>369</v>
      </c>
      <c r="D3332" t="s">
        <v>1445</v>
      </c>
      <c r="F3332" t="str">
        <f>"26261"</f>
        <v>26261</v>
      </c>
      <c r="G3332" t="s">
        <v>49</v>
      </c>
      <c r="H3332" t="s">
        <v>1446</v>
      </c>
      <c r="K3332" t="s">
        <v>51</v>
      </c>
      <c r="L3332" t="s">
        <v>52</v>
      </c>
      <c r="M3332">
        <v>137926.59</v>
      </c>
      <c r="N3332">
        <v>467972.81</v>
      </c>
      <c r="O3332" t="s">
        <v>53</v>
      </c>
      <c r="P3332" t="s">
        <v>54</v>
      </c>
      <c r="Q3332" t="s">
        <v>55</v>
      </c>
      <c r="T3332" t="s">
        <v>841</v>
      </c>
      <c r="U3332">
        <v>40</v>
      </c>
      <c r="V3332" s="1">
        <v>38289</v>
      </c>
      <c r="W3332" s="1">
        <v>38289</v>
      </c>
      <c r="X3332" s="1">
        <v>38289</v>
      </c>
      <c r="Y3332" s="1">
        <v>52899</v>
      </c>
      <c r="Z3332" t="s">
        <v>51</v>
      </c>
      <c r="AB3332" t="s">
        <v>54</v>
      </c>
      <c r="AC3332">
        <v>1</v>
      </c>
      <c r="AE3332" t="s">
        <v>64</v>
      </c>
      <c r="AF3332">
        <v>20</v>
      </c>
      <c r="AG3332" s="1">
        <v>39716</v>
      </c>
      <c r="AH3332" s="1">
        <v>39716</v>
      </c>
      <c r="AI3332" s="1">
        <v>39716</v>
      </c>
      <c r="AJ3332" s="1">
        <v>47021</v>
      </c>
      <c r="AK3332" t="s">
        <v>51</v>
      </c>
      <c r="AN3332">
        <v>0</v>
      </c>
      <c r="AO3332" t="s">
        <v>54</v>
      </c>
      <c r="AP3332" t="s">
        <v>53</v>
      </c>
      <c r="AQ3332">
        <v>0</v>
      </c>
      <c r="AR3332" t="s">
        <v>53</v>
      </c>
      <c r="AS3332">
        <v>0</v>
      </c>
      <c r="AT3332">
        <v>0</v>
      </c>
      <c r="CC3332" t="s">
        <v>555</v>
      </c>
      <c r="CD3332">
        <v>85000</v>
      </c>
      <c r="CE3332" s="1">
        <v>42552</v>
      </c>
      <c r="CF3332" s="1">
        <v>42552</v>
      </c>
      <c r="CG3332" s="1">
        <v>42552</v>
      </c>
      <c r="CH3332" s="1">
        <v>49714</v>
      </c>
      <c r="CI3332" t="s">
        <v>51</v>
      </c>
      <c r="CK3332" t="s">
        <v>78</v>
      </c>
      <c r="CM3332" t="s">
        <v>54</v>
      </c>
      <c r="CN3332" t="s">
        <v>174</v>
      </c>
      <c r="CO3332" t="s">
        <v>86</v>
      </c>
      <c r="CR3332">
        <v>20</v>
      </c>
      <c r="CS3332">
        <v>0</v>
      </c>
      <c r="CT3332">
        <v>0</v>
      </c>
      <c r="CU3332">
        <v>0</v>
      </c>
    </row>
    <row r="3333" spans="1:99" x14ac:dyDescent="0.2">
      <c r="A3333" t="s">
        <v>367</v>
      </c>
      <c r="B3333" t="s">
        <v>368</v>
      </c>
      <c r="C3333" t="s">
        <v>369</v>
      </c>
      <c r="D3333" t="s">
        <v>1445</v>
      </c>
      <c r="F3333" t="str">
        <f>"26263"</f>
        <v>26263</v>
      </c>
      <c r="G3333" t="s">
        <v>49</v>
      </c>
      <c r="H3333" t="s">
        <v>1447</v>
      </c>
      <c r="K3333" t="s">
        <v>51</v>
      </c>
      <c r="L3333" t="s">
        <v>52</v>
      </c>
      <c r="M3333">
        <v>137932.66</v>
      </c>
      <c r="N3333">
        <v>467921.15</v>
      </c>
      <c r="O3333" t="s">
        <v>53</v>
      </c>
      <c r="P3333" t="s">
        <v>54</v>
      </c>
      <c r="Q3333" t="s">
        <v>55</v>
      </c>
      <c r="T3333" t="s">
        <v>83</v>
      </c>
      <c r="U3333">
        <v>40</v>
      </c>
      <c r="V3333" s="1">
        <v>26664</v>
      </c>
      <c r="W3333" s="1">
        <v>26664</v>
      </c>
      <c r="X3333" s="1">
        <v>26664</v>
      </c>
      <c r="Y3333" s="1">
        <v>41274</v>
      </c>
      <c r="Z3333" t="s">
        <v>51</v>
      </c>
      <c r="AB3333" t="s">
        <v>54</v>
      </c>
      <c r="AC3333">
        <v>1</v>
      </c>
      <c r="AE3333" t="s">
        <v>1212</v>
      </c>
      <c r="AF3333">
        <v>20</v>
      </c>
      <c r="AG3333" s="1">
        <v>31777</v>
      </c>
      <c r="AH3333" s="1">
        <v>31777</v>
      </c>
      <c r="AI3333" s="1">
        <v>31777</v>
      </c>
      <c r="AJ3333" s="1">
        <v>39082</v>
      </c>
      <c r="AK3333" t="s">
        <v>51</v>
      </c>
      <c r="AN3333">
        <v>0</v>
      </c>
      <c r="AO3333" t="s">
        <v>54</v>
      </c>
      <c r="AP3333" t="s">
        <v>53</v>
      </c>
      <c r="AQ3333">
        <v>0</v>
      </c>
      <c r="AR3333" t="s">
        <v>53</v>
      </c>
      <c r="AS3333">
        <v>0</v>
      </c>
      <c r="AT3333">
        <v>0</v>
      </c>
      <c r="CC3333" t="s">
        <v>850</v>
      </c>
      <c r="CD3333">
        <v>1</v>
      </c>
      <c r="CE3333" s="1">
        <v>42552</v>
      </c>
      <c r="CF3333" s="1">
        <v>42552</v>
      </c>
      <c r="CG3333" s="1">
        <v>42552</v>
      </c>
      <c r="CH3333" s="1">
        <v>49714</v>
      </c>
      <c r="CI3333" t="s">
        <v>51</v>
      </c>
      <c r="CK3333" t="s">
        <v>78</v>
      </c>
      <c r="CM3333" t="s">
        <v>54</v>
      </c>
      <c r="CN3333" t="s">
        <v>174</v>
      </c>
      <c r="CO3333" t="s">
        <v>86</v>
      </c>
      <c r="CR3333">
        <v>18</v>
      </c>
      <c r="CS3333">
        <v>0</v>
      </c>
      <c r="CT3333">
        <v>0</v>
      </c>
      <c r="CU3333">
        <v>0</v>
      </c>
    </row>
    <row r="3334" spans="1:99" x14ac:dyDescent="0.2">
      <c r="A3334" t="s">
        <v>367</v>
      </c>
      <c r="B3334" t="s">
        <v>368</v>
      </c>
      <c r="C3334" t="s">
        <v>369</v>
      </c>
      <c r="D3334" t="s">
        <v>1445</v>
      </c>
      <c r="F3334" t="str">
        <f>"26266"</f>
        <v>26266</v>
      </c>
      <c r="G3334" t="s">
        <v>49</v>
      </c>
      <c r="H3334" t="s">
        <v>1448</v>
      </c>
      <c r="K3334" t="s">
        <v>51</v>
      </c>
      <c r="L3334" t="s">
        <v>52</v>
      </c>
      <c r="M3334">
        <v>137917.31</v>
      </c>
      <c r="N3334">
        <v>467836.06</v>
      </c>
      <c r="O3334" t="s">
        <v>53</v>
      </c>
      <c r="P3334" t="s">
        <v>54</v>
      </c>
      <c r="Q3334" t="s">
        <v>55</v>
      </c>
      <c r="T3334" t="s">
        <v>183</v>
      </c>
      <c r="U3334">
        <v>40</v>
      </c>
      <c r="V3334" s="1">
        <v>26664</v>
      </c>
      <c r="W3334" s="1">
        <v>26664</v>
      </c>
      <c r="X3334" s="1">
        <v>26664</v>
      </c>
      <c r="Y3334" s="1">
        <v>41274</v>
      </c>
      <c r="Z3334" t="s">
        <v>51</v>
      </c>
      <c r="AB3334" t="s">
        <v>54</v>
      </c>
      <c r="AC3334">
        <v>1</v>
      </c>
      <c r="AE3334" t="s">
        <v>1212</v>
      </c>
      <c r="AF3334">
        <v>20</v>
      </c>
      <c r="AG3334" s="1">
        <v>31777</v>
      </c>
      <c r="AH3334" s="1">
        <v>31777</v>
      </c>
      <c r="AI3334" s="1">
        <v>31777</v>
      </c>
      <c r="AJ3334" s="1">
        <v>39082</v>
      </c>
      <c r="AK3334" t="s">
        <v>51</v>
      </c>
      <c r="AN3334">
        <v>0</v>
      </c>
      <c r="AO3334" t="s">
        <v>54</v>
      </c>
      <c r="AP3334" t="s">
        <v>53</v>
      </c>
      <c r="AQ3334">
        <v>0</v>
      </c>
      <c r="AR3334" t="s">
        <v>53</v>
      </c>
      <c r="AS3334">
        <v>0</v>
      </c>
      <c r="AT3334">
        <v>0</v>
      </c>
      <c r="AW3334" t="s">
        <v>58</v>
      </c>
      <c r="AX3334">
        <v>20</v>
      </c>
      <c r="AY3334" s="1">
        <v>31777</v>
      </c>
      <c r="AZ3334" s="1">
        <v>31777</v>
      </c>
      <c r="BA3334" s="1">
        <v>31777</v>
      </c>
      <c r="BB3334" s="1">
        <v>39082</v>
      </c>
      <c r="BC3334" t="s">
        <v>51</v>
      </c>
      <c r="BE3334" t="s">
        <v>54</v>
      </c>
      <c r="BF3334">
        <v>2</v>
      </c>
      <c r="BG3334">
        <v>0</v>
      </c>
      <c r="BH3334" t="s">
        <v>53</v>
      </c>
      <c r="BK3334" t="s">
        <v>720</v>
      </c>
      <c r="BL3334">
        <v>17000</v>
      </c>
      <c r="BM3334" s="1">
        <v>42552</v>
      </c>
      <c r="BN3334" s="1">
        <v>42552</v>
      </c>
      <c r="BO3334" s="1">
        <v>42552</v>
      </c>
      <c r="BP3334" s="1">
        <v>43974</v>
      </c>
      <c r="BQ3334" t="s">
        <v>51</v>
      </c>
      <c r="BS3334" t="s">
        <v>60</v>
      </c>
      <c r="BT3334" t="s">
        <v>54</v>
      </c>
      <c r="BU3334" t="s">
        <v>721</v>
      </c>
      <c r="BV3334" t="s">
        <v>722</v>
      </c>
      <c r="BX3334">
        <v>18</v>
      </c>
      <c r="BY3334">
        <v>0</v>
      </c>
      <c r="BZ3334">
        <v>0</v>
      </c>
    </row>
    <row r="3335" spans="1:99" x14ac:dyDescent="0.2">
      <c r="A3335" t="s">
        <v>367</v>
      </c>
      <c r="B3335" t="s">
        <v>368</v>
      </c>
      <c r="C3335" t="s">
        <v>369</v>
      </c>
      <c r="D3335" t="s">
        <v>1445</v>
      </c>
      <c r="F3335" t="str">
        <f>"26267"</f>
        <v>26267</v>
      </c>
      <c r="G3335" t="s">
        <v>49</v>
      </c>
      <c r="H3335" t="s">
        <v>1227</v>
      </c>
      <c r="K3335" t="s">
        <v>51</v>
      </c>
      <c r="L3335" t="s">
        <v>52</v>
      </c>
      <c r="M3335">
        <v>137910.31</v>
      </c>
      <c r="N3335">
        <v>467804.98</v>
      </c>
      <c r="O3335" t="s">
        <v>53</v>
      </c>
      <c r="P3335" t="s">
        <v>54</v>
      </c>
      <c r="Q3335" t="s">
        <v>55</v>
      </c>
      <c r="T3335" t="s">
        <v>183</v>
      </c>
      <c r="U3335">
        <v>40</v>
      </c>
      <c r="V3335" s="1">
        <v>26664</v>
      </c>
      <c r="W3335" s="1">
        <v>26664</v>
      </c>
      <c r="X3335" s="1">
        <v>26664</v>
      </c>
      <c r="Y3335" s="1">
        <v>41274</v>
      </c>
      <c r="Z3335" t="s">
        <v>51</v>
      </c>
      <c r="AB3335" t="s">
        <v>54</v>
      </c>
      <c r="AC3335">
        <v>1</v>
      </c>
      <c r="AE3335" t="s">
        <v>1212</v>
      </c>
      <c r="AF3335">
        <v>20</v>
      </c>
      <c r="AG3335" s="1">
        <v>31777</v>
      </c>
      <c r="AH3335" s="1">
        <v>31777</v>
      </c>
      <c r="AI3335" s="1">
        <v>31777</v>
      </c>
      <c r="AJ3335" s="1">
        <v>39082</v>
      </c>
      <c r="AK3335" t="s">
        <v>51</v>
      </c>
      <c r="AN3335">
        <v>0</v>
      </c>
      <c r="AO3335" t="s">
        <v>54</v>
      </c>
      <c r="AP3335" t="s">
        <v>53</v>
      </c>
      <c r="AQ3335">
        <v>0</v>
      </c>
      <c r="AR3335" t="s">
        <v>53</v>
      </c>
      <c r="AS3335">
        <v>0</v>
      </c>
      <c r="AT3335">
        <v>0</v>
      </c>
      <c r="AW3335" t="s">
        <v>58</v>
      </c>
      <c r="AX3335">
        <v>20</v>
      </c>
      <c r="AY3335" s="1">
        <v>31777</v>
      </c>
      <c r="AZ3335" s="1">
        <v>31777</v>
      </c>
      <c r="BA3335" s="1">
        <v>31777</v>
      </c>
      <c r="BB3335" s="1">
        <v>39082</v>
      </c>
      <c r="BC3335" t="s">
        <v>51</v>
      </c>
      <c r="BE3335" t="s">
        <v>54</v>
      </c>
      <c r="BF3335">
        <v>2</v>
      </c>
      <c r="BG3335">
        <v>0</v>
      </c>
      <c r="BH3335" t="s">
        <v>53</v>
      </c>
      <c r="BK3335" t="s">
        <v>720</v>
      </c>
      <c r="BL3335">
        <v>17000</v>
      </c>
      <c r="BM3335" s="1">
        <v>45131</v>
      </c>
      <c r="BN3335" s="1">
        <v>45131</v>
      </c>
      <c r="BO3335" s="1">
        <v>45131</v>
      </c>
      <c r="BP3335" s="1">
        <v>46554</v>
      </c>
      <c r="BQ3335" t="s">
        <v>51</v>
      </c>
      <c r="BS3335" t="s">
        <v>60</v>
      </c>
      <c r="BT3335" t="s">
        <v>54</v>
      </c>
      <c r="BU3335" t="s">
        <v>721</v>
      </c>
      <c r="BV3335" t="s">
        <v>722</v>
      </c>
      <c r="BX3335">
        <v>18</v>
      </c>
      <c r="BY3335">
        <v>0</v>
      </c>
      <c r="BZ3335">
        <v>0</v>
      </c>
    </row>
    <row r="3336" spans="1:99" x14ac:dyDescent="0.2">
      <c r="A3336" t="s">
        <v>367</v>
      </c>
      <c r="B3336" t="s">
        <v>368</v>
      </c>
      <c r="C3336" t="s">
        <v>369</v>
      </c>
      <c r="D3336" t="s">
        <v>1445</v>
      </c>
      <c r="F3336" t="str">
        <f>"26268"</f>
        <v>26268</v>
      </c>
      <c r="G3336" t="s">
        <v>49</v>
      </c>
      <c r="H3336" t="s">
        <v>1449</v>
      </c>
      <c r="K3336" t="s">
        <v>51</v>
      </c>
      <c r="L3336" t="s">
        <v>52</v>
      </c>
      <c r="M3336">
        <v>137912.76</v>
      </c>
      <c r="N3336">
        <v>467769.05</v>
      </c>
      <c r="O3336" t="s">
        <v>53</v>
      </c>
      <c r="P3336" t="s">
        <v>54</v>
      </c>
      <c r="Q3336" t="s">
        <v>55</v>
      </c>
      <c r="T3336" t="s">
        <v>183</v>
      </c>
      <c r="U3336">
        <v>40</v>
      </c>
      <c r="V3336" s="1">
        <v>26664</v>
      </c>
      <c r="W3336" s="1">
        <v>26664</v>
      </c>
      <c r="X3336" s="1">
        <v>26664</v>
      </c>
      <c r="Y3336" s="1">
        <v>41274</v>
      </c>
      <c r="Z3336" t="s">
        <v>51</v>
      </c>
      <c r="AB3336" t="s">
        <v>54</v>
      </c>
      <c r="AC3336">
        <v>1</v>
      </c>
      <c r="AE3336" t="s">
        <v>1212</v>
      </c>
      <c r="AF3336">
        <v>20</v>
      </c>
      <c r="AG3336" s="1">
        <v>31777</v>
      </c>
      <c r="AH3336" s="1">
        <v>31777</v>
      </c>
      <c r="AI3336" s="1">
        <v>31777</v>
      </c>
      <c r="AJ3336" s="1">
        <v>39082</v>
      </c>
      <c r="AK3336" t="s">
        <v>51</v>
      </c>
      <c r="AN3336">
        <v>0</v>
      </c>
      <c r="AO3336" t="s">
        <v>54</v>
      </c>
      <c r="AP3336" t="s">
        <v>53</v>
      </c>
      <c r="AQ3336">
        <v>0</v>
      </c>
      <c r="AR3336" t="s">
        <v>53</v>
      </c>
      <c r="AS3336">
        <v>0</v>
      </c>
      <c r="AT3336">
        <v>0</v>
      </c>
      <c r="AW3336" t="s">
        <v>58</v>
      </c>
      <c r="AX3336">
        <v>20</v>
      </c>
      <c r="AY3336" s="1">
        <v>31777</v>
      </c>
      <c r="AZ3336" s="1">
        <v>31777</v>
      </c>
      <c r="BA3336" s="1">
        <v>31777</v>
      </c>
      <c r="BB3336" s="1">
        <v>39082</v>
      </c>
      <c r="BC3336" t="s">
        <v>51</v>
      </c>
      <c r="BE3336" t="s">
        <v>54</v>
      </c>
      <c r="BF3336">
        <v>2</v>
      </c>
      <c r="BG3336">
        <v>0</v>
      </c>
      <c r="BH3336" t="s">
        <v>53</v>
      </c>
      <c r="BK3336" t="s">
        <v>720</v>
      </c>
      <c r="BL3336">
        <v>17000</v>
      </c>
      <c r="BM3336" s="1">
        <v>45131</v>
      </c>
      <c r="BN3336" s="1">
        <v>45131</v>
      </c>
      <c r="BO3336" s="1">
        <v>45131</v>
      </c>
      <c r="BP3336" s="1">
        <v>46554</v>
      </c>
      <c r="BQ3336" t="s">
        <v>51</v>
      </c>
      <c r="BS3336" t="s">
        <v>60</v>
      </c>
      <c r="BT3336" t="s">
        <v>54</v>
      </c>
      <c r="BU3336" t="s">
        <v>721</v>
      </c>
      <c r="BV3336" t="s">
        <v>722</v>
      </c>
      <c r="BX3336">
        <v>18</v>
      </c>
      <c r="BY3336">
        <v>0</v>
      </c>
      <c r="BZ3336">
        <v>0</v>
      </c>
    </row>
    <row r="3337" spans="1:99" x14ac:dyDescent="0.2">
      <c r="A3337" t="s">
        <v>367</v>
      </c>
      <c r="B3337" t="s">
        <v>368</v>
      </c>
      <c r="C3337" t="s">
        <v>369</v>
      </c>
      <c r="D3337" t="s">
        <v>1445</v>
      </c>
      <c r="F3337" t="str">
        <f>"26269"</f>
        <v>26269</v>
      </c>
      <c r="G3337" t="s">
        <v>49</v>
      </c>
      <c r="H3337" t="s">
        <v>1450</v>
      </c>
      <c r="K3337" t="s">
        <v>51</v>
      </c>
      <c r="L3337" t="s">
        <v>52</v>
      </c>
      <c r="M3337">
        <v>137906.82</v>
      </c>
      <c r="N3337">
        <v>467743.97</v>
      </c>
      <c r="O3337" t="s">
        <v>53</v>
      </c>
      <c r="P3337" t="s">
        <v>54</v>
      </c>
      <c r="Q3337" t="s">
        <v>55</v>
      </c>
      <c r="T3337" t="s">
        <v>183</v>
      </c>
      <c r="U3337">
        <v>40</v>
      </c>
      <c r="V3337" s="1">
        <v>26664</v>
      </c>
      <c r="W3337" s="1">
        <v>26664</v>
      </c>
      <c r="X3337" s="1">
        <v>26664</v>
      </c>
      <c r="Y3337" s="1">
        <v>41274</v>
      </c>
      <c r="Z3337" t="s">
        <v>51</v>
      </c>
      <c r="AB3337" t="s">
        <v>54</v>
      </c>
      <c r="AC3337">
        <v>1</v>
      </c>
      <c r="AE3337" t="s">
        <v>1212</v>
      </c>
      <c r="AF3337">
        <v>20</v>
      </c>
      <c r="AG3337" s="1">
        <v>31777</v>
      </c>
      <c r="AH3337" s="1">
        <v>31777</v>
      </c>
      <c r="AI3337" s="1">
        <v>31777</v>
      </c>
      <c r="AJ3337" s="1">
        <v>39082</v>
      </c>
      <c r="AK3337" t="s">
        <v>51</v>
      </c>
      <c r="AN3337">
        <v>0</v>
      </c>
      <c r="AO3337" t="s">
        <v>54</v>
      </c>
      <c r="AP3337" t="s">
        <v>53</v>
      </c>
      <c r="AQ3337">
        <v>0</v>
      </c>
      <c r="AR3337" t="s">
        <v>53</v>
      </c>
      <c r="AS3337">
        <v>0</v>
      </c>
      <c r="AT3337">
        <v>0</v>
      </c>
      <c r="AW3337" t="s">
        <v>58</v>
      </c>
      <c r="AX3337">
        <v>20</v>
      </c>
      <c r="AY3337" s="1">
        <v>31777</v>
      </c>
      <c r="AZ3337" s="1">
        <v>31777</v>
      </c>
      <c r="BA3337" s="1">
        <v>31777</v>
      </c>
      <c r="BB3337" s="1">
        <v>39082</v>
      </c>
      <c r="BC3337" t="s">
        <v>51</v>
      </c>
      <c r="BE3337" t="s">
        <v>54</v>
      </c>
      <c r="BF3337">
        <v>2</v>
      </c>
      <c r="BG3337">
        <v>0</v>
      </c>
      <c r="BH3337" t="s">
        <v>53</v>
      </c>
      <c r="BK3337" t="s">
        <v>720</v>
      </c>
      <c r="BL3337">
        <v>17000</v>
      </c>
      <c r="BM3337" s="1">
        <v>43858</v>
      </c>
      <c r="BN3337" s="1">
        <v>43858</v>
      </c>
      <c r="BO3337" s="1">
        <v>43858</v>
      </c>
      <c r="BP3337" s="1">
        <v>45301</v>
      </c>
      <c r="BQ3337" t="s">
        <v>51</v>
      </c>
      <c r="BS3337" t="s">
        <v>60</v>
      </c>
      <c r="BT3337" t="s">
        <v>54</v>
      </c>
      <c r="BU3337" t="s">
        <v>721</v>
      </c>
      <c r="BV3337" t="s">
        <v>722</v>
      </c>
      <c r="BX3337">
        <v>18</v>
      </c>
      <c r="BY3337">
        <v>0</v>
      </c>
      <c r="BZ3337">
        <v>0</v>
      </c>
    </row>
    <row r="3338" spans="1:99" x14ac:dyDescent="0.2">
      <c r="A3338" t="s">
        <v>367</v>
      </c>
      <c r="B3338" t="s">
        <v>368</v>
      </c>
      <c r="C3338" t="s">
        <v>369</v>
      </c>
      <c r="D3338" t="s">
        <v>1445</v>
      </c>
      <c r="F3338" t="str">
        <f>"254248"</f>
        <v>254248</v>
      </c>
      <c r="G3338" t="s">
        <v>49</v>
      </c>
      <c r="H3338" t="s">
        <v>1450</v>
      </c>
      <c r="K3338" t="s">
        <v>51</v>
      </c>
      <c r="L3338" t="s">
        <v>52</v>
      </c>
      <c r="M3338">
        <v>137892.96</v>
      </c>
      <c r="N3338">
        <v>467718.45</v>
      </c>
      <c r="O3338" t="s">
        <v>53</v>
      </c>
      <c r="P3338" t="s">
        <v>54</v>
      </c>
      <c r="Q3338" t="s">
        <v>55</v>
      </c>
      <c r="T3338" t="s">
        <v>183</v>
      </c>
      <c r="U3338">
        <v>40</v>
      </c>
      <c r="V3338" s="1">
        <v>26664</v>
      </c>
      <c r="W3338" s="1">
        <v>26664</v>
      </c>
      <c r="X3338" s="1">
        <v>26664</v>
      </c>
      <c r="Y3338" s="1">
        <v>41274</v>
      </c>
      <c r="Z3338" t="s">
        <v>51</v>
      </c>
      <c r="AB3338" t="s">
        <v>54</v>
      </c>
      <c r="AC3338">
        <v>1</v>
      </c>
      <c r="AE3338" t="s">
        <v>1212</v>
      </c>
      <c r="AF3338">
        <v>20</v>
      </c>
      <c r="AG3338" s="1">
        <v>31777</v>
      </c>
      <c r="AH3338" s="1">
        <v>31777</v>
      </c>
      <c r="AI3338" s="1">
        <v>31777</v>
      </c>
      <c r="AJ3338" s="1">
        <v>39082</v>
      </c>
      <c r="AK3338" t="s">
        <v>51</v>
      </c>
      <c r="AN3338">
        <v>0</v>
      </c>
      <c r="AO3338" t="s">
        <v>54</v>
      </c>
      <c r="AP3338" t="s">
        <v>53</v>
      </c>
      <c r="AQ3338">
        <v>0</v>
      </c>
      <c r="AR3338" t="s">
        <v>53</v>
      </c>
      <c r="AS3338">
        <v>0</v>
      </c>
      <c r="AT3338">
        <v>0</v>
      </c>
      <c r="CC3338" t="s">
        <v>850</v>
      </c>
      <c r="CD3338">
        <v>1</v>
      </c>
      <c r="CE3338" s="1">
        <v>44165</v>
      </c>
      <c r="CF3338" s="1">
        <v>44165</v>
      </c>
      <c r="CG3338" s="1">
        <v>44165</v>
      </c>
      <c r="CH3338" s="1">
        <v>51360</v>
      </c>
      <c r="CI3338" t="s">
        <v>51</v>
      </c>
      <c r="CK3338" t="s">
        <v>78</v>
      </c>
      <c r="CM3338" t="s">
        <v>54</v>
      </c>
      <c r="CN3338" t="s">
        <v>174</v>
      </c>
      <c r="CO3338" t="s">
        <v>86</v>
      </c>
      <c r="CR3338">
        <v>18</v>
      </c>
      <c r="CS3338">
        <v>0</v>
      </c>
      <c r="CT3338">
        <v>0</v>
      </c>
      <c r="CU3338">
        <v>0</v>
      </c>
    </row>
    <row r="3339" spans="1:99" x14ac:dyDescent="0.2">
      <c r="A3339" t="s">
        <v>367</v>
      </c>
      <c r="B3339" t="s">
        <v>368</v>
      </c>
      <c r="C3339" t="s">
        <v>369</v>
      </c>
      <c r="D3339" t="s">
        <v>1445</v>
      </c>
      <c r="F3339" t="str">
        <f>"26271"</f>
        <v>26271</v>
      </c>
      <c r="G3339" t="s">
        <v>49</v>
      </c>
      <c r="H3339" t="s">
        <v>1450</v>
      </c>
      <c r="K3339" t="s">
        <v>51</v>
      </c>
      <c r="L3339" t="s">
        <v>52</v>
      </c>
      <c r="M3339">
        <v>137891.76</v>
      </c>
      <c r="N3339">
        <v>467704.09</v>
      </c>
      <c r="O3339" t="s">
        <v>53</v>
      </c>
      <c r="P3339" t="s">
        <v>54</v>
      </c>
      <c r="Q3339" t="s">
        <v>55</v>
      </c>
      <c r="T3339" t="s">
        <v>841</v>
      </c>
      <c r="U3339">
        <v>40</v>
      </c>
      <c r="V3339" s="1">
        <v>27759</v>
      </c>
      <c r="W3339" s="1">
        <v>27759</v>
      </c>
      <c r="X3339" s="1">
        <v>27759</v>
      </c>
      <c r="Y3339" s="1">
        <v>42369</v>
      </c>
      <c r="Z3339" t="s">
        <v>51</v>
      </c>
      <c r="AB3339" t="s">
        <v>54</v>
      </c>
      <c r="AC3339">
        <v>1</v>
      </c>
      <c r="AE3339" t="s">
        <v>1212</v>
      </c>
      <c r="AF3339">
        <v>20</v>
      </c>
      <c r="AG3339" s="1">
        <v>31777</v>
      </c>
      <c r="AH3339" s="1">
        <v>31777</v>
      </c>
      <c r="AI3339" s="1">
        <v>31777</v>
      </c>
      <c r="AJ3339" s="1">
        <v>39082</v>
      </c>
      <c r="AK3339" t="s">
        <v>51</v>
      </c>
      <c r="AN3339">
        <v>0</v>
      </c>
      <c r="AO3339" t="s">
        <v>54</v>
      </c>
      <c r="AP3339" t="s">
        <v>53</v>
      </c>
      <c r="AQ3339">
        <v>0</v>
      </c>
      <c r="AR3339" t="s">
        <v>53</v>
      </c>
      <c r="AS3339">
        <v>0</v>
      </c>
      <c r="AT3339">
        <v>0</v>
      </c>
      <c r="CC3339" t="s">
        <v>850</v>
      </c>
      <c r="CD3339">
        <v>1</v>
      </c>
      <c r="CE3339" s="1">
        <v>42552</v>
      </c>
      <c r="CF3339" s="1">
        <v>42552</v>
      </c>
      <c r="CG3339" s="1">
        <v>42552</v>
      </c>
      <c r="CH3339" s="1">
        <v>49714</v>
      </c>
      <c r="CI3339" t="s">
        <v>51</v>
      </c>
      <c r="CK3339" t="s">
        <v>78</v>
      </c>
      <c r="CM3339" t="s">
        <v>54</v>
      </c>
      <c r="CN3339" t="s">
        <v>174</v>
      </c>
      <c r="CO3339" t="s">
        <v>86</v>
      </c>
      <c r="CR3339">
        <v>18</v>
      </c>
      <c r="CS3339">
        <v>0</v>
      </c>
      <c r="CT3339">
        <v>0</v>
      </c>
      <c r="CU3339">
        <v>0</v>
      </c>
    </row>
    <row r="3340" spans="1:99" x14ac:dyDescent="0.2">
      <c r="A3340" t="s">
        <v>367</v>
      </c>
      <c r="B3340" t="s">
        <v>368</v>
      </c>
      <c r="C3340" t="s">
        <v>369</v>
      </c>
      <c r="D3340" t="s">
        <v>1445</v>
      </c>
      <c r="F3340" t="str">
        <f>"26272"</f>
        <v>26272</v>
      </c>
      <c r="G3340" t="s">
        <v>49</v>
      </c>
      <c r="H3340" t="s">
        <v>1451</v>
      </c>
      <c r="K3340" t="s">
        <v>51</v>
      </c>
      <c r="L3340" t="s">
        <v>52</v>
      </c>
      <c r="M3340">
        <v>137903.96</v>
      </c>
      <c r="N3340">
        <v>467689.19</v>
      </c>
      <c r="O3340" t="s">
        <v>53</v>
      </c>
      <c r="P3340" t="s">
        <v>54</v>
      </c>
      <c r="Q3340" t="s">
        <v>55</v>
      </c>
      <c r="T3340" t="s">
        <v>183</v>
      </c>
      <c r="U3340">
        <v>40</v>
      </c>
      <c r="V3340" s="1">
        <v>26664</v>
      </c>
      <c r="W3340" s="1">
        <v>26664</v>
      </c>
      <c r="X3340" s="1">
        <v>26664</v>
      </c>
      <c r="Y3340" s="1">
        <v>41274</v>
      </c>
      <c r="Z3340" t="s">
        <v>51</v>
      </c>
      <c r="AB3340" t="s">
        <v>54</v>
      </c>
      <c r="AC3340">
        <v>1</v>
      </c>
      <c r="AE3340" t="s">
        <v>1212</v>
      </c>
      <c r="AF3340">
        <v>20</v>
      </c>
      <c r="AG3340" s="1">
        <v>31777</v>
      </c>
      <c r="AH3340" s="1">
        <v>31777</v>
      </c>
      <c r="AI3340" s="1">
        <v>31777</v>
      </c>
      <c r="AJ3340" s="1">
        <v>39082</v>
      </c>
      <c r="AK3340" t="s">
        <v>51</v>
      </c>
      <c r="AN3340">
        <v>0</v>
      </c>
      <c r="AO3340" t="s">
        <v>54</v>
      </c>
      <c r="AP3340" t="s">
        <v>53</v>
      </c>
      <c r="AQ3340">
        <v>0</v>
      </c>
      <c r="AR3340" t="s">
        <v>53</v>
      </c>
      <c r="AS3340">
        <v>0</v>
      </c>
      <c r="AT3340">
        <v>0</v>
      </c>
      <c r="CC3340" t="s">
        <v>850</v>
      </c>
      <c r="CD3340">
        <v>1</v>
      </c>
      <c r="CE3340" s="1">
        <v>42552</v>
      </c>
      <c r="CF3340" s="1">
        <v>42552</v>
      </c>
      <c r="CG3340" s="1">
        <v>42552</v>
      </c>
      <c r="CH3340" s="1">
        <v>49714</v>
      </c>
      <c r="CI3340" t="s">
        <v>51</v>
      </c>
      <c r="CK3340" t="s">
        <v>78</v>
      </c>
      <c r="CM3340" t="s">
        <v>54</v>
      </c>
      <c r="CN3340" t="s">
        <v>174</v>
      </c>
      <c r="CO3340" t="s">
        <v>86</v>
      </c>
      <c r="CR3340">
        <v>18</v>
      </c>
      <c r="CS3340">
        <v>0</v>
      </c>
      <c r="CT3340">
        <v>0</v>
      </c>
      <c r="CU3340">
        <v>0</v>
      </c>
    </row>
    <row r="3341" spans="1:99" x14ac:dyDescent="0.2">
      <c r="A3341" t="s">
        <v>367</v>
      </c>
      <c r="B3341" t="s">
        <v>368</v>
      </c>
      <c r="C3341" t="s">
        <v>369</v>
      </c>
      <c r="D3341" t="s">
        <v>1193</v>
      </c>
      <c r="F3341" t="str">
        <f>"26273"</f>
        <v>26273</v>
      </c>
      <c r="G3341" t="s">
        <v>49</v>
      </c>
      <c r="H3341" t="s">
        <v>1452</v>
      </c>
      <c r="K3341" t="s">
        <v>51</v>
      </c>
      <c r="L3341" t="s">
        <v>52</v>
      </c>
      <c r="M3341">
        <v>138277.97</v>
      </c>
      <c r="N3341">
        <v>467800.72</v>
      </c>
      <c r="O3341" t="s">
        <v>53</v>
      </c>
      <c r="P3341" t="s">
        <v>54</v>
      </c>
      <c r="Q3341" t="s">
        <v>55</v>
      </c>
      <c r="T3341" t="s">
        <v>183</v>
      </c>
      <c r="U3341">
        <v>40</v>
      </c>
      <c r="V3341" s="1">
        <v>25203</v>
      </c>
      <c r="W3341" s="1">
        <v>25203</v>
      </c>
      <c r="X3341" s="1">
        <v>25203</v>
      </c>
      <c r="Y3341" s="1">
        <v>39813</v>
      </c>
      <c r="Z3341" t="s">
        <v>51</v>
      </c>
      <c r="AB3341" t="s">
        <v>54</v>
      </c>
      <c r="AC3341">
        <v>1</v>
      </c>
      <c r="AE3341" t="s">
        <v>57</v>
      </c>
      <c r="AF3341">
        <v>20</v>
      </c>
      <c r="AG3341" s="1">
        <v>41123</v>
      </c>
      <c r="AH3341" s="1">
        <v>41123</v>
      </c>
      <c r="AI3341" s="1">
        <v>41123</v>
      </c>
      <c r="AJ3341" s="1">
        <v>48428</v>
      </c>
      <c r="AK3341" t="s">
        <v>51</v>
      </c>
      <c r="AN3341">
        <v>0</v>
      </c>
      <c r="AO3341" t="s">
        <v>54</v>
      </c>
      <c r="AP3341" t="s">
        <v>53</v>
      </c>
      <c r="AQ3341">
        <v>0</v>
      </c>
      <c r="AR3341" t="s">
        <v>53</v>
      </c>
      <c r="AS3341">
        <v>0</v>
      </c>
      <c r="AT3341">
        <v>0</v>
      </c>
      <c r="AW3341" t="s">
        <v>58</v>
      </c>
      <c r="AX3341">
        <v>20</v>
      </c>
      <c r="AY3341" s="1">
        <v>41123</v>
      </c>
      <c r="AZ3341" s="1">
        <v>41123</v>
      </c>
      <c r="BA3341" s="1">
        <v>41123</v>
      </c>
      <c r="BB3341" s="1">
        <v>48428</v>
      </c>
      <c r="BC3341" t="s">
        <v>51</v>
      </c>
      <c r="BE3341" t="s">
        <v>54</v>
      </c>
      <c r="BF3341">
        <v>2</v>
      </c>
      <c r="BG3341">
        <v>0</v>
      </c>
      <c r="BH3341" t="s">
        <v>53</v>
      </c>
      <c r="BK3341" t="s">
        <v>59</v>
      </c>
      <c r="BL3341">
        <v>14000</v>
      </c>
      <c r="BM3341" s="1">
        <v>42552</v>
      </c>
      <c r="BN3341" s="1">
        <v>42552</v>
      </c>
      <c r="BO3341" s="1">
        <v>42552</v>
      </c>
      <c r="BP3341" s="1">
        <v>43752</v>
      </c>
      <c r="BQ3341" t="s">
        <v>51</v>
      </c>
      <c r="BS3341" t="s">
        <v>60</v>
      </c>
      <c r="BT3341" t="s">
        <v>54</v>
      </c>
      <c r="BU3341" t="s">
        <v>61</v>
      </c>
      <c r="BV3341" t="s">
        <v>62</v>
      </c>
      <c r="BX3341">
        <v>24</v>
      </c>
      <c r="BY3341">
        <v>0</v>
      </c>
      <c r="BZ3341">
        <v>0</v>
      </c>
    </row>
    <row r="3342" spans="1:99" x14ac:dyDescent="0.2">
      <c r="A3342" t="s">
        <v>367</v>
      </c>
      <c r="B3342" t="s">
        <v>368</v>
      </c>
      <c r="C3342" t="s">
        <v>369</v>
      </c>
      <c r="D3342" t="s">
        <v>1193</v>
      </c>
      <c r="F3342" t="str">
        <f>"26274"</f>
        <v>26274</v>
      </c>
      <c r="G3342" t="s">
        <v>49</v>
      </c>
      <c r="H3342" t="s">
        <v>1313</v>
      </c>
      <c r="K3342" t="s">
        <v>51</v>
      </c>
      <c r="L3342" t="s">
        <v>52</v>
      </c>
      <c r="M3342">
        <v>138277.75</v>
      </c>
      <c r="N3342">
        <v>467766.62</v>
      </c>
      <c r="O3342" t="s">
        <v>53</v>
      </c>
      <c r="P3342" t="s">
        <v>54</v>
      </c>
      <c r="Q3342" t="s">
        <v>55</v>
      </c>
      <c r="T3342" t="s">
        <v>183</v>
      </c>
      <c r="U3342">
        <v>40</v>
      </c>
      <c r="V3342" s="1">
        <v>25203</v>
      </c>
      <c r="W3342" s="1">
        <v>25203</v>
      </c>
      <c r="X3342" s="1">
        <v>25203</v>
      </c>
      <c r="Y3342" s="1">
        <v>39813</v>
      </c>
      <c r="Z3342" t="s">
        <v>51</v>
      </c>
      <c r="AB3342" t="s">
        <v>54</v>
      </c>
      <c r="AC3342">
        <v>1</v>
      </c>
      <c r="AE3342" t="s">
        <v>1212</v>
      </c>
      <c r="AF3342">
        <v>20</v>
      </c>
      <c r="AG3342" s="1">
        <v>31777</v>
      </c>
      <c r="AH3342" s="1">
        <v>31777</v>
      </c>
      <c r="AI3342" s="1">
        <v>31777</v>
      </c>
      <c r="AJ3342" s="1">
        <v>39082</v>
      </c>
      <c r="AK3342" t="s">
        <v>51</v>
      </c>
      <c r="AN3342">
        <v>0</v>
      </c>
      <c r="AO3342" t="s">
        <v>54</v>
      </c>
      <c r="AP3342" t="s">
        <v>53</v>
      </c>
      <c r="AQ3342">
        <v>0</v>
      </c>
      <c r="AR3342" t="s">
        <v>53</v>
      </c>
      <c r="AS3342">
        <v>0</v>
      </c>
      <c r="AT3342">
        <v>0</v>
      </c>
      <c r="AW3342" t="s">
        <v>58</v>
      </c>
      <c r="AX3342">
        <v>20</v>
      </c>
      <c r="AY3342" s="1">
        <v>31777</v>
      </c>
      <c r="AZ3342" s="1">
        <v>31777</v>
      </c>
      <c r="BA3342" s="1">
        <v>31777</v>
      </c>
      <c r="BB3342" s="1">
        <v>39082</v>
      </c>
      <c r="BC3342" t="s">
        <v>51</v>
      </c>
      <c r="BE3342" t="s">
        <v>54</v>
      </c>
      <c r="BF3342">
        <v>2</v>
      </c>
      <c r="BG3342">
        <v>0</v>
      </c>
      <c r="BH3342" t="s">
        <v>53</v>
      </c>
      <c r="BK3342" t="s">
        <v>720</v>
      </c>
      <c r="BL3342">
        <v>17000</v>
      </c>
      <c r="BM3342" s="1">
        <v>43850</v>
      </c>
      <c r="BN3342" s="1">
        <v>43850</v>
      </c>
      <c r="BO3342" s="1">
        <v>43850</v>
      </c>
      <c r="BP3342" s="1">
        <v>45293</v>
      </c>
      <c r="BQ3342" t="s">
        <v>51</v>
      </c>
      <c r="BS3342" t="s">
        <v>60</v>
      </c>
      <c r="BT3342" t="s">
        <v>54</v>
      </c>
      <c r="BU3342" t="s">
        <v>721</v>
      </c>
      <c r="BV3342" t="s">
        <v>722</v>
      </c>
      <c r="BX3342">
        <v>18</v>
      </c>
      <c r="BY3342">
        <v>0</v>
      </c>
      <c r="BZ3342">
        <v>0</v>
      </c>
    </row>
    <row r="3343" spans="1:99" x14ac:dyDescent="0.2">
      <c r="A3343" t="s">
        <v>367</v>
      </c>
      <c r="B3343" t="s">
        <v>368</v>
      </c>
      <c r="C3343" t="s">
        <v>369</v>
      </c>
      <c r="D3343" t="s">
        <v>1193</v>
      </c>
      <c r="F3343" t="str">
        <f>"26275"</f>
        <v>26275</v>
      </c>
      <c r="G3343" t="s">
        <v>49</v>
      </c>
      <c r="H3343" t="s">
        <v>1228</v>
      </c>
      <c r="K3343" t="s">
        <v>51</v>
      </c>
      <c r="L3343" t="s">
        <v>52</v>
      </c>
      <c r="M3343">
        <v>138271.37</v>
      </c>
      <c r="N3343">
        <v>467738.02</v>
      </c>
      <c r="O3343" t="s">
        <v>53</v>
      </c>
      <c r="P3343" t="s">
        <v>54</v>
      </c>
      <c r="Q3343" t="s">
        <v>55</v>
      </c>
      <c r="T3343" t="s">
        <v>183</v>
      </c>
      <c r="U3343">
        <v>40</v>
      </c>
      <c r="V3343" s="1">
        <v>25203</v>
      </c>
      <c r="W3343" s="1">
        <v>25203</v>
      </c>
      <c r="X3343" s="1">
        <v>25203</v>
      </c>
      <c r="Y3343" s="1">
        <v>39813</v>
      </c>
      <c r="Z3343" t="s">
        <v>51</v>
      </c>
      <c r="AB3343" t="s">
        <v>54</v>
      </c>
      <c r="AC3343">
        <v>1</v>
      </c>
      <c r="AE3343" t="s">
        <v>1212</v>
      </c>
      <c r="AF3343">
        <v>20</v>
      </c>
      <c r="AG3343" s="1">
        <v>31777</v>
      </c>
      <c r="AH3343" s="1">
        <v>31777</v>
      </c>
      <c r="AI3343" s="1">
        <v>31777</v>
      </c>
      <c r="AJ3343" s="1">
        <v>39082</v>
      </c>
      <c r="AK3343" t="s">
        <v>51</v>
      </c>
      <c r="AN3343">
        <v>0</v>
      </c>
      <c r="AO3343" t="s">
        <v>54</v>
      </c>
      <c r="AP3343" t="s">
        <v>53</v>
      </c>
      <c r="AQ3343">
        <v>0</v>
      </c>
      <c r="AR3343" t="s">
        <v>53</v>
      </c>
      <c r="AS3343">
        <v>0</v>
      </c>
      <c r="AT3343">
        <v>0</v>
      </c>
      <c r="AW3343" t="s">
        <v>58</v>
      </c>
      <c r="AX3343">
        <v>20</v>
      </c>
      <c r="AY3343" s="1">
        <v>31777</v>
      </c>
      <c r="AZ3343" s="1">
        <v>31777</v>
      </c>
      <c r="BA3343" s="1">
        <v>31777</v>
      </c>
      <c r="BB3343" s="1">
        <v>39082</v>
      </c>
      <c r="BC3343" t="s">
        <v>51</v>
      </c>
      <c r="BE3343" t="s">
        <v>54</v>
      </c>
      <c r="BF3343">
        <v>2</v>
      </c>
      <c r="BG3343">
        <v>0</v>
      </c>
      <c r="BH3343" t="s">
        <v>53</v>
      </c>
      <c r="BK3343" t="s">
        <v>720</v>
      </c>
      <c r="BL3343">
        <v>17000</v>
      </c>
      <c r="BM3343" s="1">
        <v>43774</v>
      </c>
      <c r="BN3343" s="1">
        <v>43774</v>
      </c>
      <c r="BO3343" s="1">
        <v>43774</v>
      </c>
      <c r="BP3343" s="1">
        <v>45214</v>
      </c>
      <c r="BQ3343" t="s">
        <v>51</v>
      </c>
      <c r="BS3343" t="s">
        <v>60</v>
      </c>
      <c r="BT3343" t="s">
        <v>54</v>
      </c>
      <c r="BU3343" t="s">
        <v>721</v>
      </c>
      <c r="BV3343" t="s">
        <v>722</v>
      </c>
      <c r="BX3343">
        <v>18</v>
      </c>
      <c r="BY3343">
        <v>0</v>
      </c>
      <c r="BZ3343">
        <v>0</v>
      </c>
    </row>
    <row r="3344" spans="1:99" x14ac:dyDescent="0.2">
      <c r="A3344" t="s">
        <v>367</v>
      </c>
      <c r="B3344" t="s">
        <v>368</v>
      </c>
      <c r="C3344" t="s">
        <v>369</v>
      </c>
      <c r="D3344" t="s">
        <v>1193</v>
      </c>
      <c r="F3344" t="str">
        <f>"26276"</f>
        <v>26276</v>
      </c>
      <c r="G3344" t="s">
        <v>49</v>
      </c>
      <c r="H3344" t="s">
        <v>1453</v>
      </c>
      <c r="K3344" t="s">
        <v>51</v>
      </c>
      <c r="L3344" t="s">
        <v>52</v>
      </c>
      <c r="M3344">
        <v>138257.29</v>
      </c>
      <c r="N3344">
        <v>467713.16</v>
      </c>
      <c r="O3344" t="s">
        <v>53</v>
      </c>
      <c r="P3344" t="s">
        <v>54</v>
      </c>
      <c r="Q3344" t="s">
        <v>55</v>
      </c>
      <c r="T3344" t="s">
        <v>183</v>
      </c>
      <c r="U3344">
        <v>40</v>
      </c>
      <c r="V3344" s="1">
        <v>25203</v>
      </c>
      <c r="W3344" s="1">
        <v>25203</v>
      </c>
      <c r="X3344" s="1">
        <v>25203</v>
      </c>
      <c r="Y3344" s="1">
        <v>39813</v>
      </c>
      <c r="Z3344" t="s">
        <v>51</v>
      </c>
      <c r="AB3344" t="s">
        <v>54</v>
      </c>
      <c r="AC3344">
        <v>1</v>
      </c>
      <c r="AE3344" t="s">
        <v>1212</v>
      </c>
      <c r="AF3344">
        <v>20</v>
      </c>
      <c r="AG3344" s="1">
        <v>31777</v>
      </c>
      <c r="AH3344" s="1">
        <v>31777</v>
      </c>
      <c r="AI3344" s="1">
        <v>31777</v>
      </c>
      <c r="AJ3344" s="1">
        <v>39082</v>
      </c>
      <c r="AK3344" t="s">
        <v>51</v>
      </c>
      <c r="AN3344">
        <v>0</v>
      </c>
      <c r="AO3344" t="s">
        <v>54</v>
      </c>
      <c r="AP3344" t="s">
        <v>53</v>
      </c>
      <c r="AQ3344">
        <v>0</v>
      </c>
      <c r="AR3344" t="s">
        <v>53</v>
      </c>
      <c r="AS3344">
        <v>0</v>
      </c>
      <c r="AT3344">
        <v>0</v>
      </c>
      <c r="AW3344" t="s">
        <v>58</v>
      </c>
      <c r="AX3344">
        <v>20</v>
      </c>
      <c r="AY3344" s="1">
        <v>31777</v>
      </c>
      <c r="AZ3344" s="1">
        <v>31777</v>
      </c>
      <c r="BA3344" s="1">
        <v>31777</v>
      </c>
      <c r="BB3344" s="1">
        <v>39082</v>
      </c>
      <c r="BC3344" t="s">
        <v>51</v>
      </c>
      <c r="BE3344" t="s">
        <v>54</v>
      </c>
      <c r="BF3344">
        <v>2</v>
      </c>
      <c r="BG3344">
        <v>0</v>
      </c>
      <c r="BH3344" t="s">
        <v>53</v>
      </c>
      <c r="BK3344" t="s">
        <v>720</v>
      </c>
      <c r="BL3344">
        <v>17000</v>
      </c>
      <c r="BM3344" s="1">
        <v>43676</v>
      </c>
      <c r="BN3344" s="1">
        <v>43676</v>
      </c>
      <c r="BO3344" s="1">
        <v>43676</v>
      </c>
      <c r="BP3344" s="1">
        <v>45099</v>
      </c>
      <c r="BQ3344" t="s">
        <v>51</v>
      </c>
      <c r="BS3344" t="s">
        <v>60</v>
      </c>
      <c r="BT3344" t="s">
        <v>54</v>
      </c>
      <c r="BU3344" t="s">
        <v>721</v>
      </c>
      <c r="BV3344" t="s">
        <v>722</v>
      </c>
      <c r="BX3344">
        <v>18</v>
      </c>
      <c r="BY3344">
        <v>0</v>
      </c>
      <c r="BZ3344">
        <v>0</v>
      </c>
    </row>
    <row r="3345" spans="1:99" x14ac:dyDescent="0.2">
      <c r="A3345" t="s">
        <v>367</v>
      </c>
      <c r="B3345" t="s">
        <v>368</v>
      </c>
      <c r="C3345" t="s">
        <v>369</v>
      </c>
      <c r="D3345" t="s">
        <v>1193</v>
      </c>
      <c r="F3345" t="str">
        <f>"26277"</f>
        <v>26277</v>
      </c>
      <c r="G3345" t="s">
        <v>49</v>
      </c>
      <c r="H3345" t="s">
        <v>1454</v>
      </c>
      <c r="K3345" t="s">
        <v>51</v>
      </c>
      <c r="L3345" t="s">
        <v>52</v>
      </c>
      <c r="M3345">
        <v>138258.82999999999</v>
      </c>
      <c r="N3345">
        <v>467680.82</v>
      </c>
      <c r="O3345" t="s">
        <v>53</v>
      </c>
      <c r="P3345" t="s">
        <v>54</v>
      </c>
      <c r="Q3345" t="s">
        <v>55</v>
      </c>
      <c r="T3345" t="s">
        <v>183</v>
      </c>
      <c r="U3345">
        <v>40</v>
      </c>
      <c r="V3345" s="1">
        <v>25203</v>
      </c>
      <c r="W3345" s="1">
        <v>25203</v>
      </c>
      <c r="X3345" s="1">
        <v>25203</v>
      </c>
      <c r="Y3345" s="1">
        <v>39813</v>
      </c>
      <c r="Z3345" t="s">
        <v>51</v>
      </c>
      <c r="AB3345" t="s">
        <v>54</v>
      </c>
      <c r="AC3345">
        <v>1</v>
      </c>
      <c r="AE3345" t="s">
        <v>57</v>
      </c>
      <c r="AF3345">
        <v>20</v>
      </c>
      <c r="AG3345" s="1">
        <v>41123</v>
      </c>
      <c r="AH3345" s="1">
        <v>41123</v>
      </c>
      <c r="AI3345" s="1">
        <v>41123</v>
      </c>
      <c r="AJ3345" s="1">
        <v>48428</v>
      </c>
      <c r="AK3345" t="s">
        <v>51</v>
      </c>
      <c r="AN3345">
        <v>0</v>
      </c>
      <c r="AO3345" t="s">
        <v>54</v>
      </c>
      <c r="AP3345" t="s">
        <v>53</v>
      </c>
      <c r="AQ3345">
        <v>0</v>
      </c>
      <c r="AR3345" t="s">
        <v>53</v>
      </c>
      <c r="AS3345">
        <v>0</v>
      </c>
      <c r="AT3345">
        <v>0</v>
      </c>
      <c r="AW3345" t="s">
        <v>58</v>
      </c>
      <c r="AX3345">
        <v>20</v>
      </c>
      <c r="AY3345" s="1">
        <v>41123</v>
      </c>
      <c r="AZ3345" s="1">
        <v>41123</v>
      </c>
      <c r="BA3345" s="1">
        <v>41123</v>
      </c>
      <c r="BB3345" s="1">
        <v>48428</v>
      </c>
      <c r="BC3345" t="s">
        <v>51</v>
      </c>
      <c r="BE3345" t="s">
        <v>54</v>
      </c>
      <c r="BF3345">
        <v>2</v>
      </c>
      <c r="BG3345">
        <v>0</v>
      </c>
      <c r="BH3345" t="s">
        <v>53</v>
      </c>
      <c r="BK3345" t="s">
        <v>59</v>
      </c>
      <c r="BL3345">
        <v>14000</v>
      </c>
      <c r="BM3345" s="1">
        <v>43244</v>
      </c>
      <c r="BN3345" s="1">
        <v>43244</v>
      </c>
      <c r="BO3345" s="1">
        <v>43244</v>
      </c>
      <c r="BP3345" s="1">
        <v>44459</v>
      </c>
      <c r="BQ3345" t="s">
        <v>51</v>
      </c>
      <c r="BS3345" t="s">
        <v>60</v>
      </c>
      <c r="BT3345" t="s">
        <v>54</v>
      </c>
      <c r="BU3345" t="s">
        <v>61</v>
      </c>
      <c r="BV3345" t="s">
        <v>62</v>
      </c>
      <c r="BX3345">
        <v>24</v>
      </c>
      <c r="BY3345">
        <v>0</v>
      </c>
      <c r="BZ3345">
        <v>0</v>
      </c>
    </row>
    <row r="3346" spans="1:99" x14ac:dyDescent="0.2">
      <c r="A3346" t="s">
        <v>367</v>
      </c>
      <c r="B3346" t="s">
        <v>368</v>
      </c>
      <c r="C3346" t="s">
        <v>369</v>
      </c>
      <c r="D3346" t="s">
        <v>1194</v>
      </c>
      <c r="F3346" t="str">
        <f>"26278"</f>
        <v>26278</v>
      </c>
      <c r="G3346" t="s">
        <v>49</v>
      </c>
      <c r="H3346" t="s">
        <v>1454</v>
      </c>
      <c r="K3346" t="s">
        <v>51</v>
      </c>
      <c r="L3346" t="s">
        <v>52</v>
      </c>
      <c r="M3346">
        <v>138314.71</v>
      </c>
      <c r="N3346">
        <v>467665.2</v>
      </c>
      <c r="O3346" t="s">
        <v>53</v>
      </c>
      <c r="P3346" t="s">
        <v>54</v>
      </c>
      <c r="Q3346" t="s">
        <v>55</v>
      </c>
      <c r="T3346" t="s">
        <v>183</v>
      </c>
      <c r="U3346">
        <v>40</v>
      </c>
      <c r="V3346" s="1">
        <v>25203</v>
      </c>
      <c r="W3346" s="1">
        <v>25203</v>
      </c>
      <c r="X3346" s="1">
        <v>25203</v>
      </c>
      <c r="Y3346" s="1">
        <v>39813</v>
      </c>
      <c r="Z3346" t="s">
        <v>51</v>
      </c>
      <c r="AB3346" t="s">
        <v>54</v>
      </c>
      <c r="AC3346">
        <v>1</v>
      </c>
      <c r="AE3346" t="s">
        <v>1212</v>
      </c>
      <c r="AF3346">
        <v>20</v>
      </c>
      <c r="AG3346" s="1">
        <v>31777</v>
      </c>
      <c r="AH3346" s="1">
        <v>31777</v>
      </c>
      <c r="AI3346" s="1">
        <v>31777</v>
      </c>
      <c r="AJ3346" s="1">
        <v>39082</v>
      </c>
      <c r="AK3346" t="s">
        <v>51</v>
      </c>
      <c r="AN3346">
        <v>0</v>
      </c>
      <c r="AO3346" t="s">
        <v>54</v>
      </c>
      <c r="AP3346" t="s">
        <v>53</v>
      </c>
      <c r="AQ3346">
        <v>0</v>
      </c>
      <c r="AR3346" t="s">
        <v>53</v>
      </c>
      <c r="AS3346">
        <v>0</v>
      </c>
      <c r="AT3346">
        <v>0</v>
      </c>
      <c r="AW3346" t="s">
        <v>58</v>
      </c>
      <c r="AX3346">
        <v>20</v>
      </c>
      <c r="AY3346" s="1">
        <v>31777</v>
      </c>
      <c r="AZ3346" s="1">
        <v>31777</v>
      </c>
      <c r="BA3346" s="1">
        <v>31777</v>
      </c>
      <c r="BB3346" s="1">
        <v>39082</v>
      </c>
      <c r="BC3346" t="s">
        <v>51</v>
      </c>
      <c r="BE3346" t="s">
        <v>54</v>
      </c>
      <c r="BF3346">
        <v>2</v>
      </c>
      <c r="BG3346">
        <v>0</v>
      </c>
      <c r="BH3346" t="s">
        <v>53</v>
      </c>
      <c r="BK3346" t="s">
        <v>720</v>
      </c>
      <c r="BL3346">
        <v>17000</v>
      </c>
      <c r="BM3346" s="1">
        <v>43767</v>
      </c>
      <c r="BN3346" s="1">
        <v>43767</v>
      </c>
      <c r="BO3346" s="1">
        <v>43767</v>
      </c>
      <c r="BP3346" s="1">
        <v>45208</v>
      </c>
      <c r="BQ3346" t="s">
        <v>51</v>
      </c>
      <c r="BS3346" t="s">
        <v>60</v>
      </c>
      <c r="BT3346" t="s">
        <v>54</v>
      </c>
      <c r="BU3346" t="s">
        <v>721</v>
      </c>
      <c r="BV3346" t="s">
        <v>722</v>
      </c>
      <c r="BX3346">
        <v>18</v>
      </c>
      <c r="BY3346">
        <v>0</v>
      </c>
      <c r="BZ3346">
        <v>0</v>
      </c>
    </row>
    <row r="3347" spans="1:99" x14ac:dyDescent="0.2">
      <c r="A3347" t="s">
        <v>367</v>
      </c>
      <c r="B3347" t="s">
        <v>368</v>
      </c>
      <c r="C3347" t="s">
        <v>369</v>
      </c>
      <c r="D3347" t="s">
        <v>1194</v>
      </c>
      <c r="F3347" t="str">
        <f>"26279"</f>
        <v>26279</v>
      </c>
      <c r="G3347" t="s">
        <v>49</v>
      </c>
      <c r="H3347" t="s">
        <v>1343</v>
      </c>
      <c r="K3347" t="s">
        <v>51</v>
      </c>
      <c r="L3347" t="s">
        <v>52</v>
      </c>
      <c r="M3347">
        <v>138313.39000000001</v>
      </c>
      <c r="N3347">
        <v>467696.22</v>
      </c>
      <c r="O3347" t="s">
        <v>53</v>
      </c>
      <c r="P3347" t="s">
        <v>54</v>
      </c>
      <c r="Q3347" t="s">
        <v>55</v>
      </c>
      <c r="T3347" t="s">
        <v>183</v>
      </c>
      <c r="U3347">
        <v>40</v>
      </c>
      <c r="V3347" s="1">
        <v>27759</v>
      </c>
      <c r="W3347" s="1">
        <v>27759</v>
      </c>
      <c r="X3347" s="1">
        <v>27759</v>
      </c>
      <c r="Y3347" s="1">
        <v>42369</v>
      </c>
      <c r="Z3347" t="s">
        <v>51</v>
      </c>
      <c r="AB3347" t="s">
        <v>54</v>
      </c>
      <c r="AC3347">
        <v>1</v>
      </c>
      <c r="AE3347" t="s">
        <v>1212</v>
      </c>
      <c r="AF3347">
        <v>20</v>
      </c>
      <c r="AG3347" s="1">
        <v>31777</v>
      </c>
      <c r="AH3347" s="1">
        <v>31777</v>
      </c>
      <c r="AI3347" s="1">
        <v>31777</v>
      </c>
      <c r="AJ3347" s="1">
        <v>39082</v>
      </c>
      <c r="AK3347" t="s">
        <v>51</v>
      </c>
      <c r="AN3347">
        <v>0</v>
      </c>
      <c r="AO3347" t="s">
        <v>54</v>
      </c>
      <c r="AP3347" t="s">
        <v>53</v>
      </c>
      <c r="AQ3347">
        <v>0</v>
      </c>
      <c r="AR3347" t="s">
        <v>53</v>
      </c>
      <c r="AS3347">
        <v>0</v>
      </c>
      <c r="AT3347">
        <v>0</v>
      </c>
      <c r="AW3347" t="s">
        <v>58</v>
      </c>
      <c r="AX3347">
        <v>20</v>
      </c>
      <c r="AY3347" s="1">
        <v>31777</v>
      </c>
      <c r="AZ3347" s="1">
        <v>31777</v>
      </c>
      <c r="BA3347" s="1">
        <v>31777</v>
      </c>
      <c r="BB3347" s="1">
        <v>39082</v>
      </c>
      <c r="BC3347" t="s">
        <v>51</v>
      </c>
      <c r="BE3347" t="s">
        <v>54</v>
      </c>
      <c r="BF3347">
        <v>2</v>
      </c>
      <c r="BG3347">
        <v>0</v>
      </c>
      <c r="BH3347" t="s">
        <v>53</v>
      </c>
      <c r="BK3347" t="s">
        <v>720</v>
      </c>
      <c r="BL3347">
        <v>17000</v>
      </c>
      <c r="BM3347" s="1">
        <v>43899</v>
      </c>
      <c r="BN3347" s="1">
        <v>43899</v>
      </c>
      <c r="BO3347" s="1">
        <v>43899</v>
      </c>
      <c r="BP3347" s="1">
        <v>45339</v>
      </c>
      <c r="BQ3347" t="s">
        <v>51</v>
      </c>
      <c r="BS3347" t="s">
        <v>60</v>
      </c>
      <c r="BT3347" t="s">
        <v>54</v>
      </c>
      <c r="BU3347" t="s">
        <v>721</v>
      </c>
      <c r="BV3347" t="s">
        <v>722</v>
      </c>
      <c r="BX3347">
        <v>18</v>
      </c>
      <c r="BY3347">
        <v>0</v>
      </c>
      <c r="BZ3347">
        <v>0</v>
      </c>
    </row>
    <row r="3348" spans="1:99" x14ac:dyDescent="0.2">
      <c r="A3348" t="s">
        <v>367</v>
      </c>
      <c r="B3348" t="s">
        <v>368</v>
      </c>
      <c r="C3348" t="s">
        <v>369</v>
      </c>
      <c r="D3348" t="s">
        <v>1194</v>
      </c>
      <c r="F3348" t="str">
        <f>"26280"</f>
        <v>26280</v>
      </c>
      <c r="G3348" t="s">
        <v>49</v>
      </c>
      <c r="H3348" t="s">
        <v>1391</v>
      </c>
      <c r="K3348" t="s">
        <v>51</v>
      </c>
      <c r="L3348" t="s">
        <v>52</v>
      </c>
      <c r="M3348">
        <v>138327.03</v>
      </c>
      <c r="N3348">
        <v>467720.42</v>
      </c>
      <c r="O3348" t="s">
        <v>53</v>
      </c>
      <c r="P3348" t="s">
        <v>54</v>
      </c>
      <c r="Q3348" t="s">
        <v>55</v>
      </c>
      <c r="T3348" t="s">
        <v>183</v>
      </c>
      <c r="U3348">
        <v>40</v>
      </c>
      <c r="V3348" s="1">
        <v>25203</v>
      </c>
      <c r="W3348" s="1">
        <v>25203</v>
      </c>
      <c r="X3348" s="1">
        <v>25203</v>
      </c>
      <c r="Y3348" s="1">
        <v>39813</v>
      </c>
      <c r="Z3348" t="s">
        <v>51</v>
      </c>
      <c r="AB3348" t="s">
        <v>54</v>
      </c>
      <c r="AC3348">
        <v>1</v>
      </c>
      <c r="AE3348" t="s">
        <v>1212</v>
      </c>
      <c r="AF3348">
        <v>20</v>
      </c>
      <c r="AG3348" s="1">
        <v>43172</v>
      </c>
      <c r="AH3348" s="1">
        <v>43172</v>
      </c>
      <c r="AI3348" s="1">
        <v>43172</v>
      </c>
      <c r="AJ3348" s="1">
        <v>50477</v>
      </c>
      <c r="AK3348" t="s">
        <v>51</v>
      </c>
      <c r="AN3348">
        <v>0</v>
      </c>
      <c r="AO3348" t="s">
        <v>54</v>
      </c>
      <c r="AP3348" t="s">
        <v>53</v>
      </c>
      <c r="AQ3348">
        <v>0</v>
      </c>
      <c r="AR3348" t="s">
        <v>53</v>
      </c>
      <c r="AS3348">
        <v>0</v>
      </c>
      <c r="AT3348">
        <v>0</v>
      </c>
      <c r="AW3348" t="s">
        <v>58</v>
      </c>
      <c r="AX3348">
        <v>20</v>
      </c>
      <c r="AY3348" s="1">
        <v>43172</v>
      </c>
      <c r="AZ3348" s="1">
        <v>43172</v>
      </c>
      <c r="BA3348" s="1">
        <v>43172</v>
      </c>
      <c r="BB3348" s="1">
        <v>50477</v>
      </c>
      <c r="BC3348" t="s">
        <v>51</v>
      </c>
      <c r="BE3348" t="s">
        <v>54</v>
      </c>
      <c r="BF3348">
        <v>2</v>
      </c>
      <c r="BG3348">
        <v>0</v>
      </c>
      <c r="BH3348" t="s">
        <v>53</v>
      </c>
      <c r="BK3348" t="s">
        <v>720</v>
      </c>
      <c r="BL3348">
        <v>17000</v>
      </c>
      <c r="BM3348" s="1">
        <v>43759</v>
      </c>
      <c r="BN3348" s="1">
        <v>43759</v>
      </c>
      <c r="BO3348" s="1">
        <v>43759</v>
      </c>
      <c r="BP3348" s="1">
        <v>45198</v>
      </c>
      <c r="BQ3348" t="s">
        <v>51</v>
      </c>
      <c r="BS3348" t="s">
        <v>60</v>
      </c>
      <c r="BT3348" t="s">
        <v>54</v>
      </c>
      <c r="BU3348" t="s">
        <v>721</v>
      </c>
      <c r="BV3348" t="s">
        <v>722</v>
      </c>
      <c r="BX3348">
        <v>18</v>
      </c>
      <c r="BY3348">
        <v>0</v>
      </c>
      <c r="BZ3348">
        <v>0</v>
      </c>
    </row>
    <row r="3349" spans="1:99" x14ac:dyDescent="0.2">
      <c r="A3349" t="s">
        <v>367</v>
      </c>
      <c r="B3349" t="s">
        <v>368</v>
      </c>
      <c r="C3349" t="s">
        <v>369</v>
      </c>
      <c r="D3349" t="s">
        <v>1194</v>
      </c>
      <c r="F3349" t="str">
        <f>"26281"</f>
        <v>26281</v>
      </c>
      <c r="G3349" t="s">
        <v>49</v>
      </c>
      <c r="H3349" t="s">
        <v>1313</v>
      </c>
      <c r="K3349" t="s">
        <v>51</v>
      </c>
      <c r="L3349" t="s">
        <v>52</v>
      </c>
      <c r="M3349">
        <v>138335.82999999999</v>
      </c>
      <c r="N3349">
        <v>467757.82</v>
      </c>
      <c r="O3349" t="s">
        <v>53</v>
      </c>
      <c r="P3349" t="s">
        <v>54</v>
      </c>
      <c r="Q3349" t="s">
        <v>55</v>
      </c>
      <c r="T3349" t="s">
        <v>183</v>
      </c>
      <c r="U3349">
        <v>40</v>
      </c>
      <c r="V3349" s="1">
        <v>25203</v>
      </c>
      <c r="W3349" s="1">
        <v>25203</v>
      </c>
      <c r="X3349" s="1">
        <v>25203</v>
      </c>
      <c r="Y3349" s="1">
        <v>39813</v>
      </c>
      <c r="Z3349" t="s">
        <v>51</v>
      </c>
      <c r="AB3349" t="s">
        <v>54</v>
      </c>
      <c r="AC3349">
        <v>1</v>
      </c>
      <c r="AE3349" t="s">
        <v>1212</v>
      </c>
      <c r="AF3349">
        <v>20</v>
      </c>
      <c r="AG3349" s="1">
        <v>31777</v>
      </c>
      <c r="AH3349" s="1">
        <v>31777</v>
      </c>
      <c r="AI3349" s="1">
        <v>31777</v>
      </c>
      <c r="AJ3349" s="1">
        <v>39082</v>
      </c>
      <c r="AK3349" t="s">
        <v>51</v>
      </c>
      <c r="AN3349">
        <v>0</v>
      </c>
      <c r="AO3349" t="s">
        <v>54</v>
      </c>
      <c r="AP3349" t="s">
        <v>53</v>
      </c>
      <c r="AQ3349">
        <v>0</v>
      </c>
      <c r="AR3349" t="s">
        <v>53</v>
      </c>
      <c r="AS3349">
        <v>0</v>
      </c>
      <c r="AT3349">
        <v>0</v>
      </c>
      <c r="AW3349" t="s">
        <v>58</v>
      </c>
      <c r="AX3349">
        <v>20</v>
      </c>
      <c r="AY3349" s="1">
        <v>31777</v>
      </c>
      <c r="AZ3349" s="1">
        <v>31777</v>
      </c>
      <c r="BA3349" s="1">
        <v>31777</v>
      </c>
      <c r="BB3349" s="1">
        <v>39082</v>
      </c>
      <c r="BC3349" t="s">
        <v>51</v>
      </c>
      <c r="BE3349" t="s">
        <v>54</v>
      </c>
      <c r="BF3349">
        <v>2</v>
      </c>
      <c r="BG3349">
        <v>0</v>
      </c>
      <c r="BH3349" t="s">
        <v>53</v>
      </c>
      <c r="BK3349" t="s">
        <v>720</v>
      </c>
      <c r="BL3349">
        <v>17000</v>
      </c>
      <c r="BM3349" s="1">
        <v>43809</v>
      </c>
      <c r="BN3349" s="1">
        <v>43809</v>
      </c>
      <c r="BO3349" s="1">
        <v>43809</v>
      </c>
      <c r="BP3349" s="1">
        <v>45251</v>
      </c>
      <c r="BQ3349" t="s">
        <v>51</v>
      </c>
      <c r="BS3349" t="s">
        <v>60</v>
      </c>
      <c r="BT3349" t="s">
        <v>54</v>
      </c>
      <c r="BU3349" t="s">
        <v>721</v>
      </c>
      <c r="BV3349" t="s">
        <v>722</v>
      </c>
      <c r="BX3349">
        <v>18</v>
      </c>
      <c r="BY3349">
        <v>0</v>
      </c>
      <c r="BZ3349">
        <v>0</v>
      </c>
    </row>
    <row r="3350" spans="1:99" x14ac:dyDescent="0.2">
      <c r="A3350" t="s">
        <v>367</v>
      </c>
      <c r="B3350" t="s">
        <v>368</v>
      </c>
      <c r="C3350" t="s">
        <v>369</v>
      </c>
      <c r="D3350" t="s">
        <v>1194</v>
      </c>
      <c r="F3350" t="str">
        <f>"26282"</f>
        <v>26282</v>
      </c>
      <c r="G3350" t="s">
        <v>49</v>
      </c>
      <c r="H3350" t="s">
        <v>1452</v>
      </c>
      <c r="K3350" t="s">
        <v>51</v>
      </c>
      <c r="L3350" t="s">
        <v>52</v>
      </c>
      <c r="M3350">
        <v>138335.17000000001</v>
      </c>
      <c r="N3350">
        <v>467788.18</v>
      </c>
      <c r="O3350" t="s">
        <v>53</v>
      </c>
      <c r="P3350" t="s">
        <v>54</v>
      </c>
      <c r="Q3350" t="s">
        <v>55</v>
      </c>
      <c r="T3350" t="s">
        <v>183</v>
      </c>
      <c r="U3350">
        <v>40</v>
      </c>
      <c r="V3350" s="1">
        <v>25203</v>
      </c>
      <c r="W3350" s="1">
        <v>25203</v>
      </c>
      <c r="X3350" s="1">
        <v>25203</v>
      </c>
      <c r="Y3350" s="1">
        <v>39813</v>
      </c>
      <c r="Z3350" t="s">
        <v>51</v>
      </c>
      <c r="AB3350" t="s">
        <v>54</v>
      </c>
      <c r="AC3350">
        <v>1</v>
      </c>
      <c r="AE3350" t="s">
        <v>1212</v>
      </c>
      <c r="AF3350">
        <v>20</v>
      </c>
      <c r="AG3350" s="1">
        <v>31777</v>
      </c>
      <c r="AH3350" s="1">
        <v>31777</v>
      </c>
      <c r="AI3350" s="1">
        <v>31777</v>
      </c>
      <c r="AJ3350" s="1">
        <v>39082</v>
      </c>
      <c r="AK3350" t="s">
        <v>51</v>
      </c>
      <c r="AN3350">
        <v>0</v>
      </c>
      <c r="AO3350" t="s">
        <v>54</v>
      </c>
      <c r="AP3350" t="s">
        <v>53</v>
      </c>
      <c r="AQ3350">
        <v>0</v>
      </c>
      <c r="AR3350" t="s">
        <v>53</v>
      </c>
      <c r="AS3350">
        <v>0</v>
      </c>
      <c r="AT3350">
        <v>0</v>
      </c>
      <c r="AW3350" t="s">
        <v>58</v>
      </c>
      <c r="AX3350">
        <v>20</v>
      </c>
      <c r="AY3350" s="1">
        <v>31777</v>
      </c>
      <c r="AZ3350" s="1">
        <v>31777</v>
      </c>
      <c r="BA3350" s="1">
        <v>31777</v>
      </c>
      <c r="BB3350" s="1">
        <v>39082</v>
      </c>
      <c r="BC3350" t="s">
        <v>51</v>
      </c>
      <c r="BE3350" t="s">
        <v>54</v>
      </c>
      <c r="BF3350">
        <v>2</v>
      </c>
      <c r="BG3350">
        <v>0</v>
      </c>
      <c r="BH3350" t="s">
        <v>53</v>
      </c>
      <c r="BK3350" t="s">
        <v>720</v>
      </c>
      <c r="BL3350">
        <v>17000</v>
      </c>
      <c r="BM3350" s="1">
        <v>44627</v>
      </c>
      <c r="BN3350" s="1">
        <v>44627</v>
      </c>
      <c r="BO3350" s="1">
        <v>44627</v>
      </c>
      <c r="BP3350" s="1">
        <v>46066</v>
      </c>
      <c r="BQ3350" t="s">
        <v>51</v>
      </c>
      <c r="BS3350" t="s">
        <v>60</v>
      </c>
      <c r="BT3350" t="s">
        <v>54</v>
      </c>
      <c r="BU3350" t="s">
        <v>721</v>
      </c>
      <c r="BV3350" t="s">
        <v>722</v>
      </c>
      <c r="BX3350">
        <v>18</v>
      </c>
      <c r="BY3350">
        <v>0</v>
      </c>
      <c r="BZ3350">
        <v>0</v>
      </c>
    </row>
    <row r="3351" spans="1:99" x14ac:dyDescent="0.2">
      <c r="A3351" t="s">
        <v>367</v>
      </c>
      <c r="B3351" t="s">
        <v>368</v>
      </c>
      <c r="C3351" t="s">
        <v>369</v>
      </c>
      <c r="D3351" t="s">
        <v>1198</v>
      </c>
      <c r="F3351" t="str">
        <f>"26283"</f>
        <v>26283</v>
      </c>
      <c r="G3351" t="s">
        <v>49</v>
      </c>
      <c r="H3351" t="s">
        <v>1455</v>
      </c>
      <c r="K3351" t="s">
        <v>51</v>
      </c>
      <c r="L3351" t="s">
        <v>52</v>
      </c>
      <c r="M3351">
        <v>137866.43</v>
      </c>
      <c r="N3351">
        <v>467639.25</v>
      </c>
      <c r="O3351" t="s">
        <v>53</v>
      </c>
      <c r="P3351" t="s">
        <v>54</v>
      </c>
      <c r="Q3351" t="s">
        <v>55</v>
      </c>
      <c r="T3351" t="s">
        <v>841</v>
      </c>
      <c r="U3351">
        <v>40</v>
      </c>
      <c r="V3351" s="1">
        <v>43279</v>
      </c>
      <c r="W3351" s="1">
        <v>43279</v>
      </c>
      <c r="X3351" s="1">
        <v>43279</v>
      </c>
      <c r="Y3351" s="1">
        <v>57889</v>
      </c>
      <c r="Z3351" t="s">
        <v>51</v>
      </c>
      <c r="AB3351" t="s">
        <v>54</v>
      </c>
      <c r="AC3351">
        <v>1</v>
      </c>
      <c r="AE3351" t="s">
        <v>1212</v>
      </c>
      <c r="AF3351">
        <v>20</v>
      </c>
      <c r="AG3351" s="1">
        <v>31777</v>
      </c>
      <c r="AH3351" s="1">
        <v>31777</v>
      </c>
      <c r="AI3351" s="1">
        <v>43279</v>
      </c>
      <c r="AJ3351" s="1">
        <v>39082</v>
      </c>
      <c r="AK3351" t="s">
        <v>51</v>
      </c>
      <c r="AN3351">
        <v>0</v>
      </c>
      <c r="AO3351" t="s">
        <v>54</v>
      </c>
      <c r="AP3351" t="s">
        <v>53</v>
      </c>
      <c r="AQ3351">
        <v>0</v>
      </c>
      <c r="AR3351" t="s">
        <v>53</v>
      </c>
      <c r="AS3351">
        <v>0</v>
      </c>
      <c r="AT3351">
        <v>0</v>
      </c>
      <c r="CC3351" t="s">
        <v>850</v>
      </c>
      <c r="CD3351">
        <v>1</v>
      </c>
      <c r="CE3351" s="1">
        <v>42552</v>
      </c>
      <c r="CF3351" s="1">
        <v>42552</v>
      </c>
      <c r="CG3351" s="1">
        <v>43279</v>
      </c>
      <c r="CH3351" s="1">
        <v>49714</v>
      </c>
      <c r="CI3351" t="s">
        <v>51</v>
      </c>
      <c r="CK3351" t="s">
        <v>78</v>
      </c>
      <c r="CM3351" t="s">
        <v>54</v>
      </c>
      <c r="CN3351" t="s">
        <v>174</v>
      </c>
      <c r="CO3351" t="s">
        <v>86</v>
      </c>
      <c r="CR3351">
        <v>18</v>
      </c>
      <c r="CS3351">
        <v>0</v>
      </c>
      <c r="CT3351">
        <v>0</v>
      </c>
      <c r="CU3351">
        <v>0</v>
      </c>
    </row>
    <row r="3352" spans="1:99" x14ac:dyDescent="0.2">
      <c r="A3352" t="s">
        <v>367</v>
      </c>
      <c r="B3352" t="s">
        <v>368</v>
      </c>
      <c r="C3352" t="s">
        <v>369</v>
      </c>
      <c r="D3352" t="s">
        <v>1198</v>
      </c>
      <c r="F3352" t="str">
        <f>"26284"</f>
        <v>26284</v>
      </c>
      <c r="G3352" t="s">
        <v>49</v>
      </c>
      <c r="H3352" t="s">
        <v>1456</v>
      </c>
      <c r="K3352" t="s">
        <v>51</v>
      </c>
      <c r="L3352" t="s">
        <v>52</v>
      </c>
      <c r="M3352">
        <v>137844.13</v>
      </c>
      <c r="N3352">
        <v>467638.25</v>
      </c>
      <c r="O3352" t="s">
        <v>53</v>
      </c>
      <c r="P3352" t="s">
        <v>54</v>
      </c>
      <c r="Q3352" t="s">
        <v>55</v>
      </c>
      <c r="T3352" t="s">
        <v>841</v>
      </c>
      <c r="U3352">
        <v>40</v>
      </c>
      <c r="V3352" s="1">
        <v>29586</v>
      </c>
      <c r="W3352" s="1">
        <v>29586</v>
      </c>
      <c r="X3352" s="1">
        <v>29586</v>
      </c>
      <c r="Y3352" s="1">
        <v>44196</v>
      </c>
      <c r="Z3352" t="s">
        <v>51</v>
      </c>
      <c r="AB3352" t="s">
        <v>54</v>
      </c>
      <c r="AC3352">
        <v>1</v>
      </c>
      <c r="AE3352" t="s">
        <v>57</v>
      </c>
      <c r="AF3352">
        <v>20</v>
      </c>
      <c r="AG3352" s="1">
        <v>38854</v>
      </c>
      <c r="AH3352" s="1">
        <v>38854</v>
      </c>
      <c r="AI3352" s="1">
        <v>38854</v>
      </c>
      <c r="AJ3352" s="1">
        <v>46159</v>
      </c>
      <c r="AK3352" t="s">
        <v>51</v>
      </c>
      <c r="AN3352">
        <v>0</v>
      </c>
      <c r="AO3352" t="s">
        <v>54</v>
      </c>
      <c r="AP3352" t="s">
        <v>53</v>
      </c>
      <c r="AQ3352">
        <v>0</v>
      </c>
      <c r="AR3352" t="s">
        <v>53</v>
      </c>
      <c r="AS3352">
        <v>0</v>
      </c>
      <c r="AT3352">
        <v>0</v>
      </c>
      <c r="CC3352" t="s">
        <v>432</v>
      </c>
      <c r="CD3352">
        <v>85000</v>
      </c>
      <c r="CE3352" s="1">
        <v>42552</v>
      </c>
      <c r="CF3352" s="1">
        <v>42552</v>
      </c>
      <c r="CG3352" s="1">
        <v>42552</v>
      </c>
      <c r="CH3352" s="1">
        <v>49714</v>
      </c>
      <c r="CI3352" t="s">
        <v>51</v>
      </c>
      <c r="CK3352" t="s">
        <v>78</v>
      </c>
      <c r="CM3352" t="s">
        <v>54</v>
      </c>
      <c r="CN3352" t="s">
        <v>174</v>
      </c>
      <c r="CO3352" t="s">
        <v>86</v>
      </c>
      <c r="CR3352">
        <v>24</v>
      </c>
      <c r="CS3352">
        <v>0</v>
      </c>
      <c r="CT3352">
        <v>0</v>
      </c>
      <c r="CU3352">
        <v>0</v>
      </c>
    </row>
    <row r="3353" spans="1:99" x14ac:dyDescent="0.2">
      <c r="A3353" t="s">
        <v>367</v>
      </c>
      <c r="B3353" t="s">
        <v>368</v>
      </c>
      <c r="C3353" t="s">
        <v>369</v>
      </c>
      <c r="D3353" t="s">
        <v>1198</v>
      </c>
      <c r="F3353" t="str">
        <f>"26285"</f>
        <v>26285</v>
      </c>
      <c r="G3353" t="s">
        <v>49</v>
      </c>
      <c r="H3353" t="s">
        <v>1457</v>
      </c>
      <c r="K3353" t="s">
        <v>51</v>
      </c>
      <c r="L3353" t="s">
        <v>52</v>
      </c>
      <c r="M3353">
        <v>137825.34</v>
      </c>
      <c r="N3353">
        <v>467654.97</v>
      </c>
      <c r="O3353" t="s">
        <v>53</v>
      </c>
      <c r="P3353" t="s">
        <v>54</v>
      </c>
      <c r="Q3353" t="s">
        <v>55</v>
      </c>
      <c r="T3353" t="s">
        <v>841</v>
      </c>
      <c r="U3353">
        <v>40</v>
      </c>
      <c r="V3353" s="1">
        <v>29586</v>
      </c>
      <c r="W3353" s="1">
        <v>29586</v>
      </c>
      <c r="X3353" s="1">
        <v>29586</v>
      </c>
      <c r="Y3353" s="1">
        <v>44196</v>
      </c>
      <c r="Z3353" t="s">
        <v>51</v>
      </c>
      <c r="AB3353" t="s">
        <v>54</v>
      </c>
      <c r="AC3353">
        <v>1</v>
      </c>
      <c r="AE3353" t="s">
        <v>1212</v>
      </c>
      <c r="AF3353">
        <v>20</v>
      </c>
      <c r="AG3353" s="1">
        <v>31777</v>
      </c>
      <c r="AH3353" s="1">
        <v>31777</v>
      </c>
      <c r="AI3353" s="1">
        <v>31777</v>
      </c>
      <c r="AJ3353" s="1">
        <v>39082</v>
      </c>
      <c r="AK3353" t="s">
        <v>51</v>
      </c>
      <c r="AN3353">
        <v>0</v>
      </c>
      <c r="AO3353" t="s">
        <v>54</v>
      </c>
      <c r="AP3353" t="s">
        <v>53</v>
      </c>
      <c r="AQ3353">
        <v>0</v>
      </c>
      <c r="AR3353" t="s">
        <v>53</v>
      </c>
      <c r="AS3353">
        <v>0</v>
      </c>
      <c r="AT3353">
        <v>0</v>
      </c>
      <c r="CC3353" t="s">
        <v>850</v>
      </c>
      <c r="CD3353">
        <v>1</v>
      </c>
      <c r="CE3353" s="1">
        <v>42552</v>
      </c>
      <c r="CF3353" s="1">
        <v>42552</v>
      </c>
      <c r="CG3353" s="1">
        <v>42552</v>
      </c>
      <c r="CH3353" s="1">
        <v>49714</v>
      </c>
      <c r="CI3353" t="s">
        <v>51</v>
      </c>
      <c r="CK3353" t="s">
        <v>78</v>
      </c>
      <c r="CM3353" t="s">
        <v>54</v>
      </c>
      <c r="CN3353" t="s">
        <v>174</v>
      </c>
      <c r="CO3353" t="s">
        <v>86</v>
      </c>
      <c r="CR3353">
        <v>18</v>
      </c>
      <c r="CS3353">
        <v>0</v>
      </c>
      <c r="CT3353">
        <v>0</v>
      </c>
      <c r="CU3353">
        <v>0</v>
      </c>
    </row>
    <row r="3354" spans="1:99" x14ac:dyDescent="0.2">
      <c r="A3354" t="s">
        <v>367</v>
      </c>
      <c r="B3354" t="s">
        <v>368</v>
      </c>
      <c r="C3354" t="s">
        <v>369</v>
      </c>
      <c r="D3354" t="s">
        <v>1198</v>
      </c>
      <c r="F3354" t="str">
        <f>"26286"</f>
        <v>26286</v>
      </c>
      <c r="G3354" t="s">
        <v>49</v>
      </c>
      <c r="H3354" t="s">
        <v>1458</v>
      </c>
      <c r="K3354" t="s">
        <v>51</v>
      </c>
      <c r="L3354" t="s">
        <v>52</v>
      </c>
      <c r="M3354">
        <v>137807.59</v>
      </c>
      <c r="N3354">
        <v>467644.55</v>
      </c>
      <c r="O3354" t="s">
        <v>53</v>
      </c>
      <c r="P3354" t="s">
        <v>54</v>
      </c>
      <c r="Q3354" t="s">
        <v>55</v>
      </c>
      <c r="T3354" t="s">
        <v>841</v>
      </c>
      <c r="U3354">
        <v>40</v>
      </c>
      <c r="V3354" s="1">
        <v>29586</v>
      </c>
      <c r="W3354" s="1">
        <v>29586</v>
      </c>
      <c r="X3354" s="1">
        <v>29586</v>
      </c>
      <c r="Y3354" s="1">
        <v>44196</v>
      </c>
      <c r="Z3354" t="s">
        <v>51</v>
      </c>
      <c r="AB3354" t="s">
        <v>54</v>
      </c>
      <c r="AC3354">
        <v>1</v>
      </c>
      <c r="AE3354" t="s">
        <v>1459</v>
      </c>
      <c r="AF3354">
        <v>0</v>
      </c>
      <c r="AG3354" s="1">
        <v>44613</v>
      </c>
      <c r="AH3354" s="1">
        <v>44613</v>
      </c>
      <c r="AI3354" s="1">
        <v>44613</v>
      </c>
      <c r="AJ3354" s="1">
        <v>44613</v>
      </c>
      <c r="AK3354" t="s">
        <v>51</v>
      </c>
      <c r="AN3354">
        <v>0</v>
      </c>
      <c r="AO3354" t="s">
        <v>54</v>
      </c>
      <c r="AP3354" t="s">
        <v>53</v>
      </c>
      <c r="AQ3354">
        <v>0</v>
      </c>
      <c r="AR3354" t="s">
        <v>53</v>
      </c>
      <c r="AS3354">
        <v>0</v>
      </c>
      <c r="AT3354">
        <v>0</v>
      </c>
      <c r="CC3354" t="s">
        <v>850</v>
      </c>
      <c r="CD3354">
        <v>1</v>
      </c>
      <c r="CE3354" s="1">
        <v>43676</v>
      </c>
      <c r="CF3354" s="1">
        <v>43676</v>
      </c>
      <c r="CG3354" s="1">
        <v>44613</v>
      </c>
      <c r="CH3354" s="1">
        <v>50826</v>
      </c>
      <c r="CI3354" t="s">
        <v>51</v>
      </c>
      <c r="CK3354" t="s">
        <v>78</v>
      </c>
      <c r="CM3354" t="s">
        <v>54</v>
      </c>
      <c r="CN3354" t="s">
        <v>174</v>
      </c>
      <c r="CO3354" t="s">
        <v>86</v>
      </c>
      <c r="CR3354">
        <v>18</v>
      </c>
      <c r="CS3354">
        <v>0</v>
      </c>
      <c r="CT3354">
        <v>0</v>
      </c>
      <c r="CU3354">
        <v>0</v>
      </c>
    </row>
    <row r="3355" spans="1:99" x14ac:dyDescent="0.2">
      <c r="A3355" t="s">
        <v>367</v>
      </c>
      <c r="B3355" t="s">
        <v>368</v>
      </c>
      <c r="C3355" t="s">
        <v>369</v>
      </c>
      <c r="D3355" t="s">
        <v>1198</v>
      </c>
      <c r="F3355" t="str">
        <f>"26287"</f>
        <v>26287</v>
      </c>
      <c r="G3355" t="s">
        <v>49</v>
      </c>
      <c r="H3355" t="s">
        <v>1460</v>
      </c>
      <c r="K3355" t="s">
        <v>51</v>
      </c>
      <c r="L3355" t="s">
        <v>52</v>
      </c>
      <c r="M3355">
        <v>137785.73000000001</v>
      </c>
      <c r="N3355">
        <v>467658.03</v>
      </c>
      <c r="O3355" t="s">
        <v>53</v>
      </c>
      <c r="P3355" t="s">
        <v>54</v>
      </c>
      <c r="Q3355" t="s">
        <v>55</v>
      </c>
      <c r="T3355" t="s">
        <v>841</v>
      </c>
      <c r="U3355">
        <v>40</v>
      </c>
      <c r="V3355" s="1">
        <v>29586</v>
      </c>
      <c r="W3355" s="1">
        <v>29586</v>
      </c>
      <c r="X3355" s="1">
        <v>29586</v>
      </c>
      <c r="Y3355" s="1">
        <v>44196</v>
      </c>
      <c r="Z3355" t="s">
        <v>51</v>
      </c>
      <c r="AB3355" t="s">
        <v>54</v>
      </c>
      <c r="AC3355">
        <v>1</v>
      </c>
      <c r="AE3355" t="s">
        <v>1212</v>
      </c>
      <c r="AF3355">
        <v>20</v>
      </c>
      <c r="AG3355" s="1">
        <v>31777</v>
      </c>
      <c r="AH3355" s="1">
        <v>31777</v>
      </c>
      <c r="AI3355" s="1">
        <v>31777</v>
      </c>
      <c r="AJ3355" s="1">
        <v>39082</v>
      </c>
      <c r="AK3355" t="s">
        <v>51</v>
      </c>
      <c r="AN3355">
        <v>0</v>
      </c>
      <c r="AO3355" t="s">
        <v>54</v>
      </c>
      <c r="AP3355" t="s">
        <v>53</v>
      </c>
      <c r="AQ3355">
        <v>0</v>
      </c>
      <c r="AR3355" t="s">
        <v>53</v>
      </c>
      <c r="AS3355">
        <v>0</v>
      </c>
      <c r="AT3355">
        <v>0</v>
      </c>
      <c r="CC3355" t="s">
        <v>850</v>
      </c>
      <c r="CD3355">
        <v>1</v>
      </c>
      <c r="CE3355" s="1">
        <v>42552</v>
      </c>
      <c r="CF3355" s="1">
        <v>42552</v>
      </c>
      <c r="CG3355" s="1">
        <v>42552</v>
      </c>
      <c r="CH3355" s="1">
        <v>49714</v>
      </c>
      <c r="CI3355" t="s">
        <v>51</v>
      </c>
      <c r="CK3355" t="s">
        <v>78</v>
      </c>
      <c r="CM3355" t="s">
        <v>54</v>
      </c>
      <c r="CN3355" t="s">
        <v>174</v>
      </c>
      <c r="CO3355" t="s">
        <v>86</v>
      </c>
      <c r="CR3355">
        <v>18</v>
      </c>
      <c r="CS3355">
        <v>0</v>
      </c>
      <c r="CT3355">
        <v>0</v>
      </c>
      <c r="CU3355">
        <v>0</v>
      </c>
    </row>
    <row r="3356" spans="1:99" x14ac:dyDescent="0.2">
      <c r="A3356" t="s">
        <v>367</v>
      </c>
      <c r="B3356" t="s">
        <v>368</v>
      </c>
      <c r="C3356" t="s">
        <v>369</v>
      </c>
      <c r="D3356" t="s">
        <v>1198</v>
      </c>
      <c r="F3356" t="str">
        <f>"26289"</f>
        <v>26289</v>
      </c>
      <c r="G3356" t="s">
        <v>49</v>
      </c>
      <c r="H3356" t="s">
        <v>1461</v>
      </c>
      <c r="K3356" t="s">
        <v>51</v>
      </c>
      <c r="L3356" t="s">
        <v>52</v>
      </c>
      <c r="M3356">
        <v>137746.99</v>
      </c>
      <c r="N3356">
        <v>467645.11</v>
      </c>
      <c r="O3356" t="s">
        <v>53</v>
      </c>
      <c r="P3356" t="s">
        <v>54</v>
      </c>
      <c r="Q3356" t="s">
        <v>55</v>
      </c>
      <c r="T3356" t="s">
        <v>841</v>
      </c>
      <c r="U3356">
        <v>40</v>
      </c>
      <c r="V3356" s="1">
        <v>29586</v>
      </c>
      <c r="W3356" s="1">
        <v>29586</v>
      </c>
      <c r="X3356" s="1">
        <v>29586</v>
      </c>
      <c r="Y3356" s="1">
        <v>44196</v>
      </c>
      <c r="Z3356" t="s">
        <v>51</v>
      </c>
      <c r="AB3356" t="s">
        <v>54</v>
      </c>
      <c r="AC3356">
        <v>1</v>
      </c>
      <c r="AE3356" t="s">
        <v>1212</v>
      </c>
      <c r="AF3356">
        <v>20</v>
      </c>
      <c r="AG3356" s="1">
        <v>31777</v>
      </c>
      <c r="AH3356" s="1">
        <v>31777</v>
      </c>
      <c r="AI3356" s="1">
        <v>31777</v>
      </c>
      <c r="AJ3356" s="1">
        <v>39082</v>
      </c>
      <c r="AK3356" t="s">
        <v>51</v>
      </c>
      <c r="AN3356">
        <v>0</v>
      </c>
      <c r="AO3356" t="s">
        <v>54</v>
      </c>
      <c r="AP3356" t="s">
        <v>53</v>
      </c>
      <c r="AQ3356">
        <v>0</v>
      </c>
      <c r="AR3356" t="s">
        <v>53</v>
      </c>
      <c r="AS3356">
        <v>0</v>
      </c>
      <c r="AT3356">
        <v>0</v>
      </c>
      <c r="CC3356" t="s">
        <v>850</v>
      </c>
      <c r="CD3356">
        <v>1</v>
      </c>
      <c r="CE3356" s="1">
        <v>42552</v>
      </c>
      <c r="CF3356" s="1">
        <v>42552</v>
      </c>
      <c r="CG3356" s="1">
        <v>42552</v>
      </c>
      <c r="CH3356" s="1">
        <v>42552</v>
      </c>
      <c r="CI3356" t="s">
        <v>51</v>
      </c>
      <c r="CK3356" t="s">
        <v>78</v>
      </c>
      <c r="CM3356" t="s">
        <v>54</v>
      </c>
      <c r="CN3356" t="s">
        <v>174</v>
      </c>
      <c r="CO3356" t="s">
        <v>86</v>
      </c>
      <c r="CR3356">
        <v>18</v>
      </c>
      <c r="CS3356">
        <v>0</v>
      </c>
      <c r="CT3356">
        <v>0</v>
      </c>
      <c r="CU3356">
        <v>0</v>
      </c>
    </row>
    <row r="3357" spans="1:99" x14ac:dyDescent="0.2">
      <c r="A3357" t="s">
        <v>367</v>
      </c>
      <c r="B3357" t="s">
        <v>368</v>
      </c>
      <c r="C3357" t="s">
        <v>369</v>
      </c>
      <c r="D3357" t="s">
        <v>1198</v>
      </c>
      <c r="F3357" t="str">
        <f>"26290"</f>
        <v>26290</v>
      </c>
      <c r="G3357" t="s">
        <v>49</v>
      </c>
      <c r="H3357" t="s">
        <v>1229</v>
      </c>
      <c r="K3357" t="s">
        <v>51</v>
      </c>
      <c r="L3357" t="s">
        <v>52</v>
      </c>
      <c r="M3357">
        <v>137752.39000000001</v>
      </c>
      <c r="N3357">
        <v>467624.62</v>
      </c>
      <c r="O3357" t="s">
        <v>53</v>
      </c>
      <c r="P3357" t="s">
        <v>54</v>
      </c>
      <c r="Q3357" t="s">
        <v>55</v>
      </c>
      <c r="T3357" t="s">
        <v>841</v>
      </c>
      <c r="U3357">
        <v>40</v>
      </c>
      <c r="V3357" s="1">
        <v>29586</v>
      </c>
      <c r="W3357" s="1">
        <v>29586</v>
      </c>
      <c r="X3357" s="1">
        <v>29586</v>
      </c>
      <c r="Y3357" s="1">
        <v>44196</v>
      </c>
      <c r="Z3357" t="s">
        <v>51</v>
      </c>
      <c r="AB3357" t="s">
        <v>54</v>
      </c>
      <c r="AC3357">
        <v>1</v>
      </c>
      <c r="AE3357" t="s">
        <v>1212</v>
      </c>
      <c r="AF3357">
        <v>20</v>
      </c>
      <c r="AG3357" s="1">
        <v>31777</v>
      </c>
      <c r="AH3357" s="1">
        <v>31777</v>
      </c>
      <c r="AI3357" s="1">
        <v>31777</v>
      </c>
      <c r="AJ3357" s="1">
        <v>39082</v>
      </c>
      <c r="AK3357" t="s">
        <v>51</v>
      </c>
      <c r="AN3357">
        <v>0</v>
      </c>
      <c r="AO3357" t="s">
        <v>54</v>
      </c>
      <c r="AP3357" t="s">
        <v>53</v>
      </c>
      <c r="AQ3357">
        <v>0</v>
      </c>
      <c r="AR3357" t="s">
        <v>53</v>
      </c>
      <c r="AS3357">
        <v>0</v>
      </c>
      <c r="AT3357">
        <v>0</v>
      </c>
      <c r="CC3357" t="s">
        <v>850</v>
      </c>
      <c r="CD3357">
        <v>1</v>
      </c>
      <c r="CE3357" s="1">
        <v>42552</v>
      </c>
      <c r="CF3357" s="1">
        <v>42552</v>
      </c>
      <c r="CG3357" s="1">
        <v>42552</v>
      </c>
      <c r="CH3357" s="1">
        <v>49714</v>
      </c>
      <c r="CI3357" t="s">
        <v>51</v>
      </c>
      <c r="CK3357" t="s">
        <v>78</v>
      </c>
      <c r="CM3357" t="s">
        <v>54</v>
      </c>
      <c r="CN3357" t="s">
        <v>174</v>
      </c>
      <c r="CO3357" t="s">
        <v>86</v>
      </c>
      <c r="CR3357">
        <v>18</v>
      </c>
      <c r="CS3357">
        <v>0</v>
      </c>
      <c r="CT3357">
        <v>0</v>
      </c>
      <c r="CU3357">
        <v>0</v>
      </c>
    </row>
    <row r="3358" spans="1:99" x14ac:dyDescent="0.2">
      <c r="A3358" t="s">
        <v>367</v>
      </c>
      <c r="B3358" t="s">
        <v>368</v>
      </c>
      <c r="C3358" t="s">
        <v>369</v>
      </c>
      <c r="D3358" t="s">
        <v>1198</v>
      </c>
      <c r="F3358" t="str">
        <f>"26291"</f>
        <v>26291</v>
      </c>
      <c r="G3358" t="s">
        <v>49</v>
      </c>
      <c r="H3358" t="s">
        <v>1462</v>
      </c>
      <c r="K3358" t="s">
        <v>51</v>
      </c>
      <c r="L3358" t="s">
        <v>52</v>
      </c>
      <c r="M3358">
        <v>137748.69</v>
      </c>
      <c r="N3358">
        <v>467602.57</v>
      </c>
      <c r="O3358" t="s">
        <v>53</v>
      </c>
      <c r="P3358" t="s">
        <v>54</v>
      </c>
      <c r="Q3358" t="s">
        <v>55</v>
      </c>
      <c r="T3358" t="s">
        <v>841</v>
      </c>
      <c r="U3358">
        <v>40</v>
      </c>
      <c r="V3358" s="1">
        <v>29586</v>
      </c>
      <c r="W3358" s="1">
        <v>29586</v>
      </c>
      <c r="X3358" s="1">
        <v>29586</v>
      </c>
      <c r="Y3358" s="1">
        <v>44196</v>
      </c>
      <c r="Z3358" t="s">
        <v>51</v>
      </c>
      <c r="AB3358" t="s">
        <v>54</v>
      </c>
      <c r="AC3358">
        <v>1</v>
      </c>
      <c r="AE3358" t="s">
        <v>1212</v>
      </c>
      <c r="AF3358">
        <v>20</v>
      </c>
      <c r="AG3358" s="1">
        <v>31777</v>
      </c>
      <c r="AH3358" s="1">
        <v>31777</v>
      </c>
      <c r="AI3358" s="1">
        <v>31777</v>
      </c>
      <c r="AJ3358" s="1">
        <v>39082</v>
      </c>
      <c r="AK3358" t="s">
        <v>51</v>
      </c>
      <c r="AN3358">
        <v>0</v>
      </c>
      <c r="AO3358" t="s">
        <v>54</v>
      </c>
      <c r="AP3358" t="s">
        <v>53</v>
      </c>
      <c r="AQ3358">
        <v>0</v>
      </c>
      <c r="AR3358" t="s">
        <v>53</v>
      </c>
      <c r="AS3358">
        <v>0</v>
      </c>
      <c r="AT3358">
        <v>0</v>
      </c>
      <c r="CC3358" t="s">
        <v>850</v>
      </c>
      <c r="CD3358">
        <v>1</v>
      </c>
      <c r="CE3358" s="1">
        <v>42552</v>
      </c>
      <c r="CF3358" s="1">
        <v>42552</v>
      </c>
      <c r="CG3358" s="1">
        <v>42552</v>
      </c>
      <c r="CH3358" s="1">
        <v>49714</v>
      </c>
      <c r="CI3358" t="s">
        <v>51</v>
      </c>
      <c r="CK3358" t="s">
        <v>78</v>
      </c>
      <c r="CM3358" t="s">
        <v>54</v>
      </c>
      <c r="CN3358" t="s">
        <v>174</v>
      </c>
      <c r="CO3358" t="s">
        <v>86</v>
      </c>
      <c r="CR3358">
        <v>18</v>
      </c>
      <c r="CS3358">
        <v>0</v>
      </c>
      <c r="CT3358">
        <v>0</v>
      </c>
      <c r="CU3358">
        <v>0</v>
      </c>
    </row>
    <row r="3359" spans="1:99" x14ac:dyDescent="0.2">
      <c r="A3359" t="s">
        <v>367</v>
      </c>
      <c r="B3359" t="s">
        <v>368</v>
      </c>
      <c r="C3359" t="s">
        <v>369</v>
      </c>
      <c r="D3359" t="s">
        <v>1198</v>
      </c>
      <c r="F3359" t="str">
        <f>"26292"</f>
        <v>26292</v>
      </c>
      <c r="G3359" t="s">
        <v>49</v>
      </c>
      <c r="H3359" t="s">
        <v>1463</v>
      </c>
      <c r="K3359" t="s">
        <v>51</v>
      </c>
      <c r="L3359" t="s">
        <v>52</v>
      </c>
      <c r="M3359">
        <v>137730.56</v>
      </c>
      <c r="N3359">
        <v>467583.7</v>
      </c>
      <c r="O3359" t="s">
        <v>53</v>
      </c>
      <c r="P3359" t="s">
        <v>54</v>
      </c>
      <c r="Q3359" t="s">
        <v>55</v>
      </c>
      <c r="T3359" t="s">
        <v>841</v>
      </c>
      <c r="U3359">
        <v>40</v>
      </c>
      <c r="V3359" s="1">
        <v>29586</v>
      </c>
      <c r="W3359" s="1">
        <v>29586</v>
      </c>
      <c r="X3359" s="1">
        <v>29586</v>
      </c>
      <c r="Y3359" s="1">
        <v>44196</v>
      </c>
      <c r="Z3359" t="s">
        <v>51</v>
      </c>
      <c r="AB3359" t="s">
        <v>54</v>
      </c>
      <c r="AC3359">
        <v>1</v>
      </c>
      <c r="AE3359" t="s">
        <v>1212</v>
      </c>
      <c r="AF3359">
        <v>20</v>
      </c>
      <c r="AG3359" s="1">
        <v>31777</v>
      </c>
      <c r="AH3359" s="1">
        <v>31777</v>
      </c>
      <c r="AI3359" s="1">
        <v>31777</v>
      </c>
      <c r="AJ3359" s="1">
        <v>39082</v>
      </c>
      <c r="AK3359" t="s">
        <v>51</v>
      </c>
      <c r="AN3359">
        <v>0</v>
      </c>
      <c r="AO3359" t="s">
        <v>54</v>
      </c>
      <c r="AP3359" t="s">
        <v>53</v>
      </c>
      <c r="AQ3359">
        <v>0</v>
      </c>
      <c r="AR3359" t="s">
        <v>53</v>
      </c>
      <c r="AS3359">
        <v>0</v>
      </c>
      <c r="AT3359">
        <v>0</v>
      </c>
      <c r="CC3359" t="s">
        <v>850</v>
      </c>
      <c r="CD3359">
        <v>1</v>
      </c>
      <c r="CE3359" s="1">
        <v>42552</v>
      </c>
      <c r="CF3359" s="1">
        <v>42552</v>
      </c>
      <c r="CG3359" s="1">
        <v>42552</v>
      </c>
      <c r="CH3359" s="1">
        <v>49714</v>
      </c>
      <c r="CI3359" t="s">
        <v>51</v>
      </c>
      <c r="CK3359" t="s">
        <v>78</v>
      </c>
      <c r="CM3359" t="s">
        <v>54</v>
      </c>
      <c r="CN3359" t="s">
        <v>174</v>
      </c>
      <c r="CO3359" t="s">
        <v>86</v>
      </c>
      <c r="CR3359">
        <v>18</v>
      </c>
      <c r="CS3359">
        <v>0</v>
      </c>
      <c r="CT3359">
        <v>0</v>
      </c>
      <c r="CU3359">
        <v>0</v>
      </c>
    </row>
    <row r="3360" spans="1:99" x14ac:dyDescent="0.2">
      <c r="A3360" t="s">
        <v>367</v>
      </c>
      <c r="B3360" t="s">
        <v>368</v>
      </c>
      <c r="C3360" t="s">
        <v>369</v>
      </c>
      <c r="D3360" t="s">
        <v>1198</v>
      </c>
      <c r="F3360" t="str">
        <f>"26293"</f>
        <v>26293</v>
      </c>
      <c r="G3360" t="s">
        <v>49</v>
      </c>
      <c r="H3360" t="s">
        <v>1464</v>
      </c>
      <c r="K3360" t="s">
        <v>51</v>
      </c>
      <c r="L3360" t="s">
        <v>52</v>
      </c>
      <c r="M3360">
        <v>137721.14000000001</v>
      </c>
      <c r="N3360">
        <v>467568.22</v>
      </c>
      <c r="O3360" t="s">
        <v>53</v>
      </c>
      <c r="P3360" t="s">
        <v>54</v>
      </c>
      <c r="Q3360" t="s">
        <v>55</v>
      </c>
      <c r="T3360" t="s">
        <v>841</v>
      </c>
      <c r="U3360">
        <v>40</v>
      </c>
      <c r="V3360" s="1">
        <v>29586</v>
      </c>
      <c r="W3360" s="1">
        <v>29586</v>
      </c>
      <c r="X3360" s="1">
        <v>29586</v>
      </c>
      <c r="Y3360" s="1">
        <v>44196</v>
      </c>
      <c r="Z3360" t="s">
        <v>51</v>
      </c>
      <c r="AB3360" t="s">
        <v>54</v>
      </c>
      <c r="AC3360">
        <v>1</v>
      </c>
      <c r="AE3360" t="s">
        <v>1212</v>
      </c>
      <c r="AF3360">
        <v>20</v>
      </c>
      <c r="AG3360" s="1">
        <v>31777</v>
      </c>
      <c r="AH3360" s="1">
        <v>31777</v>
      </c>
      <c r="AI3360" s="1">
        <v>31777</v>
      </c>
      <c r="AJ3360" s="1">
        <v>39082</v>
      </c>
      <c r="AK3360" t="s">
        <v>51</v>
      </c>
      <c r="AN3360">
        <v>0</v>
      </c>
      <c r="AO3360" t="s">
        <v>54</v>
      </c>
      <c r="AP3360" t="s">
        <v>53</v>
      </c>
      <c r="AQ3360">
        <v>0</v>
      </c>
      <c r="AR3360" t="s">
        <v>53</v>
      </c>
      <c r="AS3360">
        <v>0</v>
      </c>
      <c r="AT3360">
        <v>0</v>
      </c>
      <c r="CC3360" t="s">
        <v>850</v>
      </c>
      <c r="CD3360">
        <v>1</v>
      </c>
      <c r="CE3360" s="1">
        <v>42552</v>
      </c>
      <c r="CF3360" s="1">
        <v>42552</v>
      </c>
      <c r="CG3360" s="1">
        <v>42552</v>
      </c>
      <c r="CH3360" s="1">
        <v>49714</v>
      </c>
      <c r="CI3360" t="s">
        <v>51</v>
      </c>
      <c r="CK3360" t="s">
        <v>78</v>
      </c>
      <c r="CM3360" t="s">
        <v>54</v>
      </c>
      <c r="CN3360" t="s">
        <v>174</v>
      </c>
      <c r="CO3360" t="s">
        <v>86</v>
      </c>
      <c r="CR3360">
        <v>18</v>
      </c>
      <c r="CS3360">
        <v>0</v>
      </c>
      <c r="CT3360">
        <v>0</v>
      </c>
      <c r="CU3360">
        <v>0</v>
      </c>
    </row>
    <row r="3361" spans="1:99" x14ac:dyDescent="0.2">
      <c r="A3361" t="s">
        <v>367</v>
      </c>
      <c r="B3361" t="s">
        <v>368</v>
      </c>
      <c r="C3361" t="s">
        <v>369</v>
      </c>
      <c r="D3361" t="s">
        <v>1198</v>
      </c>
      <c r="F3361" t="str">
        <f>"26294"</f>
        <v>26294</v>
      </c>
      <c r="G3361" t="s">
        <v>49</v>
      </c>
      <c r="H3361" t="s">
        <v>1465</v>
      </c>
      <c r="K3361" t="s">
        <v>51</v>
      </c>
      <c r="L3361" t="s">
        <v>52</v>
      </c>
      <c r="M3361">
        <v>137704.59</v>
      </c>
      <c r="N3361">
        <v>467541.67</v>
      </c>
      <c r="O3361" t="s">
        <v>53</v>
      </c>
      <c r="P3361" t="s">
        <v>54</v>
      </c>
      <c r="Q3361" t="s">
        <v>55</v>
      </c>
      <c r="T3361" t="s">
        <v>841</v>
      </c>
      <c r="U3361">
        <v>40</v>
      </c>
      <c r="V3361" s="1">
        <v>29586</v>
      </c>
      <c r="W3361" s="1">
        <v>29586</v>
      </c>
      <c r="X3361" s="1">
        <v>29586</v>
      </c>
      <c r="Y3361" s="1">
        <v>44196</v>
      </c>
      <c r="Z3361" t="s">
        <v>51</v>
      </c>
      <c r="AB3361" t="s">
        <v>54</v>
      </c>
      <c r="AC3361">
        <v>1</v>
      </c>
      <c r="AE3361" t="s">
        <v>1212</v>
      </c>
      <c r="AF3361">
        <v>20</v>
      </c>
      <c r="AG3361" s="1">
        <v>31777</v>
      </c>
      <c r="AH3361" s="1">
        <v>31777</v>
      </c>
      <c r="AI3361" s="1">
        <v>31777</v>
      </c>
      <c r="AJ3361" s="1">
        <v>39082</v>
      </c>
      <c r="AK3361" t="s">
        <v>51</v>
      </c>
      <c r="AN3361">
        <v>0</v>
      </c>
      <c r="AO3361" t="s">
        <v>54</v>
      </c>
      <c r="AP3361" t="s">
        <v>53</v>
      </c>
      <c r="AQ3361">
        <v>0</v>
      </c>
      <c r="AR3361" t="s">
        <v>53</v>
      </c>
      <c r="AS3361">
        <v>0</v>
      </c>
      <c r="AT3361">
        <v>0</v>
      </c>
      <c r="CC3361" t="s">
        <v>850</v>
      </c>
      <c r="CD3361">
        <v>1</v>
      </c>
      <c r="CE3361" s="1">
        <v>42552</v>
      </c>
      <c r="CF3361" s="1">
        <v>42552</v>
      </c>
      <c r="CG3361" s="1">
        <v>42552</v>
      </c>
      <c r="CH3361" s="1">
        <v>49714</v>
      </c>
      <c r="CI3361" t="s">
        <v>51</v>
      </c>
      <c r="CK3361" t="s">
        <v>78</v>
      </c>
      <c r="CM3361" t="s">
        <v>54</v>
      </c>
      <c r="CN3361" t="s">
        <v>174</v>
      </c>
      <c r="CO3361" t="s">
        <v>86</v>
      </c>
      <c r="CR3361">
        <v>18</v>
      </c>
      <c r="CS3361">
        <v>0</v>
      </c>
      <c r="CT3361">
        <v>0</v>
      </c>
      <c r="CU3361">
        <v>0</v>
      </c>
    </row>
    <row r="3362" spans="1:99" x14ac:dyDescent="0.2">
      <c r="A3362" t="s">
        <v>367</v>
      </c>
      <c r="B3362" t="s">
        <v>368</v>
      </c>
      <c r="C3362" t="s">
        <v>369</v>
      </c>
      <c r="D3362" t="s">
        <v>1198</v>
      </c>
      <c r="F3362" t="str">
        <f>"26295"</f>
        <v>26295</v>
      </c>
      <c r="G3362" t="s">
        <v>49</v>
      </c>
      <c r="H3362" t="s">
        <v>1431</v>
      </c>
      <c r="K3362" t="s">
        <v>51</v>
      </c>
      <c r="L3362" t="s">
        <v>52</v>
      </c>
      <c r="M3362">
        <v>137690.10999999999</v>
      </c>
      <c r="N3362">
        <v>467557.33</v>
      </c>
      <c r="O3362" t="s">
        <v>53</v>
      </c>
      <c r="P3362" t="s">
        <v>54</v>
      </c>
      <c r="Q3362" t="s">
        <v>55</v>
      </c>
      <c r="T3362" t="s">
        <v>841</v>
      </c>
      <c r="U3362">
        <v>40</v>
      </c>
      <c r="V3362" s="1">
        <v>29586</v>
      </c>
      <c r="W3362" s="1">
        <v>29586</v>
      </c>
      <c r="X3362" s="1">
        <v>29586</v>
      </c>
      <c r="Y3362" s="1">
        <v>44196</v>
      </c>
      <c r="Z3362" t="s">
        <v>51</v>
      </c>
      <c r="AB3362" t="s">
        <v>54</v>
      </c>
      <c r="AC3362">
        <v>1</v>
      </c>
      <c r="AE3362" t="s">
        <v>1212</v>
      </c>
      <c r="AF3362">
        <v>20</v>
      </c>
      <c r="AG3362" s="1">
        <v>36446</v>
      </c>
      <c r="AH3362" s="1">
        <v>36446</v>
      </c>
      <c r="AI3362" s="1">
        <v>36446</v>
      </c>
      <c r="AJ3362" s="1">
        <v>43751</v>
      </c>
      <c r="AK3362" t="s">
        <v>51</v>
      </c>
      <c r="AN3362">
        <v>0</v>
      </c>
      <c r="AO3362" t="s">
        <v>54</v>
      </c>
      <c r="AP3362" t="s">
        <v>53</v>
      </c>
      <c r="AQ3362">
        <v>0</v>
      </c>
      <c r="AR3362" t="s">
        <v>53</v>
      </c>
      <c r="AS3362">
        <v>0</v>
      </c>
      <c r="AT3362">
        <v>0</v>
      </c>
      <c r="CC3362" t="s">
        <v>850</v>
      </c>
      <c r="CD3362">
        <v>1</v>
      </c>
      <c r="CE3362" s="1">
        <v>42552</v>
      </c>
      <c r="CF3362" s="1">
        <v>42552</v>
      </c>
      <c r="CG3362" s="1">
        <v>42552</v>
      </c>
      <c r="CH3362" s="1">
        <v>49714</v>
      </c>
      <c r="CI3362" t="s">
        <v>51</v>
      </c>
      <c r="CK3362" t="s">
        <v>78</v>
      </c>
      <c r="CM3362" t="s">
        <v>54</v>
      </c>
      <c r="CN3362" t="s">
        <v>174</v>
      </c>
      <c r="CO3362" t="s">
        <v>86</v>
      </c>
      <c r="CR3362">
        <v>18</v>
      </c>
      <c r="CS3362">
        <v>0</v>
      </c>
      <c r="CT3362">
        <v>0</v>
      </c>
      <c r="CU3362">
        <v>0</v>
      </c>
    </row>
    <row r="3363" spans="1:99" x14ac:dyDescent="0.2">
      <c r="A3363" t="s">
        <v>367</v>
      </c>
      <c r="B3363" t="s">
        <v>368</v>
      </c>
      <c r="C3363" t="s">
        <v>369</v>
      </c>
      <c r="D3363" t="s">
        <v>1198</v>
      </c>
      <c r="F3363" t="str">
        <f>"26296"</f>
        <v>26296</v>
      </c>
      <c r="G3363" t="s">
        <v>49</v>
      </c>
      <c r="H3363" t="s">
        <v>1466</v>
      </c>
      <c r="K3363" t="s">
        <v>51</v>
      </c>
      <c r="L3363" t="s">
        <v>52</v>
      </c>
      <c r="M3363">
        <v>137660.34</v>
      </c>
      <c r="N3363">
        <v>467559.58</v>
      </c>
      <c r="O3363" t="s">
        <v>53</v>
      </c>
      <c r="P3363" t="s">
        <v>54</v>
      </c>
      <c r="Q3363" t="s">
        <v>55</v>
      </c>
      <c r="T3363" t="s">
        <v>841</v>
      </c>
      <c r="U3363">
        <v>40</v>
      </c>
      <c r="V3363" s="1">
        <v>29586</v>
      </c>
      <c r="W3363" s="1">
        <v>29586</v>
      </c>
      <c r="X3363" s="1">
        <v>29586</v>
      </c>
      <c r="Y3363" s="1">
        <v>44196</v>
      </c>
      <c r="Z3363" t="s">
        <v>51</v>
      </c>
      <c r="AB3363" t="s">
        <v>54</v>
      </c>
      <c r="AC3363">
        <v>1</v>
      </c>
      <c r="AE3363" t="s">
        <v>57</v>
      </c>
      <c r="AF3363">
        <v>20</v>
      </c>
      <c r="AG3363" s="1">
        <v>40253</v>
      </c>
      <c r="AH3363" s="1">
        <v>40253</v>
      </c>
      <c r="AI3363" s="1">
        <v>40253</v>
      </c>
      <c r="AJ3363" s="1">
        <v>47558</v>
      </c>
      <c r="AK3363" t="s">
        <v>51</v>
      </c>
      <c r="AN3363">
        <v>0</v>
      </c>
      <c r="AO3363" t="s">
        <v>54</v>
      </c>
      <c r="AP3363" t="s">
        <v>53</v>
      </c>
      <c r="AQ3363">
        <v>0</v>
      </c>
      <c r="AR3363" t="s">
        <v>53</v>
      </c>
      <c r="AS3363">
        <v>0</v>
      </c>
      <c r="AT3363">
        <v>0</v>
      </c>
      <c r="CC3363" t="s">
        <v>432</v>
      </c>
      <c r="CD3363">
        <v>85000</v>
      </c>
      <c r="CE3363" s="1">
        <v>42552</v>
      </c>
      <c r="CF3363" s="1">
        <v>42552</v>
      </c>
      <c r="CG3363" s="1">
        <v>42552</v>
      </c>
      <c r="CH3363" s="1">
        <v>49714</v>
      </c>
      <c r="CI3363" t="s">
        <v>51</v>
      </c>
      <c r="CK3363" t="s">
        <v>78</v>
      </c>
      <c r="CM3363" t="s">
        <v>54</v>
      </c>
      <c r="CN3363" t="s">
        <v>174</v>
      </c>
      <c r="CO3363" t="s">
        <v>86</v>
      </c>
      <c r="CR3363">
        <v>24</v>
      </c>
      <c r="CS3363">
        <v>0</v>
      </c>
      <c r="CT3363">
        <v>0</v>
      </c>
      <c r="CU3363">
        <v>0</v>
      </c>
    </row>
    <row r="3364" spans="1:99" x14ac:dyDescent="0.2">
      <c r="A3364" t="s">
        <v>367</v>
      </c>
      <c r="B3364" t="s">
        <v>368</v>
      </c>
      <c r="C3364" t="s">
        <v>369</v>
      </c>
      <c r="D3364" t="s">
        <v>1198</v>
      </c>
      <c r="F3364" t="str">
        <f>"26297"</f>
        <v>26297</v>
      </c>
      <c r="G3364" t="s">
        <v>49</v>
      </c>
      <c r="H3364" t="s">
        <v>1467</v>
      </c>
      <c r="K3364" t="s">
        <v>51</v>
      </c>
      <c r="L3364" t="s">
        <v>52</v>
      </c>
      <c r="M3364">
        <v>137647.85999999999</v>
      </c>
      <c r="N3364">
        <v>467574.37</v>
      </c>
      <c r="O3364" t="s">
        <v>53</v>
      </c>
      <c r="P3364" t="s">
        <v>54</v>
      </c>
      <c r="Q3364" t="s">
        <v>55</v>
      </c>
      <c r="T3364" t="s">
        <v>841</v>
      </c>
      <c r="U3364">
        <v>40</v>
      </c>
      <c r="V3364" s="1">
        <v>29586</v>
      </c>
      <c r="W3364" s="1">
        <v>29586</v>
      </c>
      <c r="X3364" s="1">
        <v>29586</v>
      </c>
      <c r="Y3364" s="1">
        <v>44196</v>
      </c>
      <c r="Z3364" t="s">
        <v>51</v>
      </c>
      <c r="AB3364" t="s">
        <v>54</v>
      </c>
      <c r="AC3364">
        <v>1</v>
      </c>
      <c r="AE3364" t="s">
        <v>1212</v>
      </c>
      <c r="AF3364">
        <v>20</v>
      </c>
      <c r="AG3364" s="1">
        <v>31777</v>
      </c>
      <c r="AH3364" s="1">
        <v>31777</v>
      </c>
      <c r="AI3364" s="1">
        <v>31777</v>
      </c>
      <c r="AJ3364" s="1">
        <v>39082</v>
      </c>
      <c r="AK3364" t="s">
        <v>51</v>
      </c>
      <c r="AN3364">
        <v>0</v>
      </c>
      <c r="AO3364" t="s">
        <v>54</v>
      </c>
      <c r="AP3364" t="s">
        <v>53</v>
      </c>
      <c r="AQ3364">
        <v>0</v>
      </c>
      <c r="AR3364" t="s">
        <v>53</v>
      </c>
      <c r="AS3364">
        <v>0</v>
      </c>
      <c r="AT3364">
        <v>0</v>
      </c>
      <c r="CC3364" t="s">
        <v>850</v>
      </c>
      <c r="CD3364">
        <v>1</v>
      </c>
      <c r="CE3364" s="1">
        <v>42552</v>
      </c>
      <c r="CF3364" s="1">
        <v>42552</v>
      </c>
      <c r="CG3364" s="1">
        <v>42552</v>
      </c>
      <c r="CH3364" s="1">
        <v>49714</v>
      </c>
      <c r="CI3364" t="s">
        <v>51</v>
      </c>
      <c r="CK3364" t="s">
        <v>78</v>
      </c>
      <c r="CM3364" t="s">
        <v>54</v>
      </c>
      <c r="CN3364" t="s">
        <v>174</v>
      </c>
      <c r="CO3364" t="s">
        <v>86</v>
      </c>
      <c r="CR3364">
        <v>18</v>
      </c>
      <c r="CS3364">
        <v>0</v>
      </c>
      <c r="CT3364">
        <v>0</v>
      </c>
      <c r="CU3364">
        <v>0</v>
      </c>
    </row>
    <row r="3365" spans="1:99" x14ac:dyDescent="0.2">
      <c r="A3365" t="s">
        <v>367</v>
      </c>
      <c r="B3365" t="s">
        <v>368</v>
      </c>
      <c r="C3365" t="s">
        <v>369</v>
      </c>
      <c r="D3365" t="s">
        <v>1198</v>
      </c>
      <c r="F3365" t="str">
        <f>"26298"</f>
        <v>26298</v>
      </c>
      <c r="G3365" t="s">
        <v>49</v>
      </c>
      <c r="H3365" t="s">
        <v>1468</v>
      </c>
      <c r="K3365" t="s">
        <v>51</v>
      </c>
      <c r="L3365" t="s">
        <v>52</v>
      </c>
      <c r="M3365">
        <v>137622.82999999999</v>
      </c>
      <c r="N3365">
        <v>467580.09</v>
      </c>
      <c r="O3365" t="s">
        <v>53</v>
      </c>
      <c r="P3365" t="s">
        <v>54</v>
      </c>
      <c r="Q3365" t="s">
        <v>55</v>
      </c>
      <c r="T3365" t="s">
        <v>841</v>
      </c>
      <c r="U3365">
        <v>40</v>
      </c>
      <c r="V3365" s="1">
        <v>29586</v>
      </c>
      <c r="W3365" s="1">
        <v>29586</v>
      </c>
      <c r="X3365" s="1">
        <v>29586</v>
      </c>
      <c r="Y3365" s="1">
        <v>44196</v>
      </c>
      <c r="Z3365" t="s">
        <v>51</v>
      </c>
      <c r="AB3365" t="s">
        <v>54</v>
      </c>
      <c r="AC3365">
        <v>1</v>
      </c>
      <c r="AE3365" t="s">
        <v>1212</v>
      </c>
      <c r="AF3365">
        <v>20</v>
      </c>
      <c r="AG3365" s="1">
        <v>31777</v>
      </c>
      <c r="AH3365" s="1">
        <v>31777</v>
      </c>
      <c r="AI3365" s="1">
        <v>31777</v>
      </c>
      <c r="AJ3365" s="1">
        <v>39082</v>
      </c>
      <c r="AK3365" t="s">
        <v>51</v>
      </c>
      <c r="AN3365">
        <v>0</v>
      </c>
      <c r="AO3365" t="s">
        <v>54</v>
      </c>
      <c r="AP3365" t="s">
        <v>53</v>
      </c>
      <c r="AQ3365">
        <v>0</v>
      </c>
      <c r="AR3365" t="s">
        <v>53</v>
      </c>
      <c r="AS3365">
        <v>0</v>
      </c>
      <c r="AT3365">
        <v>0</v>
      </c>
      <c r="CC3365" t="s">
        <v>850</v>
      </c>
      <c r="CD3365">
        <v>1</v>
      </c>
      <c r="CE3365" s="1">
        <v>42552</v>
      </c>
      <c r="CF3365" s="1">
        <v>42552</v>
      </c>
      <c r="CG3365" s="1">
        <v>42552</v>
      </c>
      <c r="CH3365" s="1">
        <v>49714</v>
      </c>
      <c r="CI3365" t="s">
        <v>51</v>
      </c>
      <c r="CK3365" t="s">
        <v>78</v>
      </c>
      <c r="CM3365" t="s">
        <v>54</v>
      </c>
      <c r="CN3365" t="s">
        <v>174</v>
      </c>
      <c r="CO3365" t="s">
        <v>86</v>
      </c>
      <c r="CR3365">
        <v>18</v>
      </c>
      <c r="CS3365">
        <v>0</v>
      </c>
      <c r="CT3365">
        <v>0</v>
      </c>
      <c r="CU3365">
        <v>0</v>
      </c>
    </row>
    <row r="3366" spans="1:99" x14ac:dyDescent="0.2">
      <c r="A3366" t="s">
        <v>367</v>
      </c>
      <c r="B3366" t="s">
        <v>368</v>
      </c>
      <c r="C3366" t="s">
        <v>369</v>
      </c>
      <c r="D3366" t="s">
        <v>1198</v>
      </c>
      <c r="F3366" t="str">
        <f>"26299"</f>
        <v>26299</v>
      </c>
      <c r="G3366" t="s">
        <v>49</v>
      </c>
      <c r="H3366" t="s">
        <v>1339</v>
      </c>
      <c r="K3366" t="s">
        <v>51</v>
      </c>
      <c r="L3366" t="s">
        <v>52</v>
      </c>
      <c r="M3366">
        <v>137600.78</v>
      </c>
      <c r="N3366">
        <v>467556.23</v>
      </c>
      <c r="O3366" t="s">
        <v>53</v>
      </c>
      <c r="P3366" t="s">
        <v>54</v>
      </c>
      <c r="Q3366" t="s">
        <v>55</v>
      </c>
      <c r="T3366" t="s">
        <v>841</v>
      </c>
      <c r="U3366">
        <v>40</v>
      </c>
      <c r="V3366" s="1">
        <v>29586</v>
      </c>
      <c r="W3366" s="1">
        <v>29586</v>
      </c>
      <c r="X3366" s="1">
        <v>29586</v>
      </c>
      <c r="Y3366" s="1">
        <v>44196</v>
      </c>
      <c r="Z3366" t="s">
        <v>51</v>
      </c>
      <c r="AB3366" t="s">
        <v>54</v>
      </c>
      <c r="AC3366">
        <v>1</v>
      </c>
      <c r="AE3366" t="s">
        <v>1212</v>
      </c>
      <c r="AF3366">
        <v>20</v>
      </c>
      <c r="AG3366" s="1">
        <v>36446</v>
      </c>
      <c r="AH3366" s="1">
        <v>36446</v>
      </c>
      <c r="AI3366" s="1">
        <v>36446</v>
      </c>
      <c r="AJ3366" s="1">
        <v>43751</v>
      </c>
      <c r="AK3366" t="s">
        <v>51</v>
      </c>
      <c r="AN3366">
        <v>0</v>
      </c>
      <c r="AO3366" t="s">
        <v>54</v>
      </c>
      <c r="AP3366" t="s">
        <v>53</v>
      </c>
      <c r="AQ3366">
        <v>0</v>
      </c>
      <c r="AR3366" t="s">
        <v>53</v>
      </c>
      <c r="AS3366">
        <v>0</v>
      </c>
      <c r="AT3366">
        <v>0</v>
      </c>
      <c r="CC3366" t="s">
        <v>850</v>
      </c>
      <c r="CD3366">
        <v>1</v>
      </c>
      <c r="CE3366" s="1">
        <v>42552</v>
      </c>
      <c r="CF3366" s="1">
        <v>42552</v>
      </c>
      <c r="CG3366" s="1">
        <v>42552</v>
      </c>
      <c r="CH3366" s="1">
        <v>49714</v>
      </c>
      <c r="CI3366" t="s">
        <v>51</v>
      </c>
      <c r="CK3366" t="s">
        <v>78</v>
      </c>
      <c r="CM3366" t="s">
        <v>54</v>
      </c>
      <c r="CN3366" t="s">
        <v>174</v>
      </c>
      <c r="CO3366" t="s">
        <v>86</v>
      </c>
      <c r="CR3366">
        <v>18</v>
      </c>
      <c r="CS3366">
        <v>0</v>
      </c>
      <c r="CT3366">
        <v>0</v>
      </c>
      <c r="CU3366">
        <v>0</v>
      </c>
    </row>
    <row r="3367" spans="1:99" x14ac:dyDescent="0.2">
      <c r="A3367" t="s">
        <v>367</v>
      </c>
      <c r="B3367" t="s">
        <v>368</v>
      </c>
      <c r="C3367" t="s">
        <v>369</v>
      </c>
      <c r="D3367" t="s">
        <v>1403</v>
      </c>
      <c r="F3367" t="str">
        <f>"26300"</f>
        <v>26300</v>
      </c>
      <c r="G3367" t="s">
        <v>49</v>
      </c>
      <c r="H3367" t="s">
        <v>1404</v>
      </c>
      <c r="K3367" t="s">
        <v>51</v>
      </c>
      <c r="L3367" t="s">
        <v>52</v>
      </c>
      <c r="M3367">
        <v>138191.48000000001</v>
      </c>
      <c r="N3367">
        <v>467647.35</v>
      </c>
      <c r="O3367" t="s">
        <v>53</v>
      </c>
      <c r="P3367" t="s">
        <v>54</v>
      </c>
      <c r="Q3367" t="s">
        <v>55</v>
      </c>
      <c r="T3367" t="s">
        <v>1266</v>
      </c>
      <c r="U3367">
        <v>40</v>
      </c>
      <c r="V3367" s="1">
        <v>28490</v>
      </c>
      <c r="W3367" s="1">
        <v>28490</v>
      </c>
      <c r="X3367" s="1">
        <v>28490</v>
      </c>
      <c r="Y3367" s="1">
        <v>43100</v>
      </c>
      <c r="Z3367" t="s">
        <v>51</v>
      </c>
      <c r="AB3367" t="s">
        <v>54</v>
      </c>
      <c r="AC3367">
        <v>1</v>
      </c>
      <c r="AE3367" t="s">
        <v>844</v>
      </c>
      <c r="AF3367">
        <v>20</v>
      </c>
      <c r="AG3367" s="1">
        <v>31777</v>
      </c>
      <c r="AH3367" s="1">
        <v>31777</v>
      </c>
      <c r="AI3367" s="1">
        <v>31777</v>
      </c>
      <c r="AJ3367" s="1">
        <v>39082</v>
      </c>
      <c r="AK3367" t="s">
        <v>51</v>
      </c>
      <c r="AN3367">
        <v>0</v>
      </c>
      <c r="AO3367" t="s">
        <v>54</v>
      </c>
      <c r="AP3367" t="s">
        <v>53</v>
      </c>
      <c r="AQ3367">
        <v>0</v>
      </c>
      <c r="AR3367" t="s">
        <v>53</v>
      </c>
      <c r="AS3367">
        <v>0</v>
      </c>
      <c r="AT3367">
        <v>0</v>
      </c>
      <c r="CC3367" t="s">
        <v>555</v>
      </c>
      <c r="CD3367">
        <v>85000</v>
      </c>
      <c r="CE3367" s="1">
        <v>42552</v>
      </c>
      <c r="CF3367" s="1">
        <v>42552</v>
      </c>
      <c r="CG3367" s="1">
        <v>42552</v>
      </c>
      <c r="CH3367" s="1">
        <v>49714</v>
      </c>
      <c r="CI3367" t="s">
        <v>51</v>
      </c>
      <c r="CK3367" t="s">
        <v>78</v>
      </c>
      <c r="CM3367" t="s">
        <v>54</v>
      </c>
      <c r="CN3367" t="s">
        <v>174</v>
      </c>
      <c r="CO3367" t="s">
        <v>86</v>
      </c>
      <c r="CR3367">
        <v>20</v>
      </c>
      <c r="CS3367">
        <v>0</v>
      </c>
      <c r="CT3367">
        <v>0</v>
      </c>
      <c r="CU3367">
        <v>0</v>
      </c>
    </row>
    <row r="3368" spans="1:99" x14ac:dyDescent="0.2">
      <c r="A3368" t="s">
        <v>367</v>
      </c>
      <c r="B3368" t="s">
        <v>368</v>
      </c>
      <c r="C3368" t="s">
        <v>369</v>
      </c>
      <c r="D3368" t="s">
        <v>1403</v>
      </c>
      <c r="F3368" t="str">
        <f>"26301"</f>
        <v>26301</v>
      </c>
      <c r="G3368" t="s">
        <v>49</v>
      </c>
      <c r="H3368" t="s">
        <v>1404</v>
      </c>
      <c r="K3368" t="s">
        <v>51</v>
      </c>
      <c r="L3368" t="s">
        <v>52</v>
      </c>
      <c r="M3368">
        <v>138165.15</v>
      </c>
      <c r="N3368">
        <v>467645.52</v>
      </c>
      <c r="O3368" t="s">
        <v>53</v>
      </c>
      <c r="P3368" t="s">
        <v>54</v>
      </c>
      <c r="Q3368" t="s">
        <v>55</v>
      </c>
      <c r="T3368" t="s">
        <v>1266</v>
      </c>
      <c r="U3368">
        <v>40</v>
      </c>
      <c r="V3368" s="1">
        <v>28490</v>
      </c>
      <c r="W3368" s="1">
        <v>28490</v>
      </c>
      <c r="X3368" s="1">
        <v>28490</v>
      </c>
      <c r="Y3368" s="1">
        <v>43100</v>
      </c>
      <c r="Z3368" t="s">
        <v>51</v>
      </c>
      <c r="AB3368" t="s">
        <v>54</v>
      </c>
      <c r="AC3368">
        <v>1</v>
      </c>
      <c r="AE3368" t="s">
        <v>844</v>
      </c>
      <c r="AF3368">
        <v>20</v>
      </c>
      <c r="AG3368" s="1">
        <v>31777</v>
      </c>
      <c r="AH3368" s="1">
        <v>31777</v>
      </c>
      <c r="AI3368" s="1">
        <v>31777</v>
      </c>
      <c r="AJ3368" s="1">
        <v>39082</v>
      </c>
      <c r="AK3368" t="s">
        <v>51</v>
      </c>
      <c r="AN3368">
        <v>0</v>
      </c>
      <c r="AO3368" t="s">
        <v>54</v>
      </c>
      <c r="AP3368" t="s">
        <v>53</v>
      </c>
      <c r="AQ3368">
        <v>0</v>
      </c>
      <c r="AR3368" t="s">
        <v>53</v>
      </c>
      <c r="AS3368">
        <v>0</v>
      </c>
      <c r="AT3368">
        <v>0</v>
      </c>
      <c r="CC3368" t="s">
        <v>555</v>
      </c>
      <c r="CD3368">
        <v>85000</v>
      </c>
      <c r="CE3368" s="1">
        <v>42552</v>
      </c>
      <c r="CF3368" s="1">
        <v>42552</v>
      </c>
      <c r="CG3368" s="1">
        <v>42552</v>
      </c>
      <c r="CH3368" s="1">
        <v>49714</v>
      </c>
      <c r="CI3368" t="s">
        <v>51</v>
      </c>
      <c r="CK3368" t="s">
        <v>78</v>
      </c>
      <c r="CM3368" t="s">
        <v>54</v>
      </c>
      <c r="CN3368" t="s">
        <v>174</v>
      </c>
      <c r="CO3368" t="s">
        <v>86</v>
      </c>
      <c r="CR3368">
        <v>20</v>
      </c>
      <c r="CS3368">
        <v>0</v>
      </c>
      <c r="CT3368">
        <v>0</v>
      </c>
      <c r="CU3368">
        <v>0</v>
      </c>
    </row>
    <row r="3369" spans="1:99" x14ac:dyDescent="0.2">
      <c r="A3369" t="s">
        <v>367</v>
      </c>
      <c r="B3369" t="s">
        <v>368</v>
      </c>
      <c r="C3369" t="s">
        <v>369</v>
      </c>
      <c r="D3369" t="s">
        <v>1403</v>
      </c>
      <c r="F3369" t="str">
        <f>"26302"</f>
        <v>26302</v>
      </c>
      <c r="G3369" t="s">
        <v>49</v>
      </c>
      <c r="H3369" t="s">
        <v>1404</v>
      </c>
      <c r="K3369" t="s">
        <v>51</v>
      </c>
      <c r="L3369" t="s">
        <v>52</v>
      </c>
      <c r="M3369">
        <v>138142.06</v>
      </c>
      <c r="N3369">
        <v>467658.41</v>
      </c>
      <c r="O3369" t="s">
        <v>53</v>
      </c>
      <c r="P3369" t="s">
        <v>54</v>
      </c>
      <c r="Q3369" t="s">
        <v>55</v>
      </c>
      <c r="T3369" t="s">
        <v>1266</v>
      </c>
      <c r="U3369">
        <v>40</v>
      </c>
      <c r="V3369" s="1">
        <v>28490</v>
      </c>
      <c r="W3369" s="1">
        <v>28490</v>
      </c>
      <c r="X3369" s="1">
        <v>28490</v>
      </c>
      <c r="Y3369" s="1">
        <v>43100</v>
      </c>
      <c r="Z3369" t="s">
        <v>51</v>
      </c>
      <c r="AB3369" t="s">
        <v>54</v>
      </c>
      <c r="AC3369">
        <v>1</v>
      </c>
      <c r="AE3369" t="s">
        <v>844</v>
      </c>
      <c r="AF3369">
        <v>20</v>
      </c>
      <c r="AG3369" s="1">
        <v>31777</v>
      </c>
      <c r="AH3369" s="1">
        <v>31777</v>
      </c>
      <c r="AI3369" s="1">
        <v>31777</v>
      </c>
      <c r="AJ3369" s="1">
        <v>39082</v>
      </c>
      <c r="AK3369" t="s">
        <v>51</v>
      </c>
      <c r="AN3369">
        <v>0</v>
      </c>
      <c r="AO3369" t="s">
        <v>54</v>
      </c>
      <c r="AP3369" t="s">
        <v>53</v>
      </c>
      <c r="AQ3369">
        <v>0</v>
      </c>
      <c r="AR3369" t="s">
        <v>53</v>
      </c>
      <c r="AS3369">
        <v>0</v>
      </c>
      <c r="AT3369">
        <v>0</v>
      </c>
      <c r="CC3369" t="s">
        <v>555</v>
      </c>
      <c r="CD3369">
        <v>85000</v>
      </c>
      <c r="CE3369" s="1">
        <v>42552</v>
      </c>
      <c r="CF3369" s="1">
        <v>42552</v>
      </c>
      <c r="CG3369" s="1">
        <v>42552</v>
      </c>
      <c r="CH3369" s="1">
        <v>49714</v>
      </c>
      <c r="CI3369" t="s">
        <v>51</v>
      </c>
      <c r="CK3369" t="s">
        <v>78</v>
      </c>
      <c r="CM3369" t="s">
        <v>54</v>
      </c>
      <c r="CN3369" t="s">
        <v>174</v>
      </c>
      <c r="CO3369" t="s">
        <v>86</v>
      </c>
      <c r="CR3369">
        <v>20</v>
      </c>
      <c r="CS3369">
        <v>0</v>
      </c>
      <c r="CT3369">
        <v>0</v>
      </c>
      <c r="CU3369">
        <v>0</v>
      </c>
    </row>
    <row r="3370" spans="1:99" x14ac:dyDescent="0.2">
      <c r="A3370" t="s">
        <v>367</v>
      </c>
      <c r="B3370" t="s">
        <v>368</v>
      </c>
      <c r="C3370" t="s">
        <v>369</v>
      </c>
      <c r="D3370" t="s">
        <v>1403</v>
      </c>
      <c r="F3370" t="str">
        <f>"26303"</f>
        <v>26303</v>
      </c>
      <c r="G3370" t="s">
        <v>49</v>
      </c>
      <c r="H3370" t="s">
        <v>1388</v>
      </c>
      <c r="K3370" t="s">
        <v>51</v>
      </c>
      <c r="L3370" t="s">
        <v>52</v>
      </c>
      <c r="M3370">
        <v>138121.82</v>
      </c>
      <c r="N3370">
        <v>467687.67999999999</v>
      </c>
      <c r="O3370" t="s">
        <v>53</v>
      </c>
      <c r="P3370" t="s">
        <v>54</v>
      </c>
      <c r="Q3370" t="s">
        <v>55</v>
      </c>
      <c r="T3370" t="s">
        <v>1266</v>
      </c>
      <c r="U3370">
        <v>40</v>
      </c>
      <c r="V3370" s="1">
        <v>28490</v>
      </c>
      <c r="W3370" s="1">
        <v>28490</v>
      </c>
      <c r="X3370" s="1">
        <v>28490</v>
      </c>
      <c r="Y3370" s="1">
        <v>43100</v>
      </c>
      <c r="Z3370" t="s">
        <v>51</v>
      </c>
      <c r="AB3370" t="s">
        <v>54</v>
      </c>
      <c r="AC3370">
        <v>1</v>
      </c>
      <c r="AE3370" t="s">
        <v>844</v>
      </c>
      <c r="AF3370">
        <v>20</v>
      </c>
      <c r="AG3370" s="1">
        <v>31777</v>
      </c>
      <c r="AH3370" s="1">
        <v>31777</v>
      </c>
      <c r="AI3370" s="1">
        <v>31777</v>
      </c>
      <c r="AJ3370" s="1">
        <v>39082</v>
      </c>
      <c r="AK3370" t="s">
        <v>51</v>
      </c>
      <c r="AN3370">
        <v>0</v>
      </c>
      <c r="AO3370" t="s">
        <v>54</v>
      </c>
      <c r="AP3370" t="s">
        <v>53</v>
      </c>
      <c r="AQ3370">
        <v>0</v>
      </c>
      <c r="AR3370" t="s">
        <v>53</v>
      </c>
      <c r="AS3370">
        <v>0</v>
      </c>
      <c r="AT3370">
        <v>0</v>
      </c>
      <c r="CC3370" t="s">
        <v>555</v>
      </c>
      <c r="CD3370">
        <v>85000</v>
      </c>
      <c r="CE3370" s="1">
        <v>42552</v>
      </c>
      <c r="CF3370" s="1">
        <v>42552</v>
      </c>
      <c r="CG3370" s="1">
        <v>42552</v>
      </c>
      <c r="CH3370" s="1">
        <v>49714</v>
      </c>
      <c r="CI3370" t="s">
        <v>51</v>
      </c>
      <c r="CK3370" t="s">
        <v>78</v>
      </c>
      <c r="CM3370" t="s">
        <v>54</v>
      </c>
      <c r="CN3370" t="s">
        <v>174</v>
      </c>
      <c r="CO3370" t="s">
        <v>86</v>
      </c>
      <c r="CR3370">
        <v>20</v>
      </c>
      <c r="CS3370">
        <v>0</v>
      </c>
      <c r="CT3370">
        <v>0</v>
      </c>
      <c r="CU3370">
        <v>0</v>
      </c>
    </row>
    <row r="3371" spans="1:99" x14ac:dyDescent="0.2">
      <c r="A3371" t="s">
        <v>367</v>
      </c>
      <c r="B3371" t="s">
        <v>368</v>
      </c>
      <c r="C3371" t="s">
        <v>369</v>
      </c>
      <c r="D3371" t="s">
        <v>1403</v>
      </c>
      <c r="F3371" t="str">
        <f>"26304"</f>
        <v>26304</v>
      </c>
      <c r="G3371" t="s">
        <v>49</v>
      </c>
      <c r="H3371" t="s">
        <v>1469</v>
      </c>
      <c r="K3371" t="s">
        <v>51</v>
      </c>
      <c r="L3371" t="s">
        <v>52</v>
      </c>
      <c r="M3371">
        <v>138100.82</v>
      </c>
      <c r="N3371">
        <v>467691.18</v>
      </c>
      <c r="O3371" t="s">
        <v>53</v>
      </c>
      <c r="P3371" t="s">
        <v>54</v>
      </c>
      <c r="Q3371" t="s">
        <v>55</v>
      </c>
      <c r="T3371" t="s">
        <v>1266</v>
      </c>
      <c r="U3371">
        <v>40</v>
      </c>
      <c r="V3371" s="1">
        <v>28490</v>
      </c>
      <c r="W3371" s="1">
        <v>28490</v>
      </c>
      <c r="X3371" s="1">
        <v>28490</v>
      </c>
      <c r="Y3371" s="1">
        <v>43100</v>
      </c>
      <c r="Z3371" t="s">
        <v>51</v>
      </c>
      <c r="AB3371" t="s">
        <v>54</v>
      </c>
      <c r="AC3371">
        <v>1</v>
      </c>
      <c r="AE3371" t="s">
        <v>844</v>
      </c>
      <c r="AF3371">
        <v>20</v>
      </c>
      <c r="AG3371" s="1">
        <v>31777</v>
      </c>
      <c r="AH3371" s="1">
        <v>31777</v>
      </c>
      <c r="AI3371" s="1">
        <v>31777</v>
      </c>
      <c r="AJ3371" s="1">
        <v>39082</v>
      </c>
      <c r="AK3371" t="s">
        <v>51</v>
      </c>
      <c r="AN3371">
        <v>0</v>
      </c>
      <c r="AO3371" t="s">
        <v>54</v>
      </c>
      <c r="AP3371" t="s">
        <v>53</v>
      </c>
      <c r="AQ3371">
        <v>0</v>
      </c>
      <c r="AR3371" t="s">
        <v>53</v>
      </c>
      <c r="AS3371">
        <v>0</v>
      </c>
      <c r="AT3371">
        <v>0</v>
      </c>
      <c r="CC3371" t="s">
        <v>555</v>
      </c>
      <c r="CD3371">
        <v>85000</v>
      </c>
      <c r="CE3371" s="1">
        <v>42552</v>
      </c>
      <c r="CF3371" s="1">
        <v>42552</v>
      </c>
      <c r="CG3371" s="1">
        <v>42552</v>
      </c>
      <c r="CH3371" s="1">
        <v>49714</v>
      </c>
      <c r="CI3371" t="s">
        <v>51</v>
      </c>
      <c r="CK3371" t="s">
        <v>78</v>
      </c>
      <c r="CM3371" t="s">
        <v>54</v>
      </c>
      <c r="CN3371" t="s">
        <v>174</v>
      </c>
      <c r="CO3371" t="s">
        <v>86</v>
      </c>
      <c r="CR3371">
        <v>20</v>
      </c>
      <c r="CS3371">
        <v>0</v>
      </c>
      <c r="CT3371">
        <v>0</v>
      </c>
      <c r="CU3371">
        <v>0</v>
      </c>
    </row>
    <row r="3372" spans="1:99" x14ac:dyDescent="0.2">
      <c r="A3372" t="s">
        <v>367</v>
      </c>
      <c r="B3372" t="s">
        <v>368</v>
      </c>
      <c r="C3372" t="s">
        <v>369</v>
      </c>
      <c r="D3372" t="s">
        <v>1403</v>
      </c>
      <c r="F3372" t="str">
        <f>"26305"</f>
        <v>26305</v>
      </c>
      <c r="G3372" t="s">
        <v>49</v>
      </c>
      <c r="H3372" t="s">
        <v>1470</v>
      </c>
      <c r="K3372" t="s">
        <v>51</v>
      </c>
      <c r="L3372" t="s">
        <v>52</v>
      </c>
      <c r="M3372">
        <v>138069.34</v>
      </c>
      <c r="N3372">
        <v>467686.74</v>
      </c>
      <c r="O3372" t="s">
        <v>53</v>
      </c>
      <c r="P3372" t="s">
        <v>54</v>
      </c>
      <c r="Q3372" t="s">
        <v>55</v>
      </c>
      <c r="T3372" t="s">
        <v>1266</v>
      </c>
      <c r="U3372">
        <v>40</v>
      </c>
      <c r="V3372" s="1">
        <v>28490</v>
      </c>
      <c r="W3372" s="1">
        <v>28490</v>
      </c>
      <c r="X3372" s="1">
        <v>28490</v>
      </c>
      <c r="Y3372" s="1">
        <v>43100</v>
      </c>
      <c r="Z3372" t="s">
        <v>51</v>
      </c>
      <c r="AB3372" t="s">
        <v>54</v>
      </c>
      <c r="AC3372">
        <v>1</v>
      </c>
      <c r="AE3372" t="s">
        <v>844</v>
      </c>
      <c r="AF3372">
        <v>20</v>
      </c>
      <c r="AG3372" s="1">
        <v>31777</v>
      </c>
      <c r="AH3372" s="1">
        <v>31777</v>
      </c>
      <c r="AI3372" s="1">
        <v>31777</v>
      </c>
      <c r="AJ3372" s="1">
        <v>39082</v>
      </c>
      <c r="AK3372" t="s">
        <v>51</v>
      </c>
      <c r="AN3372">
        <v>0</v>
      </c>
      <c r="AO3372" t="s">
        <v>54</v>
      </c>
      <c r="AP3372" t="s">
        <v>53</v>
      </c>
      <c r="AQ3372">
        <v>0</v>
      </c>
      <c r="AR3372" t="s">
        <v>53</v>
      </c>
      <c r="AS3372">
        <v>0</v>
      </c>
      <c r="AT3372">
        <v>0</v>
      </c>
      <c r="CC3372" t="s">
        <v>555</v>
      </c>
      <c r="CD3372">
        <v>85000</v>
      </c>
      <c r="CE3372" s="1">
        <v>42552</v>
      </c>
      <c r="CF3372" s="1">
        <v>42552</v>
      </c>
      <c r="CG3372" s="1">
        <v>42552</v>
      </c>
      <c r="CH3372" s="1">
        <v>49714</v>
      </c>
      <c r="CI3372" t="s">
        <v>51</v>
      </c>
      <c r="CK3372" t="s">
        <v>78</v>
      </c>
      <c r="CM3372" t="s">
        <v>54</v>
      </c>
      <c r="CN3372" t="s">
        <v>174</v>
      </c>
      <c r="CO3372" t="s">
        <v>86</v>
      </c>
      <c r="CR3372">
        <v>20</v>
      </c>
      <c r="CS3372">
        <v>0</v>
      </c>
      <c r="CT3372">
        <v>0</v>
      </c>
      <c r="CU3372">
        <v>0</v>
      </c>
    </row>
    <row r="3373" spans="1:99" x14ac:dyDescent="0.2">
      <c r="A3373" t="s">
        <v>367</v>
      </c>
      <c r="B3373" t="s">
        <v>368</v>
      </c>
      <c r="C3373" t="s">
        <v>369</v>
      </c>
      <c r="D3373" t="s">
        <v>1403</v>
      </c>
      <c r="F3373" t="str">
        <f>"26306"</f>
        <v>26306</v>
      </c>
      <c r="G3373" t="s">
        <v>49</v>
      </c>
      <c r="H3373" t="s">
        <v>1471</v>
      </c>
      <c r="K3373" t="s">
        <v>51</v>
      </c>
      <c r="L3373" t="s">
        <v>52</v>
      </c>
      <c r="M3373">
        <v>138033.48000000001</v>
      </c>
      <c r="N3373">
        <v>467702.8</v>
      </c>
      <c r="O3373" t="s">
        <v>53</v>
      </c>
      <c r="P3373" t="s">
        <v>54</v>
      </c>
      <c r="Q3373" t="s">
        <v>55</v>
      </c>
      <c r="T3373" t="s">
        <v>1266</v>
      </c>
      <c r="U3373">
        <v>40</v>
      </c>
      <c r="V3373" s="1">
        <v>28490</v>
      </c>
      <c r="W3373" s="1">
        <v>28490</v>
      </c>
      <c r="X3373" s="1">
        <v>28490</v>
      </c>
      <c r="Y3373" s="1">
        <v>43100</v>
      </c>
      <c r="Z3373" t="s">
        <v>51</v>
      </c>
      <c r="AB3373" t="s">
        <v>54</v>
      </c>
      <c r="AC3373">
        <v>1</v>
      </c>
      <c r="AE3373" t="s">
        <v>844</v>
      </c>
      <c r="AF3373">
        <v>20</v>
      </c>
      <c r="AG3373" s="1">
        <v>31777</v>
      </c>
      <c r="AH3373" s="1">
        <v>31777</v>
      </c>
      <c r="AI3373" s="1">
        <v>31777</v>
      </c>
      <c r="AJ3373" s="1">
        <v>39082</v>
      </c>
      <c r="AK3373" t="s">
        <v>51</v>
      </c>
      <c r="AN3373">
        <v>0</v>
      </c>
      <c r="AO3373" t="s">
        <v>54</v>
      </c>
      <c r="AP3373" t="s">
        <v>53</v>
      </c>
      <c r="AQ3373">
        <v>0</v>
      </c>
      <c r="AR3373" t="s">
        <v>53</v>
      </c>
      <c r="AS3373">
        <v>0</v>
      </c>
      <c r="AT3373">
        <v>0</v>
      </c>
      <c r="CC3373" t="s">
        <v>555</v>
      </c>
      <c r="CD3373">
        <v>85000</v>
      </c>
      <c r="CE3373" s="1">
        <v>42552</v>
      </c>
      <c r="CF3373" s="1">
        <v>42552</v>
      </c>
      <c r="CG3373" s="1">
        <v>42552</v>
      </c>
      <c r="CH3373" s="1">
        <v>49714</v>
      </c>
      <c r="CI3373" t="s">
        <v>51</v>
      </c>
      <c r="CK3373" t="s">
        <v>78</v>
      </c>
      <c r="CM3373" t="s">
        <v>54</v>
      </c>
      <c r="CN3373" t="s">
        <v>174</v>
      </c>
      <c r="CO3373" t="s">
        <v>86</v>
      </c>
      <c r="CR3373">
        <v>20</v>
      </c>
      <c r="CS3373">
        <v>0</v>
      </c>
      <c r="CT3373">
        <v>0</v>
      </c>
      <c r="CU3373">
        <v>0</v>
      </c>
    </row>
    <row r="3374" spans="1:99" x14ac:dyDescent="0.2">
      <c r="A3374" t="s">
        <v>367</v>
      </c>
      <c r="B3374" t="s">
        <v>368</v>
      </c>
      <c r="C3374" t="s">
        <v>369</v>
      </c>
      <c r="D3374" t="s">
        <v>1403</v>
      </c>
      <c r="F3374" t="str">
        <f>"26307"</f>
        <v>26307</v>
      </c>
      <c r="G3374" t="s">
        <v>49</v>
      </c>
      <c r="H3374" t="s">
        <v>1472</v>
      </c>
      <c r="K3374" t="s">
        <v>51</v>
      </c>
      <c r="L3374" t="s">
        <v>52</v>
      </c>
      <c r="M3374">
        <v>138002.01999999999</v>
      </c>
      <c r="N3374">
        <v>467704.34</v>
      </c>
      <c r="O3374" t="s">
        <v>53</v>
      </c>
      <c r="P3374" t="s">
        <v>54</v>
      </c>
      <c r="Q3374" t="s">
        <v>55</v>
      </c>
      <c r="T3374" t="s">
        <v>1266</v>
      </c>
      <c r="U3374">
        <v>40</v>
      </c>
      <c r="V3374" s="1">
        <v>28490</v>
      </c>
      <c r="W3374" s="1">
        <v>28490</v>
      </c>
      <c r="X3374" s="1">
        <v>28490</v>
      </c>
      <c r="Y3374" s="1">
        <v>43100</v>
      </c>
      <c r="Z3374" t="s">
        <v>51</v>
      </c>
      <c r="AB3374" t="s">
        <v>54</v>
      </c>
      <c r="AC3374">
        <v>1</v>
      </c>
      <c r="AE3374" t="s">
        <v>844</v>
      </c>
      <c r="AF3374">
        <v>20</v>
      </c>
      <c r="AG3374" s="1">
        <v>31777</v>
      </c>
      <c r="AH3374" s="1">
        <v>31777</v>
      </c>
      <c r="AI3374" s="1">
        <v>31777</v>
      </c>
      <c r="AJ3374" s="1">
        <v>39082</v>
      </c>
      <c r="AK3374" t="s">
        <v>51</v>
      </c>
      <c r="AN3374">
        <v>0</v>
      </c>
      <c r="AO3374" t="s">
        <v>54</v>
      </c>
      <c r="AP3374" t="s">
        <v>53</v>
      </c>
      <c r="AQ3374">
        <v>0</v>
      </c>
      <c r="AR3374" t="s">
        <v>53</v>
      </c>
      <c r="AS3374">
        <v>0</v>
      </c>
      <c r="AT3374">
        <v>0</v>
      </c>
      <c r="CC3374" t="s">
        <v>555</v>
      </c>
      <c r="CD3374">
        <v>85000</v>
      </c>
      <c r="CE3374" s="1">
        <v>42552</v>
      </c>
      <c r="CF3374" s="1">
        <v>42552</v>
      </c>
      <c r="CG3374" s="1">
        <v>42552</v>
      </c>
      <c r="CH3374" s="1">
        <v>49714</v>
      </c>
      <c r="CI3374" t="s">
        <v>51</v>
      </c>
      <c r="CK3374" t="s">
        <v>78</v>
      </c>
      <c r="CM3374" t="s">
        <v>54</v>
      </c>
      <c r="CN3374" t="s">
        <v>174</v>
      </c>
      <c r="CO3374" t="s">
        <v>86</v>
      </c>
      <c r="CR3374">
        <v>20</v>
      </c>
      <c r="CS3374">
        <v>0</v>
      </c>
      <c r="CT3374">
        <v>0</v>
      </c>
      <c r="CU3374">
        <v>0</v>
      </c>
    </row>
    <row r="3375" spans="1:99" x14ac:dyDescent="0.2">
      <c r="A3375" t="s">
        <v>367</v>
      </c>
      <c r="B3375" t="s">
        <v>368</v>
      </c>
      <c r="C3375" t="s">
        <v>369</v>
      </c>
      <c r="D3375" t="s">
        <v>1403</v>
      </c>
      <c r="F3375" t="str">
        <f>"26308"</f>
        <v>26308</v>
      </c>
      <c r="G3375" t="s">
        <v>49</v>
      </c>
      <c r="H3375" t="s">
        <v>1473</v>
      </c>
      <c r="K3375" t="s">
        <v>51</v>
      </c>
      <c r="L3375" t="s">
        <v>52</v>
      </c>
      <c r="M3375">
        <v>137977.07999999999</v>
      </c>
      <c r="N3375">
        <v>467703.29</v>
      </c>
      <c r="O3375" t="s">
        <v>53</v>
      </c>
      <c r="P3375" t="s">
        <v>54</v>
      </c>
      <c r="Q3375" t="s">
        <v>55</v>
      </c>
      <c r="T3375" t="s">
        <v>1266</v>
      </c>
      <c r="U3375">
        <v>40</v>
      </c>
      <c r="V3375" s="1">
        <v>28490</v>
      </c>
      <c r="W3375" s="1">
        <v>28490</v>
      </c>
      <c r="X3375" s="1">
        <v>28490</v>
      </c>
      <c r="Y3375" s="1">
        <v>43100</v>
      </c>
      <c r="Z3375" t="s">
        <v>51</v>
      </c>
      <c r="AB3375" t="s">
        <v>54</v>
      </c>
      <c r="AC3375">
        <v>1</v>
      </c>
      <c r="AE3375" t="s">
        <v>844</v>
      </c>
      <c r="AF3375">
        <v>20</v>
      </c>
      <c r="AG3375" s="1">
        <v>31777</v>
      </c>
      <c r="AH3375" s="1">
        <v>31777</v>
      </c>
      <c r="AI3375" s="1">
        <v>31777</v>
      </c>
      <c r="AJ3375" s="1">
        <v>39082</v>
      </c>
      <c r="AK3375" t="s">
        <v>51</v>
      </c>
      <c r="AN3375">
        <v>0</v>
      </c>
      <c r="AO3375" t="s">
        <v>54</v>
      </c>
      <c r="AP3375" t="s">
        <v>53</v>
      </c>
      <c r="AQ3375">
        <v>0</v>
      </c>
      <c r="AR3375" t="s">
        <v>53</v>
      </c>
      <c r="AS3375">
        <v>0</v>
      </c>
      <c r="AT3375">
        <v>0</v>
      </c>
      <c r="CC3375" t="s">
        <v>555</v>
      </c>
      <c r="CD3375">
        <v>85000</v>
      </c>
      <c r="CE3375" s="1">
        <v>42552</v>
      </c>
      <c r="CF3375" s="1">
        <v>42552</v>
      </c>
      <c r="CG3375" s="1">
        <v>42552</v>
      </c>
      <c r="CH3375" s="1">
        <v>49714</v>
      </c>
      <c r="CI3375" t="s">
        <v>51</v>
      </c>
      <c r="CK3375" t="s">
        <v>78</v>
      </c>
      <c r="CM3375" t="s">
        <v>54</v>
      </c>
      <c r="CN3375" t="s">
        <v>174</v>
      </c>
      <c r="CO3375" t="s">
        <v>86</v>
      </c>
      <c r="CR3375">
        <v>20</v>
      </c>
      <c r="CS3375">
        <v>0</v>
      </c>
      <c r="CT3375">
        <v>0</v>
      </c>
      <c r="CU3375">
        <v>0</v>
      </c>
    </row>
    <row r="3376" spans="1:99" x14ac:dyDescent="0.2">
      <c r="A3376" t="s">
        <v>367</v>
      </c>
      <c r="B3376" t="s">
        <v>368</v>
      </c>
      <c r="C3376" t="s">
        <v>369</v>
      </c>
      <c r="D3376" t="s">
        <v>1403</v>
      </c>
      <c r="F3376" t="str">
        <f>"26309"</f>
        <v>26309</v>
      </c>
      <c r="G3376" t="s">
        <v>49</v>
      </c>
      <c r="H3376" t="s">
        <v>1466</v>
      </c>
      <c r="K3376" t="s">
        <v>51</v>
      </c>
      <c r="L3376" t="s">
        <v>52</v>
      </c>
      <c r="M3376">
        <v>137951.34</v>
      </c>
      <c r="N3376">
        <v>467699.77</v>
      </c>
      <c r="O3376" t="s">
        <v>53</v>
      </c>
      <c r="P3376" t="s">
        <v>54</v>
      </c>
      <c r="Q3376" t="s">
        <v>55</v>
      </c>
      <c r="T3376" t="s">
        <v>1266</v>
      </c>
      <c r="U3376">
        <v>40</v>
      </c>
      <c r="V3376" s="1">
        <v>28490</v>
      </c>
      <c r="W3376" s="1">
        <v>28490</v>
      </c>
      <c r="X3376" s="1">
        <v>28490</v>
      </c>
      <c r="Y3376" s="1">
        <v>43100</v>
      </c>
      <c r="Z3376" t="s">
        <v>51</v>
      </c>
      <c r="AB3376" t="s">
        <v>54</v>
      </c>
      <c r="AC3376">
        <v>1</v>
      </c>
      <c r="AE3376" t="s">
        <v>844</v>
      </c>
      <c r="AF3376">
        <v>20</v>
      </c>
      <c r="AG3376" s="1">
        <v>31777</v>
      </c>
      <c r="AH3376" s="1">
        <v>31777</v>
      </c>
      <c r="AI3376" s="1">
        <v>31777</v>
      </c>
      <c r="AJ3376" s="1">
        <v>39082</v>
      </c>
      <c r="AK3376" t="s">
        <v>51</v>
      </c>
      <c r="AN3376">
        <v>0</v>
      </c>
      <c r="AO3376" t="s">
        <v>54</v>
      </c>
      <c r="AP3376" t="s">
        <v>53</v>
      </c>
      <c r="AQ3376">
        <v>0</v>
      </c>
      <c r="AR3376" t="s">
        <v>53</v>
      </c>
      <c r="AS3376">
        <v>0</v>
      </c>
      <c r="AT3376">
        <v>0</v>
      </c>
      <c r="CC3376" t="s">
        <v>555</v>
      </c>
      <c r="CD3376">
        <v>85000</v>
      </c>
      <c r="CE3376" s="1">
        <v>42552</v>
      </c>
      <c r="CF3376" s="1">
        <v>42552</v>
      </c>
      <c r="CG3376" s="1">
        <v>42552</v>
      </c>
      <c r="CH3376" s="1">
        <v>49714</v>
      </c>
      <c r="CI3376" t="s">
        <v>51</v>
      </c>
      <c r="CK3376" t="s">
        <v>78</v>
      </c>
      <c r="CM3376" t="s">
        <v>54</v>
      </c>
      <c r="CN3376" t="s">
        <v>174</v>
      </c>
      <c r="CO3376" t="s">
        <v>86</v>
      </c>
      <c r="CR3376">
        <v>20</v>
      </c>
      <c r="CS3376">
        <v>0</v>
      </c>
      <c r="CT3376">
        <v>0</v>
      </c>
      <c r="CU3376">
        <v>0</v>
      </c>
    </row>
    <row r="3377" spans="1:99" x14ac:dyDescent="0.2">
      <c r="A3377" t="s">
        <v>367</v>
      </c>
      <c r="B3377" t="s">
        <v>368</v>
      </c>
      <c r="C3377" t="s">
        <v>369</v>
      </c>
      <c r="D3377" t="s">
        <v>1403</v>
      </c>
      <c r="F3377" t="str">
        <f>"26310"</f>
        <v>26310</v>
      </c>
      <c r="G3377" t="s">
        <v>49</v>
      </c>
      <c r="H3377" t="s">
        <v>1466</v>
      </c>
      <c r="K3377" t="s">
        <v>51</v>
      </c>
      <c r="L3377" t="s">
        <v>52</v>
      </c>
      <c r="M3377">
        <v>137924.51999999999</v>
      </c>
      <c r="N3377">
        <v>467687.99</v>
      </c>
      <c r="O3377" t="s">
        <v>53</v>
      </c>
      <c r="P3377" t="s">
        <v>54</v>
      </c>
      <c r="Q3377" t="s">
        <v>55</v>
      </c>
      <c r="T3377" t="s">
        <v>808</v>
      </c>
      <c r="U3377">
        <v>40</v>
      </c>
      <c r="V3377" s="1">
        <v>27759</v>
      </c>
      <c r="W3377" s="1">
        <v>27759</v>
      </c>
      <c r="X3377" s="1">
        <v>27759</v>
      </c>
      <c r="Y3377" s="1">
        <v>42369</v>
      </c>
      <c r="Z3377" t="s">
        <v>51</v>
      </c>
      <c r="AB3377" t="s">
        <v>54</v>
      </c>
      <c r="AC3377">
        <v>1</v>
      </c>
      <c r="AE3377" t="s">
        <v>844</v>
      </c>
      <c r="AF3377">
        <v>20</v>
      </c>
      <c r="AG3377" s="1">
        <v>31777</v>
      </c>
      <c r="AH3377" s="1">
        <v>31777</v>
      </c>
      <c r="AI3377" s="1">
        <v>31777</v>
      </c>
      <c r="AJ3377" s="1">
        <v>39082</v>
      </c>
      <c r="AK3377" t="s">
        <v>51</v>
      </c>
      <c r="AN3377">
        <v>0</v>
      </c>
      <c r="AO3377" t="s">
        <v>54</v>
      </c>
      <c r="AP3377" t="s">
        <v>53</v>
      </c>
      <c r="AQ3377">
        <v>0</v>
      </c>
      <c r="AR3377" t="s">
        <v>53</v>
      </c>
      <c r="AS3377">
        <v>0</v>
      </c>
      <c r="AT3377">
        <v>0</v>
      </c>
      <c r="CC3377" t="s">
        <v>555</v>
      </c>
      <c r="CD3377">
        <v>85000</v>
      </c>
      <c r="CE3377" s="1">
        <v>42552</v>
      </c>
      <c r="CF3377" s="1">
        <v>42552</v>
      </c>
      <c r="CG3377" s="1">
        <v>42552</v>
      </c>
      <c r="CH3377" s="1">
        <v>49714</v>
      </c>
      <c r="CI3377" t="s">
        <v>51</v>
      </c>
      <c r="CK3377" t="s">
        <v>78</v>
      </c>
      <c r="CM3377" t="s">
        <v>54</v>
      </c>
      <c r="CN3377" t="s">
        <v>174</v>
      </c>
      <c r="CO3377" t="s">
        <v>86</v>
      </c>
      <c r="CR3377">
        <v>20</v>
      </c>
      <c r="CS3377">
        <v>0</v>
      </c>
      <c r="CT3377">
        <v>0</v>
      </c>
      <c r="CU3377">
        <v>0</v>
      </c>
    </row>
    <row r="3378" spans="1:99" x14ac:dyDescent="0.2">
      <c r="A3378" t="s">
        <v>367</v>
      </c>
      <c r="B3378" t="s">
        <v>368</v>
      </c>
      <c r="C3378" t="s">
        <v>369</v>
      </c>
      <c r="D3378" t="s">
        <v>1403</v>
      </c>
      <c r="F3378" t="str">
        <f>"26312"</f>
        <v>26312</v>
      </c>
      <c r="G3378" t="s">
        <v>49</v>
      </c>
      <c r="H3378" t="s">
        <v>1474</v>
      </c>
      <c r="K3378" t="s">
        <v>51</v>
      </c>
      <c r="L3378" t="s">
        <v>52</v>
      </c>
      <c r="M3378">
        <v>137891.06</v>
      </c>
      <c r="N3378">
        <v>467654.67</v>
      </c>
      <c r="O3378" t="s">
        <v>53</v>
      </c>
      <c r="P3378" t="s">
        <v>54</v>
      </c>
      <c r="Q3378" t="s">
        <v>55</v>
      </c>
      <c r="T3378" t="s">
        <v>1266</v>
      </c>
      <c r="U3378">
        <v>40</v>
      </c>
      <c r="V3378" s="1">
        <v>28490</v>
      </c>
      <c r="W3378" s="1">
        <v>28490</v>
      </c>
      <c r="X3378" s="1">
        <v>28490</v>
      </c>
      <c r="Y3378" s="1">
        <v>43100</v>
      </c>
      <c r="Z3378" t="s">
        <v>51</v>
      </c>
      <c r="AB3378" t="s">
        <v>54</v>
      </c>
      <c r="AC3378">
        <v>1</v>
      </c>
      <c r="AE3378" t="s">
        <v>844</v>
      </c>
      <c r="AF3378">
        <v>20</v>
      </c>
      <c r="AG3378" s="1">
        <v>31777</v>
      </c>
      <c r="AH3378" s="1">
        <v>31777</v>
      </c>
      <c r="AI3378" s="1">
        <v>31777</v>
      </c>
      <c r="AJ3378" s="1">
        <v>39082</v>
      </c>
      <c r="AK3378" t="s">
        <v>51</v>
      </c>
      <c r="AN3378">
        <v>0</v>
      </c>
      <c r="AO3378" t="s">
        <v>54</v>
      </c>
      <c r="AP3378" t="s">
        <v>53</v>
      </c>
      <c r="AQ3378">
        <v>0</v>
      </c>
      <c r="AR3378" t="s">
        <v>53</v>
      </c>
      <c r="AS3378">
        <v>0</v>
      </c>
      <c r="AT3378">
        <v>0</v>
      </c>
      <c r="CC3378" t="s">
        <v>555</v>
      </c>
      <c r="CD3378">
        <v>85000</v>
      </c>
      <c r="CE3378" s="1">
        <v>42552</v>
      </c>
      <c r="CF3378" s="1">
        <v>42552</v>
      </c>
      <c r="CG3378" s="1">
        <v>42552</v>
      </c>
      <c r="CH3378" s="1">
        <v>49714</v>
      </c>
      <c r="CI3378" t="s">
        <v>51</v>
      </c>
      <c r="CK3378" t="s">
        <v>78</v>
      </c>
      <c r="CM3378" t="s">
        <v>54</v>
      </c>
      <c r="CN3378" t="s">
        <v>174</v>
      </c>
      <c r="CO3378" t="s">
        <v>86</v>
      </c>
      <c r="CR3378">
        <v>20</v>
      </c>
      <c r="CS3378">
        <v>0</v>
      </c>
      <c r="CT3378">
        <v>0</v>
      </c>
      <c r="CU3378">
        <v>0</v>
      </c>
    </row>
    <row r="3379" spans="1:99" x14ac:dyDescent="0.2">
      <c r="A3379" t="s">
        <v>367</v>
      </c>
      <c r="B3379" t="s">
        <v>368</v>
      </c>
      <c r="C3379" t="s">
        <v>369</v>
      </c>
      <c r="D3379" t="s">
        <v>1403</v>
      </c>
      <c r="F3379" t="str">
        <f>"26313"</f>
        <v>26313</v>
      </c>
      <c r="G3379" t="s">
        <v>49</v>
      </c>
      <c r="H3379" t="s">
        <v>1475</v>
      </c>
      <c r="K3379" t="s">
        <v>51</v>
      </c>
      <c r="L3379" t="s">
        <v>52</v>
      </c>
      <c r="M3379">
        <v>137889.51999999999</v>
      </c>
      <c r="N3379">
        <v>467627.39</v>
      </c>
      <c r="O3379" t="s">
        <v>53</v>
      </c>
      <c r="P3379" t="s">
        <v>54</v>
      </c>
      <c r="Q3379" t="s">
        <v>55</v>
      </c>
      <c r="T3379" t="s">
        <v>1266</v>
      </c>
      <c r="U3379">
        <v>40</v>
      </c>
      <c r="V3379" s="1">
        <v>28490</v>
      </c>
      <c r="W3379" s="1">
        <v>28490</v>
      </c>
      <c r="X3379" s="1">
        <v>28490</v>
      </c>
      <c r="Y3379" s="1">
        <v>43100</v>
      </c>
      <c r="Z3379" t="s">
        <v>51</v>
      </c>
      <c r="AB3379" t="s">
        <v>54</v>
      </c>
      <c r="AC3379">
        <v>1</v>
      </c>
      <c r="AE3379" t="s">
        <v>844</v>
      </c>
      <c r="AF3379">
        <v>20</v>
      </c>
      <c r="AG3379" s="1">
        <v>31777</v>
      </c>
      <c r="AH3379" s="1">
        <v>31777</v>
      </c>
      <c r="AI3379" s="1">
        <v>31777</v>
      </c>
      <c r="AJ3379" s="1">
        <v>39082</v>
      </c>
      <c r="AK3379" t="s">
        <v>51</v>
      </c>
      <c r="AN3379">
        <v>0</v>
      </c>
      <c r="AO3379" t="s">
        <v>54</v>
      </c>
      <c r="AP3379" t="s">
        <v>53</v>
      </c>
      <c r="AQ3379">
        <v>0</v>
      </c>
      <c r="AR3379" t="s">
        <v>53</v>
      </c>
      <c r="AS3379">
        <v>0</v>
      </c>
      <c r="AT3379">
        <v>0</v>
      </c>
      <c r="CC3379" t="s">
        <v>555</v>
      </c>
      <c r="CD3379">
        <v>85000</v>
      </c>
      <c r="CE3379" s="1">
        <v>42552</v>
      </c>
      <c r="CF3379" s="1">
        <v>42552</v>
      </c>
      <c r="CG3379" s="1">
        <v>42552</v>
      </c>
      <c r="CH3379" s="1">
        <v>49714</v>
      </c>
      <c r="CI3379" t="s">
        <v>51</v>
      </c>
      <c r="CK3379" t="s">
        <v>78</v>
      </c>
      <c r="CM3379" t="s">
        <v>54</v>
      </c>
      <c r="CN3379" t="s">
        <v>174</v>
      </c>
      <c r="CO3379" t="s">
        <v>86</v>
      </c>
      <c r="CR3379">
        <v>20</v>
      </c>
      <c r="CS3379">
        <v>0</v>
      </c>
      <c r="CT3379">
        <v>0</v>
      </c>
      <c r="CU3379">
        <v>0</v>
      </c>
    </row>
    <row r="3380" spans="1:99" x14ac:dyDescent="0.2">
      <c r="A3380" t="s">
        <v>367</v>
      </c>
      <c r="B3380" t="s">
        <v>368</v>
      </c>
      <c r="C3380" t="s">
        <v>369</v>
      </c>
      <c r="D3380" t="s">
        <v>1403</v>
      </c>
      <c r="F3380" t="str">
        <f>"26314"</f>
        <v>26314</v>
      </c>
      <c r="G3380" t="s">
        <v>49</v>
      </c>
      <c r="H3380" t="s">
        <v>1476</v>
      </c>
      <c r="K3380" t="s">
        <v>51</v>
      </c>
      <c r="L3380" t="s">
        <v>52</v>
      </c>
      <c r="M3380">
        <v>137864.6</v>
      </c>
      <c r="N3380">
        <v>467594.26</v>
      </c>
      <c r="O3380" t="s">
        <v>53</v>
      </c>
      <c r="P3380" t="s">
        <v>54</v>
      </c>
      <c r="Q3380" t="s">
        <v>55</v>
      </c>
      <c r="T3380" t="s">
        <v>1266</v>
      </c>
      <c r="U3380">
        <v>40</v>
      </c>
      <c r="V3380" s="1">
        <v>28490</v>
      </c>
      <c r="W3380" s="1">
        <v>28490</v>
      </c>
      <c r="X3380" s="1">
        <v>28490</v>
      </c>
      <c r="Y3380" s="1">
        <v>43100</v>
      </c>
      <c r="Z3380" t="s">
        <v>51</v>
      </c>
      <c r="AB3380" t="s">
        <v>54</v>
      </c>
      <c r="AC3380">
        <v>1</v>
      </c>
      <c r="AE3380" t="s">
        <v>844</v>
      </c>
      <c r="AF3380">
        <v>20</v>
      </c>
      <c r="AG3380" s="1">
        <v>31777</v>
      </c>
      <c r="AH3380" s="1">
        <v>31777</v>
      </c>
      <c r="AI3380" s="1">
        <v>31777</v>
      </c>
      <c r="AJ3380" s="1">
        <v>39082</v>
      </c>
      <c r="AK3380" t="s">
        <v>51</v>
      </c>
      <c r="AN3380">
        <v>0</v>
      </c>
      <c r="AO3380" t="s">
        <v>54</v>
      </c>
      <c r="AP3380" t="s">
        <v>53</v>
      </c>
      <c r="AQ3380">
        <v>0</v>
      </c>
      <c r="AR3380" t="s">
        <v>53</v>
      </c>
      <c r="AS3380">
        <v>0</v>
      </c>
      <c r="AT3380">
        <v>0</v>
      </c>
      <c r="CC3380" t="s">
        <v>555</v>
      </c>
      <c r="CD3380">
        <v>85000</v>
      </c>
      <c r="CE3380" s="1">
        <v>42552</v>
      </c>
      <c r="CF3380" s="1">
        <v>42552</v>
      </c>
      <c r="CG3380" s="1">
        <v>42552</v>
      </c>
      <c r="CH3380" s="1">
        <v>49714</v>
      </c>
      <c r="CI3380" t="s">
        <v>51</v>
      </c>
      <c r="CK3380" t="s">
        <v>78</v>
      </c>
      <c r="CM3380" t="s">
        <v>54</v>
      </c>
      <c r="CN3380" t="s">
        <v>174</v>
      </c>
      <c r="CO3380" t="s">
        <v>86</v>
      </c>
      <c r="CR3380">
        <v>20</v>
      </c>
      <c r="CS3380">
        <v>0</v>
      </c>
      <c r="CT3380">
        <v>0</v>
      </c>
      <c r="CU3380">
        <v>0</v>
      </c>
    </row>
    <row r="3381" spans="1:99" x14ac:dyDescent="0.2">
      <c r="A3381" t="s">
        <v>367</v>
      </c>
      <c r="B3381" t="s">
        <v>368</v>
      </c>
      <c r="C3381" t="s">
        <v>369</v>
      </c>
      <c r="D3381" t="s">
        <v>1403</v>
      </c>
      <c r="F3381" t="str">
        <f>"26315"</f>
        <v>26315</v>
      </c>
      <c r="G3381" t="s">
        <v>49</v>
      </c>
      <c r="H3381" t="s">
        <v>1477</v>
      </c>
      <c r="K3381" t="s">
        <v>51</v>
      </c>
      <c r="L3381" t="s">
        <v>52</v>
      </c>
      <c r="M3381">
        <v>137862.76</v>
      </c>
      <c r="N3381">
        <v>467564.59</v>
      </c>
      <c r="O3381" t="s">
        <v>53</v>
      </c>
      <c r="P3381" t="s">
        <v>54</v>
      </c>
      <c r="Q3381" t="s">
        <v>55</v>
      </c>
      <c r="T3381" t="s">
        <v>1266</v>
      </c>
      <c r="U3381">
        <v>40</v>
      </c>
      <c r="V3381" s="1">
        <v>28490</v>
      </c>
      <c r="W3381" s="1">
        <v>28490</v>
      </c>
      <c r="X3381" s="1">
        <v>28490</v>
      </c>
      <c r="Y3381" s="1">
        <v>43100</v>
      </c>
      <c r="Z3381" t="s">
        <v>51</v>
      </c>
      <c r="AB3381" t="s">
        <v>54</v>
      </c>
      <c r="AC3381">
        <v>1</v>
      </c>
      <c r="AE3381" t="s">
        <v>844</v>
      </c>
      <c r="AF3381">
        <v>20</v>
      </c>
      <c r="AG3381" s="1">
        <v>31777</v>
      </c>
      <c r="AH3381" s="1">
        <v>31777</v>
      </c>
      <c r="AI3381" s="1">
        <v>31777</v>
      </c>
      <c r="AJ3381" s="1">
        <v>39082</v>
      </c>
      <c r="AK3381" t="s">
        <v>51</v>
      </c>
      <c r="AN3381">
        <v>0</v>
      </c>
      <c r="AO3381" t="s">
        <v>54</v>
      </c>
      <c r="AP3381" t="s">
        <v>53</v>
      </c>
      <c r="AQ3381">
        <v>0</v>
      </c>
      <c r="AR3381" t="s">
        <v>53</v>
      </c>
      <c r="AS3381">
        <v>0</v>
      </c>
      <c r="AT3381">
        <v>0</v>
      </c>
      <c r="CC3381" t="s">
        <v>555</v>
      </c>
      <c r="CD3381">
        <v>85000</v>
      </c>
      <c r="CE3381" s="1">
        <v>42552</v>
      </c>
      <c r="CF3381" s="1">
        <v>42552</v>
      </c>
      <c r="CG3381" s="1">
        <v>42552</v>
      </c>
      <c r="CH3381" s="1">
        <v>49714</v>
      </c>
      <c r="CI3381" t="s">
        <v>51</v>
      </c>
      <c r="CK3381" t="s">
        <v>78</v>
      </c>
      <c r="CM3381" t="s">
        <v>54</v>
      </c>
      <c r="CN3381" t="s">
        <v>174</v>
      </c>
      <c r="CO3381" t="s">
        <v>86</v>
      </c>
      <c r="CR3381">
        <v>20</v>
      </c>
      <c r="CS3381">
        <v>0</v>
      </c>
      <c r="CT3381">
        <v>0</v>
      </c>
      <c r="CU3381">
        <v>0</v>
      </c>
    </row>
    <row r="3382" spans="1:99" x14ac:dyDescent="0.2">
      <c r="A3382" t="s">
        <v>367</v>
      </c>
      <c r="B3382" t="s">
        <v>368</v>
      </c>
      <c r="C3382" t="s">
        <v>369</v>
      </c>
      <c r="D3382" t="s">
        <v>1403</v>
      </c>
      <c r="F3382" t="str">
        <f>"26316"</f>
        <v>26316</v>
      </c>
      <c r="G3382" t="s">
        <v>49</v>
      </c>
      <c r="H3382" t="s">
        <v>1478</v>
      </c>
      <c r="K3382" t="s">
        <v>51</v>
      </c>
      <c r="L3382" t="s">
        <v>52</v>
      </c>
      <c r="M3382">
        <v>137854.48000000001</v>
      </c>
      <c r="N3382">
        <v>467544.54</v>
      </c>
      <c r="O3382" t="s">
        <v>53</v>
      </c>
      <c r="P3382" t="s">
        <v>54</v>
      </c>
      <c r="Q3382" t="s">
        <v>55</v>
      </c>
      <c r="T3382" t="s">
        <v>1266</v>
      </c>
      <c r="U3382">
        <v>40</v>
      </c>
      <c r="V3382" s="1">
        <v>28490</v>
      </c>
      <c r="W3382" s="1">
        <v>28490</v>
      </c>
      <c r="X3382" s="1">
        <v>28490</v>
      </c>
      <c r="Y3382" s="1">
        <v>43100</v>
      </c>
      <c r="Z3382" t="s">
        <v>51</v>
      </c>
      <c r="AB3382" t="s">
        <v>54</v>
      </c>
      <c r="AC3382">
        <v>1</v>
      </c>
      <c r="AE3382" t="s">
        <v>844</v>
      </c>
      <c r="AF3382">
        <v>20</v>
      </c>
      <c r="AG3382" s="1">
        <v>31777</v>
      </c>
      <c r="AH3382" s="1">
        <v>31777</v>
      </c>
      <c r="AI3382" s="1">
        <v>31777</v>
      </c>
      <c r="AJ3382" s="1">
        <v>39082</v>
      </c>
      <c r="AK3382" t="s">
        <v>51</v>
      </c>
      <c r="AN3382">
        <v>0</v>
      </c>
      <c r="AO3382" t="s">
        <v>54</v>
      </c>
      <c r="AP3382" t="s">
        <v>53</v>
      </c>
      <c r="AQ3382">
        <v>0</v>
      </c>
      <c r="AR3382" t="s">
        <v>53</v>
      </c>
      <c r="AS3382">
        <v>0</v>
      </c>
      <c r="AT3382">
        <v>0</v>
      </c>
      <c r="CC3382" t="s">
        <v>555</v>
      </c>
      <c r="CD3382">
        <v>85000</v>
      </c>
      <c r="CE3382" s="1">
        <v>42552</v>
      </c>
      <c r="CF3382" s="1">
        <v>42552</v>
      </c>
      <c r="CG3382" s="1">
        <v>42552</v>
      </c>
      <c r="CH3382" s="1">
        <v>49714</v>
      </c>
      <c r="CI3382" t="s">
        <v>51</v>
      </c>
      <c r="CK3382" t="s">
        <v>78</v>
      </c>
      <c r="CM3382" t="s">
        <v>54</v>
      </c>
      <c r="CN3382" t="s">
        <v>174</v>
      </c>
      <c r="CO3382" t="s">
        <v>86</v>
      </c>
      <c r="CR3382">
        <v>20</v>
      </c>
      <c r="CS3382">
        <v>0</v>
      </c>
      <c r="CT3382">
        <v>0</v>
      </c>
      <c r="CU3382">
        <v>0</v>
      </c>
    </row>
    <row r="3383" spans="1:99" x14ac:dyDescent="0.2">
      <c r="A3383" t="s">
        <v>367</v>
      </c>
      <c r="B3383" t="s">
        <v>368</v>
      </c>
      <c r="C3383" t="s">
        <v>369</v>
      </c>
      <c r="D3383" t="s">
        <v>1403</v>
      </c>
      <c r="F3383" t="str">
        <f>"26317"</f>
        <v>26317</v>
      </c>
      <c r="G3383" t="s">
        <v>49</v>
      </c>
      <c r="H3383" t="s">
        <v>1479</v>
      </c>
      <c r="K3383" t="s">
        <v>51</v>
      </c>
      <c r="L3383" t="s">
        <v>52</v>
      </c>
      <c r="M3383">
        <v>137841.93</v>
      </c>
      <c r="N3383">
        <v>467514.54</v>
      </c>
      <c r="O3383" t="s">
        <v>53</v>
      </c>
      <c r="P3383" t="s">
        <v>54</v>
      </c>
      <c r="Q3383" t="s">
        <v>55</v>
      </c>
      <c r="T3383" t="s">
        <v>1266</v>
      </c>
      <c r="U3383">
        <v>40</v>
      </c>
      <c r="V3383" s="1">
        <v>28490</v>
      </c>
      <c r="W3383" s="1">
        <v>28490</v>
      </c>
      <c r="X3383" s="1">
        <v>28490</v>
      </c>
      <c r="Y3383" s="1">
        <v>43100</v>
      </c>
      <c r="Z3383" t="s">
        <v>51</v>
      </c>
      <c r="AB3383" t="s">
        <v>54</v>
      </c>
      <c r="AC3383">
        <v>1</v>
      </c>
      <c r="AE3383" t="s">
        <v>844</v>
      </c>
      <c r="AF3383">
        <v>20</v>
      </c>
      <c r="AG3383" s="1">
        <v>31777</v>
      </c>
      <c r="AH3383" s="1">
        <v>31777</v>
      </c>
      <c r="AI3383" s="1">
        <v>31777</v>
      </c>
      <c r="AJ3383" s="1">
        <v>39082</v>
      </c>
      <c r="AK3383" t="s">
        <v>51</v>
      </c>
      <c r="AN3383">
        <v>0</v>
      </c>
      <c r="AO3383" t="s">
        <v>54</v>
      </c>
      <c r="AP3383" t="s">
        <v>53</v>
      </c>
      <c r="AQ3383">
        <v>0</v>
      </c>
      <c r="AR3383" t="s">
        <v>53</v>
      </c>
      <c r="AS3383">
        <v>0</v>
      </c>
      <c r="AT3383">
        <v>0</v>
      </c>
      <c r="CC3383" t="s">
        <v>555</v>
      </c>
      <c r="CD3383">
        <v>85000</v>
      </c>
      <c r="CE3383" s="1">
        <v>42552</v>
      </c>
      <c r="CF3383" s="1">
        <v>42552</v>
      </c>
      <c r="CG3383" s="1">
        <v>42552</v>
      </c>
      <c r="CH3383" s="1">
        <v>49714</v>
      </c>
      <c r="CI3383" t="s">
        <v>51</v>
      </c>
      <c r="CK3383" t="s">
        <v>78</v>
      </c>
      <c r="CM3383" t="s">
        <v>54</v>
      </c>
      <c r="CN3383" t="s">
        <v>174</v>
      </c>
      <c r="CO3383" t="s">
        <v>86</v>
      </c>
      <c r="CR3383">
        <v>20</v>
      </c>
      <c r="CS3383">
        <v>0</v>
      </c>
      <c r="CT3383">
        <v>0</v>
      </c>
      <c r="CU3383">
        <v>0</v>
      </c>
    </row>
    <row r="3384" spans="1:99" x14ac:dyDescent="0.2">
      <c r="A3384" t="s">
        <v>367</v>
      </c>
      <c r="B3384" t="s">
        <v>368</v>
      </c>
      <c r="C3384" t="s">
        <v>369</v>
      </c>
      <c r="D3384" t="s">
        <v>1403</v>
      </c>
      <c r="F3384" t="str">
        <f>"26318"</f>
        <v>26318</v>
      </c>
      <c r="G3384" t="s">
        <v>49</v>
      </c>
      <c r="H3384" t="s">
        <v>1480</v>
      </c>
      <c r="K3384" t="s">
        <v>51</v>
      </c>
      <c r="L3384" t="s">
        <v>52</v>
      </c>
      <c r="M3384">
        <v>137825.67000000001</v>
      </c>
      <c r="N3384">
        <v>467462.11</v>
      </c>
      <c r="O3384" t="s">
        <v>53</v>
      </c>
      <c r="P3384" t="s">
        <v>54</v>
      </c>
      <c r="Q3384" t="s">
        <v>55</v>
      </c>
      <c r="T3384" t="s">
        <v>1266</v>
      </c>
      <c r="U3384">
        <v>40</v>
      </c>
      <c r="V3384" s="1">
        <v>28490</v>
      </c>
      <c r="W3384" s="1">
        <v>28490</v>
      </c>
      <c r="X3384" s="1">
        <v>28490</v>
      </c>
      <c r="Y3384" s="1">
        <v>43100</v>
      </c>
      <c r="Z3384" t="s">
        <v>51</v>
      </c>
      <c r="AB3384" t="s">
        <v>54</v>
      </c>
      <c r="AC3384">
        <v>1</v>
      </c>
      <c r="AE3384" t="s">
        <v>844</v>
      </c>
      <c r="AF3384">
        <v>20</v>
      </c>
      <c r="AG3384" s="1">
        <v>31777</v>
      </c>
      <c r="AH3384" s="1">
        <v>31777</v>
      </c>
      <c r="AI3384" s="1">
        <v>31777</v>
      </c>
      <c r="AJ3384" s="1">
        <v>39082</v>
      </c>
      <c r="AK3384" t="s">
        <v>51</v>
      </c>
      <c r="AN3384">
        <v>0</v>
      </c>
      <c r="AO3384" t="s">
        <v>54</v>
      </c>
      <c r="AP3384" t="s">
        <v>53</v>
      </c>
      <c r="AQ3384">
        <v>0</v>
      </c>
      <c r="AR3384" t="s">
        <v>53</v>
      </c>
      <c r="AS3384">
        <v>0</v>
      </c>
      <c r="AT3384">
        <v>0</v>
      </c>
      <c r="CC3384" t="s">
        <v>555</v>
      </c>
      <c r="CD3384">
        <v>85000</v>
      </c>
      <c r="CE3384" s="1">
        <v>42552</v>
      </c>
      <c r="CF3384" s="1">
        <v>42552</v>
      </c>
      <c r="CG3384" s="1">
        <v>42552</v>
      </c>
      <c r="CH3384" s="1">
        <v>49714</v>
      </c>
      <c r="CI3384" t="s">
        <v>51</v>
      </c>
      <c r="CK3384" t="s">
        <v>78</v>
      </c>
      <c r="CM3384" t="s">
        <v>54</v>
      </c>
      <c r="CN3384" t="s">
        <v>174</v>
      </c>
      <c r="CO3384" t="s">
        <v>86</v>
      </c>
      <c r="CR3384">
        <v>20</v>
      </c>
      <c r="CS3384">
        <v>0</v>
      </c>
      <c r="CT3384">
        <v>0</v>
      </c>
      <c r="CU3384">
        <v>0</v>
      </c>
    </row>
    <row r="3385" spans="1:99" x14ac:dyDescent="0.2">
      <c r="A3385" t="s">
        <v>367</v>
      </c>
      <c r="B3385" t="s">
        <v>368</v>
      </c>
      <c r="C3385" t="s">
        <v>369</v>
      </c>
      <c r="D3385" t="s">
        <v>1403</v>
      </c>
      <c r="F3385" t="str">
        <f>"26320"</f>
        <v>26320</v>
      </c>
      <c r="G3385" t="s">
        <v>49</v>
      </c>
      <c r="H3385" t="s">
        <v>1480</v>
      </c>
      <c r="K3385" t="s">
        <v>51</v>
      </c>
      <c r="L3385" t="s">
        <v>52</v>
      </c>
      <c r="M3385">
        <v>137785.68</v>
      </c>
      <c r="N3385">
        <v>467426.75</v>
      </c>
      <c r="O3385" t="s">
        <v>53</v>
      </c>
      <c r="P3385" t="s">
        <v>54</v>
      </c>
      <c r="Q3385" t="s">
        <v>55</v>
      </c>
      <c r="T3385" t="s">
        <v>1266</v>
      </c>
      <c r="U3385">
        <v>40</v>
      </c>
      <c r="V3385" s="1">
        <v>38504</v>
      </c>
      <c r="W3385" s="1">
        <v>38504</v>
      </c>
      <c r="X3385" s="1">
        <v>38504</v>
      </c>
      <c r="Y3385" s="1">
        <v>53114</v>
      </c>
      <c r="Z3385" t="s">
        <v>51</v>
      </c>
      <c r="AB3385" t="s">
        <v>54</v>
      </c>
      <c r="AC3385">
        <v>1</v>
      </c>
      <c r="AE3385" t="s">
        <v>844</v>
      </c>
      <c r="AF3385">
        <v>20</v>
      </c>
      <c r="AG3385" s="1">
        <v>40219</v>
      </c>
      <c r="AH3385" s="1">
        <v>40219</v>
      </c>
      <c r="AI3385" s="1">
        <v>40219</v>
      </c>
      <c r="AJ3385" s="1">
        <v>47524</v>
      </c>
      <c r="AK3385" t="s">
        <v>51</v>
      </c>
      <c r="AN3385">
        <v>0</v>
      </c>
      <c r="AO3385" t="s">
        <v>54</v>
      </c>
      <c r="AP3385" t="s">
        <v>53</v>
      </c>
      <c r="AQ3385">
        <v>0</v>
      </c>
      <c r="AR3385" t="s">
        <v>53</v>
      </c>
      <c r="AS3385">
        <v>0</v>
      </c>
      <c r="AT3385">
        <v>0</v>
      </c>
      <c r="CC3385" t="s">
        <v>555</v>
      </c>
      <c r="CD3385">
        <v>85000</v>
      </c>
      <c r="CE3385" s="1">
        <v>42552</v>
      </c>
      <c r="CF3385" s="1">
        <v>42552</v>
      </c>
      <c r="CG3385" s="1">
        <v>42552</v>
      </c>
      <c r="CH3385" s="1">
        <v>49714</v>
      </c>
      <c r="CI3385" t="s">
        <v>51</v>
      </c>
      <c r="CK3385" t="s">
        <v>78</v>
      </c>
      <c r="CM3385" t="s">
        <v>54</v>
      </c>
      <c r="CN3385" t="s">
        <v>174</v>
      </c>
      <c r="CO3385" t="s">
        <v>86</v>
      </c>
      <c r="CR3385">
        <v>20</v>
      </c>
      <c r="CS3385">
        <v>0</v>
      </c>
      <c r="CT3385">
        <v>0</v>
      </c>
      <c r="CU3385">
        <v>0</v>
      </c>
    </row>
    <row r="3386" spans="1:99" x14ac:dyDescent="0.2">
      <c r="A3386" t="s">
        <v>367</v>
      </c>
      <c r="B3386" t="s">
        <v>368</v>
      </c>
      <c r="C3386" t="s">
        <v>369</v>
      </c>
      <c r="D3386" t="s">
        <v>1403</v>
      </c>
      <c r="F3386" t="str">
        <f>"26321"</f>
        <v>26321</v>
      </c>
      <c r="G3386" t="s">
        <v>49</v>
      </c>
      <c r="H3386" t="s">
        <v>1480</v>
      </c>
      <c r="K3386" t="s">
        <v>51</v>
      </c>
      <c r="L3386" t="s">
        <v>52</v>
      </c>
      <c r="M3386">
        <v>137761.42000000001</v>
      </c>
      <c r="N3386">
        <v>467438.27</v>
      </c>
      <c r="O3386" t="s">
        <v>53</v>
      </c>
      <c r="P3386" t="s">
        <v>54</v>
      </c>
      <c r="Q3386" t="s">
        <v>55</v>
      </c>
      <c r="T3386" t="s">
        <v>1266</v>
      </c>
      <c r="U3386">
        <v>40</v>
      </c>
      <c r="V3386" s="1">
        <v>28490</v>
      </c>
      <c r="W3386" s="1">
        <v>28490</v>
      </c>
      <c r="X3386" s="1">
        <v>28490</v>
      </c>
      <c r="Y3386" s="1">
        <v>43100</v>
      </c>
      <c r="Z3386" t="s">
        <v>51</v>
      </c>
      <c r="AB3386" t="s">
        <v>54</v>
      </c>
      <c r="AC3386">
        <v>1</v>
      </c>
      <c r="AE3386" t="s">
        <v>844</v>
      </c>
      <c r="AF3386">
        <v>20</v>
      </c>
      <c r="AG3386" s="1">
        <v>31777</v>
      </c>
      <c r="AH3386" s="1">
        <v>31777</v>
      </c>
      <c r="AI3386" s="1">
        <v>31777</v>
      </c>
      <c r="AJ3386" s="1">
        <v>39082</v>
      </c>
      <c r="AK3386" t="s">
        <v>51</v>
      </c>
      <c r="AN3386">
        <v>0</v>
      </c>
      <c r="AO3386" t="s">
        <v>54</v>
      </c>
      <c r="AP3386" t="s">
        <v>53</v>
      </c>
      <c r="AQ3386">
        <v>0</v>
      </c>
      <c r="AR3386" t="s">
        <v>53</v>
      </c>
      <c r="AS3386">
        <v>0</v>
      </c>
      <c r="AT3386">
        <v>0</v>
      </c>
      <c r="CC3386" t="s">
        <v>555</v>
      </c>
      <c r="CD3386">
        <v>85000</v>
      </c>
      <c r="CE3386" s="1">
        <v>42552</v>
      </c>
      <c r="CF3386" s="1">
        <v>42552</v>
      </c>
      <c r="CG3386" s="1">
        <v>42552</v>
      </c>
      <c r="CH3386" s="1">
        <v>49714</v>
      </c>
      <c r="CI3386" t="s">
        <v>51</v>
      </c>
      <c r="CK3386" t="s">
        <v>78</v>
      </c>
      <c r="CM3386" t="s">
        <v>54</v>
      </c>
      <c r="CN3386" t="s">
        <v>174</v>
      </c>
      <c r="CO3386" t="s">
        <v>86</v>
      </c>
      <c r="CR3386">
        <v>20</v>
      </c>
      <c r="CS3386">
        <v>0</v>
      </c>
      <c r="CT3386">
        <v>0</v>
      </c>
      <c r="CU3386">
        <v>0</v>
      </c>
    </row>
    <row r="3387" spans="1:99" x14ac:dyDescent="0.2">
      <c r="A3387" t="s">
        <v>367</v>
      </c>
      <c r="B3387" t="s">
        <v>368</v>
      </c>
      <c r="C3387" t="s">
        <v>369</v>
      </c>
      <c r="D3387" t="s">
        <v>1403</v>
      </c>
      <c r="F3387" t="str">
        <f>"26323"</f>
        <v>26323</v>
      </c>
      <c r="G3387" t="s">
        <v>49</v>
      </c>
      <c r="H3387" t="s">
        <v>1480</v>
      </c>
      <c r="K3387" t="s">
        <v>51</v>
      </c>
      <c r="L3387" t="s">
        <v>52</v>
      </c>
      <c r="M3387">
        <v>137712.35</v>
      </c>
      <c r="N3387">
        <v>467462.43</v>
      </c>
      <c r="O3387" t="s">
        <v>53</v>
      </c>
      <c r="P3387" t="s">
        <v>54</v>
      </c>
      <c r="Q3387" t="s">
        <v>55</v>
      </c>
      <c r="T3387" t="s">
        <v>1266</v>
      </c>
      <c r="U3387">
        <v>40</v>
      </c>
      <c r="V3387" s="1">
        <v>28490</v>
      </c>
      <c r="W3387" s="1">
        <v>28490</v>
      </c>
      <c r="X3387" s="1">
        <v>28490</v>
      </c>
      <c r="Y3387" s="1">
        <v>43100</v>
      </c>
      <c r="Z3387" t="s">
        <v>51</v>
      </c>
      <c r="AB3387" t="s">
        <v>54</v>
      </c>
      <c r="AC3387">
        <v>1</v>
      </c>
      <c r="AE3387" t="s">
        <v>844</v>
      </c>
      <c r="AF3387">
        <v>20</v>
      </c>
      <c r="AG3387" s="1">
        <v>31777</v>
      </c>
      <c r="AH3387" s="1">
        <v>31777</v>
      </c>
      <c r="AI3387" s="1">
        <v>31777</v>
      </c>
      <c r="AJ3387" s="1">
        <v>39082</v>
      </c>
      <c r="AK3387" t="s">
        <v>51</v>
      </c>
      <c r="AN3387">
        <v>0</v>
      </c>
      <c r="AO3387" t="s">
        <v>54</v>
      </c>
      <c r="AP3387" t="s">
        <v>53</v>
      </c>
      <c r="AQ3387">
        <v>0</v>
      </c>
      <c r="AR3387" t="s">
        <v>53</v>
      </c>
      <c r="AS3387">
        <v>0</v>
      </c>
      <c r="AT3387">
        <v>0</v>
      </c>
      <c r="CC3387" t="s">
        <v>555</v>
      </c>
      <c r="CD3387">
        <v>85000</v>
      </c>
      <c r="CE3387" s="1">
        <v>42552</v>
      </c>
      <c r="CF3387" s="1">
        <v>42552</v>
      </c>
      <c r="CG3387" s="1">
        <v>42552</v>
      </c>
      <c r="CH3387" s="1">
        <v>49714</v>
      </c>
      <c r="CI3387" t="s">
        <v>51</v>
      </c>
      <c r="CK3387" t="s">
        <v>78</v>
      </c>
      <c r="CM3387" t="s">
        <v>54</v>
      </c>
      <c r="CN3387" t="s">
        <v>174</v>
      </c>
      <c r="CO3387" t="s">
        <v>86</v>
      </c>
      <c r="CR3387">
        <v>20</v>
      </c>
      <c r="CS3387">
        <v>0</v>
      </c>
      <c r="CT3387">
        <v>0</v>
      </c>
      <c r="CU3387">
        <v>0</v>
      </c>
    </row>
    <row r="3388" spans="1:99" x14ac:dyDescent="0.2">
      <c r="A3388" t="s">
        <v>367</v>
      </c>
      <c r="B3388" t="s">
        <v>368</v>
      </c>
      <c r="C3388" t="s">
        <v>369</v>
      </c>
      <c r="D3388" t="s">
        <v>1403</v>
      </c>
      <c r="F3388" t="str">
        <f>"26324"</f>
        <v>26324</v>
      </c>
      <c r="G3388" t="s">
        <v>49</v>
      </c>
      <c r="H3388" t="s">
        <v>1480</v>
      </c>
      <c r="K3388" t="s">
        <v>51</v>
      </c>
      <c r="L3388" t="s">
        <v>52</v>
      </c>
      <c r="M3388">
        <v>137689.16</v>
      </c>
      <c r="N3388">
        <v>467482.91</v>
      </c>
      <c r="O3388" t="s">
        <v>53</v>
      </c>
      <c r="P3388" t="s">
        <v>54</v>
      </c>
      <c r="Q3388" t="s">
        <v>55</v>
      </c>
      <c r="T3388" t="s">
        <v>1266</v>
      </c>
      <c r="U3388">
        <v>40</v>
      </c>
      <c r="V3388" s="1">
        <v>28490</v>
      </c>
      <c r="W3388" s="1">
        <v>28490</v>
      </c>
      <c r="X3388" s="1">
        <v>28490</v>
      </c>
      <c r="Y3388" s="1">
        <v>43100</v>
      </c>
      <c r="Z3388" t="s">
        <v>51</v>
      </c>
      <c r="AB3388" t="s">
        <v>54</v>
      </c>
      <c r="AC3388">
        <v>1</v>
      </c>
      <c r="AE3388" t="s">
        <v>844</v>
      </c>
      <c r="AF3388">
        <v>20</v>
      </c>
      <c r="AG3388" s="1">
        <v>31777</v>
      </c>
      <c r="AH3388" s="1">
        <v>31777</v>
      </c>
      <c r="AI3388" s="1">
        <v>31777</v>
      </c>
      <c r="AJ3388" s="1">
        <v>39082</v>
      </c>
      <c r="AK3388" t="s">
        <v>51</v>
      </c>
      <c r="AN3388">
        <v>0</v>
      </c>
      <c r="AO3388" t="s">
        <v>54</v>
      </c>
      <c r="AP3388" t="s">
        <v>53</v>
      </c>
      <c r="AQ3388">
        <v>0</v>
      </c>
      <c r="AR3388" t="s">
        <v>53</v>
      </c>
      <c r="AS3388">
        <v>0</v>
      </c>
      <c r="AT3388">
        <v>0</v>
      </c>
      <c r="CC3388" t="s">
        <v>555</v>
      </c>
      <c r="CD3388">
        <v>85000</v>
      </c>
      <c r="CE3388" s="1">
        <v>42552</v>
      </c>
      <c r="CF3388" s="1">
        <v>42552</v>
      </c>
      <c r="CG3388" s="1">
        <v>42552</v>
      </c>
      <c r="CH3388" s="1">
        <v>50139</v>
      </c>
      <c r="CI3388" t="s">
        <v>51</v>
      </c>
      <c r="CK3388" t="s">
        <v>78</v>
      </c>
      <c r="CM3388" t="s">
        <v>54</v>
      </c>
      <c r="CN3388" t="s">
        <v>174</v>
      </c>
      <c r="CO3388" t="s">
        <v>86</v>
      </c>
      <c r="CR3388">
        <v>20</v>
      </c>
      <c r="CS3388">
        <v>0</v>
      </c>
      <c r="CT3388">
        <v>0</v>
      </c>
      <c r="CU3388">
        <v>0</v>
      </c>
    </row>
    <row r="3389" spans="1:99" x14ac:dyDescent="0.2">
      <c r="A3389" t="s">
        <v>367</v>
      </c>
      <c r="B3389" t="s">
        <v>368</v>
      </c>
      <c r="C3389" t="s">
        <v>369</v>
      </c>
      <c r="D3389" t="s">
        <v>1403</v>
      </c>
      <c r="F3389" t="str">
        <f>"26325"</f>
        <v>26325</v>
      </c>
      <c r="G3389" t="s">
        <v>49</v>
      </c>
      <c r="H3389" t="s">
        <v>1480</v>
      </c>
      <c r="K3389" t="s">
        <v>51</v>
      </c>
      <c r="L3389" t="s">
        <v>52</v>
      </c>
      <c r="M3389">
        <v>137658.31</v>
      </c>
      <c r="N3389">
        <v>467488.35</v>
      </c>
      <c r="O3389" t="s">
        <v>53</v>
      </c>
      <c r="P3389" t="s">
        <v>54</v>
      </c>
      <c r="Q3389" t="s">
        <v>55</v>
      </c>
      <c r="T3389" t="s">
        <v>1266</v>
      </c>
      <c r="U3389">
        <v>40</v>
      </c>
      <c r="V3389" s="1">
        <v>28490</v>
      </c>
      <c r="W3389" s="1">
        <v>28490</v>
      </c>
      <c r="X3389" s="1">
        <v>28490</v>
      </c>
      <c r="Y3389" s="1">
        <v>43100</v>
      </c>
      <c r="Z3389" t="s">
        <v>51</v>
      </c>
      <c r="AB3389" t="s">
        <v>54</v>
      </c>
      <c r="AC3389">
        <v>1</v>
      </c>
      <c r="AE3389" t="s">
        <v>356</v>
      </c>
      <c r="AF3389">
        <v>20</v>
      </c>
      <c r="AG3389" s="1">
        <v>44908</v>
      </c>
      <c r="AH3389" s="1">
        <v>44908</v>
      </c>
      <c r="AI3389" s="1">
        <v>44908</v>
      </c>
      <c r="AJ3389" s="1">
        <v>52213</v>
      </c>
      <c r="AK3389" t="s">
        <v>51</v>
      </c>
      <c r="AN3389">
        <v>0</v>
      </c>
      <c r="AO3389" t="s">
        <v>54</v>
      </c>
      <c r="AP3389" t="s">
        <v>53</v>
      </c>
      <c r="AQ3389">
        <v>0</v>
      </c>
      <c r="AR3389" t="s">
        <v>145</v>
      </c>
      <c r="AS3389">
        <v>0</v>
      </c>
      <c r="AT3389">
        <v>0</v>
      </c>
      <c r="CC3389" t="s">
        <v>555</v>
      </c>
      <c r="CD3389">
        <v>85000</v>
      </c>
      <c r="CE3389" s="1">
        <v>44908</v>
      </c>
      <c r="CF3389" s="1">
        <v>44908</v>
      </c>
      <c r="CG3389" s="1">
        <v>44908</v>
      </c>
      <c r="CH3389" s="1">
        <v>52536</v>
      </c>
      <c r="CI3389" t="s">
        <v>51</v>
      </c>
      <c r="CK3389" t="s">
        <v>78</v>
      </c>
      <c r="CM3389" t="s">
        <v>54</v>
      </c>
      <c r="CN3389" t="s">
        <v>174</v>
      </c>
      <c r="CO3389" t="s">
        <v>86</v>
      </c>
      <c r="CR3389">
        <v>20</v>
      </c>
      <c r="CS3389">
        <v>0</v>
      </c>
      <c r="CT3389">
        <v>0</v>
      </c>
      <c r="CU3389">
        <v>0</v>
      </c>
    </row>
    <row r="3390" spans="1:99" x14ac:dyDescent="0.2">
      <c r="A3390" t="s">
        <v>367</v>
      </c>
      <c r="B3390" t="s">
        <v>368</v>
      </c>
      <c r="C3390" t="s">
        <v>369</v>
      </c>
      <c r="D3390" t="s">
        <v>1403</v>
      </c>
      <c r="F3390" t="str">
        <f>"26326"</f>
        <v>26326</v>
      </c>
      <c r="G3390" t="s">
        <v>49</v>
      </c>
      <c r="H3390" t="s">
        <v>1480</v>
      </c>
      <c r="K3390" t="s">
        <v>51</v>
      </c>
      <c r="L3390" t="s">
        <v>52</v>
      </c>
      <c r="M3390">
        <v>137634.35999999999</v>
      </c>
      <c r="N3390">
        <v>467508.51</v>
      </c>
      <c r="O3390" t="s">
        <v>53</v>
      </c>
      <c r="P3390" t="s">
        <v>54</v>
      </c>
      <c r="Q3390" t="s">
        <v>55</v>
      </c>
      <c r="T3390" t="s">
        <v>1266</v>
      </c>
      <c r="U3390">
        <v>40</v>
      </c>
      <c r="V3390" s="1">
        <v>28490</v>
      </c>
      <c r="W3390" s="1">
        <v>28490</v>
      </c>
      <c r="X3390" s="1">
        <v>28490</v>
      </c>
      <c r="Y3390" s="1">
        <v>43100</v>
      </c>
      <c r="Z3390" t="s">
        <v>51</v>
      </c>
      <c r="AB3390" t="s">
        <v>54</v>
      </c>
      <c r="AC3390">
        <v>1</v>
      </c>
      <c r="AE3390" t="s">
        <v>844</v>
      </c>
      <c r="AF3390">
        <v>20</v>
      </c>
      <c r="AG3390" s="1">
        <v>31777</v>
      </c>
      <c r="AH3390" s="1">
        <v>31777</v>
      </c>
      <c r="AI3390" s="1">
        <v>31777</v>
      </c>
      <c r="AJ3390" s="1">
        <v>39082</v>
      </c>
      <c r="AK3390" t="s">
        <v>51</v>
      </c>
      <c r="AN3390">
        <v>0</v>
      </c>
      <c r="AO3390" t="s">
        <v>54</v>
      </c>
      <c r="AP3390" t="s">
        <v>53</v>
      </c>
      <c r="AQ3390">
        <v>0</v>
      </c>
      <c r="AR3390" t="s">
        <v>53</v>
      </c>
      <c r="AS3390">
        <v>0</v>
      </c>
      <c r="AT3390">
        <v>0</v>
      </c>
      <c r="CC3390" t="s">
        <v>555</v>
      </c>
      <c r="CD3390">
        <v>85000</v>
      </c>
      <c r="CE3390" s="1">
        <v>42552</v>
      </c>
      <c r="CF3390" s="1">
        <v>42552</v>
      </c>
      <c r="CG3390" s="1">
        <v>42552</v>
      </c>
      <c r="CH3390" s="1">
        <v>49714</v>
      </c>
      <c r="CI3390" t="s">
        <v>51</v>
      </c>
      <c r="CK3390" t="s">
        <v>78</v>
      </c>
      <c r="CM3390" t="s">
        <v>54</v>
      </c>
      <c r="CN3390" t="s">
        <v>174</v>
      </c>
      <c r="CO3390" t="s">
        <v>86</v>
      </c>
      <c r="CR3390">
        <v>20</v>
      </c>
      <c r="CS3390">
        <v>0</v>
      </c>
      <c r="CT3390">
        <v>0</v>
      </c>
      <c r="CU3390">
        <v>0</v>
      </c>
    </row>
    <row r="3391" spans="1:99" x14ac:dyDescent="0.2">
      <c r="A3391" t="s">
        <v>367</v>
      </c>
      <c r="B3391" t="s">
        <v>368</v>
      </c>
      <c r="C3391" t="s">
        <v>369</v>
      </c>
      <c r="D3391" t="s">
        <v>1403</v>
      </c>
      <c r="F3391" t="str">
        <f>"26327"</f>
        <v>26327</v>
      </c>
      <c r="G3391" t="s">
        <v>49</v>
      </c>
      <c r="H3391" t="s">
        <v>1480</v>
      </c>
      <c r="K3391" t="s">
        <v>51</v>
      </c>
      <c r="L3391" t="s">
        <v>52</v>
      </c>
      <c r="M3391">
        <v>137603.73000000001</v>
      </c>
      <c r="N3391">
        <v>467514.09</v>
      </c>
      <c r="O3391" t="s">
        <v>53</v>
      </c>
      <c r="P3391" t="s">
        <v>54</v>
      </c>
      <c r="Q3391" t="s">
        <v>55</v>
      </c>
      <c r="T3391" t="s">
        <v>372</v>
      </c>
      <c r="U3391">
        <v>40</v>
      </c>
      <c r="V3391" s="1">
        <v>39455</v>
      </c>
      <c r="W3391" s="1">
        <v>39455</v>
      </c>
      <c r="X3391" s="1">
        <v>39455</v>
      </c>
      <c r="Y3391" s="1">
        <v>54065</v>
      </c>
      <c r="Z3391" t="s">
        <v>51</v>
      </c>
      <c r="AB3391" t="s">
        <v>54</v>
      </c>
      <c r="AC3391">
        <v>1</v>
      </c>
      <c r="AE3391" t="s">
        <v>844</v>
      </c>
      <c r="AF3391">
        <v>20</v>
      </c>
      <c r="AG3391" s="1">
        <v>39455</v>
      </c>
      <c r="AH3391" s="1">
        <v>39455</v>
      </c>
      <c r="AI3391" s="1">
        <v>39455</v>
      </c>
      <c r="AJ3391" s="1">
        <v>46760</v>
      </c>
      <c r="AK3391" t="s">
        <v>51</v>
      </c>
      <c r="AN3391">
        <v>0</v>
      </c>
      <c r="AO3391" t="s">
        <v>54</v>
      </c>
      <c r="AP3391" t="s">
        <v>53</v>
      </c>
      <c r="AQ3391">
        <v>0</v>
      </c>
      <c r="AR3391" t="s">
        <v>53</v>
      </c>
      <c r="AS3391">
        <v>0</v>
      </c>
      <c r="AT3391">
        <v>0</v>
      </c>
      <c r="CC3391" t="s">
        <v>555</v>
      </c>
      <c r="CD3391">
        <v>85000</v>
      </c>
      <c r="CE3391" s="1">
        <v>42552</v>
      </c>
      <c r="CF3391" s="1">
        <v>42552</v>
      </c>
      <c r="CG3391" s="1">
        <v>42552</v>
      </c>
      <c r="CH3391" s="1">
        <v>49714</v>
      </c>
      <c r="CI3391" t="s">
        <v>51</v>
      </c>
      <c r="CK3391" t="s">
        <v>78</v>
      </c>
      <c r="CM3391" t="s">
        <v>54</v>
      </c>
      <c r="CN3391" t="s">
        <v>174</v>
      </c>
      <c r="CO3391" t="s">
        <v>86</v>
      </c>
      <c r="CR3391">
        <v>20</v>
      </c>
      <c r="CS3391">
        <v>0</v>
      </c>
      <c r="CT3391">
        <v>0</v>
      </c>
      <c r="CU3391">
        <v>0</v>
      </c>
    </row>
    <row r="3392" spans="1:99" x14ac:dyDescent="0.2">
      <c r="A3392" t="s">
        <v>367</v>
      </c>
      <c r="B3392" t="s">
        <v>368</v>
      </c>
      <c r="C3392" t="s">
        <v>369</v>
      </c>
      <c r="D3392" t="s">
        <v>1403</v>
      </c>
      <c r="F3392" t="str">
        <f>"26330"</f>
        <v>26330</v>
      </c>
      <c r="G3392" t="s">
        <v>49</v>
      </c>
      <c r="H3392" t="s">
        <v>1481</v>
      </c>
      <c r="K3392" t="s">
        <v>51</v>
      </c>
      <c r="L3392" t="s">
        <v>52</v>
      </c>
      <c r="M3392">
        <v>137527.16</v>
      </c>
      <c r="N3392">
        <v>467532.11</v>
      </c>
      <c r="O3392" t="s">
        <v>53</v>
      </c>
      <c r="P3392" t="s">
        <v>54</v>
      </c>
      <c r="Q3392" t="s">
        <v>55</v>
      </c>
      <c r="T3392" t="s">
        <v>372</v>
      </c>
      <c r="U3392">
        <v>40</v>
      </c>
      <c r="V3392" s="1">
        <v>40238</v>
      </c>
      <c r="W3392" s="1">
        <v>40238</v>
      </c>
      <c r="X3392" s="1">
        <v>40238</v>
      </c>
      <c r="Y3392" s="1">
        <v>54848</v>
      </c>
      <c r="Z3392" t="s">
        <v>51</v>
      </c>
      <c r="AB3392" t="s">
        <v>54</v>
      </c>
      <c r="AC3392">
        <v>1</v>
      </c>
      <c r="AE3392" t="s">
        <v>844</v>
      </c>
      <c r="AF3392">
        <v>20</v>
      </c>
      <c r="AG3392" s="1">
        <v>40238</v>
      </c>
      <c r="AH3392" s="1">
        <v>40238</v>
      </c>
      <c r="AI3392" s="1">
        <v>40238</v>
      </c>
      <c r="AJ3392" s="1">
        <v>47543</v>
      </c>
      <c r="AK3392" t="s">
        <v>51</v>
      </c>
      <c r="AN3392">
        <v>0</v>
      </c>
      <c r="AO3392" t="s">
        <v>54</v>
      </c>
      <c r="AP3392" t="s">
        <v>53</v>
      </c>
      <c r="AQ3392">
        <v>0</v>
      </c>
      <c r="AR3392" t="s">
        <v>53</v>
      </c>
      <c r="AS3392">
        <v>0</v>
      </c>
      <c r="AT3392">
        <v>0</v>
      </c>
      <c r="CC3392" t="s">
        <v>555</v>
      </c>
      <c r="CD3392">
        <v>85000</v>
      </c>
      <c r="CE3392" s="1">
        <v>42552</v>
      </c>
      <c r="CF3392" s="1">
        <v>42552</v>
      </c>
      <c r="CG3392" s="1">
        <v>42552</v>
      </c>
      <c r="CH3392" s="1">
        <v>49714</v>
      </c>
      <c r="CI3392" t="s">
        <v>51</v>
      </c>
      <c r="CK3392" t="s">
        <v>78</v>
      </c>
      <c r="CM3392" t="s">
        <v>54</v>
      </c>
      <c r="CN3392" t="s">
        <v>174</v>
      </c>
      <c r="CO3392" t="s">
        <v>86</v>
      </c>
      <c r="CR3392">
        <v>20</v>
      </c>
      <c r="CS3392">
        <v>0</v>
      </c>
      <c r="CT3392">
        <v>0</v>
      </c>
      <c r="CU3392">
        <v>0</v>
      </c>
    </row>
    <row r="3393" spans="1:99" x14ac:dyDescent="0.2">
      <c r="A3393" t="s">
        <v>367</v>
      </c>
      <c r="B3393" t="s">
        <v>368</v>
      </c>
      <c r="C3393" t="s">
        <v>369</v>
      </c>
      <c r="D3393" t="s">
        <v>1403</v>
      </c>
      <c r="F3393" t="str">
        <f>"26331"</f>
        <v>26331</v>
      </c>
      <c r="G3393" t="s">
        <v>49</v>
      </c>
      <c r="H3393" t="s">
        <v>1481</v>
      </c>
      <c r="K3393" t="s">
        <v>51</v>
      </c>
      <c r="L3393" t="s">
        <v>52</v>
      </c>
      <c r="M3393">
        <v>137500.35999999999</v>
      </c>
      <c r="N3393">
        <v>467512.91</v>
      </c>
      <c r="O3393" t="s">
        <v>53</v>
      </c>
      <c r="P3393" t="s">
        <v>54</v>
      </c>
      <c r="Q3393" t="s">
        <v>55</v>
      </c>
      <c r="T3393" t="s">
        <v>372</v>
      </c>
      <c r="U3393">
        <v>40</v>
      </c>
      <c r="V3393" s="1">
        <v>38980</v>
      </c>
      <c r="W3393" s="1">
        <v>38980</v>
      </c>
      <c r="X3393" s="1">
        <v>38980</v>
      </c>
      <c r="Y3393" s="1">
        <v>53590</v>
      </c>
      <c r="Z3393" t="s">
        <v>51</v>
      </c>
      <c r="AB3393" t="s">
        <v>54</v>
      </c>
      <c r="AC3393">
        <v>1</v>
      </c>
      <c r="AE3393" t="s">
        <v>844</v>
      </c>
      <c r="AF3393">
        <v>20</v>
      </c>
      <c r="AG3393" s="1">
        <v>38980</v>
      </c>
      <c r="AH3393" s="1">
        <v>38980</v>
      </c>
      <c r="AI3393" s="1">
        <v>38980</v>
      </c>
      <c r="AJ3393" s="1">
        <v>46285</v>
      </c>
      <c r="AK3393" t="s">
        <v>51</v>
      </c>
      <c r="AN3393">
        <v>0</v>
      </c>
      <c r="AO3393" t="s">
        <v>54</v>
      </c>
      <c r="AP3393" t="s">
        <v>53</v>
      </c>
      <c r="AQ3393">
        <v>0</v>
      </c>
      <c r="AR3393" t="s">
        <v>53</v>
      </c>
      <c r="AS3393">
        <v>0</v>
      </c>
      <c r="AT3393">
        <v>0</v>
      </c>
      <c r="CC3393" t="s">
        <v>555</v>
      </c>
      <c r="CD3393">
        <v>85000</v>
      </c>
      <c r="CE3393" s="1">
        <v>42552</v>
      </c>
      <c r="CF3393" s="1">
        <v>42552</v>
      </c>
      <c r="CG3393" s="1">
        <v>42552</v>
      </c>
      <c r="CH3393" s="1">
        <v>49714</v>
      </c>
      <c r="CI3393" t="s">
        <v>51</v>
      </c>
      <c r="CK3393" t="s">
        <v>78</v>
      </c>
      <c r="CM3393" t="s">
        <v>54</v>
      </c>
      <c r="CN3393" t="s">
        <v>174</v>
      </c>
      <c r="CO3393" t="s">
        <v>86</v>
      </c>
      <c r="CR3393">
        <v>20</v>
      </c>
      <c r="CS3393">
        <v>0</v>
      </c>
      <c r="CT3393">
        <v>0</v>
      </c>
      <c r="CU3393">
        <v>0</v>
      </c>
    </row>
    <row r="3394" spans="1:99" x14ac:dyDescent="0.2">
      <c r="A3394" t="s">
        <v>367</v>
      </c>
      <c r="B3394" t="s">
        <v>368</v>
      </c>
      <c r="C3394" t="s">
        <v>369</v>
      </c>
      <c r="D3394" t="s">
        <v>1403</v>
      </c>
      <c r="F3394" t="str">
        <f>"26332"</f>
        <v>26332</v>
      </c>
      <c r="G3394" t="s">
        <v>49</v>
      </c>
      <c r="H3394" t="s">
        <v>1481</v>
      </c>
      <c r="K3394" t="s">
        <v>51</v>
      </c>
      <c r="L3394" t="s">
        <v>52</v>
      </c>
      <c r="M3394">
        <v>137470.63</v>
      </c>
      <c r="N3394">
        <v>467505.22</v>
      </c>
      <c r="O3394" t="s">
        <v>53</v>
      </c>
      <c r="P3394" t="s">
        <v>54</v>
      </c>
      <c r="Q3394" t="s">
        <v>55</v>
      </c>
      <c r="T3394" t="s">
        <v>1266</v>
      </c>
      <c r="U3394">
        <v>40</v>
      </c>
      <c r="V3394" s="1">
        <v>28490</v>
      </c>
      <c r="W3394" s="1">
        <v>28490</v>
      </c>
      <c r="X3394" s="1">
        <v>28490</v>
      </c>
      <c r="Y3394" s="1">
        <v>43100</v>
      </c>
      <c r="Z3394" t="s">
        <v>51</v>
      </c>
      <c r="AB3394" t="s">
        <v>54</v>
      </c>
      <c r="AC3394">
        <v>1</v>
      </c>
      <c r="AE3394" t="s">
        <v>844</v>
      </c>
      <c r="AF3394">
        <v>20</v>
      </c>
      <c r="AG3394" s="1">
        <v>31777</v>
      </c>
      <c r="AH3394" s="1">
        <v>31777</v>
      </c>
      <c r="AI3394" s="1">
        <v>31777</v>
      </c>
      <c r="AJ3394" s="1">
        <v>39082</v>
      </c>
      <c r="AK3394" t="s">
        <v>51</v>
      </c>
      <c r="AN3394">
        <v>0</v>
      </c>
      <c r="AO3394" t="s">
        <v>54</v>
      </c>
      <c r="AP3394" t="s">
        <v>53</v>
      </c>
      <c r="AQ3394">
        <v>0</v>
      </c>
      <c r="AR3394" t="s">
        <v>53</v>
      </c>
      <c r="AS3394">
        <v>0</v>
      </c>
      <c r="AT3394">
        <v>0</v>
      </c>
      <c r="CC3394" t="s">
        <v>555</v>
      </c>
      <c r="CD3394">
        <v>85000</v>
      </c>
      <c r="CE3394" s="1">
        <v>42552</v>
      </c>
      <c r="CF3394" s="1">
        <v>42552</v>
      </c>
      <c r="CG3394" s="1">
        <v>42552</v>
      </c>
      <c r="CH3394" s="1">
        <v>49714</v>
      </c>
      <c r="CI3394" t="s">
        <v>51</v>
      </c>
      <c r="CK3394" t="s">
        <v>78</v>
      </c>
      <c r="CM3394" t="s">
        <v>54</v>
      </c>
      <c r="CN3394" t="s">
        <v>174</v>
      </c>
      <c r="CO3394" t="s">
        <v>86</v>
      </c>
      <c r="CR3394">
        <v>20</v>
      </c>
      <c r="CS3394">
        <v>0</v>
      </c>
      <c r="CT3394">
        <v>0</v>
      </c>
      <c r="CU3394">
        <v>0</v>
      </c>
    </row>
    <row r="3395" spans="1:99" x14ac:dyDescent="0.2">
      <c r="A3395" t="s">
        <v>367</v>
      </c>
      <c r="B3395" t="s">
        <v>368</v>
      </c>
      <c r="C3395" t="s">
        <v>369</v>
      </c>
      <c r="D3395" t="s">
        <v>1403</v>
      </c>
      <c r="F3395" t="str">
        <f>"26333"</f>
        <v>26333</v>
      </c>
      <c r="G3395" t="s">
        <v>49</v>
      </c>
      <c r="H3395" t="s">
        <v>1481</v>
      </c>
      <c r="K3395" t="s">
        <v>51</v>
      </c>
      <c r="L3395" t="s">
        <v>52</v>
      </c>
      <c r="M3395">
        <v>137423.91</v>
      </c>
      <c r="N3395">
        <v>467510.65</v>
      </c>
      <c r="O3395" t="s">
        <v>53</v>
      </c>
      <c r="P3395" t="s">
        <v>54</v>
      </c>
      <c r="Q3395" t="s">
        <v>55</v>
      </c>
      <c r="T3395" t="s">
        <v>1266</v>
      </c>
      <c r="U3395">
        <v>40</v>
      </c>
      <c r="V3395" s="1">
        <v>28490</v>
      </c>
      <c r="W3395" s="1">
        <v>28490</v>
      </c>
      <c r="X3395" s="1">
        <v>28490</v>
      </c>
      <c r="Y3395" s="1">
        <v>43100</v>
      </c>
      <c r="Z3395" t="s">
        <v>51</v>
      </c>
      <c r="AB3395" t="s">
        <v>54</v>
      </c>
      <c r="AC3395">
        <v>1</v>
      </c>
      <c r="AE3395" t="s">
        <v>844</v>
      </c>
      <c r="AF3395">
        <v>20</v>
      </c>
      <c r="AG3395" s="1">
        <v>31777</v>
      </c>
      <c r="AH3395" s="1">
        <v>31777</v>
      </c>
      <c r="AI3395" s="1">
        <v>31777</v>
      </c>
      <c r="AJ3395" s="1">
        <v>39082</v>
      </c>
      <c r="AK3395" t="s">
        <v>51</v>
      </c>
      <c r="AN3395">
        <v>0</v>
      </c>
      <c r="AO3395" t="s">
        <v>54</v>
      </c>
      <c r="AP3395" t="s">
        <v>53</v>
      </c>
      <c r="AQ3395">
        <v>0</v>
      </c>
      <c r="AR3395" t="s">
        <v>53</v>
      </c>
      <c r="AS3395">
        <v>0</v>
      </c>
      <c r="AT3395">
        <v>0</v>
      </c>
      <c r="CC3395" t="s">
        <v>555</v>
      </c>
      <c r="CD3395">
        <v>85000</v>
      </c>
      <c r="CE3395" s="1">
        <v>42552</v>
      </c>
      <c r="CF3395" s="1">
        <v>42552</v>
      </c>
      <c r="CG3395" s="1">
        <v>42552</v>
      </c>
      <c r="CH3395" s="1">
        <v>49714</v>
      </c>
      <c r="CI3395" t="s">
        <v>51</v>
      </c>
      <c r="CK3395" t="s">
        <v>78</v>
      </c>
      <c r="CM3395" t="s">
        <v>54</v>
      </c>
      <c r="CN3395" t="s">
        <v>174</v>
      </c>
      <c r="CO3395" t="s">
        <v>86</v>
      </c>
      <c r="CR3395">
        <v>20</v>
      </c>
      <c r="CS3395">
        <v>0</v>
      </c>
      <c r="CT3395">
        <v>0</v>
      </c>
      <c r="CU3395">
        <v>0</v>
      </c>
    </row>
    <row r="3396" spans="1:99" x14ac:dyDescent="0.2">
      <c r="A3396" t="s">
        <v>367</v>
      </c>
      <c r="B3396" t="s">
        <v>368</v>
      </c>
      <c r="C3396" t="s">
        <v>369</v>
      </c>
      <c r="D3396" t="s">
        <v>1403</v>
      </c>
      <c r="F3396" t="str">
        <f>"26334"</f>
        <v>26334</v>
      </c>
      <c r="G3396" t="s">
        <v>49</v>
      </c>
      <c r="H3396" t="s">
        <v>988</v>
      </c>
      <c r="K3396" t="s">
        <v>51</v>
      </c>
      <c r="L3396" t="s">
        <v>52</v>
      </c>
      <c r="M3396">
        <v>137411.76</v>
      </c>
      <c r="N3396">
        <v>467531.26</v>
      </c>
      <c r="O3396" t="s">
        <v>53</v>
      </c>
      <c r="P3396" t="s">
        <v>54</v>
      </c>
      <c r="Q3396" t="s">
        <v>55</v>
      </c>
      <c r="T3396" t="s">
        <v>1266</v>
      </c>
      <c r="U3396">
        <v>40</v>
      </c>
      <c r="V3396" s="1">
        <v>28490</v>
      </c>
      <c r="W3396" s="1">
        <v>28490</v>
      </c>
      <c r="X3396" s="1">
        <v>28490</v>
      </c>
      <c r="Y3396" s="1">
        <v>43100</v>
      </c>
      <c r="Z3396" t="s">
        <v>51</v>
      </c>
      <c r="AB3396" t="s">
        <v>54</v>
      </c>
      <c r="AC3396">
        <v>1</v>
      </c>
      <c r="AE3396" t="s">
        <v>844</v>
      </c>
      <c r="AF3396">
        <v>20</v>
      </c>
      <c r="AG3396" s="1">
        <v>31777</v>
      </c>
      <c r="AH3396" s="1">
        <v>31777</v>
      </c>
      <c r="AI3396" s="1">
        <v>31777</v>
      </c>
      <c r="AJ3396" s="1">
        <v>39082</v>
      </c>
      <c r="AK3396" t="s">
        <v>51</v>
      </c>
      <c r="AN3396">
        <v>0</v>
      </c>
      <c r="AO3396" t="s">
        <v>54</v>
      </c>
      <c r="AP3396" t="s">
        <v>53</v>
      </c>
      <c r="AQ3396">
        <v>0</v>
      </c>
      <c r="AR3396" t="s">
        <v>53</v>
      </c>
      <c r="AS3396">
        <v>0</v>
      </c>
      <c r="AT3396">
        <v>0</v>
      </c>
      <c r="CC3396" t="s">
        <v>555</v>
      </c>
      <c r="CD3396">
        <v>85000</v>
      </c>
      <c r="CE3396" s="1">
        <v>42552</v>
      </c>
      <c r="CF3396" s="1">
        <v>42552</v>
      </c>
      <c r="CG3396" s="1">
        <v>42552</v>
      </c>
      <c r="CH3396" s="1">
        <v>49714</v>
      </c>
      <c r="CI3396" t="s">
        <v>51</v>
      </c>
      <c r="CK3396" t="s">
        <v>78</v>
      </c>
      <c r="CM3396" t="s">
        <v>54</v>
      </c>
      <c r="CN3396" t="s">
        <v>174</v>
      </c>
      <c r="CO3396" t="s">
        <v>86</v>
      </c>
      <c r="CR3396">
        <v>20</v>
      </c>
      <c r="CS3396">
        <v>0</v>
      </c>
      <c r="CT3396">
        <v>0</v>
      </c>
      <c r="CU3396">
        <v>0</v>
      </c>
    </row>
    <row r="3397" spans="1:99" x14ac:dyDescent="0.2">
      <c r="A3397" t="s">
        <v>367</v>
      </c>
      <c r="B3397" t="s">
        <v>368</v>
      </c>
      <c r="C3397" t="s">
        <v>369</v>
      </c>
      <c r="D3397" t="s">
        <v>1403</v>
      </c>
      <c r="F3397" t="str">
        <f>"26335"</f>
        <v>26335</v>
      </c>
      <c r="G3397" t="s">
        <v>49</v>
      </c>
      <c r="H3397" t="s">
        <v>1482</v>
      </c>
      <c r="K3397" t="s">
        <v>51</v>
      </c>
      <c r="L3397" t="s">
        <v>52</v>
      </c>
      <c r="M3397">
        <v>137383.88</v>
      </c>
      <c r="N3397">
        <v>467536.38</v>
      </c>
      <c r="O3397" t="s">
        <v>53</v>
      </c>
      <c r="P3397" t="s">
        <v>54</v>
      </c>
      <c r="Q3397" t="s">
        <v>55</v>
      </c>
      <c r="T3397" t="s">
        <v>1266</v>
      </c>
      <c r="U3397">
        <v>40</v>
      </c>
      <c r="V3397" s="1">
        <v>28490</v>
      </c>
      <c r="W3397" s="1">
        <v>28490</v>
      </c>
      <c r="X3397" s="1">
        <v>28490</v>
      </c>
      <c r="Y3397" s="1">
        <v>43100</v>
      </c>
      <c r="Z3397" t="s">
        <v>51</v>
      </c>
      <c r="AB3397" t="s">
        <v>54</v>
      </c>
      <c r="AC3397">
        <v>1</v>
      </c>
      <c r="AE3397" t="s">
        <v>844</v>
      </c>
      <c r="AF3397">
        <v>20</v>
      </c>
      <c r="AG3397" s="1">
        <v>31777</v>
      </c>
      <c r="AH3397" s="1">
        <v>31777</v>
      </c>
      <c r="AI3397" s="1">
        <v>31777</v>
      </c>
      <c r="AJ3397" s="1">
        <v>39082</v>
      </c>
      <c r="AK3397" t="s">
        <v>51</v>
      </c>
      <c r="AN3397">
        <v>0</v>
      </c>
      <c r="AO3397" t="s">
        <v>54</v>
      </c>
      <c r="AP3397" t="s">
        <v>53</v>
      </c>
      <c r="AQ3397">
        <v>0</v>
      </c>
      <c r="AR3397" t="s">
        <v>53</v>
      </c>
      <c r="AS3397">
        <v>0</v>
      </c>
      <c r="AT3397">
        <v>0</v>
      </c>
      <c r="CC3397" t="s">
        <v>555</v>
      </c>
      <c r="CD3397">
        <v>85000</v>
      </c>
      <c r="CE3397" s="1">
        <v>42552</v>
      </c>
      <c r="CF3397" s="1">
        <v>42552</v>
      </c>
      <c r="CG3397" s="1">
        <v>42552</v>
      </c>
      <c r="CH3397" s="1">
        <v>49714</v>
      </c>
      <c r="CI3397" t="s">
        <v>51</v>
      </c>
      <c r="CK3397" t="s">
        <v>78</v>
      </c>
      <c r="CM3397" t="s">
        <v>54</v>
      </c>
      <c r="CN3397" t="s">
        <v>174</v>
      </c>
      <c r="CO3397" t="s">
        <v>86</v>
      </c>
      <c r="CR3397">
        <v>20</v>
      </c>
      <c r="CS3397">
        <v>0</v>
      </c>
      <c r="CT3397">
        <v>0</v>
      </c>
      <c r="CU3397">
        <v>0</v>
      </c>
    </row>
    <row r="3398" spans="1:99" x14ac:dyDescent="0.2">
      <c r="A3398" t="s">
        <v>367</v>
      </c>
      <c r="B3398" t="s">
        <v>368</v>
      </c>
      <c r="C3398" t="s">
        <v>369</v>
      </c>
      <c r="D3398" t="s">
        <v>1403</v>
      </c>
      <c r="F3398" t="str">
        <f>"26336"</f>
        <v>26336</v>
      </c>
      <c r="G3398" t="s">
        <v>49</v>
      </c>
      <c r="H3398" t="s">
        <v>1483</v>
      </c>
      <c r="K3398" t="s">
        <v>51</v>
      </c>
      <c r="L3398" t="s">
        <v>52</v>
      </c>
      <c r="M3398">
        <v>137362.56</v>
      </c>
      <c r="N3398">
        <v>467547.66</v>
      </c>
      <c r="O3398" t="s">
        <v>53</v>
      </c>
      <c r="P3398" t="s">
        <v>54</v>
      </c>
      <c r="Q3398" t="s">
        <v>55</v>
      </c>
      <c r="T3398" t="s">
        <v>1266</v>
      </c>
      <c r="U3398">
        <v>40</v>
      </c>
      <c r="V3398" s="1">
        <v>28490</v>
      </c>
      <c r="W3398" s="1">
        <v>28490</v>
      </c>
      <c r="X3398" s="1">
        <v>28490</v>
      </c>
      <c r="Y3398" s="1">
        <v>43100</v>
      </c>
      <c r="Z3398" t="s">
        <v>51</v>
      </c>
      <c r="AB3398" t="s">
        <v>54</v>
      </c>
      <c r="AC3398">
        <v>1</v>
      </c>
      <c r="AE3398" t="s">
        <v>844</v>
      </c>
      <c r="AF3398">
        <v>20</v>
      </c>
      <c r="AG3398" s="1">
        <v>31777</v>
      </c>
      <c r="AH3398" s="1">
        <v>31777</v>
      </c>
      <c r="AI3398" s="1">
        <v>31777</v>
      </c>
      <c r="AJ3398" s="1">
        <v>39082</v>
      </c>
      <c r="AK3398" t="s">
        <v>51</v>
      </c>
      <c r="AN3398">
        <v>0</v>
      </c>
      <c r="AO3398" t="s">
        <v>54</v>
      </c>
      <c r="AP3398" t="s">
        <v>53</v>
      </c>
      <c r="AQ3398">
        <v>0</v>
      </c>
      <c r="AR3398" t="s">
        <v>53</v>
      </c>
      <c r="AS3398">
        <v>0</v>
      </c>
      <c r="AT3398">
        <v>0</v>
      </c>
      <c r="CC3398" t="s">
        <v>555</v>
      </c>
      <c r="CD3398">
        <v>85000</v>
      </c>
      <c r="CE3398" s="1">
        <v>42552</v>
      </c>
      <c r="CF3398" s="1">
        <v>42552</v>
      </c>
      <c r="CG3398" s="1">
        <v>42552</v>
      </c>
      <c r="CH3398" s="1">
        <v>49714</v>
      </c>
      <c r="CI3398" t="s">
        <v>51</v>
      </c>
      <c r="CK3398" t="s">
        <v>78</v>
      </c>
      <c r="CM3398" t="s">
        <v>54</v>
      </c>
      <c r="CN3398" t="s">
        <v>174</v>
      </c>
      <c r="CO3398" t="s">
        <v>86</v>
      </c>
      <c r="CR3398">
        <v>20</v>
      </c>
      <c r="CS3398">
        <v>0</v>
      </c>
      <c r="CT3398">
        <v>0</v>
      </c>
      <c r="CU3398">
        <v>0</v>
      </c>
    </row>
    <row r="3399" spans="1:99" x14ac:dyDescent="0.2">
      <c r="A3399" t="s">
        <v>367</v>
      </c>
      <c r="B3399" t="s">
        <v>368</v>
      </c>
      <c r="C3399" t="s">
        <v>369</v>
      </c>
      <c r="D3399" t="s">
        <v>1392</v>
      </c>
      <c r="F3399" t="str">
        <f>"26346"</f>
        <v>26346</v>
      </c>
      <c r="G3399" t="s">
        <v>49</v>
      </c>
      <c r="H3399" t="s">
        <v>1484</v>
      </c>
      <c r="K3399" t="s">
        <v>51</v>
      </c>
      <c r="L3399" t="s">
        <v>52</v>
      </c>
      <c r="M3399">
        <v>137700.12</v>
      </c>
      <c r="N3399">
        <v>466944.93</v>
      </c>
      <c r="O3399" t="s">
        <v>53</v>
      </c>
      <c r="P3399" t="s">
        <v>54</v>
      </c>
      <c r="Q3399" t="s">
        <v>55</v>
      </c>
      <c r="T3399" t="s">
        <v>365</v>
      </c>
      <c r="U3399">
        <v>40</v>
      </c>
      <c r="V3399" s="1">
        <v>42552</v>
      </c>
      <c r="W3399" s="1">
        <v>42552</v>
      </c>
      <c r="X3399" s="1">
        <v>42552</v>
      </c>
      <c r="Y3399" s="1">
        <v>57162</v>
      </c>
      <c r="Z3399" t="s">
        <v>51</v>
      </c>
      <c r="AB3399" t="s">
        <v>54</v>
      </c>
      <c r="AC3399">
        <v>1</v>
      </c>
      <c r="AE3399" t="s">
        <v>342</v>
      </c>
      <c r="AF3399">
        <v>20</v>
      </c>
      <c r="AG3399" s="1">
        <v>43956</v>
      </c>
      <c r="AH3399" s="1">
        <v>43956</v>
      </c>
      <c r="AI3399" s="1">
        <v>43956</v>
      </c>
      <c r="AJ3399" s="1">
        <v>51261</v>
      </c>
      <c r="AK3399" t="s">
        <v>51</v>
      </c>
      <c r="AN3399">
        <v>0</v>
      </c>
      <c r="AO3399" t="s">
        <v>54</v>
      </c>
      <c r="AP3399" t="s">
        <v>53</v>
      </c>
      <c r="AQ3399">
        <v>0</v>
      </c>
      <c r="AR3399" t="s">
        <v>145</v>
      </c>
      <c r="AS3399">
        <v>19</v>
      </c>
      <c r="AT3399">
        <v>1800</v>
      </c>
      <c r="AW3399" t="s">
        <v>172</v>
      </c>
      <c r="AX3399">
        <v>15</v>
      </c>
      <c r="AY3399" s="1">
        <v>43956</v>
      </c>
      <c r="AZ3399" s="1">
        <v>43956</v>
      </c>
      <c r="BA3399" s="1">
        <v>43956</v>
      </c>
      <c r="BB3399" s="1">
        <v>49434</v>
      </c>
      <c r="BC3399" t="s">
        <v>51</v>
      </c>
      <c r="BE3399" t="s">
        <v>54</v>
      </c>
      <c r="BF3399">
        <v>40</v>
      </c>
      <c r="BG3399">
        <v>0</v>
      </c>
      <c r="BH3399" t="s">
        <v>145</v>
      </c>
      <c r="CC3399" t="s">
        <v>173</v>
      </c>
      <c r="CD3399">
        <v>100000</v>
      </c>
      <c r="CE3399" s="1">
        <v>43956</v>
      </c>
      <c r="CF3399" s="1">
        <v>43956</v>
      </c>
      <c r="CG3399" s="1">
        <v>43956</v>
      </c>
      <c r="CH3399" s="1">
        <v>52440</v>
      </c>
      <c r="CI3399" t="s">
        <v>51</v>
      </c>
      <c r="CK3399" t="s">
        <v>78</v>
      </c>
      <c r="CM3399" t="s">
        <v>54</v>
      </c>
      <c r="CN3399" t="s">
        <v>174</v>
      </c>
      <c r="CO3399" t="s">
        <v>86</v>
      </c>
      <c r="CP3399">
        <v>830</v>
      </c>
      <c r="CR3399">
        <v>19</v>
      </c>
      <c r="CS3399">
        <v>1800</v>
      </c>
      <c r="CT3399">
        <v>0</v>
      </c>
      <c r="CU3399">
        <v>16</v>
      </c>
    </row>
    <row r="3400" spans="1:99" x14ac:dyDescent="0.2">
      <c r="A3400" t="s">
        <v>367</v>
      </c>
      <c r="B3400" t="s">
        <v>440</v>
      </c>
      <c r="C3400" t="s">
        <v>441</v>
      </c>
      <c r="D3400" t="s">
        <v>1485</v>
      </c>
      <c r="F3400" t="str">
        <f>"26376"</f>
        <v>26376</v>
      </c>
      <c r="G3400" t="s">
        <v>49</v>
      </c>
      <c r="H3400" t="s">
        <v>1303</v>
      </c>
      <c r="K3400" t="s">
        <v>51</v>
      </c>
      <c r="L3400" t="s">
        <v>52</v>
      </c>
      <c r="M3400">
        <v>137733.67000000001</v>
      </c>
      <c r="N3400">
        <v>468925.66</v>
      </c>
      <c r="O3400" t="s">
        <v>53</v>
      </c>
      <c r="P3400" t="s">
        <v>54</v>
      </c>
      <c r="Q3400" t="s">
        <v>55</v>
      </c>
      <c r="T3400" t="s">
        <v>183</v>
      </c>
      <c r="U3400">
        <v>40</v>
      </c>
      <c r="V3400" s="1">
        <v>27759</v>
      </c>
      <c r="W3400" s="1">
        <v>27759</v>
      </c>
      <c r="X3400" s="1">
        <v>27759</v>
      </c>
      <c r="Y3400" s="1">
        <v>42369</v>
      </c>
      <c r="Z3400" t="s">
        <v>51</v>
      </c>
      <c r="AB3400" t="s">
        <v>54</v>
      </c>
      <c r="AC3400">
        <v>1</v>
      </c>
      <c r="AE3400" t="s">
        <v>57</v>
      </c>
      <c r="AF3400">
        <v>20</v>
      </c>
      <c r="AG3400" s="1">
        <v>35719</v>
      </c>
      <c r="AH3400" s="1">
        <v>35719</v>
      </c>
      <c r="AI3400" s="1">
        <v>35719</v>
      </c>
      <c r="AJ3400" s="1">
        <v>43024</v>
      </c>
      <c r="AK3400" t="s">
        <v>51</v>
      </c>
      <c r="AN3400">
        <v>0</v>
      </c>
      <c r="AO3400" t="s">
        <v>54</v>
      </c>
      <c r="AP3400" t="s">
        <v>53</v>
      </c>
      <c r="AQ3400">
        <v>0</v>
      </c>
      <c r="AR3400" t="s">
        <v>53</v>
      </c>
      <c r="AS3400">
        <v>0</v>
      </c>
      <c r="AT3400">
        <v>0</v>
      </c>
      <c r="CC3400" t="s">
        <v>432</v>
      </c>
      <c r="CD3400">
        <v>85000</v>
      </c>
      <c r="CE3400" s="1">
        <v>44606</v>
      </c>
      <c r="CF3400" s="1">
        <v>44606</v>
      </c>
      <c r="CG3400" s="1">
        <v>44606</v>
      </c>
      <c r="CH3400" s="1">
        <v>51821</v>
      </c>
      <c r="CI3400" t="s">
        <v>51</v>
      </c>
      <c r="CK3400" t="s">
        <v>78</v>
      </c>
      <c r="CM3400" t="s">
        <v>54</v>
      </c>
      <c r="CN3400" t="s">
        <v>174</v>
      </c>
      <c r="CO3400" t="s">
        <v>86</v>
      </c>
      <c r="CR3400">
        <v>24</v>
      </c>
      <c r="CS3400">
        <v>0</v>
      </c>
      <c r="CT3400">
        <v>0</v>
      </c>
      <c r="CU3400">
        <v>0</v>
      </c>
    </row>
    <row r="3401" spans="1:99" x14ac:dyDescent="0.2">
      <c r="A3401" t="s">
        <v>367</v>
      </c>
      <c r="B3401" t="s">
        <v>440</v>
      </c>
      <c r="C3401" t="s">
        <v>441</v>
      </c>
      <c r="D3401" t="s">
        <v>1485</v>
      </c>
      <c r="F3401" t="str">
        <f>"26377"</f>
        <v>26377</v>
      </c>
      <c r="G3401" t="s">
        <v>49</v>
      </c>
      <c r="H3401" t="s">
        <v>1358</v>
      </c>
      <c r="K3401" t="s">
        <v>51</v>
      </c>
      <c r="L3401" t="s">
        <v>52</v>
      </c>
      <c r="M3401">
        <v>137758.57999999999</v>
      </c>
      <c r="N3401">
        <v>468865.12</v>
      </c>
      <c r="O3401" t="s">
        <v>53</v>
      </c>
      <c r="P3401" t="s">
        <v>54</v>
      </c>
      <c r="Q3401" t="s">
        <v>55</v>
      </c>
      <c r="T3401" t="s">
        <v>183</v>
      </c>
      <c r="U3401">
        <v>40</v>
      </c>
      <c r="V3401" s="1">
        <v>27759</v>
      </c>
      <c r="W3401" s="1">
        <v>27759</v>
      </c>
      <c r="X3401" s="1">
        <v>27759</v>
      </c>
      <c r="Y3401" s="1">
        <v>42369</v>
      </c>
      <c r="Z3401" t="s">
        <v>51</v>
      </c>
      <c r="AB3401" t="s">
        <v>54</v>
      </c>
      <c r="AC3401">
        <v>1</v>
      </c>
      <c r="AE3401" t="s">
        <v>57</v>
      </c>
      <c r="AF3401">
        <v>20</v>
      </c>
      <c r="AG3401" s="1">
        <v>35719</v>
      </c>
      <c r="AH3401" s="1">
        <v>35719</v>
      </c>
      <c r="AI3401" s="1">
        <v>35719</v>
      </c>
      <c r="AJ3401" s="1">
        <v>43024</v>
      </c>
      <c r="AK3401" t="s">
        <v>51</v>
      </c>
      <c r="AN3401">
        <v>0</v>
      </c>
      <c r="AO3401" t="s">
        <v>54</v>
      </c>
      <c r="AP3401" t="s">
        <v>53</v>
      </c>
      <c r="AQ3401">
        <v>0</v>
      </c>
      <c r="AR3401" t="s">
        <v>53</v>
      </c>
      <c r="AS3401">
        <v>0</v>
      </c>
      <c r="AT3401">
        <v>0</v>
      </c>
      <c r="CC3401" t="s">
        <v>432</v>
      </c>
      <c r="CD3401">
        <v>85000</v>
      </c>
      <c r="CE3401" s="1">
        <v>42552</v>
      </c>
      <c r="CF3401" s="1">
        <v>42552</v>
      </c>
      <c r="CG3401" s="1">
        <v>42552</v>
      </c>
      <c r="CH3401" s="1">
        <v>49714</v>
      </c>
      <c r="CI3401" t="s">
        <v>51</v>
      </c>
      <c r="CK3401" t="s">
        <v>78</v>
      </c>
      <c r="CM3401" t="s">
        <v>54</v>
      </c>
      <c r="CN3401" t="s">
        <v>174</v>
      </c>
      <c r="CO3401" t="s">
        <v>86</v>
      </c>
      <c r="CR3401">
        <v>24</v>
      </c>
      <c r="CS3401">
        <v>0</v>
      </c>
      <c r="CT3401">
        <v>0</v>
      </c>
      <c r="CU3401">
        <v>0</v>
      </c>
    </row>
    <row r="3402" spans="1:99" x14ac:dyDescent="0.2">
      <c r="A3402" t="s">
        <v>367</v>
      </c>
      <c r="B3402" t="s">
        <v>368</v>
      </c>
      <c r="C3402" t="s">
        <v>369</v>
      </c>
      <c r="D3402" t="s">
        <v>1291</v>
      </c>
      <c r="F3402" t="str">
        <f>"26400"</f>
        <v>26400</v>
      </c>
      <c r="G3402" t="s">
        <v>49</v>
      </c>
      <c r="H3402" t="s">
        <v>1486</v>
      </c>
      <c r="K3402" t="s">
        <v>51</v>
      </c>
      <c r="L3402" t="s">
        <v>52</v>
      </c>
      <c r="M3402">
        <v>137907.95000000001</v>
      </c>
      <c r="N3402">
        <v>468689.94</v>
      </c>
      <c r="O3402" t="s">
        <v>53</v>
      </c>
      <c r="P3402" t="s">
        <v>54</v>
      </c>
      <c r="Q3402" t="s">
        <v>55</v>
      </c>
      <c r="T3402" t="s">
        <v>841</v>
      </c>
      <c r="U3402">
        <v>40</v>
      </c>
      <c r="V3402" s="1">
        <v>31412</v>
      </c>
      <c r="W3402" s="1">
        <v>31412</v>
      </c>
      <c r="X3402" s="1">
        <v>31412</v>
      </c>
      <c r="Y3402" s="1">
        <v>46022</v>
      </c>
      <c r="Z3402" t="s">
        <v>51</v>
      </c>
      <c r="AB3402" t="s">
        <v>54</v>
      </c>
      <c r="AC3402">
        <v>1</v>
      </c>
      <c r="AE3402" t="s">
        <v>1212</v>
      </c>
      <c r="AF3402">
        <v>20</v>
      </c>
      <c r="AG3402" s="1">
        <v>31777</v>
      </c>
      <c r="AH3402" s="1">
        <v>31777</v>
      </c>
      <c r="AI3402" s="1">
        <v>31777</v>
      </c>
      <c r="AJ3402" s="1">
        <v>39082</v>
      </c>
      <c r="AK3402" t="s">
        <v>51</v>
      </c>
      <c r="AN3402">
        <v>0</v>
      </c>
      <c r="AO3402" t="s">
        <v>54</v>
      </c>
      <c r="AP3402" t="s">
        <v>53</v>
      </c>
      <c r="AQ3402">
        <v>0</v>
      </c>
      <c r="AR3402" t="s">
        <v>53</v>
      </c>
      <c r="AS3402">
        <v>0</v>
      </c>
      <c r="AT3402">
        <v>0</v>
      </c>
      <c r="AW3402" t="s">
        <v>58</v>
      </c>
      <c r="AX3402">
        <v>20</v>
      </c>
      <c r="AY3402" s="1">
        <v>31777</v>
      </c>
      <c r="AZ3402" s="1">
        <v>31777</v>
      </c>
      <c r="BA3402" s="1">
        <v>31777</v>
      </c>
      <c r="BB3402" s="1">
        <v>39082</v>
      </c>
      <c r="BC3402" t="s">
        <v>51</v>
      </c>
      <c r="BE3402" t="s">
        <v>54</v>
      </c>
      <c r="BF3402">
        <v>2</v>
      </c>
      <c r="BG3402">
        <v>0</v>
      </c>
      <c r="BH3402" t="s">
        <v>53</v>
      </c>
      <c r="BK3402" t="s">
        <v>720</v>
      </c>
      <c r="BL3402">
        <v>17000</v>
      </c>
      <c r="BM3402" s="1">
        <v>41091</v>
      </c>
      <c r="BN3402" s="1">
        <v>41091</v>
      </c>
      <c r="BO3402" s="1">
        <v>41091</v>
      </c>
      <c r="BP3402" s="1">
        <v>42513</v>
      </c>
      <c r="BQ3402" t="s">
        <v>51</v>
      </c>
      <c r="BS3402" t="s">
        <v>60</v>
      </c>
      <c r="BT3402" t="s">
        <v>54</v>
      </c>
      <c r="BU3402" t="s">
        <v>721</v>
      </c>
      <c r="BV3402" t="s">
        <v>722</v>
      </c>
      <c r="BX3402">
        <v>18</v>
      </c>
      <c r="BY3402">
        <v>0</v>
      </c>
      <c r="BZ3402">
        <v>0</v>
      </c>
    </row>
    <row r="3403" spans="1:99" x14ac:dyDescent="0.2">
      <c r="A3403" t="s">
        <v>367</v>
      </c>
      <c r="B3403" t="s">
        <v>368</v>
      </c>
      <c r="C3403" t="s">
        <v>369</v>
      </c>
      <c r="D3403" t="s">
        <v>1291</v>
      </c>
      <c r="F3403" t="str">
        <f>"26401"</f>
        <v>26401</v>
      </c>
      <c r="G3403" t="s">
        <v>49</v>
      </c>
      <c r="H3403" t="s">
        <v>1487</v>
      </c>
      <c r="K3403" t="s">
        <v>51</v>
      </c>
      <c r="L3403" t="s">
        <v>52</v>
      </c>
      <c r="M3403">
        <v>137924.21</v>
      </c>
      <c r="N3403">
        <v>468650.4</v>
      </c>
      <c r="O3403" t="s">
        <v>53</v>
      </c>
      <c r="P3403" t="s">
        <v>54</v>
      </c>
      <c r="Q3403" t="s">
        <v>55</v>
      </c>
      <c r="T3403" t="s">
        <v>841</v>
      </c>
      <c r="U3403">
        <v>40</v>
      </c>
      <c r="V3403" s="1">
        <v>31412</v>
      </c>
      <c r="W3403" s="1">
        <v>31412</v>
      </c>
      <c r="X3403" s="1">
        <v>31412</v>
      </c>
      <c r="Y3403" s="1">
        <v>46022</v>
      </c>
      <c r="Z3403" t="s">
        <v>51</v>
      </c>
      <c r="AB3403" t="s">
        <v>54</v>
      </c>
      <c r="AC3403">
        <v>1</v>
      </c>
      <c r="AE3403" t="s">
        <v>1212</v>
      </c>
      <c r="AF3403">
        <v>20</v>
      </c>
      <c r="AG3403" s="1">
        <v>31777</v>
      </c>
      <c r="AH3403" s="1">
        <v>31777</v>
      </c>
      <c r="AI3403" s="1">
        <v>31777</v>
      </c>
      <c r="AJ3403" s="1">
        <v>39082</v>
      </c>
      <c r="AK3403" t="s">
        <v>51</v>
      </c>
      <c r="AN3403">
        <v>0</v>
      </c>
      <c r="AO3403" t="s">
        <v>54</v>
      </c>
      <c r="AP3403" t="s">
        <v>53</v>
      </c>
      <c r="AQ3403">
        <v>0</v>
      </c>
      <c r="AR3403" t="s">
        <v>53</v>
      </c>
      <c r="AS3403">
        <v>0</v>
      </c>
      <c r="AT3403">
        <v>0</v>
      </c>
      <c r="AW3403" t="s">
        <v>58</v>
      </c>
      <c r="AX3403">
        <v>20</v>
      </c>
      <c r="AY3403" s="1">
        <v>31777</v>
      </c>
      <c r="AZ3403" s="1">
        <v>31777</v>
      </c>
      <c r="BA3403" s="1">
        <v>31777</v>
      </c>
      <c r="BB3403" s="1">
        <v>39082</v>
      </c>
      <c r="BC3403" t="s">
        <v>51</v>
      </c>
      <c r="BE3403" t="s">
        <v>54</v>
      </c>
      <c r="BF3403">
        <v>2</v>
      </c>
      <c r="BG3403">
        <v>0</v>
      </c>
      <c r="BH3403" t="s">
        <v>53</v>
      </c>
      <c r="BK3403" t="s">
        <v>720</v>
      </c>
      <c r="BL3403">
        <v>17000</v>
      </c>
      <c r="BM3403" s="1">
        <v>43850</v>
      </c>
      <c r="BN3403" s="1">
        <v>43850</v>
      </c>
      <c r="BO3403" s="1">
        <v>43850</v>
      </c>
      <c r="BP3403" s="1">
        <v>45293</v>
      </c>
      <c r="BQ3403" t="s">
        <v>51</v>
      </c>
      <c r="BS3403" t="s">
        <v>60</v>
      </c>
      <c r="BT3403" t="s">
        <v>54</v>
      </c>
      <c r="BU3403" t="s">
        <v>721</v>
      </c>
      <c r="BV3403" t="s">
        <v>722</v>
      </c>
      <c r="BX3403">
        <v>18</v>
      </c>
      <c r="BY3403">
        <v>0</v>
      </c>
      <c r="BZ3403">
        <v>0</v>
      </c>
    </row>
    <row r="3404" spans="1:99" x14ac:dyDescent="0.2">
      <c r="A3404" t="s">
        <v>367</v>
      </c>
      <c r="B3404" t="s">
        <v>368</v>
      </c>
      <c r="C3404" t="s">
        <v>369</v>
      </c>
      <c r="D3404" t="s">
        <v>1488</v>
      </c>
      <c r="F3404" t="str">
        <f>"26403"</f>
        <v>26403</v>
      </c>
      <c r="G3404" t="s">
        <v>49</v>
      </c>
      <c r="H3404" t="s">
        <v>1489</v>
      </c>
      <c r="K3404" t="s">
        <v>51</v>
      </c>
      <c r="L3404" t="s">
        <v>52</v>
      </c>
      <c r="M3404">
        <v>137888.54</v>
      </c>
      <c r="N3404">
        <v>468605.72</v>
      </c>
      <c r="O3404" t="s">
        <v>53</v>
      </c>
      <c r="P3404" t="s">
        <v>54</v>
      </c>
      <c r="Q3404" t="s">
        <v>55</v>
      </c>
      <c r="T3404" t="s">
        <v>841</v>
      </c>
      <c r="U3404">
        <v>40</v>
      </c>
      <c r="V3404" s="1">
        <v>31412</v>
      </c>
      <c r="W3404" s="1">
        <v>31412</v>
      </c>
      <c r="X3404" s="1">
        <v>31412</v>
      </c>
      <c r="Y3404" s="1">
        <v>46022</v>
      </c>
      <c r="Z3404" t="s">
        <v>51</v>
      </c>
      <c r="AB3404" t="s">
        <v>54</v>
      </c>
      <c r="AC3404">
        <v>1</v>
      </c>
      <c r="AE3404" t="s">
        <v>1212</v>
      </c>
      <c r="AF3404">
        <v>20</v>
      </c>
      <c r="AG3404" s="1">
        <v>31777</v>
      </c>
      <c r="AH3404" s="1">
        <v>31777</v>
      </c>
      <c r="AI3404" s="1">
        <v>31777</v>
      </c>
      <c r="AJ3404" s="1">
        <v>39082</v>
      </c>
      <c r="AK3404" t="s">
        <v>51</v>
      </c>
      <c r="AN3404">
        <v>0</v>
      </c>
      <c r="AO3404" t="s">
        <v>54</v>
      </c>
      <c r="AP3404" t="s">
        <v>53</v>
      </c>
      <c r="AQ3404">
        <v>0</v>
      </c>
      <c r="AR3404" t="s">
        <v>53</v>
      </c>
      <c r="AS3404">
        <v>0</v>
      </c>
      <c r="AT3404">
        <v>0</v>
      </c>
      <c r="AW3404" t="s">
        <v>58</v>
      </c>
      <c r="AX3404">
        <v>20</v>
      </c>
      <c r="AY3404" s="1">
        <v>31777</v>
      </c>
      <c r="AZ3404" s="1">
        <v>31777</v>
      </c>
      <c r="BA3404" s="1">
        <v>31777</v>
      </c>
      <c r="BB3404" s="1">
        <v>39082</v>
      </c>
      <c r="BC3404" t="s">
        <v>51</v>
      </c>
      <c r="BE3404" t="s">
        <v>54</v>
      </c>
      <c r="BF3404">
        <v>2</v>
      </c>
      <c r="BG3404">
        <v>0</v>
      </c>
      <c r="BH3404" t="s">
        <v>53</v>
      </c>
      <c r="BK3404" t="s">
        <v>720</v>
      </c>
      <c r="BL3404">
        <v>17000</v>
      </c>
      <c r="BM3404" s="1">
        <v>43892</v>
      </c>
      <c r="BN3404" s="1">
        <v>43892</v>
      </c>
      <c r="BO3404" s="1">
        <v>43892</v>
      </c>
      <c r="BP3404" s="1">
        <v>45331</v>
      </c>
      <c r="BQ3404" t="s">
        <v>51</v>
      </c>
      <c r="BS3404" t="s">
        <v>60</v>
      </c>
      <c r="BT3404" t="s">
        <v>54</v>
      </c>
      <c r="BU3404" t="s">
        <v>721</v>
      </c>
      <c r="BV3404" t="s">
        <v>722</v>
      </c>
      <c r="BX3404">
        <v>18</v>
      </c>
      <c r="BY3404">
        <v>0</v>
      </c>
      <c r="BZ3404">
        <v>0</v>
      </c>
    </row>
    <row r="3405" spans="1:99" x14ac:dyDescent="0.2">
      <c r="A3405" t="s">
        <v>367</v>
      </c>
      <c r="B3405" t="s">
        <v>368</v>
      </c>
      <c r="C3405" t="s">
        <v>369</v>
      </c>
      <c r="D3405" t="s">
        <v>1488</v>
      </c>
      <c r="F3405" t="str">
        <f>"26404"</f>
        <v>26404</v>
      </c>
      <c r="G3405" t="s">
        <v>49</v>
      </c>
      <c r="H3405" t="s">
        <v>401</v>
      </c>
      <c r="K3405" t="s">
        <v>51</v>
      </c>
      <c r="L3405" t="s">
        <v>52</v>
      </c>
      <c r="M3405">
        <v>137875.51</v>
      </c>
      <c r="N3405">
        <v>468636.9</v>
      </c>
      <c r="O3405" t="s">
        <v>53</v>
      </c>
      <c r="P3405" t="s">
        <v>54</v>
      </c>
      <c r="Q3405" t="s">
        <v>55</v>
      </c>
      <c r="T3405" t="s">
        <v>841</v>
      </c>
      <c r="U3405">
        <v>40</v>
      </c>
      <c r="V3405" s="1">
        <v>31412</v>
      </c>
      <c r="W3405" s="1">
        <v>31412</v>
      </c>
      <c r="X3405" s="1">
        <v>31412</v>
      </c>
      <c r="Y3405" s="1">
        <v>46022</v>
      </c>
      <c r="Z3405" t="s">
        <v>51</v>
      </c>
      <c r="AB3405" t="s">
        <v>54</v>
      </c>
      <c r="AC3405">
        <v>1</v>
      </c>
      <c r="AE3405" t="s">
        <v>1212</v>
      </c>
      <c r="AF3405">
        <v>20</v>
      </c>
      <c r="AG3405" s="1">
        <v>31777</v>
      </c>
      <c r="AH3405" s="1">
        <v>31777</v>
      </c>
      <c r="AI3405" s="1">
        <v>31777</v>
      </c>
      <c r="AJ3405" s="1">
        <v>39082</v>
      </c>
      <c r="AK3405" t="s">
        <v>51</v>
      </c>
      <c r="AN3405">
        <v>0</v>
      </c>
      <c r="AO3405" t="s">
        <v>54</v>
      </c>
      <c r="AP3405" t="s">
        <v>53</v>
      </c>
      <c r="AQ3405">
        <v>0</v>
      </c>
      <c r="AR3405" t="s">
        <v>53</v>
      </c>
      <c r="AS3405">
        <v>0</v>
      </c>
      <c r="AT3405">
        <v>0</v>
      </c>
      <c r="AW3405" t="s">
        <v>58</v>
      </c>
      <c r="AX3405">
        <v>20</v>
      </c>
      <c r="AY3405" s="1">
        <v>31777</v>
      </c>
      <c r="AZ3405" s="1">
        <v>31777</v>
      </c>
      <c r="BA3405" s="1">
        <v>31777</v>
      </c>
      <c r="BB3405" s="1">
        <v>39082</v>
      </c>
      <c r="BC3405" t="s">
        <v>51</v>
      </c>
      <c r="BE3405" t="s">
        <v>54</v>
      </c>
      <c r="BF3405">
        <v>2</v>
      </c>
      <c r="BG3405">
        <v>0</v>
      </c>
      <c r="BH3405" t="s">
        <v>53</v>
      </c>
      <c r="BK3405" t="s">
        <v>720</v>
      </c>
      <c r="BL3405">
        <v>17000</v>
      </c>
      <c r="BM3405" s="1">
        <v>44719</v>
      </c>
      <c r="BN3405" s="1">
        <v>44719</v>
      </c>
      <c r="BO3405" s="1">
        <v>44719</v>
      </c>
      <c r="BP3405" s="1">
        <v>46143</v>
      </c>
      <c r="BQ3405" t="s">
        <v>51</v>
      </c>
      <c r="BS3405" t="s">
        <v>60</v>
      </c>
      <c r="BT3405" t="s">
        <v>54</v>
      </c>
      <c r="BU3405" t="s">
        <v>721</v>
      </c>
      <c r="BV3405" t="s">
        <v>722</v>
      </c>
      <c r="BX3405">
        <v>18</v>
      </c>
      <c r="BY3405">
        <v>0</v>
      </c>
      <c r="BZ3405">
        <v>0</v>
      </c>
    </row>
    <row r="3406" spans="1:99" x14ac:dyDescent="0.2">
      <c r="A3406" t="s">
        <v>367</v>
      </c>
      <c r="B3406" t="s">
        <v>368</v>
      </c>
      <c r="C3406" t="s">
        <v>369</v>
      </c>
      <c r="D3406" t="s">
        <v>1488</v>
      </c>
      <c r="F3406" t="str">
        <f>"254261"</f>
        <v>254261</v>
      </c>
      <c r="G3406" t="s">
        <v>49</v>
      </c>
      <c r="H3406" t="s">
        <v>1490</v>
      </c>
      <c r="K3406" t="s">
        <v>51</v>
      </c>
      <c r="L3406" t="s">
        <v>52</v>
      </c>
      <c r="M3406">
        <v>137857.57</v>
      </c>
      <c r="N3406">
        <v>468678.39</v>
      </c>
      <c r="O3406" t="s">
        <v>53</v>
      </c>
      <c r="P3406" t="s">
        <v>54</v>
      </c>
      <c r="Q3406" t="s">
        <v>55</v>
      </c>
      <c r="T3406" t="s">
        <v>466</v>
      </c>
      <c r="U3406">
        <v>40</v>
      </c>
      <c r="V3406" s="1">
        <v>37323</v>
      </c>
      <c r="W3406" s="1">
        <v>37323</v>
      </c>
      <c r="X3406" s="1">
        <v>37323</v>
      </c>
      <c r="Y3406" s="1">
        <v>51933</v>
      </c>
      <c r="Z3406" t="s">
        <v>51</v>
      </c>
      <c r="AB3406" t="s">
        <v>54</v>
      </c>
      <c r="AC3406">
        <v>1</v>
      </c>
      <c r="AE3406" t="s">
        <v>1212</v>
      </c>
      <c r="AF3406">
        <v>20</v>
      </c>
      <c r="AG3406" s="1">
        <v>37323</v>
      </c>
      <c r="AH3406" s="1">
        <v>37323</v>
      </c>
      <c r="AI3406" s="1">
        <v>37323</v>
      </c>
      <c r="AJ3406" s="1">
        <v>44628</v>
      </c>
      <c r="AK3406" t="s">
        <v>51</v>
      </c>
      <c r="AN3406">
        <v>0</v>
      </c>
      <c r="AO3406" t="s">
        <v>54</v>
      </c>
      <c r="AP3406" t="s">
        <v>53</v>
      </c>
      <c r="AQ3406">
        <v>0</v>
      </c>
      <c r="AR3406" t="s">
        <v>53</v>
      </c>
      <c r="AS3406">
        <v>0</v>
      </c>
      <c r="AT3406">
        <v>0</v>
      </c>
      <c r="AW3406" t="s">
        <v>58</v>
      </c>
      <c r="AX3406">
        <v>20</v>
      </c>
      <c r="AY3406" s="1">
        <v>37323</v>
      </c>
      <c r="AZ3406" s="1">
        <v>37323</v>
      </c>
      <c r="BA3406" s="1">
        <v>37323</v>
      </c>
      <c r="BB3406" s="1">
        <v>44628</v>
      </c>
      <c r="BC3406" t="s">
        <v>51</v>
      </c>
      <c r="BE3406" t="s">
        <v>54</v>
      </c>
      <c r="BF3406">
        <v>2</v>
      </c>
      <c r="BG3406">
        <v>0</v>
      </c>
      <c r="BH3406" t="s">
        <v>53</v>
      </c>
      <c r="BK3406" t="s">
        <v>720</v>
      </c>
      <c r="BL3406">
        <v>17000</v>
      </c>
      <c r="BM3406" s="1">
        <v>43711</v>
      </c>
      <c r="BN3406" s="1">
        <v>43711</v>
      </c>
      <c r="BO3406" s="1">
        <v>43711</v>
      </c>
      <c r="BP3406" s="1">
        <v>45141</v>
      </c>
      <c r="BQ3406" t="s">
        <v>51</v>
      </c>
      <c r="BS3406" t="s">
        <v>60</v>
      </c>
      <c r="BT3406" t="s">
        <v>54</v>
      </c>
      <c r="BU3406" t="s">
        <v>721</v>
      </c>
      <c r="BV3406" t="s">
        <v>722</v>
      </c>
      <c r="BX3406">
        <v>18</v>
      </c>
      <c r="BY3406">
        <v>0</v>
      </c>
      <c r="BZ3406">
        <v>0</v>
      </c>
    </row>
    <row r="3407" spans="1:99" x14ac:dyDescent="0.2">
      <c r="A3407" t="s">
        <v>367</v>
      </c>
      <c r="B3407" t="s">
        <v>368</v>
      </c>
      <c r="C3407" t="s">
        <v>369</v>
      </c>
      <c r="D3407" t="s">
        <v>1488</v>
      </c>
      <c r="F3407" t="str">
        <f>"26406"</f>
        <v>26406</v>
      </c>
      <c r="G3407" t="s">
        <v>49</v>
      </c>
      <c r="H3407" t="s">
        <v>1491</v>
      </c>
      <c r="K3407" t="s">
        <v>51</v>
      </c>
      <c r="L3407" t="s">
        <v>52</v>
      </c>
      <c r="M3407">
        <v>137841.73000000001</v>
      </c>
      <c r="N3407">
        <v>468718.41</v>
      </c>
      <c r="O3407" t="s">
        <v>53</v>
      </c>
      <c r="P3407" t="s">
        <v>54</v>
      </c>
      <c r="Q3407" t="s">
        <v>55</v>
      </c>
      <c r="T3407" t="s">
        <v>841</v>
      </c>
      <c r="U3407">
        <v>40</v>
      </c>
      <c r="V3407" s="1">
        <v>31412</v>
      </c>
      <c r="W3407" s="1">
        <v>31412</v>
      </c>
      <c r="X3407" s="1">
        <v>31412</v>
      </c>
      <c r="Y3407" s="1">
        <v>46022</v>
      </c>
      <c r="Z3407" t="s">
        <v>51</v>
      </c>
      <c r="AB3407" t="s">
        <v>54</v>
      </c>
      <c r="AC3407">
        <v>1</v>
      </c>
      <c r="AE3407" t="s">
        <v>1212</v>
      </c>
      <c r="AF3407">
        <v>20</v>
      </c>
      <c r="AG3407" s="1">
        <v>31777</v>
      </c>
      <c r="AH3407" s="1">
        <v>31777</v>
      </c>
      <c r="AI3407" s="1">
        <v>31777</v>
      </c>
      <c r="AJ3407" s="1">
        <v>39082</v>
      </c>
      <c r="AK3407" t="s">
        <v>51</v>
      </c>
      <c r="AN3407">
        <v>0</v>
      </c>
      <c r="AO3407" t="s">
        <v>54</v>
      </c>
      <c r="AP3407" t="s">
        <v>53</v>
      </c>
      <c r="AQ3407">
        <v>0</v>
      </c>
      <c r="AR3407" t="s">
        <v>53</v>
      </c>
      <c r="AS3407">
        <v>0</v>
      </c>
      <c r="AT3407">
        <v>0</v>
      </c>
      <c r="AW3407" t="s">
        <v>58</v>
      </c>
      <c r="AX3407">
        <v>20</v>
      </c>
      <c r="AY3407" s="1">
        <v>31777</v>
      </c>
      <c r="AZ3407" s="1">
        <v>31777</v>
      </c>
      <c r="BA3407" s="1">
        <v>31777</v>
      </c>
      <c r="BB3407" s="1">
        <v>39082</v>
      </c>
      <c r="BC3407" t="s">
        <v>51</v>
      </c>
      <c r="BE3407" t="s">
        <v>54</v>
      </c>
      <c r="BF3407">
        <v>2</v>
      </c>
      <c r="BG3407">
        <v>0</v>
      </c>
      <c r="BH3407" t="s">
        <v>53</v>
      </c>
      <c r="BK3407" t="s">
        <v>720</v>
      </c>
      <c r="BL3407">
        <v>17000</v>
      </c>
      <c r="BM3407" s="1">
        <v>44123</v>
      </c>
      <c r="BN3407" s="1">
        <v>44123</v>
      </c>
      <c r="BO3407" s="1">
        <v>44123</v>
      </c>
      <c r="BP3407" s="1">
        <v>45562</v>
      </c>
      <c r="BQ3407" t="s">
        <v>51</v>
      </c>
      <c r="BS3407" t="s">
        <v>60</v>
      </c>
      <c r="BT3407" t="s">
        <v>54</v>
      </c>
      <c r="BU3407" t="s">
        <v>721</v>
      </c>
      <c r="BV3407" t="s">
        <v>722</v>
      </c>
      <c r="BX3407">
        <v>18</v>
      </c>
      <c r="BY3407">
        <v>0</v>
      </c>
      <c r="BZ3407">
        <v>0</v>
      </c>
    </row>
    <row r="3408" spans="1:99" x14ac:dyDescent="0.2">
      <c r="A3408" t="s">
        <v>367</v>
      </c>
      <c r="B3408" t="s">
        <v>368</v>
      </c>
      <c r="C3408" t="s">
        <v>369</v>
      </c>
      <c r="D3408" t="s">
        <v>1492</v>
      </c>
      <c r="F3408" t="str">
        <f>"26407"</f>
        <v>26407</v>
      </c>
      <c r="G3408" t="s">
        <v>49</v>
      </c>
      <c r="H3408" t="s">
        <v>983</v>
      </c>
      <c r="K3408" t="s">
        <v>51</v>
      </c>
      <c r="L3408" t="s">
        <v>52</v>
      </c>
      <c r="M3408">
        <v>137762.53</v>
      </c>
      <c r="N3408">
        <v>468698.41</v>
      </c>
      <c r="O3408" t="s">
        <v>53</v>
      </c>
      <c r="P3408" t="s">
        <v>54</v>
      </c>
      <c r="Q3408" t="s">
        <v>55</v>
      </c>
      <c r="T3408" t="s">
        <v>83</v>
      </c>
      <c r="U3408">
        <v>40</v>
      </c>
      <c r="V3408" s="1">
        <v>22281</v>
      </c>
      <c r="W3408" s="1">
        <v>22281</v>
      </c>
      <c r="X3408" s="1">
        <v>22281</v>
      </c>
      <c r="Y3408" s="1">
        <v>36891</v>
      </c>
      <c r="Z3408" t="s">
        <v>51</v>
      </c>
      <c r="AB3408" t="s">
        <v>54</v>
      </c>
      <c r="AC3408">
        <v>1</v>
      </c>
      <c r="AE3408" t="s">
        <v>1212</v>
      </c>
      <c r="AF3408">
        <v>20</v>
      </c>
      <c r="AG3408" s="1">
        <v>31777</v>
      </c>
      <c r="AH3408" s="1">
        <v>31777</v>
      </c>
      <c r="AI3408" s="1">
        <v>31777</v>
      </c>
      <c r="AJ3408" s="1">
        <v>39082</v>
      </c>
      <c r="AK3408" t="s">
        <v>51</v>
      </c>
      <c r="AN3408">
        <v>0</v>
      </c>
      <c r="AO3408" t="s">
        <v>54</v>
      </c>
      <c r="AP3408" t="s">
        <v>53</v>
      </c>
      <c r="AQ3408">
        <v>0</v>
      </c>
      <c r="AR3408" t="s">
        <v>53</v>
      </c>
      <c r="AS3408">
        <v>0</v>
      </c>
      <c r="AT3408">
        <v>0</v>
      </c>
      <c r="AW3408" t="s">
        <v>58</v>
      </c>
      <c r="AX3408">
        <v>20</v>
      </c>
      <c r="AY3408" s="1">
        <v>31777</v>
      </c>
      <c r="AZ3408" s="1">
        <v>31777</v>
      </c>
      <c r="BA3408" s="1">
        <v>31777</v>
      </c>
      <c r="BB3408" s="1">
        <v>39082</v>
      </c>
      <c r="BC3408" t="s">
        <v>51</v>
      </c>
      <c r="BE3408" t="s">
        <v>54</v>
      </c>
      <c r="BF3408">
        <v>2</v>
      </c>
      <c r="BG3408">
        <v>0</v>
      </c>
      <c r="BH3408" t="s">
        <v>53</v>
      </c>
      <c r="BK3408" t="s">
        <v>720</v>
      </c>
      <c r="BL3408">
        <v>17000</v>
      </c>
      <c r="BM3408" s="1">
        <v>44942</v>
      </c>
      <c r="BN3408" s="1">
        <v>44942</v>
      </c>
      <c r="BO3408" s="1">
        <v>44942</v>
      </c>
      <c r="BP3408" s="1">
        <v>46384</v>
      </c>
      <c r="BQ3408" t="s">
        <v>51</v>
      </c>
      <c r="BS3408" t="s">
        <v>60</v>
      </c>
      <c r="BT3408" t="s">
        <v>54</v>
      </c>
      <c r="BU3408" t="s">
        <v>721</v>
      </c>
      <c r="BV3408" t="s">
        <v>722</v>
      </c>
      <c r="BX3408">
        <v>18</v>
      </c>
      <c r="BY3408">
        <v>0</v>
      </c>
      <c r="BZ3408">
        <v>0</v>
      </c>
    </row>
    <row r="3409" spans="1:99" x14ac:dyDescent="0.2">
      <c r="A3409" t="s">
        <v>367</v>
      </c>
      <c r="B3409" t="s">
        <v>368</v>
      </c>
      <c r="C3409" t="s">
        <v>369</v>
      </c>
      <c r="D3409" t="s">
        <v>1493</v>
      </c>
      <c r="F3409" t="str">
        <f>"26411"</f>
        <v>26411</v>
      </c>
      <c r="G3409" t="s">
        <v>49</v>
      </c>
      <c r="H3409" t="s">
        <v>1494</v>
      </c>
      <c r="K3409" t="s">
        <v>51</v>
      </c>
      <c r="L3409" t="s">
        <v>52</v>
      </c>
      <c r="M3409">
        <v>137702.01</v>
      </c>
      <c r="N3409">
        <v>468665.7</v>
      </c>
      <c r="O3409" t="s">
        <v>53</v>
      </c>
      <c r="P3409" t="s">
        <v>54</v>
      </c>
      <c r="Q3409" t="s">
        <v>55</v>
      </c>
      <c r="T3409" t="s">
        <v>841</v>
      </c>
      <c r="U3409">
        <v>40</v>
      </c>
      <c r="V3409" s="1">
        <v>27759</v>
      </c>
      <c r="W3409" s="1">
        <v>27759</v>
      </c>
      <c r="X3409" s="1">
        <v>27759</v>
      </c>
      <c r="Y3409" s="1">
        <v>42369</v>
      </c>
      <c r="Z3409" t="s">
        <v>51</v>
      </c>
      <c r="AB3409" t="s">
        <v>54</v>
      </c>
      <c r="AC3409">
        <v>1</v>
      </c>
      <c r="AE3409" t="s">
        <v>1212</v>
      </c>
      <c r="AF3409">
        <v>20</v>
      </c>
      <c r="AG3409" s="1">
        <v>31777</v>
      </c>
      <c r="AH3409" s="1">
        <v>31777</v>
      </c>
      <c r="AI3409" s="1">
        <v>31777</v>
      </c>
      <c r="AJ3409" s="1">
        <v>39082</v>
      </c>
      <c r="AK3409" t="s">
        <v>51</v>
      </c>
      <c r="AN3409">
        <v>0</v>
      </c>
      <c r="AO3409" t="s">
        <v>54</v>
      </c>
      <c r="AP3409" t="s">
        <v>53</v>
      </c>
      <c r="AQ3409">
        <v>0</v>
      </c>
      <c r="AR3409" t="s">
        <v>53</v>
      </c>
      <c r="AS3409">
        <v>0</v>
      </c>
      <c r="AT3409">
        <v>0</v>
      </c>
      <c r="AW3409" t="s">
        <v>58</v>
      </c>
      <c r="AX3409">
        <v>20</v>
      </c>
      <c r="AY3409" s="1">
        <v>31777</v>
      </c>
      <c r="AZ3409" s="1">
        <v>31777</v>
      </c>
      <c r="BA3409" s="1">
        <v>31777</v>
      </c>
      <c r="BB3409" s="1">
        <v>39082</v>
      </c>
      <c r="BC3409" t="s">
        <v>51</v>
      </c>
      <c r="BE3409" t="s">
        <v>54</v>
      </c>
      <c r="BF3409">
        <v>2</v>
      </c>
      <c r="BG3409">
        <v>0</v>
      </c>
      <c r="BH3409" t="s">
        <v>53</v>
      </c>
      <c r="BK3409" t="s">
        <v>720</v>
      </c>
      <c r="BL3409">
        <v>17000</v>
      </c>
      <c r="BM3409" s="1">
        <v>41091</v>
      </c>
      <c r="BN3409" s="1">
        <v>41091</v>
      </c>
      <c r="BO3409" s="1">
        <v>41091</v>
      </c>
      <c r="BP3409" s="1">
        <v>42513</v>
      </c>
      <c r="BQ3409" t="s">
        <v>51</v>
      </c>
      <c r="BS3409" t="s">
        <v>60</v>
      </c>
      <c r="BT3409" t="s">
        <v>54</v>
      </c>
      <c r="BU3409" t="s">
        <v>721</v>
      </c>
      <c r="BV3409" t="s">
        <v>722</v>
      </c>
      <c r="BX3409">
        <v>18</v>
      </c>
      <c r="BY3409">
        <v>0</v>
      </c>
      <c r="BZ3409">
        <v>0</v>
      </c>
    </row>
    <row r="3410" spans="1:99" x14ac:dyDescent="0.2">
      <c r="A3410" t="s">
        <v>367</v>
      </c>
      <c r="B3410" t="s">
        <v>368</v>
      </c>
      <c r="C3410" t="s">
        <v>369</v>
      </c>
      <c r="D3410" t="s">
        <v>1493</v>
      </c>
      <c r="F3410" t="str">
        <f>"26412"</f>
        <v>26412</v>
      </c>
      <c r="G3410" t="s">
        <v>49</v>
      </c>
      <c r="H3410" t="s">
        <v>1495</v>
      </c>
      <c r="K3410" t="s">
        <v>51</v>
      </c>
      <c r="L3410" t="s">
        <v>52</v>
      </c>
      <c r="M3410">
        <v>137720.49</v>
      </c>
      <c r="N3410">
        <v>468634.31</v>
      </c>
      <c r="O3410" t="s">
        <v>53</v>
      </c>
      <c r="P3410" t="s">
        <v>54</v>
      </c>
      <c r="Q3410" t="s">
        <v>55</v>
      </c>
      <c r="T3410" t="s">
        <v>841</v>
      </c>
      <c r="U3410">
        <v>40</v>
      </c>
      <c r="V3410" s="1">
        <v>27759</v>
      </c>
      <c r="W3410" s="1">
        <v>27759</v>
      </c>
      <c r="X3410" s="1">
        <v>27759</v>
      </c>
      <c r="Y3410" s="1">
        <v>42369</v>
      </c>
      <c r="Z3410" t="s">
        <v>51</v>
      </c>
      <c r="AB3410" t="s">
        <v>54</v>
      </c>
      <c r="AC3410">
        <v>1</v>
      </c>
      <c r="AE3410" t="s">
        <v>1212</v>
      </c>
      <c r="AF3410">
        <v>20</v>
      </c>
      <c r="AG3410" s="1">
        <v>31777</v>
      </c>
      <c r="AH3410" s="1">
        <v>31777</v>
      </c>
      <c r="AI3410" s="1">
        <v>31777</v>
      </c>
      <c r="AJ3410" s="1">
        <v>39082</v>
      </c>
      <c r="AK3410" t="s">
        <v>51</v>
      </c>
      <c r="AN3410">
        <v>0</v>
      </c>
      <c r="AO3410" t="s">
        <v>54</v>
      </c>
      <c r="AP3410" t="s">
        <v>53</v>
      </c>
      <c r="AQ3410">
        <v>0</v>
      </c>
      <c r="AR3410" t="s">
        <v>53</v>
      </c>
      <c r="AS3410">
        <v>0</v>
      </c>
      <c r="AT3410">
        <v>0</v>
      </c>
      <c r="AW3410" t="s">
        <v>58</v>
      </c>
      <c r="AX3410">
        <v>20</v>
      </c>
      <c r="AY3410" s="1">
        <v>31777</v>
      </c>
      <c r="AZ3410" s="1">
        <v>31777</v>
      </c>
      <c r="BA3410" s="1">
        <v>31777</v>
      </c>
      <c r="BB3410" s="1">
        <v>39082</v>
      </c>
      <c r="BC3410" t="s">
        <v>51</v>
      </c>
      <c r="BE3410" t="s">
        <v>54</v>
      </c>
      <c r="BF3410">
        <v>2</v>
      </c>
      <c r="BG3410">
        <v>0</v>
      </c>
      <c r="BH3410" t="s">
        <v>53</v>
      </c>
      <c r="BK3410" t="s">
        <v>720</v>
      </c>
      <c r="BL3410">
        <v>17000</v>
      </c>
      <c r="BM3410" s="1">
        <v>44802</v>
      </c>
      <c r="BN3410" s="1">
        <v>44802</v>
      </c>
      <c r="BO3410" s="1">
        <v>44802</v>
      </c>
      <c r="BP3410" s="1">
        <v>46232</v>
      </c>
      <c r="BQ3410" t="s">
        <v>51</v>
      </c>
      <c r="BS3410" t="s">
        <v>60</v>
      </c>
      <c r="BT3410" t="s">
        <v>54</v>
      </c>
      <c r="BU3410" t="s">
        <v>721</v>
      </c>
      <c r="BV3410" t="s">
        <v>722</v>
      </c>
      <c r="BX3410">
        <v>18</v>
      </c>
      <c r="BY3410">
        <v>0</v>
      </c>
      <c r="BZ3410">
        <v>0</v>
      </c>
    </row>
    <row r="3411" spans="1:99" x14ac:dyDescent="0.2">
      <c r="A3411" t="s">
        <v>367</v>
      </c>
      <c r="B3411" t="s">
        <v>368</v>
      </c>
      <c r="C3411" t="s">
        <v>369</v>
      </c>
      <c r="D3411" t="s">
        <v>1493</v>
      </c>
      <c r="F3411" t="str">
        <f>"26413"</f>
        <v>26413</v>
      </c>
      <c r="G3411" t="s">
        <v>49</v>
      </c>
      <c r="H3411" t="s">
        <v>1418</v>
      </c>
      <c r="K3411" t="s">
        <v>51</v>
      </c>
      <c r="L3411" t="s">
        <v>52</v>
      </c>
      <c r="M3411">
        <v>137741.12</v>
      </c>
      <c r="N3411">
        <v>468602.11</v>
      </c>
      <c r="O3411" t="s">
        <v>53</v>
      </c>
      <c r="P3411" t="s">
        <v>54</v>
      </c>
      <c r="Q3411" t="s">
        <v>55</v>
      </c>
      <c r="T3411" t="s">
        <v>841</v>
      </c>
      <c r="U3411">
        <v>40</v>
      </c>
      <c r="V3411" s="1">
        <v>27759</v>
      </c>
      <c r="W3411" s="1">
        <v>27759</v>
      </c>
      <c r="X3411" s="1">
        <v>27759</v>
      </c>
      <c r="Y3411" s="1">
        <v>42369</v>
      </c>
      <c r="Z3411" t="s">
        <v>51</v>
      </c>
      <c r="AB3411" t="s">
        <v>54</v>
      </c>
      <c r="AC3411">
        <v>1</v>
      </c>
      <c r="AE3411" t="s">
        <v>1212</v>
      </c>
      <c r="AF3411">
        <v>20</v>
      </c>
      <c r="AG3411" s="1">
        <v>31777</v>
      </c>
      <c r="AH3411" s="1">
        <v>31777</v>
      </c>
      <c r="AI3411" s="1">
        <v>31777</v>
      </c>
      <c r="AJ3411" s="1">
        <v>39082</v>
      </c>
      <c r="AK3411" t="s">
        <v>51</v>
      </c>
      <c r="AN3411">
        <v>0</v>
      </c>
      <c r="AO3411" t="s">
        <v>54</v>
      </c>
      <c r="AP3411" t="s">
        <v>53</v>
      </c>
      <c r="AQ3411">
        <v>0</v>
      </c>
      <c r="AR3411" t="s">
        <v>53</v>
      </c>
      <c r="AS3411">
        <v>0</v>
      </c>
      <c r="AT3411">
        <v>0</v>
      </c>
      <c r="AW3411" t="s">
        <v>58</v>
      </c>
      <c r="AX3411">
        <v>20</v>
      </c>
      <c r="AY3411" s="1">
        <v>31777</v>
      </c>
      <c r="AZ3411" s="1">
        <v>31777</v>
      </c>
      <c r="BA3411" s="1">
        <v>31777</v>
      </c>
      <c r="BB3411" s="1">
        <v>39082</v>
      </c>
      <c r="BC3411" t="s">
        <v>51</v>
      </c>
      <c r="BE3411" t="s">
        <v>54</v>
      </c>
      <c r="BF3411">
        <v>2</v>
      </c>
      <c r="BG3411">
        <v>0</v>
      </c>
      <c r="BH3411" t="s">
        <v>53</v>
      </c>
      <c r="BK3411" t="s">
        <v>720</v>
      </c>
      <c r="BL3411">
        <v>17000</v>
      </c>
      <c r="BM3411" s="1">
        <v>44837</v>
      </c>
      <c r="BN3411" s="1">
        <v>44837</v>
      </c>
      <c r="BO3411" s="1">
        <v>44837</v>
      </c>
      <c r="BP3411" s="1">
        <v>46274</v>
      </c>
      <c r="BQ3411" t="s">
        <v>51</v>
      </c>
      <c r="BS3411" t="s">
        <v>60</v>
      </c>
      <c r="BT3411" t="s">
        <v>54</v>
      </c>
      <c r="BU3411" t="s">
        <v>721</v>
      </c>
      <c r="BV3411" t="s">
        <v>722</v>
      </c>
      <c r="BX3411">
        <v>18</v>
      </c>
      <c r="BY3411">
        <v>0</v>
      </c>
      <c r="BZ3411">
        <v>0</v>
      </c>
    </row>
    <row r="3412" spans="1:99" x14ac:dyDescent="0.2">
      <c r="A3412" t="s">
        <v>367</v>
      </c>
      <c r="B3412" t="s">
        <v>368</v>
      </c>
      <c r="C3412" t="s">
        <v>369</v>
      </c>
      <c r="D3412" t="s">
        <v>1493</v>
      </c>
      <c r="F3412" t="str">
        <f>"26414"</f>
        <v>26414</v>
      </c>
      <c r="G3412" t="s">
        <v>49</v>
      </c>
      <c r="H3412" t="s">
        <v>1496</v>
      </c>
      <c r="K3412" t="s">
        <v>51</v>
      </c>
      <c r="L3412" t="s">
        <v>52</v>
      </c>
      <c r="M3412">
        <v>137760.85999999999</v>
      </c>
      <c r="N3412">
        <v>468566.69</v>
      </c>
      <c r="O3412" t="s">
        <v>53</v>
      </c>
      <c r="P3412" t="s">
        <v>54</v>
      </c>
      <c r="Q3412" t="s">
        <v>55</v>
      </c>
      <c r="T3412" t="s">
        <v>841</v>
      </c>
      <c r="U3412">
        <v>40</v>
      </c>
      <c r="V3412" s="1">
        <v>27759</v>
      </c>
      <c r="W3412" s="1">
        <v>27759</v>
      </c>
      <c r="X3412" s="1">
        <v>27759</v>
      </c>
      <c r="Y3412" s="1">
        <v>42369</v>
      </c>
      <c r="Z3412" t="s">
        <v>51</v>
      </c>
      <c r="AB3412" t="s">
        <v>54</v>
      </c>
      <c r="AC3412">
        <v>1</v>
      </c>
      <c r="AE3412" t="s">
        <v>1212</v>
      </c>
      <c r="AF3412">
        <v>20</v>
      </c>
      <c r="AG3412" s="1">
        <v>31777</v>
      </c>
      <c r="AH3412" s="1">
        <v>31777</v>
      </c>
      <c r="AI3412" s="1">
        <v>31777</v>
      </c>
      <c r="AJ3412" s="1">
        <v>39082</v>
      </c>
      <c r="AK3412" t="s">
        <v>51</v>
      </c>
      <c r="AN3412">
        <v>0</v>
      </c>
      <c r="AO3412" t="s">
        <v>54</v>
      </c>
      <c r="AP3412" t="s">
        <v>53</v>
      </c>
      <c r="AQ3412">
        <v>0</v>
      </c>
      <c r="AR3412" t="s">
        <v>53</v>
      </c>
      <c r="AS3412">
        <v>0</v>
      </c>
      <c r="AT3412">
        <v>0</v>
      </c>
      <c r="AW3412" t="s">
        <v>58</v>
      </c>
      <c r="AX3412">
        <v>20</v>
      </c>
      <c r="AY3412" s="1">
        <v>31777</v>
      </c>
      <c r="AZ3412" s="1">
        <v>31777</v>
      </c>
      <c r="BA3412" s="1">
        <v>31777</v>
      </c>
      <c r="BB3412" s="1">
        <v>39082</v>
      </c>
      <c r="BC3412" t="s">
        <v>51</v>
      </c>
      <c r="BE3412" t="s">
        <v>54</v>
      </c>
      <c r="BF3412">
        <v>2</v>
      </c>
      <c r="BG3412">
        <v>0</v>
      </c>
      <c r="BH3412" t="s">
        <v>53</v>
      </c>
      <c r="BK3412" t="s">
        <v>720</v>
      </c>
      <c r="BL3412">
        <v>17000</v>
      </c>
      <c r="BM3412" s="1">
        <v>43591</v>
      </c>
      <c r="BN3412" s="1">
        <v>43591</v>
      </c>
      <c r="BO3412" s="1">
        <v>43591</v>
      </c>
      <c r="BP3412" s="1">
        <v>45021</v>
      </c>
      <c r="BQ3412" t="s">
        <v>51</v>
      </c>
      <c r="BS3412" t="s">
        <v>60</v>
      </c>
      <c r="BT3412" t="s">
        <v>54</v>
      </c>
      <c r="BU3412" t="s">
        <v>721</v>
      </c>
      <c r="BV3412" t="s">
        <v>722</v>
      </c>
      <c r="BX3412">
        <v>18</v>
      </c>
      <c r="BY3412">
        <v>0</v>
      </c>
      <c r="BZ3412">
        <v>0</v>
      </c>
    </row>
    <row r="3413" spans="1:99" x14ac:dyDescent="0.2">
      <c r="A3413" t="s">
        <v>367</v>
      </c>
      <c r="B3413" t="s">
        <v>368</v>
      </c>
      <c r="C3413" t="s">
        <v>369</v>
      </c>
      <c r="D3413" t="s">
        <v>1497</v>
      </c>
      <c r="F3413" t="str">
        <f>"26638"</f>
        <v>26638</v>
      </c>
      <c r="G3413" t="s">
        <v>49</v>
      </c>
      <c r="H3413" t="s">
        <v>1498</v>
      </c>
      <c r="K3413" t="s">
        <v>51</v>
      </c>
      <c r="L3413" t="s">
        <v>52</v>
      </c>
      <c r="M3413">
        <v>138029.85999999999</v>
      </c>
      <c r="N3413">
        <v>468006.32</v>
      </c>
      <c r="O3413" t="s">
        <v>53</v>
      </c>
      <c r="P3413" t="s">
        <v>54</v>
      </c>
      <c r="Q3413" t="s">
        <v>55</v>
      </c>
      <c r="T3413" t="s">
        <v>818</v>
      </c>
      <c r="U3413">
        <v>40</v>
      </c>
      <c r="V3413" s="1">
        <v>40861</v>
      </c>
      <c r="W3413" s="1">
        <v>40861</v>
      </c>
      <c r="X3413" s="1">
        <v>40861</v>
      </c>
      <c r="Y3413" s="1">
        <v>55471</v>
      </c>
      <c r="Z3413" t="s">
        <v>51</v>
      </c>
      <c r="AB3413" t="s">
        <v>54</v>
      </c>
      <c r="AC3413">
        <v>1</v>
      </c>
      <c r="AE3413" t="s">
        <v>1499</v>
      </c>
      <c r="AF3413">
        <v>20</v>
      </c>
      <c r="AG3413" s="1">
        <v>40861</v>
      </c>
      <c r="AH3413" s="1">
        <v>40861</v>
      </c>
      <c r="AI3413" s="1">
        <v>40861</v>
      </c>
      <c r="AJ3413" s="1">
        <v>48166</v>
      </c>
      <c r="AK3413" t="s">
        <v>51</v>
      </c>
      <c r="AN3413">
        <v>0</v>
      </c>
      <c r="AO3413" t="s">
        <v>54</v>
      </c>
      <c r="AP3413" t="s">
        <v>53</v>
      </c>
      <c r="AQ3413">
        <v>0</v>
      </c>
      <c r="AR3413" t="s">
        <v>53</v>
      </c>
      <c r="AS3413">
        <v>0</v>
      </c>
      <c r="AT3413">
        <v>0</v>
      </c>
      <c r="CC3413" t="s">
        <v>1500</v>
      </c>
      <c r="CD3413">
        <v>85000</v>
      </c>
      <c r="CE3413" s="1">
        <v>42552</v>
      </c>
      <c r="CF3413" s="1">
        <v>42552</v>
      </c>
      <c r="CG3413" s="1">
        <v>42552</v>
      </c>
      <c r="CH3413" s="1">
        <v>49714</v>
      </c>
      <c r="CI3413" t="s">
        <v>51</v>
      </c>
      <c r="CK3413" t="s">
        <v>78</v>
      </c>
      <c r="CM3413" t="s">
        <v>54</v>
      </c>
      <c r="CN3413" t="s">
        <v>174</v>
      </c>
      <c r="CO3413" t="s">
        <v>86</v>
      </c>
      <c r="CR3413">
        <v>32</v>
      </c>
      <c r="CS3413">
        <v>0</v>
      </c>
      <c r="CT3413">
        <v>0</v>
      </c>
      <c r="CU3413">
        <v>0</v>
      </c>
    </row>
    <row r="3414" spans="1:99" x14ac:dyDescent="0.2">
      <c r="A3414" t="s">
        <v>367</v>
      </c>
      <c r="B3414" t="s">
        <v>368</v>
      </c>
      <c r="C3414" t="s">
        <v>369</v>
      </c>
      <c r="D3414" t="s">
        <v>369</v>
      </c>
      <c r="F3414" t="str">
        <f>"26836"</f>
        <v>26836</v>
      </c>
      <c r="G3414" t="s">
        <v>49</v>
      </c>
      <c r="H3414" t="s">
        <v>1501</v>
      </c>
      <c r="K3414" t="s">
        <v>51</v>
      </c>
      <c r="L3414" t="s">
        <v>52</v>
      </c>
      <c r="M3414">
        <v>136470.07</v>
      </c>
      <c r="N3414">
        <v>467089.81900000002</v>
      </c>
      <c r="O3414" t="s">
        <v>53</v>
      </c>
      <c r="P3414" t="s">
        <v>54</v>
      </c>
      <c r="Q3414" t="s">
        <v>55</v>
      </c>
      <c r="T3414" t="s">
        <v>818</v>
      </c>
      <c r="U3414">
        <v>40</v>
      </c>
      <c r="V3414" s="1">
        <v>28490</v>
      </c>
      <c r="W3414" s="1">
        <v>28490</v>
      </c>
      <c r="X3414" s="1">
        <v>28490</v>
      </c>
      <c r="Y3414" s="1">
        <v>43100</v>
      </c>
      <c r="Z3414" t="s">
        <v>51</v>
      </c>
      <c r="AB3414" t="s">
        <v>54</v>
      </c>
      <c r="AC3414">
        <v>1</v>
      </c>
      <c r="AE3414" t="s">
        <v>827</v>
      </c>
      <c r="AF3414">
        <v>20</v>
      </c>
      <c r="AG3414" s="1">
        <v>31777</v>
      </c>
      <c r="AH3414" s="1">
        <v>31777</v>
      </c>
      <c r="AI3414" s="1">
        <v>31777</v>
      </c>
      <c r="AJ3414" s="1">
        <v>39082</v>
      </c>
      <c r="AK3414" t="s">
        <v>51</v>
      </c>
      <c r="AN3414">
        <v>0</v>
      </c>
      <c r="AO3414" t="s">
        <v>54</v>
      </c>
      <c r="AP3414" t="s">
        <v>53</v>
      </c>
      <c r="AQ3414">
        <v>0</v>
      </c>
      <c r="AR3414" t="s">
        <v>53</v>
      </c>
      <c r="AS3414">
        <v>0</v>
      </c>
      <c r="AT3414">
        <v>0</v>
      </c>
      <c r="CC3414" t="s">
        <v>850</v>
      </c>
      <c r="CD3414">
        <v>1</v>
      </c>
      <c r="CE3414" s="1">
        <v>42552</v>
      </c>
      <c r="CF3414" s="1">
        <v>42552</v>
      </c>
      <c r="CG3414" s="1">
        <v>42552</v>
      </c>
      <c r="CH3414" s="1">
        <v>49714</v>
      </c>
      <c r="CI3414" t="s">
        <v>51</v>
      </c>
      <c r="CK3414" t="s">
        <v>78</v>
      </c>
      <c r="CM3414" t="s">
        <v>54</v>
      </c>
      <c r="CN3414" t="s">
        <v>174</v>
      </c>
      <c r="CO3414" t="s">
        <v>86</v>
      </c>
      <c r="CR3414">
        <v>18</v>
      </c>
      <c r="CS3414">
        <v>0</v>
      </c>
      <c r="CT3414">
        <v>0</v>
      </c>
      <c r="CU3414">
        <v>0</v>
      </c>
    </row>
    <row r="3415" spans="1:99" x14ac:dyDescent="0.2">
      <c r="A3415" t="s">
        <v>367</v>
      </c>
      <c r="B3415" t="s">
        <v>368</v>
      </c>
      <c r="C3415" t="s">
        <v>369</v>
      </c>
      <c r="D3415" t="s">
        <v>1186</v>
      </c>
      <c r="F3415" t="str">
        <f>"26857"</f>
        <v>26857</v>
      </c>
      <c r="G3415" t="s">
        <v>49</v>
      </c>
      <c r="H3415" t="s">
        <v>1326</v>
      </c>
      <c r="K3415" t="s">
        <v>51</v>
      </c>
      <c r="L3415" t="s">
        <v>52</v>
      </c>
      <c r="M3415">
        <v>137839.94</v>
      </c>
      <c r="N3415">
        <v>467480.82</v>
      </c>
      <c r="O3415" t="s">
        <v>53</v>
      </c>
      <c r="P3415" t="s">
        <v>54</v>
      </c>
      <c r="Q3415" t="s">
        <v>55</v>
      </c>
      <c r="T3415" t="s">
        <v>841</v>
      </c>
      <c r="U3415">
        <v>40</v>
      </c>
      <c r="V3415" s="1">
        <v>28490</v>
      </c>
      <c r="W3415" s="1">
        <v>28490</v>
      </c>
      <c r="X3415" s="1">
        <v>28490</v>
      </c>
      <c r="Y3415" s="1">
        <v>43100</v>
      </c>
      <c r="Z3415" t="s">
        <v>51</v>
      </c>
      <c r="AB3415" t="s">
        <v>54</v>
      </c>
      <c r="AC3415">
        <v>1</v>
      </c>
      <c r="AE3415" t="s">
        <v>1212</v>
      </c>
      <c r="AF3415">
        <v>20</v>
      </c>
      <c r="AG3415" s="1">
        <v>31777</v>
      </c>
      <c r="AH3415" s="1">
        <v>31777</v>
      </c>
      <c r="AI3415" s="1">
        <v>31777</v>
      </c>
      <c r="AJ3415" s="1">
        <v>39082</v>
      </c>
      <c r="AK3415" t="s">
        <v>51</v>
      </c>
      <c r="AN3415">
        <v>0</v>
      </c>
      <c r="AO3415" t="s">
        <v>54</v>
      </c>
      <c r="AP3415" t="s">
        <v>53</v>
      </c>
      <c r="AQ3415">
        <v>0</v>
      </c>
      <c r="AR3415" t="s">
        <v>53</v>
      </c>
      <c r="AS3415">
        <v>0</v>
      </c>
      <c r="AT3415">
        <v>0</v>
      </c>
      <c r="AW3415" t="s">
        <v>58</v>
      </c>
      <c r="AX3415">
        <v>20</v>
      </c>
      <c r="AY3415" s="1">
        <v>31777</v>
      </c>
      <c r="AZ3415" s="1">
        <v>31777</v>
      </c>
      <c r="BA3415" s="1">
        <v>31777</v>
      </c>
      <c r="BB3415" s="1">
        <v>39082</v>
      </c>
      <c r="BC3415" t="s">
        <v>51</v>
      </c>
      <c r="BE3415" t="s">
        <v>54</v>
      </c>
      <c r="BF3415">
        <v>2</v>
      </c>
      <c r="BG3415">
        <v>0</v>
      </c>
      <c r="BH3415" t="s">
        <v>53</v>
      </c>
      <c r="BK3415" t="s">
        <v>720</v>
      </c>
      <c r="BL3415">
        <v>17000</v>
      </c>
      <c r="BM3415" s="1">
        <v>44551</v>
      </c>
      <c r="BN3415" s="1">
        <v>44551</v>
      </c>
      <c r="BO3415" s="1">
        <v>44551</v>
      </c>
      <c r="BP3415" s="1">
        <v>45993</v>
      </c>
      <c r="BQ3415" t="s">
        <v>51</v>
      </c>
      <c r="BS3415" t="s">
        <v>60</v>
      </c>
      <c r="BT3415" t="s">
        <v>54</v>
      </c>
      <c r="BU3415" t="s">
        <v>721</v>
      </c>
      <c r="BV3415" t="s">
        <v>722</v>
      </c>
      <c r="BX3415">
        <v>18</v>
      </c>
      <c r="BY3415">
        <v>0</v>
      </c>
      <c r="BZ3415">
        <v>0</v>
      </c>
    </row>
    <row r="3416" spans="1:99" x14ac:dyDescent="0.2">
      <c r="A3416" t="s">
        <v>367</v>
      </c>
      <c r="B3416" t="s">
        <v>368</v>
      </c>
      <c r="C3416" t="s">
        <v>369</v>
      </c>
      <c r="D3416" t="s">
        <v>1186</v>
      </c>
      <c r="F3416" t="str">
        <f>"26858"</f>
        <v>26858</v>
      </c>
      <c r="G3416" t="s">
        <v>49</v>
      </c>
      <c r="H3416" t="s">
        <v>1227</v>
      </c>
      <c r="K3416" t="s">
        <v>51</v>
      </c>
      <c r="L3416" t="s">
        <v>52</v>
      </c>
      <c r="M3416">
        <v>137858.42000000001</v>
      </c>
      <c r="N3416">
        <v>467473.26</v>
      </c>
      <c r="O3416" t="s">
        <v>53</v>
      </c>
      <c r="P3416" t="s">
        <v>54</v>
      </c>
      <c r="Q3416" t="s">
        <v>55</v>
      </c>
      <c r="T3416" t="s">
        <v>841</v>
      </c>
      <c r="U3416">
        <v>40</v>
      </c>
      <c r="V3416" s="1">
        <v>28490</v>
      </c>
      <c r="W3416" s="1">
        <v>28490</v>
      </c>
      <c r="X3416" s="1">
        <v>28490</v>
      </c>
      <c r="Y3416" s="1">
        <v>43100</v>
      </c>
      <c r="Z3416" t="s">
        <v>51</v>
      </c>
      <c r="AB3416" t="s">
        <v>54</v>
      </c>
      <c r="AC3416">
        <v>1</v>
      </c>
      <c r="AE3416" t="s">
        <v>1212</v>
      </c>
      <c r="AF3416">
        <v>20</v>
      </c>
      <c r="AG3416" s="1">
        <v>31777</v>
      </c>
      <c r="AH3416" s="1">
        <v>31777</v>
      </c>
      <c r="AI3416" s="1">
        <v>31777</v>
      </c>
      <c r="AJ3416" s="1">
        <v>39082</v>
      </c>
      <c r="AK3416" t="s">
        <v>51</v>
      </c>
      <c r="AN3416">
        <v>0</v>
      </c>
      <c r="AO3416" t="s">
        <v>54</v>
      </c>
      <c r="AP3416" t="s">
        <v>53</v>
      </c>
      <c r="AQ3416">
        <v>0</v>
      </c>
      <c r="AR3416" t="s">
        <v>53</v>
      </c>
      <c r="AS3416">
        <v>0</v>
      </c>
      <c r="AT3416">
        <v>0</v>
      </c>
      <c r="AW3416" t="s">
        <v>58</v>
      </c>
      <c r="AX3416">
        <v>20</v>
      </c>
      <c r="AY3416" s="1">
        <v>31777</v>
      </c>
      <c r="AZ3416" s="1">
        <v>31777</v>
      </c>
      <c r="BA3416" s="1">
        <v>31777</v>
      </c>
      <c r="BB3416" s="1">
        <v>39082</v>
      </c>
      <c r="BC3416" t="s">
        <v>51</v>
      </c>
      <c r="BE3416" t="s">
        <v>54</v>
      </c>
      <c r="BF3416">
        <v>2</v>
      </c>
      <c r="BG3416">
        <v>0</v>
      </c>
      <c r="BH3416" t="s">
        <v>53</v>
      </c>
      <c r="BK3416" t="s">
        <v>720</v>
      </c>
      <c r="BL3416">
        <v>17000</v>
      </c>
      <c r="BM3416" s="1">
        <v>44942</v>
      </c>
      <c r="BN3416" s="1">
        <v>44942</v>
      </c>
      <c r="BO3416" s="1">
        <v>44942</v>
      </c>
      <c r="BP3416" s="1">
        <v>46384</v>
      </c>
      <c r="BQ3416" t="s">
        <v>51</v>
      </c>
      <c r="BS3416" t="s">
        <v>60</v>
      </c>
      <c r="BT3416" t="s">
        <v>54</v>
      </c>
      <c r="BU3416" t="s">
        <v>721</v>
      </c>
      <c r="BV3416" t="s">
        <v>722</v>
      </c>
      <c r="BX3416">
        <v>18</v>
      </c>
      <c r="BY3416">
        <v>0</v>
      </c>
      <c r="BZ3416">
        <v>0</v>
      </c>
    </row>
    <row r="3417" spans="1:99" x14ac:dyDescent="0.2">
      <c r="A3417" t="s">
        <v>367</v>
      </c>
      <c r="B3417" t="s">
        <v>368</v>
      </c>
      <c r="C3417" t="s">
        <v>369</v>
      </c>
      <c r="D3417" t="s">
        <v>1186</v>
      </c>
      <c r="F3417" t="str">
        <f>"26859"</f>
        <v>26859</v>
      </c>
      <c r="G3417" t="s">
        <v>49</v>
      </c>
      <c r="H3417" t="s">
        <v>1502</v>
      </c>
      <c r="K3417" t="s">
        <v>51</v>
      </c>
      <c r="L3417" t="s">
        <v>52</v>
      </c>
      <c r="M3417">
        <v>137878.72</v>
      </c>
      <c r="N3417">
        <v>467473.4</v>
      </c>
      <c r="O3417" t="s">
        <v>53</v>
      </c>
      <c r="P3417" t="s">
        <v>54</v>
      </c>
      <c r="Q3417" t="s">
        <v>55</v>
      </c>
      <c r="T3417" t="s">
        <v>841</v>
      </c>
      <c r="U3417">
        <v>40</v>
      </c>
      <c r="V3417" s="1">
        <v>28490</v>
      </c>
      <c r="W3417" s="1">
        <v>28490</v>
      </c>
      <c r="X3417" s="1">
        <v>28490</v>
      </c>
      <c r="Y3417" s="1">
        <v>43100</v>
      </c>
      <c r="Z3417" t="s">
        <v>51</v>
      </c>
      <c r="AB3417" t="s">
        <v>54</v>
      </c>
      <c r="AC3417">
        <v>1</v>
      </c>
      <c r="AE3417" t="s">
        <v>1212</v>
      </c>
      <c r="AF3417">
        <v>20</v>
      </c>
      <c r="AG3417" s="1">
        <v>31777</v>
      </c>
      <c r="AH3417" s="1">
        <v>31777</v>
      </c>
      <c r="AI3417" s="1">
        <v>31777</v>
      </c>
      <c r="AJ3417" s="1">
        <v>39082</v>
      </c>
      <c r="AK3417" t="s">
        <v>51</v>
      </c>
      <c r="AN3417">
        <v>0</v>
      </c>
      <c r="AO3417" t="s">
        <v>54</v>
      </c>
      <c r="AP3417" t="s">
        <v>53</v>
      </c>
      <c r="AQ3417">
        <v>0</v>
      </c>
      <c r="AR3417" t="s">
        <v>53</v>
      </c>
      <c r="AS3417">
        <v>0</v>
      </c>
      <c r="AT3417">
        <v>0</v>
      </c>
      <c r="AW3417" t="s">
        <v>58</v>
      </c>
      <c r="AX3417">
        <v>20</v>
      </c>
      <c r="AY3417" s="1">
        <v>31777</v>
      </c>
      <c r="AZ3417" s="1">
        <v>31777</v>
      </c>
      <c r="BA3417" s="1">
        <v>31777</v>
      </c>
      <c r="BB3417" s="1">
        <v>39082</v>
      </c>
      <c r="BC3417" t="s">
        <v>51</v>
      </c>
      <c r="BE3417" t="s">
        <v>54</v>
      </c>
      <c r="BF3417">
        <v>2</v>
      </c>
      <c r="BG3417">
        <v>0</v>
      </c>
      <c r="BH3417" t="s">
        <v>53</v>
      </c>
      <c r="BK3417" t="s">
        <v>720</v>
      </c>
      <c r="BL3417">
        <v>17000</v>
      </c>
      <c r="BM3417" s="1">
        <v>43858</v>
      </c>
      <c r="BN3417" s="1">
        <v>43858</v>
      </c>
      <c r="BO3417" s="1">
        <v>43858</v>
      </c>
      <c r="BP3417" s="1">
        <v>45301</v>
      </c>
      <c r="BQ3417" t="s">
        <v>51</v>
      </c>
      <c r="BS3417" t="s">
        <v>60</v>
      </c>
      <c r="BT3417" t="s">
        <v>54</v>
      </c>
      <c r="BU3417" t="s">
        <v>721</v>
      </c>
      <c r="BV3417" t="s">
        <v>722</v>
      </c>
      <c r="BX3417">
        <v>18</v>
      </c>
      <c r="BY3417">
        <v>0</v>
      </c>
      <c r="BZ3417">
        <v>0</v>
      </c>
    </row>
    <row r="3418" spans="1:99" x14ac:dyDescent="0.2">
      <c r="A3418" t="s">
        <v>367</v>
      </c>
      <c r="B3418" t="s">
        <v>368</v>
      </c>
      <c r="C3418" t="s">
        <v>369</v>
      </c>
      <c r="D3418" t="s">
        <v>1186</v>
      </c>
      <c r="F3418" t="str">
        <f>"26860"</f>
        <v>26860</v>
      </c>
      <c r="G3418" t="s">
        <v>49</v>
      </c>
      <c r="H3418" t="s">
        <v>1214</v>
      </c>
      <c r="K3418" t="s">
        <v>51</v>
      </c>
      <c r="L3418" t="s">
        <v>52</v>
      </c>
      <c r="M3418">
        <v>137891.12</v>
      </c>
      <c r="N3418">
        <v>467460.27</v>
      </c>
      <c r="O3418" t="s">
        <v>53</v>
      </c>
      <c r="P3418" t="s">
        <v>54</v>
      </c>
      <c r="Q3418" t="s">
        <v>55</v>
      </c>
      <c r="T3418" t="s">
        <v>841</v>
      </c>
      <c r="U3418">
        <v>40</v>
      </c>
      <c r="V3418" s="1">
        <v>28490</v>
      </c>
      <c r="W3418" s="1">
        <v>28490</v>
      </c>
      <c r="X3418" s="1">
        <v>28490</v>
      </c>
      <c r="Y3418" s="1">
        <v>43100</v>
      </c>
      <c r="Z3418" t="s">
        <v>51</v>
      </c>
      <c r="AB3418" t="s">
        <v>54</v>
      </c>
      <c r="AC3418">
        <v>1</v>
      </c>
      <c r="AE3418" t="s">
        <v>356</v>
      </c>
      <c r="AF3418">
        <v>20</v>
      </c>
      <c r="AG3418" s="1">
        <v>43969</v>
      </c>
      <c r="AH3418" s="1">
        <v>43969</v>
      </c>
      <c r="AI3418" s="1">
        <v>43969</v>
      </c>
      <c r="AJ3418" s="1">
        <v>51274</v>
      </c>
      <c r="AK3418" t="s">
        <v>51</v>
      </c>
      <c r="AN3418">
        <v>0</v>
      </c>
      <c r="AO3418" t="s">
        <v>54</v>
      </c>
      <c r="AP3418" t="s">
        <v>53</v>
      </c>
      <c r="AQ3418">
        <v>0</v>
      </c>
      <c r="AR3418" t="s">
        <v>145</v>
      </c>
      <c r="AS3418">
        <v>0</v>
      </c>
      <c r="AT3418">
        <v>0</v>
      </c>
      <c r="CC3418" t="s">
        <v>432</v>
      </c>
      <c r="CD3418">
        <v>85000</v>
      </c>
      <c r="CE3418" s="1">
        <v>43969</v>
      </c>
      <c r="CF3418" s="1">
        <v>43969</v>
      </c>
      <c r="CG3418" s="1">
        <v>43969</v>
      </c>
      <c r="CH3418" s="1">
        <v>51573</v>
      </c>
      <c r="CI3418" t="s">
        <v>51</v>
      </c>
      <c r="CK3418" t="s">
        <v>78</v>
      </c>
      <c r="CM3418" t="s">
        <v>54</v>
      </c>
      <c r="CN3418" t="s">
        <v>174</v>
      </c>
      <c r="CO3418" t="s">
        <v>86</v>
      </c>
      <c r="CR3418">
        <v>24</v>
      </c>
      <c r="CS3418">
        <v>0</v>
      </c>
      <c r="CT3418">
        <v>0</v>
      </c>
      <c r="CU3418">
        <v>0</v>
      </c>
    </row>
    <row r="3419" spans="1:99" x14ac:dyDescent="0.2">
      <c r="A3419" t="s">
        <v>367</v>
      </c>
      <c r="B3419" t="s">
        <v>368</v>
      </c>
      <c r="C3419" t="s">
        <v>369</v>
      </c>
      <c r="D3419" t="s">
        <v>1503</v>
      </c>
      <c r="F3419" t="str">
        <f>"26861"</f>
        <v>26861</v>
      </c>
      <c r="G3419" t="s">
        <v>49</v>
      </c>
      <c r="H3419" t="s">
        <v>1343</v>
      </c>
      <c r="K3419" t="s">
        <v>51</v>
      </c>
      <c r="L3419" t="s">
        <v>52</v>
      </c>
      <c r="M3419">
        <v>137928.14000000001</v>
      </c>
      <c r="N3419">
        <v>467565.57</v>
      </c>
      <c r="O3419" t="s">
        <v>53</v>
      </c>
      <c r="P3419" t="s">
        <v>54</v>
      </c>
      <c r="Q3419" t="s">
        <v>55</v>
      </c>
      <c r="T3419" t="s">
        <v>1504</v>
      </c>
      <c r="U3419">
        <v>40</v>
      </c>
      <c r="V3419" s="1">
        <v>28125</v>
      </c>
      <c r="W3419" s="1">
        <v>28125</v>
      </c>
      <c r="X3419" s="1">
        <v>28125</v>
      </c>
      <c r="Y3419" s="1">
        <v>42735</v>
      </c>
      <c r="Z3419" t="s">
        <v>51</v>
      </c>
      <c r="AB3419" t="s">
        <v>54</v>
      </c>
      <c r="AC3419">
        <v>1</v>
      </c>
      <c r="AE3419" t="s">
        <v>1212</v>
      </c>
      <c r="AF3419">
        <v>20</v>
      </c>
      <c r="AG3419" s="1">
        <v>31777</v>
      </c>
      <c r="AH3419" s="1">
        <v>31777</v>
      </c>
      <c r="AI3419" s="1">
        <v>31777</v>
      </c>
      <c r="AJ3419" s="1">
        <v>39082</v>
      </c>
      <c r="AK3419" t="s">
        <v>51</v>
      </c>
      <c r="AN3419">
        <v>0</v>
      </c>
      <c r="AO3419" t="s">
        <v>54</v>
      </c>
      <c r="AP3419" t="s">
        <v>53</v>
      </c>
      <c r="AQ3419">
        <v>0</v>
      </c>
      <c r="AR3419" t="s">
        <v>53</v>
      </c>
      <c r="AS3419">
        <v>0</v>
      </c>
      <c r="AT3419">
        <v>0</v>
      </c>
      <c r="AW3419" t="s">
        <v>58</v>
      </c>
      <c r="AX3419">
        <v>20</v>
      </c>
      <c r="AY3419" s="1">
        <v>31777</v>
      </c>
      <c r="AZ3419" s="1">
        <v>31777</v>
      </c>
      <c r="BA3419" s="1">
        <v>31777</v>
      </c>
      <c r="BB3419" s="1">
        <v>39082</v>
      </c>
      <c r="BC3419" t="s">
        <v>51</v>
      </c>
      <c r="BE3419" t="s">
        <v>54</v>
      </c>
      <c r="BF3419">
        <v>2</v>
      </c>
      <c r="BG3419">
        <v>0</v>
      </c>
      <c r="BH3419" t="s">
        <v>53</v>
      </c>
      <c r="BK3419" t="s">
        <v>720</v>
      </c>
      <c r="BL3419">
        <v>17000</v>
      </c>
      <c r="BM3419" s="1">
        <v>45061</v>
      </c>
      <c r="BN3419" s="1">
        <v>45061</v>
      </c>
      <c r="BO3419" s="1">
        <v>45061</v>
      </c>
      <c r="BP3419" s="1">
        <v>46490</v>
      </c>
      <c r="BQ3419" t="s">
        <v>51</v>
      </c>
      <c r="BS3419" t="s">
        <v>60</v>
      </c>
      <c r="BT3419" t="s">
        <v>54</v>
      </c>
      <c r="BU3419" t="s">
        <v>721</v>
      </c>
      <c r="BV3419" t="s">
        <v>722</v>
      </c>
      <c r="BX3419">
        <v>18</v>
      </c>
      <c r="BY3419">
        <v>0</v>
      </c>
      <c r="BZ3419">
        <v>0</v>
      </c>
    </row>
    <row r="3420" spans="1:99" x14ac:dyDescent="0.2">
      <c r="A3420" t="s">
        <v>367</v>
      </c>
      <c r="B3420" t="s">
        <v>368</v>
      </c>
      <c r="C3420" t="s">
        <v>369</v>
      </c>
      <c r="D3420" t="s">
        <v>1503</v>
      </c>
      <c r="F3420" t="str">
        <f>"26862"</f>
        <v>26862</v>
      </c>
      <c r="G3420" t="s">
        <v>49</v>
      </c>
      <c r="H3420" t="s">
        <v>1228</v>
      </c>
      <c r="K3420" t="s">
        <v>51</v>
      </c>
      <c r="L3420" t="s">
        <v>52</v>
      </c>
      <c r="M3420">
        <v>137910.71</v>
      </c>
      <c r="N3420">
        <v>467581.94</v>
      </c>
      <c r="O3420" t="s">
        <v>53</v>
      </c>
      <c r="P3420" t="s">
        <v>54</v>
      </c>
      <c r="Q3420" t="s">
        <v>55</v>
      </c>
      <c r="T3420" t="s">
        <v>1504</v>
      </c>
      <c r="U3420">
        <v>40</v>
      </c>
      <c r="V3420" s="1">
        <v>28125</v>
      </c>
      <c r="W3420" s="1">
        <v>28125</v>
      </c>
      <c r="X3420" s="1">
        <v>28125</v>
      </c>
      <c r="Y3420" s="1">
        <v>42735</v>
      </c>
      <c r="Z3420" t="s">
        <v>51</v>
      </c>
      <c r="AB3420" t="s">
        <v>54</v>
      </c>
      <c r="AC3420">
        <v>1</v>
      </c>
      <c r="AE3420" t="s">
        <v>1212</v>
      </c>
      <c r="AF3420">
        <v>20</v>
      </c>
      <c r="AG3420" s="1">
        <v>31777</v>
      </c>
      <c r="AH3420" s="1">
        <v>31777</v>
      </c>
      <c r="AI3420" s="1">
        <v>31777</v>
      </c>
      <c r="AJ3420" s="1">
        <v>39082</v>
      </c>
      <c r="AK3420" t="s">
        <v>51</v>
      </c>
      <c r="AN3420">
        <v>0</v>
      </c>
      <c r="AO3420" t="s">
        <v>54</v>
      </c>
      <c r="AP3420" t="s">
        <v>53</v>
      </c>
      <c r="AQ3420">
        <v>0</v>
      </c>
      <c r="AR3420" t="s">
        <v>53</v>
      </c>
      <c r="AS3420">
        <v>0</v>
      </c>
      <c r="AT3420">
        <v>0</v>
      </c>
      <c r="AW3420" t="s">
        <v>58</v>
      </c>
      <c r="AX3420">
        <v>20</v>
      </c>
      <c r="AY3420" s="1">
        <v>31777</v>
      </c>
      <c r="AZ3420" s="1">
        <v>31777</v>
      </c>
      <c r="BA3420" s="1">
        <v>31777</v>
      </c>
      <c r="BB3420" s="1">
        <v>39082</v>
      </c>
      <c r="BC3420" t="s">
        <v>51</v>
      </c>
      <c r="BE3420" t="s">
        <v>54</v>
      </c>
      <c r="BF3420">
        <v>2</v>
      </c>
      <c r="BG3420">
        <v>0</v>
      </c>
      <c r="BH3420" t="s">
        <v>53</v>
      </c>
      <c r="BK3420" t="s">
        <v>720</v>
      </c>
      <c r="BL3420">
        <v>17000</v>
      </c>
      <c r="BM3420" s="1">
        <v>44893</v>
      </c>
      <c r="BN3420" s="1">
        <v>44893</v>
      </c>
      <c r="BO3420" s="1">
        <v>44893</v>
      </c>
      <c r="BP3420" s="1">
        <v>46335</v>
      </c>
      <c r="BQ3420" t="s">
        <v>51</v>
      </c>
      <c r="BS3420" t="s">
        <v>60</v>
      </c>
      <c r="BT3420" t="s">
        <v>54</v>
      </c>
      <c r="BU3420" t="s">
        <v>721</v>
      </c>
      <c r="BV3420" t="s">
        <v>722</v>
      </c>
      <c r="BX3420">
        <v>18</v>
      </c>
      <c r="BY3420">
        <v>0</v>
      </c>
      <c r="BZ3420">
        <v>0</v>
      </c>
    </row>
    <row r="3421" spans="1:99" x14ac:dyDescent="0.2">
      <c r="A3421" t="s">
        <v>367</v>
      </c>
      <c r="B3421" t="s">
        <v>368</v>
      </c>
      <c r="C3421" t="s">
        <v>369</v>
      </c>
      <c r="D3421" t="s">
        <v>1503</v>
      </c>
      <c r="F3421" t="str">
        <f>"26863"</f>
        <v>26863</v>
      </c>
      <c r="G3421" t="s">
        <v>49</v>
      </c>
      <c r="H3421" t="s">
        <v>1502</v>
      </c>
      <c r="K3421" t="s">
        <v>51</v>
      </c>
      <c r="L3421" t="s">
        <v>52</v>
      </c>
      <c r="M3421">
        <v>137888.51999999999</v>
      </c>
      <c r="N3421">
        <v>467590.91</v>
      </c>
      <c r="O3421" t="s">
        <v>53</v>
      </c>
      <c r="P3421" t="s">
        <v>54</v>
      </c>
      <c r="Q3421" t="s">
        <v>55</v>
      </c>
      <c r="T3421" t="s">
        <v>1504</v>
      </c>
      <c r="U3421">
        <v>40</v>
      </c>
      <c r="V3421" s="1">
        <v>28125</v>
      </c>
      <c r="W3421" s="1">
        <v>28125</v>
      </c>
      <c r="X3421" s="1">
        <v>28125</v>
      </c>
      <c r="Y3421" s="1">
        <v>42735</v>
      </c>
      <c r="Z3421" t="s">
        <v>51</v>
      </c>
      <c r="AB3421" t="s">
        <v>54</v>
      </c>
      <c r="AC3421">
        <v>1</v>
      </c>
      <c r="AE3421" t="s">
        <v>1212</v>
      </c>
      <c r="AF3421">
        <v>20</v>
      </c>
      <c r="AG3421" s="1">
        <v>31777</v>
      </c>
      <c r="AH3421" s="1">
        <v>31777</v>
      </c>
      <c r="AI3421" s="1">
        <v>31777</v>
      </c>
      <c r="AJ3421" s="1">
        <v>39082</v>
      </c>
      <c r="AK3421" t="s">
        <v>51</v>
      </c>
      <c r="AN3421">
        <v>0</v>
      </c>
      <c r="AO3421" t="s">
        <v>54</v>
      </c>
      <c r="AP3421" t="s">
        <v>53</v>
      </c>
      <c r="AQ3421">
        <v>0</v>
      </c>
      <c r="AR3421" t="s">
        <v>53</v>
      </c>
      <c r="AS3421">
        <v>0</v>
      </c>
      <c r="AT3421">
        <v>0</v>
      </c>
      <c r="AW3421" t="s">
        <v>58</v>
      </c>
      <c r="AX3421">
        <v>20</v>
      </c>
      <c r="AY3421" s="1">
        <v>31777</v>
      </c>
      <c r="AZ3421" s="1">
        <v>31777</v>
      </c>
      <c r="BA3421" s="1">
        <v>31777</v>
      </c>
      <c r="BB3421" s="1">
        <v>39082</v>
      </c>
      <c r="BC3421" t="s">
        <v>51</v>
      </c>
      <c r="BE3421" t="s">
        <v>54</v>
      </c>
      <c r="BF3421">
        <v>2</v>
      </c>
      <c r="BG3421">
        <v>0</v>
      </c>
      <c r="BH3421" t="s">
        <v>53</v>
      </c>
      <c r="BK3421" t="s">
        <v>720</v>
      </c>
      <c r="BL3421">
        <v>17000</v>
      </c>
      <c r="BM3421" s="1">
        <v>42552</v>
      </c>
      <c r="BN3421" s="1">
        <v>42552</v>
      </c>
      <c r="BO3421" s="1">
        <v>42552</v>
      </c>
      <c r="BP3421" s="1">
        <v>43974</v>
      </c>
      <c r="BQ3421" t="s">
        <v>51</v>
      </c>
      <c r="BS3421" t="s">
        <v>60</v>
      </c>
      <c r="BT3421" t="s">
        <v>54</v>
      </c>
      <c r="BU3421" t="s">
        <v>721</v>
      </c>
      <c r="BV3421" t="s">
        <v>722</v>
      </c>
      <c r="BX3421">
        <v>18</v>
      </c>
      <c r="BY3421">
        <v>0</v>
      </c>
      <c r="BZ3421">
        <v>0</v>
      </c>
    </row>
    <row r="3422" spans="1:99" x14ac:dyDescent="0.2">
      <c r="A3422" t="s">
        <v>367</v>
      </c>
      <c r="B3422" t="s">
        <v>368</v>
      </c>
      <c r="C3422" t="s">
        <v>369</v>
      </c>
      <c r="D3422" t="s">
        <v>1505</v>
      </c>
      <c r="F3422" t="str">
        <f>"26864"</f>
        <v>26864</v>
      </c>
      <c r="G3422" t="s">
        <v>49</v>
      </c>
      <c r="H3422" t="s">
        <v>1506</v>
      </c>
      <c r="K3422" t="s">
        <v>51</v>
      </c>
      <c r="L3422" t="s">
        <v>52</v>
      </c>
      <c r="M3422">
        <v>137731.53</v>
      </c>
      <c r="N3422">
        <v>467858.44</v>
      </c>
      <c r="O3422" t="s">
        <v>53</v>
      </c>
      <c r="P3422" t="s">
        <v>54</v>
      </c>
      <c r="Q3422" t="s">
        <v>55</v>
      </c>
      <c r="T3422" t="s">
        <v>841</v>
      </c>
      <c r="U3422">
        <v>40</v>
      </c>
      <c r="V3422" s="1">
        <v>27759</v>
      </c>
      <c r="W3422" s="1">
        <v>27759</v>
      </c>
      <c r="X3422" s="1">
        <v>27759</v>
      </c>
      <c r="Y3422" s="1">
        <v>42369</v>
      </c>
      <c r="Z3422" t="s">
        <v>51</v>
      </c>
      <c r="AB3422" t="s">
        <v>54</v>
      </c>
      <c r="AC3422">
        <v>1</v>
      </c>
      <c r="AE3422" t="s">
        <v>57</v>
      </c>
      <c r="AF3422">
        <v>20</v>
      </c>
      <c r="AG3422" s="1">
        <v>40129</v>
      </c>
      <c r="AH3422" s="1">
        <v>40129</v>
      </c>
      <c r="AI3422" s="1">
        <v>40129</v>
      </c>
      <c r="AJ3422" s="1">
        <v>47434</v>
      </c>
      <c r="AK3422" t="s">
        <v>51</v>
      </c>
      <c r="AN3422">
        <v>0</v>
      </c>
      <c r="AO3422" t="s">
        <v>54</v>
      </c>
      <c r="AP3422" t="s">
        <v>53</v>
      </c>
      <c r="AQ3422">
        <v>0</v>
      </c>
      <c r="AR3422" t="s">
        <v>53</v>
      </c>
      <c r="AS3422">
        <v>0</v>
      </c>
      <c r="AT3422">
        <v>0</v>
      </c>
      <c r="AW3422" t="s">
        <v>58</v>
      </c>
      <c r="AX3422">
        <v>20</v>
      </c>
      <c r="AY3422" s="1">
        <v>44214</v>
      </c>
      <c r="AZ3422" s="1">
        <v>44214</v>
      </c>
      <c r="BA3422" s="1">
        <v>44214</v>
      </c>
      <c r="BB3422" s="1">
        <v>51519</v>
      </c>
      <c r="BC3422" t="s">
        <v>51</v>
      </c>
      <c r="BE3422" t="s">
        <v>54</v>
      </c>
      <c r="BF3422">
        <v>2</v>
      </c>
      <c r="BG3422">
        <v>0</v>
      </c>
      <c r="BH3422" t="s">
        <v>53</v>
      </c>
      <c r="BK3422" t="s">
        <v>59</v>
      </c>
      <c r="BL3422">
        <v>14000</v>
      </c>
      <c r="BM3422" s="1">
        <v>44214</v>
      </c>
      <c r="BN3422" s="1">
        <v>44214</v>
      </c>
      <c r="BO3422" s="1">
        <v>44214</v>
      </c>
      <c r="BP3422" s="1">
        <v>45385</v>
      </c>
      <c r="BQ3422" t="s">
        <v>51</v>
      </c>
      <c r="BS3422" t="s">
        <v>60</v>
      </c>
      <c r="BT3422" t="s">
        <v>54</v>
      </c>
      <c r="BU3422" t="s">
        <v>61</v>
      </c>
      <c r="BV3422" t="s">
        <v>62</v>
      </c>
      <c r="BX3422">
        <v>24</v>
      </c>
      <c r="BY3422">
        <v>0</v>
      </c>
      <c r="BZ3422">
        <v>0</v>
      </c>
    </row>
    <row r="3423" spans="1:99" x14ac:dyDescent="0.2">
      <c r="A3423" t="s">
        <v>367</v>
      </c>
      <c r="B3423" t="s">
        <v>368</v>
      </c>
      <c r="C3423" t="s">
        <v>369</v>
      </c>
      <c r="D3423" t="s">
        <v>1505</v>
      </c>
      <c r="F3423" t="str">
        <f>"26865"</f>
        <v>26865</v>
      </c>
      <c r="G3423" t="s">
        <v>49</v>
      </c>
      <c r="H3423" t="s">
        <v>1313</v>
      </c>
      <c r="K3423" t="s">
        <v>51</v>
      </c>
      <c r="L3423" t="s">
        <v>52</v>
      </c>
      <c r="M3423">
        <v>137787.76999999999</v>
      </c>
      <c r="N3423">
        <v>467844.38</v>
      </c>
      <c r="O3423" t="s">
        <v>53</v>
      </c>
      <c r="P3423" t="s">
        <v>54</v>
      </c>
      <c r="Q3423" t="s">
        <v>55</v>
      </c>
      <c r="T3423" t="s">
        <v>841</v>
      </c>
      <c r="U3423">
        <v>40</v>
      </c>
      <c r="V3423" s="1">
        <v>27759</v>
      </c>
      <c r="W3423" s="1">
        <v>27759</v>
      </c>
      <c r="X3423" s="1">
        <v>27759</v>
      </c>
      <c r="Y3423" s="1">
        <v>42369</v>
      </c>
      <c r="Z3423" t="s">
        <v>51</v>
      </c>
      <c r="AB3423" t="s">
        <v>54</v>
      </c>
      <c r="AC3423">
        <v>1</v>
      </c>
      <c r="AE3423" t="s">
        <v>57</v>
      </c>
      <c r="AF3423">
        <v>20</v>
      </c>
      <c r="AG3423" s="1">
        <v>39171</v>
      </c>
      <c r="AH3423" s="1">
        <v>39171</v>
      </c>
      <c r="AI3423" s="1">
        <v>39171</v>
      </c>
      <c r="AJ3423" s="1">
        <v>46476</v>
      </c>
      <c r="AK3423" t="s">
        <v>51</v>
      </c>
      <c r="AN3423">
        <v>0</v>
      </c>
      <c r="AO3423" t="s">
        <v>54</v>
      </c>
      <c r="AP3423" t="s">
        <v>53</v>
      </c>
      <c r="AQ3423">
        <v>0</v>
      </c>
      <c r="AR3423" t="s">
        <v>53</v>
      </c>
      <c r="AS3423">
        <v>0</v>
      </c>
      <c r="AT3423">
        <v>0</v>
      </c>
      <c r="AW3423" t="s">
        <v>58</v>
      </c>
      <c r="AX3423">
        <v>20</v>
      </c>
      <c r="AY3423" s="1">
        <v>44214</v>
      </c>
      <c r="AZ3423" s="1">
        <v>44214</v>
      </c>
      <c r="BA3423" s="1">
        <v>44214</v>
      </c>
      <c r="BB3423" s="1">
        <v>51519</v>
      </c>
      <c r="BC3423" t="s">
        <v>51</v>
      </c>
      <c r="BE3423" t="s">
        <v>54</v>
      </c>
      <c r="BF3423">
        <v>2</v>
      </c>
      <c r="BG3423">
        <v>0</v>
      </c>
      <c r="BH3423" t="s">
        <v>53</v>
      </c>
      <c r="BK3423" t="s">
        <v>59</v>
      </c>
      <c r="BL3423">
        <v>14000</v>
      </c>
      <c r="BM3423" s="1">
        <v>44214</v>
      </c>
      <c r="BN3423" s="1">
        <v>44214</v>
      </c>
      <c r="BO3423" s="1">
        <v>44214</v>
      </c>
      <c r="BP3423" s="1">
        <v>45385</v>
      </c>
      <c r="BQ3423" t="s">
        <v>51</v>
      </c>
      <c r="BS3423" t="s">
        <v>60</v>
      </c>
      <c r="BT3423" t="s">
        <v>54</v>
      </c>
      <c r="BU3423" t="s">
        <v>61</v>
      </c>
      <c r="BV3423" t="s">
        <v>62</v>
      </c>
      <c r="BX3423">
        <v>24</v>
      </c>
      <c r="BY3423">
        <v>0</v>
      </c>
      <c r="BZ3423">
        <v>0</v>
      </c>
    </row>
    <row r="3424" spans="1:99" x14ac:dyDescent="0.2">
      <c r="A3424" t="s">
        <v>367</v>
      </c>
      <c r="B3424" t="s">
        <v>368</v>
      </c>
      <c r="C3424" t="s">
        <v>369</v>
      </c>
      <c r="D3424" t="s">
        <v>369</v>
      </c>
      <c r="F3424" t="str">
        <f>"26968"</f>
        <v>26968</v>
      </c>
      <c r="G3424" t="s">
        <v>49</v>
      </c>
      <c r="H3424" t="s">
        <v>1507</v>
      </c>
      <c r="K3424" t="s">
        <v>51</v>
      </c>
      <c r="L3424" t="s">
        <v>52</v>
      </c>
      <c r="M3424">
        <v>137655.79699999999</v>
      </c>
      <c r="N3424">
        <v>468090.625</v>
      </c>
      <c r="O3424" t="s">
        <v>53</v>
      </c>
      <c r="P3424" t="s">
        <v>54</v>
      </c>
      <c r="Q3424" t="s">
        <v>55</v>
      </c>
      <c r="T3424" t="s">
        <v>365</v>
      </c>
      <c r="U3424">
        <v>40</v>
      </c>
      <c r="V3424" s="1">
        <v>39638</v>
      </c>
      <c r="W3424" s="1">
        <v>39638</v>
      </c>
      <c r="X3424" s="1">
        <v>39638</v>
      </c>
      <c r="Y3424" s="1">
        <v>54248</v>
      </c>
      <c r="Z3424" t="s">
        <v>51</v>
      </c>
      <c r="AB3424" t="s">
        <v>54</v>
      </c>
      <c r="AC3424">
        <v>1</v>
      </c>
      <c r="AE3424" t="s">
        <v>814</v>
      </c>
      <c r="AF3424">
        <v>20</v>
      </c>
      <c r="AG3424" s="1">
        <v>39638</v>
      </c>
      <c r="AH3424" s="1">
        <v>39638</v>
      </c>
      <c r="AI3424" s="1">
        <v>39638</v>
      </c>
      <c r="AJ3424" s="1">
        <v>46943</v>
      </c>
      <c r="AK3424" t="s">
        <v>51</v>
      </c>
      <c r="AN3424">
        <v>0</v>
      </c>
      <c r="AO3424" t="s">
        <v>54</v>
      </c>
      <c r="AP3424" t="s">
        <v>53</v>
      </c>
      <c r="AQ3424">
        <v>0</v>
      </c>
      <c r="AR3424" t="s">
        <v>53</v>
      </c>
      <c r="AS3424">
        <v>0</v>
      </c>
      <c r="AT3424">
        <v>0</v>
      </c>
      <c r="CC3424" t="s">
        <v>669</v>
      </c>
      <c r="CD3424">
        <v>85000</v>
      </c>
      <c r="CE3424" s="1">
        <v>43123</v>
      </c>
      <c r="CF3424" s="1">
        <v>43123</v>
      </c>
      <c r="CG3424" s="1">
        <v>43123</v>
      </c>
      <c r="CH3424" s="1">
        <v>50338</v>
      </c>
      <c r="CI3424" t="s">
        <v>51</v>
      </c>
      <c r="CK3424" t="s">
        <v>78</v>
      </c>
      <c r="CM3424" t="s">
        <v>54</v>
      </c>
      <c r="CN3424" t="s">
        <v>174</v>
      </c>
      <c r="CO3424" t="s">
        <v>86</v>
      </c>
      <c r="CR3424">
        <v>50</v>
      </c>
      <c r="CS3424">
        <v>0</v>
      </c>
      <c r="CT3424">
        <v>0</v>
      </c>
      <c r="CU3424">
        <v>0</v>
      </c>
    </row>
    <row r="3425" spans="1:99" x14ac:dyDescent="0.2">
      <c r="A3425" t="s">
        <v>367</v>
      </c>
      <c r="B3425" t="s">
        <v>368</v>
      </c>
      <c r="C3425" t="s">
        <v>369</v>
      </c>
      <c r="D3425" t="s">
        <v>1497</v>
      </c>
      <c r="F3425" t="str">
        <f>"26972"</f>
        <v>26972</v>
      </c>
      <c r="G3425" t="s">
        <v>49</v>
      </c>
      <c r="H3425" t="s">
        <v>1508</v>
      </c>
      <c r="K3425" t="s">
        <v>51</v>
      </c>
      <c r="L3425" t="s">
        <v>52</v>
      </c>
      <c r="M3425">
        <v>137713.94</v>
      </c>
      <c r="N3425">
        <v>468016.71</v>
      </c>
      <c r="O3425" t="s">
        <v>53</v>
      </c>
      <c r="P3425" t="s">
        <v>54</v>
      </c>
      <c r="Q3425" t="s">
        <v>55</v>
      </c>
      <c r="T3425" t="s">
        <v>372</v>
      </c>
      <c r="U3425">
        <v>40</v>
      </c>
      <c r="V3425" s="1">
        <v>39855</v>
      </c>
      <c r="W3425" s="1">
        <v>39855</v>
      </c>
      <c r="X3425" s="1">
        <v>39855</v>
      </c>
      <c r="Y3425" s="1">
        <v>54465</v>
      </c>
      <c r="Z3425" t="s">
        <v>51</v>
      </c>
      <c r="AB3425" t="s">
        <v>54</v>
      </c>
      <c r="AC3425">
        <v>1</v>
      </c>
      <c r="AE3425" t="s">
        <v>356</v>
      </c>
      <c r="AF3425">
        <v>20</v>
      </c>
      <c r="AG3425" s="1">
        <v>44844</v>
      </c>
      <c r="AH3425" s="1">
        <v>44844</v>
      </c>
      <c r="AI3425" s="1">
        <v>44844</v>
      </c>
      <c r="AJ3425" s="1">
        <v>52149</v>
      </c>
      <c r="AK3425" t="s">
        <v>51</v>
      </c>
      <c r="AN3425">
        <v>0</v>
      </c>
      <c r="AO3425" t="s">
        <v>54</v>
      </c>
      <c r="AP3425" t="s">
        <v>53</v>
      </c>
      <c r="AQ3425">
        <v>0</v>
      </c>
      <c r="AR3425" t="s">
        <v>145</v>
      </c>
      <c r="AS3425">
        <v>0</v>
      </c>
      <c r="AT3425">
        <v>0</v>
      </c>
      <c r="CC3425" t="s">
        <v>555</v>
      </c>
      <c r="CD3425">
        <v>85000</v>
      </c>
      <c r="CE3425" s="1">
        <v>43493</v>
      </c>
      <c r="CF3425" s="1">
        <v>43493</v>
      </c>
      <c r="CG3425" s="1">
        <v>44844</v>
      </c>
      <c r="CH3425" s="1">
        <v>50710</v>
      </c>
      <c r="CI3425" t="s">
        <v>51</v>
      </c>
      <c r="CK3425" t="s">
        <v>78</v>
      </c>
      <c r="CM3425" t="s">
        <v>54</v>
      </c>
      <c r="CN3425" t="s">
        <v>174</v>
      </c>
      <c r="CO3425" t="s">
        <v>86</v>
      </c>
      <c r="CR3425">
        <v>20</v>
      </c>
      <c r="CS3425">
        <v>0</v>
      </c>
      <c r="CT3425">
        <v>0</v>
      </c>
      <c r="CU3425">
        <v>0</v>
      </c>
    </row>
    <row r="3426" spans="1:99" x14ac:dyDescent="0.2">
      <c r="A3426" t="s">
        <v>367</v>
      </c>
      <c r="B3426" t="s">
        <v>368</v>
      </c>
      <c r="C3426" t="s">
        <v>369</v>
      </c>
      <c r="D3426" t="s">
        <v>1215</v>
      </c>
      <c r="F3426" t="str">
        <f>"26973"</f>
        <v>26973</v>
      </c>
      <c r="G3426" t="s">
        <v>49</v>
      </c>
      <c r="H3426" t="s">
        <v>1509</v>
      </c>
      <c r="K3426" t="s">
        <v>51</v>
      </c>
      <c r="L3426" t="s">
        <v>52</v>
      </c>
      <c r="M3426">
        <v>137676.46</v>
      </c>
      <c r="N3426">
        <v>468089.35</v>
      </c>
      <c r="O3426" t="s">
        <v>53</v>
      </c>
      <c r="P3426" t="s">
        <v>54</v>
      </c>
      <c r="Q3426" t="s">
        <v>55</v>
      </c>
      <c r="T3426" t="s">
        <v>1266</v>
      </c>
      <c r="U3426">
        <v>40</v>
      </c>
      <c r="V3426" s="1">
        <v>27759</v>
      </c>
      <c r="W3426" s="1">
        <v>27759</v>
      </c>
      <c r="X3426" s="1">
        <v>27759</v>
      </c>
      <c r="Y3426" s="1">
        <v>42369</v>
      </c>
      <c r="Z3426" t="s">
        <v>51</v>
      </c>
      <c r="AB3426" t="s">
        <v>54</v>
      </c>
      <c r="AC3426">
        <v>1</v>
      </c>
      <c r="AE3426" t="s">
        <v>356</v>
      </c>
      <c r="AF3426">
        <v>20</v>
      </c>
      <c r="AG3426" s="1">
        <v>44935</v>
      </c>
      <c r="AH3426" s="1">
        <v>44935</v>
      </c>
      <c r="AI3426" s="1">
        <v>44935</v>
      </c>
      <c r="AJ3426" s="1">
        <v>52240</v>
      </c>
      <c r="AK3426" t="s">
        <v>51</v>
      </c>
      <c r="AN3426">
        <v>0</v>
      </c>
      <c r="AO3426" t="s">
        <v>54</v>
      </c>
      <c r="AP3426" t="s">
        <v>53</v>
      </c>
      <c r="AQ3426">
        <v>0</v>
      </c>
      <c r="AR3426" t="s">
        <v>145</v>
      </c>
      <c r="AS3426">
        <v>0</v>
      </c>
      <c r="AT3426">
        <v>0</v>
      </c>
      <c r="CC3426" t="s">
        <v>555</v>
      </c>
      <c r="CD3426">
        <v>85000</v>
      </c>
      <c r="CE3426" s="1">
        <v>42552</v>
      </c>
      <c r="CF3426" s="1">
        <v>42552</v>
      </c>
      <c r="CG3426" s="1">
        <v>44935</v>
      </c>
      <c r="CH3426" s="1">
        <v>49714</v>
      </c>
      <c r="CI3426" t="s">
        <v>51</v>
      </c>
      <c r="CK3426" t="s">
        <v>78</v>
      </c>
      <c r="CM3426" t="s">
        <v>54</v>
      </c>
      <c r="CN3426" t="s">
        <v>174</v>
      </c>
      <c r="CO3426" t="s">
        <v>86</v>
      </c>
      <c r="CR3426">
        <v>20</v>
      </c>
      <c r="CS3426">
        <v>0</v>
      </c>
      <c r="CT3426">
        <v>0</v>
      </c>
      <c r="CU3426">
        <v>0</v>
      </c>
    </row>
    <row r="3427" spans="1:99" x14ac:dyDescent="0.2">
      <c r="A3427" t="s">
        <v>367</v>
      </c>
      <c r="B3427" t="s">
        <v>368</v>
      </c>
      <c r="C3427" t="s">
        <v>369</v>
      </c>
      <c r="D3427" t="s">
        <v>1215</v>
      </c>
      <c r="F3427" t="str">
        <f>"26974"</f>
        <v>26974</v>
      </c>
      <c r="G3427" t="s">
        <v>49</v>
      </c>
      <c r="H3427" t="s">
        <v>1510</v>
      </c>
      <c r="K3427" t="s">
        <v>51</v>
      </c>
      <c r="L3427" t="s">
        <v>52</v>
      </c>
      <c r="M3427">
        <v>137668.1</v>
      </c>
      <c r="N3427">
        <v>468103.67999999999</v>
      </c>
      <c r="O3427" t="s">
        <v>53</v>
      </c>
      <c r="P3427" t="s">
        <v>54</v>
      </c>
      <c r="Q3427" t="s">
        <v>55</v>
      </c>
      <c r="T3427" t="s">
        <v>808</v>
      </c>
      <c r="U3427">
        <v>40</v>
      </c>
      <c r="V3427" s="1">
        <v>22281</v>
      </c>
      <c r="W3427" s="1">
        <v>22281</v>
      </c>
      <c r="X3427" s="1">
        <v>22281</v>
      </c>
      <c r="Y3427" s="1">
        <v>36891</v>
      </c>
      <c r="Z3427" t="s">
        <v>51</v>
      </c>
      <c r="AB3427" t="s">
        <v>54</v>
      </c>
      <c r="AC3427">
        <v>1</v>
      </c>
      <c r="AE3427" t="s">
        <v>356</v>
      </c>
      <c r="AF3427">
        <v>20</v>
      </c>
      <c r="AG3427" s="1">
        <v>44935</v>
      </c>
      <c r="AH3427" s="1">
        <v>44935</v>
      </c>
      <c r="AI3427" s="1">
        <v>44935</v>
      </c>
      <c r="AJ3427" s="1">
        <v>52240</v>
      </c>
      <c r="AK3427" t="s">
        <v>51</v>
      </c>
      <c r="AN3427">
        <v>0</v>
      </c>
      <c r="AO3427" t="s">
        <v>54</v>
      </c>
      <c r="AP3427" t="s">
        <v>53</v>
      </c>
      <c r="AQ3427">
        <v>0</v>
      </c>
      <c r="AR3427" t="s">
        <v>145</v>
      </c>
      <c r="AS3427">
        <v>0</v>
      </c>
      <c r="AT3427">
        <v>0</v>
      </c>
      <c r="AW3427" t="s">
        <v>172</v>
      </c>
      <c r="AX3427">
        <v>15</v>
      </c>
      <c r="AY3427" s="1">
        <v>44935</v>
      </c>
      <c r="AZ3427" s="1">
        <v>44935</v>
      </c>
      <c r="BA3427" s="1">
        <v>44935</v>
      </c>
      <c r="BB3427" s="1">
        <v>50414</v>
      </c>
      <c r="BC3427" t="s">
        <v>51</v>
      </c>
      <c r="BE3427" t="s">
        <v>54</v>
      </c>
      <c r="BF3427">
        <v>40</v>
      </c>
      <c r="BG3427">
        <v>0</v>
      </c>
      <c r="BH3427" t="s">
        <v>145</v>
      </c>
      <c r="CC3427" t="s">
        <v>250</v>
      </c>
      <c r="CD3427">
        <v>100000</v>
      </c>
      <c r="CE3427" s="1">
        <v>44935</v>
      </c>
      <c r="CF3427" s="1">
        <v>44935</v>
      </c>
      <c r="CG3427" s="1">
        <v>44935</v>
      </c>
      <c r="CH3427" s="1">
        <v>53376</v>
      </c>
      <c r="CI3427" t="s">
        <v>51</v>
      </c>
      <c r="CK3427" t="s">
        <v>78</v>
      </c>
      <c r="CM3427" t="s">
        <v>54</v>
      </c>
      <c r="CN3427" t="s">
        <v>174</v>
      </c>
      <c r="CR3427">
        <v>13.2</v>
      </c>
      <c r="CS3427">
        <v>1800</v>
      </c>
      <c r="CT3427">
        <v>0</v>
      </c>
      <c r="CU3427">
        <v>16</v>
      </c>
    </row>
    <row r="3428" spans="1:99" x14ac:dyDescent="0.2">
      <c r="A3428" t="s">
        <v>367</v>
      </c>
      <c r="B3428" t="s">
        <v>368</v>
      </c>
      <c r="C3428" t="s">
        <v>369</v>
      </c>
      <c r="D3428" t="s">
        <v>1215</v>
      </c>
      <c r="F3428" t="str">
        <f>"26975"</f>
        <v>26975</v>
      </c>
      <c r="G3428" t="s">
        <v>49</v>
      </c>
      <c r="H3428" t="s">
        <v>1223</v>
      </c>
      <c r="K3428" t="s">
        <v>51</v>
      </c>
      <c r="L3428" t="s">
        <v>52</v>
      </c>
      <c r="M3428">
        <v>137703.34</v>
      </c>
      <c r="N3428">
        <v>468095.09</v>
      </c>
      <c r="O3428" t="s">
        <v>53</v>
      </c>
      <c r="P3428" t="s">
        <v>54</v>
      </c>
      <c r="Q3428" t="s">
        <v>55</v>
      </c>
      <c r="T3428" t="s">
        <v>183</v>
      </c>
      <c r="U3428">
        <v>40</v>
      </c>
      <c r="V3428" s="1">
        <v>22281</v>
      </c>
      <c r="W3428" s="1">
        <v>22281</v>
      </c>
      <c r="X3428" s="1">
        <v>22281</v>
      </c>
      <c r="Y3428" s="1">
        <v>36891</v>
      </c>
      <c r="Z3428" t="s">
        <v>51</v>
      </c>
      <c r="AB3428" t="s">
        <v>54</v>
      </c>
      <c r="AC3428">
        <v>1</v>
      </c>
      <c r="AE3428" t="s">
        <v>1212</v>
      </c>
      <c r="AF3428">
        <v>20</v>
      </c>
      <c r="AG3428" s="1">
        <v>31777</v>
      </c>
      <c r="AH3428" s="1">
        <v>31777</v>
      </c>
      <c r="AI3428" s="1">
        <v>31777</v>
      </c>
      <c r="AJ3428" s="1">
        <v>39082</v>
      </c>
      <c r="AK3428" t="s">
        <v>51</v>
      </c>
      <c r="AN3428">
        <v>0</v>
      </c>
      <c r="AO3428" t="s">
        <v>54</v>
      </c>
      <c r="AP3428" t="s">
        <v>53</v>
      </c>
      <c r="AQ3428">
        <v>0</v>
      </c>
      <c r="AR3428" t="s">
        <v>53</v>
      </c>
      <c r="AS3428">
        <v>0</v>
      </c>
      <c r="AT3428">
        <v>0</v>
      </c>
      <c r="CC3428" t="s">
        <v>850</v>
      </c>
      <c r="CD3428">
        <v>1</v>
      </c>
      <c r="CE3428" s="1">
        <v>45110</v>
      </c>
      <c r="CF3428" s="1">
        <v>45110</v>
      </c>
      <c r="CG3428" s="1">
        <v>45110</v>
      </c>
      <c r="CH3428" s="1">
        <v>45110</v>
      </c>
      <c r="CI3428" t="s">
        <v>51</v>
      </c>
      <c r="CK3428" t="s">
        <v>78</v>
      </c>
      <c r="CM3428" t="s">
        <v>54</v>
      </c>
      <c r="CN3428" t="s">
        <v>174</v>
      </c>
      <c r="CO3428" t="s">
        <v>86</v>
      </c>
      <c r="CR3428">
        <v>18</v>
      </c>
      <c r="CS3428">
        <v>0</v>
      </c>
      <c r="CT3428">
        <v>0</v>
      </c>
      <c r="CU3428">
        <v>0</v>
      </c>
    </row>
    <row r="3429" spans="1:99" x14ac:dyDescent="0.2">
      <c r="A3429" t="s">
        <v>367</v>
      </c>
      <c r="B3429" t="s">
        <v>368</v>
      </c>
      <c r="C3429" t="s">
        <v>369</v>
      </c>
      <c r="D3429" t="s">
        <v>1215</v>
      </c>
      <c r="F3429" t="str">
        <f>"26976"</f>
        <v>26976</v>
      </c>
      <c r="G3429" t="s">
        <v>49</v>
      </c>
      <c r="H3429" t="s">
        <v>1232</v>
      </c>
      <c r="K3429" t="s">
        <v>51</v>
      </c>
      <c r="L3429" t="s">
        <v>52</v>
      </c>
      <c r="M3429">
        <v>137731.20000000001</v>
      </c>
      <c r="N3429">
        <v>468106.57</v>
      </c>
      <c r="O3429" t="s">
        <v>53</v>
      </c>
      <c r="P3429" t="s">
        <v>54</v>
      </c>
      <c r="Q3429" t="s">
        <v>55</v>
      </c>
      <c r="T3429" t="s">
        <v>83</v>
      </c>
      <c r="U3429">
        <v>40</v>
      </c>
      <c r="V3429" s="1">
        <v>22281</v>
      </c>
      <c r="W3429" s="1">
        <v>22281</v>
      </c>
      <c r="X3429" s="1">
        <v>22281</v>
      </c>
      <c r="Y3429" s="1">
        <v>36891</v>
      </c>
      <c r="Z3429" t="s">
        <v>51</v>
      </c>
      <c r="AB3429" t="s">
        <v>54</v>
      </c>
      <c r="AC3429">
        <v>1</v>
      </c>
      <c r="AE3429" t="s">
        <v>1212</v>
      </c>
      <c r="AF3429">
        <v>20</v>
      </c>
      <c r="AG3429" s="1">
        <v>31777</v>
      </c>
      <c r="AH3429" s="1">
        <v>31777</v>
      </c>
      <c r="AI3429" s="1">
        <v>31777</v>
      </c>
      <c r="AJ3429" s="1">
        <v>39082</v>
      </c>
      <c r="AK3429" t="s">
        <v>51</v>
      </c>
      <c r="AN3429">
        <v>0</v>
      </c>
      <c r="AO3429" t="s">
        <v>54</v>
      </c>
      <c r="AP3429" t="s">
        <v>53</v>
      </c>
      <c r="AQ3429">
        <v>0</v>
      </c>
      <c r="AR3429" t="s">
        <v>53</v>
      </c>
      <c r="AS3429">
        <v>0</v>
      </c>
      <c r="AT3429">
        <v>0</v>
      </c>
      <c r="CC3429" t="s">
        <v>850</v>
      </c>
      <c r="CD3429">
        <v>1</v>
      </c>
      <c r="CE3429" s="1">
        <v>42552</v>
      </c>
      <c r="CF3429" s="1">
        <v>42552</v>
      </c>
      <c r="CG3429" s="1">
        <v>42552</v>
      </c>
      <c r="CH3429" s="1">
        <v>49714</v>
      </c>
      <c r="CI3429" t="s">
        <v>51</v>
      </c>
      <c r="CK3429" t="s">
        <v>78</v>
      </c>
      <c r="CM3429" t="s">
        <v>54</v>
      </c>
      <c r="CN3429" t="s">
        <v>174</v>
      </c>
      <c r="CO3429" t="s">
        <v>86</v>
      </c>
      <c r="CR3429">
        <v>18</v>
      </c>
      <c r="CS3429">
        <v>0</v>
      </c>
      <c r="CT3429">
        <v>0</v>
      </c>
      <c r="CU3429">
        <v>0</v>
      </c>
    </row>
    <row r="3430" spans="1:99" x14ac:dyDescent="0.2">
      <c r="A3430" t="s">
        <v>367</v>
      </c>
      <c r="B3430" t="s">
        <v>368</v>
      </c>
      <c r="C3430" t="s">
        <v>369</v>
      </c>
      <c r="D3430" t="s">
        <v>1215</v>
      </c>
      <c r="F3430" t="str">
        <f>"26977"</f>
        <v>26977</v>
      </c>
      <c r="G3430" t="s">
        <v>49</v>
      </c>
      <c r="H3430" t="s">
        <v>1511</v>
      </c>
      <c r="K3430" t="s">
        <v>51</v>
      </c>
      <c r="L3430" t="s">
        <v>52</v>
      </c>
      <c r="M3430">
        <v>137759.76</v>
      </c>
      <c r="N3430">
        <v>468098.05</v>
      </c>
      <c r="O3430" t="s">
        <v>53</v>
      </c>
      <c r="P3430" t="s">
        <v>54</v>
      </c>
      <c r="Q3430" t="s">
        <v>55</v>
      </c>
      <c r="T3430" t="s">
        <v>83</v>
      </c>
      <c r="U3430">
        <v>40</v>
      </c>
      <c r="V3430" s="1">
        <v>22281</v>
      </c>
      <c r="W3430" s="1">
        <v>22281</v>
      </c>
      <c r="X3430" s="1">
        <v>22281</v>
      </c>
      <c r="Y3430" s="1">
        <v>36891</v>
      </c>
      <c r="Z3430" t="s">
        <v>51</v>
      </c>
      <c r="AB3430" t="s">
        <v>54</v>
      </c>
      <c r="AC3430">
        <v>1</v>
      </c>
      <c r="AE3430" t="s">
        <v>1212</v>
      </c>
      <c r="AF3430">
        <v>20</v>
      </c>
      <c r="AG3430" s="1">
        <v>31777</v>
      </c>
      <c r="AH3430" s="1">
        <v>31777</v>
      </c>
      <c r="AI3430" s="1">
        <v>31777</v>
      </c>
      <c r="AJ3430" s="1">
        <v>39082</v>
      </c>
      <c r="AK3430" t="s">
        <v>51</v>
      </c>
      <c r="AN3430">
        <v>0</v>
      </c>
      <c r="AO3430" t="s">
        <v>54</v>
      </c>
      <c r="AP3430" t="s">
        <v>53</v>
      </c>
      <c r="AQ3430">
        <v>0</v>
      </c>
      <c r="AR3430" t="s">
        <v>53</v>
      </c>
      <c r="AS3430">
        <v>0</v>
      </c>
      <c r="AT3430">
        <v>0</v>
      </c>
      <c r="CC3430" t="s">
        <v>850</v>
      </c>
      <c r="CD3430">
        <v>1</v>
      </c>
      <c r="CE3430" s="1">
        <v>42552</v>
      </c>
      <c r="CF3430" s="1">
        <v>42552</v>
      </c>
      <c r="CG3430" s="1">
        <v>42552</v>
      </c>
      <c r="CH3430" s="1">
        <v>49714</v>
      </c>
      <c r="CI3430" t="s">
        <v>51</v>
      </c>
      <c r="CK3430" t="s">
        <v>78</v>
      </c>
      <c r="CM3430" t="s">
        <v>54</v>
      </c>
      <c r="CN3430" t="s">
        <v>174</v>
      </c>
      <c r="CO3430" t="s">
        <v>86</v>
      </c>
      <c r="CR3430">
        <v>18</v>
      </c>
      <c r="CS3430">
        <v>0</v>
      </c>
      <c r="CT3430">
        <v>0</v>
      </c>
      <c r="CU3430">
        <v>0</v>
      </c>
    </row>
    <row r="3431" spans="1:99" x14ac:dyDescent="0.2">
      <c r="A3431" t="s">
        <v>367</v>
      </c>
      <c r="B3431" t="s">
        <v>368</v>
      </c>
      <c r="C3431" t="s">
        <v>369</v>
      </c>
      <c r="D3431" t="s">
        <v>1215</v>
      </c>
      <c r="F3431" t="str">
        <f>"26979"</f>
        <v>26979</v>
      </c>
      <c r="G3431" t="s">
        <v>49</v>
      </c>
      <c r="H3431" t="s">
        <v>1512</v>
      </c>
      <c r="K3431" t="s">
        <v>51</v>
      </c>
      <c r="L3431" t="s">
        <v>52</v>
      </c>
      <c r="M3431">
        <v>137827.63</v>
      </c>
      <c r="N3431">
        <v>468096.84</v>
      </c>
      <c r="O3431" t="s">
        <v>53</v>
      </c>
      <c r="P3431" t="s">
        <v>54</v>
      </c>
      <c r="Q3431" t="s">
        <v>55</v>
      </c>
      <c r="T3431" t="s">
        <v>841</v>
      </c>
      <c r="U3431">
        <v>40</v>
      </c>
      <c r="V3431" s="1">
        <v>27759</v>
      </c>
      <c r="W3431" s="1">
        <v>27759</v>
      </c>
      <c r="X3431" s="1">
        <v>27759</v>
      </c>
      <c r="Y3431" s="1">
        <v>42369</v>
      </c>
      <c r="Z3431" t="s">
        <v>51</v>
      </c>
      <c r="AB3431" t="s">
        <v>54</v>
      </c>
      <c r="AC3431">
        <v>1</v>
      </c>
      <c r="AE3431" t="s">
        <v>57</v>
      </c>
      <c r="AF3431">
        <v>20</v>
      </c>
      <c r="AG3431" s="1">
        <v>38366</v>
      </c>
      <c r="AH3431" s="1">
        <v>38366</v>
      </c>
      <c r="AI3431" s="1">
        <v>38366</v>
      </c>
      <c r="AJ3431" s="1">
        <v>45671</v>
      </c>
      <c r="AK3431" t="s">
        <v>51</v>
      </c>
      <c r="AN3431">
        <v>0</v>
      </c>
      <c r="AO3431" t="s">
        <v>54</v>
      </c>
      <c r="AP3431" t="s">
        <v>53</v>
      </c>
      <c r="AQ3431">
        <v>0</v>
      </c>
      <c r="AR3431" t="s">
        <v>53</v>
      </c>
      <c r="AS3431">
        <v>0</v>
      </c>
      <c r="AT3431">
        <v>0</v>
      </c>
      <c r="CC3431" t="s">
        <v>432</v>
      </c>
      <c r="CD3431">
        <v>85000</v>
      </c>
      <c r="CE3431" s="1">
        <v>42552</v>
      </c>
      <c r="CF3431" s="1">
        <v>42552</v>
      </c>
      <c r="CG3431" s="1">
        <v>42552</v>
      </c>
      <c r="CH3431" s="1">
        <v>49714</v>
      </c>
      <c r="CI3431" t="s">
        <v>51</v>
      </c>
      <c r="CK3431" t="s">
        <v>78</v>
      </c>
      <c r="CM3431" t="s">
        <v>54</v>
      </c>
      <c r="CN3431" t="s">
        <v>174</v>
      </c>
      <c r="CO3431" t="s">
        <v>86</v>
      </c>
      <c r="CR3431">
        <v>24</v>
      </c>
      <c r="CS3431">
        <v>0</v>
      </c>
      <c r="CT3431">
        <v>0</v>
      </c>
      <c r="CU3431">
        <v>0</v>
      </c>
    </row>
    <row r="3432" spans="1:99" x14ac:dyDescent="0.2">
      <c r="A3432" t="s">
        <v>367</v>
      </c>
      <c r="B3432" t="s">
        <v>368</v>
      </c>
      <c r="C3432" t="s">
        <v>369</v>
      </c>
      <c r="D3432" t="s">
        <v>1215</v>
      </c>
      <c r="F3432" t="str">
        <f>"26980"</f>
        <v>26980</v>
      </c>
      <c r="G3432" t="s">
        <v>49</v>
      </c>
      <c r="H3432" t="s">
        <v>1229</v>
      </c>
      <c r="K3432" t="s">
        <v>51</v>
      </c>
      <c r="L3432" t="s">
        <v>52</v>
      </c>
      <c r="M3432">
        <v>137847.67999999999</v>
      </c>
      <c r="N3432">
        <v>468103.49</v>
      </c>
      <c r="O3432" t="s">
        <v>53</v>
      </c>
      <c r="P3432" t="s">
        <v>54</v>
      </c>
      <c r="Q3432" t="s">
        <v>55</v>
      </c>
      <c r="T3432" t="s">
        <v>83</v>
      </c>
      <c r="U3432">
        <v>40</v>
      </c>
      <c r="V3432" s="1">
        <v>22281</v>
      </c>
      <c r="W3432" s="1">
        <v>22281</v>
      </c>
      <c r="X3432" s="1">
        <v>22281</v>
      </c>
      <c r="Y3432" s="1">
        <v>36891</v>
      </c>
      <c r="Z3432" t="s">
        <v>51</v>
      </c>
      <c r="AB3432" t="s">
        <v>54</v>
      </c>
      <c r="AC3432">
        <v>1</v>
      </c>
      <c r="AE3432" t="s">
        <v>1212</v>
      </c>
      <c r="AF3432">
        <v>20</v>
      </c>
      <c r="AG3432" s="1">
        <v>31777</v>
      </c>
      <c r="AH3432" s="1">
        <v>31777</v>
      </c>
      <c r="AI3432" s="1">
        <v>31777</v>
      </c>
      <c r="AJ3432" s="1">
        <v>39082</v>
      </c>
      <c r="AK3432" t="s">
        <v>51</v>
      </c>
      <c r="AN3432">
        <v>0</v>
      </c>
      <c r="AO3432" t="s">
        <v>54</v>
      </c>
      <c r="AP3432" t="s">
        <v>53</v>
      </c>
      <c r="AQ3432">
        <v>0</v>
      </c>
      <c r="AR3432" t="s">
        <v>53</v>
      </c>
      <c r="AS3432">
        <v>0</v>
      </c>
      <c r="AT3432">
        <v>0</v>
      </c>
      <c r="CC3432" t="s">
        <v>850</v>
      </c>
      <c r="CD3432">
        <v>1</v>
      </c>
      <c r="CE3432" s="1">
        <v>42552</v>
      </c>
      <c r="CF3432" s="1">
        <v>42552</v>
      </c>
      <c r="CG3432" s="1">
        <v>42552</v>
      </c>
      <c r="CH3432" s="1">
        <v>49714</v>
      </c>
      <c r="CI3432" t="s">
        <v>51</v>
      </c>
      <c r="CK3432" t="s">
        <v>78</v>
      </c>
      <c r="CM3432" t="s">
        <v>54</v>
      </c>
      <c r="CN3432" t="s">
        <v>174</v>
      </c>
      <c r="CO3432" t="s">
        <v>86</v>
      </c>
      <c r="CR3432">
        <v>18</v>
      </c>
      <c r="CS3432">
        <v>0</v>
      </c>
      <c r="CT3432">
        <v>0</v>
      </c>
      <c r="CU3432">
        <v>0</v>
      </c>
    </row>
    <row r="3433" spans="1:99" x14ac:dyDescent="0.2">
      <c r="A3433" t="s">
        <v>367</v>
      </c>
      <c r="B3433" t="s">
        <v>368</v>
      </c>
      <c r="C3433" t="s">
        <v>369</v>
      </c>
      <c r="D3433" t="s">
        <v>1215</v>
      </c>
      <c r="F3433" t="str">
        <f>"26982"</f>
        <v>26982</v>
      </c>
      <c r="G3433" t="s">
        <v>49</v>
      </c>
      <c r="H3433" t="s">
        <v>1513</v>
      </c>
      <c r="K3433" t="s">
        <v>51</v>
      </c>
      <c r="L3433" t="s">
        <v>52</v>
      </c>
      <c r="M3433">
        <v>137913.13</v>
      </c>
      <c r="N3433">
        <v>468102.61</v>
      </c>
      <c r="O3433" t="s">
        <v>53</v>
      </c>
      <c r="P3433" t="s">
        <v>54</v>
      </c>
      <c r="Q3433" t="s">
        <v>55</v>
      </c>
      <c r="T3433" t="s">
        <v>841</v>
      </c>
      <c r="U3433">
        <v>40</v>
      </c>
      <c r="V3433" s="1">
        <v>27759</v>
      </c>
      <c r="W3433" s="1">
        <v>27759</v>
      </c>
      <c r="X3433" s="1">
        <v>27759</v>
      </c>
      <c r="Y3433" s="1">
        <v>42369</v>
      </c>
      <c r="Z3433" t="s">
        <v>51</v>
      </c>
      <c r="AB3433" t="s">
        <v>54</v>
      </c>
      <c r="AC3433">
        <v>1</v>
      </c>
      <c r="AE3433" t="s">
        <v>1212</v>
      </c>
      <c r="AF3433">
        <v>20</v>
      </c>
      <c r="AG3433" s="1">
        <v>31777</v>
      </c>
      <c r="AH3433" s="1">
        <v>31777</v>
      </c>
      <c r="AI3433" s="1">
        <v>31777</v>
      </c>
      <c r="AJ3433" s="1">
        <v>39082</v>
      </c>
      <c r="AK3433" t="s">
        <v>51</v>
      </c>
      <c r="AN3433">
        <v>0</v>
      </c>
      <c r="AO3433" t="s">
        <v>54</v>
      </c>
      <c r="AP3433" t="s">
        <v>53</v>
      </c>
      <c r="AQ3433">
        <v>0</v>
      </c>
      <c r="AR3433" t="s">
        <v>53</v>
      </c>
      <c r="AS3433">
        <v>0</v>
      </c>
      <c r="AT3433">
        <v>0</v>
      </c>
      <c r="CC3433" t="s">
        <v>850</v>
      </c>
      <c r="CD3433">
        <v>1</v>
      </c>
      <c r="CE3433" s="1">
        <v>42552</v>
      </c>
      <c r="CF3433" s="1">
        <v>42552</v>
      </c>
      <c r="CG3433" s="1">
        <v>42552</v>
      </c>
      <c r="CH3433" s="1">
        <v>49714</v>
      </c>
      <c r="CI3433" t="s">
        <v>51</v>
      </c>
      <c r="CK3433" t="s">
        <v>78</v>
      </c>
      <c r="CM3433" t="s">
        <v>54</v>
      </c>
      <c r="CN3433" t="s">
        <v>174</v>
      </c>
      <c r="CO3433" t="s">
        <v>86</v>
      </c>
      <c r="CR3433">
        <v>18</v>
      </c>
      <c r="CS3433">
        <v>0</v>
      </c>
      <c r="CT3433">
        <v>0</v>
      </c>
      <c r="CU3433">
        <v>0</v>
      </c>
    </row>
    <row r="3434" spans="1:99" x14ac:dyDescent="0.2">
      <c r="A3434" t="s">
        <v>367</v>
      </c>
      <c r="B3434" t="s">
        <v>368</v>
      </c>
      <c r="C3434" t="s">
        <v>369</v>
      </c>
      <c r="D3434" t="s">
        <v>1215</v>
      </c>
      <c r="F3434" t="str">
        <f>"26983"</f>
        <v>26983</v>
      </c>
      <c r="G3434" t="s">
        <v>49</v>
      </c>
      <c r="H3434" t="s">
        <v>1514</v>
      </c>
      <c r="K3434" t="s">
        <v>51</v>
      </c>
      <c r="L3434" t="s">
        <v>52</v>
      </c>
      <c r="M3434">
        <v>137935.82999999999</v>
      </c>
      <c r="N3434">
        <v>468095.31</v>
      </c>
      <c r="O3434" t="s">
        <v>53</v>
      </c>
      <c r="P3434" t="s">
        <v>54</v>
      </c>
      <c r="Q3434" t="s">
        <v>55</v>
      </c>
      <c r="T3434" t="s">
        <v>841</v>
      </c>
      <c r="U3434">
        <v>40</v>
      </c>
      <c r="V3434" s="1">
        <v>27759</v>
      </c>
      <c r="W3434" s="1">
        <v>27759</v>
      </c>
      <c r="X3434" s="1">
        <v>27759</v>
      </c>
      <c r="Y3434" s="1">
        <v>42369</v>
      </c>
      <c r="Z3434" t="s">
        <v>51</v>
      </c>
      <c r="AB3434" t="s">
        <v>54</v>
      </c>
      <c r="AC3434">
        <v>1</v>
      </c>
      <c r="AE3434" t="s">
        <v>1212</v>
      </c>
      <c r="AF3434">
        <v>20</v>
      </c>
      <c r="AG3434" s="1">
        <v>31777</v>
      </c>
      <c r="AH3434" s="1">
        <v>31777</v>
      </c>
      <c r="AI3434" s="1">
        <v>31777</v>
      </c>
      <c r="AJ3434" s="1">
        <v>39082</v>
      </c>
      <c r="AK3434" t="s">
        <v>51</v>
      </c>
      <c r="AN3434">
        <v>0</v>
      </c>
      <c r="AO3434" t="s">
        <v>54</v>
      </c>
      <c r="AP3434" t="s">
        <v>53</v>
      </c>
      <c r="AQ3434">
        <v>0</v>
      </c>
      <c r="AR3434" t="s">
        <v>53</v>
      </c>
      <c r="AS3434">
        <v>0</v>
      </c>
      <c r="AT3434">
        <v>0</v>
      </c>
      <c r="CC3434" t="s">
        <v>850</v>
      </c>
      <c r="CD3434">
        <v>1</v>
      </c>
      <c r="CE3434" s="1">
        <v>42552</v>
      </c>
      <c r="CF3434" s="1">
        <v>42552</v>
      </c>
      <c r="CG3434" s="1">
        <v>42552</v>
      </c>
      <c r="CH3434" s="1">
        <v>49714</v>
      </c>
      <c r="CI3434" t="s">
        <v>51</v>
      </c>
      <c r="CK3434" t="s">
        <v>78</v>
      </c>
      <c r="CM3434" t="s">
        <v>54</v>
      </c>
      <c r="CN3434" t="s">
        <v>174</v>
      </c>
      <c r="CO3434" t="s">
        <v>86</v>
      </c>
      <c r="CR3434">
        <v>18</v>
      </c>
      <c r="CS3434">
        <v>0</v>
      </c>
      <c r="CT3434">
        <v>0</v>
      </c>
      <c r="CU3434">
        <v>0</v>
      </c>
    </row>
    <row r="3435" spans="1:99" x14ac:dyDescent="0.2">
      <c r="A3435" t="s">
        <v>367</v>
      </c>
      <c r="B3435" t="s">
        <v>368</v>
      </c>
      <c r="C3435" t="s">
        <v>369</v>
      </c>
      <c r="D3435" t="s">
        <v>1215</v>
      </c>
      <c r="F3435" t="str">
        <f>"26984"</f>
        <v>26984</v>
      </c>
      <c r="G3435" t="s">
        <v>49</v>
      </c>
      <c r="H3435" t="s">
        <v>1515</v>
      </c>
      <c r="K3435" t="s">
        <v>51</v>
      </c>
      <c r="L3435" t="s">
        <v>52</v>
      </c>
      <c r="M3435">
        <v>137964.66</v>
      </c>
      <c r="N3435">
        <v>468102.29</v>
      </c>
      <c r="O3435" t="s">
        <v>53</v>
      </c>
      <c r="P3435" t="s">
        <v>54</v>
      </c>
      <c r="Q3435" t="s">
        <v>55</v>
      </c>
      <c r="T3435" t="s">
        <v>83</v>
      </c>
      <c r="U3435">
        <v>40</v>
      </c>
      <c r="V3435" s="1">
        <v>22281</v>
      </c>
      <c r="W3435" s="1">
        <v>22281</v>
      </c>
      <c r="X3435" s="1">
        <v>22281</v>
      </c>
      <c r="Y3435" s="1">
        <v>36891</v>
      </c>
      <c r="Z3435" t="s">
        <v>51</v>
      </c>
      <c r="AB3435" t="s">
        <v>54</v>
      </c>
      <c r="AC3435">
        <v>1</v>
      </c>
      <c r="AE3435" t="s">
        <v>1212</v>
      </c>
      <c r="AF3435">
        <v>20</v>
      </c>
      <c r="AG3435" s="1">
        <v>31777</v>
      </c>
      <c r="AH3435" s="1">
        <v>31777</v>
      </c>
      <c r="AI3435" s="1">
        <v>31777</v>
      </c>
      <c r="AJ3435" s="1">
        <v>39082</v>
      </c>
      <c r="AK3435" t="s">
        <v>51</v>
      </c>
      <c r="AN3435">
        <v>0</v>
      </c>
      <c r="AO3435" t="s">
        <v>54</v>
      </c>
      <c r="AP3435" t="s">
        <v>53</v>
      </c>
      <c r="AQ3435">
        <v>0</v>
      </c>
      <c r="AR3435" t="s">
        <v>53</v>
      </c>
      <c r="AS3435">
        <v>0</v>
      </c>
      <c r="AT3435">
        <v>0</v>
      </c>
      <c r="CC3435" t="s">
        <v>850</v>
      </c>
      <c r="CD3435">
        <v>1</v>
      </c>
      <c r="CE3435" s="1">
        <v>42552</v>
      </c>
      <c r="CF3435" s="1">
        <v>42552</v>
      </c>
      <c r="CG3435" s="1">
        <v>42552</v>
      </c>
      <c r="CH3435" s="1">
        <v>42552</v>
      </c>
      <c r="CI3435" t="s">
        <v>51</v>
      </c>
      <c r="CK3435" t="s">
        <v>78</v>
      </c>
      <c r="CM3435" t="s">
        <v>54</v>
      </c>
      <c r="CN3435" t="s">
        <v>174</v>
      </c>
      <c r="CO3435" t="s">
        <v>86</v>
      </c>
      <c r="CR3435">
        <v>18</v>
      </c>
      <c r="CS3435">
        <v>0</v>
      </c>
      <c r="CT3435">
        <v>0</v>
      </c>
      <c r="CU3435">
        <v>0</v>
      </c>
    </row>
    <row r="3436" spans="1:99" x14ac:dyDescent="0.2">
      <c r="A3436" t="s">
        <v>367</v>
      </c>
      <c r="B3436" t="s">
        <v>368</v>
      </c>
      <c r="C3436" t="s">
        <v>369</v>
      </c>
      <c r="D3436" t="s">
        <v>1215</v>
      </c>
      <c r="F3436" t="str">
        <f>"26985"</f>
        <v>26985</v>
      </c>
      <c r="G3436" t="s">
        <v>49</v>
      </c>
      <c r="H3436" t="s">
        <v>1357</v>
      </c>
      <c r="K3436" t="s">
        <v>51</v>
      </c>
      <c r="L3436" t="s">
        <v>52</v>
      </c>
      <c r="M3436">
        <v>137985.25</v>
      </c>
      <c r="N3436">
        <v>468094.08</v>
      </c>
      <c r="O3436" t="s">
        <v>53</v>
      </c>
      <c r="P3436" t="s">
        <v>54</v>
      </c>
      <c r="Q3436" t="s">
        <v>55</v>
      </c>
      <c r="T3436" t="s">
        <v>83</v>
      </c>
      <c r="U3436">
        <v>40</v>
      </c>
      <c r="V3436" s="1">
        <v>22281</v>
      </c>
      <c r="W3436" s="1">
        <v>22281</v>
      </c>
      <c r="X3436" s="1">
        <v>22281</v>
      </c>
      <c r="Y3436" s="1">
        <v>36891</v>
      </c>
      <c r="Z3436" t="s">
        <v>51</v>
      </c>
      <c r="AB3436" t="s">
        <v>54</v>
      </c>
      <c r="AC3436">
        <v>1</v>
      </c>
      <c r="AE3436" t="s">
        <v>1212</v>
      </c>
      <c r="AF3436">
        <v>20</v>
      </c>
      <c r="AG3436" s="1">
        <v>31777</v>
      </c>
      <c r="AH3436" s="1">
        <v>31777</v>
      </c>
      <c r="AI3436" s="1">
        <v>31777</v>
      </c>
      <c r="AJ3436" s="1">
        <v>39082</v>
      </c>
      <c r="AK3436" t="s">
        <v>51</v>
      </c>
      <c r="AN3436">
        <v>0</v>
      </c>
      <c r="AO3436" t="s">
        <v>54</v>
      </c>
      <c r="AP3436" t="s">
        <v>53</v>
      </c>
      <c r="AQ3436">
        <v>0</v>
      </c>
      <c r="AR3436" t="s">
        <v>53</v>
      </c>
      <c r="AS3436">
        <v>0</v>
      </c>
      <c r="AT3436">
        <v>0</v>
      </c>
      <c r="CC3436" t="s">
        <v>850</v>
      </c>
      <c r="CD3436">
        <v>1</v>
      </c>
      <c r="CE3436" s="1">
        <v>42552</v>
      </c>
      <c r="CF3436" s="1">
        <v>42552</v>
      </c>
      <c r="CG3436" s="1">
        <v>42552</v>
      </c>
      <c r="CH3436" s="1">
        <v>49714</v>
      </c>
      <c r="CI3436" t="s">
        <v>51</v>
      </c>
      <c r="CK3436" t="s">
        <v>78</v>
      </c>
      <c r="CM3436" t="s">
        <v>54</v>
      </c>
      <c r="CN3436" t="s">
        <v>174</v>
      </c>
      <c r="CO3436" t="s">
        <v>86</v>
      </c>
      <c r="CR3436">
        <v>18</v>
      </c>
      <c r="CS3436">
        <v>0</v>
      </c>
      <c r="CT3436">
        <v>0</v>
      </c>
      <c r="CU3436">
        <v>0</v>
      </c>
    </row>
    <row r="3437" spans="1:99" x14ac:dyDescent="0.2">
      <c r="A3437" t="s">
        <v>367</v>
      </c>
      <c r="B3437" t="s">
        <v>368</v>
      </c>
      <c r="C3437" t="s">
        <v>369</v>
      </c>
      <c r="D3437" t="s">
        <v>1215</v>
      </c>
      <c r="F3437" t="str">
        <f>"26986"</f>
        <v>26986</v>
      </c>
      <c r="G3437" t="s">
        <v>49</v>
      </c>
      <c r="H3437" t="s">
        <v>1516</v>
      </c>
      <c r="K3437" t="s">
        <v>51</v>
      </c>
      <c r="L3437" t="s">
        <v>52</v>
      </c>
      <c r="M3437">
        <v>138022.32999999999</v>
      </c>
      <c r="N3437">
        <v>468105.31</v>
      </c>
      <c r="O3437" t="s">
        <v>53</v>
      </c>
      <c r="P3437" t="s">
        <v>54</v>
      </c>
      <c r="Q3437" t="s">
        <v>55</v>
      </c>
      <c r="T3437" t="s">
        <v>83</v>
      </c>
      <c r="U3437">
        <v>40</v>
      </c>
      <c r="V3437" s="1">
        <v>22281</v>
      </c>
      <c r="W3437" s="1">
        <v>22281</v>
      </c>
      <c r="X3437" s="1">
        <v>22281</v>
      </c>
      <c r="Y3437" s="1">
        <v>36891</v>
      </c>
      <c r="Z3437" t="s">
        <v>51</v>
      </c>
      <c r="AB3437" t="s">
        <v>54</v>
      </c>
      <c r="AC3437">
        <v>1</v>
      </c>
      <c r="AE3437" t="s">
        <v>1212</v>
      </c>
      <c r="AF3437">
        <v>20</v>
      </c>
      <c r="AG3437" s="1">
        <v>31777</v>
      </c>
      <c r="AH3437" s="1">
        <v>31777</v>
      </c>
      <c r="AI3437" s="1">
        <v>31777</v>
      </c>
      <c r="AJ3437" s="1">
        <v>39082</v>
      </c>
      <c r="AK3437" t="s">
        <v>51</v>
      </c>
      <c r="AN3437">
        <v>0</v>
      </c>
      <c r="AO3437" t="s">
        <v>54</v>
      </c>
      <c r="AP3437" t="s">
        <v>53</v>
      </c>
      <c r="AQ3437">
        <v>0</v>
      </c>
      <c r="AR3437" t="s">
        <v>53</v>
      </c>
      <c r="AS3437">
        <v>0</v>
      </c>
      <c r="AT3437">
        <v>0</v>
      </c>
      <c r="CC3437" t="s">
        <v>850</v>
      </c>
      <c r="CD3437">
        <v>1</v>
      </c>
      <c r="CE3437" s="1">
        <v>42552</v>
      </c>
      <c r="CF3437" s="1">
        <v>42552</v>
      </c>
      <c r="CG3437" s="1">
        <v>42552</v>
      </c>
      <c r="CH3437" s="1">
        <v>42552</v>
      </c>
      <c r="CI3437" t="s">
        <v>51</v>
      </c>
      <c r="CK3437" t="s">
        <v>78</v>
      </c>
      <c r="CM3437" t="s">
        <v>54</v>
      </c>
      <c r="CN3437" t="s">
        <v>174</v>
      </c>
      <c r="CO3437" t="s">
        <v>86</v>
      </c>
      <c r="CR3437">
        <v>18</v>
      </c>
      <c r="CS3437">
        <v>0</v>
      </c>
      <c r="CT3437">
        <v>0</v>
      </c>
      <c r="CU3437">
        <v>0</v>
      </c>
    </row>
    <row r="3438" spans="1:99" x14ac:dyDescent="0.2">
      <c r="A3438" t="s">
        <v>367</v>
      </c>
      <c r="B3438" t="s">
        <v>368</v>
      </c>
      <c r="C3438" t="s">
        <v>369</v>
      </c>
      <c r="D3438" t="s">
        <v>1215</v>
      </c>
      <c r="F3438" t="str">
        <f>"26987"</f>
        <v>26987</v>
      </c>
      <c r="G3438" t="s">
        <v>49</v>
      </c>
      <c r="H3438" t="s">
        <v>1517</v>
      </c>
      <c r="K3438" t="s">
        <v>51</v>
      </c>
      <c r="L3438" t="s">
        <v>52</v>
      </c>
      <c r="M3438">
        <v>138050.31</v>
      </c>
      <c r="N3438">
        <v>468097.4</v>
      </c>
      <c r="O3438" t="s">
        <v>53</v>
      </c>
      <c r="P3438" t="s">
        <v>54</v>
      </c>
      <c r="Q3438" t="s">
        <v>55</v>
      </c>
      <c r="T3438" t="s">
        <v>83</v>
      </c>
      <c r="U3438">
        <v>40</v>
      </c>
      <c r="V3438" s="1">
        <v>22281</v>
      </c>
      <c r="W3438" s="1">
        <v>22281</v>
      </c>
      <c r="X3438" s="1">
        <v>22281</v>
      </c>
      <c r="Y3438" s="1">
        <v>36891</v>
      </c>
      <c r="Z3438" t="s">
        <v>51</v>
      </c>
      <c r="AB3438" t="s">
        <v>54</v>
      </c>
      <c r="AC3438">
        <v>1</v>
      </c>
      <c r="AE3438" t="s">
        <v>1212</v>
      </c>
      <c r="AF3438">
        <v>20</v>
      </c>
      <c r="AG3438" s="1">
        <v>31777</v>
      </c>
      <c r="AH3438" s="1">
        <v>31777</v>
      </c>
      <c r="AI3438" s="1">
        <v>31777</v>
      </c>
      <c r="AJ3438" s="1">
        <v>39082</v>
      </c>
      <c r="AK3438" t="s">
        <v>51</v>
      </c>
      <c r="AN3438">
        <v>0</v>
      </c>
      <c r="AO3438" t="s">
        <v>54</v>
      </c>
      <c r="AP3438" t="s">
        <v>53</v>
      </c>
      <c r="AQ3438">
        <v>0</v>
      </c>
      <c r="AR3438" t="s">
        <v>53</v>
      </c>
      <c r="AS3438">
        <v>0</v>
      </c>
      <c r="AT3438">
        <v>0</v>
      </c>
      <c r="CC3438" t="s">
        <v>850</v>
      </c>
      <c r="CD3438">
        <v>1</v>
      </c>
      <c r="CE3438" s="1">
        <v>42552</v>
      </c>
      <c r="CF3438" s="1">
        <v>42552</v>
      </c>
      <c r="CG3438" s="1">
        <v>42552</v>
      </c>
      <c r="CH3438" s="1">
        <v>49714</v>
      </c>
      <c r="CI3438" t="s">
        <v>51</v>
      </c>
      <c r="CK3438" t="s">
        <v>78</v>
      </c>
      <c r="CM3438" t="s">
        <v>54</v>
      </c>
      <c r="CN3438" t="s">
        <v>174</v>
      </c>
      <c r="CO3438" t="s">
        <v>86</v>
      </c>
      <c r="CR3438">
        <v>18</v>
      </c>
      <c r="CS3438">
        <v>0</v>
      </c>
      <c r="CT3438">
        <v>0</v>
      </c>
      <c r="CU3438">
        <v>0</v>
      </c>
    </row>
    <row r="3439" spans="1:99" x14ac:dyDescent="0.2">
      <c r="A3439" t="s">
        <v>367</v>
      </c>
      <c r="B3439" t="s">
        <v>368</v>
      </c>
      <c r="C3439" t="s">
        <v>369</v>
      </c>
      <c r="D3439" t="s">
        <v>1215</v>
      </c>
      <c r="F3439" t="str">
        <f>"26988"</f>
        <v>26988</v>
      </c>
      <c r="G3439" t="s">
        <v>49</v>
      </c>
      <c r="H3439" t="s">
        <v>1518</v>
      </c>
      <c r="K3439" t="s">
        <v>51</v>
      </c>
      <c r="L3439" t="s">
        <v>52</v>
      </c>
      <c r="M3439">
        <v>138082.37</v>
      </c>
      <c r="N3439">
        <v>468108.18</v>
      </c>
      <c r="O3439" t="s">
        <v>53</v>
      </c>
      <c r="P3439" t="s">
        <v>54</v>
      </c>
      <c r="Q3439" t="s">
        <v>55</v>
      </c>
      <c r="T3439" t="s">
        <v>83</v>
      </c>
      <c r="U3439">
        <v>40</v>
      </c>
      <c r="V3439" s="1">
        <v>22281</v>
      </c>
      <c r="W3439" s="1">
        <v>22281</v>
      </c>
      <c r="X3439" s="1">
        <v>22281</v>
      </c>
      <c r="Y3439" s="1">
        <v>36891</v>
      </c>
      <c r="Z3439" t="s">
        <v>51</v>
      </c>
      <c r="AB3439" t="s">
        <v>54</v>
      </c>
      <c r="AC3439">
        <v>1</v>
      </c>
      <c r="AE3439" t="s">
        <v>1212</v>
      </c>
      <c r="AF3439">
        <v>20</v>
      </c>
      <c r="AG3439" s="1">
        <v>31777</v>
      </c>
      <c r="AH3439" s="1">
        <v>31777</v>
      </c>
      <c r="AI3439" s="1">
        <v>31777</v>
      </c>
      <c r="AJ3439" s="1">
        <v>39082</v>
      </c>
      <c r="AK3439" t="s">
        <v>51</v>
      </c>
      <c r="AN3439">
        <v>0</v>
      </c>
      <c r="AO3439" t="s">
        <v>54</v>
      </c>
      <c r="AP3439" t="s">
        <v>53</v>
      </c>
      <c r="AQ3439">
        <v>0</v>
      </c>
      <c r="AR3439" t="s">
        <v>53</v>
      </c>
      <c r="AS3439">
        <v>0</v>
      </c>
      <c r="AT3439">
        <v>0</v>
      </c>
      <c r="AW3439" t="s">
        <v>58</v>
      </c>
      <c r="AX3439">
        <v>20</v>
      </c>
      <c r="AY3439" s="1">
        <v>31777</v>
      </c>
      <c r="AZ3439" s="1">
        <v>31777</v>
      </c>
      <c r="BA3439" s="1">
        <v>31777</v>
      </c>
      <c r="BB3439" s="1">
        <v>39082</v>
      </c>
      <c r="BC3439" t="s">
        <v>51</v>
      </c>
      <c r="BE3439" t="s">
        <v>54</v>
      </c>
      <c r="BF3439">
        <v>2</v>
      </c>
      <c r="BG3439">
        <v>0</v>
      </c>
      <c r="BH3439" t="s">
        <v>53</v>
      </c>
      <c r="BK3439" t="s">
        <v>720</v>
      </c>
      <c r="BL3439">
        <v>17000</v>
      </c>
      <c r="BM3439" s="1">
        <v>44270</v>
      </c>
      <c r="BN3439" s="1">
        <v>44270</v>
      </c>
      <c r="BO3439" s="1">
        <v>44270</v>
      </c>
      <c r="BP3439" s="1">
        <v>45709</v>
      </c>
      <c r="BQ3439" t="s">
        <v>51</v>
      </c>
      <c r="BS3439" t="s">
        <v>60</v>
      </c>
      <c r="BT3439" t="s">
        <v>54</v>
      </c>
      <c r="BU3439" t="s">
        <v>721</v>
      </c>
      <c r="BV3439" t="s">
        <v>722</v>
      </c>
      <c r="BX3439">
        <v>18</v>
      </c>
      <c r="BY3439">
        <v>0</v>
      </c>
      <c r="BZ3439">
        <v>0</v>
      </c>
    </row>
    <row r="3440" spans="1:99" x14ac:dyDescent="0.2">
      <c r="A3440" t="s">
        <v>367</v>
      </c>
      <c r="B3440" t="s">
        <v>368</v>
      </c>
      <c r="C3440" t="s">
        <v>369</v>
      </c>
      <c r="D3440" t="s">
        <v>1208</v>
      </c>
      <c r="F3440" t="str">
        <f>"254104"</f>
        <v>254104</v>
      </c>
      <c r="G3440" t="s">
        <v>49</v>
      </c>
      <c r="H3440" t="s">
        <v>1226</v>
      </c>
      <c r="K3440" t="s">
        <v>51</v>
      </c>
      <c r="L3440" t="s">
        <v>52</v>
      </c>
      <c r="M3440">
        <v>138230.73000000001</v>
      </c>
      <c r="N3440">
        <v>468139.3</v>
      </c>
      <c r="O3440" t="s">
        <v>53</v>
      </c>
      <c r="P3440" t="s">
        <v>54</v>
      </c>
      <c r="Q3440" t="s">
        <v>55</v>
      </c>
      <c r="T3440" t="s">
        <v>841</v>
      </c>
      <c r="U3440">
        <v>40</v>
      </c>
      <c r="V3440" s="1">
        <v>42552</v>
      </c>
      <c r="W3440" s="1">
        <v>42552</v>
      </c>
      <c r="X3440" s="1">
        <v>42552</v>
      </c>
      <c r="Y3440" s="1">
        <v>57162</v>
      </c>
      <c r="Z3440" t="s">
        <v>51</v>
      </c>
      <c r="AB3440" t="s">
        <v>54</v>
      </c>
      <c r="AC3440">
        <v>1</v>
      </c>
      <c r="AE3440" t="s">
        <v>79</v>
      </c>
      <c r="AF3440">
        <v>20</v>
      </c>
      <c r="AG3440" s="1">
        <v>42552</v>
      </c>
      <c r="AH3440" s="1">
        <v>42552</v>
      </c>
      <c r="AI3440" s="1">
        <v>42552</v>
      </c>
      <c r="AJ3440" s="1">
        <v>49857</v>
      </c>
      <c r="AK3440" t="s">
        <v>51</v>
      </c>
      <c r="AN3440">
        <v>0</v>
      </c>
      <c r="AO3440" t="s">
        <v>54</v>
      </c>
      <c r="AP3440" t="s">
        <v>53</v>
      </c>
      <c r="AQ3440">
        <v>0</v>
      </c>
      <c r="AR3440" t="s">
        <v>145</v>
      </c>
      <c r="AS3440">
        <v>0</v>
      </c>
      <c r="AT3440">
        <v>0</v>
      </c>
      <c r="CC3440" t="s">
        <v>850</v>
      </c>
      <c r="CD3440">
        <v>1</v>
      </c>
      <c r="CE3440" s="1">
        <v>43941</v>
      </c>
      <c r="CF3440" s="1">
        <v>43941</v>
      </c>
      <c r="CG3440" s="1">
        <v>43941</v>
      </c>
      <c r="CH3440" s="1">
        <v>43941</v>
      </c>
      <c r="CI3440" t="s">
        <v>51</v>
      </c>
      <c r="CK3440" t="s">
        <v>78</v>
      </c>
      <c r="CM3440" t="s">
        <v>54</v>
      </c>
      <c r="CN3440" t="s">
        <v>174</v>
      </c>
      <c r="CO3440" t="s">
        <v>86</v>
      </c>
      <c r="CR3440">
        <v>18</v>
      </c>
      <c r="CS3440">
        <v>0</v>
      </c>
      <c r="CT3440">
        <v>0</v>
      </c>
      <c r="CU3440">
        <v>0</v>
      </c>
    </row>
    <row r="3441" spans="1:99" x14ac:dyDescent="0.2">
      <c r="A3441" t="s">
        <v>367</v>
      </c>
      <c r="B3441" t="s">
        <v>368</v>
      </c>
      <c r="C3441" t="s">
        <v>369</v>
      </c>
      <c r="D3441" t="s">
        <v>1208</v>
      </c>
      <c r="F3441" t="str">
        <f>"254105"</f>
        <v>254105</v>
      </c>
      <c r="G3441" t="s">
        <v>49</v>
      </c>
      <c r="H3441" t="s">
        <v>1519</v>
      </c>
      <c r="K3441" t="s">
        <v>51</v>
      </c>
      <c r="L3441" t="s">
        <v>52</v>
      </c>
      <c r="M3441">
        <v>138239.78</v>
      </c>
      <c r="N3441">
        <v>468167.64</v>
      </c>
      <c r="O3441" t="s">
        <v>53</v>
      </c>
      <c r="P3441" t="s">
        <v>54</v>
      </c>
      <c r="Q3441" t="s">
        <v>55</v>
      </c>
      <c r="T3441" t="s">
        <v>841</v>
      </c>
      <c r="U3441">
        <v>40</v>
      </c>
      <c r="V3441" s="1">
        <v>42552</v>
      </c>
      <c r="W3441" s="1">
        <v>42552</v>
      </c>
      <c r="X3441" s="1">
        <v>42552</v>
      </c>
      <c r="Y3441" s="1">
        <v>57162</v>
      </c>
      <c r="Z3441" t="s">
        <v>51</v>
      </c>
      <c r="AB3441" t="s">
        <v>54</v>
      </c>
      <c r="AC3441">
        <v>1</v>
      </c>
      <c r="AE3441" t="s">
        <v>79</v>
      </c>
      <c r="AF3441">
        <v>20</v>
      </c>
      <c r="AG3441" s="1">
        <v>42552</v>
      </c>
      <c r="AH3441" s="1">
        <v>42552</v>
      </c>
      <c r="AI3441" s="1">
        <v>42552</v>
      </c>
      <c r="AJ3441" s="1">
        <v>49857</v>
      </c>
      <c r="AK3441" t="s">
        <v>51</v>
      </c>
      <c r="AN3441">
        <v>0</v>
      </c>
      <c r="AO3441" t="s">
        <v>54</v>
      </c>
      <c r="AP3441" t="s">
        <v>53</v>
      </c>
      <c r="AQ3441">
        <v>0</v>
      </c>
      <c r="AR3441" t="s">
        <v>145</v>
      </c>
      <c r="AS3441">
        <v>0</v>
      </c>
      <c r="AT3441">
        <v>0</v>
      </c>
      <c r="CC3441" t="s">
        <v>850</v>
      </c>
      <c r="CD3441">
        <v>1</v>
      </c>
      <c r="CE3441" s="1">
        <v>42552</v>
      </c>
      <c r="CF3441" s="1">
        <v>42552</v>
      </c>
      <c r="CG3441" s="1">
        <v>42552</v>
      </c>
      <c r="CH3441" s="1">
        <v>49714</v>
      </c>
      <c r="CI3441" t="s">
        <v>51</v>
      </c>
      <c r="CK3441" t="s">
        <v>78</v>
      </c>
      <c r="CM3441" t="s">
        <v>54</v>
      </c>
      <c r="CN3441" t="s">
        <v>174</v>
      </c>
      <c r="CO3441" t="s">
        <v>86</v>
      </c>
      <c r="CR3441">
        <v>18</v>
      </c>
      <c r="CS3441">
        <v>0</v>
      </c>
      <c r="CT3441">
        <v>0</v>
      </c>
      <c r="CU3441">
        <v>0</v>
      </c>
    </row>
    <row r="3442" spans="1:99" x14ac:dyDescent="0.2">
      <c r="A3442" t="s">
        <v>367</v>
      </c>
      <c r="B3442" t="s">
        <v>368</v>
      </c>
      <c r="C3442" t="s">
        <v>369</v>
      </c>
      <c r="D3442" t="s">
        <v>1208</v>
      </c>
      <c r="F3442" t="str">
        <f>"254106"</f>
        <v>254106</v>
      </c>
      <c r="G3442" t="s">
        <v>49</v>
      </c>
      <c r="H3442" t="s">
        <v>1520</v>
      </c>
      <c r="K3442" t="s">
        <v>51</v>
      </c>
      <c r="L3442" t="s">
        <v>52</v>
      </c>
      <c r="M3442">
        <v>138228.5</v>
      </c>
      <c r="N3442">
        <v>468199.3</v>
      </c>
      <c r="O3442" t="s">
        <v>53</v>
      </c>
      <c r="P3442" t="s">
        <v>54</v>
      </c>
      <c r="Q3442" t="s">
        <v>55</v>
      </c>
      <c r="T3442" t="s">
        <v>183</v>
      </c>
      <c r="U3442">
        <v>40</v>
      </c>
      <c r="V3442" s="1">
        <v>25933</v>
      </c>
      <c r="W3442" s="1">
        <v>25933</v>
      </c>
      <c r="X3442" s="1">
        <v>25933</v>
      </c>
      <c r="Y3442" s="1">
        <v>40543</v>
      </c>
      <c r="Z3442" t="s">
        <v>51</v>
      </c>
      <c r="AB3442" t="s">
        <v>54</v>
      </c>
      <c r="AC3442">
        <v>1</v>
      </c>
      <c r="AE3442" t="s">
        <v>1212</v>
      </c>
      <c r="AF3442">
        <v>20</v>
      </c>
      <c r="AG3442" s="1">
        <v>31777</v>
      </c>
      <c r="AH3442" s="1">
        <v>31777</v>
      </c>
      <c r="AI3442" s="1">
        <v>31777</v>
      </c>
      <c r="AJ3442" s="1">
        <v>39082</v>
      </c>
      <c r="AK3442" t="s">
        <v>51</v>
      </c>
      <c r="AN3442">
        <v>0</v>
      </c>
      <c r="AO3442" t="s">
        <v>54</v>
      </c>
      <c r="AP3442" t="s">
        <v>53</v>
      </c>
      <c r="AQ3442">
        <v>0</v>
      </c>
      <c r="AR3442" t="s">
        <v>53</v>
      </c>
      <c r="AS3442">
        <v>0</v>
      </c>
      <c r="AT3442">
        <v>0</v>
      </c>
      <c r="AW3442" t="s">
        <v>58</v>
      </c>
      <c r="AX3442">
        <v>20</v>
      </c>
      <c r="AY3442" s="1">
        <v>31777</v>
      </c>
      <c r="AZ3442" s="1">
        <v>31777</v>
      </c>
      <c r="BA3442" s="1">
        <v>31777</v>
      </c>
      <c r="BB3442" s="1">
        <v>39082</v>
      </c>
      <c r="BC3442" t="s">
        <v>51</v>
      </c>
      <c r="BE3442" t="s">
        <v>54</v>
      </c>
      <c r="BF3442">
        <v>2</v>
      </c>
      <c r="BG3442">
        <v>0</v>
      </c>
      <c r="BH3442" t="s">
        <v>53</v>
      </c>
      <c r="BK3442" t="s">
        <v>720</v>
      </c>
      <c r="BL3442">
        <v>17000</v>
      </c>
      <c r="BM3442" s="1">
        <v>42552</v>
      </c>
      <c r="BN3442" s="1">
        <v>42552</v>
      </c>
      <c r="BO3442" s="1">
        <v>42552</v>
      </c>
      <c r="BP3442" s="1">
        <v>43974</v>
      </c>
      <c r="BQ3442" t="s">
        <v>51</v>
      </c>
      <c r="BS3442" t="s">
        <v>60</v>
      </c>
      <c r="BT3442" t="s">
        <v>54</v>
      </c>
      <c r="BU3442" t="s">
        <v>721</v>
      </c>
      <c r="BV3442" t="s">
        <v>722</v>
      </c>
      <c r="BX3442">
        <v>18</v>
      </c>
      <c r="BY3442">
        <v>0</v>
      </c>
      <c r="BZ3442">
        <v>0</v>
      </c>
    </row>
    <row r="3443" spans="1:99" x14ac:dyDescent="0.2">
      <c r="A3443" t="s">
        <v>367</v>
      </c>
      <c r="B3443" t="s">
        <v>368</v>
      </c>
      <c r="C3443" t="s">
        <v>369</v>
      </c>
      <c r="D3443" t="s">
        <v>1208</v>
      </c>
      <c r="F3443" t="str">
        <f>"254107"</f>
        <v>254107</v>
      </c>
      <c r="G3443" t="s">
        <v>49</v>
      </c>
      <c r="H3443" t="s">
        <v>870</v>
      </c>
      <c r="K3443" t="s">
        <v>51</v>
      </c>
      <c r="L3443" t="s">
        <v>52</v>
      </c>
      <c r="M3443">
        <v>138234.04</v>
      </c>
      <c r="N3443">
        <v>468232.64</v>
      </c>
      <c r="O3443" t="s">
        <v>53</v>
      </c>
      <c r="P3443" t="s">
        <v>54</v>
      </c>
      <c r="Q3443" t="s">
        <v>55</v>
      </c>
      <c r="T3443" t="s">
        <v>841</v>
      </c>
      <c r="U3443">
        <v>40</v>
      </c>
      <c r="V3443" s="1">
        <v>42552</v>
      </c>
      <c r="W3443" s="1">
        <v>42552</v>
      </c>
      <c r="X3443" s="1">
        <v>42552</v>
      </c>
      <c r="Y3443" s="1">
        <v>57162</v>
      </c>
      <c r="Z3443" t="s">
        <v>51</v>
      </c>
      <c r="AB3443" t="s">
        <v>54</v>
      </c>
      <c r="AC3443">
        <v>1</v>
      </c>
      <c r="AE3443" t="s">
        <v>79</v>
      </c>
      <c r="AF3443">
        <v>20</v>
      </c>
      <c r="AG3443" s="1">
        <v>42552</v>
      </c>
      <c r="AH3443" s="1">
        <v>42552</v>
      </c>
      <c r="AI3443" s="1">
        <v>42552</v>
      </c>
      <c r="AJ3443" s="1">
        <v>49857</v>
      </c>
      <c r="AK3443" t="s">
        <v>51</v>
      </c>
      <c r="AN3443">
        <v>0</v>
      </c>
      <c r="AO3443" t="s">
        <v>54</v>
      </c>
      <c r="AP3443" t="s">
        <v>53</v>
      </c>
      <c r="AQ3443">
        <v>0</v>
      </c>
      <c r="AR3443" t="s">
        <v>145</v>
      </c>
      <c r="AS3443">
        <v>0</v>
      </c>
      <c r="AT3443">
        <v>0</v>
      </c>
      <c r="CC3443" t="s">
        <v>850</v>
      </c>
      <c r="CD3443">
        <v>1</v>
      </c>
      <c r="CE3443" s="1">
        <v>42552</v>
      </c>
      <c r="CF3443" s="1">
        <v>42552</v>
      </c>
      <c r="CG3443" s="1">
        <v>42552</v>
      </c>
      <c r="CH3443" s="1">
        <v>49714</v>
      </c>
      <c r="CI3443" t="s">
        <v>51</v>
      </c>
      <c r="CK3443" t="s">
        <v>78</v>
      </c>
      <c r="CM3443" t="s">
        <v>54</v>
      </c>
      <c r="CN3443" t="s">
        <v>174</v>
      </c>
      <c r="CO3443" t="s">
        <v>86</v>
      </c>
      <c r="CR3443">
        <v>18</v>
      </c>
      <c r="CS3443">
        <v>0</v>
      </c>
      <c r="CT3443">
        <v>0</v>
      </c>
      <c r="CU3443">
        <v>0</v>
      </c>
    </row>
    <row r="3444" spans="1:99" x14ac:dyDescent="0.2">
      <c r="A3444" t="s">
        <v>367</v>
      </c>
      <c r="B3444" t="s">
        <v>368</v>
      </c>
      <c r="C3444" t="s">
        <v>369</v>
      </c>
      <c r="D3444" t="s">
        <v>1208</v>
      </c>
      <c r="F3444" t="str">
        <f>"254108"</f>
        <v>254108</v>
      </c>
      <c r="G3444" t="s">
        <v>49</v>
      </c>
      <c r="H3444" t="s">
        <v>1521</v>
      </c>
      <c r="K3444" t="s">
        <v>51</v>
      </c>
      <c r="L3444" t="s">
        <v>52</v>
      </c>
      <c r="M3444">
        <v>138223.53</v>
      </c>
      <c r="N3444">
        <v>468258.47</v>
      </c>
      <c r="O3444" t="s">
        <v>53</v>
      </c>
      <c r="P3444" t="s">
        <v>54</v>
      </c>
      <c r="Q3444" t="s">
        <v>55</v>
      </c>
      <c r="T3444" t="s">
        <v>841</v>
      </c>
      <c r="U3444">
        <v>40</v>
      </c>
      <c r="V3444" s="1">
        <v>42552</v>
      </c>
      <c r="W3444" s="1">
        <v>42552</v>
      </c>
      <c r="X3444" s="1">
        <v>42552</v>
      </c>
      <c r="Y3444" s="1">
        <v>57162</v>
      </c>
      <c r="Z3444" t="s">
        <v>51</v>
      </c>
      <c r="AB3444" t="s">
        <v>54</v>
      </c>
      <c r="AC3444">
        <v>1</v>
      </c>
      <c r="AE3444" t="s">
        <v>79</v>
      </c>
      <c r="AF3444">
        <v>20</v>
      </c>
      <c r="AG3444" s="1">
        <v>42552</v>
      </c>
      <c r="AH3444" s="1">
        <v>42552</v>
      </c>
      <c r="AI3444" s="1">
        <v>42552</v>
      </c>
      <c r="AJ3444" s="1">
        <v>49857</v>
      </c>
      <c r="AK3444" t="s">
        <v>51</v>
      </c>
      <c r="AN3444">
        <v>0</v>
      </c>
      <c r="AO3444" t="s">
        <v>54</v>
      </c>
      <c r="AP3444" t="s">
        <v>53</v>
      </c>
      <c r="AQ3444">
        <v>0</v>
      </c>
      <c r="AR3444" t="s">
        <v>145</v>
      </c>
      <c r="AS3444">
        <v>0</v>
      </c>
      <c r="AT3444">
        <v>0</v>
      </c>
      <c r="CC3444" t="s">
        <v>850</v>
      </c>
      <c r="CD3444">
        <v>1</v>
      </c>
      <c r="CE3444" s="1">
        <v>42552</v>
      </c>
      <c r="CF3444" s="1">
        <v>42552</v>
      </c>
      <c r="CG3444" s="1">
        <v>42552</v>
      </c>
      <c r="CH3444" s="1">
        <v>49714</v>
      </c>
      <c r="CI3444" t="s">
        <v>51</v>
      </c>
      <c r="CK3444" t="s">
        <v>78</v>
      </c>
      <c r="CM3444" t="s">
        <v>54</v>
      </c>
      <c r="CN3444" t="s">
        <v>174</v>
      </c>
      <c r="CO3444" t="s">
        <v>86</v>
      </c>
      <c r="CR3444">
        <v>18</v>
      </c>
      <c r="CS3444">
        <v>0</v>
      </c>
      <c r="CT3444">
        <v>0</v>
      </c>
      <c r="CU3444">
        <v>0</v>
      </c>
    </row>
    <row r="3445" spans="1:99" x14ac:dyDescent="0.2">
      <c r="A3445" t="s">
        <v>367</v>
      </c>
      <c r="B3445" t="s">
        <v>368</v>
      </c>
      <c r="C3445" t="s">
        <v>369</v>
      </c>
      <c r="D3445" t="s">
        <v>1208</v>
      </c>
      <c r="F3445" t="str">
        <f>"254109"</f>
        <v>254109</v>
      </c>
      <c r="G3445" t="s">
        <v>49</v>
      </c>
      <c r="H3445" t="s">
        <v>1522</v>
      </c>
      <c r="K3445" t="s">
        <v>51</v>
      </c>
      <c r="L3445" t="s">
        <v>52</v>
      </c>
      <c r="M3445">
        <v>138224.79</v>
      </c>
      <c r="N3445">
        <v>468283.07</v>
      </c>
      <c r="O3445" t="s">
        <v>53</v>
      </c>
      <c r="P3445" t="s">
        <v>54</v>
      </c>
      <c r="Q3445" t="s">
        <v>55</v>
      </c>
      <c r="T3445" t="s">
        <v>841</v>
      </c>
      <c r="U3445">
        <v>40</v>
      </c>
      <c r="V3445" s="1">
        <v>27759</v>
      </c>
      <c r="W3445" s="1">
        <v>27759</v>
      </c>
      <c r="X3445" s="1">
        <v>27759</v>
      </c>
      <c r="Y3445" s="1">
        <v>42369</v>
      </c>
      <c r="Z3445" t="s">
        <v>51</v>
      </c>
      <c r="AB3445" t="s">
        <v>54</v>
      </c>
      <c r="AC3445">
        <v>1</v>
      </c>
      <c r="AE3445" t="s">
        <v>1212</v>
      </c>
      <c r="AF3445">
        <v>20</v>
      </c>
      <c r="AG3445" s="1">
        <v>31777</v>
      </c>
      <c r="AH3445" s="1">
        <v>31777</v>
      </c>
      <c r="AI3445" s="1">
        <v>31777</v>
      </c>
      <c r="AJ3445" s="1">
        <v>39082</v>
      </c>
      <c r="AK3445" t="s">
        <v>51</v>
      </c>
      <c r="AN3445">
        <v>0</v>
      </c>
      <c r="AO3445" t="s">
        <v>54</v>
      </c>
      <c r="AP3445" t="s">
        <v>53</v>
      </c>
      <c r="AQ3445">
        <v>0</v>
      </c>
      <c r="AR3445" t="s">
        <v>53</v>
      </c>
      <c r="AS3445">
        <v>0</v>
      </c>
      <c r="AT3445">
        <v>0</v>
      </c>
      <c r="AW3445" t="s">
        <v>58</v>
      </c>
      <c r="AX3445">
        <v>20</v>
      </c>
      <c r="AY3445" s="1">
        <v>31777</v>
      </c>
      <c r="AZ3445" s="1">
        <v>31777</v>
      </c>
      <c r="BA3445" s="1">
        <v>31777</v>
      </c>
      <c r="BB3445" s="1">
        <v>39082</v>
      </c>
      <c r="BC3445" t="s">
        <v>51</v>
      </c>
      <c r="BE3445" t="s">
        <v>54</v>
      </c>
      <c r="BF3445">
        <v>2</v>
      </c>
      <c r="BG3445">
        <v>0</v>
      </c>
      <c r="BH3445" t="s">
        <v>53</v>
      </c>
      <c r="BK3445" t="s">
        <v>720</v>
      </c>
      <c r="BL3445">
        <v>17000</v>
      </c>
      <c r="BM3445" s="1">
        <v>42552</v>
      </c>
      <c r="BN3445" s="1">
        <v>42552</v>
      </c>
      <c r="BO3445" s="1">
        <v>42552</v>
      </c>
      <c r="BP3445" s="1">
        <v>43974</v>
      </c>
      <c r="BQ3445" t="s">
        <v>51</v>
      </c>
      <c r="BS3445" t="s">
        <v>60</v>
      </c>
      <c r="BT3445" t="s">
        <v>54</v>
      </c>
      <c r="BU3445" t="s">
        <v>721</v>
      </c>
      <c r="BV3445" t="s">
        <v>722</v>
      </c>
      <c r="BX3445">
        <v>18</v>
      </c>
      <c r="BY3445">
        <v>0</v>
      </c>
      <c r="BZ3445">
        <v>0</v>
      </c>
    </row>
    <row r="3446" spans="1:99" x14ac:dyDescent="0.2">
      <c r="A3446" t="s">
        <v>367</v>
      </c>
      <c r="B3446" t="s">
        <v>368</v>
      </c>
      <c r="C3446" t="s">
        <v>369</v>
      </c>
      <c r="D3446" t="s">
        <v>1208</v>
      </c>
      <c r="F3446" t="str">
        <f>"254110"</f>
        <v>254110</v>
      </c>
      <c r="G3446" t="s">
        <v>49</v>
      </c>
      <c r="H3446" t="s">
        <v>1371</v>
      </c>
      <c r="K3446" t="s">
        <v>51</v>
      </c>
      <c r="L3446" t="s">
        <v>52</v>
      </c>
      <c r="M3446">
        <v>138208.26999999999</v>
      </c>
      <c r="N3446">
        <v>468310.74</v>
      </c>
      <c r="O3446" t="s">
        <v>53</v>
      </c>
      <c r="P3446" t="s">
        <v>54</v>
      </c>
      <c r="Q3446" t="s">
        <v>55</v>
      </c>
      <c r="T3446" t="s">
        <v>841</v>
      </c>
      <c r="U3446">
        <v>40</v>
      </c>
      <c r="V3446" s="1">
        <v>42552</v>
      </c>
      <c r="W3446" s="1">
        <v>42552</v>
      </c>
      <c r="X3446" s="1">
        <v>42552</v>
      </c>
      <c r="Y3446" s="1">
        <v>57162</v>
      </c>
      <c r="Z3446" t="s">
        <v>51</v>
      </c>
      <c r="AB3446" t="s">
        <v>54</v>
      </c>
      <c r="AC3446">
        <v>1</v>
      </c>
      <c r="AE3446" t="s">
        <v>79</v>
      </c>
      <c r="AF3446">
        <v>20</v>
      </c>
      <c r="AG3446" s="1">
        <v>42552</v>
      </c>
      <c r="AH3446" s="1">
        <v>42552</v>
      </c>
      <c r="AI3446" s="1">
        <v>42552</v>
      </c>
      <c r="AJ3446" s="1">
        <v>49857</v>
      </c>
      <c r="AK3446" t="s">
        <v>51</v>
      </c>
      <c r="AN3446">
        <v>0</v>
      </c>
      <c r="AO3446" t="s">
        <v>54</v>
      </c>
      <c r="AP3446" t="s">
        <v>53</v>
      </c>
      <c r="AQ3446">
        <v>0</v>
      </c>
      <c r="AR3446" t="s">
        <v>145</v>
      </c>
      <c r="AS3446">
        <v>0</v>
      </c>
      <c r="AT3446">
        <v>0</v>
      </c>
      <c r="CC3446" t="s">
        <v>850</v>
      </c>
      <c r="CD3446">
        <v>1</v>
      </c>
      <c r="CE3446" s="1">
        <v>42552</v>
      </c>
      <c r="CF3446" s="1">
        <v>42552</v>
      </c>
      <c r="CG3446" s="1">
        <v>42552</v>
      </c>
      <c r="CH3446" s="1">
        <v>42552</v>
      </c>
      <c r="CI3446" t="s">
        <v>51</v>
      </c>
      <c r="CK3446" t="s">
        <v>78</v>
      </c>
      <c r="CM3446" t="s">
        <v>54</v>
      </c>
      <c r="CN3446" t="s">
        <v>174</v>
      </c>
      <c r="CO3446" t="s">
        <v>86</v>
      </c>
      <c r="CR3446">
        <v>18</v>
      </c>
      <c r="CS3446">
        <v>0</v>
      </c>
      <c r="CT3446">
        <v>0</v>
      </c>
      <c r="CU3446">
        <v>0</v>
      </c>
    </row>
    <row r="3447" spans="1:99" x14ac:dyDescent="0.2">
      <c r="A3447" t="s">
        <v>367</v>
      </c>
      <c r="B3447" t="s">
        <v>368</v>
      </c>
      <c r="C3447" t="s">
        <v>369</v>
      </c>
      <c r="D3447" t="s">
        <v>1208</v>
      </c>
      <c r="F3447" t="str">
        <f>"254111"</f>
        <v>254111</v>
      </c>
      <c r="G3447" t="s">
        <v>49</v>
      </c>
      <c r="H3447" t="s">
        <v>1523</v>
      </c>
      <c r="K3447" t="s">
        <v>51</v>
      </c>
      <c r="L3447" t="s">
        <v>52</v>
      </c>
      <c r="M3447">
        <v>138207.92000000001</v>
      </c>
      <c r="N3447">
        <v>468336.65</v>
      </c>
      <c r="O3447" t="s">
        <v>53</v>
      </c>
      <c r="P3447" t="s">
        <v>54</v>
      </c>
      <c r="Q3447" t="s">
        <v>55</v>
      </c>
      <c r="T3447" t="s">
        <v>841</v>
      </c>
      <c r="U3447">
        <v>40</v>
      </c>
      <c r="V3447" s="1">
        <v>27759</v>
      </c>
      <c r="W3447" s="1">
        <v>27759</v>
      </c>
      <c r="X3447" s="1">
        <v>27759</v>
      </c>
      <c r="Y3447" s="1">
        <v>42369</v>
      </c>
      <c r="Z3447" t="s">
        <v>51</v>
      </c>
      <c r="AB3447" t="s">
        <v>54</v>
      </c>
      <c r="AC3447">
        <v>1</v>
      </c>
      <c r="AE3447" t="s">
        <v>1212</v>
      </c>
      <c r="AF3447">
        <v>20</v>
      </c>
      <c r="AG3447" s="1">
        <v>31777</v>
      </c>
      <c r="AH3447" s="1">
        <v>31777</v>
      </c>
      <c r="AI3447" s="1">
        <v>31777</v>
      </c>
      <c r="AJ3447" s="1">
        <v>39082</v>
      </c>
      <c r="AK3447" t="s">
        <v>51</v>
      </c>
      <c r="AN3447">
        <v>0</v>
      </c>
      <c r="AO3447" t="s">
        <v>54</v>
      </c>
      <c r="AP3447" t="s">
        <v>53</v>
      </c>
      <c r="AQ3447">
        <v>0</v>
      </c>
      <c r="AR3447" t="s">
        <v>53</v>
      </c>
      <c r="AS3447">
        <v>0</v>
      </c>
      <c r="AT3447">
        <v>0</v>
      </c>
      <c r="AW3447" t="s">
        <v>58</v>
      </c>
      <c r="AX3447">
        <v>20</v>
      </c>
      <c r="AY3447" s="1">
        <v>31777</v>
      </c>
      <c r="AZ3447" s="1">
        <v>31777</v>
      </c>
      <c r="BA3447" s="1">
        <v>31777</v>
      </c>
      <c r="BB3447" s="1">
        <v>39082</v>
      </c>
      <c r="BC3447" t="s">
        <v>51</v>
      </c>
      <c r="BE3447" t="s">
        <v>54</v>
      </c>
      <c r="BF3447">
        <v>2</v>
      </c>
      <c r="BG3447">
        <v>0</v>
      </c>
      <c r="BH3447" t="s">
        <v>53</v>
      </c>
      <c r="BK3447" t="s">
        <v>720</v>
      </c>
      <c r="BL3447">
        <v>17000</v>
      </c>
      <c r="BM3447" s="1">
        <v>42552</v>
      </c>
      <c r="BN3447" s="1">
        <v>42552</v>
      </c>
      <c r="BO3447" s="1">
        <v>42552</v>
      </c>
      <c r="BP3447" s="1">
        <v>43974</v>
      </c>
      <c r="BQ3447" t="s">
        <v>51</v>
      </c>
      <c r="BS3447" t="s">
        <v>60</v>
      </c>
      <c r="BT3447" t="s">
        <v>54</v>
      </c>
      <c r="BU3447" t="s">
        <v>721</v>
      </c>
      <c r="BV3447" t="s">
        <v>722</v>
      </c>
      <c r="BX3447">
        <v>18</v>
      </c>
      <c r="BY3447">
        <v>0</v>
      </c>
      <c r="BZ3447">
        <v>0</v>
      </c>
    </row>
    <row r="3448" spans="1:99" x14ac:dyDescent="0.2">
      <c r="A3448" t="s">
        <v>367</v>
      </c>
      <c r="B3448" t="s">
        <v>368</v>
      </c>
      <c r="C3448" t="s">
        <v>369</v>
      </c>
      <c r="D3448" t="s">
        <v>1208</v>
      </c>
      <c r="F3448" t="str">
        <f>"254112"</f>
        <v>254112</v>
      </c>
      <c r="G3448" t="s">
        <v>49</v>
      </c>
      <c r="H3448" t="s">
        <v>1524</v>
      </c>
      <c r="K3448" t="s">
        <v>51</v>
      </c>
      <c r="L3448" t="s">
        <v>52</v>
      </c>
      <c r="M3448">
        <v>138189.54999999999</v>
      </c>
      <c r="N3448">
        <v>468361.52</v>
      </c>
      <c r="O3448" t="s">
        <v>53</v>
      </c>
      <c r="P3448" t="s">
        <v>54</v>
      </c>
      <c r="Q3448" t="s">
        <v>55</v>
      </c>
      <c r="T3448" t="s">
        <v>841</v>
      </c>
      <c r="U3448">
        <v>40</v>
      </c>
      <c r="V3448" s="1">
        <v>42552</v>
      </c>
      <c r="W3448" s="1">
        <v>42552</v>
      </c>
      <c r="X3448" s="1">
        <v>42552</v>
      </c>
      <c r="Y3448" s="1">
        <v>57162</v>
      </c>
      <c r="Z3448" t="s">
        <v>51</v>
      </c>
      <c r="AB3448" t="s">
        <v>54</v>
      </c>
      <c r="AC3448">
        <v>1</v>
      </c>
      <c r="AE3448" t="s">
        <v>79</v>
      </c>
      <c r="AF3448">
        <v>20</v>
      </c>
      <c r="AG3448" s="1">
        <v>42552</v>
      </c>
      <c r="AH3448" s="1">
        <v>42552</v>
      </c>
      <c r="AI3448" s="1">
        <v>42552</v>
      </c>
      <c r="AJ3448" s="1">
        <v>49857</v>
      </c>
      <c r="AK3448" t="s">
        <v>51</v>
      </c>
      <c r="AN3448">
        <v>0</v>
      </c>
      <c r="AO3448" t="s">
        <v>54</v>
      </c>
      <c r="AP3448" t="s">
        <v>53</v>
      </c>
      <c r="AQ3448">
        <v>0</v>
      </c>
      <c r="AR3448" t="s">
        <v>145</v>
      </c>
      <c r="AS3448">
        <v>0</v>
      </c>
      <c r="AT3448">
        <v>0</v>
      </c>
      <c r="CC3448" t="s">
        <v>850</v>
      </c>
      <c r="CD3448">
        <v>1</v>
      </c>
      <c r="CE3448" s="1">
        <v>43395</v>
      </c>
      <c r="CF3448" s="1">
        <v>43395</v>
      </c>
      <c r="CG3448" s="1">
        <v>43395</v>
      </c>
      <c r="CH3448" s="1">
        <v>50552</v>
      </c>
      <c r="CI3448" t="s">
        <v>51</v>
      </c>
      <c r="CK3448" t="s">
        <v>78</v>
      </c>
      <c r="CM3448" t="s">
        <v>54</v>
      </c>
      <c r="CN3448" t="s">
        <v>174</v>
      </c>
      <c r="CO3448" t="s">
        <v>86</v>
      </c>
      <c r="CR3448">
        <v>18</v>
      </c>
      <c r="CS3448">
        <v>0</v>
      </c>
      <c r="CT3448">
        <v>0</v>
      </c>
      <c r="CU3448">
        <v>0</v>
      </c>
    </row>
    <row r="3449" spans="1:99" x14ac:dyDescent="0.2">
      <c r="A3449" t="s">
        <v>367</v>
      </c>
      <c r="B3449" t="s">
        <v>368</v>
      </c>
      <c r="C3449" t="s">
        <v>369</v>
      </c>
      <c r="D3449" t="s">
        <v>1208</v>
      </c>
      <c r="F3449" t="str">
        <f>"254113"</f>
        <v>254113</v>
      </c>
      <c r="G3449" t="s">
        <v>49</v>
      </c>
      <c r="H3449" t="s">
        <v>1525</v>
      </c>
      <c r="K3449" t="s">
        <v>51</v>
      </c>
      <c r="L3449" t="s">
        <v>52</v>
      </c>
      <c r="M3449">
        <v>138187.57999999999</v>
      </c>
      <c r="N3449">
        <v>468387.57</v>
      </c>
      <c r="O3449" t="s">
        <v>53</v>
      </c>
      <c r="P3449" t="s">
        <v>54</v>
      </c>
      <c r="Q3449" t="s">
        <v>55</v>
      </c>
      <c r="T3449" t="s">
        <v>1248</v>
      </c>
      <c r="U3449">
        <v>40</v>
      </c>
      <c r="V3449" s="1">
        <v>42552</v>
      </c>
      <c r="W3449" s="1">
        <v>42552</v>
      </c>
      <c r="X3449" s="1">
        <v>42552</v>
      </c>
      <c r="Y3449" s="1">
        <v>57162</v>
      </c>
      <c r="Z3449" t="s">
        <v>51</v>
      </c>
      <c r="AB3449" t="s">
        <v>54</v>
      </c>
      <c r="AC3449">
        <v>1</v>
      </c>
      <c r="AE3449" t="s">
        <v>79</v>
      </c>
      <c r="AF3449">
        <v>20</v>
      </c>
      <c r="AG3449" s="1">
        <v>42552</v>
      </c>
      <c r="AH3449" s="1">
        <v>42552</v>
      </c>
      <c r="AI3449" s="1">
        <v>42552</v>
      </c>
      <c r="AJ3449" s="1">
        <v>49857</v>
      </c>
      <c r="AK3449" t="s">
        <v>51</v>
      </c>
      <c r="AN3449">
        <v>0</v>
      </c>
      <c r="AO3449" t="s">
        <v>54</v>
      </c>
      <c r="AP3449" t="s">
        <v>53</v>
      </c>
      <c r="AQ3449">
        <v>0</v>
      </c>
      <c r="AR3449" t="s">
        <v>145</v>
      </c>
      <c r="AS3449">
        <v>0</v>
      </c>
      <c r="AT3449">
        <v>0</v>
      </c>
      <c r="CC3449" t="s">
        <v>850</v>
      </c>
      <c r="CD3449">
        <v>1</v>
      </c>
      <c r="CE3449" s="1">
        <v>42552</v>
      </c>
      <c r="CF3449" s="1">
        <v>42552</v>
      </c>
      <c r="CG3449" s="1">
        <v>42552</v>
      </c>
      <c r="CH3449" s="1">
        <v>49714</v>
      </c>
      <c r="CI3449" t="s">
        <v>51</v>
      </c>
      <c r="CK3449" t="s">
        <v>78</v>
      </c>
      <c r="CM3449" t="s">
        <v>54</v>
      </c>
      <c r="CN3449" t="s">
        <v>174</v>
      </c>
      <c r="CO3449" t="s">
        <v>86</v>
      </c>
      <c r="CR3449">
        <v>18</v>
      </c>
      <c r="CS3449">
        <v>0</v>
      </c>
      <c r="CT3449">
        <v>0</v>
      </c>
      <c r="CU3449">
        <v>0</v>
      </c>
    </row>
    <row r="3450" spans="1:99" x14ac:dyDescent="0.2">
      <c r="A3450" t="s">
        <v>367</v>
      </c>
      <c r="B3450" t="s">
        <v>368</v>
      </c>
      <c r="C3450" t="s">
        <v>369</v>
      </c>
      <c r="D3450" t="s">
        <v>1208</v>
      </c>
      <c r="F3450" t="str">
        <f>"254115"</f>
        <v>254115</v>
      </c>
      <c r="G3450" t="s">
        <v>49</v>
      </c>
      <c r="H3450" t="s">
        <v>914</v>
      </c>
      <c r="K3450" t="s">
        <v>51</v>
      </c>
      <c r="L3450" t="s">
        <v>52</v>
      </c>
      <c r="M3450">
        <v>138238.39999999999</v>
      </c>
      <c r="N3450">
        <v>468317.57</v>
      </c>
      <c r="O3450" t="s">
        <v>53</v>
      </c>
      <c r="P3450" t="s">
        <v>54</v>
      </c>
      <c r="Q3450" t="s">
        <v>55</v>
      </c>
      <c r="T3450" t="s">
        <v>818</v>
      </c>
      <c r="U3450">
        <v>40</v>
      </c>
      <c r="V3450" s="1">
        <v>42552</v>
      </c>
      <c r="W3450" s="1">
        <v>42552</v>
      </c>
      <c r="X3450" s="1">
        <v>42552</v>
      </c>
      <c r="Y3450" s="1">
        <v>57162</v>
      </c>
      <c r="Z3450" t="s">
        <v>51</v>
      </c>
      <c r="AB3450" t="s">
        <v>54</v>
      </c>
      <c r="AC3450">
        <v>1</v>
      </c>
      <c r="AE3450" t="s">
        <v>79</v>
      </c>
      <c r="AF3450">
        <v>20</v>
      </c>
      <c r="AG3450" s="1">
        <v>42552</v>
      </c>
      <c r="AH3450" s="1">
        <v>42552</v>
      </c>
      <c r="AI3450" s="1">
        <v>42552</v>
      </c>
      <c r="AJ3450" s="1">
        <v>49857</v>
      </c>
      <c r="AK3450" t="s">
        <v>51</v>
      </c>
      <c r="AN3450">
        <v>0</v>
      </c>
      <c r="AO3450" t="s">
        <v>54</v>
      </c>
      <c r="AP3450" t="s">
        <v>53</v>
      </c>
      <c r="AQ3450">
        <v>0</v>
      </c>
      <c r="AR3450" t="s">
        <v>145</v>
      </c>
      <c r="AS3450">
        <v>0</v>
      </c>
      <c r="AT3450">
        <v>0</v>
      </c>
      <c r="CC3450" t="s">
        <v>850</v>
      </c>
      <c r="CD3450">
        <v>1</v>
      </c>
      <c r="CE3450" s="1">
        <v>42552</v>
      </c>
      <c r="CF3450" s="1">
        <v>42552</v>
      </c>
      <c r="CG3450" s="1">
        <v>42552</v>
      </c>
      <c r="CH3450" s="1">
        <v>49714</v>
      </c>
      <c r="CI3450" t="s">
        <v>51</v>
      </c>
      <c r="CK3450" t="s">
        <v>78</v>
      </c>
      <c r="CM3450" t="s">
        <v>54</v>
      </c>
      <c r="CN3450" t="s">
        <v>174</v>
      </c>
      <c r="CO3450" t="s">
        <v>86</v>
      </c>
      <c r="CR3450">
        <v>18</v>
      </c>
      <c r="CS3450">
        <v>0</v>
      </c>
      <c r="CT3450">
        <v>0</v>
      </c>
      <c r="CU3450">
        <v>0</v>
      </c>
    </row>
    <row r="3451" spans="1:99" x14ac:dyDescent="0.2">
      <c r="A3451" t="s">
        <v>367</v>
      </c>
      <c r="B3451" t="s">
        <v>368</v>
      </c>
      <c r="C3451" t="s">
        <v>369</v>
      </c>
      <c r="D3451" t="s">
        <v>1208</v>
      </c>
      <c r="F3451" t="str">
        <f>"254114"</f>
        <v>254114</v>
      </c>
      <c r="G3451" t="s">
        <v>49</v>
      </c>
      <c r="H3451" t="s">
        <v>1526</v>
      </c>
      <c r="K3451" t="s">
        <v>51</v>
      </c>
      <c r="L3451" t="s">
        <v>52</v>
      </c>
      <c r="M3451">
        <v>138218.91</v>
      </c>
      <c r="N3451">
        <v>468370.79</v>
      </c>
      <c r="O3451" t="s">
        <v>53</v>
      </c>
      <c r="P3451" t="s">
        <v>54</v>
      </c>
      <c r="Q3451" t="s">
        <v>55</v>
      </c>
      <c r="T3451" t="s">
        <v>818</v>
      </c>
      <c r="U3451">
        <v>40</v>
      </c>
      <c r="V3451" s="1">
        <v>42552</v>
      </c>
      <c r="W3451" s="1">
        <v>42552</v>
      </c>
      <c r="X3451" s="1">
        <v>42552</v>
      </c>
      <c r="Y3451" s="1">
        <v>57162</v>
      </c>
      <c r="Z3451" t="s">
        <v>51</v>
      </c>
      <c r="AB3451" t="s">
        <v>54</v>
      </c>
      <c r="AC3451">
        <v>1</v>
      </c>
      <c r="AE3451" t="s">
        <v>79</v>
      </c>
      <c r="AF3451">
        <v>20</v>
      </c>
      <c r="AG3451" s="1">
        <v>42552</v>
      </c>
      <c r="AH3451" s="1">
        <v>42552</v>
      </c>
      <c r="AI3451" s="1">
        <v>42552</v>
      </c>
      <c r="AJ3451" s="1">
        <v>49857</v>
      </c>
      <c r="AK3451" t="s">
        <v>51</v>
      </c>
      <c r="AN3451">
        <v>0</v>
      </c>
      <c r="AO3451" t="s">
        <v>54</v>
      </c>
      <c r="AP3451" t="s">
        <v>53</v>
      </c>
      <c r="AQ3451">
        <v>0</v>
      </c>
      <c r="AR3451" t="s">
        <v>145</v>
      </c>
      <c r="AS3451">
        <v>0</v>
      </c>
      <c r="AT3451">
        <v>0</v>
      </c>
      <c r="CC3451" t="s">
        <v>850</v>
      </c>
      <c r="CD3451">
        <v>1</v>
      </c>
      <c r="CE3451" s="1">
        <v>42552</v>
      </c>
      <c r="CF3451" s="1">
        <v>42552</v>
      </c>
      <c r="CG3451" s="1">
        <v>42552</v>
      </c>
      <c r="CH3451" s="1">
        <v>49714</v>
      </c>
      <c r="CI3451" t="s">
        <v>51</v>
      </c>
      <c r="CK3451" t="s">
        <v>78</v>
      </c>
      <c r="CM3451" t="s">
        <v>54</v>
      </c>
      <c r="CN3451" t="s">
        <v>174</v>
      </c>
      <c r="CO3451" t="s">
        <v>86</v>
      </c>
      <c r="CR3451">
        <v>18</v>
      </c>
      <c r="CS3451">
        <v>0</v>
      </c>
      <c r="CT3451">
        <v>0</v>
      </c>
      <c r="CU3451">
        <v>0</v>
      </c>
    </row>
    <row r="3452" spans="1:99" x14ac:dyDescent="0.2">
      <c r="A3452" t="s">
        <v>367</v>
      </c>
      <c r="B3452" t="s">
        <v>368</v>
      </c>
      <c r="C3452" t="s">
        <v>369</v>
      </c>
      <c r="D3452" t="s">
        <v>1184</v>
      </c>
      <c r="F3452" t="str">
        <f>"27029"</f>
        <v>27029</v>
      </c>
      <c r="G3452" t="s">
        <v>49</v>
      </c>
      <c r="H3452" t="s">
        <v>1391</v>
      </c>
      <c r="K3452" t="s">
        <v>51</v>
      </c>
      <c r="L3452" t="s">
        <v>52</v>
      </c>
      <c r="M3452">
        <v>137959.76</v>
      </c>
      <c r="N3452">
        <v>468194.98</v>
      </c>
      <c r="O3452" t="s">
        <v>53</v>
      </c>
      <c r="P3452" t="s">
        <v>54</v>
      </c>
      <c r="Q3452" t="s">
        <v>55</v>
      </c>
      <c r="T3452" t="s">
        <v>83</v>
      </c>
      <c r="U3452">
        <v>40</v>
      </c>
      <c r="V3452" s="1">
        <v>22646</v>
      </c>
      <c r="W3452" s="1">
        <v>22646</v>
      </c>
      <c r="X3452" s="1">
        <v>22646</v>
      </c>
      <c r="Y3452" s="1">
        <v>37256</v>
      </c>
      <c r="Z3452" t="s">
        <v>51</v>
      </c>
      <c r="AB3452" t="s">
        <v>54</v>
      </c>
      <c r="AC3452">
        <v>1</v>
      </c>
      <c r="AE3452" t="s">
        <v>1212</v>
      </c>
      <c r="AF3452">
        <v>20</v>
      </c>
      <c r="AG3452" s="1">
        <v>31777</v>
      </c>
      <c r="AH3452" s="1">
        <v>31777</v>
      </c>
      <c r="AI3452" s="1">
        <v>31777</v>
      </c>
      <c r="AJ3452" s="1">
        <v>39082</v>
      </c>
      <c r="AK3452" t="s">
        <v>51</v>
      </c>
      <c r="AN3452">
        <v>0</v>
      </c>
      <c r="AO3452" t="s">
        <v>54</v>
      </c>
      <c r="AP3452" t="s">
        <v>53</v>
      </c>
      <c r="AQ3452">
        <v>0</v>
      </c>
      <c r="AR3452" t="s">
        <v>53</v>
      </c>
      <c r="AS3452">
        <v>0</v>
      </c>
      <c r="AT3452">
        <v>0</v>
      </c>
      <c r="CC3452" t="s">
        <v>850</v>
      </c>
      <c r="CD3452">
        <v>1</v>
      </c>
      <c r="CE3452" s="1">
        <v>43234</v>
      </c>
      <c r="CF3452" s="1">
        <v>43234</v>
      </c>
      <c r="CG3452" s="1">
        <v>43234</v>
      </c>
      <c r="CH3452" s="1">
        <v>50422</v>
      </c>
      <c r="CI3452" t="s">
        <v>51</v>
      </c>
      <c r="CK3452" t="s">
        <v>78</v>
      </c>
      <c r="CM3452" t="s">
        <v>54</v>
      </c>
      <c r="CN3452" t="s">
        <v>174</v>
      </c>
      <c r="CO3452" t="s">
        <v>86</v>
      </c>
      <c r="CR3452">
        <v>18</v>
      </c>
      <c r="CS3452">
        <v>0</v>
      </c>
      <c r="CT3452">
        <v>0</v>
      </c>
      <c r="CU3452">
        <v>0</v>
      </c>
    </row>
    <row r="3453" spans="1:99" x14ac:dyDescent="0.2">
      <c r="A3453" t="s">
        <v>367</v>
      </c>
      <c r="B3453" t="s">
        <v>368</v>
      </c>
      <c r="C3453" t="s">
        <v>369</v>
      </c>
      <c r="D3453" t="s">
        <v>1184</v>
      </c>
      <c r="F3453" t="str">
        <f>"27030"</f>
        <v>27030</v>
      </c>
      <c r="G3453" t="s">
        <v>49</v>
      </c>
      <c r="H3453" t="s">
        <v>1527</v>
      </c>
      <c r="K3453" t="s">
        <v>51</v>
      </c>
      <c r="L3453" t="s">
        <v>52</v>
      </c>
      <c r="M3453">
        <v>137966.48000000001</v>
      </c>
      <c r="N3453">
        <v>468159.98</v>
      </c>
      <c r="O3453" t="s">
        <v>53</v>
      </c>
      <c r="P3453" t="s">
        <v>54</v>
      </c>
      <c r="Q3453" t="s">
        <v>55</v>
      </c>
      <c r="T3453" t="s">
        <v>83</v>
      </c>
      <c r="U3453">
        <v>40</v>
      </c>
      <c r="V3453" s="1">
        <v>22646</v>
      </c>
      <c r="W3453" s="1">
        <v>22646</v>
      </c>
      <c r="X3453" s="1">
        <v>22646</v>
      </c>
      <c r="Y3453" s="1">
        <v>37256</v>
      </c>
      <c r="Z3453" t="s">
        <v>51</v>
      </c>
      <c r="AB3453" t="s">
        <v>54</v>
      </c>
      <c r="AC3453">
        <v>1</v>
      </c>
      <c r="AE3453" t="s">
        <v>1212</v>
      </c>
      <c r="AF3453">
        <v>20</v>
      </c>
      <c r="AG3453" s="1">
        <v>31777</v>
      </c>
      <c r="AH3453" s="1">
        <v>31777</v>
      </c>
      <c r="AI3453" s="1">
        <v>31777</v>
      </c>
      <c r="AJ3453" s="1">
        <v>39082</v>
      </c>
      <c r="AK3453" t="s">
        <v>51</v>
      </c>
      <c r="AN3453">
        <v>0</v>
      </c>
      <c r="AO3453" t="s">
        <v>54</v>
      </c>
      <c r="AP3453" t="s">
        <v>53</v>
      </c>
      <c r="AQ3453">
        <v>0</v>
      </c>
      <c r="AR3453" t="s">
        <v>53</v>
      </c>
      <c r="AS3453">
        <v>0</v>
      </c>
      <c r="AT3453">
        <v>0</v>
      </c>
      <c r="CC3453" t="s">
        <v>850</v>
      </c>
      <c r="CD3453">
        <v>1</v>
      </c>
      <c r="CE3453" s="1">
        <v>43402</v>
      </c>
      <c r="CF3453" s="1">
        <v>43402</v>
      </c>
      <c r="CG3453" s="1">
        <v>43402</v>
      </c>
      <c r="CH3453" s="1">
        <v>50564</v>
      </c>
      <c r="CI3453" t="s">
        <v>51</v>
      </c>
      <c r="CK3453" t="s">
        <v>78</v>
      </c>
      <c r="CM3453" t="s">
        <v>54</v>
      </c>
      <c r="CN3453" t="s">
        <v>174</v>
      </c>
      <c r="CO3453" t="s">
        <v>86</v>
      </c>
      <c r="CR3453">
        <v>18</v>
      </c>
      <c r="CS3453">
        <v>0</v>
      </c>
      <c r="CT3453">
        <v>0</v>
      </c>
      <c r="CU3453">
        <v>0</v>
      </c>
    </row>
    <row r="3454" spans="1:99" x14ac:dyDescent="0.2">
      <c r="A3454" t="s">
        <v>367</v>
      </c>
      <c r="B3454" t="s">
        <v>368</v>
      </c>
      <c r="C3454" t="s">
        <v>369</v>
      </c>
      <c r="D3454" t="s">
        <v>1184</v>
      </c>
      <c r="F3454" t="str">
        <f>"27031"</f>
        <v>27031</v>
      </c>
      <c r="G3454" t="s">
        <v>49</v>
      </c>
      <c r="H3454" t="s">
        <v>1223</v>
      </c>
      <c r="K3454" t="s">
        <v>51</v>
      </c>
      <c r="L3454" t="s">
        <v>52</v>
      </c>
      <c r="M3454">
        <v>137975.85999999999</v>
      </c>
      <c r="N3454">
        <v>468127.78</v>
      </c>
      <c r="O3454" t="s">
        <v>53</v>
      </c>
      <c r="P3454" t="s">
        <v>54</v>
      </c>
      <c r="Q3454" t="s">
        <v>55</v>
      </c>
      <c r="T3454" t="s">
        <v>83</v>
      </c>
      <c r="U3454">
        <v>40</v>
      </c>
      <c r="V3454" s="1">
        <v>22646</v>
      </c>
      <c r="W3454" s="1">
        <v>22646</v>
      </c>
      <c r="X3454" s="1">
        <v>22646</v>
      </c>
      <c r="Y3454" s="1">
        <v>37256</v>
      </c>
      <c r="Z3454" t="s">
        <v>51</v>
      </c>
      <c r="AB3454" t="s">
        <v>54</v>
      </c>
      <c r="AC3454">
        <v>1</v>
      </c>
      <c r="AE3454" t="s">
        <v>1212</v>
      </c>
      <c r="AF3454">
        <v>20</v>
      </c>
      <c r="AG3454" s="1">
        <v>31777</v>
      </c>
      <c r="AH3454" s="1">
        <v>31777</v>
      </c>
      <c r="AI3454" s="1">
        <v>31777</v>
      </c>
      <c r="AJ3454" s="1">
        <v>39082</v>
      </c>
      <c r="AK3454" t="s">
        <v>51</v>
      </c>
      <c r="AN3454">
        <v>0</v>
      </c>
      <c r="AO3454" t="s">
        <v>54</v>
      </c>
      <c r="AP3454" t="s">
        <v>53</v>
      </c>
      <c r="AQ3454">
        <v>0</v>
      </c>
      <c r="AR3454" t="s">
        <v>53</v>
      </c>
      <c r="AS3454">
        <v>0</v>
      </c>
      <c r="AT3454">
        <v>0</v>
      </c>
      <c r="CC3454" t="s">
        <v>850</v>
      </c>
      <c r="CD3454">
        <v>1</v>
      </c>
      <c r="CE3454" s="1">
        <v>42552</v>
      </c>
      <c r="CF3454" s="1">
        <v>42552</v>
      </c>
      <c r="CG3454" s="1">
        <v>42552</v>
      </c>
      <c r="CH3454" s="1">
        <v>49714</v>
      </c>
      <c r="CI3454" t="s">
        <v>51</v>
      </c>
      <c r="CK3454" t="s">
        <v>78</v>
      </c>
      <c r="CM3454" t="s">
        <v>54</v>
      </c>
      <c r="CN3454" t="s">
        <v>174</v>
      </c>
      <c r="CO3454" t="s">
        <v>86</v>
      </c>
      <c r="CR3454">
        <v>18</v>
      </c>
      <c r="CS3454">
        <v>0</v>
      </c>
      <c r="CT3454">
        <v>0</v>
      </c>
      <c r="CU3454">
        <v>0</v>
      </c>
    </row>
    <row r="3455" spans="1:99" x14ac:dyDescent="0.2">
      <c r="A3455" t="s">
        <v>367</v>
      </c>
      <c r="B3455" t="s">
        <v>368</v>
      </c>
      <c r="C3455" t="s">
        <v>369</v>
      </c>
      <c r="D3455" t="s">
        <v>1528</v>
      </c>
      <c r="F3455" t="str">
        <f>"27033"</f>
        <v>27033</v>
      </c>
      <c r="G3455" t="s">
        <v>49</v>
      </c>
      <c r="H3455" t="s">
        <v>1529</v>
      </c>
      <c r="K3455" t="s">
        <v>51</v>
      </c>
      <c r="L3455" t="s">
        <v>52</v>
      </c>
      <c r="M3455">
        <v>137893.5</v>
      </c>
      <c r="N3455">
        <v>468161.5</v>
      </c>
      <c r="O3455" t="s">
        <v>53</v>
      </c>
      <c r="P3455" t="s">
        <v>54</v>
      </c>
      <c r="Q3455" t="s">
        <v>55</v>
      </c>
      <c r="T3455" t="s">
        <v>83</v>
      </c>
      <c r="U3455">
        <v>40</v>
      </c>
      <c r="V3455" s="1">
        <v>25933</v>
      </c>
      <c r="W3455" s="1">
        <v>25933</v>
      </c>
      <c r="X3455" s="1">
        <v>25933</v>
      </c>
      <c r="Y3455" s="1">
        <v>40543</v>
      </c>
      <c r="Z3455" t="s">
        <v>51</v>
      </c>
      <c r="AB3455" t="s">
        <v>54</v>
      </c>
      <c r="AC3455">
        <v>1</v>
      </c>
      <c r="AE3455" t="s">
        <v>1212</v>
      </c>
      <c r="AF3455">
        <v>20</v>
      </c>
      <c r="AG3455" s="1">
        <v>31777</v>
      </c>
      <c r="AH3455" s="1">
        <v>31777</v>
      </c>
      <c r="AI3455" s="1">
        <v>31777</v>
      </c>
      <c r="AJ3455" s="1">
        <v>39082</v>
      </c>
      <c r="AK3455" t="s">
        <v>51</v>
      </c>
      <c r="AN3455">
        <v>0</v>
      </c>
      <c r="AO3455" t="s">
        <v>54</v>
      </c>
      <c r="AP3455" t="s">
        <v>53</v>
      </c>
      <c r="AQ3455">
        <v>0</v>
      </c>
      <c r="AR3455" t="s">
        <v>53</v>
      </c>
      <c r="AS3455">
        <v>0</v>
      </c>
      <c r="AT3455">
        <v>0</v>
      </c>
      <c r="CC3455" t="s">
        <v>850</v>
      </c>
      <c r="CD3455">
        <v>1</v>
      </c>
      <c r="CE3455" s="1">
        <v>42552</v>
      </c>
      <c r="CF3455" s="1">
        <v>42552</v>
      </c>
      <c r="CG3455" s="1">
        <v>42552</v>
      </c>
      <c r="CH3455" s="1">
        <v>49714</v>
      </c>
      <c r="CI3455" t="s">
        <v>51</v>
      </c>
      <c r="CK3455" t="s">
        <v>78</v>
      </c>
      <c r="CM3455" t="s">
        <v>54</v>
      </c>
      <c r="CN3455" t="s">
        <v>174</v>
      </c>
      <c r="CO3455" t="s">
        <v>86</v>
      </c>
      <c r="CR3455">
        <v>18</v>
      </c>
      <c r="CS3455">
        <v>0</v>
      </c>
      <c r="CT3455">
        <v>0</v>
      </c>
      <c r="CU3455">
        <v>0</v>
      </c>
    </row>
    <row r="3456" spans="1:99" x14ac:dyDescent="0.2">
      <c r="A3456" t="s">
        <v>367</v>
      </c>
      <c r="B3456" t="s">
        <v>368</v>
      </c>
      <c r="C3456" t="s">
        <v>369</v>
      </c>
      <c r="D3456" t="s">
        <v>1222</v>
      </c>
      <c r="F3456" t="str">
        <f>"27038"</f>
        <v>27038</v>
      </c>
      <c r="G3456" t="s">
        <v>49</v>
      </c>
      <c r="H3456" t="s">
        <v>1347</v>
      </c>
      <c r="K3456" t="s">
        <v>51</v>
      </c>
      <c r="L3456" t="s">
        <v>52</v>
      </c>
      <c r="M3456">
        <v>137824.57999999999</v>
      </c>
      <c r="N3456">
        <v>468192.81</v>
      </c>
      <c r="O3456" t="s">
        <v>53</v>
      </c>
      <c r="P3456" t="s">
        <v>54</v>
      </c>
      <c r="Q3456" t="s">
        <v>55</v>
      </c>
      <c r="T3456" t="s">
        <v>841</v>
      </c>
      <c r="U3456">
        <v>40</v>
      </c>
      <c r="V3456" s="1">
        <v>27759</v>
      </c>
      <c r="W3456" s="1">
        <v>27759</v>
      </c>
      <c r="X3456" s="1">
        <v>27759</v>
      </c>
      <c r="Y3456" s="1">
        <v>42369</v>
      </c>
      <c r="Z3456" t="s">
        <v>51</v>
      </c>
      <c r="AB3456" t="s">
        <v>54</v>
      </c>
      <c r="AC3456">
        <v>1</v>
      </c>
      <c r="AE3456" t="s">
        <v>1212</v>
      </c>
      <c r="AF3456">
        <v>20</v>
      </c>
      <c r="AG3456" s="1">
        <v>31777</v>
      </c>
      <c r="AH3456" s="1">
        <v>31777</v>
      </c>
      <c r="AI3456" s="1">
        <v>31777</v>
      </c>
      <c r="AJ3456" s="1">
        <v>39082</v>
      </c>
      <c r="AK3456" t="s">
        <v>51</v>
      </c>
      <c r="AN3456">
        <v>0</v>
      </c>
      <c r="AO3456" t="s">
        <v>54</v>
      </c>
      <c r="AP3456" t="s">
        <v>53</v>
      </c>
      <c r="AQ3456">
        <v>0</v>
      </c>
      <c r="AR3456" t="s">
        <v>53</v>
      </c>
      <c r="AS3456">
        <v>0</v>
      </c>
      <c r="AT3456">
        <v>0</v>
      </c>
      <c r="CC3456" t="s">
        <v>850</v>
      </c>
      <c r="CD3456">
        <v>1</v>
      </c>
      <c r="CE3456" s="1">
        <v>42552</v>
      </c>
      <c r="CF3456" s="1">
        <v>42552</v>
      </c>
      <c r="CG3456" s="1">
        <v>42552</v>
      </c>
      <c r="CH3456" s="1">
        <v>49714</v>
      </c>
      <c r="CI3456" t="s">
        <v>51</v>
      </c>
      <c r="CK3456" t="s">
        <v>78</v>
      </c>
      <c r="CM3456" t="s">
        <v>54</v>
      </c>
      <c r="CN3456" t="s">
        <v>174</v>
      </c>
      <c r="CO3456" t="s">
        <v>86</v>
      </c>
      <c r="CR3456">
        <v>18</v>
      </c>
      <c r="CS3456">
        <v>0</v>
      </c>
      <c r="CT3456">
        <v>0</v>
      </c>
      <c r="CU3456">
        <v>0</v>
      </c>
    </row>
    <row r="3457" spans="1:99" x14ac:dyDescent="0.2">
      <c r="A3457" t="s">
        <v>367</v>
      </c>
      <c r="B3457" t="s">
        <v>368</v>
      </c>
      <c r="C3457" t="s">
        <v>369</v>
      </c>
      <c r="D3457" t="s">
        <v>1222</v>
      </c>
      <c r="F3457" t="str">
        <f>"27039"</f>
        <v>27039</v>
      </c>
      <c r="G3457" t="s">
        <v>49</v>
      </c>
      <c r="H3457" t="s">
        <v>1527</v>
      </c>
      <c r="K3457" t="s">
        <v>51</v>
      </c>
      <c r="L3457" t="s">
        <v>52</v>
      </c>
      <c r="M3457">
        <v>137824.29999999999</v>
      </c>
      <c r="N3457">
        <v>468161.59</v>
      </c>
      <c r="O3457" t="s">
        <v>53</v>
      </c>
      <c r="P3457" t="s">
        <v>54</v>
      </c>
      <c r="Q3457" t="s">
        <v>55</v>
      </c>
      <c r="T3457" t="s">
        <v>841</v>
      </c>
      <c r="U3457">
        <v>40</v>
      </c>
      <c r="V3457" s="1">
        <v>27759</v>
      </c>
      <c r="W3457" s="1">
        <v>27759</v>
      </c>
      <c r="X3457" s="1">
        <v>27759</v>
      </c>
      <c r="Y3457" s="1">
        <v>42369</v>
      </c>
      <c r="Z3457" t="s">
        <v>51</v>
      </c>
      <c r="AB3457" t="s">
        <v>54</v>
      </c>
      <c r="AC3457">
        <v>1</v>
      </c>
      <c r="AE3457" t="s">
        <v>1212</v>
      </c>
      <c r="AF3457">
        <v>20</v>
      </c>
      <c r="AG3457" s="1">
        <v>31777</v>
      </c>
      <c r="AH3457" s="1">
        <v>31777</v>
      </c>
      <c r="AI3457" s="1">
        <v>31777</v>
      </c>
      <c r="AJ3457" s="1">
        <v>39082</v>
      </c>
      <c r="AK3457" t="s">
        <v>51</v>
      </c>
      <c r="AN3457">
        <v>0</v>
      </c>
      <c r="AO3457" t="s">
        <v>54</v>
      </c>
      <c r="AP3457" t="s">
        <v>53</v>
      </c>
      <c r="AQ3457">
        <v>0</v>
      </c>
      <c r="AR3457" t="s">
        <v>53</v>
      </c>
      <c r="AS3457">
        <v>0</v>
      </c>
      <c r="AT3457">
        <v>0</v>
      </c>
      <c r="CC3457" t="s">
        <v>850</v>
      </c>
      <c r="CD3457">
        <v>1</v>
      </c>
      <c r="CE3457" s="1">
        <v>42552</v>
      </c>
      <c r="CF3457" s="1">
        <v>42552</v>
      </c>
      <c r="CG3457" s="1">
        <v>42552</v>
      </c>
      <c r="CH3457" s="1">
        <v>49714</v>
      </c>
      <c r="CI3457" t="s">
        <v>51</v>
      </c>
      <c r="CK3457" t="s">
        <v>78</v>
      </c>
      <c r="CM3457" t="s">
        <v>54</v>
      </c>
      <c r="CN3457" t="s">
        <v>174</v>
      </c>
      <c r="CO3457" t="s">
        <v>86</v>
      </c>
      <c r="CR3457">
        <v>18</v>
      </c>
      <c r="CS3457">
        <v>0</v>
      </c>
      <c r="CT3457">
        <v>0</v>
      </c>
      <c r="CU3457">
        <v>0</v>
      </c>
    </row>
    <row r="3458" spans="1:99" x14ac:dyDescent="0.2">
      <c r="A3458" t="s">
        <v>367</v>
      </c>
      <c r="B3458" t="s">
        <v>368</v>
      </c>
      <c r="C3458" t="s">
        <v>369</v>
      </c>
      <c r="D3458" t="s">
        <v>1215</v>
      </c>
      <c r="F3458" t="str">
        <f>"29510"</f>
        <v>29510</v>
      </c>
      <c r="G3458" t="s">
        <v>49</v>
      </c>
      <c r="H3458" t="s">
        <v>1530</v>
      </c>
      <c r="K3458" t="s">
        <v>51</v>
      </c>
      <c r="L3458" t="s">
        <v>52</v>
      </c>
      <c r="M3458">
        <v>138327.74</v>
      </c>
      <c r="N3458">
        <v>468113.88</v>
      </c>
      <c r="O3458" t="s">
        <v>53</v>
      </c>
      <c r="P3458" t="s">
        <v>54</v>
      </c>
      <c r="Q3458" t="s">
        <v>55</v>
      </c>
      <c r="T3458" t="s">
        <v>841</v>
      </c>
      <c r="U3458">
        <v>40</v>
      </c>
      <c r="V3458" s="1">
        <v>32406</v>
      </c>
      <c r="W3458" s="1">
        <v>32406</v>
      </c>
      <c r="X3458" s="1">
        <v>32406</v>
      </c>
      <c r="Y3458" s="1">
        <v>47016</v>
      </c>
      <c r="Z3458" t="s">
        <v>51</v>
      </c>
      <c r="AB3458" t="s">
        <v>54</v>
      </c>
      <c r="AC3458">
        <v>1</v>
      </c>
      <c r="AE3458" t="s">
        <v>1212</v>
      </c>
      <c r="AF3458">
        <v>20</v>
      </c>
      <c r="AG3458" s="1">
        <v>32406</v>
      </c>
      <c r="AH3458" s="1">
        <v>32406</v>
      </c>
      <c r="AI3458" s="1">
        <v>32406</v>
      </c>
      <c r="AJ3458" s="1">
        <v>39711</v>
      </c>
      <c r="AK3458" t="s">
        <v>51</v>
      </c>
      <c r="AN3458">
        <v>0</v>
      </c>
      <c r="AO3458" t="s">
        <v>54</v>
      </c>
      <c r="AP3458" t="s">
        <v>53</v>
      </c>
      <c r="AQ3458">
        <v>0</v>
      </c>
      <c r="AR3458" t="s">
        <v>53</v>
      </c>
      <c r="AS3458">
        <v>0</v>
      </c>
      <c r="AT3458">
        <v>0</v>
      </c>
      <c r="CC3458" t="s">
        <v>850</v>
      </c>
      <c r="CD3458">
        <v>1</v>
      </c>
      <c r="CE3458" s="1">
        <v>44606</v>
      </c>
      <c r="CF3458" s="1">
        <v>44606</v>
      </c>
      <c r="CG3458" s="1">
        <v>44606</v>
      </c>
      <c r="CH3458" s="1">
        <v>51821</v>
      </c>
      <c r="CI3458" t="s">
        <v>51</v>
      </c>
      <c r="CK3458" t="s">
        <v>78</v>
      </c>
      <c r="CM3458" t="s">
        <v>54</v>
      </c>
      <c r="CN3458" t="s">
        <v>174</v>
      </c>
      <c r="CO3458" t="s">
        <v>86</v>
      </c>
      <c r="CR3458">
        <v>18</v>
      </c>
      <c r="CS3458">
        <v>0</v>
      </c>
      <c r="CT3458">
        <v>0</v>
      </c>
      <c r="CU3458">
        <v>0</v>
      </c>
    </row>
    <row r="3459" spans="1:99" x14ac:dyDescent="0.2">
      <c r="A3459" t="s">
        <v>367</v>
      </c>
      <c r="B3459" t="s">
        <v>368</v>
      </c>
      <c r="C3459" t="s">
        <v>369</v>
      </c>
      <c r="D3459" t="s">
        <v>1531</v>
      </c>
      <c r="F3459" t="str">
        <f>"32887"</f>
        <v>32887</v>
      </c>
      <c r="G3459" t="s">
        <v>49</v>
      </c>
      <c r="H3459" t="s">
        <v>1532</v>
      </c>
      <c r="K3459" t="s">
        <v>51</v>
      </c>
      <c r="L3459" t="s">
        <v>52</v>
      </c>
      <c r="M3459">
        <v>138162.51999999999</v>
      </c>
      <c r="N3459">
        <v>468573.34</v>
      </c>
      <c r="O3459" t="s">
        <v>53</v>
      </c>
      <c r="P3459" t="s">
        <v>54</v>
      </c>
      <c r="Q3459" t="s">
        <v>55</v>
      </c>
      <c r="T3459" t="s">
        <v>841</v>
      </c>
      <c r="U3459">
        <v>40</v>
      </c>
      <c r="V3459" s="1">
        <v>27759</v>
      </c>
      <c r="W3459" s="1">
        <v>27759</v>
      </c>
      <c r="X3459" s="1">
        <v>27759</v>
      </c>
      <c r="Y3459" s="1">
        <v>42369</v>
      </c>
      <c r="Z3459" t="s">
        <v>51</v>
      </c>
      <c r="AB3459" t="s">
        <v>54</v>
      </c>
      <c r="AC3459">
        <v>1</v>
      </c>
      <c r="AE3459" t="s">
        <v>1212</v>
      </c>
      <c r="AF3459">
        <v>20</v>
      </c>
      <c r="AG3459" s="1">
        <v>31047</v>
      </c>
      <c r="AH3459" s="1">
        <v>31047</v>
      </c>
      <c r="AI3459" s="1">
        <v>31047</v>
      </c>
      <c r="AJ3459" s="1">
        <v>38352</v>
      </c>
      <c r="AK3459" t="s">
        <v>51</v>
      </c>
      <c r="AN3459">
        <v>0</v>
      </c>
      <c r="AO3459" t="s">
        <v>54</v>
      </c>
      <c r="AP3459" t="s">
        <v>53</v>
      </c>
      <c r="AQ3459">
        <v>0</v>
      </c>
      <c r="AR3459" t="s">
        <v>53</v>
      </c>
      <c r="AS3459">
        <v>0</v>
      </c>
      <c r="AT3459">
        <v>0</v>
      </c>
      <c r="CC3459" t="s">
        <v>850</v>
      </c>
      <c r="CD3459">
        <v>1</v>
      </c>
      <c r="CE3459" s="1">
        <v>42552</v>
      </c>
      <c r="CF3459" s="1">
        <v>42552</v>
      </c>
      <c r="CG3459" s="1">
        <v>42552</v>
      </c>
      <c r="CH3459" s="1">
        <v>49714</v>
      </c>
      <c r="CI3459" t="s">
        <v>51</v>
      </c>
      <c r="CK3459" t="s">
        <v>78</v>
      </c>
      <c r="CM3459" t="s">
        <v>54</v>
      </c>
      <c r="CN3459" t="s">
        <v>174</v>
      </c>
      <c r="CO3459" t="s">
        <v>86</v>
      </c>
      <c r="CR3459">
        <v>18</v>
      </c>
      <c r="CS3459">
        <v>0</v>
      </c>
      <c r="CT3459">
        <v>0</v>
      </c>
      <c r="CU3459">
        <v>0</v>
      </c>
    </row>
    <row r="3460" spans="1:99" x14ac:dyDescent="0.2">
      <c r="A3460" t="s">
        <v>367</v>
      </c>
      <c r="B3460" t="s">
        <v>368</v>
      </c>
      <c r="C3460" t="s">
        <v>369</v>
      </c>
      <c r="D3460" t="s">
        <v>1335</v>
      </c>
      <c r="F3460" t="str">
        <f>"41302"</f>
        <v>41302</v>
      </c>
      <c r="G3460" t="s">
        <v>49</v>
      </c>
      <c r="H3460" t="s">
        <v>1533</v>
      </c>
      <c r="K3460" t="s">
        <v>51</v>
      </c>
      <c r="L3460" t="s">
        <v>52</v>
      </c>
      <c r="M3460">
        <v>137757.82999999999</v>
      </c>
      <c r="N3460">
        <v>467552.98</v>
      </c>
      <c r="O3460" t="s">
        <v>53</v>
      </c>
      <c r="P3460" t="s">
        <v>54</v>
      </c>
      <c r="Q3460" t="s">
        <v>55</v>
      </c>
      <c r="T3460" t="s">
        <v>818</v>
      </c>
      <c r="U3460">
        <v>40</v>
      </c>
      <c r="V3460" s="1">
        <v>32518</v>
      </c>
      <c r="W3460" s="1">
        <v>32518</v>
      </c>
      <c r="X3460" s="1">
        <v>32518</v>
      </c>
      <c r="Y3460" s="1">
        <v>47128</v>
      </c>
      <c r="Z3460" t="s">
        <v>51</v>
      </c>
      <c r="AB3460" t="s">
        <v>54</v>
      </c>
      <c r="AC3460">
        <v>1</v>
      </c>
      <c r="AE3460" t="s">
        <v>827</v>
      </c>
      <c r="AF3460">
        <v>20</v>
      </c>
      <c r="AG3460" s="1">
        <v>32518</v>
      </c>
      <c r="AH3460" s="1">
        <v>32518</v>
      </c>
      <c r="AI3460" s="1">
        <v>32518</v>
      </c>
      <c r="AJ3460" s="1">
        <v>39823</v>
      </c>
      <c r="AK3460" t="s">
        <v>51</v>
      </c>
      <c r="AN3460">
        <v>0</v>
      </c>
      <c r="AO3460" t="s">
        <v>54</v>
      </c>
      <c r="AP3460" t="s">
        <v>53</v>
      </c>
      <c r="AQ3460">
        <v>0</v>
      </c>
      <c r="AR3460" t="s">
        <v>53</v>
      </c>
      <c r="AS3460">
        <v>0</v>
      </c>
      <c r="AT3460">
        <v>0</v>
      </c>
      <c r="CC3460" t="s">
        <v>850</v>
      </c>
      <c r="CD3460">
        <v>1</v>
      </c>
      <c r="CE3460" s="1">
        <v>43528</v>
      </c>
      <c r="CF3460" s="1">
        <v>43528</v>
      </c>
      <c r="CG3460" s="1">
        <v>43528</v>
      </c>
      <c r="CH3460" s="1">
        <v>50742</v>
      </c>
      <c r="CI3460" t="s">
        <v>51</v>
      </c>
      <c r="CK3460" t="s">
        <v>78</v>
      </c>
      <c r="CM3460" t="s">
        <v>54</v>
      </c>
      <c r="CN3460" t="s">
        <v>174</v>
      </c>
      <c r="CO3460" t="s">
        <v>86</v>
      </c>
      <c r="CR3460">
        <v>18</v>
      </c>
      <c r="CS3460">
        <v>0</v>
      </c>
      <c r="CT3460">
        <v>0</v>
      </c>
      <c r="CU3460">
        <v>0</v>
      </c>
    </row>
    <row r="3461" spans="1:99" x14ac:dyDescent="0.2">
      <c r="A3461" t="s">
        <v>367</v>
      </c>
      <c r="B3461" t="s">
        <v>368</v>
      </c>
      <c r="C3461" t="s">
        <v>369</v>
      </c>
      <c r="D3461" t="s">
        <v>1396</v>
      </c>
      <c r="F3461" t="str">
        <f>"42969"</f>
        <v>42969</v>
      </c>
      <c r="G3461" t="s">
        <v>49</v>
      </c>
      <c r="H3461" t="s">
        <v>1534</v>
      </c>
      <c r="K3461" t="s">
        <v>51</v>
      </c>
      <c r="L3461" t="s">
        <v>52</v>
      </c>
      <c r="M3461">
        <v>138235.97</v>
      </c>
      <c r="N3461">
        <v>467872.01</v>
      </c>
      <c r="O3461" t="s">
        <v>53</v>
      </c>
      <c r="P3461" t="s">
        <v>54</v>
      </c>
      <c r="Q3461" t="s">
        <v>55</v>
      </c>
      <c r="T3461" t="s">
        <v>841</v>
      </c>
      <c r="U3461">
        <v>40</v>
      </c>
      <c r="V3461" s="1">
        <v>27759</v>
      </c>
      <c r="W3461" s="1">
        <v>27759</v>
      </c>
      <c r="X3461" s="1">
        <v>27759</v>
      </c>
      <c r="Y3461" s="1">
        <v>42369</v>
      </c>
      <c r="Z3461" t="s">
        <v>51</v>
      </c>
      <c r="AB3461" t="s">
        <v>54</v>
      </c>
      <c r="AC3461">
        <v>1</v>
      </c>
      <c r="AE3461" t="s">
        <v>1212</v>
      </c>
      <c r="AF3461">
        <v>20</v>
      </c>
      <c r="AG3461" s="1">
        <v>31959</v>
      </c>
      <c r="AH3461" s="1">
        <v>31959</v>
      </c>
      <c r="AI3461" s="1">
        <v>31959</v>
      </c>
      <c r="AJ3461" s="1">
        <v>39264</v>
      </c>
      <c r="AK3461" t="s">
        <v>51</v>
      </c>
      <c r="AN3461">
        <v>0</v>
      </c>
      <c r="AO3461" t="s">
        <v>54</v>
      </c>
      <c r="AP3461" t="s">
        <v>53</v>
      </c>
      <c r="AQ3461">
        <v>0</v>
      </c>
      <c r="AR3461" t="s">
        <v>53</v>
      </c>
      <c r="AS3461">
        <v>0</v>
      </c>
      <c r="AT3461">
        <v>0</v>
      </c>
      <c r="AW3461" t="s">
        <v>58</v>
      </c>
      <c r="AX3461">
        <v>20</v>
      </c>
      <c r="AY3461" s="1">
        <v>31959</v>
      </c>
      <c r="AZ3461" s="1">
        <v>31959</v>
      </c>
      <c r="BA3461" s="1">
        <v>31959</v>
      </c>
      <c r="BB3461" s="1">
        <v>39264</v>
      </c>
      <c r="BC3461" t="s">
        <v>51</v>
      </c>
      <c r="BE3461" t="s">
        <v>54</v>
      </c>
      <c r="BF3461">
        <v>2</v>
      </c>
      <c r="BG3461">
        <v>0</v>
      </c>
      <c r="BH3461" t="s">
        <v>53</v>
      </c>
      <c r="BK3461" t="s">
        <v>720</v>
      </c>
      <c r="BL3461">
        <v>17000</v>
      </c>
      <c r="BM3461" s="1">
        <v>43703</v>
      </c>
      <c r="BN3461" s="1">
        <v>43703</v>
      </c>
      <c r="BO3461" s="1">
        <v>43703</v>
      </c>
      <c r="BP3461" s="1">
        <v>45131</v>
      </c>
      <c r="BQ3461" t="s">
        <v>51</v>
      </c>
      <c r="BS3461" t="s">
        <v>60</v>
      </c>
      <c r="BT3461" t="s">
        <v>54</v>
      </c>
      <c r="BU3461" t="s">
        <v>721</v>
      </c>
      <c r="BV3461" t="s">
        <v>722</v>
      </c>
      <c r="BX3461">
        <v>18</v>
      </c>
      <c r="BY3461">
        <v>0</v>
      </c>
      <c r="BZ3461">
        <v>0</v>
      </c>
    </row>
    <row r="3462" spans="1:99" x14ac:dyDescent="0.2">
      <c r="A3462" t="s">
        <v>367</v>
      </c>
      <c r="B3462" t="s">
        <v>368</v>
      </c>
      <c r="C3462" t="s">
        <v>369</v>
      </c>
      <c r="D3462" t="s">
        <v>1315</v>
      </c>
      <c r="F3462" t="str">
        <f>"51938"</f>
        <v>51938</v>
      </c>
      <c r="G3462" t="s">
        <v>49</v>
      </c>
      <c r="H3462" t="s">
        <v>1535</v>
      </c>
      <c r="K3462" t="s">
        <v>51</v>
      </c>
      <c r="L3462" t="s">
        <v>52</v>
      </c>
      <c r="M3462">
        <v>137774.43</v>
      </c>
      <c r="N3462">
        <v>467787.08</v>
      </c>
      <c r="O3462" t="s">
        <v>53</v>
      </c>
      <c r="P3462" t="s">
        <v>54</v>
      </c>
      <c r="Q3462" t="s">
        <v>55</v>
      </c>
      <c r="T3462" t="s">
        <v>818</v>
      </c>
      <c r="U3462">
        <v>40</v>
      </c>
      <c r="V3462" s="1">
        <v>32601</v>
      </c>
      <c r="W3462" s="1">
        <v>32601</v>
      </c>
      <c r="X3462" s="1">
        <v>32601</v>
      </c>
      <c r="Y3462" s="1">
        <v>47211</v>
      </c>
      <c r="Z3462" t="s">
        <v>51</v>
      </c>
      <c r="AB3462" t="s">
        <v>54</v>
      </c>
      <c r="AC3462">
        <v>1</v>
      </c>
      <c r="AE3462" t="s">
        <v>827</v>
      </c>
      <c r="AF3462">
        <v>20</v>
      </c>
      <c r="AG3462" s="1">
        <v>31047</v>
      </c>
      <c r="AH3462" s="1">
        <v>31047</v>
      </c>
      <c r="AI3462" s="1">
        <v>32601</v>
      </c>
      <c r="AJ3462" s="1">
        <v>38352</v>
      </c>
      <c r="AK3462" t="s">
        <v>51</v>
      </c>
      <c r="AN3462">
        <v>0</v>
      </c>
      <c r="AO3462" t="s">
        <v>54</v>
      </c>
      <c r="AP3462" t="s">
        <v>53</v>
      </c>
      <c r="AQ3462">
        <v>0</v>
      </c>
      <c r="AR3462" t="s">
        <v>53</v>
      </c>
      <c r="AS3462">
        <v>0</v>
      </c>
      <c r="AT3462">
        <v>0</v>
      </c>
      <c r="AW3462" t="s">
        <v>58</v>
      </c>
      <c r="AX3462">
        <v>20</v>
      </c>
      <c r="AY3462" s="1">
        <v>31047</v>
      </c>
      <c r="AZ3462" s="1">
        <v>31047</v>
      </c>
      <c r="BA3462" s="1">
        <v>32601</v>
      </c>
      <c r="BB3462" s="1">
        <v>38352</v>
      </c>
      <c r="BC3462" t="s">
        <v>51</v>
      </c>
      <c r="BE3462" t="s">
        <v>54</v>
      </c>
      <c r="BF3462">
        <v>2</v>
      </c>
      <c r="BG3462">
        <v>0</v>
      </c>
      <c r="BH3462" t="s">
        <v>53</v>
      </c>
      <c r="BK3462" t="s">
        <v>720</v>
      </c>
      <c r="BL3462">
        <v>17000</v>
      </c>
      <c r="BM3462" s="1">
        <v>42552</v>
      </c>
      <c r="BN3462" s="1">
        <v>42552</v>
      </c>
      <c r="BO3462" s="1">
        <v>42552</v>
      </c>
      <c r="BP3462" s="1">
        <v>43974</v>
      </c>
      <c r="BQ3462" t="s">
        <v>51</v>
      </c>
      <c r="BS3462" t="s">
        <v>60</v>
      </c>
      <c r="BT3462" t="s">
        <v>54</v>
      </c>
      <c r="BU3462" t="s">
        <v>721</v>
      </c>
      <c r="BV3462" t="s">
        <v>722</v>
      </c>
      <c r="BX3462">
        <v>18</v>
      </c>
      <c r="BY3462">
        <v>0</v>
      </c>
      <c r="BZ3462">
        <v>0</v>
      </c>
    </row>
    <row r="3463" spans="1:99" x14ac:dyDescent="0.2">
      <c r="A3463" t="s">
        <v>367</v>
      </c>
      <c r="B3463" t="s">
        <v>368</v>
      </c>
      <c r="C3463" t="s">
        <v>369</v>
      </c>
      <c r="D3463" t="s">
        <v>1210</v>
      </c>
      <c r="F3463" t="str">
        <f>"52304"</f>
        <v>52304</v>
      </c>
      <c r="G3463" t="s">
        <v>49</v>
      </c>
      <c r="H3463" t="s">
        <v>1536</v>
      </c>
      <c r="K3463" t="s">
        <v>51</v>
      </c>
      <c r="L3463" t="s">
        <v>52</v>
      </c>
      <c r="M3463">
        <v>138163.22</v>
      </c>
      <c r="N3463">
        <v>467898.95</v>
      </c>
      <c r="O3463" t="s">
        <v>53</v>
      </c>
      <c r="P3463" t="s">
        <v>54</v>
      </c>
      <c r="Q3463" t="s">
        <v>55</v>
      </c>
      <c r="T3463" t="s">
        <v>818</v>
      </c>
      <c r="U3463">
        <v>40</v>
      </c>
      <c r="V3463" s="1">
        <v>32714</v>
      </c>
      <c r="W3463" s="1">
        <v>32714</v>
      </c>
      <c r="X3463" s="1">
        <v>32714</v>
      </c>
      <c r="Y3463" s="1">
        <v>47324</v>
      </c>
      <c r="Z3463" t="s">
        <v>51</v>
      </c>
      <c r="AB3463" t="s">
        <v>54</v>
      </c>
      <c r="AC3463">
        <v>1</v>
      </c>
      <c r="AE3463" t="s">
        <v>819</v>
      </c>
      <c r="AF3463">
        <v>20</v>
      </c>
      <c r="AG3463" s="1">
        <v>36277</v>
      </c>
      <c r="AH3463" s="1">
        <v>36277</v>
      </c>
      <c r="AI3463" s="1">
        <v>36277</v>
      </c>
      <c r="AJ3463" s="1">
        <v>43582</v>
      </c>
      <c r="AK3463" t="s">
        <v>51</v>
      </c>
      <c r="AN3463">
        <v>0</v>
      </c>
      <c r="AO3463" t="s">
        <v>54</v>
      </c>
      <c r="AP3463" t="s">
        <v>53</v>
      </c>
      <c r="AQ3463">
        <v>0</v>
      </c>
      <c r="AR3463" t="s">
        <v>53</v>
      </c>
      <c r="AS3463">
        <v>0</v>
      </c>
      <c r="AT3463">
        <v>0</v>
      </c>
      <c r="AW3463" t="s">
        <v>58</v>
      </c>
      <c r="AX3463">
        <v>20</v>
      </c>
      <c r="AY3463" s="1">
        <v>36277</v>
      </c>
      <c r="AZ3463" s="1">
        <v>36277</v>
      </c>
      <c r="BA3463" s="1">
        <v>36277</v>
      </c>
      <c r="BB3463" s="1">
        <v>43582</v>
      </c>
      <c r="BC3463" t="s">
        <v>51</v>
      </c>
      <c r="BE3463" t="s">
        <v>54</v>
      </c>
      <c r="BF3463">
        <v>2</v>
      </c>
      <c r="BG3463">
        <v>0</v>
      </c>
      <c r="BH3463" t="s">
        <v>53</v>
      </c>
      <c r="BK3463" t="s">
        <v>720</v>
      </c>
      <c r="BL3463">
        <v>17000</v>
      </c>
      <c r="BM3463" s="1">
        <v>43437</v>
      </c>
      <c r="BN3463" s="1">
        <v>43437</v>
      </c>
      <c r="BO3463" s="1">
        <v>43437</v>
      </c>
      <c r="BP3463" s="1">
        <v>44879</v>
      </c>
      <c r="BQ3463" t="s">
        <v>51</v>
      </c>
      <c r="BS3463" t="s">
        <v>60</v>
      </c>
      <c r="BT3463" t="s">
        <v>54</v>
      </c>
      <c r="BU3463" t="s">
        <v>721</v>
      </c>
      <c r="BV3463" t="s">
        <v>722</v>
      </c>
      <c r="BX3463">
        <v>18</v>
      </c>
      <c r="BY3463">
        <v>0</v>
      </c>
      <c r="BZ3463">
        <v>0</v>
      </c>
    </row>
    <row r="3464" spans="1:99" x14ac:dyDescent="0.2">
      <c r="A3464" t="s">
        <v>367</v>
      </c>
      <c r="B3464" t="s">
        <v>368</v>
      </c>
      <c r="C3464" t="s">
        <v>369</v>
      </c>
      <c r="D3464" t="s">
        <v>1196</v>
      </c>
      <c r="F3464" t="str">
        <f>"52344"</f>
        <v>52344</v>
      </c>
      <c r="G3464" t="s">
        <v>49</v>
      </c>
      <c r="H3464" t="s">
        <v>1537</v>
      </c>
      <c r="K3464" t="s">
        <v>51</v>
      </c>
      <c r="L3464" t="s">
        <v>52</v>
      </c>
      <c r="M3464">
        <v>137738.01999999999</v>
      </c>
      <c r="N3464">
        <v>467629.92</v>
      </c>
      <c r="O3464" t="s">
        <v>53</v>
      </c>
      <c r="P3464" t="s">
        <v>54</v>
      </c>
      <c r="Q3464" t="s">
        <v>55</v>
      </c>
      <c r="T3464" t="s">
        <v>818</v>
      </c>
      <c r="U3464">
        <v>40</v>
      </c>
      <c r="V3464" s="1">
        <v>32714</v>
      </c>
      <c r="W3464" s="1">
        <v>32714</v>
      </c>
      <c r="X3464" s="1">
        <v>32714</v>
      </c>
      <c r="Y3464" s="1">
        <v>47324</v>
      </c>
      <c r="Z3464" t="s">
        <v>51</v>
      </c>
      <c r="AB3464" t="s">
        <v>54</v>
      </c>
      <c r="AC3464">
        <v>1</v>
      </c>
      <c r="AE3464" t="s">
        <v>827</v>
      </c>
      <c r="AF3464">
        <v>20</v>
      </c>
      <c r="AG3464" s="1">
        <v>32714</v>
      </c>
      <c r="AH3464" s="1">
        <v>32714</v>
      </c>
      <c r="AI3464" s="1">
        <v>32714</v>
      </c>
      <c r="AJ3464" s="1">
        <v>40019</v>
      </c>
      <c r="AK3464" t="s">
        <v>51</v>
      </c>
      <c r="AN3464">
        <v>0</v>
      </c>
      <c r="AO3464" t="s">
        <v>54</v>
      </c>
      <c r="AP3464" t="s">
        <v>53</v>
      </c>
      <c r="AQ3464">
        <v>0</v>
      </c>
      <c r="AR3464" t="s">
        <v>53</v>
      </c>
      <c r="AS3464">
        <v>0</v>
      </c>
      <c r="AT3464">
        <v>0</v>
      </c>
      <c r="CC3464" t="s">
        <v>850</v>
      </c>
      <c r="CD3464">
        <v>1</v>
      </c>
      <c r="CE3464" s="1">
        <v>42552</v>
      </c>
      <c r="CF3464" s="1">
        <v>42552</v>
      </c>
      <c r="CG3464" s="1">
        <v>42552</v>
      </c>
      <c r="CH3464" s="1">
        <v>49714</v>
      </c>
      <c r="CI3464" t="s">
        <v>51</v>
      </c>
      <c r="CK3464" t="s">
        <v>78</v>
      </c>
      <c r="CM3464" t="s">
        <v>54</v>
      </c>
      <c r="CN3464" t="s">
        <v>174</v>
      </c>
      <c r="CO3464" t="s">
        <v>86</v>
      </c>
      <c r="CR3464">
        <v>18</v>
      </c>
      <c r="CS3464">
        <v>0</v>
      </c>
      <c r="CT3464">
        <v>0</v>
      </c>
      <c r="CU3464">
        <v>0</v>
      </c>
    </row>
    <row r="3465" spans="1:99" x14ac:dyDescent="0.2">
      <c r="A3465" t="s">
        <v>367</v>
      </c>
      <c r="B3465" t="s">
        <v>368</v>
      </c>
      <c r="C3465" t="s">
        <v>369</v>
      </c>
      <c r="D3465" t="s">
        <v>1241</v>
      </c>
      <c r="F3465" t="str">
        <f>"254100"</f>
        <v>254100</v>
      </c>
      <c r="G3465" t="s">
        <v>49</v>
      </c>
      <c r="H3465">
        <v>7</v>
      </c>
      <c r="K3465" t="s">
        <v>51</v>
      </c>
      <c r="L3465" t="s">
        <v>52</v>
      </c>
      <c r="M3465">
        <v>138166.49</v>
      </c>
      <c r="N3465">
        <v>468034.85</v>
      </c>
      <c r="O3465" t="s">
        <v>53</v>
      </c>
      <c r="P3465" t="s">
        <v>54</v>
      </c>
      <c r="Q3465" t="s">
        <v>55</v>
      </c>
      <c r="T3465" t="s">
        <v>239</v>
      </c>
      <c r="U3465">
        <v>40</v>
      </c>
      <c r="V3465" s="1">
        <v>42552</v>
      </c>
      <c r="W3465" s="1">
        <v>42552</v>
      </c>
      <c r="X3465" s="1">
        <v>42552</v>
      </c>
      <c r="Y3465" s="1">
        <v>57162</v>
      </c>
      <c r="Z3465" t="s">
        <v>51</v>
      </c>
      <c r="AB3465" t="s">
        <v>54</v>
      </c>
      <c r="AC3465">
        <v>1</v>
      </c>
      <c r="AE3465" t="s">
        <v>79</v>
      </c>
      <c r="AF3465">
        <v>20</v>
      </c>
      <c r="AG3465" s="1">
        <v>42552</v>
      </c>
      <c r="AH3465" s="1">
        <v>42552</v>
      </c>
      <c r="AI3465" s="1">
        <v>42552</v>
      </c>
      <c r="AJ3465" s="1">
        <v>49857</v>
      </c>
      <c r="AK3465" t="s">
        <v>51</v>
      </c>
      <c r="AN3465">
        <v>0</v>
      </c>
      <c r="AO3465" t="s">
        <v>54</v>
      </c>
      <c r="AP3465" t="s">
        <v>53</v>
      </c>
      <c r="AQ3465">
        <v>0</v>
      </c>
      <c r="AR3465" t="s">
        <v>145</v>
      </c>
      <c r="AS3465">
        <v>0</v>
      </c>
      <c r="AT3465">
        <v>0</v>
      </c>
      <c r="CC3465" t="s">
        <v>850</v>
      </c>
      <c r="CD3465">
        <v>1</v>
      </c>
      <c r="CE3465" s="1">
        <v>42552</v>
      </c>
      <c r="CF3465" s="1">
        <v>42552</v>
      </c>
      <c r="CG3465" s="1">
        <v>42552</v>
      </c>
      <c r="CH3465" s="1">
        <v>49714</v>
      </c>
      <c r="CI3465" t="s">
        <v>51</v>
      </c>
      <c r="CK3465" t="s">
        <v>78</v>
      </c>
      <c r="CM3465" t="s">
        <v>54</v>
      </c>
      <c r="CN3465" t="s">
        <v>174</v>
      </c>
      <c r="CO3465" t="s">
        <v>86</v>
      </c>
      <c r="CR3465">
        <v>18</v>
      </c>
      <c r="CS3465">
        <v>0</v>
      </c>
      <c r="CT3465">
        <v>0</v>
      </c>
      <c r="CU3465">
        <v>0</v>
      </c>
    </row>
    <row r="3466" spans="1:99" x14ac:dyDescent="0.2">
      <c r="A3466" t="s">
        <v>367</v>
      </c>
      <c r="B3466" t="s">
        <v>368</v>
      </c>
      <c r="C3466" t="s">
        <v>369</v>
      </c>
      <c r="D3466" t="s">
        <v>1241</v>
      </c>
      <c r="F3466" t="str">
        <f>"254099"</f>
        <v>254099</v>
      </c>
      <c r="G3466" t="s">
        <v>49</v>
      </c>
      <c r="H3466">
        <v>13</v>
      </c>
      <c r="K3466" t="s">
        <v>51</v>
      </c>
      <c r="L3466" t="s">
        <v>52</v>
      </c>
      <c r="M3466">
        <v>138166.39000000001</v>
      </c>
      <c r="N3466">
        <v>468059.32</v>
      </c>
      <c r="O3466" t="s">
        <v>53</v>
      </c>
      <c r="P3466" t="s">
        <v>54</v>
      </c>
      <c r="Q3466" t="s">
        <v>55</v>
      </c>
      <c r="T3466" t="s">
        <v>239</v>
      </c>
      <c r="U3466">
        <v>40</v>
      </c>
      <c r="V3466" s="1">
        <v>42552</v>
      </c>
      <c r="W3466" s="1">
        <v>42552</v>
      </c>
      <c r="X3466" s="1">
        <v>42552</v>
      </c>
      <c r="Y3466" s="1">
        <v>57162</v>
      </c>
      <c r="Z3466" t="s">
        <v>51</v>
      </c>
      <c r="AB3466" t="s">
        <v>54</v>
      </c>
      <c r="AC3466">
        <v>1</v>
      </c>
      <c r="AE3466" t="s">
        <v>79</v>
      </c>
      <c r="AF3466">
        <v>20</v>
      </c>
      <c r="AG3466" s="1">
        <v>42552</v>
      </c>
      <c r="AH3466" s="1">
        <v>42552</v>
      </c>
      <c r="AI3466" s="1">
        <v>42552</v>
      </c>
      <c r="AJ3466" s="1">
        <v>49857</v>
      </c>
      <c r="AK3466" t="s">
        <v>51</v>
      </c>
      <c r="AN3466">
        <v>0</v>
      </c>
      <c r="AO3466" t="s">
        <v>54</v>
      </c>
      <c r="AP3466" t="s">
        <v>53</v>
      </c>
      <c r="AQ3466">
        <v>0</v>
      </c>
      <c r="AR3466" t="s">
        <v>145</v>
      </c>
      <c r="AS3466">
        <v>0</v>
      </c>
      <c r="AT3466">
        <v>0</v>
      </c>
      <c r="CC3466" t="s">
        <v>850</v>
      </c>
      <c r="CD3466">
        <v>1</v>
      </c>
      <c r="CE3466" s="1">
        <v>42552</v>
      </c>
      <c r="CF3466" s="1">
        <v>42552</v>
      </c>
      <c r="CG3466" s="1">
        <v>42552</v>
      </c>
      <c r="CH3466" s="1">
        <v>49714</v>
      </c>
      <c r="CI3466" t="s">
        <v>51</v>
      </c>
      <c r="CK3466" t="s">
        <v>78</v>
      </c>
      <c r="CM3466" t="s">
        <v>54</v>
      </c>
      <c r="CN3466" t="s">
        <v>174</v>
      </c>
      <c r="CO3466" t="s">
        <v>86</v>
      </c>
      <c r="CR3466">
        <v>18</v>
      </c>
      <c r="CS3466">
        <v>0</v>
      </c>
      <c r="CT3466">
        <v>0</v>
      </c>
      <c r="CU3466">
        <v>0</v>
      </c>
    </row>
    <row r="3467" spans="1:99" x14ac:dyDescent="0.2">
      <c r="A3467" t="s">
        <v>367</v>
      </c>
      <c r="B3467" t="s">
        <v>368</v>
      </c>
      <c r="C3467" t="s">
        <v>369</v>
      </c>
      <c r="D3467" t="s">
        <v>1241</v>
      </c>
      <c r="F3467" t="str">
        <f>"254101"</f>
        <v>254101</v>
      </c>
      <c r="G3467" t="s">
        <v>49</v>
      </c>
      <c r="H3467" t="s">
        <v>1538</v>
      </c>
      <c r="K3467" t="s">
        <v>51</v>
      </c>
      <c r="L3467" t="s">
        <v>52</v>
      </c>
      <c r="M3467">
        <v>138166.07</v>
      </c>
      <c r="N3467">
        <v>468018.19</v>
      </c>
      <c r="O3467" t="s">
        <v>53</v>
      </c>
      <c r="P3467" t="s">
        <v>54</v>
      </c>
      <c r="Q3467" t="s">
        <v>55</v>
      </c>
      <c r="T3467" t="s">
        <v>239</v>
      </c>
      <c r="U3467">
        <v>40</v>
      </c>
      <c r="V3467" s="1">
        <v>42552</v>
      </c>
      <c r="W3467" s="1">
        <v>42552</v>
      </c>
      <c r="X3467" s="1">
        <v>42552</v>
      </c>
      <c r="Y3467" s="1">
        <v>57162</v>
      </c>
      <c r="Z3467" t="s">
        <v>51</v>
      </c>
      <c r="AB3467" t="s">
        <v>54</v>
      </c>
      <c r="AC3467">
        <v>1</v>
      </c>
      <c r="AE3467" t="s">
        <v>79</v>
      </c>
      <c r="AF3467">
        <v>20</v>
      </c>
      <c r="AG3467" s="1">
        <v>42552</v>
      </c>
      <c r="AH3467" s="1">
        <v>42552</v>
      </c>
      <c r="AI3467" s="1">
        <v>42552</v>
      </c>
      <c r="AJ3467" s="1">
        <v>49857</v>
      </c>
      <c r="AK3467" t="s">
        <v>51</v>
      </c>
      <c r="AN3467">
        <v>0</v>
      </c>
      <c r="AO3467" t="s">
        <v>54</v>
      </c>
      <c r="AP3467" t="s">
        <v>53</v>
      </c>
      <c r="AQ3467">
        <v>0</v>
      </c>
      <c r="AR3467" t="s">
        <v>145</v>
      </c>
      <c r="AS3467">
        <v>0</v>
      </c>
      <c r="AT3467">
        <v>0</v>
      </c>
      <c r="CC3467" t="s">
        <v>850</v>
      </c>
      <c r="CD3467">
        <v>1</v>
      </c>
      <c r="CE3467" s="1">
        <v>43738</v>
      </c>
      <c r="CF3467" s="1">
        <v>43738</v>
      </c>
      <c r="CG3467" s="1">
        <v>43738</v>
      </c>
      <c r="CH3467" s="1">
        <v>50881</v>
      </c>
      <c r="CI3467" t="s">
        <v>51</v>
      </c>
      <c r="CK3467" t="s">
        <v>78</v>
      </c>
      <c r="CM3467" t="s">
        <v>54</v>
      </c>
      <c r="CN3467" t="s">
        <v>174</v>
      </c>
      <c r="CO3467" t="s">
        <v>86</v>
      </c>
      <c r="CR3467">
        <v>18</v>
      </c>
      <c r="CS3467">
        <v>0</v>
      </c>
      <c r="CT3467">
        <v>0</v>
      </c>
      <c r="CU3467">
        <v>0</v>
      </c>
    </row>
    <row r="3468" spans="1:99" x14ac:dyDescent="0.2">
      <c r="A3468" t="s">
        <v>367</v>
      </c>
      <c r="B3468" t="s">
        <v>368</v>
      </c>
      <c r="C3468" t="s">
        <v>369</v>
      </c>
      <c r="D3468" t="s">
        <v>1241</v>
      </c>
      <c r="F3468" t="str">
        <f>"254102"</f>
        <v>254102</v>
      </c>
      <c r="G3468" t="s">
        <v>49</v>
      </c>
      <c r="H3468" t="s">
        <v>1539</v>
      </c>
      <c r="K3468" t="s">
        <v>51</v>
      </c>
      <c r="L3468" t="s">
        <v>52</v>
      </c>
      <c r="M3468">
        <v>138164.25</v>
      </c>
      <c r="N3468">
        <v>467993.3</v>
      </c>
      <c r="O3468" t="s">
        <v>53</v>
      </c>
      <c r="P3468" t="s">
        <v>54</v>
      </c>
      <c r="Q3468" t="s">
        <v>55</v>
      </c>
      <c r="T3468" t="s">
        <v>239</v>
      </c>
      <c r="U3468">
        <v>40</v>
      </c>
      <c r="V3468" s="1">
        <v>42552</v>
      </c>
      <c r="W3468" s="1">
        <v>42552</v>
      </c>
      <c r="X3468" s="1">
        <v>42552</v>
      </c>
      <c r="Y3468" s="1">
        <v>57162</v>
      </c>
      <c r="Z3468" t="s">
        <v>51</v>
      </c>
      <c r="AB3468" t="s">
        <v>54</v>
      </c>
      <c r="AC3468">
        <v>1</v>
      </c>
      <c r="AE3468" t="s">
        <v>79</v>
      </c>
      <c r="AF3468">
        <v>20</v>
      </c>
      <c r="AG3468" s="1">
        <v>42552</v>
      </c>
      <c r="AH3468" s="1">
        <v>42552</v>
      </c>
      <c r="AI3468" s="1">
        <v>42552</v>
      </c>
      <c r="AJ3468" s="1">
        <v>49857</v>
      </c>
      <c r="AK3468" t="s">
        <v>51</v>
      </c>
      <c r="AN3468">
        <v>0</v>
      </c>
      <c r="AO3468" t="s">
        <v>54</v>
      </c>
      <c r="AP3468" t="s">
        <v>53</v>
      </c>
      <c r="AQ3468">
        <v>0</v>
      </c>
      <c r="AR3468" t="s">
        <v>145</v>
      </c>
      <c r="AS3468">
        <v>0</v>
      </c>
      <c r="AT3468">
        <v>0</v>
      </c>
      <c r="CC3468" t="s">
        <v>850</v>
      </c>
      <c r="CD3468">
        <v>1</v>
      </c>
      <c r="CE3468" s="1">
        <v>42552</v>
      </c>
      <c r="CF3468" s="1">
        <v>42552</v>
      </c>
      <c r="CG3468" s="1">
        <v>42552</v>
      </c>
      <c r="CH3468" s="1">
        <v>42552</v>
      </c>
      <c r="CI3468" t="s">
        <v>51</v>
      </c>
      <c r="CK3468" t="s">
        <v>78</v>
      </c>
      <c r="CM3468" t="s">
        <v>54</v>
      </c>
      <c r="CN3468" t="s">
        <v>174</v>
      </c>
      <c r="CO3468" t="s">
        <v>86</v>
      </c>
      <c r="CR3468">
        <v>18</v>
      </c>
      <c r="CS3468">
        <v>0</v>
      </c>
      <c r="CT3468">
        <v>0</v>
      </c>
      <c r="CU3468">
        <v>0</v>
      </c>
    </row>
    <row r="3469" spans="1:99" x14ac:dyDescent="0.2">
      <c r="A3469" t="s">
        <v>367</v>
      </c>
      <c r="B3469" t="s">
        <v>368</v>
      </c>
      <c r="C3469" t="s">
        <v>369</v>
      </c>
      <c r="D3469" t="s">
        <v>1403</v>
      </c>
      <c r="F3469" t="str">
        <f>"61393"</f>
        <v>61393</v>
      </c>
      <c r="G3469" t="s">
        <v>49</v>
      </c>
      <c r="H3469" t="s">
        <v>1540</v>
      </c>
      <c r="K3469" t="s">
        <v>51</v>
      </c>
      <c r="L3469" t="s">
        <v>52</v>
      </c>
      <c r="M3469">
        <v>137813.03</v>
      </c>
      <c r="N3469">
        <v>467437.23</v>
      </c>
      <c r="O3469" t="s">
        <v>53</v>
      </c>
      <c r="P3469" t="s">
        <v>54</v>
      </c>
      <c r="Q3469" t="s">
        <v>55</v>
      </c>
      <c r="T3469" t="s">
        <v>1266</v>
      </c>
      <c r="U3469">
        <v>40</v>
      </c>
      <c r="V3469" s="1">
        <v>40564</v>
      </c>
      <c r="W3469" s="1">
        <v>40564</v>
      </c>
      <c r="X3469" s="1">
        <v>40564</v>
      </c>
      <c r="Y3469" s="1">
        <v>55174</v>
      </c>
      <c r="Z3469" t="s">
        <v>51</v>
      </c>
      <c r="AB3469" t="s">
        <v>54</v>
      </c>
      <c r="AC3469">
        <v>1</v>
      </c>
      <c r="AE3469" t="s">
        <v>844</v>
      </c>
      <c r="AF3469">
        <v>20</v>
      </c>
      <c r="AG3469" s="1">
        <v>40564</v>
      </c>
      <c r="AH3469" s="1">
        <v>40564</v>
      </c>
      <c r="AI3469" s="1">
        <v>40564</v>
      </c>
      <c r="AJ3469" s="1">
        <v>47869</v>
      </c>
      <c r="AK3469" t="s">
        <v>51</v>
      </c>
      <c r="AN3469">
        <v>0</v>
      </c>
      <c r="AO3469" t="s">
        <v>54</v>
      </c>
      <c r="AP3469" t="s">
        <v>53</v>
      </c>
      <c r="AQ3469">
        <v>0</v>
      </c>
      <c r="AR3469" t="s">
        <v>53</v>
      </c>
      <c r="AS3469">
        <v>0</v>
      </c>
      <c r="AT3469">
        <v>0</v>
      </c>
      <c r="CC3469" t="s">
        <v>555</v>
      </c>
      <c r="CD3469">
        <v>85000</v>
      </c>
      <c r="CE3469" s="1">
        <v>42552</v>
      </c>
      <c r="CF3469" s="1">
        <v>42552</v>
      </c>
      <c r="CG3469" s="1">
        <v>42552</v>
      </c>
      <c r="CH3469" s="1">
        <v>49714</v>
      </c>
      <c r="CI3469" t="s">
        <v>51</v>
      </c>
      <c r="CK3469" t="s">
        <v>78</v>
      </c>
      <c r="CM3469" t="s">
        <v>54</v>
      </c>
      <c r="CN3469" t="s">
        <v>174</v>
      </c>
      <c r="CO3469" t="s">
        <v>86</v>
      </c>
      <c r="CR3469">
        <v>20</v>
      </c>
      <c r="CS3469">
        <v>0</v>
      </c>
      <c r="CT3469">
        <v>0</v>
      </c>
      <c r="CU3469">
        <v>0</v>
      </c>
    </row>
    <row r="3470" spans="1:99" x14ac:dyDescent="0.2">
      <c r="A3470" t="s">
        <v>367</v>
      </c>
      <c r="B3470" t="s">
        <v>368</v>
      </c>
      <c r="C3470" t="s">
        <v>369</v>
      </c>
      <c r="D3470" t="s">
        <v>1184</v>
      </c>
      <c r="F3470" t="str">
        <f>"63327"</f>
        <v>63327</v>
      </c>
      <c r="G3470" t="s">
        <v>49</v>
      </c>
      <c r="H3470" t="s">
        <v>1541</v>
      </c>
      <c r="K3470" t="s">
        <v>51</v>
      </c>
      <c r="L3470" t="s">
        <v>52</v>
      </c>
      <c r="M3470">
        <v>137957.51</v>
      </c>
      <c r="N3470">
        <v>468239.94</v>
      </c>
      <c r="O3470" t="s">
        <v>53</v>
      </c>
      <c r="P3470" t="s">
        <v>54</v>
      </c>
      <c r="Q3470" t="s">
        <v>55</v>
      </c>
      <c r="T3470" t="s">
        <v>841</v>
      </c>
      <c r="U3470">
        <v>40</v>
      </c>
      <c r="V3470" s="1">
        <v>32982</v>
      </c>
      <c r="W3470" s="1">
        <v>32982</v>
      </c>
      <c r="X3470" s="1">
        <v>32982</v>
      </c>
      <c r="Y3470" s="1">
        <v>47592</v>
      </c>
      <c r="Z3470" t="s">
        <v>51</v>
      </c>
      <c r="AB3470" t="s">
        <v>54</v>
      </c>
      <c r="AC3470">
        <v>1</v>
      </c>
      <c r="AE3470" t="s">
        <v>1212</v>
      </c>
      <c r="AF3470">
        <v>20</v>
      </c>
      <c r="AG3470" s="1">
        <v>32982</v>
      </c>
      <c r="AH3470" s="1">
        <v>32982</v>
      </c>
      <c r="AI3470" s="1">
        <v>32982</v>
      </c>
      <c r="AJ3470" s="1">
        <v>40287</v>
      </c>
      <c r="AK3470" t="s">
        <v>51</v>
      </c>
      <c r="AN3470">
        <v>0</v>
      </c>
      <c r="AO3470" t="s">
        <v>54</v>
      </c>
      <c r="AP3470" t="s">
        <v>53</v>
      </c>
      <c r="AQ3470">
        <v>0</v>
      </c>
      <c r="AR3470" t="s">
        <v>53</v>
      </c>
      <c r="AS3470">
        <v>0</v>
      </c>
      <c r="AT3470">
        <v>0</v>
      </c>
      <c r="BK3470" t="s">
        <v>720</v>
      </c>
      <c r="BL3470">
        <v>17000</v>
      </c>
      <c r="BM3470" s="1">
        <v>44866</v>
      </c>
      <c r="BN3470" s="1">
        <v>44866</v>
      </c>
      <c r="BO3470" s="1">
        <v>44866</v>
      </c>
      <c r="BP3470" s="1">
        <v>46307</v>
      </c>
      <c r="BQ3470" t="s">
        <v>51</v>
      </c>
      <c r="BS3470" t="s">
        <v>60</v>
      </c>
      <c r="BT3470" t="s">
        <v>54</v>
      </c>
      <c r="BU3470" t="s">
        <v>721</v>
      </c>
      <c r="BV3470" t="s">
        <v>722</v>
      </c>
      <c r="BX3470">
        <v>18</v>
      </c>
      <c r="BY3470">
        <v>0</v>
      </c>
      <c r="BZ3470">
        <v>0</v>
      </c>
    </row>
    <row r="3471" spans="1:99" x14ac:dyDescent="0.2">
      <c r="A3471" t="s">
        <v>367</v>
      </c>
      <c r="B3471" t="s">
        <v>368</v>
      </c>
      <c r="C3471" t="s">
        <v>369</v>
      </c>
      <c r="D3471" t="s">
        <v>1184</v>
      </c>
      <c r="F3471" t="str">
        <f>"63328"</f>
        <v>63328</v>
      </c>
      <c r="G3471" t="s">
        <v>49</v>
      </c>
      <c r="H3471" t="s">
        <v>1542</v>
      </c>
      <c r="K3471" t="s">
        <v>51</v>
      </c>
      <c r="L3471" t="s">
        <v>52</v>
      </c>
      <c r="M3471">
        <v>137963.87</v>
      </c>
      <c r="N3471">
        <v>468212.75</v>
      </c>
      <c r="O3471" t="s">
        <v>53</v>
      </c>
      <c r="P3471" t="s">
        <v>54</v>
      </c>
      <c r="Q3471" t="s">
        <v>55</v>
      </c>
      <c r="T3471" t="s">
        <v>841</v>
      </c>
      <c r="U3471">
        <v>40</v>
      </c>
      <c r="V3471" s="1">
        <v>32982</v>
      </c>
      <c r="W3471" s="1">
        <v>32982</v>
      </c>
      <c r="X3471" s="1">
        <v>32982</v>
      </c>
      <c r="Y3471" s="1">
        <v>47592</v>
      </c>
      <c r="Z3471" t="s">
        <v>51</v>
      </c>
      <c r="AB3471" t="s">
        <v>54</v>
      </c>
      <c r="AC3471">
        <v>1</v>
      </c>
      <c r="AE3471" t="s">
        <v>1212</v>
      </c>
      <c r="AF3471">
        <v>20</v>
      </c>
      <c r="AG3471" s="1">
        <v>32982</v>
      </c>
      <c r="AH3471" s="1">
        <v>32982</v>
      </c>
      <c r="AI3471" s="1">
        <v>32982</v>
      </c>
      <c r="AJ3471" s="1">
        <v>40287</v>
      </c>
      <c r="AK3471" t="s">
        <v>51</v>
      </c>
      <c r="AN3471">
        <v>0</v>
      </c>
      <c r="AO3471" t="s">
        <v>54</v>
      </c>
      <c r="AP3471" t="s">
        <v>53</v>
      </c>
      <c r="AQ3471">
        <v>0</v>
      </c>
      <c r="AR3471" t="s">
        <v>53</v>
      </c>
      <c r="AS3471">
        <v>0</v>
      </c>
      <c r="AT3471">
        <v>0</v>
      </c>
      <c r="CC3471" t="s">
        <v>850</v>
      </c>
      <c r="CD3471">
        <v>1</v>
      </c>
      <c r="CE3471" s="1">
        <v>42552</v>
      </c>
      <c r="CF3471" s="1">
        <v>42552</v>
      </c>
      <c r="CG3471" s="1">
        <v>42552</v>
      </c>
      <c r="CH3471" s="1">
        <v>49714</v>
      </c>
      <c r="CI3471" t="s">
        <v>51</v>
      </c>
      <c r="CK3471" t="s">
        <v>78</v>
      </c>
      <c r="CM3471" t="s">
        <v>54</v>
      </c>
      <c r="CN3471" t="s">
        <v>174</v>
      </c>
      <c r="CO3471" t="s">
        <v>86</v>
      </c>
      <c r="CR3471">
        <v>18</v>
      </c>
      <c r="CS3471">
        <v>0</v>
      </c>
      <c r="CT3471">
        <v>0</v>
      </c>
      <c r="CU3471">
        <v>0</v>
      </c>
    </row>
    <row r="3472" spans="1:99" x14ac:dyDescent="0.2">
      <c r="A3472" t="s">
        <v>367</v>
      </c>
      <c r="B3472" t="s">
        <v>368</v>
      </c>
      <c r="C3472" t="s">
        <v>369</v>
      </c>
      <c r="D3472" t="s">
        <v>1528</v>
      </c>
      <c r="F3472" t="str">
        <f>"63329"</f>
        <v>63329</v>
      </c>
      <c r="G3472" t="s">
        <v>49</v>
      </c>
      <c r="H3472" t="s">
        <v>1321</v>
      </c>
      <c r="K3472" t="s">
        <v>51</v>
      </c>
      <c r="L3472" t="s">
        <v>52</v>
      </c>
      <c r="M3472">
        <v>137888.78</v>
      </c>
      <c r="N3472">
        <v>468226.35</v>
      </c>
      <c r="O3472" t="s">
        <v>53</v>
      </c>
      <c r="P3472" t="s">
        <v>54</v>
      </c>
      <c r="Q3472" t="s">
        <v>55</v>
      </c>
      <c r="T3472" t="s">
        <v>841</v>
      </c>
      <c r="U3472">
        <v>40</v>
      </c>
      <c r="V3472" s="1">
        <v>32983</v>
      </c>
      <c r="W3472" s="1">
        <v>32983</v>
      </c>
      <c r="X3472" s="1">
        <v>32983</v>
      </c>
      <c r="Y3472" s="1">
        <v>47593</v>
      </c>
      <c r="Z3472" t="s">
        <v>51</v>
      </c>
      <c r="AB3472" t="s">
        <v>54</v>
      </c>
      <c r="AC3472">
        <v>1</v>
      </c>
      <c r="AE3472" t="s">
        <v>1212</v>
      </c>
      <c r="AF3472">
        <v>20</v>
      </c>
      <c r="AG3472" s="1">
        <v>32983</v>
      </c>
      <c r="AH3472" s="1">
        <v>32983</v>
      </c>
      <c r="AI3472" s="1">
        <v>32983</v>
      </c>
      <c r="AJ3472" s="1">
        <v>40288</v>
      </c>
      <c r="AK3472" t="s">
        <v>51</v>
      </c>
      <c r="AN3472">
        <v>0</v>
      </c>
      <c r="AO3472" t="s">
        <v>54</v>
      </c>
      <c r="AP3472" t="s">
        <v>53</v>
      </c>
      <c r="AQ3472">
        <v>0</v>
      </c>
      <c r="AR3472" t="s">
        <v>53</v>
      </c>
      <c r="AS3472">
        <v>0</v>
      </c>
      <c r="AT3472">
        <v>0</v>
      </c>
      <c r="CC3472" t="s">
        <v>850</v>
      </c>
      <c r="CD3472">
        <v>1</v>
      </c>
      <c r="CE3472" s="1">
        <v>42552</v>
      </c>
      <c r="CF3472" s="1">
        <v>42552</v>
      </c>
      <c r="CG3472" s="1">
        <v>42552</v>
      </c>
      <c r="CH3472" s="1">
        <v>49714</v>
      </c>
      <c r="CI3472" t="s">
        <v>51</v>
      </c>
      <c r="CK3472" t="s">
        <v>78</v>
      </c>
      <c r="CM3472" t="s">
        <v>54</v>
      </c>
      <c r="CN3472" t="s">
        <v>174</v>
      </c>
      <c r="CO3472" t="s">
        <v>86</v>
      </c>
      <c r="CR3472">
        <v>18</v>
      </c>
      <c r="CS3472">
        <v>0</v>
      </c>
      <c r="CT3472">
        <v>0</v>
      </c>
      <c r="CU3472">
        <v>0</v>
      </c>
    </row>
    <row r="3473" spans="1:99" x14ac:dyDescent="0.2">
      <c r="A3473" t="s">
        <v>367</v>
      </c>
      <c r="B3473" t="s">
        <v>368</v>
      </c>
      <c r="C3473" t="s">
        <v>369</v>
      </c>
      <c r="D3473" t="s">
        <v>1528</v>
      </c>
      <c r="F3473" t="str">
        <f>"63330"</f>
        <v>63330</v>
      </c>
      <c r="G3473" t="s">
        <v>49</v>
      </c>
      <c r="H3473" t="s">
        <v>1376</v>
      </c>
      <c r="K3473" t="s">
        <v>51</v>
      </c>
      <c r="L3473" t="s">
        <v>52</v>
      </c>
      <c r="M3473">
        <v>137882.35999999999</v>
      </c>
      <c r="N3473">
        <v>468255.76</v>
      </c>
      <c r="O3473" t="s">
        <v>53</v>
      </c>
      <c r="P3473" t="s">
        <v>54</v>
      </c>
      <c r="Q3473" t="s">
        <v>55</v>
      </c>
      <c r="T3473" t="s">
        <v>841</v>
      </c>
      <c r="U3473">
        <v>40</v>
      </c>
      <c r="V3473" s="1">
        <v>32983</v>
      </c>
      <c r="W3473" s="1">
        <v>32983</v>
      </c>
      <c r="X3473" s="1">
        <v>32983</v>
      </c>
      <c r="Y3473" s="1">
        <v>47593</v>
      </c>
      <c r="Z3473" t="s">
        <v>51</v>
      </c>
      <c r="AB3473" t="s">
        <v>54</v>
      </c>
      <c r="AC3473">
        <v>1</v>
      </c>
      <c r="AE3473" t="s">
        <v>1212</v>
      </c>
      <c r="AF3473">
        <v>20</v>
      </c>
      <c r="AG3473" s="1">
        <v>32983</v>
      </c>
      <c r="AH3473" s="1">
        <v>32983</v>
      </c>
      <c r="AI3473" s="1">
        <v>32983</v>
      </c>
      <c r="AJ3473" s="1">
        <v>40288</v>
      </c>
      <c r="AK3473" t="s">
        <v>51</v>
      </c>
      <c r="AN3473">
        <v>0</v>
      </c>
      <c r="AO3473" t="s">
        <v>54</v>
      </c>
      <c r="AP3473" t="s">
        <v>53</v>
      </c>
      <c r="AQ3473">
        <v>0</v>
      </c>
      <c r="AR3473" t="s">
        <v>53</v>
      </c>
      <c r="AS3473">
        <v>0</v>
      </c>
      <c r="AT3473">
        <v>0</v>
      </c>
      <c r="CC3473" t="s">
        <v>850</v>
      </c>
      <c r="CD3473">
        <v>1</v>
      </c>
      <c r="CE3473" s="1">
        <v>42552</v>
      </c>
      <c r="CF3473" s="1">
        <v>42552</v>
      </c>
      <c r="CG3473" s="1">
        <v>42552</v>
      </c>
      <c r="CH3473" s="1">
        <v>49714</v>
      </c>
      <c r="CI3473" t="s">
        <v>51</v>
      </c>
      <c r="CK3473" t="s">
        <v>78</v>
      </c>
      <c r="CM3473" t="s">
        <v>54</v>
      </c>
      <c r="CN3473" t="s">
        <v>174</v>
      </c>
      <c r="CO3473" t="s">
        <v>86</v>
      </c>
      <c r="CR3473">
        <v>18</v>
      </c>
      <c r="CS3473">
        <v>0</v>
      </c>
      <c r="CT3473">
        <v>0</v>
      </c>
      <c r="CU3473">
        <v>0</v>
      </c>
    </row>
    <row r="3474" spans="1:99" x14ac:dyDescent="0.2">
      <c r="A3474" t="s">
        <v>367</v>
      </c>
      <c r="B3474" t="s">
        <v>368</v>
      </c>
      <c r="C3474" t="s">
        <v>369</v>
      </c>
      <c r="D3474" t="s">
        <v>1528</v>
      </c>
      <c r="F3474" t="str">
        <f>"63331"</f>
        <v>63331</v>
      </c>
      <c r="G3474" t="s">
        <v>49</v>
      </c>
      <c r="H3474" t="s">
        <v>1543</v>
      </c>
      <c r="K3474" t="s">
        <v>51</v>
      </c>
      <c r="L3474" t="s">
        <v>52</v>
      </c>
      <c r="M3474">
        <v>137940.81</v>
      </c>
      <c r="N3474">
        <v>468209.76</v>
      </c>
      <c r="O3474" t="s">
        <v>53</v>
      </c>
      <c r="P3474" t="s">
        <v>54</v>
      </c>
      <c r="Q3474" t="s">
        <v>55</v>
      </c>
      <c r="T3474" t="s">
        <v>818</v>
      </c>
      <c r="U3474">
        <v>40</v>
      </c>
      <c r="V3474" s="1">
        <v>33058</v>
      </c>
      <c r="W3474" s="1">
        <v>33058</v>
      </c>
      <c r="X3474" s="1">
        <v>33058</v>
      </c>
      <c r="Y3474" s="1">
        <v>47668</v>
      </c>
      <c r="Z3474" t="s">
        <v>51</v>
      </c>
      <c r="AB3474" t="s">
        <v>54</v>
      </c>
      <c r="AC3474">
        <v>1</v>
      </c>
      <c r="AE3474" t="s">
        <v>827</v>
      </c>
      <c r="AF3474">
        <v>20</v>
      </c>
      <c r="AG3474" s="1">
        <v>33058</v>
      </c>
      <c r="AH3474" s="1">
        <v>33058</v>
      </c>
      <c r="AI3474" s="1">
        <v>33058</v>
      </c>
      <c r="AJ3474" s="1">
        <v>40363</v>
      </c>
      <c r="AK3474" t="s">
        <v>51</v>
      </c>
      <c r="AN3474">
        <v>0</v>
      </c>
      <c r="AO3474" t="s">
        <v>54</v>
      </c>
      <c r="AP3474" t="s">
        <v>53</v>
      </c>
      <c r="AQ3474">
        <v>0</v>
      </c>
      <c r="AR3474" t="s">
        <v>53</v>
      </c>
      <c r="AS3474">
        <v>0</v>
      </c>
      <c r="AT3474">
        <v>0</v>
      </c>
      <c r="CC3474" t="s">
        <v>850</v>
      </c>
      <c r="CD3474">
        <v>1</v>
      </c>
      <c r="CE3474" s="1">
        <v>42552</v>
      </c>
      <c r="CF3474" s="1">
        <v>42552</v>
      </c>
      <c r="CG3474" s="1">
        <v>42552</v>
      </c>
      <c r="CH3474" s="1">
        <v>49714</v>
      </c>
      <c r="CI3474" t="s">
        <v>51</v>
      </c>
      <c r="CK3474" t="s">
        <v>78</v>
      </c>
      <c r="CM3474" t="s">
        <v>54</v>
      </c>
      <c r="CN3474" t="s">
        <v>174</v>
      </c>
      <c r="CO3474" t="s">
        <v>86</v>
      </c>
      <c r="CR3474">
        <v>18</v>
      </c>
      <c r="CS3474">
        <v>0</v>
      </c>
      <c r="CT3474">
        <v>0</v>
      </c>
      <c r="CU3474">
        <v>0</v>
      </c>
    </row>
    <row r="3475" spans="1:99" x14ac:dyDescent="0.2">
      <c r="A3475" t="s">
        <v>367</v>
      </c>
      <c r="B3475" t="s">
        <v>368</v>
      </c>
      <c r="C3475" t="s">
        <v>369</v>
      </c>
      <c r="D3475" t="s">
        <v>1528</v>
      </c>
      <c r="F3475" t="str">
        <f>"63332"</f>
        <v>63332</v>
      </c>
      <c r="G3475" t="s">
        <v>49</v>
      </c>
      <c r="H3475" t="s">
        <v>1543</v>
      </c>
      <c r="K3475" t="s">
        <v>51</v>
      </c>
      <c r="L3475" t="s">
        <v>52</v>
      </c>
      <c r="M3475">
        <v>137922.68</v>
      </c>
      <c r="N3475">
        <v>468209.46</v>
      </c>
      <c r="O3475" t="s">
        <v>53</v>
      </c>
      <c r="P3475" t="s">
        <v>54</v>
      </c>
      <c r="Q3475" t="s">
        <v>55</v>
      </c>
      <c r="T3475" t="s">
        <v>818</v>
      </c>
      <c r="U3475">
        <v>40</v>
      </c>
      <c r="V3475" s="1">
        <v>33058</v>
      </c>
      <c r="W3475" s="1">
        <v>33058</v>
      </c>
      <c r="X3475" s="1">
        <v>33058</v>
      </c>
      <c r="Y3475" s="1">
        <v>47668</v>
      </c>
      <c r="Z3475" t="s">
        <v>51</v>
      </c>
      <c r="AB3475" t="s">
        <v>54</v>
      </c>
      <c r="AC3475">
        <v>1</v>
      </c>
      <c r="AE3475" t="s">
        <v>827</v>
      </c>
      <c r="AF3475">
        <v>20</v>
      </c>
      <c r="AG3475" s="1">
        <v>33058</v>
      </c>
      <c r="AH3475" s="1">
        <v>33058</v>
      </c>
      <c r="AI3475" s="1">
        <v>33058</v>
      </c>
      <c r="AJ3475" s="1">
        <v>40363</v>
      </c>
      <c r="AK3475" t="s">
        <v>51</v>
      </c>
      <c r="AN3475">
        <v>0</v>
      </c>
      <c r="AO3475" t="s">
        <v>54</v>
      </c>
      <c r="AP3475" t="s">
        <v>53</v>
      </c>
      <c r="AQ3475">
        <v>0</v>
      </c>
      <c r="AR3475" t="s">
        <v>53</v>
      </c>
      <c r="AS3475">
        <v>0</v>
      </c>
      <c r="AT3475">
        <v>0</v>
      </c>
      <c r="CC3475" t="s">
        <v>850</v>
      </c>
      <c r="CD3475">
        <v>1</v>
      </c>
      <c r="CE3475" s="1">
        <v>42552</v>
      </c>
      <c r="CF3475" s="1">
        <v>42552</v>
      </c>
      <c r="CG3475" s="1">
        <v>42552</v>
      </c>
      <c r="CH3475" s="1">
        <v>49714</v>
      </c>
      <c r="CI3475" t="s">
        <v>51</v>
      </c>
      <c r="CK3475" t="s">
        <v>78</v>
      </c>
      <c r="CM3475" t="s">
        <v>54</v>
      </c>
      <c r="CN3475" t="s">
        <v>174</v>
      </c>
      <c r="CO3475" t="s">
        <v>86</v>
      </c>
      <c r="CR3475">
        <v>18</v>
      </c>
      <c r="CS3475">
        <v>0</v>
      </c>
      <c r="CT3475">
        <v>0</v>
      </c>
      <c r="CU3475">
        <v>0</v>
      </c>
    </row>
    <row r="3476" spans="1:99" x14ac:dyDescent="0.2">
      <c r="A3476" t="s">
        <v>367</v>
      </c>
      <c r="B3476" t="s">
        <v>368</v>
      </c>
      <c r="C3476" t="s">
        <v>369</v>
      </c>
      <c r="D3476" t="s">
        <v>1528</v>
      </c>
      <c r="F3476" t="str">
        <f>"63333"</f>
        <v>63333</v>
      </c>
      <c r="G3476" t="s">
        <v>49</v>
      </c>
      <c r="H3476" t="s">
        <v>1543</v>
      </c>
      <c r="K3476" t="s">
        <v>51</v>
      </c>
      <c r="L3476" t="s">
        <v>52</v>
      </c>
      <c r="M3476">
        <v>137903.72</v>
      </c>
      <c r="N3476">
        <v>468209.2</v>
      </c>
      <c r="O3476" t="s">
        <v>53</v>
      </c>
      <c r="P3476" t="s">
        <v>54</v>
      </c>
      <c r="Q3476" t="s">
        <v>55</v>
      </c>
      <c r="T3476" t="s">
        <v>818</v>
      </c>
      <c r="U3476">
        <v>40</v>
      </c>
      <c r="V3476" s="1">
        <v>33058</v>
      </c>
      <c r="W3476" s="1">
        <v>33058</v>
      </c>
      <c r="X3476" s="1">
        <v>33058</v>
      </c>
      <c r="Y3476" s="1">
        <v>47668</v>
      </c>
      <c r="Z3476" t="s">
        <v>51</v>
      </c>
      <c r="AB3476" t="s">
        <v>54</v>
      </c>
      <c r="AC3476">
        <v>1</v>
      </c>
      <c r="AE3476" t="s">
        <v>827</v>
      </c>
      <c r="AF3476">
        <v>20</v>
      </c>
      <c r="AG3476" s="1">
        <v>33058</v>
      </c>
      <c r="AH3476" s="1">
        <v>33058</v>
      </c>
      <c r="AI3476" s="1">
        <v>33058</v>
      </c>
      <c r="AJ3476" s="1">
        <v>40363</v>
      </c>
      <c r="AK3476" t="s">
        <v>51</v>
      </c>
      <c r="AN3476">
        <v>0</v>
      </c>
      <c r="AO3476" t="s">
        <v>54</v>
      </c>
      <c r="AP3476" t="s">
        <v>53</v>
      </c>
      <c r="AQ3476">
        <v>0</v>
      </c>
      <c r="AR3476" t="s">
        <v>53</v>
      </c>
      <c r="AS3476">
        <v>0</v>
      </c>
      <c r="AT3476">
        <v>0</v>
      </c>
      <c r="CC3476" t="s">
        <v>850</v>
      </c>
      <c r="CD3476">
        <v>1</v>
      </c>
      <c r="CE3476" s="1">
        <v>42552</v>
      </c>
      <c r="CF3476" s="1">
        <v>42552</v>
      </c>
      <c r="CG3476" s="1">
        <v>42552</v>
      </c>
      <c r="CH3476" s="1">
        <v>49714</v>
      </c>
      <c r="CI3476" t="s">
        <v>51</v>
      </c>
      <c r="CK3476" t="s">
        <v>78</v>
      </c>
      <c r="CM3476" t="s">
        <v>54</v>
      </c>
      <c r="CN3476" t="s">
        <v>174</v>
      </c>
      <c r="CO3476" t="s">
        <v>86</v>
      </c>
      <c r="CR3476">
        <v>18</v>
      </c>
      <c r="CS3476">
        <v>0</v>
      </c>
      <c r="CT3476">
        <v>0</v>
      </c>
      <c r="CU3476">
        <v>0</v>
      </c>
    </row>
    <row r="3477" spans="1:99" x14ac:dyDescent="0.2">
      <c r="A3477" t="s">
        <v>367</v>
      </c>
      <c r="B3477" t="s">
        <v>368</v>
      </c>
      <c r="C3477" t="s">
        <v>369</v>
      </c>
      <c r="D3477" t="s">
        <v>1528</v>
      </c>
      <c r="F3477" t="str">
        <f>"63334"</f>
        <v>63334</v>
      </c>
      <c r="G3477" t="s">
        <v>49</v>
      </c>
      <c r="H3477" t="s">
        <v>1544</v>
      </c>
      <c r="K3477" t="s">
        <v>51</v>
      </c>
      <c r="L3477" t="s">
        <v>52</v>
      </c>
      <c r="M3477">
        <v>137868.4</v>
      </c>
      <c r="N3477">
        <v>468207.9</v>
      </c>
      <c r="O3477" t="s">
        <v>53</v>
      </c>
      <c r="P3477" t="s">
        <v>54</v>
      </c>
      <c r="Q3477" t="s">
        <v>55</v>
      </c>
      <c r="T3477" t="s">
        <v>818</v>
      </c>
      <c r="U3477">
        <v>40</v>
      </c>
      <c r="V3477" s="1">
        <v>33058</v>
      </c>
      <c r="W3477" s="1">
        <v>33058</v>
      </c>
      <c r="X3477" s="1">
        <v>33058</v>
      </c>
      <c r="Y3477" s="1">
        <v>47668</v>
      </c>
      <c r="Z3477" t="s">
        <v>51</v>
      </c>
      <c r="AB3477" t="s">
        <v>54</v>
      </c>
      <c r="AC3477">
        <v>1</v>
      </c>
      <c r="AE3477" t="s">
        <v>827</v>
      </c>
      <c r="AF3477">
        <v>20</v>
      </c>
      <c r="AG3477" s="1">
        <v>33058</v>
      </c>
      <c r="AH3477" s="1">
        <v>33058</v>
      </c>
      <c r="AI3477" s="1">
        <v>33058</v>
      </c>
      <c r="AJ3477" s="1">
        <v>40363</v>
      </c>
      <c r="AK3477" t="s">
        <v>51</v>
      </c>
      <c r="AN3477">
        <v>0</v>
      </c>
      <c r="AO3477" t="s">
        <v>54</v>
      </c>
      <c r="AP3477" t="s">
        <v>53</v>
      </c>
      <c r="AQ3477">
        <v>0</v>
      </c>
      <c r="AR3477" t="s">
        <v>53</v>
      </c>
      <c r="AS3477">
        <v>0</v>
      </c>
      <c r="AT3477">
        <v>0</v>
      </c>
      <c r="CC3477" t="s">
        <v>850</v>
      </c>
      <c r="CD3477">
        <v>1</v>
      </c>
      <c r="CE3477" s="1">
        <v>42552</v>
      </c>
      <c r="CF3477" s="1">
        <v>42552</v>
      </c>
      <c r="CG3477" s="1">
        <v>42552</v>
      </c>
      <c r="CH3477" s="1">
        <v>49714</v>
      </c>
      <c r="CI3477" t="s">
        <v>51</v>
      </c>
      <c r="CK3477" t="s">
        <v>78</v>
      </c>
      <c r="CM3477" t="s">
        <v>54</v>
      </c>
      <c r="CN3477" t="s">
        <v>174</v>
      </c>
      <c r="CO3477" t="s">
        <v>86</v>
      </c>
      <c r="CR3477">
        <v>18</v>
      </c>
      <c r="CS3477">
        <v>0</v>
      </c>
      <c r="CT3477">
        <v>0</v>
      </c>
      <c r="CU3477">
        <v>0</v>
      </c>
    </row>
    <row r="3478" spans="1:99" x14ac:dyDescent="0.2">
      <c r="A3478" t="s">
        <v>367</v>
      </c>
      <c r="B3478" t="s">
        <v>368</v>
      </c>
      <c r="C3478" t="s">
        <v>369</v>
      </c>
      <c r="D3478" t="s">
        <v>1528</v>
      </c>
      <c r="F3478" t="str">
        <f>"63335"</f>
        <v>63335</v>
      </c>
      <c r="G3478" t="s">
        <v>49</v>
      </c>
      <c r="H3478" t="s">
        <v>1544</v>
      </c>
      <c r="K3478" t="s">
        <v>51</v>
      </c>
      <c r="L3478" t="s">
        <v>52</v>
      </c>
      <c r="M3478">
        <v>137852.89000000001</v>
      </c>
      <c r="N3478">
        <v>468207.45</v>
      </c>
      <c r="O3478" t="s">
        <v>53</v>
      </c>
      <c r="P3478" t="s">
        <v>54</v>
      </c>
      <c r="Q3478" t="s">
        <v>55</v>
      </c>
      <c r="T3478" t="s">
        <v>818</v>
      </c>
      <c r="U3478">
        <v>40</v>
      </c>
      <c r="V3478" s="1">
        <v>33058</v>
      </c>
      <c r="W3478" s="1">
        <v>33058</v>
      </c>
      <c r="X3478" s="1">
        <v>33058</v>
      </c>
      <c r="Y3478" s="1">
        <v>47668</v>
      </c>
      <c r="Z3478" t="s">
        <v>51</v>
      </c>
      <c r="AB3478" t="s">
        <v>54</v>
      </c>
      <c r="AC3478">
        <v>1</v>
      </c>
      <c r="AE3478" t="s">
        <v>827</v>
      </c>
      <c r="AF3478">
        <v>20</v>
      </c>
      <c r="AG3478" s="1">
        <v>33058</v>
      </c>
      <c r="AH3478" s="1">
        <v>33058</v>
      </c>
      <c r="AI3478" s="1">
        <v>33058</v>
      </c>
      <c r="AJ3478" s="1">
        <v>40363</v>
      </c>
      <c r="AK3478" t="s">
        <v>51</v>
      </c>
      <c r="AN3478">
        <v>0</v>
      </c>
      <c r="AO3478" t="s">
        <v>54</v>
      </c>
      <c r="AP3478" t="s">
        <v>53</v>
      </c>
      <c r="AQ3478">
        <v>0</v>
      </c>
      <c r="AR3478" t="s">
        <v>53</v>
      </c>
      <c r="AS3478">
        <v>0</v>
      </c>
      <c r="AT3478">
        <v>0</v>
      </c>
      <c r="CC3478" t="s">
        <v>850</v>
      </c>
      <c r="CD3478">
        <v>1</v>
      </c>
      <c r="CE3478" s="1">
        <v>42552</v>
      </c>
      <c r="CF3478" s="1">
        <v>42552</v>
      </c>
      <c r="CG3478" s="1">
        <v>42552</v>
      </c>
      <c r="CH3478" s="1">
        <v>49714</v>
      </c>
      <c r="CI3478" t="s">
        <v>51</v>
      </c>
      <c r="CK3478" t="s">
        <v>78</v>
      </c>
      <c r="CM3478" t="s">
        <v>54</v>
      </c>
      <c r="CN3478" t="s">
        <v>174</v>
      </c>
      <c r="CO3478" t="s">
        <v>86</v>
      </c>
      <c r="CR3478">
        <v>18</v>
      </c>
      <c r="CS3478">
        <v>0</v>
      </c>
      <c r="CT3478">
        <v>0</v>
      </c>
      <c r="CU3478">
        <v>0</v>
      </c>
    </row>
    <row r="3479" spans="1:99" x14ac:dyDescent="0.2">
      <c r="A3479" t="s">
        <v>367</v>
      </c>
      <c r="B3479" t="s">
        <v>368</v>
      </c>
      <c r="C3479" t="s">
        <v>369</v>
      </c>
      <c r="D3479" t="s">
        <v>1528</v>
      </c>
      <c r="F3479" t="str">
        <f>"63336"</f>
        <v>63336</v>
      </c>
      <c r="G3479" t="s">
        <v>49</v>
      </c>
      <c r="H3479" t="s">
        <v>1544</v>
      </c>
      <c r="K3479" t="s">
        <v>51</v>
      </c>
      <c r="L3479" t="s">
        <v>52</v>
      </c>
      <c r="M3479">
        <v>137837.82</v>
      </c>
      <c r="N3479">
        <v>468206.7</v>
      </c>
      <c r="O3479" t="s">
        <v>53</v>
      </c>
      <c r="P3479" t="s">
        <v>54</v>
      </c>
      <c r="Q3479" t="s">
        <v>55</v>
      </c>
      <c r="T3479" t="s">
        <v>818</v>
      </c>
      <c r="U3479">
        <v>40</v>
      </c>
      <c r="V3479" s="1">
        <v>33058</v>
      </c>
      <c r="W3479" s="1">
        <v>33058</v>
      </c>
      <c r="X3479" s="1">
        <v>33058</v>
      </c>
      <c r="Y3479" s="1">
        <v>47668</v>
      </c>
      <c r="Z3479" t="s">
        <v>51</v>
      </c>
      <c r="AB3479" t="s">
        <v>54</v>
      </c>
      <c r="AC3479">
        <v>1</v>
      </c>
      <c r="AE3479" t="s">
        <v>827</v>
      </c>
      <c r="AF3479">
        <v>20</v>
      </c>
      <c r="AG3479" s="1">
        <v>33058</v>
      </c>
      <c r="AH3479" s="1">
        <v>33058</v>
      </c>
      <c r="AI3479" s="1">
        <v>33058</v>
      </c>
      <c r="AJ3479" s="1">
        <v>40363</v>
      </c>
      <c r="AK3479" t="s">
        <v>51</v>
      </c>
      <c r="AN3479">
        <v>0</v>
      </c>
      <c r="AO3479" t="s">
        <v>54</v>
      </c>
      <c r="AP3479" t="s">
        <v>53</v>
      </c>
      <c r="AQ3479">
        <v>0</v>
      </c>
      <c r="AR3479" t="s">
        <v>53</v>
      </c>
      <c r="AS3479">
        <v>0</v>
      </c>
      <c r="AT3479">
        <v>0</v>
      </c>
      <c r="CC3479" t="s">
        <v>850</v>
      </c>
      <c r="CD3479">
        <v>1</v>
      </c>
      <c r="CE3479" s="1">
        <v>42552</v>
      </c>
      <c r="CF3479" s="1">
        <v>42552</v>
      </c>
      <c r="CG3479" s="1">
        <v>42552</v>
      </c>
      <c r="CH3479" s="1">
        <v>49714</v>
      </c>
      <c r="CI3479" t="s">
        <v>51</v>
      </c>
      <c r="CK3479" t="s">
        <v>78</v>
      </c>
      <c r="CM3479" t="s">
        <v>54</v>
      </c>
      <c r="CN3479" t="s">
        <v>174</v>
      </c>
      <c r="CO3479" t="s">
        <v>86</v>
      </c>
      <c r="CR3479">
        <v>18</v>
      </c>
      <c r="CS3479">
        <v>0</v>
      </c>
      <c r="CT3479">
        <v>0</v>
      </c>
      <c r="CU3479">
        <v>0</v>
      </c>
    </row>
    <row r="3480" spans="1:99" x14ac:dyDescent="0.2">
      <c r="A3480" t="s">
        <v>367</v>
      </c>
      <c r="B3480" t="s">
        <v>368</v>
      </c>
      <c r="C3480" t="s">
        <v>369</v>
      </c>
      <c r="D3480" t="s">
        <v>1224</v>
      </c>
      <c r="F3480" t="str">
        <f>"63337"</f>
        <v>63337</v>
      </c>
      <c r="G3480" t="s">
        <v>49</v>
      </c>
      <c r="H3480" t="s">
        <v>1545</v>
      </c>
      <c r="K3480" t="s">
        <v>51</v>
      </c>
      <c r="L3480" t="s">
        <v>52</v>
      </c>
      <c r="M3480">
        <v>137799.1</v>
      </c>
      <c r="N3480">
        <v>468204.01</v>
      </c>
      <c r="O3480" t="s">
        <v>53</v>
      </c>
      <c r="P3480" t="s">
        <v>54</v>
      </c>
      <c r="Q3480" t="s">
        <v>55</v>
      </c>
      <c r="T3480" t="s">
        <v>818</v>
      </c>
      <c r="U3480">
        <v>40</v>
      </c>
      <c r="V3480" s="1">
        <v>33059</v>
      </c>
      <c r="W3480" s="1">
        <v>33059</v>
      </c>
      <c r="X3480" s="1">
        <v>33059</v>
      </c>
      <c r="Y3480" s="1">
        <v>47669</v>
      </c>
      <c r="Z3480" t="s">
        <v>51</v>
      </c>
      <c r="AB3480" t="s">
        <v>54</v>
      </c>
      <c r="AC3480">
        <v>1</v>
      </c>
      <c r="AE3480" t="s">
        <v>827</v>
      </c>
      <c r="AF3480">
        <v>20</v>
      </c>
      <c r="AG3480" s="1">
        <v>33059</v>
      </c>
      <c r="AH3480" s="1">
        <v>33059</v>
      </c>
      <c r="AI3480" s="1">
        <v>33059</v>
      </c>
      <c r="AJ3480" s="1">
        <v>40364</v>
      </c>
      <c r="AK3480" t="s">
        <v>51</v>
      </c>
      <c r="AN3480">
        <v>0</v>
      </c>
      <c r="AO3480" t="s">
        <v>54</v>
      </c>
      <c r="AP3480" t="s">
        <v>53</v>
      </c>
      <c r="AQ3480">
        <v>0</v>
      </c>
      <c r="AR3480" t="s">
        <v>53</v>
      </c>
      <c r="AS3480">
        <v>0</v>
      </c>
      <c r="AT3480">
        <v>0</v>
      </c>
      <c r="CC3480" t="s">
        <v>850</v>
      </c>
      <c r="CD3480">
        <v>1</v>
      </c>
      <c r="CE3480" s="1">
        <v>42552</v>
      </c>
      <c r="CF3480" s="1">
        <v>42552</v>
      </c>
      <c r="CG3480" s="1">
        <v>42552</v>
      </c>
      <c r="CH3480" s="1">
        <v>49714</v>
      </c>
      <c r="CI3480" t="s">
        <v>51</v>
      </c>
      <c r="CK3480" t="s">
        <v>78</v>
      </c>
      <c r="CM3480" t="s">
        <v>54</v>
      </c>
      <c r="CN3480" t="s">
        <v>174</v>
      </c>
      <c r="CO3480" t="s">
        <v>86</v>
      </c>
      <c r="CR3480">
        <v>18</v>
      </c>
      <c r="CS3480">
        <v>0</v>
      </c>
      <c r="CT3480">
        <v>0</v>
      </c>
      <c r="CU3480">
        <v>0</v>
      </c>
    </row>
    <row r="3481" spans="1:99" x14ac:dyDescent="0.2">
      <c r="A3481" t="s">
        <v>367</v>
      </c>
      <c r="B3481" t="s">
        <v>368</v>
      </c>
      <c r="C3481" t="s">
        <v>369</v>
      </c>
      <c r="D3481" t="s">
        <v>1224</v>
      </c>
      <c r="F3481" t="str">
        <f>"63338"</f>
        <v>63338</v>
      </c>
      <c r="G3481" t="s">
        <v>49</v>
      </c>
      <c r="H3481" t="s">
        <v>1545</v>
      </c>
      <c r="K3481" t="s">
        <v>51</v>
      </c>
      <c r="L3481" t="s">
        <v>52</v>
      </c>
      <c r="M3481">
        <v>137783.56</v>
      </c>
      <c r="N3481">
        <v>468202.89</v>
      </c>
      <c r="O3481" t="s">
        <v>53</v>
      </c>
      <c r="P3481" t="s">
        <v>54</v>
      </c>
      <c r="Q3481" t="s">
        <v>55</v>
      </c>
      <c r="T3481" t="s">
        <v>818</v>
      </c>
      <c r="U3481">
        <v>40</v>
      </c>
      <c r="V3481" s="1">
        <v>33059</v>
      </c>
      <c r="W3481" s="1">
        <v>33059</v>
      </c>
      <c r="X3481" s="1">
        <v>33059</v>
      </c>
      <c r="Y3481" s="1">
        <v>47669</v>
      </c>
      <c r="Z3481" t="s">
        <v>51</v>
      </c>
      <c r="AB3481" t="s">
        <v>54</v>
      </c>
      <c r="AC3481">
        <v>1</v>
      </c>
      <c r="AE3481" t="s">
        <v>827</v>
      </c>
      <c r="AF3481">
        <v>20</v>
      </c>
      <c r="AG3481" s="1">
        <v>33059</v>
      </c>
      <c r="AH3481" s="1">
        <v>33059</v>
      </c>
      <c r="AI3481" s="1">
        <v>33059</v>
      </c>
      <c r="AJ3481" s="1">
        <v>40364</v>
      </c>
      <c r="AK3481" t="s">
        <v>51</v>
      </c>
      <c r="AN3481">
        <v>0</v>
      </c>
      <c r="AO3481" t="s">
        <v>54</v>
      </c>
      <c r="AP3481" t="s">
        <v>53</v>
      </c>
      <c r="AQ3481">
        <v>0</v>
      </c>
      <c r="AR3481" t="s">
        <v>53</v>
      </c>
      <c r="AS3481">
        <v>0</v>
      </c>
      <c r="AT3481">
        <v>0</v>
      </c>
      <c r="CC3481" t="s">
        <v>850</v>
      </c>
      <c r="CD3481">
        <v>1</v>
      </c>
      <c r="CE3481" s="1">
        <v>42552</v>
      </c>
      <c r="CF3481" s="1">
        <v>42552</v>
      </c>
      <c r="CG3481" s="1">
        <v>42552</v>
      </c>
      <c r="CH3481" s="1">
        <v>49714</v>
      </c>
      <c r="CI3481" t="s">
        <v>51</v>
      </c>
      <c r="CK3481" t="s">
        <v>78</v>
      </c>
      <c r="CM3481" t="s">
        <v>54</v>
      </c>
      <c r="CN3481" t="s">
        <v>174</v>
      </c>
      <c r="CO3481" t="s">
        <v>86</v>
      </c>
      <c r="CR3481">
        <v>18</v>
      </c>
      <c r="CS3481">
        <v>0</v>
      </c>
      <c r="CT3481">
        <v>0</v>
      </c>
      <c r="CU3481">
        <v>0</v>
      </c>
    </row>
    <row r="3482" spans="1:99" x14ac:dyDescent="0.2">
      <c r="A3482" t="s">
        <v>367</v>
      </c>
      <c r="B3482" t="s">
        <v>368</v>
      </c>
      <c r="C3482" t="s">
        <v>369</v>
      </c>
      <c r="D3482" t="s">
        <v>1224</v>
      </c>
      <c r="F3482" t="str">
        <f>"63339"</f>
        <v>63339</v>
      </c>
      <c r="G3482" t="s">
        <v>49</v>
      </c>
      <c r="H3482" t="s">
        <v>1545</v>
      </c>
      <c r="K3482" t="s">
        <v>51</v>
      </c>
      <c r="L3482" t="s">
        <v>52</v>
      </c>
      <c r="M3482">
        <v>137769.28</v>
      </c>
      <c r="N3482">
        <v>468201.91</v>
      </c>
      <c r="O3482" t="s">
        <v>53</v>
      </c>
      <c r="P3482" t="s">
        <v>54</v>
      </c>
      <c r="Q3482" t="s">
        <v>55</v>
      </c>
      <c r="T3482" t="s">
        <v>818</v>
      </c>
      <c r="U3482">
        <v>40</v>
      </c>
      <c r="V3482" s="1">
        <v>33059</v>
      </c>
      <c r="W3482" s="1">
        <v>33059</v>
      </c>
      <c r="X3482" s="1">
        <v>33059</v>
      </c>
      <c r="Y3482" s="1">
        <v>47669</v>
      </c>
      <c r="Z3482" t="s">
        <v>51</v>
      </c>
      <c r="AB3482" t="s">
        <v>54</v>
      </c>
      <c r="AC3482">
        <v>1</v>
      </c>
      <c r="AE3482" t="s">
        <v>827</v>
      </c>
      <c r="AF3482">
        <v>20</v>
      </c>
      <c r="AG3482" s="1">
        <v>33059</v>
      </c>
      <c r="AH3482" s="1">
        <v>33059</v>
      </c>
      <c r="AI3482" s="1">
        <v>33059</v>
      </c>
      <c r="AJ3482" s="1">
        <v>40364</v>
      </c>
      <c r="AK3482" t="s">
        <v>51</v>
      </c>
      <c r="AN3482">
        <v>0</v>
      </c>
      <c r="AO3482" t="s">
        <v>54</v>
      </c>
      <c r="AP3482" t="s">
        <v>53</v>
      </c>
      <c r="AQ3482">
        <v>0</v>
      </c>
      <c r="AR3482" t="s">
        <v>53</v>
      </c>
      <c r="AS3482">
        <v>0</v>
      </c>
      <c r="AT3482">
        <v>0</v>
      </c>
      <c r="CC3482" t="s">
        <v>850</v>
      </c>
      <c r="CD3482">
        <v>1</v>
      </c>
      <c r="CE3482" s="1">
        <v>42552</v>
      </c>
      <c r="CF3482" s="1">
        <v>42552</v>
      </c>
      <c r="CG3482" s="1">
        <v>42552</v>
      </c>
      <c r="CH3482" s="1">
        <v>42552</v>
      </c>
      <c r="CI3482" t="s">
        <v>51</v>
      </c>
      <c r="CK3482" t="s">
        <v>78</v>
      </c>
      <c r="CM3482" t="s">
        <v>54</v>
      </c>
      <c r="CN3482" t="s">
        <v>174</v>
      </c>
      <c r="CO3482" t="s">
        <v>86</v>
      </c>
      <c r="CR3482">
        <v>18</v>
      </c>
      <c r="CS3482">
        <v>0</v>
      </c>
      <c r="CT3482">
        <v>0</v>
      </c>
      <c r="CU3482">
        <v>0</v>
      </c>
    </row>
    <row r="3483" spans="1:99" x14ac:dyDescent="0.2">
      <c r="A3483" t="s">
        <v>367</v>
      </c>
      <c r="B3483" t="s">
        <v>368</v>
      </c>
      <c r="C3483" t="s">
        <v>369</v>
      </c>
      <c r="D3483" t="s">
        <v>1528</v>
      </c>
      <c r="F3483" t="str">
        <f>"72150"</f>
        <v>72150</v>
      </c>
      <c r="G3483" t="s">
        <v>49</v>
      </c>
      <c r="H3483" t="s">
        <v>1358</v>
      </c>
      <c r="K3483" t="s">
        <v>51</v>
      </c>
      <c r="L3483" t="s">
        <v>52</v>
      </c>
      <c r="M3483">
        <v>137881.37</v>
      </c>
      <c r="N3483">
        <v>468211.95</v>
      </c>
      <c r="O3483" t="s">
        <v>53</v>
      </c>
      <c r="P3483" t="s">
        <v>54</v>
      </c>
      <c r="Q3483" t="s">
        <v>55</v>
      </c>
      <c r="T3483" t="s">
        <v>841</v>
      </c>
      <c r="U3483">
        <v>40</v>
      </c>
      <c r="V3483" s="1">
        <v>33058</v>
      </c>
      <c r="W3483" s="1">
        <v>33058</v>
      </c>
      <c r="X3483" s="1">
        <v>33058</v>
      </c>
      <c r="Y3483" s="1">
        <v>47668</v>
      </c>
      <c r="Z3483" t="s">
        <v>51</v>
      </c>
      <c r="AB3483" t="s">
        <v>54</v>
      </c>
      <c r="AC3483">
        <v>1</v>
      </c>
      <c r="AE3483" t="s">
        <v>1212</v>
      </c>
      <c r="AF3483">
        <v>20</v>
      </c>
      <c r="AG3483" s="1">
        <v>33058</v>
      </c>
      <c r="AH3483" s="1">
        <v>33058</v>
      </c>
      <c r="AI3483" s="1">
        <v>33058</v>
      </c>
      <c r="AJ3483" s="1">
        <v>40363</v>
      </c>
      <c r="AK3483" t="s">
        <v>51</v>
      </c>
      <c r="AN3483">
        <v>0</v>
      </c>
      <c r="AO3483" t="s">
        <v>54</v>
      </c>
      <c r="AP3483" t="s">
        <v>53</v>
      </c>
      <c r="AQ3483">
        <v>0</v>
      </c>
      <c r="AR3483" t="s">
        <v>53</v>
      </c>
      <c r="AS3483">
        <v>0</v>
      </c>
      <c r="AT3483">
        <v>0</v>
      </c>
      <c r="CC3483" t="s">
        <v>850</v>
      </c>
      <c r="CD3483">
        <v>1</v>
      </c>
      <c r="CE3483" s="1">
        <v>42552</v>
      </c>
      <c r="CF3483" s="1">
        <v>42552</v>
      </c>
      <c r="CG3483" s="1">
        <v>42552</v>
      </c>
      <c r="CH3483" s="1">
        <v>42552</v>
      </c>
      <c r="CI3483" t="s">
        <v>51</v>
      </c>
      <c r="CK3483" t="s">
        <v>78</v>
      </c>
      <c r="CM3483" t="s">
        <v>54</v>
      </c>
      <c r="CN3483" t="s">
        <v>174</v>
      </c>
      <c r="CO3483" t="s">
        <v>86</v>
      </c>
      <c r="CR3483">
        <v>18</v>
      </c>
      <c r="CS3483">
        <v>0</v>
      </c>
      <c r="CT3483">
        <v>0</v>
      </c>
      <c r="CU3483">
        <v>0</v>
      </c>
    </row>
    <row r="3484" spans="1:99" x14ac:dyDescent="0.2">
      <c r="A3484" t="s">
        <v>367</v>
      </c>
      <c r="B3484" t="s">
        <v>368</v>
      </c>
      <c r="C3484" t="s">
        <v>369</v>
      </c>
      <c r="D3484" t="s">
        <v>1222</v>
      </c>
      <c r="F3484" t="str">
        <f>"72151"</f>
        <v>72151</v>
      </c>
      <c r="G3484" t="s">
        <v>49</v>
      </c>
      <c r="H3484" t="s">
        <v>1321</v>
      </c>
      <c r="K3484" t="s">
        <v>51</v>
      </c>
      <c r="L3484" t="s">
        <v>52</v>
      </c>
      <c r="M3484">
        <v>137821.4</v>
      </c>
      <c r="N3484">
        <v>468229.43</v>
      </c>
      <c r="O3484" t="s">
        <v>53</v>
      </c>
      <c r="P3484" t="s">
        <v>54</v>
      </c>
      <c r="Q3484" t="s">
        <v>55</v>
      </c>
      <c r="T3484" t="s">
        <v>841</v>
      </c>
      <c r="U3484">
        <v>40</v>
      </c>
      <c r="V3484" s="1">
        <v>33059</v>
      </c>
      <c r="W3484" s="1">
        <v>33059</v>
      </c>
      <c r="X3484" s="1">
        <v>33059</v>
      </c>
      <c r="Y3484" s="1">
        <v>47669</v>
      </c>
      <c r="Z3484" t="s">
        <v>51</v>
      </c>
      <c r="AB3484" t="s">
        <v>54</v>
      </c>
      <c r="AC3484">
        <v>1</v>
      </c>
      <c r="AE3484" t="s">
        <v>1212</v>
      </c>
      <c r="AF3484">
        <v>20</v>
      </c>
      <c r="AG3484" s="1">
        <v>33059</v>
      </c>
      <c r="AH3484" s="1">
        <v>33059</v>
      </c>
      <c r="AI3484" s="1">
        <v>33059</v>
      </c>
      <c r="AJ3484" s="1">
        <v>40364</v>
      </c>
      <c r="AK3484" t="s">
        <v>51</v>
      </c>
      <c r="AN3484">
        <v>0</v>
      </c>
      <c r="AO3484" t="s">
        <v>54</v>
      </c>
      <c r="AP3484" t="s">
        <v>53</v>
      </c>
      <c r="AQ3484">
        <v>0</v>
      </c>
      <c r="AR3484" t="s">
        <v>53</v>
      </c>
      <c r="AS3484">
        <v>0</v>
      </c>
      <c r="AT3484">
        <v>0</v>
      </c>
      <c r="CC3484" t="s">
        <v>850</v>
      </c>
      <c r="CD3484">
        <v>1</v>
      </c>
      <c r="CE3484" s="1">
        <v>42552</v>
      </c>
      <c r="CF3484" s="1">
        <v>42552</v>
      </c>
      <c r="CG3484" s="1">
        <v>42552</v>
      </c>
      <c r="CH3484" s="1">
        <v>49714</v>
      </c>
      <c r="CI3484" t="s">
        <v>51</v>
      </c>
      <c r="CK3484" t="s">
        <v>78</v>
      </c>
      <c r="CM3484" t="s">
        <v>54</v>
      </c>
      <c r="CN3484" t="s">
        <v>174</v>
      </c>
      <c r="CO3484" t="s">
        <v>86</v>
      </c>
      <c r="CR3484">
        <v>18</v>
      </c>
      <c r="CS3484">
        <v>0</v>
      </c>
      <c r="CT3484">
        <v>0</v>
      </c>
      <c r="CU3484">
        <v>0</v>
      </c>
    </row>
    <row r="3485" spans="1:99" x14ac:dyDescent="0.2">
      <c r="A3485" t="s">
        <v>367</v>
      </c>
      <c r="B3485" t="s">
        <v>368</v>
      </c>
      <c r="C3485" t="s">
        <v>369</v>
      </c>
      <c r="D3485" t="s">
        <v>1222</v>
      </c>
      <c r="F3485" t="str">
        <f>"72152"</f>
        <v>72152</v>
      </c>
      <c r="G3485" t="s">
        <v>49</v>
      </c>
      <c r="H3485" t="s">
        <v>1320</v>
      </c>
      <c r="K3485" t="s">
        <v>51</v>
      </c>
      <c r="L3485" t="s">
        <v>52</v>
      </c>
      <c r="M3485">
        <v>137814.28</v>
      </c>
      <c r="N3485">
        <v>468207.98</v>
      </c>
      <c r="O3485" t="s">
        <v>53</v>
      </c>
      <c r="P3485" t="s">
        <v>54</v>
      </c>
      <c r="Q3485" t="s">
        <v>55</v>
      </c>
      <c r="T3485" t="s">
        <v>841</v>
      </c>
      <c r="U3485">
        <v>40</v>
      </c>
      <c r="V3485" s="1">
        <v>33059</v>
      </c>
      <c r="W3485" s="1">
        <v>33059</v>
      </c>
      <c r="X3485" s="1">
        <v>33059</v>
      </c>
      <c r="Y3485" s="1">
        <v>47669</v>
      </c>
      <c r="Z3485" t="s">
        <v>51</v>
      </c>
      <c r="AB3485" t="s">
        <v>54</v>
      </c>
      <c r="AC3485">
        <v>1</v>
      </c>
      <c r="AE3485" t="s">
        <v>1212</v>
      </c>
      <c r="AF3485">
        <v>20</v>
      </c>
      <c r="AG3485" s="1">
        <v>33059</v>
      </c>
      <c r="AH3485" s="1">
        <v>33059</v>
      </c>
      <c r="AI3485" s="1">
        <v>33059</v>
      </c>
      <c r="AJ3485" s="1">
        <v>40364</v>
      </c>
      <c r="AK3485" t="s">
        <v>51</v>
      </c>
      <c r="AN3485">
        <v>0</v>
      </c>
      <c r="AO3485" t="s">
        <v>54</v>
      </c>
      <c r="AP3485" t="s">
        <v>53</v>
      </c>
      <c r="AQ3485">
        <v>0</v>
      </c>
      <c r="AR3485" t="s">
        <v>53</v>
      </c>
      <c r="AS3485">
        <v>0</v>
      </c>
      <c r="AT3485">
        <v>0</v>
      </c>
      <c r="CC3485" t="s">
        <v>850</v>
      </c>
      <c r="CD3485">
        <v>1</v>
      </c>
      <c r="CE3485" s="1">
        <v>42552</v>
      </c>
      <c r="CF3485" s="1">
        <v>42552</v>
      </c>
      <c r="CG3485" s="1">
        <v>42552</v>
      </c>
      <c r="CH3485" s="1">
        <v>49714</v>
      </c>
      <c r="CI3485" t="s">
        <v>51</v>
      </c>
      <c r="CK3485" t="s">
        <v>78</v>
      </c>
      <c r="CM3485" t="s">
        <v>54</v>
      </c>
      <c r="CN3485" t="s">
        <v>174</v>
      </c>
      <c r="CO3485" t="s">
        <v>86</v>
      </c>
      <c r="CR3485">
        <v>18</v>
      </c>
      <c r="CS3485">
        <v>0</v>
      </c>
      <c r="CT3485">
        <v>0</v>
      </c>
      <c r="CU3485">
        <v>0</v>
      </c>
    </row>
    <row r="3486" spans="1:99" x14ac:dyDescent="0.2">
      <c r="A3486" t="s">
        <v>367</v>
      </c>
      <c r="B3486" t="s">
        <v>368</v>
      </c>
      <c r="C3486" t="s">
        <v>369</v>
      </c>
      <c r="D3486" t="s">
        <v>1222</v>
      </c>
      <c r="F3486" t="str">
        <f>"72153"</f>
        <v>72153</v>
      </c>
      <c r="G3486" t="s">
        <v>49</v>
      </c>
      <c r="H3486" t="s">
        <v>1442</v>
      </c>
      <c r="K3486" t="s">
        <v>51</v>
      </c>
      <c r="L3486" t="s">
        <v>52</v>
      </c>
      <c r="M3486">
        <v>137810.13</v>
      </c>
      <c r="N3486">
        <v>468250.51</v>
      </c>
      <c r="O3486" t="s">
        <v>53</v>
      </c>
      <c r="P3486" t="s">
        <v>54</v>
      </c>
      <c r="Q3486" t="s">
        <v>55</v>
      </c>
      <c r="T3486" t="s">
        <v>841</v>
      </c>
      <c r="U3486">
        <v>40</v>
      </c>
      <c r="V3486" s="1">
        <v>33059</v>
      </c>
      <c r="W3486" s="1">
        <v>33059</v>
      </c>
      <c r="X3486" s="1">
        <v>33059</v>
      </c>
      <c r="Y3486" s="1">
        <v>47669</v>
      </c>
      <c r="Z3486" t="s">
        <v>51</v>
      </c>
      <c r="AB3486" t="s">
        <v>54</v>
      </c>
      <c r="AC3486">
        <v>1</v>
      </c>
      <c r="AE3486" t="s">
        <v>1212</v>
      </c>
      <c r="AF3486">
        <v>20</v>
      </c>
      <c r="AG3486" s="1">
        <v>33059</v>
      </c>
      <c r="AH3486" s="1">
        <v>33059</v>
      </c>
      <c r="AI3486" s="1">
        <v>33059</v>
      </c>
      <c r="AJ3486" s="1">
        <v>40364</v>
      </c>
      <c r="AK3486" t="s">
        <v>51</v>
      </c>
      <c r="AN3486">
        <v>0</v>
      </c>
      <c r="AO3486" t="s">
        <v>54</v>
      </c>
      <c r="AP3486" t="s">
        <v>53</v>
      </c>
      <c r="AQ3486">
        <v>0</v>
      </c>
      <c r="AR3486" t="s">
        <v>53</v>
      </c>
      <c r="AS3486">
        <v>0</v>
      </c>
      <c r="AT3486">
        <v>0</v>
      </c>
      <c r="CC3486" t="s">
        <v>850</v>
      </c>
      <c r="CD3486">
        <v>1</v>
      </c>
      <c r="CE3486" s="1">
        <v>42552</v>
      </c>
      <c r="CF3486" s="1">
        <v>42552</v>
      </c>
      <c r="CG3486" s="1">
        <v>42552</v>
      </c>
      <c r="CH3486" s="1">
        <v>49714</v>
      </c>
      <c r="CI3486" t="s">
        <v>51</v>
      </c>
      <c r="CK3486" t="s">
        <v>78</v>
      </c>
      <c r="CM3486" t="s">
        <v>54</v>
      </c>
      <c r="CN3486" t="s">
        <v>174</v>
      </c>
      <c r="CO3486" t="s">
        <v>86</v>
      </c>
      <c r="CR3486">
        <v>18</v>
      </c>
      <c r="CS3486">
        <v>0</v>
      </c>
      <c r="CT3486">
        <v>0</v>
      </c>
      <c r="CU3486">
        <v>0</v>
      </c>
    </row>
    <row r="3487" spans="1:99" x14ac:dyDescent="0.2">
      <c r="A3487" t="s">
        <v>367</v>
      </c>
      <c r="B3487" t="s">
        <v>368</v>
      </c>
      <c r="C3487" t="s">
        <v>369</v>
      </c>
      <c r="D3487" t="s">
        <v>1224</v>
      </c>
      <c r="F3487" t="str">
        <f>"72154"</f>
        <v>72154</v>
      </c>
      <c r="G3487" t="s">
        <v>49</v>
      </c>
      <c r="H3487" t="s">
        <v>1382</v>
      </c>
      <c r="K3487" t="s">
        <v>51</v>
      </c>
      <c r="L3487" t="s">
        <v>52</v>
      </c>
      <c r="M3487">
        <v>137754.72</v>
      </c>
      <c r="N3487">
        <v>468203.31</v>
      </c>
      <c r="O3487" t="s">
        <v>53</v>
      </c>
      <c r="P3487" t="s">
        <v>54</v>
      </c>
      <c r="Q3487" t="s">
        <v>55</v>
      </c>
      <c r="T3487" t="s">
        <v>841</v>
      </c>
      <c r="U3487">
        <v>40</v>
      </c>
      <c r="V3487" s="1">
        <v>33060</v>
      </c>
      <c r="W3487" s="1">
        <v>33060</v>
      </c>
      <c r="X3487" s="1">
        <v>33060</v>
      </c>
      <c r="Y3487" s="1">
        <v>47670</v>
      </c>
      <c r="Z3487" t="s">
        <v>51</v>
      </c>
      <c r="AB3487" t="s">
        <v>54</v>
      </c>
      <c r="AC3487">
        <v>1</v>
      </c>
      <c r="AE3487" t="s">
        <v>1212</v>
      </c>
      <c r="AF3487">
        <v>20</v>
      </c>
      <c r="AG3487" s="1">
        <v>33060</v>
      </c>
      <c r="AH3487" s="1">
        <v>33060</v>
      </c>
      <c r="AI3487" s="1">
        <v>33060</v>
      </c>
      <c r="AJ3487" s="1">
        <v>40365</v>
      </c>
      <c r="AK3487" t="s">
        <v>51</v>
      </c>
      <c r="AN3487">
        <v>0</v>
      </c>
      <c r="AO3487" t="s">
        <v>54</v>
      </c>
      <c r="AP3487" t="s">
        <v>53</v>
      </c>
      <c r="AQ3487">
        <v>0</v>
      </c>
      <c r="AR3487" t="s">
        <v>53</v>
      </c>
      <c r="AS3487">
        <v>0</v>
      </c>
      <c r="AT3487">
        <v>0</v>
      </c>
      <c r="CC3487" t="s">
        <v>850</v>
      </c>
      <c r="CD3487">
        <v>1</v>
      </c>
      <c r="CE3487" s="1">
        <v>42552</v>
      </c>
      <c r="CF3487" s="1">
        <v>42552</v>
      </c>
      <c r="CG3487" s="1">
        <v>42552</v>
      </c>
      <c r="CH3487" s="1">
        <v>49714</v>
      </c>
      <c r="CI3487" t="s">
        <v>51</v>
      </c>
      <c r="CK3487" t="s">
        <v>78</v>
      </c>
      <c r="CM3487" t="s">
        <v>54</v>
      </c>
      <c r="CN3487" t="s">
        <v>174</v>
      </c>
      <c r="CO3487" t="s">
        <v>86</v>
      </c>
      <c r="CR3487">
        <v>18</v>
      </c>
      <c r="CS3487">
        <v>0</v>
      </c>
      <c r="CT3487">
        <v>0</v>
      </c>
      <c r="CU3487">
        <v>0</v>
      </c>
    </row>
    <row r="3488" spans="1:99" x14ac:dyDescent="0.2">
      <c r="A3488" t="s">
        <v>367</v>
      </c>
      <c r="B3488" t="s">
        <v>368</v>
      </c>
      <c r="C3488" t="s">
        <v>369</v>
      </c>
      <c r="D3488" t="s">
        <v>1224</v>
      </c>
      <c r="F3488" t="str">
        <f>"72155"</f>
        <v>72155</v>
      </c>
      <c r="G3488" t="s">
        <v>49</v>
      </c>
      <c r="H3488" t="s">
        <v>1306</v>
      </c>
      <c r="K3488" t="s">
        <v>51</v>
      </c>
      <c r="L3488" t="s">
        <v>52</v>
      </c>
      <c r="M3488">
        <v>137753.29</v>
      </c>
      <c r="N3488">
        <v>468220.44</v>
      </c>
      <c r="O3488" t="s">
        <v>53</v>
      </c>
      <c r="P3488" t="s">
        <v>54</v>
      </c>
      <c r="Q3488" t="s">
        <v>55</v>
      </c>
      <c r="T3488" t="s">
        <v>841</v>
      </c>
      <c r="U3488">
        <v>40</v>
      </c>
      <c r="V3488" s="1">
        <v>33060</v>
      </c>
      <c r="W3488" s="1">
        <v>33060</v>
      </c>
      <c r="X3488" s="1">
        <v>33060</v>
      </c>
      <c r="Y3488" s="1">
        <v>47670</v>
      </c>
      <c r="Z3488" t="s">
        <v>51</v>
      </c>
      <c r="AB3488" t="s">
        <v>54</v>
      </c>
      <c r="AC3488">
        <v>1</v>
      </c>
      <c r="AE3488" t="s">
        <v>1212</v>
      </c>
      <c r="AF3488">
        <v>20</v>
      </c>
      <c r="AG3488" s="1">
        <v>33060</v>
      </c>
      <c r="AH3488" s="1">
        <v>33060</v>
      </c>
      <c r="AI3488" s="1">
        <v>33060</v>
      </c>
      <c r="AJ3488" s="1">
        <v>40365</v>
      </c>
      <c r="AK3488" t="s">
        <v>51</v>
      </c>
      <c r="AN3488">
        <v>0</v>
      </c>
      <c r="AO3488" t="s">
        <v>54</v>
      </c>
      <c r="AP3488" t="s">
        <v>53</v>
      </c>
      <c r="AQ3488">
        <v>0</v>
      </c>
      <c r="AR3488" t="s">
        <v>53</v>
      </c>
      <c r="AS3488">
        <v>0</v>
      </c>
      <c r="AT3488">
        <v>0</v>
      </c>
      <c r="CC3488" t="s">
        <v>850</v>
      </c>
      <c r="CD3488">
        <v>1</v>
      </c>
      <c r="CE3488" s="1">
        <v>42552</v>
      </c>
      <c r="CF3488" s="1">
        <v>42552</v>
      </c>
      <c r="CG3488" s="1">
        <v>42552</v>
      </c>
      <c r="CH3488" s="1">
        <v>49714</v>
      </c>
      <c r="CI3488" t="s">
        <v>51</v>
      </c>
      <c r="CK3488" t="s">
        <v>78</v>
      </c>
      <c r="CM3488" t="s">
        <v>54</v>
      </c>
      <c r="CN3488" t="s">
        <v>174</v>
      </c>
      <c r="CO3488" t="s">
        <v>86</v>
      </c>
      <c r="CR3488">
        <v>18</v>
      </c>
      <c r="CS3488">
        <v>0</v>
      </c>
      <c r="CT3488">
        <v>0</v>
      </c>
      <c r="CU3488">
        <v>0</v>
      </c>
    </row>
    <row r="3489" spans="1:99" x14ac:dyDescent="0.2">
      <c r="A3489" t="s">
        <v>367</v>
      </c>
      <c r="B3489" t="s">
        <v>368</v>
      </c>
      <c r="C3489" t="s">
        <v>369</v>
      </c>
      <c r="D3489" t="s">
        <v>1224</v>
      </c>
      <c r="F3489" t="str">
        <f>"72156"</f>
        <v>72156</v>
      </c>
      <c r="G3489" t="s">
        <v>49</v>
      </c>
      <c r="H3489" t="s">
        <v>1343</v>
      </c>
      <c r="K3489" t="s">
        <v>51</v>
      </c>
      <c r="L3489" t="s">
        <v>52</v>
      </c>
      <c r="M3489">
        <v>137750.93</v>
      </c>
      <c r="N3489">
        <v>468241.19</v>
      </c>
      <c r="O3489" t="s">
        <v>53</v>
      </c>
      <c r="P3489" t="s">
        <v>54</v>
      </c>
      <c r="Q3489" t="s">
        <v>55</v>
      </c>
      <c r="T3489" t="s">
        <v>841</v>
      </c>
      <c r="U3489">
        <v>40</v>
      </c>
      <c r="V3489" s="1">
        <v>33060</v>
      </c>
      <c r="W3489" s="1">
        <v>33060</v>
      </c>
      <c r="X3489" s="1">
        <v>33060</v>
      </c>
      <c r="Y3489" s="1">
        <v>47670</v>
      </c>
      <c r="Z3489" t="s">
        <v>51</v>
      </c>
      <c r="AB3489" t="s">
        <v>54</v>
      </c>
      <c r="AC3489">
        <v>1</v>
      </c>
      <c r="AE3489" t="s">
        <v>1212</v>
      </c>
      <c r="AF3489">
        <v>20</v>
      </c>
      <c r="AG3489" s="1">
        <v>33060</v>
      </c>
      <c r="AH3489" s="1">
        <v>33060</v>
      </c>
      <c r="AI3489" s="1">
        <v>33060</v>
      </c>
      <c r="AJ3489" s="1">
        <v>40365</v>
      </c>
      <c r="AK3489" t="s">
        <v>51</v>
      </c>
      <c r="AN3489">
        <v>0</v>
      </c>
      <c r="AO3489" t="s">
        <v>54</v>
      </c>
      <c r="AP3489" t="s">
        <v>53</v>
      </c>
      <c r="AQ3489">
        <v>0</v>
      </c>
      <c r="AR3489" t="s">
        <v>53</v>
      </c>
      <c r="AS3489">
        <v>0</v>
      </c>
      <c r="AT3489">
        <v>0</v>
      </c>
      <c r="CC3489" t="s">
        <v>850</v>
      </c>
      <c r="CD3489">
        <v>1</v>
      </c>
      <c r="CE3489" s="1">
        <v>42552</v>
      </c>
      <c r="CF3489" s="1">
        <v>42552</v>
      </c>
      <c r="CG3489" s="1">
        <v>42552</v>
      </c>
      <c r="CH3489" s="1">
        <v>49714</v>
      </c>
      <c r="CI3489" t="s">
        <v>51</v>
      </c>
      <c r="CK3489" t="s">
        <v>78</v>
      </c>
      <c r="CM3489" t="s">
        <v>54</v>
      </c>
      <c r="CN3489" t="s">
        <v>174</v>
      </c>
      <c r="CO3489" t="s">
        <v>86</v>
      </c>
      <c r="CR3489">
        <v>18</v>
      </c>
      <c r="CS3489">
        <v>0</v>
      </c>
      <c r="CT3489">
        <v>0</v>
      </c>
      <c r="CU3489">
        <v>0</v>
      </c>
    </row>
    <row r="3490" spans="1:99" x14ac:dyDescent="0.2">
      <c r="A3490" t="s">
        <v>367</v>
      </c>
      <c r="B3490" t="s">
        <v>368</v>
      </c>
      <c r="C3490" t="s">
        <v>369</v>
      </c>
      <c r="D3490" t="s">
        <v>1403</v>
      </c>
      <c r="F3490" t="str">
        <f>"84310"</f>
        <v>84310</v>
      </c>
      <c r="G3490" t="s">
        <v>49</v>
      </c>
      <c r="H3490" t="s">
        <v>1481</v>
      </c>
      <c r="K3490" t="s">
        <v>51</v>
      </c>
      <c r="L3490" t="s">
        <v>52</v>
      </c>
      <c r="M3490">
        <v>137550.88</v>
      </c>
      <c r="N3490">
        <v>467538.75</v>
      </c>
      <c r="O3490" t="s">
        <v>53</v>
      </c>
      <c r="P3490" t="s">
        <v>54</v>
      </c>
      <c r="Q3490" t="s">
        <v>55</v>
      </c>
      <c r="T3490" t="s">
        <v>1266</v>
      </c>
      <c r="U3490">
        <v>40</v>
      </c>
      <c r="V3490" s="1">
        <v>33297</v>
      </c>
      <c r="W3490" s="1">
        <v>33297</v>
      </c>
      <c r="X3490" s="1">
        <v>33297</v>
      </c>
      <c r="Y3490" s="1">
        <v>47907</v>
      </c>
      <c r="Z3490" t="s">
        <v>51</v>
      </c>
      <c r="AB3490" t="s">
        <v>54</v>
      </c>
      <c r="AC3490">
        <v>1</v>
      </c>
      <c r="AE3490" t="s">
        <v>844</v>
      </c>
      <c r="AF3490">
        <v>20</v>
      </c>
      <c r="AG3490" s="1">
        <v>31777</v>
      </c>
      <c r="AH3490" s="1">
        <v>31777</v>
      </c>
      <c r="AI3490" s="1">
        <v>33297</v>
      </c>
      <c r="AJ3490" s="1">
        <v>39082</v>
      </c>
      <c r="AK3490" t="s">
        <v>51</v>
      </c>
      <c r="AN3490">
        <v>0</v>
      </c>
      <c r="AO3490" t="s">
        <v>54</v>
      </c>
      <c r="AP3490" t="s">
        <v>53</v>
      </c>
      <c r="AQ3490">
        <v>0</v>
      </c>
      <c r="AR3490" t="s">
        <v>53</v>
      </c>
      <c r="AS3490">
        <v>0</v>
      </c>
      <c r="AT3490">
        <v>0</v>
      </c>
      <c r="CC3490" t="s">
        <v>555</v>
      </c>
      <c r="CD3490">
        <v>85000</v>
      </c>
      <c r="CE3490" s="1">
        <v>42552</v>
      </c>
      <c r="CF3490" s="1">
        <v>42552</v>
      </c>
      <c r="CG3490" s="1">
        <v>42552</v>
      </c>
      <c r="CH3490" s="1">
        <v>49714</v>
      </c>
      <c r="CI3490" t="s">
        <v>51</v>
      </c>
      <c r="CK3490" t="s">
        <v>78</v>
      </c>
      <c r="CM3490" t="s">
        <v>54</v>
      </c>
      <c r="CN3490" t="s">
        <v>174</v>
      </c>
      <c r="CO3490" t="s">
        <v>86</v>
      </c>
      <c r="CR3490">
        <v>20</v>
      </c>
      <c r="CS3490">
        <v>0</v>
      </c>
      <c r="CT3490">
        <v>0</v>
      </c>
      <c r="CU3490">
        <v>0</v>
      </c>
    </row>
    <row r="3491" spans="1:99" x14ac:dyDescent="0.2">
      <c r="A3491" t="s">
        <v>367</v>
      </c>
      <c r="B3491" t="s">
        <v>368</v>
      </c>
      <c r="C3491" t="s">
        <v>369</v>
      </c>
      <c r="D3491" t="s">
        <v>1215</v>
      </c>
      <c r="F3491" t="str">
        <f>"84317"</f>
        <v>84317</v>
      </c>
      <c r="G3491" t="s">
        <v>49</v>
      </c>
      <c r="H3491" t="s">
        <v>1546</v>
      </c>
      <c r="K3491" t="s">
        <v>51</v>
      </c>
      <c r="L3491" t="s">
        <v>52</v>
      </c>
      <c r="M3491">
        <v>137790.81</v>
      </c>
      <c r="N3491">
        <v>468106.08</v>
      </c>
      <c r="O3491" t="s">
        <v>53</v>
      </c>
      <c r="P3491" t="s">
        <v>54</v>
      </c>
      <c r="Q3491" t="s">
        <v>55</v>
      </c>
      <c r="T3491" t="s">
        <v>841</v>
      </c>
      <c r="U3491">
        <v>40</v>
      </c>
      <c r="V3491" s="1">
        <v>33301</v>
      </c>
      <c r="W3491" s="1">
        <v>33301</v>
      </c>
      <c r="X3491" s="1">
        <v>33301</v>
      </c>
      <c r="Y3491" s="1">
        <v>47911</v>
      </c>
      <c r="Z3491" t="s">
        <v>51</v>
      </c>
      <c r="AB3491" t="s">
        <v>54</v>
      </c>
      <c r="AC3491">
        <v>1</v>
      </c>
      <c r="AE3491" t="s">
        <v>1212</v>
      </c>
      <c r="AF3491">
        <v>20</v>
      </c>
      <c r="AG3491" s="1">
        <v>31777</v>
      </c>
      <c r="AH3491" s="1">
        <v>31777</v>
      </c>
      <c r="AI3491" s="1">
        <v>33301</v>
      </c>
      <c r="AJ3491" s="1">
        <v>39082</v>
      </c>
      <c r="AK3491" t="s">
        <v>51</v>
      </c>
      <c r="AN3491">
        <v>0</v>
      </c>
      <c r="AO3491" t="s">
        <v>54</v>
      </c>
      <c r="AP3491" t="s">
        <v>53</v>
      </c>
      <c r="AQ3491">
        <v>0</v>
      </c>
      <c r="AR3491" t="s">
        <v>53</v>
      </c>
      <c r="AS3491">
        <v>0</v>
      </c>
      <c r="AT3491">
        <v>0</v>
      </c>
      <c r="CC3491" t="s">
        <v>850</v>
      </c>
      <c r="CD3491">
        <v>1</v>
      </c>
      <c r="CE3491" s="1">
        <v>42552</v>
      </c>
      <c r="CF3491" s="1">
        <v>42552</v>
      </c>
      <c r="CG3491" s="1">
        <v>42552</v>
      </c>
      <c r="CH3491" s="1">
        <v>49714</v>
      </c>
      <c r="CI3491" t="s">
        <v>51</v>
      </c>
      <c r="CK3491" t="s">
        <v>78</v>
      </c>
      <c r="CM3491" t="s">
        <v>54</v>
      </c>
      <c r="CN3491" t="s">
        <v>174</v>
      </c>
      <c r="CO3491" t="s">
        <v>86</v>
      </c>
      <c r="CR3491">
        <v>18</v>
      </c>
      <c r="CS3491">
        <v>0</v>
      </c>
      <c r="CT3491">
        <v>0</v>
      </c>
      <c r="CU3491">
        <v>0</v>
      </c>
    </row>
    <row r="3492" spans="1:99" x14ac:dyDescent="0.2">
      <c r="A3492" t="s">
        <v>367</v>
      </c>
      <c r="B3492" t="s">
        <v>368</v>
      </c>
      <c r="C3492" t="s">
        <v>369</v>
      </c>
      <c r="D3492" t="s">
        <v>1215</v>
      </c>
      <c r="F3492" t="str">
        <f>"84318"</f>
        <v>84318</v>
      </c>
      <c r="G3492" t="s">
        <v>49</v>
      </c>
      <c r="H3492" t="s">
        <v>1547</v>
      </c>
      <c r="K3492" t="s">
        <v>51</v>
      </c>
      <c r="L3492" t="s">
        <v>52</v>
      </c>
      <c r="M3492">
        <v>137871.25</v>
      </c>
      <c r="N3492">
        <v>468094.42</v>
      </c>
      <c r="O3492" t="s">
        <v>53</v>
      </c>
      <c r="P3492" t="s">
        <v>54</v>
      </c>
      <c r="Q3492" t="s">
        <v>55</v>
      </c>
      <c r="T3492" t="s">
        <v>841</v>
      </c>
      <c r="U3492">
        <v>40</v>
      </c>
      <c r="V3492" s="1">
        <v>33301</v>
      </c>
      <c r="W3492" s="1">
        <v>33301</v>
      </c>
      <c r="X3492" s="1">
        <v>33301</v>
      </c>
      <c r="Y3492" s="1">
        <v>47911</v>
      </c>
      <c r="Z3492" t="s">
        <v>51</v>
      </c>
      <c r="AB3492" t="s">
        <v>54</v>
      </c>
      <c r="AC3492">
        <v>1</v>
      </c>
      <c r="AE3492" t="s">
        <v>1212</v>
      </c>
      <c r="AF3492">
        <v>20</v>
      </c>
      <c r="AG3492" s="1">
        <v>31777</v>
      </c>
      <c r="AH3492" s="1">
        <v>31777</v>
      </c>
      <c r="AI3492" s="1">
        <v>33301</v>
      </c>
      <c r="AJ3492" s="1">
        <v>39082</v>
      </c>
      <c r="AK3492" t="s">
        <v>51</v>
      </c>
      <c r="AN3492">
        <v>0</v>
      </c>
      <c r="AO3492" t="s">
        <v>54</v>
      </c>
      <c r="AP3492" t="s">
        <v>53</v>
      </c>
      <c r="AQ3492">
        <v>0</v>
      </c>
      <c r="AR3492" t="s">
        <v>53</v>
      </c>
      <c r="AS3492">
        <v>0</v>
      </c>
      <c r="AT3492">
        <v>0</v>
      </c>
      <c r="CC3492" t="s">
        <v>850</v>
      </c>
      <c r="CD3492">
        <v>1</v>
      </c>
      <c r="CE3492" s="1">
        <v>42552</v>
      </c>
      <c r="CF3492" s="1">
        <v>42552</v>
      </c>
      <c r="CG3492" s="1">
        <v>42552</v>
      </c>
      <c r="CH3492" s="1">
        <v>49714</v>
      </c>
      <c r="CI3492" t="s">
        <v>51</v>
      </c>
      <c r="CK3492" t="s">
        <v>78</v>
      </c>
      <c r="CM3492" t="s">
        <v>54</v>
      </c>
      <c r="CN3492" t="s">
        <v>174</v>
      </c>
      <c r="CO3492" t="s">
        <v>86</v>
      </c>
      <c r="CR3492">
        <v>18</v>
      </c>
      <c r="CS3492">
        <v>0</v>
      </c>
      <c r="CT3492">
        <v>0</v>
      </c>
      <c r="CU3492">
        <v>0</v>
      </c>
    </row>
    <row r="3493" spans="1:99" x14ac:dyDescent="0.2">
      <c r="A3493" t="s">
        <v>367</v>
      </c>
      <c r="B3493" t="s">
        <v>368</v>
      </c>
      <c r="C3493" t="s">
        <v>369</v>
      </c>
      <c r="D3493" t="s">
        <v>1224</v>
      </c>
      <c r="F3493" t="str">
        <f>"89563"</f>
        <v>89563</v>
      </c>
      <c r="G3493" t="s">
        <v>49</v>
      </c>
      <c r="H3493" t="s">
        <v>1548</v>
      </c>
      <c r="K3493" t="s">
        <v>51</v>
      </c>
      <c r="L3493" t="s">
        <v>52</v>
      </c>
      <c r="M3493">
        <v>137747.5</v>
      </c>
      <c r="N3493">
        <v>468266.91</v>
      </c>
      <c r="O3493" t="s">
        <v>53</v>
      </c>
      <c r="P3493" t="s">
        <v>54</v>
      </c>
      <c r="Q3493" t="s">
        <v>55</v>
      </c>
      <c r="T3493" t="s">
        <v>841</v>
      </c>
      <c r="U3493">
        <v>40</v>
      </c>
      <c r="V3493" s="1">
        <v>33207</v>
      </c>
      <c r="W3493" s="1">
        <v>33207</v>
      </c>
      <c r="X3493" s="1">
        <v>33207</v>
      </c>
      <c r="Y3493" s="1">
        <v>47817</v>
      </c>
      <c r="Z3493" t="s">
        <v>51</v>
      </c>
      <c r="AB3493" t="s">
        <v>54</v>
      </c>
      <c r="AC3493">
        <v>1</v>
      </c>
      <c r="AE3493" t="s">
        <v>1212</v>
      </c>
      <c r="AF3493">
        <v>20</v>
      </c>
      <c r="AG3493" s="1">
        <v>33207</v>
      </c>
      <c r="AH3493" s="1">
        <v>33207</v>
      </c>
      <c r="AI3493" s="1">
        <v>33207</v>
      </c>
      <c r="AJ3493" s="1">
        <v>40512</v>
      </c>
      <c r="AK3493" t="s">
        <v>51</v>
      </c>
      <c r="AN3493">
        <v>0</v>
      </c>
      <c r="AO3493" t="s">
        <v>54</v>
      </c>
      <c r="AP3493" t="s">
        <v>53</v>
      </c>
      <c r="AQ3493">
        <v>0</v>
      </c>
      <c r="AR3493" t="s">
        <v>53</v>
      </c>
      <c r="AS3493">
        <v>0</v>
      </c>
      <c r="AT3493">
        <v>0</v>
      </c>
      <c r="CC3493" t="s">
        <v>850</v>
      </c>
      <c r="CD3493">
        <v>1</v>
      </c>
      <c r="CE3493" s="1">
        <v>42552</v>
      </c>
      <c r="CF3493" s="1">
        <v>42552</v>
      </c>
      <c r="CG3493" s="1">
        <v>42552</v>
      </c>
      <c r="CH3493" s="1">
        <v>49714</v>
      </c>
      <c r="CI3493" t="s">
        <v>51</v>
      </c>
      <c r="CK3493" t="s">
        <v>78</v>
      </c>
      <c r="CM3493" t="s">
        <v>54</v>
      </c>
      <c r="CN3493" t="s">
        <v>174</v>
      </c>
      <c r="CO3493" t="s">
        <v>86</v>
      </c>
      <c r="CR3493">
        <v>18</v>
      </c>
      <c r="CS3493">
        <v>0</v>
      </c>
      <c r="CT3493">
        <v>0</v>
      </c>
      <c r="CU3493">
        <v>0</v>
      </c>
    </row>
    <row r="3494" spans="1:99" x14ac:dyDescent="0.2">
      <c r="A3494" t="s">
        <v>367</v>
      </c>
      <c r="B3494" t="s">
        <v>368</v>
      </c>
      <c r="C3494" t="s">
        <v>369</v>
      </c>
      <c r="D3494" t="s">
        <v>1261</v>
      </c>
      <c r="F3494" t="str">
        <f>"89564"</f>
        <v>89564</v>
      </c>
      <c r="G3494" t="s">
        <v>49</v>
      </c>
      <c r="H3494" t="s">
        <v>1549</v>
      </c>
      <c r="K3494" t="s">
        <v>51</v>
      </c>
      <c r="L3494" t="s">
        <v>52</v>
      </c>
      <c r="M3494">
        <v>137838.20000000001</v>
      </c>
      <c r="N3494">
        <v>468294.56</v>
      </c>
      <c r="O3494" t="s">
        <v>53</v>
      </c>
      <c r="P3494" t="s">
        <v>54</v>
      </c>
      <c r="Q3494" t="s">
        <v>55</v>
      </c>
      <c r="T3494" t="s">
        <v>841</v>
      </c>
      <c r="U3494">
        <v>40</v>
      </c>
      <c r="V3494" s="1">
        <v>33207</v>
      </c>
      <c r="W3494" s="1">
        <v>33207</v>
      </c>
      <c r="X3494" s="1">
        <v>33207</v>
      </c>
      <c r="Y3494" s="1">
        <v>47817</v>
      </c>
      <c r="Z3494" t="s">
        <v>51</v>
      </c>
      <c r="AB3494" t="s">
        <v>54</v>
      </c>
      <c r="AC3494">
        <v>1</v>
      </c>
      <c r="AE3494" t="s">
        <v>1212</v>
      </c>
      <c r="AF3494">
        <v>20</v>
      </c>
      <c r="AG3494" s="1">
        <v>33207</v>
      </c>
      <c r="AH3494" s="1">
        <v>33207</v>
      </c>
      <c r="AI3494" s="1">
        <v>33207</v>
      </c>
      <c r="AJ3494" s="1">
        <v>40512</v>
      </c>
      <c r="AK3494" t="s">
        <v>51</v>
      </c>
      <c r="AN3494">
        <v>0</v>
      </c>
      <c r="AO3494" t="s">
        <v>54</v>
      </c>
      <c r="AP3494" t="s">
        <v>53</v>
      </c>
      <c r="AQ3494">
        <v>0</v>
      </c>
      <c r="AR3494" t="s">
        <v>53</v>
      </c>
      <c r="AS3494">
        <v>0</v>
      </c>
      <c r="AT3494">
        <v>0</v>
      </c>
      <c r="CC3494" t="s">
        <v>850</v>
      </c>
      <c r="CD3494">
        <v>1</v>
      </c>
      <c r="CE3494" s="1">
        <v>42552</v>
      </c>
      <c r="CF3494" s="1">
        <v>42552</v>
      </c>
      <c r="CG3494" s="1">
        <v>42552</v>
      </c>
      <c r="CH3494" s="1">
        <v>42552</v>
      </c>
      <c r="CI3494" t="s">
        <v>51</v>
      </c>
      <c r="CK3494" t="s">
        <v>78</v>
      </c>
      <c r="CM3494" t="s">
        <v>54</v>
      </c>
      <c r="CN3494" t="s">
        <v>174</v>
      </c>
      <c r="CO3494" t="s">
        <v>86</v>
      </c>
      <c r="CR3494">
        <v>18</v>
      </c>
      <c r="CS3494">
        <v>0</v>
      </c>
      <c r="CT3494">
        <v>0</v>
      </c>
      <c r="CU3494">
        <v>0</v>
      </c>
    </row>
    <row r="3495" spans="1:99" x14ac:dyDescent="0.2">
      <c r="A3495" t="s">
        <v>367</v>
      </c>
      <c r="B3495" t="s">
        <v>368</v>
      </c>
      <c r="C3495" t="s">
        <v>369</v>
      </c>
      <c r="D3495" t="s">
        <v>1222</v>
      </c>
      <c r="F3495" t="str">
        <f>"89565"</f>
        <v>89565</v>
      </c>
      <c r="G3495" t="s">
        <v>49</v>
      </c>
      <c r="H3495" t="s">
        <v>1550</v>
      </c>
      <c r="K3495" t="s">
        <v>51</v>
      </c>
      <c r="L3495" t="s">
        <v>52</v>
      </c>
      <c r="M3495">
        <v>137814.22</v>
      </c>
      <c r="N3495">
        <v>468275.69</v>
      </c>
      <c r="O3495" t="s">
        <v>53</v>
      </c>
      <c r="P3495" t="s">
        <v>54</v>
      </c>
      <c r="Q3495" t="s">
        <v>55</v>
      </c>
      <c r="T3495" t="s">
        <v>841</v>
      </c>
      <c r="U3495">
        <v>40</v>
      </c>
      <c r="V3495" s="1">
        <v>33207</v>
      </c>
      <c r="W3495" s="1">
        <v>33207</v>
      </c>
      <c r="X3495" s="1">
        <v>33207</v>
      </c>
      <c r="Y3495" s="1">
        <v>47817</v>
      </c>
      <c r="Z3495" t="s">
        <v>51</v>
      </c>
      <c r="AB3495" t="s">
        <v>54</v>
      </c>
      <c r="AC3495">
        <v>1</v>
      </c>
      <c r="AE3495" t="s">
        <v>1212</v>
      </c>
      <c r="AF3495">
        <v>20</v>
      </c>
      <c r="AG3495" s="1">
        <v>33207</v>
      </c>
      <c r="AH3495" s="1">
        <v>33207</v>
      </c>
      <c r="AI3495" s="1">
        <v>33207</v>
      </c>
      <c r="AJ3495" s="1">
        <v>40512</v>
      </c>
      <c r="AK3495" t="s">
        <v>51</v>
      </c>
      <c r="AN3495">
        <v>0</v>
      </c>
      <c r="AO3495" t="s">
        <v>54</v>
      </c>
      <c r="AP3495" t="s">
        <v>53</v>
      </c>
      <c r="AQ3495">
        <v>0</v>
      </c>
      <c r="AR3495" t="s">
        <v>53</v>
      </c>
      <c r="AS3495">
        <v>0</v>
      </c>
      <c r="AT3495">
        <v>0</v>
      </c>
      <c r="CC3495" t="s">
        <v>850</v>
      </c>
      <c r="CD3495">
        <v>1</v>
      </c>
      <c r="CE3495" s="1">
        <v>42552</v>
      </c>
      <c r="CF3495" s="1">
        <v>42552</v>
      </c>
      <c r="CG3495" s="1">
        <v>42552</v>
      </c>
      <c r="CH3495" s="1">
        <v>49714</v>
      </c>
      <c r="CI3495" t="s">
        <v>51</v>
      </c>
      <c r="CK3495" t="s">
        <v>78</v>
      </c>
      <c r="CM3495" t="s">
        <v>54</v>
      </c>
      <c r="CN3495" t="s">
        <v>174</v>
      </c>
      <c r="CO3495" t="s">
        <v>86</v>
      </c>
      <c r="CR3495">
        <v>18</v>
      </c>
      <c r="CS3495">
        <v>0</v>
      </c>
      <c r="CT3495">
        <v>0</v>
      </c>
      <c r="CU3495">
        <v>0</v>
      </c>
    </row>
    <row r="3496" spans="1:99" x14ac:dyDescent="0.2">
      <c r="A3496" t="s">
        <v>367</v>
      </c>
      <c r="B3496" t="s">
        <v>368</v>
      </c>
      <c r="C3496" t="s">
        <v>369</v>
      </c>
      <c r="D3496" t="s">
        <v>1261</v>
      </c>
      <c r="F3496" t="str">
        <f>"89566"</f>
        <v>89566</v>
      </c>
      <c r="G3496" t="s">
        <v>49</v>
      </c>
      <c r="H3496" t="s">
        <v>1551</v>
      </c>
      <c r="K3496" t="s">
        <v>51</v>
      </c>
      <c r="L3496" t="s">
        <v>52</v>
      </c>
      <c r="M3496">
        <v>137773.32</v>
      </c>
      <c r="N3496">
        <v>468287.26</v>
      </c>
      <c r="O3496" t="s">
        <v>53</v>
      </c>
      <c r="P3496" t="s">
        <v>54</v>
      </c>
      <c r="Q3496" t="s">
        <v>55</v>
      </c>
      <c r="T3496" t="s">
        <v>841</v>
      </c>
      <c r="U3496">
        <v>40</v>
      </c>
      <c r="V3496" s="1">
        <v>33207</v>
      </c>
      <c r="W3496" s="1">
        <v>33207</v>
      </c>
      <c r="X3496" s="1">
        <v>33207</v>
      </c>
      <c r="Y3496" s="1">
        <v>47817</v>
      </c>
      <c r="Z3496" t="s">
        <v>51</v>
      </c>
      <c r="AB3496" t="s">
        <v>54</v>
      </c>
      <c r="AC3496">
        <v>1</v>
      </c>
      <c r="AE3496" t="s">
        <v>1212</v>
      </c>
      <c r="AF3496">
        <v>20</v>
      </c>
      <c r="AG3496" s="1">
        <v>33207</v>
      </c>
      <c r="AH3496" s="1">
        <v>33207</v>
      </c>
      <c r="AI3496" s="1">
        <v>33207</v>
      </c>
      <c r="AJ3496" s="1">
        <v>40512</v>
      </c>
      <c r="AK3496" t="s">
        <v>51</v>
      </c>
      <c r="AN3496">
        <v>0</v>
      </c>
      <c r="AO3496" t="s">
        <v>54</v>
      </c>
      <c r="AP3496" t="s">
        <v>53</v>
      </c>
      <c r="AQ3496">
        <v>0</v>
      </c>
      <c r="AR3496" t="s">
        <v>53</v>
      </c>
      <c r="AS3496">
        <v>0</v>
      </c>
      <c r="AT3496">
        <v>0</v>
      </c>
      <c r="CC3496" t="s">
        <v>850</v>
      </c>
      <c r="CD3496">
        <v>1</v>
      </c>
      <c r="CE3496" s="1">
        <v>43123</v>
      </c>
      <c r="CF3496" s="1">
        <v>43123</v>
      </c>
      <c r="CG3496" s="1">
        <v>43123</v>
      </c>
      <c r="CH3496" s="1">
        <v>43123</v>
      </c>
      <c r="CI3496" t="s">
        <v>51</v>
      </c>
      <c r="CK3496" t="s">
        <v>78</v>
      </c>
      <c r="CM3496" t="s">
        <v>54</v>
      </c>
      <c r="CN3496" t="s">
        <v>174</v>
      </c>
      <c r="CO3496" t="s">
        <v>86</v>
      </c>
      <c r="CR3496">
        <v>18</v>
      </c>
      <c r="CS3496">
        <v>0</v>
      </c>
      <c r="CT3496">
        <v>0</v>
      </c>
      <c r="CU3496">
        <v>0</v>
      </c>
    </row>
    <row r="3497" spans="1:99" x14ac:dyDescent="0.2">
      <c r="A3497" t="s">
        <v>367</v>
      </c>
      <c r="B3497" t="s">
        <v>368</v>
      </c>
      <c r="C3497" t="s">
        <v>369</v>
      </c>
      <c r="D3497" t="s">
        <v>1261</v>
      </c>
      <c r="F3497" t="str">
        <f>"89567"</f>
        <v>89567</v>
      </c>
      <c r="G3497" t="s">
        <v>49</v>
      </c>
      <c r="H3497" t="s">
        <v>1552</v>
      </c>
      <c r="K3497" t="s">
        <v>51</v>
      </c>
      <c r="L3497" t="s">
        <v>52</v>
      </c>
      <c r="M3497">
        <v>137711.43</v>
      </c>
      <c r="N3497">
        <v>468275.85</v>
      </c>
      <c r="O3497" t="s">
        <v>53</v>
      </c>
      <c r="P3497" t="s">
        <v>54</v>
      </c>
      <c r="Q3497" t="s">
        <v>55</v>
      </c>
      <c r="T3497" t="s">
        <v>841</v>
      </c>
      <c r="U3497">
        <v>40</v>
      </c>
      <c r="V3497" s="1">
        <v>33207</v>
      </c>
      <c r="W3497" s="1">
        <v>33207</v>
      </c>
      <c r="X3497" s="1">
        <v>33207</v>
      </c>
      <c r="Y3497" s="1">
        <v>47817</v>
      </c>
      <c r="Z3497" t="s">
        <v>51</v>
      </c>
      <c r="AB3497" t="s">
        <v>54</v>
      </c>
      <c r="AC3497">
        <v>1</v>
      </c>
      <c r="AE3497" t="s">
        <v>1212</v>
      </c>
      <c r="AF3497">
        <v>20</v>
      </c>
      <c r="AG3497" s="1">
        <v>33207</v>
      </c>
      <c r="AH3497" s="1">
        <v>33207</v>
      </c>
      <c r="AI3497" s="1">
        <v>33207</v>
      </c>
      <c r="AJ3497" s="1">
        <v>40512</v>
      </c>
      <c r="AK3497" t="s">
        <v>51</v>
      </c>
      <c r="AN3497">
        <v>0</v>
      </c>
      <c r="AO3497" t="s">
        <v>54</v>
      </c>
      <c r="AP3497" t="s">
        <v>53</v>
      </c>
      <c r="AQ3497">
        <v>0</v>
      </c>
      <c r="AR3497" t="s">
        <v>53</v>
      </c>
      <c r="AS3497">
        <v>0</v>
      </c>
      <c r="AT3497">
        <v>0</v>
      </c>
      <c r="CC3497" t="s">
        <v>850</v>
      </c>
      <c r="CD3497">
        <v>1</v>
      </c>
      <c r="CE3497" s="1">
        <v>42552</v>
      </c>
      <c r="CF3497" s="1">
        <v>42552</v>
      </c>
      <c r="CG3497" s="1">
        <v>42552</v>
      </c>
      <c r="CH3497" s="1">
        <v>49714</v>
      </c>
      <c r="CI3497" t="s">
        <v>51</v>
      </c>
      <c r="CK3497" t="s">
        <v>78</v>
      </c>
      <c r="CM3497" t="s">
        <v>54</v>
      </c>
      <c r="CN3497" t="s">
        <v>174</v>
      </c>
      <c r="CO3497" t="s">
        <v>86</v>
      </c>
      <c r="CR3497">
        <v>18</v>
      </c>
      <c r="CS3497">
        <v>0</v>
      </c>
      <c r="CT3497">
        <v>0</v>
      </c>
      <c r="CU3497">
        <v>0</v>
      </c>
    </row>
    <row r="3498" spans="1:99" x14ac:dyDescent="0.2">
      <c r="A3498" t="s">
        <v>367</v>
      </c>
      <c r="B3498" t="s">
        <v>368</v>
      </c>
      <c r="C3498" t="s">
        <v>369</v>
      </c>
      <c r="D3498" t="s">
        <v>1261</v>
      </c>
      <c r="F3498" t="str">
        <f>"89568"</f>
        <v>89568</v>
      </c>
      <c r="G3498" t="s">
        <v>49</v>
      </c>
      <c r="H3498" t="s">
        <v>1553</v>
      </c>
      <c r="K3498" t="s">
        <v>51</v>
      </c>
      <c r="L3498" t="s">
        <v>52</v>
      </c>
      <c r="M3498">
        <v>137683.26999999999</v>
      </c>
      <c r="N3498">
        <v>468276.11</v>
      </c>
      <c r="O3498" t="s">
        <v>53</v>
      </c>
      <c r="P3498" t="s">
        <v>54</v>
      </c>
      <c r="Q3498" t="s">
        <v>55</v>
      </c>
      <c r="T3498" t="s">
        <v>841</v>
      </c>
      <c r="U3498">
        <v>40</v>
      </c>
      <c r="V3498" s="1">
        <v>33207</v>
      </c>
      <c r="W3498" s="1">
        <v>33207</v>
      </c>
      <c r="X3498" s="1">
        <v>33207</v>
      </c>
      <c r="Y3498" s="1">
        <v>47817</v>
      </c>
      <c r="Z3498" t="s">
        <v>51</v>
      </c>
      <c r="AB3498" t="s">
        <v>54</v>
      </c>
      <c r="AC3498">
        <v>1</v>
      </c>
      <c r="AE3498" t="s">
        <v>1212</v>
      </c>
      <c r="AF3498">
        <v>20</v>
      </c>
      <c r="AG3498" s="1">
        <v>33207</v>
      </c>
      <c r="AH3498" s="1">
        <v>33207</v>
      </c>
      <c r="AI3498" s="1">
        <v>33207</v>
      </c>
      <c r="AJ3498" s="1">
        <v>40512</v>
      </c>
      <c r="AK3498" t="s">
        <v>51</v>
      </c>
      <c r="AN3498">
        <v>0</v>
      </c>
      <c r="AO3498" t="s">
        <v>54</v>
      </c>
      <c r="AP3498" t="s">
        <v>53</v>
      </c>
      <c r="AQ3498">
        <v>0</v>
      </c>
      <c r="AR3498" t="s">
        <v>53</v>
      </c>
      <c r="AS3498">
        <v>0</v>
      </c>
      <c r="AT3498">
        <v>0</v>
      </c>
      <c r="CC3498" t="s">
        <v>850</v>
      </c>
      <c r="CD3498">
        <v>1</v>
      </c>
      <c r="CE3498" s="1">
        <v>42552</v>
      </c>
      <c r="CF3498" s="1">
        <v>42552</v>
      </c>
      <c r="CG3498" s="1">
        <v>42552</v>
      </c>
      <c r="CH3498" s="1">
        <v>49714</v>
      </c>
      <c r="CI3498" t="s">
        <v>51</v>
      </c>
      <c r="CK3498" t="s">
        <v>78</v>
      </c>
      <c r="CM3498" t="s">
        <v>54</v>
      </c>
      <c r="CN3498" t="s">
        <v>174</v>
      </c>
      <c r="CO3498" t="s">
        <v>86</v>
      </c>
      <c r="CR3498">
        <v>18</v>
      </c>
      <c r="CS3498">
        <v>0</v>
      </c>
      <c r="CT3498">
        <v>0</v>
      </c>
      <c r="CU3498">
        <v>0</v>
      </c>
    </row>
    <row r="3499" spans="1:99" x14ac:dyDescent="0.2">
      <c r="A3499" t="s">
        <v>367</v>
      </c>
      <c r="B3499" t="s">
        <v>368</v>
      </c>
      <c r="C3499" t="s">
        <v>369</v>
      </c>
      <c r="D3499" t="s">
        <v>1261</v>
      </c>
      <c r="F3499" t="str">
        <f>"89569"</f>
        <v>89569</v>
      </c>
      <c r="G3499" t="s">
        <v>49</v>
      </c>
      <c r="H3499" t="s">
        <v>1554</v>
      </c>
      <c r="K3499" t="s">
        <v>51</v>
      </c>
      <c r="L3499" t="s">
        <v>52</v>
      </c>
      <c r="M3499">
        <v>137621.39000000001</v>
      </c>
      <c r="N3499">
        <v>468241.21</v>
      </c>
      <c r="O3499" t="s">
        <v>53</v>
      </c>
      <c r="P3499" t="s">
        <v>54</v>
      </c>
      <c r="Q3499" t="s">
        <v>55</v>
      </c>
      <c r="T3499" t="s">
        <v>841</v>
      </c>
      <c r="U3499">
        <v>40</v>
      </c>
      <c r="V3499" s="1">
        <v>33207</v>
      </c>
      <c r="W3499" s="1">
        <v>33207</v>
      </c>
      <c r="X3499" s="1">
        <v>33207</v>
      </c>
      <c r="Y3499" s="1">
        <v>47817</v>
      </c>
      <c r="Z3499" t="s">
        <v>51</v>
      </c>
      <c r="AB3499" t="s">
        <v>54</v>
      </c>
      <c r="AC3499">
        <v>1</v>
      </c>
      <c r="AE3499" t="s">
        <v>1212</v>
      </c>
      <c r="AF3499">
        <v>20</v>
      </c>
      <c r="AG3499" s="1">
        <v>33207</v>
      </c>
      <c r="AH3499" s="1">
        <v>33207</v>
      </c>
      <c r="AI3499" s="1">
        <v>33207</v>
      </c>
      <c r="AJ3499" s="1">
        <v>40512</v>
      </c>
      <c r="AK3499" t="s">
        <v>51</v>
      </c>
      <c r="AN3499">
        <v>0</v>
      </c>
      <c r="AO3499" t="s">
        <v>54</v>
      </c>
      <c r="AP3499" t="s">
        <v>53</v>
      </c>
      <c r="AQ3499">
        <v>0</v>
      </c>
      <c r="AR3499" t="s">
        <v>53</v>
      </c>
      <c r="AS3499">
        <v>0</v>
      </c>
      <c r="AT3499">
        <v>0</v>
      </c>
      <c r="CC3499" t="s">
        <v>850</v>
      </c>
      <c r="CD3499">
        <v>1</v>
      </c>
      <c r="CE3499" s="1">
        <v>42552</v>
      </c>
      <c r="CF3499" s="1">
        <v>42552</v>
      </c>
      <c r="CG3499" s="1">
        <v>42552</v>
      </c>
      <c r="CH3499" s="1">
        <v>49714</v>
      </c>
      <c r="CI3499" t="s">
        <v>51</v>
      </c>
      <c r="CK3499" t="s">
        <v>78</v>
      </c>
      <c r="CM3499" t="s">
        <v>54</v>
      </c>
      <c r="CN3499" t="s">
        <v>174</v>
      </c>
      <c r="CO3499" t="s">
        <v>86</v>
      </c>
      <c r="CR3499">
        <v>18</v>
      </c>
      <c r="CS3499">
        <v>0</v>
      </c>
      <c r="CT3499">
        <v>0</v>
      </c>
      <c r="CU3499">
        <v>0</v>
      </c>
    </row>
    <row r="3500" spans="1:99" x14ac:dyDescent="0.2">
      <c r="A3500" t="s">
        <v>367</v>
      </c>
      <c r="B3500" t="s">
        <v>368</v>
      </c>
      <c r="C3500" t="s">
        <v>369</v>
      </c>
      <c r="D3500" t="s">
        <v>1215</v>
      </c>
      <c r="F3500" t="str">
        <f>"89865"</f>
        <v>89865</v>
      </c>
      <c r="G3500" t="s">
        <v>49</v>
      </c>
      <c r="H3500" t="s">
        <v>1555</v>
      </c>
      <c r="K3500" t="s">
        <v>51</v>
      </c>
      <c r="L3500" t="s">
        <v>52</v>
      </c>
      <c r="M3500">
        <v>138190.39000000001</v>
      </c>
      <c r="N3500">
        <v>468080.62</v>
      </c>
      <c r="O3500" t="s">
        <v>53</v>
      </c>
      <c r="P3500" t="s">
        <v>54</v>
      </c>
      <c r="Q3500" t="s">
        <v>55</v>
      </c>
      <c r="T3500" t="s">
        <v>818</v>
      </c>
      <c r="U3500">
        <v>40</v>
      </c>
      <c r="V3500" s="1">
        <v>42552</v>
      </c>
      <c r="W3500" s="1">
        <v>42552</v>
      </c>
      <c r="X3500" s="1">
        <v>42552</v>
      </c>
      <c r="Y3500" s="1">
        <v>57162</v>
      </c>
      <c r="Z3500" t="s">
        <v>51</v>
      </c>
      <c r="AB3500" t="s">
        <v>54</v>
      </c>
      <c r="AC3500">
        <v>1</v>
      </c>
      <c r="AE3500" t="s">
        <v>79</v>
      </c>
      <c r="AF3500">
        <v>20</v>
      </c>
      <c r="AG3500" s="1">
        <v>42552</v>
      </c>
      <c r="AH3500" s="1">
        <v>42552</v>
      </c>
      <c r="AI3500" s="1">
        <v>42552</v>
      </c>
      <c r="AJ3500" s="1">
        <v>49857</v>
      </c>
      <c r="AK3500" t="s">
        <v>51</v>
      </c>
      <c r="AN3500">
        <v>0</v>
      </c>
      <c r="AO3500" t="s">
        <v>54</v>
      </c>
      <c r="AP3500" t="s">
        <v>53</v>
      </c>
      <c r="AQ3500">
        <v>0</v>
      </c>
      <c r="AR3500" t="s">
        <v>145</v>
      </c>
      <c r="AS3500">
        <v>0</v>
      </c>
      <c r="AT3500">
        <v>0</v>
      </c>
      <c r="CC3500" t="s">
        <v>850</v>
      </c>
      <c r="CD3500">
        <v>1</v>
      </c>
      <c r="CE3500" s="1">
        <v>42552</v>
      </c>
      <c r="CF3500" s="1">
        <v>42552</v>
      </c>
      <c r="CG3500" s="1">
        <v>42552</v>
      </c>
      <c r="CH3500" s="1">
        <v>49714</v>
      </c>
      <c r="CI3500" t="s">
        <v>51</v>
      </c>
      <c r="CK3500" t="s">
        <v>78</v>
      </c>
      <c r="CM3500" t="s">
        <v>54</v>
      </c>
      <c r="CN3500" t="s">
        <v>174</v>
      </c>
      <c r="CO3500" t="s">
        <v>86</v>
      </c>
      <c r="CR3500">
        <v>18</v>
      </c>
      <c r="CS3500">
        <v>0</v>
      </c>
      <c r="CT3500">
        <v>0</v>
      </c>
      <c r="CU3500">
        <v>0</v>
      </c>
    </row>
    <row r="3501" spans="1:99" x14ac:dyDescent="0.2">
      <c r="A3501" t="s">
        <v>367</v>
      </c>
      <c r="B3501" t="s">
        <v>368</v>
      </c>
      <c r="C3501" t="s">
        <v>369</v>
      </c>
      <c r="D3501" t="s">
        <v>1215</v>
      </c>
      <c r="F3501" t="str">
        <f>"89866"</f>
        <v>89866</v>
      </c>
      <c r="G3501" t="s">
        <v>49</v>
      </c>
      <c r="H3501" t="s">
        <v>1555</v>
      </c>
      <c r="K3501" t="s">
        <v>51</v>
      </c>
      <c r="L3501" t="s">
        <v>52</v>
      </c>
      <c r="M3501">
        <v>138214.35</v>
      </c>
      <c r="N3501">
        <v>468100.62</v>
      </c>
      <c r="O3501" t="s">
        <v>53</v>
      </c>
      <c r="P3501" t="s">
        <v>54</v>
      </c>
      <c r="Q3501" t="s">
        <v>55</v>
      </c>
      <c r="T3501" t="s">
        <v>818</v>
      </c>
      <c r="U3501">
        <v>40</v>
      </c>
      <c r="V3501" s="1">
        <v>33316</v>
      </c>
      <c r="W3501" s="1">
        <v>33316</v>
      </c>
      <c r="X3501" s="1">
        <v>33316</v>
      </c>
      <c r="Y3501" s="1">
        <v>47926</v>
      </c>
      <c r="Z3501" t="s">
        <v>51</v>
      </c>
      <c r="AB3501" t="s">
        <v>54</v>
      </c>
      <c r="AC3501">
        <v>1</v>
      </c>
      <c r="AE3501" t="s">
        <v>827</v>
      </c>
      <c r="AF3501">
        <v>20</v>
      </c>
      <c r="AG3501" s="1">
        <v>33316</v>
      </c>
      <c r="AH3501" s="1">
        <v>33316</v>
      </c>
      <c r="AI3501" s="1">
        <v>33316</v>
      </c>
      <c r="AJ3501" s="1">
        <v>40621</v>
      </c>
      <c r="AK3501" t="s">
        <v>51</v>
      </c>
      <c r="AN3501">
        <v>0</v>
      </c>
      <c r="AO3501" t="s">
        <v>54</v>
      </c>
      <c r="AP3501" t="s">
        <v>53</v>
      </c>
      <c r="AQ3501">
        <v>0</v>
      </c>
      <c r="AR3501" t="s">
        <v>53</v>
      </c>
      <c r="AS3501">
        <v>0</v>
      </c>
      <c r="AT3501">
        <v>0</v>
      </c>
      <c r="AW3501" t="s">
        <v>58</v>
      </c>
      <c r="AX3501">
        <v>20</v>
      </c>
      <c r="AY3501" s="1">
        <v>33316</v>
      </c>
      <c r="AZ3501" s="1">
        <v>33316</v>
      </c>
      <c r="BA3501" s="1">
        <v>33316</v>
      </c>
      <c r="BB3501" s="1">
        <v>40621</v>
      </c>
      <c r="BC3501" t="s">
        <v>51</v>
      </c>
      <c r="BE3501" t="s">
        <v>54</v>
      </c>
      <c r="BF3501">
        <v>2</v>
      </c>
      <c r="BG3501">
        <v>0</v>
      </c>
      <c r="BH3501" t="s">
        <v>53</v>
      </c>
      <c r="BK3501" t="s">
        <v>720</v>
      </c>
      <c r="BL3501">
        <v>17000</v>
      </c>
      <c r="BM3501" s="1">
        <v>43913</v>
      </c>
      <c r="BN3501" s="1">
        <v>43913</v>
      </c>
      <c r="BO3501" s="1">
        <v>43913</v>
      </c>
      <c r="BP3501" s="1">
        <v>45351</v>
      </c>
      <c r="BQ3501" t="s">
        <v>51</v>
      </c>
      <c r="BS3501" t="s">
        <v>60</v>
      </c>
      <c r="BT3501" t="s">
        <v>54</v>
      </c>
      <c r="BU3501" t="s">
        <v>721</v>
      </c>
      <c r="BV3501" t="s">
        <v>722</v>
      </c>
      <c r="BX3501">
        <v>18</v>
      </c>
      <c r="BY3501">
        <v>0</v>
      </c>
      <c r="BZ3501">
        <v>0</v>
      </c>
    </row>
    <row r="3502" spans="1:99" x14ac:dyDescent="0.2">
      <c r="A3502" t="s">
        <v>367</v>
      </c>
      <c r="B3502" t="s">
        <v>368</v>
      </c>
      <c r="C3502" t="s">
        <v>369</v>
      </c>
      <c r="D3502" t="s">
        <v>1187</v>
      </c>
      <c r="F3502" t="str">
        <f>"89931"</f>
        <v>89931</v>
      </c>
      <c r="G3502" t="s">
        <v>49</v>
      </c>
      <c r="H3502" t="s">
        <v>1556</v>
      </c>
      <c r="K3502" t="s">
        <v>51</v>
      </c>
      <c r="L3502" t="s">
        <v>52</v>
      </c>
      <c r="M3502">
        <v>138031.44</v>
      </c>
      <c r="N3502">
        <v>468153.32</v>
      </c>
      <c r="O3502" t="s">
        <v>53</v>
      </c>
      <c r="P3502" t="s">
        <v>54</v>
      </c>
      <c r="Q3502" t="s">
        <v>55</v>
      </c>
      <c r="T3502" t="s">
        <v>818</v>
      </c>
      <c r="U3502">
        <v>40</v>
      </c>
      <c r="V3502" s="1">
        <v>33572</v>
      </c>
      <c r="W3502" s="1">
        <v>33572</v>
      </c>
      <c r="X3502" s="1">
        <v>33572</v>
      </c>
      <c r="Y3502" s="1">
        <v>48182</v>
      </c>
      <c r="Z3502" t="s">
        <v>51</v>
      </c>
      <c r="AB3502" t="s">
        <v>54</v>
      </c>
      <c r="AC3502">
        <v>1</v>
      </c>
      <c r="AE3502" t="s">
        <v>827</v>
      </c>
      <c r="AF3502">
        <v>20</v>
      </c>
      <c r="AG3502" s="1">
        <v>33572</v>
      </c>
      <c r="AH3502" s="1">
        <v>33572</v>
      </c>
      <c r="AI3502" s="1">
        <v>33572</v>
      </c>
      <c r="AJ3502" s="1">
        <v>40877</v>
      </c>
      <c r="AK3502" t="s">
        <v>51</v>
      </c>
      <c r="AN3502">
        <v>0</v>
      </c>
      <c r="AO3502" t="s">
        <v>54</v>
      </c>
      <c r="AP3502" t="s">
        <v>53</v>
      </c>
      <c r="AQ3502">
        <v>0</v>
      </c>
      <c r="AR3502" t="s">
        <v>53</v>
      </c>
      <c r="AS3502">
        <v>0</v>
      </c>
      <c r="AT3502">
        <v>0</v>
      </c>
      <c r="CC3502" t="s">
        <v>850</v>
      </c>
      <c r="CD3502">
        <v>1</v>
      </c>
      <c r="CE3502" s="1">
        <v>42552</v>
      </c>
      <c r="CF3502" s="1">
        <v>42552</v>
      </c>
      <c r="CG3502" s="1">
        <v>42552</v>
      </c>
      <c r="CH3502" s="1">
        <v>49714</v>
      </c>
      <c r="CI3502" t="s">
        <v>51</v>
      </c>
      <c r="CK3502" t="s">
        <v>78</v>
      </c>
      <c r="CM3502" t="s">
        <v>54</v>
      </c>
      <c r="CN3502" t="s">
        <v>174</v>
      </c>
      <c r="CO3502" t="s">
        <v>86</v>
      </c>
      <c r="CR3502">
        <v>18</v>
      </c>
      <c r="CS3502">
        <v>0</v>
      </c>
      <c r="CT3502">
        <v>0</v>
      </c>
      <c r="CU3502">
        <v>0</v>
      </c>
    </row>
    <row r="3503" spans="1:99" x14ac:dyDescent="0.2">
      <c r="A3503" t="s">
        <v>367</v>
      </c>
      <c r="B3503" t="s">
        <v>368</v>
      </c>
      <c r="C3503" t="s">
        <v>369</v>
      </c>
      <c r="D3503" t="s">
        <v>1187</v>
      </c>
      <c r="F3503" t="str">
        <f>"89932"</f>
        <v>89932</v>
      </c>
      <c r="G3503" t="s">
        <v>49</v>
      </c>
      <c r="H3503" t="s">
        <v>1557</v>
      </c>
      <c r="K3503" t="s">
        <v>51</v>
      </c>
      <c r="L3503" t="s">
        <v>52</v>
      </c>
      <c r="M3503">
        <v>138029.76000000001</v>
      </c>
      <c r="N3503">
        <v>468171.66</v>
      </c>
      <c r="O3503" t="s">
        <v>53</v>
      </c>
      <c r="P3503" t="s">
        <v>54</v>
      </c>
      <c r="Q3503" t="s">
        <v>55</v>
      </c>
      <c r="T3503" t="s">
        <v>818</v>
      </c>
      <c r="U3503">
        <v>40</v>
      </c>
      <c r="V3503" s="1">
        <v>33572</v>
      </c>
      <c r="W3503" s="1">
        <v>33572</v>
      </c>
      <c r="X3503" s="1">
        <v>33572</v>
      </c>
      <c r="Y3503" s="1">
        <v>48182</v>
      </c>
      <c r="Z3503" t="s">
        <v>51</v>
      </c>
      <c r="AB3503" t="s">
        <v>54</v>
      </c>
      <c r="AC3503">
        <v>1</v>
      </c>
      <c r="AE3503" t="s">
        <v>827</v>
      </c>
      <c r="AF3503">
        <v>20</v>
      </c>
      <c r="AG3503" s="1">
        <v>33572</v>
      </c>
      <c r="AH3503" s="1">
        <v>33572</v>
      </c>
      <c r="AI3503" s="1">
        <v>33572</v>
      </c>
      <c r="AJ3503" s="1">
        <v>40877</v>
      </c>
      <c r="AK3503" t="s">
        <v>51</v>
      </c>
      <c r="AN3503">
        <v>0</v>
      </c>
      <c r="AO3503" t="s">
        <v>54</v>
      </c>
      <c r="AP3503" t="s">
        <v>53</v>
      </c>
      <c r="AQ3503">
        <v>0</v>
      </c>
      <c r="AR3503" t="s">
        <v>53</v>
      </c>
      <c r="AS3503">
        <v>0</v>
      </c>
      <c r="AT3503">
        <v>0</v>
      </c>
      <c r="CC3503" t="s">
        <v>850</v>
      </c>
      <c r="CD3503">
        <v>1</v>
      </c>
      <c r="CE3503" s="1">
        <v>42552</v>
      </c>
      <c r="CF3503" s="1">
        <v>42552</v>
      </c>
      <c r="CG3503" s="1">
        <v>42552</v>
      </c>
      <c r="CH3503" s="1">
        <v>49714</v>
      </c>
      <c r="CI3503" t="s">
        <v>51</v>
      </c>
      <c r="CK3503" t="s">
        <v>78</v>
      </c>
      <c r="CM3503" t="s">
        <v>54</v>
      </c>
      <c r="CN3503" t="s">
        <v>174</v>
      </c>
      <c r="CO3503" t="s">
        <v>86</v>
      </c>
      <c r="CR3503">
        <v>18</v>
      </c>
      <c r="CS3503">
        <v>0</v>
      </c>
      <c r="CT3503">
        <v>0</v>
      </c>
      <c r="CU3503">
        <v>0</v>
      </c>
    </row>
    <row r="3504" spans="1:99" x14ac:dyDescent="0.2">
      <c r="A3504" t="s">
        <v>367</v>
      </c>
      <c r="B3504" t="s">
        <v>368</v>
      </c>
      <c r="C3504" t="s">
        <v>369</v>
      </c>
      <c r="D3504" t="s">
        <v>1187</v>
      </c>
      <c r="F3504" t="str">
        <f>"89933"</f>
        <v>89933</v>
      </c>
      <c r="G3504" t="s">
        <v>49</v>
      </c>
      <c r="H3504" t="s">
        <v>1558</v>
      </c>
      <c r="K3504" t="s">
        <v>51</v>
      </c>
      <c r="L3504" t="s">
        <v>52</v>
      </c>
      <c r="M3504">
        <v>138027.66</v>
      </c>
      <c r="N3504">
        <v>468190.14</v>
      </c>
      <c r="O3504" t="s">
        <v>53</v>
      </c>
      <c r="P3504" t="s">
        <v>54</v>
      </c>
      <c r="Q3504" t="s">
        <v>55</v>
      </c>
      <c r="T3504" t="s">
        <v>818</v>
      </c>
      <c r="U3504">
        <v>40</v>
      </c>
      <c r="V3504" s="1">
        <v>33572</v>
      </c>
      <c r="W3504" s="1">
        <v>33572</v>
      </c>
      <c r="X3504" s="1">
        <v>33572</v>
      </c>
      <c r="Y3504" s="1">
        <v>48182</v>
      </c>
      <c r="Z3504" t="s">
        <v>51</v>
      </c>
      <c r="AB3504" t="s">
        <v>54</v>
      </c>
      <c r="AC3504">
        <v>1</v>
      </c>
      <c r="AE3504" t="s">
        <v>827</v>
      </c>
      <c r="AF3504">
        <v>20</v>
      </c>
      <c r="AG3504" s="1">
        <v>33572</v>
      </c>
      <c r="AH3504" s="1">
        <v>33572</v>
      </c>
      <c r="AI3504" s="1">
        <v>33572</v>
      </c>
      <c r="AJ3504" s="1">
        <v>40877</v>
      </c>
      <c r="AK3504" t="s">
        <v>51</v>
      </c>
      <c r="AN3504">
        <v>0</v>
      </c>
      <c r="AO3504" t="s">
        <v>54</v>
      </c>
      <c r="AP3504" t="s">
        <v>53</v>
      </c>
      <c r="AQ3504">
        <v>0</v>
      </c>
      <c r="AR3504" t="s">
        <v>53</v>
      </c>
      <c r="AS3504">
        <v>0</v>
      </c>
      <c r="AT3504">
        <v>0</v>
      </c>
      <c r="CC3504" t="s">
        <v>850</v>
      </c>
      <c r="CD3504">
        <v>1</v>
      </c>
      <c r="CE3504" s="1">
        <v>42552</v>
      </c>
      <c r="CF3504" s="1">
        <v>42552</v>
      </c>
      <c r="CG3504" s="1">
        <v>42552</v>
      </c>
      <c r="CH3504" s="1">
        <v>49714</v>
      </c>
      <c r="CI3504" t="s">
        <v>51</v>
      </c>
      <c r="CK3504" t="s">
        <v>78</v>
      </c>
      <c r="CM3504" t="s">
        <v>54</v>
      </c>
      <c r="CN3504" t="s">
        <v>174</v>
      </c>
      <c r="CO3504" t="s">
        <v>86</v>
      </c>
      <c r="CR3504">
        <v>18</v>
      </c>
      <c r="CS3504">
        <v>0</v>
      </c>
      <c r="CT3504">
        <v>0</v>
      </c>
      <c r="CU3504">
        <v>0</v>
      </c>
    </row>
    <row r="3505" spans="1:99" x14ac:dyDescent="0.2">
      <c r="A3505" t="s">
        <v>367</v>
      </c>
      <c r="B3505" t="s">
        <v>368</v>
      </c>
      <c r="C3505" t="s">
        <v>369</v>
      </c>
      <c r="D3505" t="s">
        <v>1187</v>
      </c>
      <c r="F3505" t="str">
        <f>"89944"</f>
        <v>89944</v>
      </c>
      <c r="G3505" t="s">
        <v>49</v>
      </c>
      <c r="H3505" t="s">
        <v>1559</v>
      </c>
      <c r="K3505" t="s">
        <v>51</v>
      </c>
      <c r="L3505" t="s">
        <v>52</v>
      </c>
      <c r="M3505">
        <v>138024.78</v>
      </c>
      <c r="N3505">
        <v>468210.79</v>
      </c>
      <c r="O3505" t="s">
        <v>53</v>
      </c>
      <c r="P3505" t="s">
        <v>54</v>
      </c>
      <c r="Q3505" t="s">
        <v>55</v>
      </c>
      <c r="T3505" t="s">
        <v>818</v>
      </c>
      <c r="U3505">
        <v>40</v>
      </c>
      <c r="V3505" s="1">
        <v>33572</v>
      </c>
      <c r="W3505" s="1">
        <v>33572</v>
      </c>
      <c r="X3505" s="1">
        <v>33572</v>
      </c>
      <c r="Y3505" s="1">
        <v>48182</v>
      </c>
      <c r="Z3505" t="s">
        <v>51</v>
      </c>
      <c r="AB3505" t="s">
        <v>54</v>
      </c>
      <c r="AC3505">
        <v>1</v>
      </c>
      <c r="AE3505" t="s">
        <v>827</v>
      </c>
      <c r="AF3505">
        <v>20</v>
      </c>
      <c r="AG3505" s="1">
        <v>33572</v>
      </c>
      <c r="AH3505" s="1">
        <v>33572</v>
      </c>
      <c r="AI3505" s="1">
        <v>33572</v>
      </c>
      <c r="AJ3505" s="1">
        <v>40877</v>
      </c>
      <c r="AK3505" t="s">
        <v>51</v>
      </c>
      <c r="AN3505">
        <v>0</v>
      </c>
      <c r="AO3505" t="s">
        <v>54</v>
      </c>
      <c r="AP3505" t="s">
        <v>53</v>
      </c>
      <c r="AQ3505">
        <v>0</v>
      </c>
      <c r="AR3505" t="s">
        <v>53</v>
      </c>
      <c r="AS3505">
        <v>0</v>
      </c>
      <c r="AT3505">
        <v>0</v>
      </c>
      <c r="CC3505" t="s">
        <v>850</v>
      </c>
      <c r="CD3505">
        <v>1</v>
      </c>
      <c r="CE3505" s="1">
        <v>42552</v>
      </c>
      <c r="CF3505" s="1">
        <v>42552</v>
      </c>
      <c r="CG3505" s="1">
        <v>42552</v>
      </c>
      <c r="CH3505" s="1">
        <v>49714</v>
      </c>
      <c r="CI3505" t="s">
        <v>51</v>
      </c>
      <c r="CK3505" t="s">
        <v>78</v>
      </c>
      <c r="CM3505" t="s">
        <v>54</v>
      </c>
      <c r="CN3505" t="s">
        <v>174</v>
      </c>
      <c r="CO3505" t="s">
        <v>86</v>
      </c>
      <c r="CR3505">
        <v>18</v>
      </c>
      <c r="CS3505">
        <v>0</v>
      </c>
      <c r="CT3505">
        <v>0</v>
      </c>
      <c r="CU3505">
        <v>0</v>
      </c>
    </row>
    <row r="3506" spans="1:99" x14ac:dyDescent="0.2">
      <c r="A3506" t="s">
        <v>367</v>
      </c>
      <c r="B3506" t="s">
        <v>368</v>
      </c>
      <c r="C3506" t="s">
        <v>369</v>
      </c>
      <c r="D3506" t="s">
        <v>1187</v>
      </c>
      <c r="F3506" t="str">
        <f>"89945"</f>
        <v>89945</v>
      </c>
      <c r="G3506" t="s">
        <v>49</v>
      </c>
      <c r="H3506" t="s">
        <v>1560</v>
      </c>
      <c r="K3506" t="s">
        <v>51</v>
      </c>
      <c r="L3506" t="s">
        <v>52</v>
      </c>
      <c r="M3506">
        <v>137999.69</v>
      </c>
      <c r="N3506">
        <v>468210.78</v>
      </c>
      <c r="O3506" t="s">
        <v>53</v>
      </c>
      <c r="P3506" t="s">
        <v>54</v>
      </c>
      <c r="Q3506" t="s">
        <v>55</v>
      </c>
      <c r="T3506" t="s">
        <v>818</v>
      </c>
      <c r="U3506">
        <v>40</v>
      </c>
      <c r="V3506" s="1">
        <v>33572</v>
      </c>
      <c r="W3506" s="1">
        <v>33572</v>
      </c>
      <c r="X3506" s="1">
        <v>33572</v>
      </c>
      <c r="Y3506" s="1">
        <v>48182</v>
      </c>
      <c r="Z3506" t="s">
        <v>51</v>
      </c>
      <c r="AB3506" t="s">
        <v>54</v>
      </c>
      <c r="AC3506">
        <v>1</v>
      </c>
      <c r="AE3506" t="s">
        <v>827</v>
      </c>
      <c r="AF3506">
        <v>20</v>
      </c>
      <c r="AG3506" s="1">
        <v>33572</v>
      </c>
      <c r="AH3506" s="1">
        <v>33572</v>
      </c>
      <c r="AI3506" s="1">
        <v>33572</v>
      </c>
      <c r="AJ3506" s="1">
        <v>40877</v>
      </c>
      <c r="AK3506" t="s">
        <v>51</v>
      </c>
      <c r="AN3506">
        <v>0</v>
      </c>
      <c r="AO3506" t="s">
        <v>54</v>
      </c>
      <c r="AP3506" t="s">
        <v>53</v>
      </c>
      <c r="AQ3506">
        <v>0</v>
      </c>
      <c r="AR3506" t="s">
        <v>53</v>
      </c>
      <c r="AS3506">
        <v>0</v>
      </c>
      <c r="AT3506">
        <v>0</v>
      </c>
      <c r="CC3506" t="s">
        <v>850</v>
      </c>
      <c r="CD3506">
        <v>1</v>
      </c>
      <c r="CE3506" s="1">
        <v>42552</v>
      </c>
      <c r="CF3506" s="1">
        <v>42552</v>
      </c>
      <c r="CG3506" s="1">
        <v>42552</v>
      </c>
      <c r="CH3506" s="1">
        <v>49714</v>
      </c>
      <c r="CI3506" t="s">
        <v>51</v>
      </c>
      <c r="CK3506" t="s">
        <v>78</v>
      </c>
      <c r="CM3506" t="s">
        <v>54</v>
      </c>
      <c r="CN3506" t="s">
        <v>174</v>
      </c>
      <c r="CO3506" t="s">
        <v>86</v>
      </c>
      <c r="CR3506">
        <v>18</v>
      </c>
      <c r="CS3506">
        <v>0</v>
      </c>
      <c r="CT3506">
        <v>0</v>
      </c>
      <c r="CU3506">
        <v>0</v>
      </c>
    </row>
    <row r="3507" spans="1:99" x14ac:dyDescent="0.2">
      <c r="A3507" t="s">
        <v>367</v>
      </c>
      <c r="B3507" t="s">
        <v>368</v>
      </c>
      <c r="C3507" t="s">
        <v>369</v>
      </c>
      <c r="D3507" t="s">
        <v>1184</v>
      </c>
      <c r="F3507" t="str">
        <f>"89946"</f>
        <v>89946</v>
      </c>
      <c r="G3507" t="s">
        <v>49</v>
      </c>
      <c r="H3507" t="s">
        <v>1561</v>
      </c>
      <c r="K3507" t="s">
        <v>51</v>
      </c>
      <c r="L3507" t="s">
        <v>52</v>
      </c>
      <c r="M3507">
        <v>137982.51</v>
      </c>
      <c r="N3507">
        <v>468210.51</v>
      </c>
      <c r="O3507" t="s">
        <v>53</v>
      </c>
      <c r="P3507" t="s">
        <v>54</v>
      </c>
      <c r="Q3507" t="s">
        <v>55</v>
      </c>
      <c r="T3507" t="s">
        <v>818</v>
      </c>
      <c r="U3507">
        <v>40</v>
      </c>
      <c r="V3507" s="1">
        <v>33644</v>
      </c>
      <c r="W3507" s="1">
        <v>33644</v>
      </c>
      <c r="X3507" s="1">
        <v>33644</v>
      </c>
      <c r="Y3507" s="1">
        <v>48254</v>
      </c>
      <c r="Z3507" t="s">
        <v>51</v>
      </c>
      <c r="AB3507" t="s">
        <v>54</v>
      </c>
      <c r="AC3507">
        <v>1</v>
      </c>
      <c r="AE3507" t="s">
        <v>827</v>
      </c>
      <c r="AF3507">
        <v>20</v>
      </c>
      <c r="AG3507" s="1">
        <v>33644</v>
      </c>
      <c r="AH3507" s="1">
        <v>33644</v>
      </c>
      <c r="AI3507" s="1">
        <v>33644</v>
      </c>
      <c r="AJ3507" s="1">
        <v>40949</v>
      </c>
      <c r="AK3507" t="s">
        <v>51</v>
      </c>
      <c r="AN3507">
        <v>0</v>
      </c>
      <c r="AO3507" t="s">
        <v>54</v>
      </c>
      <c r="AP3507" t="s">
        <v>53</v>
      </c>
      <c r="AQ3507">
        <v>0</v>
      </c>
      <c r="AR3507" t="s">
        <v>53</v>
      </c>
      <c r="AS3507">
        <v>0</v>
      </c>
      <c r="AT3507">
        <v>0</v>
      </c>
      <c r="CC3507" t="s">
        <v>850</v>
      </c>
      <c r="CD3507">
        <v>1</v>
      </c>
      <c r="CE3507" s="1">
        <v>44082</v>
      </c>
      <c r="CF3507" s="1">
        <v>44082</v>
      </c>
      <c r="CG3507" s="1">
        <v>44082</v>
      </c>
      <c r="CH3507" s="1">
        <v>44082</v>
      </c>
      <c r="CI3507" t="s">
        <v>51</v>
      </c>
      <c r="CK3507" t="s">
        <v>78</v>
      </c>
      <c r="CM3507" t="s">
        <v>54</v>
      </c>
      <c r="CN3507" t="s">
        <v>174</v>
      </c>
      <c r="CO3507" t="s">
        <v>86</v>
      </c>
      <c r="CR3507">
        <v>18</v>
      </c>
      <c r="CS3507">
        <v>0</v>
      </c>
      <c r="CT3507">
        <v>0</v>
      </c>
      <c r="CU3507">
        <v>0</v>
      </c>
    </row>
    <row r="3508" spans="1:99" x14ac:dyDescent="0.2">
      <c r="A3508" t="s">
        <v>367</v>
      </c>
      <c r="B3508" t="s">
        <v>368</v>
      </c>
      <c r="C3508" t="s">
        <v>369</v>
      </c>
      <c r="D3508" t="s">
        <v>1562</v>
      </c>
      <c r="F3508" t="str">
        <f>"98973"</f>
        <v>98973</v>
      </c>
      <c r="G3508" t="s">
        <v>49</v>
      </c>
      <c r="H3508" t="s">
        <v>1563</v>
      </c>
      <c r="K3508" t="s">
        <v>51</v>
      </c>
      <c r="L3508" t="s">
        <v>52</v>
      </c>
      <c r="M3508">
        <v>137659.60999999999</v>
      </c>
      <c r="N3508">
        <v>468223.47</v>
      </c>
      <c r="O3508" t="s">
        <v>53</v>
      </c>
      <c r="P3508" t="s">
        <v>54</v>
      </c>
      <c r="Q3508" t="s">
        <v>55</v>
      </c>
      <c r="T3508" t="s">
        <v>818</v>
      </c>
      <c r="U3508">
        <v>40</v>
      </c>
      <c r="V3508" s="1">
        <v>34619</v>
      </c>
      <c r="W3508" s="1">
        <v>34619</v>
      </c>
      <c r="X3508" s="1">
        <v>34619</v>
      </c>
      <c r="Y3508" s="1">
        <v>49229</v>
      </c>
      <c r="Z3508" t="s">
        <v>51</v>
      </c>
      <c r="AB3508" t="s">
        <v>54</v>
      </c>
      <c r="AC3508">
        <v>1</v>
      </c>
      <c r="AE3508" t="s">
        <v>827</v>
      </c>
      <c r="AF3508">
        <v>20</v>
      </c>
      <c r="AG3508" s="1">
        <v>34619</v>
      </c>
      <c r="AH3508" s="1">
        <v>34619</v>
      </c>
      <c r="AI3508" s="1">
        <v>34619</v>
      </c>
      <c r="AJ3508" s="1">
        <v>41924</v>
      </c>
      <c r="AK3508" t="s">
        <v>51</v>
      </c>
      <c r="AN3508">
        <v>0</v>
      </c>
      <c r="AO3508" t="s">
        <v>54</v>
      </c>
      <c r="AP3508" t="s">
        <v>53</v>
      </c>
      <c r="AQ3508">
        <v>0</v>
      </c>
      <c r="AR3508" t="s">
        <v>53</v>
      </c>
      <c r="AS3508">
        <v>0</v>
      </c>
      <c r="AT3508">
        <v>0</v>
      </c>
      <c r="CC3508" t="s">
        <v>850</v>
      </c>
      <c r="CD3508">
        <v>1</v>
      </c>
      <c r="CE3508" s="1">
        <v>42552</v>
      </c>
      <c r="CF3508" s="1">
        <v>42552</v>
      </c>
      <c r="CG3508" s="1">
        <v>42552</v>
      </c>
      <c r="CH3508" s="1">
        <v>49714</v>
      </c>
      <c r="CI3508" t="s">
        <v>51</v>
      </c>
      <c r="CK3508" t="s">
        <v>78</v>
      </c>
      <c r="CM3508" t="s">
        <v>54</v>
      </c>
      <c r="CN3508" t="s">
        <v>174</v>
      </c>
      <c r="CO3508" t="s">
        <v>86</v>
      </c>
      <c r="CR3508">
        <v>18</v>
      </c>
      <c r="CS3508">
        <v>0</v>
      </c>
      <c r="CT3508">
        <v>0</v>
      </c>
      <c r="CU3508">
        <v>0</v>
      </c>
    </row>
    <row r="3509" spans="1:99" x14ac:dyDescent="0.2">
      <c r="A3509" t="s">
        <v>367</v>
      </c>
      <c r="B3509" t="s">
        <v>368</v>
      </c>
      <c r="C3509" t="s">
        <v>369</v>
      </c>
      <c r="D3509" t="s">
        <v>1562</v>
      </c>
      <c r="F3509" t="str">
        <f>"98975"</f>
        <v>98975</v>
      </c>
      <c r="G3509" t="s">
        <v>49</v>
      </c>
      <c r="H3509" t="s">
        <v>1312</v>
      </c>
      <c r="K3509" t="s">
        <v>51</v>
      </c>
      <c r="L3509" t="s">
        <v>52</v>
      </c>
      <c r="M3509">
        <v>137720.17000000001</v>
      </c>
      <c r="N3509">
        <v>468223.5</v>
      </c>
      <c r="O3509" t="s">
        <v>53</v>
      </c>
      <c r="P3509" t="s">
        <v>54</v>
      </c>
      <c r="Q3509" t="s">
        <v>55</v>
      </c>
      <c r="T3509" t="s">
        <v>818</v>
      </c>
      <c r="U3509">
        <v>40</v>
      </c>
      <c r="V3509" s="1">
        <v>34619</v>
      </c>
      <c r="W3509" s="1">
        <v>34619</v>
      </c>
      <c r="X3509" s="1">
        <v>34619</v>
      </c>
      <c r="Y3509" s="1">
        <v>49229</v>
      </c>
      <c r="Z3509" t="s">
        <v>51</v>
      </c>
      <c r="AB3509" t="s">
        <v>54</v>
      </c>
      <c r="AC3509">
        <v>1</v>
      </c>
      <c r="AE3509" t="s">
        <v>827</v>
      </c>
      <c r="AF3509">
        <v>20</v>
      </c>
      <c r="AG3509" s="1">
        <v>34619</v>
      </c>
      <c r="AH3509" s="1">
        <v>34619</v>
      </c>
      <c r="AI3509" s="1">
        <v>34619</v>
      </c>
      <c r="AJ3509" s="1">
        <v>41924</v>
      </c>
      <c r="AK3509" t="s">
        <v>51</v>
      </c>
      <c r="AN3509">
        <v>0</v>
      </c>
      <c r="AO3509" t="s">
        <v>54</v>
      </c>
      <c r="AP3509" t="s">
        <v>53</v>
      </c>
      <c r="AQ3509">
        <v>0</v>
      </c>
      <c r="AR3509" t="s">
        <v>53</v>
      </c>
      <c r="AS3509">
        <v>0</v>
      </c>
      <c r="AT3509">
        <v>0</v>
      </c>
      <c r="CC3509" t="s">
        <v>850</v>
      </c>
      <c r="CD3509">
        <v>1</v>
      </c>
      <c r="CE3509" s="1">
        <v>42552</v>
      </c>
      <c r="CF3509" s="1">
        <v>42552</v>
      </c>
      <c r="CG3509" s="1">
        <v>42552</v>
      </c>
      <c r="CH3509" s="1">
        <v>49714</v>
      </c>
      <c r="CI3509" t="s">
        <v>51</v>
      </c>
      <c r="CK3509" t="s">
        <v>78</v>
      </c>
      <c r="CM3509" t="s">
        <v>54</v>
      </c>
      <c r="CN3509" t="s">
        <v>174</v>
      </c>
      <c r="CO3509" t="s">
        <v>86</v>
      </c>
      <c r="CR3509">
        <v>18</v>
      </c>
      <c r="CS3509">
        <v>0</v>
      </c>
      <c r="CT3509">
        <v>0</v>
      </c>
      <c r="CU3509">
        <v>0</v>
      </c>
    </row>
    <row r="3510" spans="1:99" x14ac:dyDescent="0.2">
      <c r="A3510" t="s">
        <v>367</v>
      </c>
      <c r="B3510" t="s">
        <v>368</v>
      </c>
      <c r="C3510" t="s">
        <v>369</v>
      </c>
      <c r="D3510" t="s">
        <v>1184</v>
      </c>
      <c r="F3510" t="str">
        <f>"99206"</f>
        <v>99206</v>
      </c>
      <c r="G3510" t="s">
        <v>49</v>
      </c>
      <c r="H3510" t="s">
        <v>1564</v>
      </c>
      <c r="K3510" t="s">
        <v>51</v>
      </c>
      <c r="L3510" t="s">
        <v>52</v>
      </c>
      <c r="M3510">
        <v>137943.16</v>
      </c>
      <c r="N3510">
        <v>468290.95</v>
      </c>
      <c r="O3510" t="s">
        <v>53</v>
      </c>
      <c r="P3510" t="s">
        <v>54</v>
      </c>
      <c r="Q3510" t="s">
        <v>55</v>
      </c>
      <c r="T3510" t="s">
        <v>841</v>
      </c>
      <c r="U3510">
        <v>40</v>
      </c>
      <c r="V3510" s="1">
        <v>33493</v>
      </c>
      <c r="W3510" s="1">
        <v>33493</v>
      </c>
      <c r="X3510" s="1">
        <v>33493</v>
      </c>
      <c r="Y3510" s="1">
        <v>48103</v>
      </c>
      <c r="Z3510" t="s">
        <v>51</v>
      </c>
      <c r="AB3510" t="s">
        <v>54</v>
      </c>
      <c r="AC3510">
        <v>1</v>
      </c>
      <c r="AE3510" t="s">
        <v>1212</v>
      </c>
      <c r="AF3510">
        <v>20</v>
      </c>
      <c r="AG3510" s="1">
        <v>33493</v>
      </c>
      <c r="AH3510" s="1">
        <v>33493</v>
      </c>
      <c r="AI3510" s="1">
        <v>33493</v>
      </c>
      <c r="AJ3510" s="1">
        <v>40798</v>
      </c>
      <c r="AK3510" t="s">
        <v>51</v>
      </c>
      <c r="AN3510">
        <v>0</v>
      </c>
      <c r="AO3510" t="s">
        <v>54</v>
      </c>
      <c r="AP3510" t="s">
        <v>53</v>
      </c>
      <c r="AQ3510">
        <v>0</v>
      </c>
      <c r="AR3510" t="s">
        <v>53</v>
      </c>
      <c r="AS3510">
        <v>0</v>
      </c>
      <c r="AT3510">
        <v>0</v>
      </c>
      <c r="CC3510" t="s">
        <v>850</v>
      </c>
      <c r="CD3510">
        <v>1</v>
      </c>
      <c r="CE3510" s="1">
        <v>44768</v>
      </c>
      <c r="CF3510" s="1">
        <v>44768</v>
      </c>
      <c r="CG3510" s="1">
        <v>44768</v>
      </c>
      <c r="CH3510" s="1">
        <v>51918</v>
      </c>
      <c r="CI3510" t="s">
        <v>51</v>
      </c>
      <c r="CK3510" t="s">
        <v>78</v>
      </c>
      <c r="CM3510" t="s">
        <v>54</v>
      </c>
      <c r="CN3510" t="s">
        <v>174</v>
      </c>
      <c r="CO3510" t="s">
        <v>86</v>
      </c>
      <c r="CR3510">
        <v>18</v>
      </c>
      <c r="CS3510">
        <v>0</v>
      </c>
      <c r="CT3510">
        <v>0</v>
      </c>
      <c r="CU3510">
        <v>0</v>
      </c>
    </row>
    <row r="3511" spans="1:99" x14ac:dyDescent="0.2">
      <c r="A3511" t="s">
        <v>367</v>
      </c>
      <c r="B3511" t="s">
        <v>368</v>
      </c>
      <c r="C3511" t="s">
        <v>369</v>
      </c>
      <c r="D3511" t="s">
        <v>1261</v>
      </c>
      <c r="F3511" t="str">
        <f>"99207"</f>
        <v>99207</v>
      </c>
      <c r="G3511" t="s">
        <v>49</v>
      </c>
      <c r="H3511" t="s">
        <v>1565</v>
      </c>
      <c r="K3511" t="s">
        <v>51</v>
      </c>
      <c r="L3511" t="s">
        <v>52</v>
      </c>
      <c r="M3511">
        <v>137974.89000000001</v>
      </c>
      <c r="N3511">
        <v>468328.75</v>
      </c>
      <c r="O3511" t="s">
        <v>53</v>
      </c>
      <c r="P3511" t="s">
        <v>54</v>
      </c>
      <c r="Q3511" t="s">
        <v>55</v>
      </c>
      <c r="T3511" t="s">
        <v>841</v>
      </c>
      <c r="U3511">
        <v>40</v>
      </c>
      <c r="V3511" s="1">
        <v>33493</v>
      </c>
      <c r="W3511" s="1">
        <v>33493</v>
      </c>
      <c r="X3511" s="1">
        <v>33493</v>
      </c>
      <c r="Y3511" s="1">
        <v>48103</v>
      </c>
      <c r="Z3511" t="s">
        <v>51</v>
      </c>
      <c r="AB3511" t="s">
        <v>54</v>
      </c>
      <c r="AC3511">
        <v>1</v>
      </c>
      <c r="AE3511" t="s">
        <v>1212</v>
      </c>
      <c r="AF3511">
        <v>20</v>
      </c>
      <c r="AG3511" s="1">
        <v>33493</v>
      </c>
      <c r="AH3511" s="1">
        <v>33493</v>
      </c>
      <c r="AI3511" s="1">
        <v>33493</v>
      </c>
      <c r="AJ3511" s="1">
        <v>40798</v>
      </c>
      <c r="AK3511" t="s">
        <v>51</v>
      </c>
      <c r="AN3511">
        <v>0</v>
      </c>
      <c r="AO3511" t="s">
        <v>54</v>
      </c>
      <c r="AP3511" t="s">
        <v>53</v>
      </c>
      <c r="AQ3511">
        <v>0</v>
      </c>
      <c r="AR3511" t="s">
        <v>53</v>
      </c>
      <c r="AS3511">
        <v>0</v>
      </c>
      <c r="AT3511">
        <v>0</v>
      </c>
      <c r="CC3511" t="s">
        <v>850</v>
      </c>
      <c r="CD3511">
        <v>1</v>
      </c>
      <c r="CE3511" s="1">
        <v>42552</v>
      </c>
      <c r="CF3511" s="1">
        <v>42552</v>
      </c>
      <c r="CG3511" s="1">
        <v>42552</v>
      </c>
      <c r="CH3511" s="1">
        <v>49714</v>
      </c>
      <c r="CI3511" t="s">
        <v>51</v>
      </c>
      <c r="CK3511" t="s">
        <v>78</v>
      </c>
      <c r="CM3511" t="s">
        <v>54</v>
      </c>
      <c r="CN3511" t="s">
        <v>174</v>
      </c>
      <c r="CO3511" t="s">
        <v>86</v>
      </c>
      <c r="CR3511">
        <v>18</v>
      </c>
      <c r="CS3511">
        <v>0</v>
      </c>
      <c r="CT3511">
        <v>0</v>
      </c>
      <c r="CU3511">
        <v>0</v>
      </c>
    </row>
    <row r="3512" spans="1:99" x14ac:dyDescent="0.2">
      <c r="A3512" t="s">
        <v>367</v>
      </c>
      <c r="B3512" t="s">
        <v>368</v>
      </c>
      <c r="C3512" t="s">
        <v>369</v>
      </c>
      <c r="D3512" t="s">
        <v>1187</v>
      </c>
      <c r="F3512" t="str">
        <f>"99208"</f>
        <v>99208</v>
      </c>
      <c r="G3512" t="s">
        <v>49</v>
      </c>
      <c r="H3512" t="s">
        <v>1566</v>
      </c>
      <c r="K3512" t="s">
        <v>51</v>
      </c>
      <c r="L3512" t="s">
        <v>52</v>
      </c>
      <c r="M3512">
        <v>138002.15</v>
      </c>
      <c r="N3512">
        <v>468316.3</v>
      </c>
      <c r="O3512" t="s">
        <v>53</v>
      </c>
      <c r="P3512" t="s">
        <v>54</v>
      </c>
      <c r="Q3512" t="s">
        <v>55</v>
      </c>
      <c r="T3512" t="s">
        <v>841</v>
      </c>
      <c r="U3512">
        <v>40</v>
      </c>
      <c r="V3512" s="1">
        <v>33493</v>
      </c>
      <c r="W3512" s="1">
        <v>33493</v>
      </c>
      <c r="X3512" s="1">
        <v>33493</v>
      </c>
      <c r="Y3512" s="1">
        <v>48103</v>
      </c>
      <c r="Z3512" t="s">
        <v>51</v>
      </c>
      <c r="AB3512" t="s">
        <v>54</v>
      </c>
      <c r="AC3512">
        <v>1</v>
      </c>
      <c r="AE3512" t="s">
        <v>1212</v>
      </c>
      <c r="AF3512">
        <v>20</v>
      </c>
      <c r="AG3512" s="1">
        <v>33493</v>
      </c>
      <c r="AH3512" s="1">
        <v>33493</v>
      </c>
      <c r="AI3512" s="1">
        <v>33493</v>
      </c>
      <c r="AJ3512" s="1">
        <v>40798</v>
      </c>
      <c r="AK3512" t="s">
        <v>51</v>
      </c>
      <c r="AN3512">
        <v>0</v>
      </c>
      <c r="AO3512" t="s">
        <v>54</v>
      </c>
      <c r="AP3512" t="s">
        <v>53</v>
      </c>
      <c r="AQ3512">
        <v>0</v>
      </c>
      <c r="AR3512" t="s">
        <v>53</v>
      </c>
      <c r="AS3512">
        <v>0</v>
      </c>
      <c r="AT3512">
        <v>0</v>
      </c>
      <c r="CC3512" t="s">
        <v>850</v>
      </c>
      <c r="CD3512">
        <v>1</v>
      </c>
      <c r="CE3512" s="1">
        <v>42552</v>
      </c>
      <c r="CF3512" s="1">
        <v>42552</v>
      </c>
      <c r="CG3512" s="1">
        <v>42552</v>
      </c>
      <c r="CH3512" s="1">
        <v>49714</v>
      </c>
      <c r="CI3512" t="s">
        <v>51</v>
      </c>
      <c r="CK3512" t="s">
        <v>78</v>
      </c>
      <c r="CM3512" t="s">
        <v>54</v>
      </c>
      <c r="CN3512" t="s">
        <v>174</v>
      </c>
      <c r="CO3512" t="s">
        <v>86</v>
      </c>
      <c r="CR3512">
        <v>18</v>
      </c>
      <c r="CS3512">
        <v>0</v>
      </c>
      <c r="CT3512">
        <v>0</v>
      </c>
      <c r="CU3512">
        <v>0</v>
      </c>
    </row>
    <row r="3513" spans="1:99" x14ac:dyDescent="0.2">
      <c r="A3513" t="s">
        <v>367</v>
      </c>
      <c r="B3513" t="s">
        <v>368</v>
      </c>
      <c r="C3513" t="s">
        <v>369</v>
      </c>
      <c r="D3513" t="s">
        <v>1187</v>
      </c>
      <c r="F3513" t="str">
        <f>"99209"</f>
        <v>99209</v>
      </c>
      <c r="G3513" t="s">
        <v>49</v>
      </c>
      <c r="H3513" t="s">
        <v>1478</v>
      </c>
      <c r="K3513" t="s">
        <v>51</v>
      </c>
      <c r="L3513" t="s">
        <v>52</v>
      </c>
      <c r="M3513">
        <v>138017.98000000001</v>
      </c>
      <c r="N3513">
        <v>468294.92</v>
      </c>
      <c r="O3513" t="s">
        <v>53</v>
      </c>
      <c r="P3513" t="s">
        <v>54</v>
      </c>
      <c r="Q3513" t="s">
        <v>55</v>
      </c>
      <c r="T3513" t="s">
        <v>841</v>
      </c>
      <c r="U3513">
        <v>40</v>
      </c>
      <c r="V3513" s="1">
        <v>33493</v>
      </c>
      <c r="W3513" s="1">
        <v>33493</v>
      </c>
      <c r="X3513" s="1">
        <v>33493</v>
      </c>
      <c r="Y3513" s="1">
        <v>48103</v>
      </c>
      <c r="Z3513" t="s">
        <v>51</v>
      </c>
      <c r="AB3513" t="s">
        <v>54</v>
      </c>
      <c r="AC3513">
        <v>1</v>
      </c>
      <c r="AE3513" t="s">
        <v>1212</v>
      </c>
      <c r="AF3513">
        <v>20</v>
      </c>
      <c r="AG3513" s="1">
        <v>33493</v>
      </c>
      <c r="AH3513" s="1">
        <v>33493</v>
      </c>
      <c r="AI3513" s="1">
        <v>33493</v>
      </c>
      <c r="AJ3513" s="1">
        <v>40798</v>
      </c>
      <c r="AK3513" t="s">
        <v>51</v>
      </c>
      <c r="AN3513">
        <v>0</v>
      </c>
      <c r="AO3513" t="s">
        <v>54</v>
      </c>
      <c r="AP3513" t="s">
        <v>53</v>
      </c>
      <c r="AQ3513">
        <v>0</v>
      </c>
      <c r="AR3513" t="s">
        <v>53</v>
      </c>
      <c r="AS3513">
        <v>0</v>
      </c>
      <c r="AT3513">
        <v>0</v>
      </c>
      <c r="CC3513" t="s">
        <v>850</v>
      </c>
      <c r="CD3513">
        <v>1</v>
      </c>
      <c r="CE3513" s="1">
        <v>42552</v>
      </c>
      <c r="CF3513" s="1">
        <v>42552</v>
      </c>
      <c r="CG3513" s="1">
        <v>42552</v>
      </c>
      <c r="CH3513" s="1">
        <v>49714</v>
      </c>
      <c r="CI3513" t="s">
        <v>51</v>
      </c>
      <c r="CK3513" t="s">
        <v>78</v>
      </c>
      <c r="CM3513" t="s">
        <v>54</v>
      </c>
      <c r="CN3513" t="s">
        <v>174</v>
      </c>
      <c r="CO3513" t="s">
        <v>86</v>
      </c>
      <c r="CR3513">
        <v>18</v>
      </c>
      <c r="CS3513">
        <v>0</v>
      </c>
      <c r="CT3513">
        <v>0</v>
      </c>
      <c r="CU3513">
        <v>0</v>
      </c>
    </row>
    <row r="3514" spans="1:99" x14ac:dyDescent="0.2">
      <c r="A3514" t="s">
        <v>367</v>
      </c>
      <c r="B3514" t="s">
        <v>368</v>
      </c>
      <c r="C3514" t="s">
        <v>369</v>
      </c>
      <c r="D3514" t="s">
        <v>1187</v>
      </c>
      <c r="F3514" t="str">
        <f>"99210"</f>
        <v>99210</v>
      </c>
      <c r="G3514" t="s">
        <v>49</v>
      </c>
      <c r="H3514" t="s">
        <v>1547</v>
      </c>
      <c r="K3514" t="s">
        <v>51</v>
      </c>
      <c r="L3514" t="s">
        <v>52</v>
      </c>
      <c r="M3514">
        <v>138026.82999999999</v>
      </c>
      <c r="N3514">
        <v>468265.35</v>
      </c>
      <c r="O3514" t="s">
        <v>53</v>
      </c>
      <c r="P3514" t="s">
        <v>54</v>
      </c>
      <c r="Q3514" t="s">
        <v>55</v>
      </c>
      <c r="T3514" t="s">
        <v>841</v>
      </c>
      <c r="U3514">
        <v>40</v>
      </c>
      <c r="V3514" s="1">
        <v>33493</v>
      </c>
      <c r="W3514" s="1">
        <v>33493</v>
      </c>
      <c r="X3514" s="1">
        <v>33493</v>
      </c>
      <c r="Y3514" s="1">
        <v>48103</v>
      </c>
      <c r="Z3514" t="s">
        <v>51</v>
      </c>
      <c r="AB3514" t="s">
        <v>54</v>
      </c>
      <c r="AC3514">
        <v>1</v>
      </c>
      <c r="AE3514" t="s">
        <v>1212</v>
      </c>
      <c r="AF3514">
        <v>20</v>
      </c>
      <c r="AG3514" s="1">
        <v>33493</v>
      </c>
      <c r="AH3514" s="1">
        <v>33493</v>
      </c>
      <c r="AI3514" s="1">
        <v>33493</v>
      </c>
      <c r="AJ3514" s="1">
        <v>40798</v>
      </c>
      <c r="AK3514" t="s">
        <v>51</v>
      </c>
      <c r="AN3514">
        <v>0</v>
      </c>
      <c r="AO3514" t="s">
        <v>54</v>
      </c>
      <c r="AP3514" t="s">
        <v>53</v>
      </c>
      <c r="AQ3514">
        <v>0</v>
      </c>
      <c r="AR3514" t="s">
        <v>53</v>
      </c>
      <c r="AS3514">
        <v>0</v>
      </c>
      <c r="AT3514">
        <v>0</v>
      </c>
      <c r="CC3514" t="s">
        <v>850</v>
      </c>
      <c r="CD3514">
        <v>1</v>
      </c>
      <c r="CE3514" s="1">
        <v>42552</v>
      </c>
      <c r="CF3514" s="1">
        <v>42552</v>
      </c>
      <c r="CG3514" s="1">
        <v>42552</v>
      </c>
      <c r="CH3514" s="1">
        <v>42552</v>
      </c>
      <c r="CI3514" t="s">
        <v>51</v>
      </c>
      <c r="CK3514" t="s">
        <v>78</v>
      </c>
      <c r="CM3514" t="s">
        <v>54</v>
      </c>
      <c r="CN3514" t="s">
        <v>174</v>
      </c>
      <c r="CO3514" t="s">
        <v>86</v>
      </c>
      <c r="CR3514">
        <v>18</v>
      </c>
      <c r="CS3514">
        <v>0</v>
      </c>
      <c r="CT3514">
        <v>0</v>
      </c>
      <c r="CU3514">
        <v>0</v>
      </c>
    </row>
    <row r="3515" spans="1:99" x14ac:dyDescent="0.2">
      <c r="A3515" t="s">
        <v>367</v>
      </c>
      <c r="B3515" t="s">
        <v>368</v>
      </c>
      <c r="C3515" t="s">
        <v>369</v>
      </c>
      <c r="D3515" t="s">
        <v>1187</v>
      </c>
      <c r="F3515" t="str">
        <f>"99211"</f>
        <v>99211</v>
      </c>
      <c r="G3515" t="s">
        <v>49</v>
      </c>
      <c r="H3515" t="s">
        <v>1567</v>
      </c>
      <c r="K3515" t="s">
        <v>51</v>
      </c>
      <c r="L3515" t="s">
        <v>52</v>
      </c>
      <c r="M3515">
        <v>138036.76</v>
      </c>
      <c r="N3515">
        <v>468233.12</v>
      </c>
      <c r="O3515" t="s">
        <v>53</v>
      </c>
      <c r="P3515" t="s">
        <v>54</v>
      </c>
      <c r="Q3515" t="s">
        <v>55</v>
      </c>
      <c r="T3515" t="s">
        <v>841</v>
      </c>
      <c r="U3515">
        <v>40</v>
      </c>
      <c r="V3515" s="1">
        <v>33493</v>
      </c>
      <c r="W3515" s="1">
        <v>33493</v>
      </c>
      <c r="X3515" s="1">
        <v>33493</v>
      </c>
      <c r="Y3515" s="1">
        <v>48103</v>
      </c>
      <c r="Z3515" t="s">
        <v>51</v>
      </c>
      <c r="AB3515" t="s">
        <v>54</v>
      </c>
      <c r="AC3515">
        <v>1</v>
      </c>
      <c r="AE3515" t="s">
        <v>1212</v>
      </c>
      <c r="AF3515">
        <v>20</v>
      </c>
      <c r="AG3515" s="1">
        <v>33493</v>
      </c>
      <c r="AH3515" s="1">
        <v>33493</v>
      </c>
      <c r="AI3515" s="1">
        <v>33493</v>
      </c>
      <c r="AJ3515" s="1">
        <v>40798</v>
      </c>
      <c r="AK3515" t="s">
        <v>51</v>
      </c>
      <c r="AN3515">
        <v>0</v>
      </c>
      <c r="AO3515" t="s">
        <v>54</v>
      </c>
      <c r="AP3515" t="s">
        <v>53</v>
      </c>
      <c r="AQ3515">
        <v>0</v>
      </c>
      <c r="AR3515" t="s">
        <v>53</v>
      </c>
      <c r="AS3515">
        <v>0</v>
      </c>
      <c r="AT3515">
        <v>0</v>
      </c>
      <c r="CC3515" t="s">
        <v>850</v>
      </c>
      <c r="CD3515">
        <v>1</v>
      </c>
      <c r="CE3515" s="1">
        <v>42552</v>
      </c>
      <c r="CF3515" s="1">
        <v>42552</v>
      </c>
      <c r="CG3515" s="1">
        <v>42552</v>
      </c>
      <c r="CH3515" s="1">
        <v>49714</v>
      </c>
      <c r="CI3515" t="s">
        <v>51</v>
      </c>
      <c r="CK3515" t="s">
        <v>78</v>
      </c>
      <c r="CM3515" t="s">
        <v>54</v>
      </c>
      <c r="CN3515" t="s">
        <v>174</v>
      </c>
      <c r="CO3515" t="s">
        <v>86</v>
      </c>
      <c r="CR3515">
        <v>18</v>
      </c>
      <c r="CS3515">
        <v>0</v>
      </c>
      <c r="CT3515">
        <v>0</v>
      </c>
      <c r="CU3515">
        <v>0</v>
      </c>
    </row>
    <row r="3516" spans="1:99" x14ac:dyDescent="0.2">
      <c r="A3516" t="s">
        <v>367</v>
      </c>
      <c r="B3516" t="s">
        <v>368</v>
      </c>
      <c r="C3516" t="s">
        <v>369</v>
      </c>
      <c r="D3516" t="s">
        <v>1187</v>
      </c>
      <c r="F3516" t="str">
        <f>"99212"</f>
        <v>99212</v>
      </c>
      <c r="G3516" t="s">
        <v>49</v>
      </c>
      <c r="H3516" t="s">
        <v>1568</v>
      </c>
      <c r="K3516" t="s">
        <v>51</v>
      </c>
      <c r="L3516" t="s">
        <v>52</v>
      </c>
      <c r="M3516">
        <v>138042.78</v>
      </c>
      <c r="N3516">
        <v>468205.54</v>
      </c>
      <c r="O3516" t="s">
        <v>53</v>
      </c>
      <c r="P3516" t="s">
        <v>54</v>
      </c>
      <c r="Q3516" t="s">
        <v>55</v>
      </c>
      <c r="T3516" t="s">
        <v>841</v>
      </c>
      <c r="U3516">
        <v>40</v>
      </c>
      <c r="V3516" s="1">
        <v>33493</v>
      </c>
      <c r="W3516" s="1">
        <v>33493</v>
      </c>
      <c r="X3516" s="1">
        <v>33493</v>
      </c>
      <c r="Y3516" s="1">
        <v>48103</v>
      </c>
      <c r="Z3516" t="s">
        <v>51</v>
      </c>
      <c r="AB3516" t="s">
        <v>54</v>
      </c>
      <c r="AC3516">
        <v>1</v>
      </c>
      <c r="AE3516" t="s">
        <v>1212</v>
      </c>
      <c r="AF3516">
        <v>20</v>
      </c>
      <c r="AG3516" s="1">
        <v>33493</v>
      </c>
      <c r="AH3516" s="1">
        <v>33493</v>
      </c>
      <c r="AI3516" s="1">
        <v>33493</v>
      </c>
      <c r="AJ3516" s="1">
        <v>40798</v>
      </c>
      <c r="AK3516" t="s">
        <v>51</v>
      </c>
      <c r="AN3516">
        <v>0</v>
      </c>
      <c r="AO3516" t="s">
        <v>54</v>
      </c>
      <c r="AP3516" t="s">
        <v>53</v>
      </c>
      <c r="AQ3516">
        <v>0</v>
      </c>
      <c r="AR3516" t="s">
        <v>53</v>
      </c>
      <c r="AS3516">
        <v>0</v>
      </c>
      <c r="AT3516">
        <v>0</v>
      </c>
      <c r="CC3516" t="s">
        <v>850</v>
      </c>
      <c r="CD3516">
        <v>1</v>
      </c>
      <c r="CE3516" s="1">
        <v>42552</v>
      </c>
      <c r="CF3516" s="1">
        <v>42552</v>
      </c>
      <c r="CG3516" s="1">
        <v>42552</v>
      </c>
      <c r="CH3516" s="1">
        <v>49714</v>
      </c>
      <c r="CI3516" t="s">
        <v>51</v>
      </c>
      <c r="CK3516" t="s">
        <v>78</v>
      </c>
      <c r="CM3516" t="s">
        <v>54</v>
      </c>
      <c r="CN3516" t="s">
        <v>174</v>
      </c>
      <c r="CO3516" t="s">
        <v>86</v>
      </c>
      <c r="CR3516">
        <v>18</v>
      </c>
      <c r="CS3516">
        <v>0</v>
      </c>
      <c r="CT3516">
        <v>0</v>
      </c>
      <c r="CU3516">
        <v>0</v>
      </c>
    </row>
    <row r="3517" spans="1:99" x14ac:dyDescent="0.2">
      <c r="A3517" t="s">
        <v>367</v>
      </c>
      <c r="B3517" t="s">
        <v>368</v>
      </c>
      <c r="C3517" t="s">
        <v>369</v>
      </c>
      <c r="D3517" t="s">
        <v>1187</v>
      </c>
      <c r="F3517" t="str">
        <f>"99213"</f>
        <v>99213</v>
      </c>
      <c r="G3517" t="s">
        <v>49</v>
      </c>
      <c r="H3517" t="s">
        <v>1569</v>
      </c>
      <c r="K3517" t="s">
        <v>51</v>
      </c>
      <c r="L3517" t="s">
        <v>52</v>
      </c>
      <c r="M3517">
        <v>138067.07</v>
      </c>
      <c r="N3517">
        <v>468212.68</v>
      </c>
      <c r="O3517" t="s">
        <v>53</v>
      </c>
      <c r="P3517" t="s">
        <v>54</v>
      </c>
      <c r="Q3517" t="s">
        <v>55</v>
      </c>
      <c r="T3517" t="s">
        <v>818</v>
      </c>
      <c r="U3517">
        <v>40</v>
      </c>
      <c r="V3517" s="1">
        <v>33493</v>
      </c>
      <c r="W3517" s="1">
        <v>33493</v>
      </c>
      <c r="X3517" s="1">
        <v>33493</v>
      </c>
      <c r="Y3517" s="1">
        <v>48103</v>
      </c>
      <c r="Z3517" t="s">
        <v>51</v>
      </c>
      <c r="AB3517" t="s">
        <v>54</v>
      </c>
      <c r="AC3517">
        <v>1</v>
      </c>
      <c r="AE3517" t="s">
        <v>827</v>
      </c>
      <c r="AF3517">
        <v>20</v>
      </c>
      <c r="AG3517" s="1">
        <v>33493</v>
      </c>
      <c r="AH3517" s="1">
        <v>33493</v>
      </c>
      <c r="AI3517" s="1">
        <v>33493</v>
      </c>
      <c r="AJ3517" s="1">
        <v>40798</v>
      </c>
      <c r="AK3517" t="s">
        <v>51</v>
      </c>
      <c r="AN3517">
        <v>0</v>
      </c>
      <c r="AO3517" t="s">
        <v>54</v>
      </c>
      <c r="AP3517" t="s">
        <v>53</v>
      </c>
      <c r="AQ3517">
        <v>0</v>
      </c>
      <c r="AR3517" t="s">
        <v>53</v>
      </c>
      <c r="AS3517">
        <v>0</v>
      </c>
      <c r="AT3517">
        <v>0</v>
      </c>
      <c r="CC3517" t="s">
        <v>850</v>
      </c>
      <c r="CD3517">
        <v>1</v>
      </c>
      <c r="CE3517" s="1">
        <v>42552</v>
      </c>
      <c r="CF3517" s="1">
        <v>42552</v>
      </c>
      <c r="CG3517" s="1">
        <v>42552</v>
      </c>
      <c r="CH3517" s="1">
        <v>49714</v>
      </c>
      <c r="CI3517" t="s">
        <v>51</v>
      </c>
      <c r="CK3517" t="s">
        <v>78</v>
      </c>
      <c r="CM3517" t="s">
        <v>54</v>
      </c>
      <c r="CN3517" t="s">
        <v>174</v>
      </c>
      <c r="CO3517" t="s">
        <v>86</v>
      </c>
      <c r="CR3517">
        <v>18</v>
      </c>
      <c r="CS3517">
        <v>0</v>
      </c>
      <c r="CT3517">
        <v>0</v>
      </c>
      <c r="CU3517">
        <v>0</v>
      </c>
    </row>
    <row r="3518" spans="1:99" x14ac:dyDescent="0.2">
      <c r="A3518" t="s">
        <v>367</v>
      </c>
      <c r="B3518" t="s">
        <v>368</v>
      </c>
      <c r="C3518" t="s">
        <v>369</v>
      </c>
      <c r="D3518" t="s">
        <v>1187</v>
      </c>
      <c r="F3518" t="str">
        <f>"99214"</f>
        <v>99214</v>
      </c>
      <c r="G3518" t="s">
        <v>49</v>
      </c>
      <c r="H3518" t="s">
        <v>1570</v>
      </c>
      <c r="K3518" t="s">
        <v>51</v>
      </c>
      <c r="L3518" t="s">
        <v>52</v>
      </c>
      <c r="M3518">
        <v>138045.88</v>
      </c>
      <c r="N3518">
        <v>468179.64</v>
      </c>
      <c r="O3518" t="s">
        <v>53</v>
      </c>
      <c r="P3518" t="s">
        <v>54</v>
      </c>
      <c r="Q3518" t="s">
        <v>55</v>
      </c>
      <c r="T3518" t="s">
        <v>841</v>
      </c>
      <c r="U3518">
        <v>40</v>
      </c>
      <c r="V3518" s="1">
        <v>33493</v>
      </c>
      <c r="W3518" s="1">
        <v>33493</v>
      </c>
      <c r="X3518" s="1">
        <v>33493</v>
      </c>
      <c r="Y3518" s="1">
        <v>48103</v>
      </c>
      <c r="Z3518" t="s">
        <v>51</v>
      </c>
      <c r="AB3518" t="s">
        <v>54</v>
      </c>
      <c r="AC3518">
        <v>1</v>
      </c>
      <c r="AE3518" t="s">
        <v>1212</v>
      </c>
      <c r="AF3518">
        <v>20</v>
      </c>
      <c r="AG3518" s="1">
        <v>33493</v>
      </c>
      <c r="AH3518" s="1">
        <v>33493</v>
      </c>
      <c r="AI3518" s="1">
        <v>33493</v>
      </c>
      <c r="AJ3518" s="1">
        <v>40798</v>
      </c>
      <c r="AK3518" t="s">
        <v>51</v>
      </c>
      <c r="AN3518">
        <v>0</v>
      </c>
      <c r="AO3518" t="s">
        <v>54</v>
      </c>
      <c r="AP3518" t="s">
        <v>53</v>
      </c>
      <c r="AQ3518">
        <v>0</v>
      </c>
      <c r="AR3518" t="s">
        <v>53</v>
      </c>
      <c r="AS3518">
        <v>0</v>
      </c>
      <c r="AT3518">
        <v>0</v>
      </c>
      <c r="CC3518" t="s">
        <v>850</v>
      </c>
      <c r="CD3518">
        <v>1</v>
      </c>
      <c r="CE3518" s="1">
        <v>42552</v>
      </c>
      <c r="CF3518" s="1">
        <v>42552</v>
      </c>
      <c r="CG3518" s="1">
        <v>42552</v>
      </c>
      <c r="CH3518" s="1">
        <v>49714</v>
      </c>
      <c r="CI3518" t="s">
        <v>51</v>
      </c>
      <c r="CK3518" t="s">
        <v>78</v>
      </c>
      <c r="CM3518" t="s">
        <v>54</v>
      </c>
      <c r="CN3518" t="s">
        <v>174</v>
      </c>
      <c r="CO3518" t="s">
        <v>86</v>
      </c>
      <c r="CR3518">
        <v>18</v>
      </c>
      <c r="CS3518">
        <v>0</v>
      </c>
      <c r="CT3518">
        <v>0</v>
      </c>
      <c r="CU3518">
        <v>0</v>
      </c>
    </row>
    <row r="3519" spans="1:99" x14ac:dyDescent="0.2">
      <c r="A3519" t="s">
        <v>367</v>
      </c>
      <c r="B3519" t="s">
        <v>368</v>
      </c>
      <c r="C3519" t="s">
        <v>369</v>
      </c>
      <c r="D3519" t="s">
        <v>1184</v>
      </c>
      <c r="F3519" t="str">
        <f>"99215"</f>
        <v>99215</v>
      </c>
      <c r="G3519" t="s">
        <v>49</v>
      </c>
      <c r="H3519" t="s">
        <v>1565</v>
      </c>
      <c r="K3519" t="s">
        <v>51</v>
      </c>
      <c r="L3519" t="s">
        <v>52</v>
      </c>
      <c r="M3519">
        <v>137952.37</v>
      </c>
      <c r="N3519">
        <v>468263.91</v>
      </c>
      <c r="O3519" t="s">
        <v>53</v>
      </c>
      <c r="P3519" t="s">
        <v>54</v>
      </c>
      <c r="Q3519" t="s">
        <v>55</v>
      </c>
      <c r="T3519" t="s">
        <v>841</v>
      </c>
      <c r="U3519">
        <v>40</v>
      </c>
      <c r="V3519" s="1">
        <v>33494</v>
      </c>
      <c r="W3519" s="1">
        <v>33494</v>
      </c>
      <c r="X3519" s="1">
        <v>33494</v>
      </c>
      <c r="Y3519" s="1">
        <v>48104</v>
      </c>
      <c r="Z3519" t="s">
        <v>51</v>
      </c>
      <c r="AB3519" t="s">
        <v>54</v>
      </c>
      <c r="AC3519">
        <v>1</v>
      </c>
      <c r="AE3519" t="s">
        <v>1212</v>
      </c>
      <c r="AF3519">
        <v>20</v>
      </c>
      <c r="AG3519" s="1">
        <v>33494</v>
      </c>
      <c r="AH3519" s="1">
        <v>33494</v>
      </c>
      <c r="AI3519" s="1">
        <v>33494</v>
      </c>
      <c r="AJ3519" s="1">
        <v>40799</v>
      </c>
      <c r="AK3519" t="s">
        <v>51</v>
      </c>
      <c r="AN3519">
        <v>0</v>
      </c>
      <c r="AO3519" t="s">
        <v>54</v>
      </c>
      <c r="AP3519" t="s">
        <v>53</v>
      </c>
      <c r="AQ3519">
        <v>0</v>
      </c>
      <c r="AR3519" t="s">
        <v>53</v>
      </c>
      <c r="AS3519">
        <v>0</v>
      </c>
      <c r="AT3519">
        <v>0</v>
      </c>
      <c r="AW3519" t="s">
        <v>161</v>
      </c>
      <c r="AX3519">
        <v>50</v>
      </c>
      <c r="AY3519" s="1">
        <v>43585</v>
      </c>
      <c r="AZ3519" s="1">
        <v>43585</v>
      </c>
      <c r="BA3519" s="1">
        <v>43585</v>
      </c>
      <c r="BB3519" s="1">
        <v>61848</v>
      </c>
      <c r="BC3519" t="s">
        <v>51</v>
      </c>
      <c r="BE3519" t="s">
        <v>54</v>
      </c>
      <c r="BF3519">
        <v>0</v>
      </c>
      <c r="BG3519">
        <v>0</v>
      </c>
      <c r="BH3519" t="s">
        <v>53</v>
      </c>
      <c r="BK3519" t="s">
        <v>720</v>
      </c>
      <c r="BL3519">
        <v>17000</v>
      </c>
      <c r="BM3519" s="1">
        <v>43585</v>
      </c>
      <c r="BN3519" s="1">
        <v>43585</v>
      </c>
      <c r="BO3519" s="1">
        <v>43585</v>
      </c>
      <c r="BP3519" s="1">
        <v>45016</v>
      </c>
      <c r="BQ3519" t="s">
        <v>51</v>
      </c>
      <c r="BS3519" t="s">
        <v>60</v>
      </c>
      <c r="BT3519" t="s">
        <v>54</v>
      </c>
      <c r="BU3519" t="s">
        <v>721</v>
      </c>
      <c r="BV3519" t="s">
        <v>722</v>
      </c>
      <c r="BX3519">
        <v>18</v>
      </c>
      <c r="BY3519">
        <v>0</v>
      </c>
      <c r="BZ3519">
        <v>0</v>
      </c>
    </row>
    <row r="3520" spans="1:99" x14ac:dyDescent="0.2">
      <c r="A3520" t="s">
        <v>367</v>
      </c>
      <c r="B3520" t="s">
        <v>368</v>
      </c>
      <c r="C3520" t="s">
        <v>369</v>
      </c>
      <c r="D3520" t="s">
        <v>1187</v>
      </c>
      <c r="F3520" t="str">
        <f>"99216"</f>
        <v>99216</v>
      </c>
      <c r="G3520" t="s">
        <v>49</v>
      </c>
      <c r="H3520" t="s">
        <v>1416</v>
      </c>
      <c r="K3520" t="s">
        <v>51</v>
      </c>
      <c r="L3520" t="s">
        <v>52</v>
      </c>
      <c r="M3520">
        <v>138049.51999999999</v>
      </c>
      <c r="N3520">
        <v>468150.28</v>
      </c>
      <c r="O3520" t="s">
        <v>53</v>
      </c>
      <c r="P3520" t="s">
        <v>54</v>
      </c>
      <c r="Q3520" t="s">
        <v>55</v>
      </c>
      <c r="T3520" t="s">
        <v>841</v>
      </c>
      <c r="U3520">
        <v>40</v>
      </c>
      <c r="V3520" s="1">
        <v>33494</v>
      </c>
      <c r="W3520" s="1">
        <v>33494</v>
      </c>
      <c r="X3520" s="1">
        <v>33494</v>
      </c>
      <c r="Y3520" s="1">
        <v>48104</v>
      </c>
      <c r="Z3520" t="s">
        <v>51</v>
      </c>
      <c r="AB3520" t="s">
        <v>54</v>
      </c>
      <c r="AC3520">
        <v>1</v>
      </c>
      <c r="AE3520" t="s">
        <v>1212</v>
      </c>
      <c r="AF3520">
        <v>20</v>
      </c>
      <c r="AG3520" s="1">
        <v>33494</v>
      </c>
      <c r="AH3520" s="1">
        <v>33494</v>
      </c>
      <c r="AI3520" s="1">
        <v>33494</v>
      </c>
      <c r="AJ3520" s="1">
        <v>40799</v>
      </c>
      <c r="AK3520" t="s">
        <v>51</v>
      </c>
      <c r="AN3520">
        <v>0</v>
      </c>
      <c r="AO3520" t="s">
        <v>54</v>
      </c>
      <c r="AP3520" t="s">
        <v>53</v>
      </c>
      <c r="AQ3520">
        <v>0</v>
      </c>
      <c r="AR3520" t="s">
        <v>53</v>
      </c>
      <c r="AS3520">
        <v>0</v>
      </c>
      <c r="AT3520">
        <v>0</v>
      </c>
      <c r="CC3520" t="s">
        <v>850</v>
      </c>
      <c r="CD3520">
        <v>1</v>
      </c>
      <c r="CE3520" s="1">
        <v>42552</v>
      </c>
      <c r="CF3520" s="1">
        <v>42552</v>
      </c>
      <c r="CG3520" s="1">
        <v>42552</v>
      </c>
      <c r="CH3520" s="1">
        <v>49714</v>
      </c>
      <c r="CI3520" t="s">
        <v>51</v>
      </c>
      <c r="CK3520" t="s">
        <v>78</v>
      </c>
      <c r="CM3520" t="s">
        <v>54</v>
      </c>
      <c r="CN3520" t="s">
        <v>174</v>
      </c>
      <c r="CO3520" t="s">
        <v>86</v>
      </c>
      <c r="CR3520">
        <v>18</v>
      </c>
      <c r="CS3520">
        <v>0</v>
      </c>
      <c r="CT3520">
        <v>0</v>
      </c>
      <c r="CU3520">
        <v>0</v>
      </c>
    </row>
    <row r="3521" spans="1:99" x14ac:dyDescent="0.2">
      <c r="A3521" t="s">
        <v>367</v>
      </c>
      <c r="B3521" t="s">
        <v>368</v>
      </c>
      <c r="C3521" t="s">
        <v>369</v>
      </c>
      <c r="D3521" t="s">
        <v>1191</v>
      </c>
      <c r="F3521" t="str">
        <f>"105641"</f>
        <v>105641</v>
      </c>
      <c r="G3521" t="s">
        <v>49</v>
      </c>
      <c r="H3521" t="s">
        <v>1571</v>
      </c>
      <c r="K3521" t="s">
        <v>51</v>
      </c>
      <c r="L3521" t="s">
        <v>52</v>
      </c>
      <c r="M3521">
        <v>137978.35</v>
      </c>
      <c r="N3521">
        <v>467745.4</v>
      </c>
      <c r="O3521" t="s">
        <v>53</v>
      </c>
      <c r="P3521" t="s">
        <v>54</v>
      </c>
      <c r="Q3521" t="s">
        <v>55</v>
      </c>
      <c r="T3521" t="s">
        <v>841</v>
      </c>
      <c r="U3521">
        <v>40</v>
      </c>
      <c r="V3521" s="1">
        <v>32664</v>
      </c>
      <c r="W3521" s="1">
        <v>32664</v>
      </c>
      <c r="X3521" s="1">
        <v>32664</v>
      </c>
      <c r="Y3521" s="1">
        <v>47274</v>
      </c>
      <c r="Z3521" t="s">
        <v>51</v>
      </c>
      <c r="AB3521" t="s">
        <v>54</v>
      </c>
      <c r="AC3521">
        <v>1</v>
      </c>
      <c r="AE3521" t="s">
        <v>1212</v>
      </c>
      <c r="AF3521">
        <v>20</v>
      </c>
      <c r="AG3521" s="1">
        <v>34649</v>
      </c>
      <c r="AH3521" s="1">
        <v>34649</v>
      </c>
      <c r="AI3521" s="1">
        <v>34649</v>
      </c>
      <c r="AJ3521" s="1">
        <v>41954</v>
      </c>
      <c r="AK3521" t="s">
        <v>51</v>
      </c>
      <c r="AN3521">
        <v>0</v>
      </c>
      <c r="AO3521" t="s">
        <v>54</v>
      </c>
      <c r="AP3521" t="s">
        <v>53</v>
      </c>
      <c r="AQ3521">
        <v>0</v>
      </c>
      <c r="AR3521" t="s">
        <v>53</v>
      </c>
      <c r="AS3521">
        <v>0</v>
      </c>
      <c r="AT3521">
        <v>0</v>
      </c>
      <c r="AW3521" t="s">
        <v>58</v>
      </c>
      <c r="AX3521">
        <v>20</v>
      </c>
      <c r="AY3521" s="1">
        <v>34649</v>
      </c>
      <c r="AZ3521" s="1">
        <v>34649</v>
      </c>
      <c r="BA3521" s="1">
        <v>34649</v>
      </c>
      <c r="BB3521" s="1">
        <v>41954</v>
      </c>
      <c r="BC3521" t="s">
        <v>51</v>
      </c>
      <c r="BE3521" t="s">
        <v>54</v>
      </c>
      <c r="BF3521">
        <v>2</v>
      </c>
      <c r="BG3521">
        <v>0</v>
      </c>
      <c r="BH3521" t="s">
        <v>53</v>
      </c>
      <c r="BK3521" t="s">
        <v>720</v>
      </c>
      <c r="BL3521">
        <v>17000</v>
      </c>
      <c r="BM3521" s="1">
        <v>43745</v>
      </c>
      <c r="BN3521" s="1">
        <v>43745</v>
      </c>
      <c r="BO3521" s="1">
        <v>43745</v>
      </c>
      <c r="BP3521" s="1">
        <v>45182</v>
      </c>
      <c r="BQ3521" t="s">
        <v>51</v>
      </c>
      <c r="BS3521" t="s">
        <v>60</v>
      </c>
      <c r="BT3521" t="s">
        <v>54</v>
      </c>
      <c r="BU3521" t="s">
        <v>721</v>
      </c>
      <c r="BV3521" t="s">
        <v>722</v>
      </c>
      <c r="BX3521">
        <v>18</v>
      </c>
      <c r="BY3521">
        <v>0</v>
      </c>
      <c r="BZ3521">
        <v>0</v>
      </c>
    </row>
    <row r="3522" spans="1:99" x14ac:dyDescent="0.2">
      <c r="A3522" t="s">
        <v>367</v>
      </c>
      <c r="B3522" t="s">
        <v>368</v>
      </c>
      <c r="C3522" t="s">
        <v>369</v>
      </c>
      <c r="D3522" t="s">
        <v>1188</v>
      </c>
      <c r="F3522" t="str">
        <f>"105642"</f>
        <v>105642</v>
      </c>
      <c r="G3522" t="s">
        <v>49</v>
      </c>
      <c r="H3522" t="s">
        <v>1388</v>
      </c>
      <c r="K3522" t="s">
        <v>51</v>
      </c>
      <c r="L3522" t="s">
        <v>52</v>
      </c>
      <c r="M3522">
        <v>138140.41</v>
      </c>
      <c r="N3522">
        <v>467882.49</v>
      </c>
      <c r="O3522" t="s">
        <v>53</v>
      </c>
      <c r="P3522" t="s">
        <v>54</v>
      </c>
      <c r="Q3522" t="s">
        <v>55</v>
      </c>
      <c r="T3522" t="s">
        <v>841</v>
      </c>
      <c r="U3522">
        <v>40</v>
      </c>
      <c r="V3522" s="1">
        <v>32664</v>
      </c>
      <c r="W3522" s="1">
        <v>32664</v>
      </c>
      <c r="X3522" s="1">
        <v>32664</v>
      </c>
      <c r="Y3522" s="1">
        <v>47274</v>
      </c>
      <c r="Z3522" t="s">
        <v>51</v>
      </c>
      <c r="AB3522" t="s">
        <v>54</v>
      </c>
      <c r="AC3522">
        <v>1</v>
      </c>
      <c r="AE3522" t="s">
        <v>1212</v>
      </c>
      <c r="AF3522">
        <v>20</v>
      </c>
      <c r="AG3522" s="1">
        <v>31777</v>
      </c>
      <c r="AH3522" s="1">
        <v>31777</v>
      </c>
      <c r="AI3522" s="1">
        <v>32664</v>
      </c>
      <c r="AJ3522" s="1">
        <v>39082</v>
      </c>
      <c r="AK3522" t="s">
        <v>51</v>
      </c>
      <c r="AN3522">
        <v>0</v>
      </c>
      <c r="AO3522" t="s">
        <v>54</v>
      </c>
      <c r="AP3522" t="s">
        <v>53</v>
      </c>
      <c r="AQ3522">
        <v>0</v>
      </c>
      <c r="AR3522" t="s">
        <v>53</v>
      </c>
      <c r="AS3522">
        <v>0</v>
      </c>
      <c r="AT3522">
        <v>0</v>
      </c>
      <c r="CC3522" t="s">
        <v>850</v>
      </c>
      <c r="CD3522">
        <v>1</v>
      </c>
      <c r="CE3522" s="1">
        <v>42552</v>
      </c>
      <c r="CF3522" s="1">
        <v>42552</v>
      </c>
      <c r="CG3522" s="1">
        <v>42552</v>
      </c>
      <c r="CH3522" s="1">
        <v>42552</v>
      </c>
      <c r="CI3522" t="s">
        <v>51</v>
      </c>
      <c r="CK3522" t="s">
        <v>78</v>
      </c>
      <c r="CM3522" t="s">
        <v>54</v>
      </c>
      <c r="CN3522" t="s">
        <v>174</v>
      </c>
      <c r="CO3522" t="s">
        <v>86</v>
      </c>
      <c r="CR3522">
        <v>18</v>
      </c>
      <c r="CS3522">
        <v>0</v>
      </c>
      <c r="CT3522">
        <v>0</v>
      </c>
      <c r="CU3522">
        <v>0</v>
      </c>
    </row>
    <row r="3523" spans="1:99" x14ac:dyDescent="0.2">
      <c r="A3523" t="s">
        <v>367</v>
      </c>
      <c r="B3523" t="s">
        <v>368</v>
      </c>
      <c r="C3523" t="s">
        <v>369</v>
      </c>
      <c r="D3523" t="s">
        <v>1261</v>
      </c>
      <c r="F3523" t="str">
        <f>"254260"</f>
        <v>254260</v>
      </c>
      <c r="G3523" t="s">
        <v>49</v>
      </c>
      <c r="H3523" t="s">
        <v>1572</v>
      </c>
      <c r="K3523" t="s">
        <v>51</v>
      </c>
      <c r="L3523" t="s">
        <v>52</v>
      </c>
      <c r="M3523">
        <v>137999.32</v>
      </c>
      <c r="N3523">
        <v>468346.18</v>
      </c>
      <c r="O3523" t="s">
        <v>53</v>
      </c>
      <c r="P3523" t="s">
        <v>54</v>
      </c>
      <c r="Q3523" t="s">
        <v>55</v>
      </c>
      <c r="T3523" t="s">
        <v>841</v>
      </c>
      <c r="U3523">
        <v>40</v>
      </c>
      <c r="V3523" s="1">
        <v>33693</v>
      </c>
      <c r="W3523" s="1">
        <v>33693</v>
      </c>
      <c r="X3523" s="1">
        <v>33693</v>
      </c>
      <c r="Y3523" s="1">
        <v>48303</v>
      </c>
      <c r="Z3523" t="s">
        <v>51</v>
      </c>
      <c r="AB3523" t="s">
        <v>54</v>
      </c>
      <c r="AC3523">
        <v>1</v>
      </c>
      <c r="AE3523" t="s">
        <v>1212</v>
      </c>
      <c r="AF3523">
        <v>20</v>
      </c>
      <c r="AG3523" s="1">
        <v>33693</v>
      </c>
      <c r="AH3523" s="1">
        <v>33693</v>
      </c>
      <c r="AI3523" s="1">
        <v>33693</v>
      </c>
      <c r="AJ3523" s="1">
        <v>40998</v>
      </c>
      <c r="AK3523" t="s">
        <v>51</v>
      </c>
      <c r="AN3523">
        <v>0</v>
      </c>
      <c r="AO3523" t="s">
        <v>54</v>
      </c>
      <c r="AP3523" t="s">
        <v>53</v>
      </c>
      <c r="AQ3523">
        <v>0</v>
      </c>
      <c r="AR3523" t="s">
        <v>53</v>
      </c>
      <c r="AS3523">
        <v>0</v>
      </c>
      <c r="AT3523">
        <v>0</v>
      </c>
      <c r="CC3523" t="s">
        <v>850</v>
      </c>
      <c r="CD3523">
        <v>1</v>
      </c>
      <c r="CE3523" s="1">
        <v>42552</v>
      </c>
      <c r="CF3523" s="1">
        <v>42552</v>
      </c>
      <c r="CG3523" s="1">
        <v>42552</v>
      </c>
      <c r="CH3523" s="1">
        <v>42552</v>
      </c>
      <c r="CI3523" t="s">
        <v>51</v>
      </c>
      <c r="CK3523" t="s">
        <v>78</v>
      </c>
      <c r="CM3523" t="s">
        <v>54</v>
      </c>
      <c r="CN3523" t="s">
        <v>174</v>
      </c>
      <c r="CO3523" t="s">
        <v>86</v>
      </c>
      <c r="CR3523">
        <v>18</v>
      </c>
      <c r="CS3523">
        <v>0</v>
      </c>
      <c r="CT3523">
        <v>0</v>
      </c>
      <c r="CU3523">
        <v>0</v>
      </c>
    </row>
    <row r="3524" spans="1:99" x14ac:dyDescent="0.2">
      <c r="A3524" t="s">
        <v>367</v>
      </c>
      <c r="B3524" t="s">
        <v>368</v>
      </c>
      <c r="C3524" t="s">
        <v>369</v>
      </c>
      <c r="D3524" t="s">
        <v>1261</v>
      </c>
      <c r="F3524" t="str">
        <f>"109138"</f>
        <v>109138</v>
      </c>
      <c r="G3524" t="s">
        <v>49</v>
      </c>
      <c r="H3524" t="s">
        <v>1573</v>
      </c>
      <c r="K3524" t="s">
        <v>51</v>
      </c>
      <c r="L3524" t="s">
        <v>52</v>
      </c>
      <c r="M3524">
        <v>137933.21</v>
      </c>
      <c r="N3524">
        <v>468316.24</v>
      </c>
      <c r="O3524" t="s">
        <v>53</v>
      </c>
      <c r="P3524" t="s">
        <v>54</v>
      </c>
      <c r="Q3524" t="s">
        <v>55</v>
      </c>
      <c r="T3524" t="s">
        <v>841</v>
      </c>
      <c r="U3524">
        <v>40</v>
      </c>
      <c r="V3524" s="1">
        <v>33693</v>
      </c>
      <c r="W3524" s="1">
        <v>33693</v>
      </c>
      <c r="X3524" s="1">
        <v>33693</v>
      </c>
      <c r="Y3524" s="1">
        <v>48303</v>
      </c>
      <c r="Z3524" t="s">
        <v>51</v>
      </c>
      <c r="AB3524" t="s">
        <v>54</v>
      </c>
      <c r="AC3524">
        <v>1</v>
      </c>
      <c r="AE3524" t="s">
        <v>1212</v>
      </c>
      <c r="AF3524">
        <v>20</v>
      </c>
      <c r="AG3524" s="1">
        <v>33693</v>
      </c>
      <c r="AH3524" s="1">
        <v>33693</v>
      </c>
      <c r="AI3524" s="1">
        <v>33693</v>
      </c>
      <c r="AJ3524" s="1">
        <v>40998</v>
      </c>
      <c r="AK3524" t="s">
        <v>51</v>
      </c>
      <c r="AN3524">
        <v>0</v>
      </c>
      <c r="AO3524" t="s">
        <v>54</v>
      </c>
      <c r="AP3524" t="s">
        <v>53</v>
      </c>
      <c r="AQ3524">
        <v>0</v>
      </c>
      <c r="AR3524" t="s">
        <v>53</v>
      </c>
      <c r="AS3524">
        <v>0</v>
      </c>
      <c r="AT3524">
        <v>0</v>
      </c>
      <c r="CC3524" t="s">
        <v>850</v>
      </c>
      <c r="CD3524">
        <v>1</v>
      </c>
      <c r="CE3524" s="1">
        <v>42552</v>
      </c>
      <c r="CF3524" s="1">
        <v>42552</v>
      </c>
      <c r="CG3524" s="1">
        <v>42552</v>
      </c>
      <c r="CH3524" s="1">
        <v>49714</v>
      </c>
      <c r="CI3524" t="s">
        <v>51</v>
      </c>
      <c r="CK3524" t="s">
        <v>78</v>
      </c>
      <c r="CM3524" t="s">
        <v>54</v>
      </c>
      <c r="CN3524" t="s">
        <v>174</v>
      </c>
      <c r="CO3524" t="s">
        <v>86</v>
      </c>
      <c r="CR3524">
        <v>18</v>
      </c>
      <c r="CS3524">
        <v>0</v>
      </c>
      <c r="CT3524">
        <v>0</v>
      </c>
      <c r="CU3524">
        <v>0</v>
      </c>
    </row>
    <row r="3525" spans="1:99" x14ac:dyDescent="0.2">
      <c r="A3525" t="s">
        <v>367</v>
      </c>
      <c r="B3525" t="s">
        <v>368</v>
      </c>
      <c r="C3525" t="s">
        <v>369</v>
      </c>
      <c r="D3525" t="s">
        <v>1261</v>
      </c>
      <c r="F3525" t="str">
        <f>"109139"</f>
        <v>109139</v>
      </c>
      <c r="G3525" t="s">
        <v>49</v>
      </c>
      <c r="H3525" t="s">
        <v>1574</v>
      </c>
      <c r="K3525" t="s">
        <v>51</v>
      </c>
      <c r="L3525" t="s">
        <v>52</v>
      </c>
      <c r="M3525">
        <v>137904.04999999999</v>
      </c>
      <c r="N3525">
        <v>468302.71</v>
      </c>
      <c r="O3525" t="s">
        <v>53</v>
      </c>
      <c r="P3525" t="s">
        <v>54</v>
      </c>
      <c r="Q3525" t="s">
        <v>55</v>
      </c>
      <c r="T3525" t="s">
        <v>841</v>
      </c>
      <c r="U3525">
        <v>40</v>
      </c>
      <c r="V3525" s="1">
        <v>33693</v>
      </c>
      <c r="W3525" s="1">
        <v>33693</v>
      </c>
      <c r="X3525" s="1">
        <v>33693</v>
      </c>
      <c r="Y3525" s="1">
        <v>48303</v>
      </c>
      <c r="Z3525" t="s">
        <v>51</v>
      </c>
      <c r="AB3525" t="s">
        <v>54</v>
      </c>
      <c r="AC3525">
        <v>1</v>
      </c>
      <c r="AE3525" t="s">
        <v>1212</v>
      </c>
      <c r="AF3525">
        <v>20</v>
      </c>
      <c r="AG3525" s="1">
        <v>33693</v>
      </c>
      <c r="AH3525" s="1">
        <v>33693</v>
      </c>
      <c r="AI3525" s="1">
        <v>33693</v>
      </c>
      <c r="AJ3525" s="1">
        <v>40998</v>
      </c>
      <c r="AK3525" t="s">
        <v>51</v>
      </c>
      <c r="AN3525">
        <v>0</v>
      </c>
      <c r="AO3525" t="s">
        <v>54</v>
      </c>
      <c r="AP3525" t="s">
        <v>53</v>
      </c>
      <c r="AQ3525">
        <v>0</v>
      </c>
      <c r="AR3525" t="s">
        <v>53</v>
      </c>
      <c r="AS3525">
        <v>0</v>
      </c>
      <c r="AT3525">
        <v>0</v>
      </c>
      <c r="CC3525" t="s">
        <v>850</v>
      </c>
      <c r="CD3525">
        <v>1</v>
      </c>
      <c r="CE3525" s="1">
        <v>42552</v>
      </c>
      <c r="CF3525" s="1">
        <v>42552</v>
      </c>
      <c r="CG3525" s="1">
        <v>42552</v>
      </c>
      <c r="CH3525" s="1">
        <v>42552</v>
      </c>
      <c r="CI3525" t="s">
        <v>51</v>
      </c>
      <c r="CK3525" t="s">
        <v>78</v>
      </c>
      <c r="CM3525" t="s">
        <v>54</v>
      </c>
      <c r="CN3525" t="s">
        <v>174</v>
      </c>
      <c r="CO3525" t="s">
        <v>86</v>
      </c>
      <c r="CR3525">
        <v>18</v>
      </c>
      <c r="CS3525">
        <v>0</v>
      </c>
      <c r="CT3525">
        <v>0</v>
      </c>
      <c r="CU3525">
        <v>0</v>
      </c>
    </row>
    <row r="3526" spans="1:99" x14ac:dyDescent="0.2">
      <c r="A3526" t="s">
        <v>367</v>
      </c>
      <c r="B3526" t="s">
        <v>368</v>
      </c>
      <c r="C3526" t="s">
        <v>369</v>
      </c>
      <c r="D3526" t="s">
        <v>1261</v>
      </c>
      <c r="F3526" t="str">
        <f>"254258"</f>
        <v>254258</v>
      </c>
      <c r="G3526" t="s">
        <v>49</v>
      </c>
      <c r="H3526" t="s">
        <v>1575</v>
      </c>
      <c r="K3526" t="s">
        <v>51</v>
      </c>
      <c r="L3526" t="s">
        <v>52</v>
      </c>
      <c r="M3526">
        <v>137870.73000000001</v>
      </c>
      <c r="N3526">
        <v>468306.63</v>
      </c>
      <c r="O3526" t="s">
        <v>53</v>
      </c>
      <c r="P3526" t="s">
        <v>54</v>
      </c>
      <c r="Q3526" t="s">
        <v>55</v>
      </c>
      <c r="T3526" t="s">
        <v>841</v>
      </c>
      <c r="U3526">
        <v>40</v>
      </c>
      <c r="V3526" s="1">
        <v>33693</v>
      </c>
      <c r="W3526" s="1">
        <v>33693</v>
      </c>
      <c r="X3526" s="1">
        <v>33693</v>
      </c>
      <c r="Y3526" s="1">
        <v>48303</v>
      </c>
      <c r="Z3526" t="s">
        <v>51</v>
      </c>
      <c r="AB3526" t="s">
        <v>54</v>
      </c>
      <c r="AC3526">
        <v>1</v>
      </c>
      <c r="AE3526" t="s">
        <v>1212</v>
      </c>
      <c r="AF3526">
        <v>20</v>
      </c>
      <c r="AG3526" s="1">
        <v>33693</v>
      </c>
      <c r="AH3526" s="1">
        <v>33693</v>
      </c>
      <c r="AI3526" s="1">
        <v>33693</v>
      </c>
      <c r="AJ3526" s="1">
        <v>40998</v>
      </c>
      <c r="AK3526" t="s">
        <v>51</v>
      </c>
      <c r="AN3526">
        <v>0</v>
      </c>
      <c r="AO3526" t="s">
        <v>54</v>
      </c>
      <c r="AP3526" t="s">
        <v>53</v>
      </c>
      <c r="AQ3526">
        <v>0</v>
      </c>
      <c r="AR3526" t="s">
        <v>53</v>
      </c>
      <c r="AS3526">
        <v>0</v>
      </c>
      <c r="AT3526">
        <v>0</v>
      </c>
      <c r="CC3526" t="s">
        <v>850</v>
      </c>
      <c r="CD3526">
        <v>1</v>
      </c>
      <c r="CE3526" s="1">
        <v>42552</v>
      </c>
      <c r="CF3526" s="1">
        <v>42552</v>
      </c>
      <c r="CG3526" s="1">
        <v>42552</v>
      </c>
      <c r="CH3526" s="1">
        <v>49714</v>
      </c>
      <c r="CI3526" t="s">
        <v>51</v>
      </c>
      <c r="CK3526" t="s">
        <v>78</v>
      </c>
      <c r="CM3526" t="s">
        <v>54</v>
      </c>
      <c r="CN3526" t="s">
        <v>174</v>
      </c>
      <c r="CO3526" t="s">
        <v>86</v>
      </c>
      <c r="CR3526">
        <v>18</v>
      </c>
      <c r="CS3526">
        <v>0</v>
      </c>
      <c r="CT3526">
        <v>0</v>
      </c>
      <c r="CU3526">
        <v>0</v>
      </c>
    </row>
    <row r="3527" spans="1:99" x14ac:dyDescent="0.2">
      <c r="A3527" t="s">
        <v>367</v>
      </c>
      <c r="B3527" t="s">
        <v>368</v>
      </c>
      <c r="C3527" t="s">
        <v>369</v>
      </c>
      <c r="D3527" t="s">
        <v>1261</v>
      </c>
      <c r="F3527" t="str">
        <f>"109141"</f>
        <v>109141</v>
      </c>
      <c r="G3527" t="s">
        <v>49</v>
      </c>
      <c r="H3527" t="s">
        <v>1576</v>
      </c>
      <c r="K3527" t="s">
        <v>51</v>
      </c>
      <c r="L3527" t="s">
        <v>52</v>
      </c>
      <c r="M3527">
        <v>137741.74</v>
      </c>
      <c r="N3527">
        <v>468291.27</v>
      </c>
      <c r="O3527" t="s">
        <v>53</v>
      </c>
      <c r="P3527" t="s">
        <v>54</v>
      </c>
      <c r="Q3527" t="s">
        <v>55</v>
      </c>
      <c r="T3527" t="s">
        <v>841</v>
      </c>
      <c r="U3527">
        <v>40</v>
      </c>
      <c r="V3527" s="1">
        <v>33693</v>
      </c>
      <c r="W3527" s="1">
        <v>33693</v>
      </c>
      <c r="X3527" s="1">
        <v>33693</v>
      </c>
      <c r="Y3527" s="1">
        <v>48303</v>
      </c>
      <c r="Z3527" t="s">
        <v>51</v>
      </c>
      <c r="AB3527" t="s">
        <v>54</v>
      </c>
      <c r="AC3527">
        <v>1</v>
      </c>
      <c r="AE3527" t="s">
        <v>1212</v>
      </c>
      <c r="AF3527">
        <v>20</v>
      </c>
      <c r="AG3527" s="1">
        <v>33693</v>
      </c>
      <c r="AH3527" s="1">
        <v>33693</v>
      </c>
      <c r="AI3527" s="1">
        <v>33693</v>
      </c>
      <c r="AJ3527" s="1">
        <v>40998</v>
      </c>
      <c r="AK3527" t="s">
        <v>51</v>
      </c>
      <c r="AN3527">
        <v>0</v>
      </c>
      <c r="AO3527" t="s">
        <v>54</v>
      </c>
      <c r="AP3527" t="s">
        <v>53</v>
      </c>
      <c r="AQ3527">
        <v>0</v>
      </c>
      <c r="AR3527" t="s">
        <v>53</v>
      </c>
      <c r="AS3527">
        <v>0</v>
      </c>
      <c r="AT3527">
        <v>0</v>
      </c>
      <c r="CC3527" t="s">
        <v>850</v>
      </c>
      <c r="CD3527">
        <v>1</v>
      </c>
      <c r="CE3527" s="1">
        <v>42552</v>
      </c>
      <c r="CF3527" s="1">
        <v>42552</v>
      </c>
      <c r="CG3527" s="1">
        <v>42552</v>
      </c>
      <c r="CH3527" s="1">
        <v>42552</v>
      </c>
      <c r="CI3527" t="s">
        <v>51</v>
      </c>
      <c r="CK3527" t="s">
        <v>78</v>
      </c>
      <c r="CM3527" t="s">
        <v>54</v>
      </c>
      <c r="CN3527" t="s">
        <v>174</v>
      </c>
      <c r="CO3527" t="s">
        <v>86</v>
      </c>
      <c r="CR3527">
        <v>18</v>
      </c>
      <c r="CS3527">
        <v>0</v>
      </c>
      <c r="CT3527">
        <v>0</v>
      </c>
      <c r="CU3527">
        <v>0</v>
      </c>
    </row>
    <row r="3528" spans="1:99" x14ac:dyDescent="0.2">
      <c r="A3528" t="s">
        <v>367</v>
      </c>
      <c r="B3528" t="s">
        <v>368</v>
      </c>
      <c r="C3528" t="s">
        <v>369</v>
      </c>
      <c r="D3528" t="s">
        <v>1261</v>
      </c>
      <c r="F3528" t="str">
        <f>"109142"</f>
        <v>109142</v>
      </c>
      <c r="G3528" t="s">
        <v>49</v>
      </c>
      <c r="H3528" t="s">
        <v>1577</v>
      </c>
      <c r="K3528" t="s">
        <v>51</v>
      </c>
      <c r="L3528" t="s">
        <v>52</v>
      </c>
      <c r="M3528">
        <v>137652.23000000001</v>
      </c>
      <c r="N3528">
        <v>468254.77</v>
      </c>
      <c r="O3528" t="s">
        <v>53</v>
      </c>
      <c r="P3528" t="s">
        <v>54</v>
      </c>
      <c r="Q3528" t="s">
        <v>55</v>
      </c>
      <c r="T3528" t="s">
        <v>841</v>
      </c>
      <c r="U3528">
        <v>40</v>
      </c>
      <c r="V3528" s="1">
        <v>33693</v>
      </c>
      <c r="W3528" s="1">
        <v>33693</v>
      </c>
      <c r="X3528" s="1">
        <v>33693</v>
      </c>
      <c r="Y3528" s="1">
        <v>48303</v>
      </c>
      <c r="Z3528" t="s">
        <v>51</v>
      </c>
      <c r="AB3528" t="s">
        <v>54</v>
      </c>
      <c r="AC3528">
        <v>1</v>
      </c>
      <c r="AE3528" t="s">
        <v>1212</v>
      </c>
      <c r="AF3528">
        <v>20</v>
      </c>
      <c r="AG3528" s="1">
        <v>33693</v>
      </c>
      <c r="AH3528" s="1">
        <v>33693</v>
      </c>
      <c r="AI3528" s="1">
        <v>33693</v>
      </c>
      <c r="AJ3528" s="1">
        <v>40998</v>
      </c>
      <c r="AK3528" t="s">
        <v>51</v>
      </c>
      <c r="AN3528">
        <v>0</v>
      </c>
      <c r="AO3528" t="s">
        <v>54</v>
      </c>
      <c r="AP3528" t="s">
        <v>53</v>
      </c>
      <c r="AQ3528">
        <v>0</v>
      </c>
      <c r="AR3528" t="s">
        <v>53</v>
      </c>
      <c r="AS3528">
        <v>0</v>
      </c>
      <c r="AT3528">
        <v>0</v>
      </c>
      <c r="CC3528" t="s">
        <v>850</v>
      </c>
      <c r="CD3528">
        <v>1</v>
      </c>
      <c r="CE3528" s="1">
        <v>42552</v>
      </c>
      <c r="CF3528" s="1">
        <v>42552</v>
      </c>
      <c r="CG3528" s="1">
        <v>42552</v>
      </c>
      <c r="CH3528" s="1">
        <v>49714</v>
      </c>
      <c r="CI3528" t="s">
        <v>51</v>
      </c>
      <c r="CK3528" t="s">
        <v>78</v>
      </c>
      <c r="CM3528" t="s">
        <v>54</v>
      </c>
      <c r="CN3528" t="s">
        <v>174</v>
      </c>
      <c r="CO3528" t="s">
        <v>86</v>
      </c>
      <c r="CR3528">
        <v>18</v>
      </c>
      <c r="CS3528">
        <v>0</v>
      </c>
      <c r="CT3528">
        <v>0</v>
      </c>
      <c r="CU3528">
        <v>0</v>
      </c>
    </row>
    <row r="3529" spans="1:99" x14ac:dyDescent="0.2">
      <c r="A3529" t="s">
        <v>367</v>
      </c>
      <c r="B3529" t="s">
        <v>368</v>
      </c>
      <c r="C3529" t="s">
        <v>369</v>
      </c>
      <c r="D3529" t="s">
        <v>1528</v>
      </c>
      <c r="F3529" t="str">
        <f>"109143"</f>
        <v>109143</v>
      </c>
      <c r="G3529" t="s">
        <v>49</v>
      </c>
      <c r="H3529" t="s">
        <v>1578</v>
      </c>
      <c r="K3529" t="s">
        <v>51</v>
      </c>
      <c r="L3529" t="s">
        <v>52</v>
      </c>
      <c r="M3529">
        <v>137876.74</v>
      </c>
      <c r="N3529">
        <v>468282.49</v>
      </c>
      <c r="O3529" t="s">
        <v>53</v>
      </c>
      <c r="P3529" t="s">
        <v>54</v>
      </c>
      <c r="Q3529" t="s">
        <v>55</v>
      </c>
      <c r="T3529" t="s">
        <v>841</v>
      </c>
      <c r="U3529">
        <v>40</v>
      </c>
      <c r="V3529" s="1">
        <v>33697</v>
      </c>
      <c r="W3529" s="1">
        <v>33697</v>
      </c>
      <c r="X3529" s="1">
        <v>33697</v>
      </c>
      <c r="Y3529" s="1">
        <v>48307</v>
      </c>
      <c r="Z3529" t="s">
        <v>51</v>
      </c>
      <c r="AB3529" t="s">
        <v>54</v>
      </c>
      <c r="AC3529">
        <v>1</v>
      </c>
      <c r="AE3529" t="s">
        <v>1212</v>
      </c>
      <c r="AF3529">
        <v>20</v>
      </c>
      <c r="AG3529" s="1">
        <v>33697</v>
      </c>
      <c r="AH3529" s="1">
        <v>33697</v>
      </c>
      <c r="AI3529" s="1">
        <v>33697</v>
      </c>
      <c r="AJ3529" s="1">
        <v>41002</v>
      </c>
      <c r="AK3529" t="s">
        <v>51</v>
      </c>
      <c r="AN3529">
        <v>0</v>
      </c>
      <c r="AO3529" t="s">
        <v>54</v>
      </c>
      <c r="AP3529" t="s">
        <v>53</v>
      </c>
      <c r="AQ3529">
        <v>0</v>
      </c>
      <c r="AR3529" t="s">
        <v>53</v>
      </c>
      <c r="AS3529">
        <v>0</v>
      </c>
      <c r="AT3529">
        <v>0</v>
      </c>
      <c r="CC3529" t="s">
        <v>850</v>
      </c>
      <c r="CD3529">
        <v>1</v>
      </c>
      <c r="CE3529" s="1">
        <v>42552</v>
      </c>
      <c r="CF3529" s="1">
        <v>42552</v>
      </c>
      <c r="CG3529" s="1">
        <v>42552</v>
      </c>
      <c r="CH3529" s="1">
        <v>49714</v>
      </c>
      <c r="CI3529" t="s">
        <v>51</v>
      </c>
      <c r="CK3529" t="s">
        <v>78</v>
      </c>
      <c r="CM3529" t="s">
        <v>54</v>
      </c>
      <c r="CN3529" t="s">
        <v>174</v>
      </c>
      <c r="CO3529" t="s">
        <v>86</v>
      </c>
      <c r="CR3529">
        <v>18</v>
      </c>
      <c r="CS3529">
        <v>0</v>
      </c>
      <c r="CT3529">
        <v>0</v>
      </c>
      <c r="CU3529">
        <v>0</v>
      </c>
    </row>
    <row r="3530" spans="1:99" x14ac:dyDescent="0.2">
      <c r="A3530" t="s">
        <v>367</v>
      </c>
      <c r="B3530" t="s">
        <v>368</v>
      </c>
      <c r="C3530" t="s">
        <v>369</v>
      </c>
      <c r="D3530" t="s">
        <v>1280</v>
      </c>
      <c r="F3530" t="str">
        <f>"118477"</f>
        <v>118477</v>
      </c>
      <c r="G3530" t="s">
        <v>49</v>
      </c>
      <c r="H3530" t="s">
        <v>1579</v>
      </c>
      <c r="K3530" t="s">
        <v>51</v>
      </c>
      <c r="L3530" t="s">
        <v>52</v>
      </c>
      <c r="M3530">
        <v>137705.14000000001</v>
      </c>
      <c r="N3530">
        <v>468680.37</v>
      </c>
      <c r="O3530" t="s">
        <v>53</v>
      </c>
      <c r="P3530" t="s">
        <v>54</v>
      </c>
      <c r="Q3530" t="s">
        <v>55</v>
      </c>
      <c r="T3530" t="s">
        <v>818</v>
      </c>
      <c r="U3530">
        <v>40</v>
      </c>
      <c r="V3530" s="1">
        <v>33907</v>
      </c>
      <c r="W3530" s="1">
        <v>33907</v>
      </c>
      <c r="X3530" s="1">
        <v>33907</v>
      </c>
      <c r="Y3530" s="1">
        <v>48517</v>
      </c>
      <c r="Z3530" t="s">
        <v>51</v>
      </c>
      <c r="AB3530" t="s">
        <v>54</v>
      </c>
      <c r="AC3530">
        <v>1</v>
      </c>
      <c r="AE3530" t="s">
        <v>827</v>
      </c>
      <c r="AF3530">
        <v>20</v>
      </c>
      <c r="AG3530" s="1">
        <v>33907</v>
      </c>
      <c r="AH3530" s="1">
        <v>33907</v>
      </c>
      <c r="AI3530" s="1">
        <v>33907</v>
      </c>
      <c r="AJ3530" s="1">
        <v>41212</v>
      </c>
      <c r="AK3530" t="s">
        <v>51</v>
      </c>
      <c r="AN3530">
        <v>0</v>
      </c>
      <c r="AO3530" t="s">
        <v>54</v>
      </c>
      <c r="AP3530" t="s">
        <v>53</v>
      </c>
      <c r="AQ3530">
        <v>0</v>
      </c>
      <c r="AR3530" t="s">
        <v>53</v>
      </c>
      <c r="AS3530">
        <v>0</v>
      </c>
      <c r="AT3530">
        <v>0</v>
      </c>
      <c r="AW3530" t="s">
        <v>58</v>
      </c>
      <c r="AX3530">
        <v>20</v>
      </c>
      <c r="AY3530" s="1">
        <v>33907</v>
      </c>
      <c r="AZ3530" s="1">
        <v>33907</v>
      </c>
      <c r="BA3530" s="1">
        <v>33907</v>
      </c>
      <c r="BB3530" s="1">
        <v>41212</v>
      </c>
      <c r="BC3530" t="s">
        <v>51</v>
      </c>
      <c r="BE3530" t="s">
        <v>54</v>
      </c>
      <c r="BF3530">
        <v>2</v>
      </c>
      <c r="BG3530">
        <v>0</v>
      </c>
      <c r="BH3530" t="s">
        <v>53</v>
      </c>
      <c r="BK3530" t="s">
        <v>720</v>
      </c>
      <c r="BL3530">
        <v>17000</v>
      </c>
      <c r="BM3530" s="1">
        <v>44151</v>
      </c>
      <c r="BN3530" s="1">
        <v>44151</v>
      </c>
      <c r="BO3530" s="1">
        <v>44151</v>
      </c>
      <c r="BP3530" s="1">
        <v>45592</v>
      </c>
      <c r="BQ3530" t="s">
        <v>51</v>
      </c>
      <c r="BS3530" t="s">
        <v>60</v>
      </c>
      <c r="BT3530" t="s">
        <v>54</v>
      </c>
      <c r="BU3530" t="s">
        <v>721</v>
      </c>
      <c r="BV3530" t="s">
        <v>722</v>
      </c>
      <c r="BX3530">
        <v>18</v>
      </c>
      <c r="BY3530">
        <v>0</v>
      </c>
      <c r="BZ3530">
        <v>0</v>
      </c>
    </row>
    <row r="3531" spans="1:99" x14ac:dyDescent="0.2">
      <c r="A3531" t="s">
        <v>367</v>
      </c>
      <c r="B3531" t="s">
        <v>368</v>
      </c>
      <c r="C3531" t="s">
        <v>369</v>
      </c>
      <c r="D3531" t="s">
        <v>1280</v>
      </c>
      <c r="F3531" t="str">
        <f>"118478"</f>
        <v>118478</v>
      </c>
      <c r="G3531" t="s">
        <v>49</v>
      </c>
      <c r="H3531" t="s">
        <v>1333</v>
      </c>
      <c r="K3531" t="s">
        <v>51</v>
      </c>
      <c r="L3531" t="s">
        <v>52</v>
      </c>
      <c r="M3531">
        <v>137719.70000000001</v>
      </c>
      <c r="N3531">
        <v>468687.37</v>
      </c>
      <c r="O3531" t="s">
        <v>53</v>
      </c>
      <c r="P3531" t="s">
        <v>54</v>
      </c>
      <c r="Q3531" t="s">
        <v>55</v>
      </c>
      <c r="T3531" t="s">
        <v>818</v>
      </c>
      <c r="U3531">
        <v>40</v>
      </c>
      <c r="V3531" s="1">
        <v>33910</v>
      </c>
      <c r="W3531" s="1">
        <v>33910</v>
      </c>
      <c r="X3531" s="1">
        <v>33910</v>
      </c>
      <c r="Y3531" s="1">
        <v>48520</v>
      </c>
      <c r="Z3531" t="s">
        <v>51</v>
      </c>
      <c r="AB3531" t="s">
        <v>54</v>
      </c>
      <c r="AC3531">
        <v>1</v>
      </c>
      <c r="AE3531" t="s">
        <v>827</v>
      </c>
      <c r="AF3531">
        <v>20</v>
      </c>
      <c r="AG3531" s="1">
        <v>33910</v>
      </c>
      <c r="AH3531" s="1">
        <v>33910</v>
      </c>
      <c r="AI3531" s="1">
        <v>33910</v>
      </c>
      <c r="AJ3531" s="1">
        <v>41215</v>
      </c>
      <c r="AK3531" t="s">
        <v>51</v>
      </c>
      <c r="AN3531">
        <v>0</v>
      </c>
      <c r="AO3531" t="s">
        <v>54</v>
      </c>
      <c r="AP3531" t="s">
        <v>53</v>
      </c>
      <c r="AQ3531">
        <v>0</v>
      </c>
      <c r="AR3531" t="s">
        <v>53</v>
      </c>
      <c r="AS3531">
        <v>0</v>
      </c>
      <c r="AT3531">
        <v>0</v>
      </c>
      <c r="AW3531" t="s">
        <v>58</v>
      </c>
      <c r="AX3531">
        <v>20</v>
      </c>
      <c r="AY3531" s="1">
        <v>33910</v>
      </c>
      <c r="AZ3531" s="1">
        <v>33910</v>
      </c>
      <c r="BA3531" s="1">
        <v>33910</v>
      </c>
      <c r="BB3531" s="1">
        <v>41215</v>
      </c>
      <c r="BC3531" t="s">
        <v>51</v>
      </c>
      <c r="BE3531" t="s">
        <v>54</v>
      </c>
      <c r="BF3531">
        <v>2</v>
      </c>
      <c r="BG3531">
        <v>0</v>
      </c>
      <c r="BH3531" t="s">
        <v>53</v>
      </c>
      <c r="BK3531" t="s">
        <v>720</v>
      </c>
      <c r="BL3531">
        <v>17000</v>
      </c>
      <c r="BM3531" s="1">
        <v>43885</v>
      </c>
      <c r="BN3531" s="1">
        <v>43885</v>
      </c>
      <c r="BO3531" s="1">
        <v>43885</v>
      </c>
      <c r="BP3531" s="1">
        <v>45325</v>
      </c>
      <c r="BQ3531" t="s">
        <v>51</v>
      </c>
      <c r="BS3531" t="s">
        <v>60</v>
      </c>
      <c r="BT3531" t="s">
        <v>54</v>
      </c>
      <c r="BU3531" t="s">
        <v>721</v>
      </c>
      <c r="BV3531" t="s">
        <v>722</v>
      </c>
      <c r="BX3531">
        <v>18</v>
      </c>
      <c r="BY3531">
        <v>0</v>
      </c>
      <c r="BZ3531">
        <v>0</v>
      </c>
    </row>
    <row r="3532" spans="1:99" x14ac:dyDescent="0.2">
      <c r="A3532" t="s">
        <v>367</v>
      </c>
      <c r="B3532" t="s">
        <v>368</v>
      </c>
      <c r="C3532" t="s">
        <v>369</v>
      </c>
      <c r="D3532" t="s">
        <v>1280</v>
      </c>
      <c r="F3532" t="str">
        <f>"118479"</f>
        <v>118479</v>
      </c>
      <c r="G3532" t="s">
        <v>49</v>
      </c>
      <c r="H3532" t="s">
        <v>1580</v>
      </c>
      <c r="K3532" t="s">
        <v>51</v>
      </c>
      <c r="L3532" t="s">
        <v>52</v>
      </c>
      <c r="M3532">
        <v>137730.9</v>
      </c>
      <c r="N3532">
        <v>468692.97</v>
      </c>
      <c r="O3532" t="s">
        <v>53</v>
      </c>
      <c r="P3532" t="s">
        <v>54</v>
      </c>
      <c r="Q3532" t="s">
        <v>55</v>
      </c>
      <c r="T3532" t="s">
        <v>818</v>
      </c>
      <c r="U3532">
        <v>40</v>
      </c>
      <c r="V3532" s="1">
        <v>33910</v>
      </c>
      <c r="W3532" s="1">
        <v>33910</v>
      </c>
      <c r="X3532" s="1">
        <v>33910</v>
      </c>
      <c r="Y3532" s="1">
        <v>48520</v>
      </c>
      <c r="Z3532" t="s">
        <v>51</v>
      </c>
      <c r="AB3532" t="s">
        <v>54</v>
      </c>
      <c r="AC3532">
        <v>1</v>
      </c>
      <c r="AE3532" t="s">
        <v>827</v>
      </c>
      <c r="AF3532">
        <v>20</v>
      </c>
      <c r="AG3532" s="1">
        <v>33910</v>
      </c>
      <c r="AH3532" s="1">
        <v>33910</v>
      </c>
      <c r="AI3532" s="1">
        <v>33910</v>
      </c>
      <c r="AJ3532" s="1">
        <v>41215</v>
      </c>
      <c r="AK3532" t="s">
        <v>51</v>
      </c>
      <c r="AN3532">
        <v>0</v>
      </c>
      <c r="AO3532" t="s">
        <v>54</v>
      </c>
      <c r="AP3532" t="s">
        <v>53</v>
      </c>
      <c r="AQ3532">
        <v>0</v>
      </c>
      <c r="AR3532" t="s">
        <v>53</v>
      </c>
      <c r="AS3532">
        <v>0</v>
      </c>
      <c r="AT3532">
        <v>0</v>
      </c>
      <c r="AW3532" t="s">
        <v>58</v>
      </c>
      <c r="AX3532">
        <v>20</v>
      </c>
      <c r="AY3532" s="1">
        <v>33910</v>
      </c>
      <c r="AZ3532" s="1">
        <v>33910</v>
      </c>
      <c r="BA3532" s="1">
        <v>33910</v>
      </c>
      <c r="BB3532" s="1">
        <v>41215</v>
      </c>
      <c r="BC3532" t="s">
        <v>51</v>
      </c>
      <c r="BE3532" t="s">
        <v>54</v>
      </c>
      <c r="BF3532">
        <v>2</v>
      </c>
      <c r="BG3532">
        <v>0</v>
      </c>
      <c r="BH3532" t="s">
        <v>53</v>
      </c>
      <c r="BK3532" t="s">
        <v>720</v>
      </c>
      <c r="BL3532">
        <v>17000</v>
      </c>
      <c r="BM3532" s="1">
        <v>45117</v>
      </c>
      <c r="BN3532" s="1">
        <v>45117</v>
      </c>
      <c r="BO3532" s="1">
        <v>45117</v>
      </c>
      <c r="BP3532" s="1">
        <v>46539</v>
      </c>
      <c r="BQ3532" t="s">
        <v>51</v>
      </c>
      <c r="BS3532" t="s">
        <v>60</v>
      </c>
      <c r="BT3532" t="s">
        <v>54</v>
      </c>
      <c r="BU3532" t="s">
        <v>721</v>
      </c>
      <c r="BV3532" t="s">
        <v>722</v>
      </c>
      <c r="BX3532">
        <v>18</v>
      </c>
      <c r="BY3532">
        <v>0</v>
      </c>
      <c r="BZ3532">
        <v>0</v>
      </c>
    </row>
    <row r="3533" spans="1:99" x14ac:dyDescent="0.2">
      <c r="A3533" t="s">
        <v>367</v>
      </c>
      <c r="B3533" t="s">
        <v>368</v>
      </c>
      <c r="C3533" t="s">
        <v>369</v>
      </c>
      <c r="D3533" t="s">
        <v>1280</v>
      </c>
      <c r="F3533" t="str">
        <f>"118480"</f>
        <v>118480</v>
      </c>
      <c r="G3533" t="s">
        <v>49</v>
      </c>
      <c r="H3533" t="s">
        <v>1357</v>
      </c>
      <c r="K3533" t="s">
        <v>51</v>
      </c>
      <c r="L3533" t="s">
        <v>52</v>
      </c>
      <c r="M3533">
        <v>137742.94</v>
      </c>
      <c r="N3533">
        <v>468698.99</v>
      </c>
      <c r="O3533" t="s">
        <v>53</v>
      </c>
      <c r="P3533" t="s">
        <v>54</v>
      </c>
      <c r="Q3533" t="s">
        <v>55</v>
      </c>
      <c r="T3533" t="s">
        <v>818</v>
      </c>
      <c r="U3533">
        <v>40</v>
      </c>
      <c r="V3533" s="1">
        <v>33910</v>
      </c>
      <c r="W3533" s="1">
        <v>33910</v>
      </c>
      <c r="X3533" s="1">
        <v>33910</v>
      </c>
      <c r="Y3533" s="1">
        <v>48520</v>
      </c>
      <c r="Z3533" t="s">
        <v>51</v>
      </c>
      <c r="AB3533" t="s">
        <v>54</v>
      </c>
      <c r="AC3533">
        <v>1</v>
      </c>
      <c r="AE3533" t="s">
        <v>827</v>
      </c>
      <c r="AF3533">
        <v>20</v>
      </c>
      <c r="AG3533" s="1">
        <v>33910</v>
      </c>
      <c r="AH3533" s="1">
        <v>33910</v>
      </c>
      <c r="AI3533" s="1">
        <v>33910</v>
      </c>
      <c r="AJ3533" s="1">
        <v>41215</v>
      </c>
      <c r="AK3533" t="s">
        <v>51</v>
      </c>
      <c r="AN3533">
        <v>0</v>
      </c>
      <c r="AO3533" t="s">
        <v>54</v>
      </c>
      <c r="AP3533" t="s">
        <v>53</v>
      </c>
      <c r="AQ3533">
        <v>0</v>
      </c>
      <c r="AR3533" t="s">
        <v>53</v>
      </c>
      <c r="AS3533">
        <v>0</v>
      </c>
      <c r="AT3533">
        <v>0</v>
      </c>
      <c r="AW3533" t="s">
        <v>58</v>
      </c>
      <c r="AX3533">
        <v>20</v>
      </c>
      <c r="AY3533" s="1">
        <v>33910</v>
      </c>
      <c r="AZ3533" s="1">
        <v>33910</v>
      </c>
      <c r="BA3533" s="1">
        <v>33910</v>
      </c>
      <c r="BB3533" s="1">
        <v>41215</v>
      </c>
      <c r="BC3533" t="s">
        <v>51</v>
      </c>
      <c r="BE3533" t="s">
        <v>54</v>
      </c>
      <c r="BF3533">
        <v>2</v>
      </c>
      <c r="BG3533">
        <v>0</v>
      </c>
      <c r="BH3533" t="s">
        <v>53</v>
      </c>
      <c r="BK3533" t="s">
        <v>720</v>
      </c>
      <c r="BL3533">
        <v>17000</v>
      </c>
      <c r="BM3533" s="1">
        <v>45110</v>
      </c>
      <c r="BN3533" s="1">
        <v>45110</v>
      </c>
      <c r="BO3533" s="1">
        <v>45110</v>
      </c>
      <c r="BP3533" s="1">
        <v>46532</v>
      </c>
      <c r="BQ3533" t="s">
        <v>51</v>
      </c>
      <c r="BS3533" t="s">
        <v>60</v>
      </c>
      <c r="BT3533" t="s">
        <v>54</v>
      </c>
      <c r="BU3533" t="s">
        <v>721</v>
      </c>
      <c r="BV3533" t="s">
        <v>722</v>
      </c>
      <c r="BX3533">
        <v>18</v>
      </c>
      <c r="BY3533">
        <v>0</v>
      </c>
      <c r="BZ3533">
        <v>0</v>
      </c>
    </row>
    <row r="3534" spans="1:99" x14ac:dyDescent="0.2">
      <c r="A3534" t="s">
        <v>367</v>
      </c>
      <c r="B3534" t="s">
        <v>368</v>
      </c>
      <c r="C3534" t="s">
        <v>369</v>
      </c>
      <c r="D3534" t="s">
        <v>1315</v>
      </c>
      <c r="F3534" t="str">
        <f>"119294"</f>
        <v>119294</v>
      </c>
      <c r="G3534" t="s">
        <v>49</v>
      </c>
      <c r="H3534" t="s">
        <v>1581</v>
      </c>
      <c r="K3534" t="s">
        <v>51</v>
      </c>
      <c r="L3534" t="s">
        <v>52</v>
      </c>
      <c r="M3534">
        <v>137770.51</v>
      </c>
      <c r="N3534">
        <v>467772.52</v>
      </c>
      <c r="O3534" t="s">
        <v>53</v>
      </c>
      <c r="P3534" t="s">
        <v>54</v>
      </c>
      <c r="Q3534" t="s">
        <v>55</v>
      </c>
      <c r="T3534" t="s">
        <v>818</v>
      </c>
      <c r="U3534">
        <v>40</v>
      </c>
      <c r="V3534" s="1">
        <v>33786</v>
      </c>
      <c r="W3534" s="1">
        <v>33786</v>
      </c>
      <c r="X3534" s="1">
        <v>33786</v>
      </c>
      <c r="Y3534" s="1">
        <v>48396</v>
      </c>
      <c r="Z3534" t="s">
        <v>51</v>
      </c>
      <c r="AB3534" t="s">
        <v>54</v>
      </c>
      <c r="AC3534">
        <v>1</v>
      </c>
      <c r="AE3534" t="s">
        <v>819</v>
      </c>
      <c r="AF3534">
        <v>20</v>
      </c>
      <c r="AG3534" s="1">
        <v>35017</v>
      </c>
      <c r="AH3534" s="1">
        <v>35017</v>
      </c>
      <c r="AI3534" s="1">
        <v>35017</v>
      </c>
      <c r="AJ3534" s="1">
        <v>42322</v>
      </c>
      <c r="AK3534" t="s">
        <v>51</v>
      </c>
      <c r="AN3534">
        <v>0</v>
      </c>
      <c r="AO3534" t="s">
        <v>54</v>
      </c>
      <c r="AP3534" t="s">
        <v>53</v>
      </c>
      <c r="AQ3534">
        <v>0</v>
      </c>
      <c r="AR3534" t="s">
        <v>53</v>
      </c>
      <c r="AS3534">
        <v>0</v>
      </c>
      <c r="AT3534">
        <v>0</v>
      </c>
      <c r="AW3534" t="s">
        <v>58</v>
      </c>
      <c r="AX3534">
        <v>20</v>
      </c>
      <c r="AY3534" s="1">
        <v>35017</v>
      </c>
      <c r="AZ3534" s="1">
        <v>35017</v>
      </c>
      <c r="BA3534" s="1">
        <v>35017</v>
      </c>
      <c r="BB3534" s="1">
        <v>42322</v>
      </c>
      <c r="BC3534" t="s">
        <v>51</v>
      </c>
      <c r="BE3534" t="s">
        <v>54</v>
      </c>
      <c r="BF3534">
        <v>2</v>
      </c>
      <c r="BG3534">
        <v>0</v>
      </c>
      <c r="BH3534" t="s">
        <v>53</v>
      </c>
      <c r="BK3534" t="s">
        <v>720</v>
      </c>
      <c r="BL3534">
        <v>17000</v>
      </c>
      <c r="BM3534" s="1">
        <v>43809</v>
      </c>
      <c r="BN3534" s="1">
        <v>43809</v>
      </c>
      <c r="BO3534" s="1">
        <v>43809</v>
      </c>
      <c r="BP3534" s="1">
        <v>45251</v>
      </c>
      <c r="BQ3534" t="s">
        <v>51</v>
      </c>
      <c r="BS3534" t="s">
        <v>60</v>
      </c>
      <c r="BT3534" t="s">
        <v>54</v>
      </c>
      <c r="BU3534" t="s">
        <v>721</v>
      </c>
      <c r="BV3534" t="s">
        <v>722</v>
      </c>
      <c r="BX3534">
        <v>18</v>
      </c>
      <c r="BY3534">
        <v>0</v>
      </c>
      <c r="BZ3534">
        <v>0</v>
      </c>
    </row>
    <row r="3535" spans="1:99" x14ac:dyDescent="0.2">
      <c r="A3535" t="s">
        <v>367</v>
      </c>
      <c r="B3535" t="s">
        <v>368</v>
      </c>
      <c r="C3535" t="s">
        <v>369</v>
      </c>
      <c r="D3535" t="s">
        <v>1582</v>
      </c>
      <c r="F3535" t="str">
        <f>"120476"</f>
        <v>120476</v>
      </c>
      <c r="G3535" t="s">
        <v>49</v>
      </c>
      <c r="H3535" t="s">
        <v>1583</v>
      </c>
      <c r="K3535" t="s">
        <v>51</v>
      </c>
      <c r="L3535" t="s">
        <v>52</v>
      </c>
      <c r="M3535">
        <v>138189.37</v>
      </c>
      <c r="N3535">
        <v>468512.85</v>
      </c>
      <c r="O3535" t="s">
        <v>53</v>
      </c>
      <c r="P3535" t="s">
        <v>54</v>
      </c>
      <c r="Q3535" t="s">
        <v>55</v>
      </c>
      <c r="T3535" t="s">
        <v>841</v>
      </c>
      <c r="U3535">
        <v>40</v>
      </c>
      <c r="V3535" s="1">
        <v>34079</v>
      </c>
      <c r="W3535" s="1">
        <v>34079</v>
      </c>
      <c r="X3535" s="1">
        <v>34079</v>
      </c>
      <c r="Y3535" s="1">
        <v>48689</v>
      </c>
      <c r="Z3535" t="s">
        <v>51</v>
      </c>
      <c r="AB3535" t="s">
        <v>54</v>
      </c>
      <c r="AC3535">
        <v>1</v>
      </c>
      <c r="AE3535" t="s">
        <v>1212</v>
      </c>
      <c r="AF3535">
        <v>20</v>
      </c>
      <c r="AG3535" s="1">
        <v>31047</v>
      </c>
      <c r="AH3535" s="1">
        <v>31047</v>
      </c>
      <c r="AI3535" s="1">
        <v>34079</v>
      </c>
      <c r="AJ3535" s="1">
        <v>38352</v>
      </c>
      <c r="AK3535" t="s">
        <v>51</v>
      </c>
      <c r="AN3535">
        <v>0</v>
      </c>
      <c r="AO3535" t="s">
        <v>54</v>
      </c>
      <c r="AP3535" t="s">
        <v>53</v>
      </c>
      <c r="AQ3535">
        <v>0</v>
      </c>
      <c r="AR3535" t="s">
        <v>53</v>
      </c>
      <c r="AS3535">
        <v>0</v>
      </c>
      <c r="AT3535">
        <v>0</v>
      </c>
      <c r="CC3535" t="s">
        <v>850</v>
      </c>
      <c r="CD3535">
        <v>1</v>
      </c>
      <c r="CE3535" s="1">
        <v>42552</v>
      </c>
      <c r="CF3535" s="1">
        <v>42552</v>
      </c>
      <c r="CG3535" s="1">
        <v>42552</v>
      </c>
      <c r="CH3535" s="1">
        <v>42552</v>
      </c>
      <c r="CI3535" t="s">
        <v>51</v>
      </c>
      <c r="CK3535" t="s">
        <v>78</v>
      </c>
      <c r="CM3535" t="s">
        <v>54</v>
      </c>
      <c r="CN3535" t="s">
        <v>174</v>
      </c>
      <c r="CO3535" t="s">
        <v>86</v>
      </c>
      <c r="CR3535">
        <v>18</v>
      </c>
      <c r="CS3535">
        <v>0</v>
      </c>
      <c r="CT3535">
        <v>0</v>
      </c>
      <c r="CU3535">
        <v>0</v>
      </c>
    </row>
    <row r="3536" spans="1:99" x14ac:dyDescent="0.2">
      <c r="A3536" t="s">
        <v>367</v>
      </c>
      <c r="B3536" t="s">
        <v>368</v>
      </c>
      <c r="C3536" t="s">
        <v>369</v>
      </c>
      <c r="D3536" t="s">
        <v>1200</v>
      </c>
      <c r="F3536" t="str">
        <f>"120487"</f>
        <v>120487</v>
      </c>
      <c r="G3536" t="s">
        <v>49</v>
      </c>
      <c r="H3536" t="s">
        <v>1584</v>
      </c>
      <c r="K3536" t="s">
        <v>51</v>
      </c>
      <c r="L3536" t="s">
        <v>52</v>
      </c>
      <c r="M3536">
        <v>138076.65</v>
      </c>
      <c r="N3536">
        <v>467787.18</v>
      </c>
      <c r="O3536" t="s">
        <v>53</v>
      </c>
      <c r="P3536" t="s">
        <v>54</v>
      </c>
      <c r="Q3536" t="s">
        <v>55</v>
      </c>
      <c r="T3536" t="s">
        <v>818</v>
      </c>
      <c r="U3536">
        <v>40</v>
      </c>
      <c r="V3536" s="1">
        <v>34088</v>
      </c>
      <c r="W3536" s="1">
        <v>34088</v>
      </c>
      <c r="X3536" s="1">
        <v>34088</v>
      </c>
      <c r="Y3536" s="1">
        <v>48698</v>
      </c>
      <c r="Z3536" t="s">
        <v>51</v>
      </c>
      <c r="AB3536" t="s">
        <v>54</v>
      </c>
      <c r="AC3536">
        <v>1</v>
      </c>
      <c r="AE3536" t="s">
        <v>827</v>
      </c>
      <c r="AF3536">
        <v>20</v>
      </c>
      <c r="AG3536" s="1">
        <v>34088</v>
      </c>
      <c r="AH3536" s="1">
        <v>34088</v>
      </c>
      <c r="AI3536" s="1">
        <v>34088</v>
      </c>
      <c r="AJ3536" s="1">
        <v>41393</v>
      </c>
      <c r="AK3536" t="s">
        <v>51</v>
      </c>
      <c r="AN3536">
        <v>0</v>
      </c>
      <c r="AO3536" t="s">
        <v>54</v>
      </c>
      <c r="AP3536" t="s">
        <v>53</v>
      </c>
      <c r="AQ3536">
        <v>0</v>
      </c>
      <c r="AR3536" t="s">
        <v>53</v>
      </c>
      <c r="AS3536">
        <v>0</v>
      </c>
      <c r="AT3536">
        <v>0</v>
      </c>
      <c r="AW3536" t="s">
        <v>58</v>
      </c>
      <c r="AX3536">
        <v>20</v>
      </c>
      <c r="AY3536" s="1">
        <v>34088</v>
      </c>
      <c r="AZ3536" s="1">
        <v>34088</v>
      </c>
      <c r="BA3536" s="1">
        <v>34088</v>
      </c>
      <c r="BB3536" s="1">
        <v>41393</v>
      </c>
      <c r="BC3536" t="s">
        <v>51</v>
      </c>
      <c r="BE3536" t="s">
        <v>54</v>
      </c>
      <c r="BF3536">
        <v>2</v>
      </c>
      <c r="BG3536">
        <v>0</v>
      </c>
      <c r="BH3536" t="s">
        <v>53</v>
      </c>
      <c r="BK3536" t="s">
        <v>720</v>
      </c>
      <c r="BL3536">
        <v>17000</v>
      </c>
      <c r="BM3536" s="1">
        <v>43711</v>
      </c>
      <c r="BN3536" s="1">
        <v>43711</v>
      </c>
      <c r="BO3536" s="1">
        <v>43711</v>
      </c>
      <c r="BP3536" s="1">
        <v>45141</v>
      </c>
      <c r="BQ3536" t="s">
        <v>51</v>
      </c>
      <c r="BS3536" t="s">
        <v>60</v>
      </c>
      <c r="BT3536" t="s">
        <v>54</v>
      </c>
      <c r="BU3536" t="s">
        <v>721</v>
      </c>
      <c r="BV3536" t="s">
        <v>722</v>
      </c>
      <c r="BX3536">
        <v>18</v>
      </c>
      <c r="BY3536">
        <v>0</v>
      </c>
      <c r="BZ3536">
        <v>0</v>
      </c>
    </row>
    <row r="3537" spans="1:99" x14ac:dyDescent="0.2">
      <c r="A3537" t="s">
        <v>367</v>
      </c>
      <c r="B3537" t="s">
        <v>368</v>
      </c>
      <c r="C3537" t="s">
        <v>369</v>
      </c>
      <c r="D3537" t="s">
        <v>1492</v>
      </c>
      <c r="F3537" t="str">
        <f>"120528"</f>
        <v>120528</v>
      </c>
      <c r="G3537" t="s">
        <v>49</v>
      </c>
      <c r="H3537" t="s">
        <v>1585</v>
      </c>
      <c r="K3537" t="s">
        <v>51</v>
      </c>
      <c r="L3537" t="s">
        <v>52</v>
      </c>
      <c r="M3537">
        <v>137803.42000000001</v>
      </c>
      <c r="N3537">
        <v>468625.77</v>
      </c>
      <c r="O3537" t="s">
        <v>53</v>
      </c>
      <c r="P3537" t="s">
        <v>54</v>
      </c>
      <c r="Q3537" t="s">
        <v>55</v>
      </c>
      <c r="T3537" t="s">
        <v>841</v>
      </c>
      <c r="U3537">
        <v>40</v>
      </c>
      <c r="V3537" s="1">
        <v>34122</v>
      </c>
      <c r="W3537" s="1">
        <v>34122</v>
      </c>
      <c r="X3537" s="1">
        <v>34122</v>
      </c>
      <c r="Y3537" s="1">
        <v>48732</v>
      </c>
      <c r="Z3537" t="s">
        <v>51</v>
      </c>
      <c r="AB3537" t="s">
        <v>54</v>
      </c>
      <c r="AC3537">
        <v>1</v>
      </c>
      <c r="AE3537" t="s">
        <v>1212</v>
      </c>
      <c r="AF3537">
        <v>20</v>
      </c>
      <c r="AG3537" s="1">
        <v>31777</v>
      </c>
      <c r="AH3537" s="1">
        <v>31777</v>
      </c>
      <c r="AI3537" s="1">
        <v>34122</v>
      </c>
      <c r="AJ3537" s="1">
        <v>39082</v>
      </c>
      <c r="AK3537" t="s">
        <v>51</v>
      </c>
      <c r="AN3537">
        <v>0</v>
      </c>
      <c r="AO3537" t="s">
        <v>54</v>
      </c>
      <c r="AP3537" t="s">
        <v>53</v>
      </c>
      <c r="AQ3537">
        <v>0</v>
      </c>
      <c r="AR3537" t="s">
        <v>53</v>
      </c>
      <c r="AS3537">
        <v>0</v>
      </c>
      <c r="AT3537">
        <v>0</v>
      </c>
      <c r="AW3537" t="s">
        <v>58</v>
      </c>
      <c r="AX3537">
        <v>20</v>
      </c>
      <c r="AY3537" s="1">
        <v>31777</v>
      </c>
      <c r="AZ3537" s="1">
        <v>31777</v>
      </c>
      <c r="BA3537" s="1">
        <v>34122</v>
      </c>
      <c r="BB3537" s="1">
        <v>39082</v>
      </c>
      <c r="BC3537" t="s">
        <v>51</v>
      </c>
      <c r="BE3537" t="s">
        <v>54</v>
      </c>
      <c r="BF3537">
        <v>2</v>
      </c>
      <c r="BG3537">
        <v>0</v>
      </c>
      <c r="BH3537" t="s">
        <v>53</v>
      </c>
      <c r="BK3537" t="s">
        <v>720</v>
      </c>
      <c r="BL3537">
        <v>17000</v>
      </c>
      <c r="BM3537" s="1">
        <v>44067</v>
      </c>
      <c r="BN3537" s="1">
        <v>44067</v>
      </c>
      <c r="BO3537" s="1">
        <v>44067</v>
      </c>
      <c r="BP3537" s="1">
        <v>45496</v>
      </c>
      <c r="BQ3537" t="s">
        <v>51</v>
      </c>
      <c r="BS3537" t="s">
        <v>60</v>
      </c>
      <c r="BT3537" t="s">
        <v>54</v>
      </c>
      <c r="BU3537" t="s">
        <v>721</v>
      </c>
      <c r="BV3537" t="s">
        <v>722</v>
      </c>
      <c r="BX3537">
        <v>18</v>
      </c>
      <c r="BY3537">
        <v>0</v>
      </c>
      <c r="BZ3537">
        <v>0</v>
      </c>
    </row>
    <row r="3538" spans="1:99" x14ac:dyDescent="0.2">
      <c r="A3538" t="s">
        <v>367</v>
      </c>
      <c r="B3538" t="s">
        <v>368</v>
      </c>
      <c r="C3538" t="s">
        <v>369</v>
      </c>
      <c r="D3538" t="s">
        <v>1492</v>
      </c>
      <c r="F3538" t="str">
        <f>"120533"</f>
        <v>120533</v>
      </c>
      <c r="G3538" t="s">
        <v>49</v>
      </c>
      <c r="H3538" t="s">
        <v>1382</v>
      </c>
      <c r="K3538" t="s">
        <v>51</v>
      </c>
      <c r="L3538" t="s">
        <v>52</v>
      </c>
      <c r="M3538">
        <v>137782.09</v>
      </c>
      <c r="N3538">
        <v>468663.64</v>
      </c>
      <c r="O3538" t="s">
        <v>53</v>
      </c>
      <c r="P3538" t="s">
        <v>54</v>
      </c>
      <c r="Q3538" t="s">
        <v>55</v>
      </c>
      <c r="T3538" t="s">
        <v>841</v>
      </c>
      <c r="U3538">
        <v>40</v>
      </c>
      <c r="V3538" s="1">
        <v>34124</v>
      </c>
      <c r="W3538" s="1">
        <v>34124</v>
      </c>
      <c r="X3538" s="1">
        <v>34124</v>
      </c>
      <c r="Y3538" s="1">
        <v>48734</v>
      </c>
      <c r="Z3538" t="s">
        <v>51</v>
      </c>
      <c r="AB3538" t="s">
        <v>54</v>
      </c>
      <c r="AC3538">
        <v>1</v>
      </c>
      <c r="AE3538" t="s">
        <v>1212</v>
      </c>
      <c r="AF3538">
        <v>20</v>
      </c>
      <c r="AG3538" s="1">
        <v>31777</v>
      </c>
      <c r="AH3538" s="1">
        <v>31777</v>
      </c>
      <c r="AI3538" s="1">
        <v>34124</v>
      </c>
      <c r="AJ3538" s="1">
        <v>39082</v>
      </c>
      <c r="AK3538" t="s">
        <v>51</v>
      </c>
      <c r="AN3538">
        <v>0</v>
      </c>
      <c r="AO3538" t="s">
        <v>54</v>
      </c>
      <c r="AP3538" t="s">
        <v>53</v>
      </c>
      <c r="AQ3538">
        <v>0</v>
      </c>
      <c r="AR3538" t="s">
        <v>53</v>
      </c>
      <c r="AS3538">
        <v>0</v>
      </c>
      <c r="AT3538">
        <v>0</v>
      </c>
      <c r="AW3538" t="s">
        <v>58</v>
      </c>
      <c r="AX3538">
        <v>20</v>
      </c>
      <c r="AY3538" s="1">
        <v>31777</v>
      </c>
      <c r="AZ3538" s="1">
        <v>31777</v>
      </c>
      <c r="BA3538" s="1">
        <v>34124</v>
      </c>
      <c r="BB3538" s="1">
        <v>39082</v>
      </c>
      <c r="BC3538" t="s">
        <v>51</v>
      </c>
      <c r="BE3538" t="s">
        <v>54</v>
      </c>
      <c r="BF3538">
        <v>2</v>
      </c>
      <c r="BG3538">
        <v>0</v>
      </c>
      <c r="BH3538" t="s">
        <v>53</v>
      </c>
      <c r="BK3538" t="s">
        <v>720</v>
      </c>
      <c r="BL3538">
        <v>17000</v>
      </c>
      <c r="BM3538" s="1">
        <v>44592</v>
      </c>
      <c r="BN3538" s="1">
        <v>44592</v>
      </c>
      <c r="BO3538" s="1">
        <v>44592</v>
      </c>
      <c r="BP3538" s="1">
        <v>46035</v>
      </c>
      <c r="BQ3538" t="s">
        <v>51</v>
      </c>
      <c r="BS3538" t="s">
        <v>60</v>
      </c>
      <c r="BT3538" t="s">
        <v>54</v>
      </c>
      <c r="BU3538" t="s">
        <v>721</v>
      </c>
      <c r="BV3538" t="s">
        <v>722</v>
      </c>
      <c r="BX3538">
        <v>18</v>
      </c>
      <c r="BY3538">
        <v>0</v>
      </c>
      <c r="BZ3538">
        <v>0</v>
      </c>
    </row>
    <row r="3539" spans="1:99" x14ac:dyDescent="0.2">
      <c r="A3539" t="s">
        <v>367</v>
      </c>
      <c r="B3539" t="s">
        <v>368</v>
      </c>
      <c r="C3539" t="s">
        <v>369</v>
      </c>
      <c r="D3539" t="s">
        <v>1492</v>
      </c>
      <c r="F3539" t="str">
        <f>"120534"</f>
        <v>120534</v>
      </c>
      <c r="G3539" t="s">
        <v>49</v>
      </c>
      <c r="H3539" t="s">
        <v>399</v>
      </c>
      <c r="K3539" t="s">
        <v>51</v>
      </c>
      <c r="L3539" t="s">
        <v>52</v>
      </c>
      <c r="M3539">
        <v>137819.45000000001</v>
      </c>
      <c r="N3539">
        <v>468591.18</v>
      </c>
      <c r="O3539" t="s">
        <v>53</v>
      </c>
      <c r="P3539" t="s">
        <v>54</v>
      </c>
      <c r="Q3539" t="s">
        <v>55</v>
      </c>
      <c r="T3539" t="s">
        <v>841</v>
      </c>
      <c r="U3539">
        <v>40</v>
      </c>
      <c r="V3539" s="1">
        <v>34124</v>
      </c>
      <c r="W3539" s="1">
        <v>34124</v>
      </c>
      <c r="X3539" s="1">
        <v>34124</v>
      </c>
      <c r="Y3539" s="1">
        <v>48734</v>
      </c>
      <c r="Z3539" t="s">
        <v>51</v>
      </c>
      <c r="AB3539" t="s">
        <v>54</v>
      </c>
      <c r="AC3539">
        <v>1</v>
      </c>
      <c r="AE3539" t="s">
        <v>1212</v>
      </c>
      <c r="AF3539">
        <v>20</v>
      </c>
      <c r="AG3539" s="1">
        <v>31777</v>
      </c>
      <c r="AH3539" s="1">
        <v>31777</v>
      </c>
      <c r="AI3539" s="1">
        <v>34124</v>
      </c>
      <c r="AJ3539" s="1">
        <v>39082</v>
      </c>
      <c r="AK3539" t="s">
        <v>51</v>
      </c>
      <c r="AN3539">
        <v>0</v>
      </c>
      <c r="AO3539" t="s">
        <v>54</v>
      </c>
      <c r="AP3539" t="s">
        <v>53</v>
      </c>
      <c r="AQ3539">
        <v>0</v>
      </c>
      <c r="AR3539" t="s">
        <v>53</v>
      </c>
      <c r="AS3539">
        <v>0</v>
      </c>
      <c r="AT3539">
        <v>0</v>
      </c>
      <c r="AW3539" t="s">
        <v>58</v>
      </c>
      <c r="AX3539">
        <v>20</v>
      </c>
      <c r="AY3539" s="1">
        <v>31777</v>
      </c>
      <c r="AZ3539" s="1">
        <v>31777</v>
      </c>
      <c r="BA3539" s="1">
        <v>34124</v>
      </c>
      <c r="BB3539" s="1">
        <v>39082</v>
      </c>
      <c r="BC3539" t="s">
        <v>51</v>
      </c>
      <c r="BE3539" t="s">
        <v>54</v>
      </c>
      <c r="BF3539">
        <v>2</v>
      </c>
      <c r="BG3539">
        <v>0</v>
      </c>
      <c r="BH3539" t="s">
        <v>53</v>
      </c>
      <c r="BK3539" t="s">
        <v>720</v>
      </c>
      <c r="BL3539">
        <v>17000</v>
      </c>
      <c r="BM3539" s="1">
        <v>43402</v>
      </c>
      <c r="BN3539" s="1">
        <v>43402</v>
      </c>
      <c r="BO3539" s="1">
        <v>43402</v>
      </c>
      <c r="BP3539" s="1">
        <v>44843</v>
      </c>
      <c r="BQ3539" t="s">
        <v>51</v>
      </c>
      <c r="BS3539" t="s">
        <v>60</v>
      </c>
      <c r="BT3539" t="s">
        <v>54</v>
      </c>
      <c r="BU3539" t="s">
        <v>721</v>
      </c>
      <c r="BV3539" t="s">
        <v>722</v>
      </c>
      <c r="BX3539">
        <v>18</v>
      </c>
      <c r="BY3539">
        <v>0</v>
      </c>
      <c r="BZ3539">
        <v>0</v>
      </c>
    </row>
    <row r="3540" spans="1:99" x14ac:dyDescent="0.2">
      <c r="A3540" t="s">
        <v>367</v>
      </c>
      <c r="B3540" t="s">
        <v>368</v>
      </c>
      <c r="C3540" t="s">
        <v>369</v>
      </c>
      <c r="D3540" t="s">
        <v>1280</v>
      </c>
      <c r="F3540" t="str">
        <f>"120540"</f>
        <v>120540</v>
      </c>
      <c r="G3540" t="s">
        <v>49</v>
      </c>
      <c r="H3540" t="s">
        <v>1586</v>
      </c>
      <c r="K3540" t="s">
        <v>51</v>
      </c>
      <c r="L3540" t="s">
        <v>52</v>
      </c>
      <c r="M3540">
        <v>137620.56</v>
      </c>
      <c r="N3540">
        <v>468665.66</v>
      </c>
      <c r="O3540" t="s">
        <v>53</v>
      </c>
      <c r="P3540" t="s">
        <v>54</v>
      </c>
      <c r="Q3540" t="s">
        <v>55</v>
      </c>
      <c r="T3540" t="s">
        <v>841</v>
      </c>
      <c r="U3540">
        <v>40</v>
      </c>
      <c r="V3540" s="1">
        <v>34128</v>
      </c>
      <c r="W3540" s="1">
        <v>34128</v>
      </c>
      <c r="X3540" s="1">
        <v>34128</v>
      </c>
      <c r="Y3540" s="1">
        <v>48738</v>
      </c>
      <c r="Z3540" t="s">
        <v>51</v>
      </c>
      <c r="AB3540" t="s">
        <v>54</v>
      </c>
      <c r="AC3540">
        <v>1</v>
      </c>
      <c r="AE3540" t="s">
        <v>1212</v>
      </c>
      <c r="AF3540">
        <v>20</v>
      </c>
      <c r="AG3540" s="1">
        <v>31777</v>
      </c>
      <c r="AH3540" s="1">
        <v>31777</v>
      </c>
      <c r="AI3540" s="1">
        <v>34128</v>
      </c>
      <c r="AJ3540" s="1">
        <v>39082</v>
      </c>
      <c r="AK3540" t="s">
        <v>51</v>
      </c>
      <c r="AN3540">
        <v>0</v>
      </c>
      <c r="AO3540" t="s">
        <v>54</v>
      </c>
      <c r="AP3540" t="s">
        <v>53</v>
      </c>
      <c r="AQ3540">
        <v>0</v>
      </c>
      <c r="AR3540" t="s">
        <v>53</v>
      </c>
      <c r="AS3540">
        <v>0</v>
      </c>
      <c r="AT3540">
        <v>0</v>
      </c>
      <c r="AW3540" t="s">
        <v>58</v>
      </c>
      <c r="AX3540">
        <v>20</v>
      </c>
      <c r="AY3540" s="1">
        <v>31777</v>
      </c>
      <c r="AZ3540" s="1">
        <v>31777</v>
      </c>
      <c r="BA3540" s="1">
        <v>34128</v>
      </c>
      <c r="BB3540" s="1">
        <v>39082</v>
      </c>
      <c r="BC3540" t="s">
        <v>51</v>
      </c>
      <c r="BE3540" t="s">
        <v>54</v>
      </c>
      <c r="BF3540">
        <v>2</v>
      </c>
      <c r="BG3540">
        <v>0</v>
      </c>
      <c r="BH3540" t="s">
        <v>53</v>
      </c>
      <c r="BK3540" t="s">
        <v>720</v>
      </c>
      <c r="BL3540">
        <v>17000</v>
      </c>
      <c r="BM3540" s="1">
        <v>43703</v>
      </c>
      <c r="BN3540" s="1">
        <v>43703</v>
      </c>
      <c r="BO3540" s="1">
        <v>43703</v>
      </c>
      <c r="BP3540" s="1">
        <v>45131</v>
      </c>
      <c r="BQ3540" t="s">
        <v>51</v>
      </c>
      <c r="BS3540" t="s">
        <v>60</v>
      </c>
      <c r="BT3540" t="s">
        <v>54</v>
      </c>
      <c r="BU3540" t="s">
        <v>721</v>
      </c>
      <c r="BV3540" t="s">
        <v>722</v>
      </c>
      <c r="BX3540">
        <v>18</v>
      </c>
      <c r="BY3540">
        <v>0</v>
      </c>
      <c r="BZ3540">
        <v>0</v>
      </c>
    </row>
    <row r="3541" spans="1:99" x14ac:dyDescent="0.2">
      <c r="A3541" t="s">
        <v>367</v>
      </c>
      <c r="B3541" t="s">
        <v>368</v>
      </c>
      <c r="C3541" t="s">
        <v>369</v>
      </c>
      <c r="D3541" t="s">
        <v>1215</v>
      </c>
      <c r="F3541" t="str">
        <f>"254097"</f>
        <v>254097</v>
      </c>
      <c r="G3541" t="s">
        <v>49</v>
      </c>
      <c r="H3541" t="s">
        <v>1587</v>
      </c>
      <c r="K3541" t="s">
        <v>51</v>
      </c>
      <c r="L3541" t="s">
        <v>52</v>
      </c>
      <c r="M3541">
        <v>138175.19</v>
      </c>
      <c r="N3541">
        <v>468099.88</v>
      </c>
      <c r="O3541" t="s">
        <v>53</v>
      </c>
      <c r="P3541" t="s">
        <v>54</v>
      </c>
      <c r="Q3541" t="s">
        <v>55</v>
      </c>
      <c r="T3541" t="s">
        <v>841</v>
      </c>
      <c r="U3541">
        <v>40</v>
      </c>
      <c r="V3541" s="1">
        <v>34185</v>
      </c>
      <c r="W3541" s="1">
        <v>34185</v>
      </c>
      <c r="X3541" s="1">
        <v>34185</v>
      </c>
      <c r="Y3541" s="1">
        <v>48795</v>
      </c>
      <c r="Z3541" t="s">
        <v>51</v>
      </c>
      <c r="AB3541" t="s">
        <v>54</v>
      </c>
      <c r="AC3541">
        <v>1</v>
      </c>
      <c r="AE3541" t="s">
        <v>613</v>
      </c>
      <c r="AF3541">
        <v>20</v>
      </c>
      <c r="AG3541" s="1">
        <v>35593</v>
      </c>
      <c r="AH3541" s="1">
        <v>35593</v>
      </c>
      <c r="AI3541" s="1">
        <v>35593</v>
      </c>
      <c r="AJ3541" s="1">
        <v>42898</v>
      </c>
      <c r="AK3541" t="s">
        <v>51</v>
      </c>
      <c r="AN3541">
        <v>0</v>
      </c>
      <c r="AO3541" t="s">
        <v>54</v>
      </c>
      <c r="AP3541" t="s">
        <v>53</v>
      </c>
      <c r="AQ3541">
        <v>0</v>
      </c>
      <c r="AR3541" t="s">
        <v>53</v>
      </c>
      <c r="AS3541">
        <v>0</v>
      </c>
      <c r="AT3541">
        <v>0</v>
      </c>
      <c r="AW3541" t="s">
        <v>58</v>
      </c>
      <c r="AX3541">
        <v>20</v>
      </c>
      <c r="AY3541" s="1">
        <v>35593</v>
      </c>
      <c r="AZ3541" s="1">
        <v>35593</v>
      </c>
      <c r="BA3541" s="1">
        <v>35593</v>
      </c>
      <c r="BB3541" s="1">
        <v>42898</v>
      </c>
      <c r="BC3541" t="s">
        <v>51</v>
      </c>
      <c r="BE3541" t="s">
        <v>54</v>
      </c>
      <c r="BF3541">
        <v>2</v>
      </c>
      <c r="BG3541">
        <v>0</v>
      </c>
      <c r="BH3541" t="s">
        <v>53</v>
      </c>
      <c r="BK3541" t="s">
        <v>59</v>
      </c>
      <c r="BL3541">
        <v>14000</v>
      </c>
      <c r="BM3541" s="1">
        <v>42552</v>
      </c>
      <c r="BN3541" s="1">
        <v>42552</v>
      </c>
      <c r="BO3541" s="1">
        <v>42552</v>
      </c>
      <c r="BP3541" s="1">
        <v>43752</v>
      </c>
      <c r="BQ3541" t="s">
        <v>51</v>
      </c>
      <c r="BS3541" t="s">
        <v>60</v>
      </c>
      <c r="BT3541" t="s">
        <v>54</v>
      </c>
      <c r="BU3541" t="s">
        <v>61</v>
      </c>
      <c r="BV3541" t="s">
        <v>62</v>
      </c>
      <c r="BX3541">
        <v>24</v>
      </c>
      <c r="BY3541">
        <v>0</v>
      </c>
      <c r="BZ3541">
        <v>0</v>
      </c>
    </row>
    <row r="3542" spans="1:99" x14ac:dyDescent="0.2">
      <c r="A3542" t="s">
        <v>367</v>
      </c>
      <c r="B3542" t="s">
        <v>368</v>
      </c>
      <c r="C3542" t="s">
        <v>369</v>
      </c>
      <c r="D3542" t="s">
        <v>1403</v>
      </c>
      <c r="F3542" t="str">
        <f>"120688"</f>
        <v>120688</v>
      </c>
      <c r="G3542" t="s">
        <v>49</v>
      </c>
      <c r="H3542" t="s">
        <v>1588</v>
      </c>
      <c r="K3542" t="s">
        <v>51</v>
      </c>
      <c r="L3542" t="s">
        <v>52</v>
      </c>
      <c r="M3542">
        <v>137580.54999999999</v>
      </c>
      <c r="N3542">
        <v>467534.34</v>
      </c>
      <c r="O3542" t="s">
        <v>53</v>
      </c>
      <c r="P3542" t="s">
        <v>54</v>
      </c>
      <c r="Q3542" t="s">
        <v>55</v>
      </c>
      <c r="T3542" t="s">
        <v>1266</v>
      </c>
      <c r="U3542">
        <v>40</v>
      </c>
      <c r="V3542" s="1">
        <v>34242</v>
      </c>
      <c r="W3542" s="1">
        <v>34242</v>
      </c>
      <c r="X3542" s="1">
        <v>34242</v>
      </c>
      <c r="Y3542" s="1">
        <v>48852</v>
      </c>
      <c r="Z3542" t="s">
        <v>51</v>
      </c>
      <c r="AB3542" t="s">
        <v>54</v>
      </c>
      <c r="AC3542">
        <v>1</v>
      </c>
      <c r="AE3542" t="s">
        <v>844</v>
      </c>
      <c r="AF3542">
        <v>20</v>
      </c>
      <c r="AG3542" s="1">
        <v>31777</v>
      </c>
      <c r="AH3542" s="1">
        <v>31777</v>
      </c>
      <c r="AI3542" s="1">
        <v>34242</v>
      </c>
      <c r="AJ3542" s="1">
        <v>39082</v>
      </c>
      <c r="AK3542" t="s">
        <v>51</v>
      </c>
      <c r="AN3542">
        <v>0</v>
      </c>
      <c r="AO3542" t="s">
        <v>54</v>
      </c>
      <c r="AP3542" t="s">
        <v>53</v>
      </c>
      <c r="AQ3542">
        <v>0</v>
      </c>
      <c r="AR3542" t="s">
        <v>53</v>
      </c>
      <c r="AS3542">
        <v>0</v>
      </c>
      <c r="AT3542">
        <v>0</v>
      </c>
      <c r="CC3542" t="s">
        <v>555</v>
      </c>
      <c r="CD3542">
        <v>85000</v>
      </c>
      <c r="CE3542" s="1">
        <v>42552</v>
      </c>
      <c r="CF3542" s="1">
        <v>42552</v>
      </c>
      <c r="CG3542" s="1">
        <v>42552</v>
      </c>
      <c r="CH3542" s="1">
        <v>49714</v>
      </c>
      <c r="CI3542" t="s">
        <v>51</v>
      </c>
      <c r="CK3542" t="s">
        <v>78</v>
      </c>
      <c r="CM3542" t="s">
        <v>54</v>
      </c>
      <c r="CN3542" t="s">
        <v>174</v>
      </c>
      <c r="CO3542" t="s">
        <v>86</v>
      </c>
      <c r="CR3542">
        <v>20</v>
      </c>
      <c r="CS3542">
        <v>0</v>
      </c>
      <c r="CT3542">
        <v>0</v>
      </c>
      <c r="CU3542">
        <v>0</v>
      </c>
    </row>
    <row r="3543" spans="1:99" x14ac:dyDescent="0.2">
      <c r="A3543" t="s">
        <v>367</v>
      </c>
      <c r="B3543" t="s">
        <v>368</v>
      </c>
      <c r="C3543" t="s">
        <v>369</v>
      </c>
      <c r="D3543" t="s">
        <v>1261</v>
      </c>
      <c r="F3543" t="str">
        <f>"120957"</f>
        <v>120957</v>
      </c>
      <c r="G3543" t="s">
        <v>49</v>
      </c>
      <c r="H3543" t="s">
        <v>1589</v>
      </c>
      <c r="K3543" t="s">
        <v>51</v>
      </c>
      <c r="L3543" t="s">
        <v>52</v>
      </c>
      <c r="M3543">
        <v>138074.44</v>
      </c>
      <c r="N3543">
        <v>468421.32</v>
      </c>
      <c r="O3543" t="s">
        <v>53</v>
      </c>
      <c r="P3543" t="s">
        <v>54</v>
      </c>
      <c r="Q3543" t="s">
        <v>55</v>
      </c>
      <c r="T3543" t="s">
        <v>241</v>
      </c>
      <c r="U3543">
        <v>40</v>
      </c>
      <c r="V3543" s="1">
        <v>38729</v>
      </c>
      <c r="W3543" s="1">
        <v>38729</v>
      </c>
      <c r="X3543" s="1">
        <v>38729</v>
      </c>
      <c r="Y3543" s="1">
        <v>53339</v>
      </c>
      <c r="Z3543" t="s">
        <v>51</v>
      </c>
      <c r="AB3543" t="s">
        <v>54</v>
      </c>
      <c r="AC3543">
        <v>1</v>
      </c>
      <c r="AE3543" t="s">
        <v>825</v>
      </c>
      <c r="AF3543">
        <v>20</v>
      </c>
      <c r="AG3543" s="1">
        <v>38729</v>
      </c>
      <c r="AH3543" s="1">
        <v>38729</v>
      </c>
      <c r="AI3543" s="1">
        <v>38729</v>
      </c>
      <c r="AJ3543" s="1">
        <v>46034</v>
      </c>
      <c r="AK3543" t="s">
        <v>51</v>
      </c>
      <c r="AN3543">
        <v>0</v>
      </c>
      <c r="AO3543" t="s">
        <v>54</v>
      </c>
      <c r="AP3543" t="s">
        <v>53</v>
      </c>
      <c r="AQ3543">
        <v>0</v>
      </c>
      <c r="AR3543" t="s">
        <v>53</v>
      </c>
      <c r="AS3543">
        <v>0</v>
      </c>
      <c r="AT3543">
        <v>0</v>
      </c>
      <c r="CC3543" t="s">
        <v>555</v>
      </c>
      <c r="CD3543">
        <v>85000</v>
      </c>
      <c r="CE3543" s="1">
        <v>42552</v>
      </c>
      <c r="CF3543" s="1">
        <v>42552</v>
      </c>
      <c r="CG3543" s="1">
        <v>42552</v>
      </c>
      <c r="CH3543" s="1">
        <v>49714</v>
      </c>
      <c r="CI3543" t="s">
        <v>51</v>
      </c>
      <c r="CK3543" t="s">
        <v>78</v>
      </c>
      <c r="CM3543" t="s">
        <v>54</v>
      </c>
      <c r="CN3543" t="s">
        <v>174</v>
      </c>
      <c r="CO3543" t="s">
        <v>86</v>
      </c>
      <c r="CR3543">
        <v>20</v>
      </c>
      <c r="CS3543">
        <v>0</v>
      </c>
      <c r="CT3543">
        <v>0</v>
      </c>
      <c r="CU3543">
        <v>0</v>
      </c>
    </row>
    <row r="3544" spans="1:99" x14ac:dyDescent="0.2">
      <c r="A3544" t="s">
        <v>367</v>
      </c>
      <c r="B3544" t="s">
        <v>368</v>
      </c>
      <c r="C3544" t="s">
        <v>369</v>
      </c>
      <c r="D3544" t="s">
        <v>1261</v>
      </c>
      <c r="F3544" t="str">
        <f>"120958"</f>
        <v>120958</v>
      </c>
      <c r="G3544" t="s">
        <v>49</v>
      </c>
      <c r="H3544" t="s">
        <v>1589</v>
      </c>
      <c r="K3544" t="s">
        <v>51</v>
      </c>
      <c r="L3544" t="s">
        <v>52</v>
      </c>
      <c r="M3544">
        <v>138078.46</v>
      </c>
      <c r="N3544">
        <v>468391.67999999999</v>
      </c>
      <c r="O3544" t="s">
        <v>53</v>
      </c>
      <c r="P3544" t="s">
        <v>54</v>
      </c>
      <c r="Q3544" t="s">
        <v>55</v>
      </c>
      <c r="T3544" t="s">
        <v>818</v>
      </c>
      <c r="U3544">
        <v>40</v>
      </c>
      <c r="V3544" s="1">
        <v>34207</v>
      </c>
      <c r="W3544" s="1">
        <v>34207</v>
      </c>
      <c r="X3544" s="1">
        <v>34207</v>
      </c>
      <c r="Y3544" s="1">
        <v>48817</v>
      </c>
      <c r="Z3544" t="s">
        <v>51</v>
      </c>
      <c r="AB3544" t="s">
        <v>54</v>
      </c>
      <c r="AC3544">
        <v>1</v>
      </c>
      <c r="AE3544" t="s">
        <v>827</v>
      </c>
      <c r="AF3544">
        <v>20</v>
      </c>
      <c r="AG3544" s="1">
        <v>34207</v>
      </c>
      <c r="AH3544" s="1">
        <v>34207</v>
      </c>
      <c r="AI3544" s="1">
        <v>34207</v>
      </c>
      <c r="AJ3544" s="1">
        <v>41512</v>
      </c>
      <c r="AK3544" t="s">
        <v>51</v>
      </c>
      <c r="AN3544">
        <v>0</v>
      </c>
      <c r="AO3544" t="s">
        <v>54</v>
      </c>
      <c r="AP3544" t="s">
        <v>53</v>
      </c>
      <c r="AQ3544">
        <v>0</v>
      </c>
      <c r="AR3544" t="s">
        <v>53</v>
      </c>
      <c r="AS3544">
        <v>0</v>
      </c>
      <c r="AT3544">
        <v>0</v>
      </c>
      <c r="CC3544" t="s">
        <v>850</v>
      </c>
      <c r="CD3544">
        <v>1</v>
      </c>
      <c r="CE3544" s="1">
        <v>42552</v>
      </c>
      <c r="CF3544" s="1">
        <v>42552</v>
      </c>
      <c r="CG3544" s="1">
        <v>42552</v>
      </c>
      <c r="CH3544" s="1">
        <v>42552</v>
      </c>
      <c r="CI3544" t="s">
        <v>51</v>
      </c>
      <c r="CK3544" t="s">
        <v>78</v>
      </c>
      <c r="CM3544" t="s">
        <v>54</v>
      </c>
      <c r="CN3544" t="s">
        <v>174</v>
      </c>
      <c r="CO3544" t="s">
        <v>86</v>
      </c>
      <c r="CR3544">
        <v>18</v>
      </c>
      <c r="CS3544">
        <v>0</v>
      </c>
      <c r="CT3544">
        <v>0</v>
      </c>
      <c r="CU3544">
        <v>0</v>
      </c>
    </row>
    <row r="3545" spans="1:99" x14ac:dyDescent="0.2">
      <c r="A3545" t="s">
        <v>367</v>
      </c>
      <c r="B3545" t="s">
        <v>368</v>
      </c>
      <c r="C3545" t="s">
        <v>369</v>
      </c>
      <c r="D3545" t="s">
        <v>1261</v>
      </c>
      <c r="F3545" t="str">
        <f>"254083"</f>
        <v>254083</v>
      </c>
      <c r="G3545" t="s">
        <v>49</v>
      </c>
      <c r="H3545" t="s">
        <v>1589</v>
      </c>
      <c r="K3545" t="s">
        <v>51</v>
      </c>
      <c r="L3545" t="s">
        <v>52</v>
      </c>
      <c r="M3545">
        <v>138099.47</v>
      </c>
      <c r="N3545">
        <v>468409.92</v>
      </c>
      <c r="O3545" t="s">
        <v>53</v>
      </c>
      <c r="P3545" t="s">
        <v>54</v>
      </c>
      <c r="Q3545" t="s">
        <v>55</v>
      </c>
      <c r="T3545" t="s">
        <v>818</v>
      </c>
      <c r="U3545">
        <v>40</v>
      </c>
      <c r="V3545" s="1">
        <v>42552</v>
      </c>
      <c r="W3545" s="1">
        <v>42552</v>
      </c>
      <c r="X3545" s="1">
        <v>42552</v>
      </c>
      <c r="Y3545" s="1">
        <v>57162</v>
      </c>
      <c r="Z3545" t="s">
        <v>51</v>
      </c>
      <c r="AB3545" t="s">
        <v>54</v>
      </c>
      <c r="AC3545">
        <v>1</v>
      </c>
      <c r="AE3545" t="s">
        <v>79</v>
      </c>
      <c r="AF3545">
        <v>20</v>
      </c>
      <c r="AG3545" s="1">
        <v>42552</v>
      </c>
      <c r="AH3545" s="1">
        <v>42552</v>
      </c>
      <c r="AI3545" s="1">
        <v>42552</v>
      </c>
      <c r="AJ3545" s="1">
        <v>49857</v>
      </c>
      <c r="AK3545" t="s">
        <v>51</v>
      </c>
      <c r="AN3545">
        <v>0</v>
      </c>
      <c r="AO3545" t="s">
        <v>54</v>
      </c>
      <c r="AP3545" t="s">
        <v>53</v>
      </c>
      <c r="AQ3545">
        <v>0</v>
      </c>
      <c r="AR3545" t="s">
        <v>145</v>
      </c>
      <c r="AS3545">
        <v>0</v>
      </c>
      <c r="AT3545">
        <v>0</v>
      </c>
      <c r="CC3545" t="s">
        <v>850</v>
      </c>
      <c r="CD3545">
        <v>1</v>
      </c>
      <c r="CE3545" s="1">
        <v>42552</v>
      </c>
      <c r="CF3545" s="1">
        <v>42552</v>
      </c>
      <c r="CG3545" s="1">
        <v>42552</v>
      </c>
      <c r="CH3545" s="1">
        <v>49714</v>
      </c>
      <c r="CI3545" t="s">
        <v>51</v>
      </c>
      <c r="CK3545" t="s">
        <v>78</v>
      </c>
      <c r="CM3545" t="s">
        <v>54</v>
      </c>
      <c r="CN3545" t="s">
        <v>174</v>
      </c>
      <c r="CO3545" t="s">
        <v>86</v>
      </c>
      <c r="CR3545">
        <v>18</v>
      </c>
      <c r="CS3545">
        <v>0</v>
      </c>
      <c r="CT3545">
        <v>0</v>
      </c>
      <c r="CU3545">
        <v>0</v>
      </c>
    </row>
    <row r="3546" spans="1:99" x14ac:dyDescent="0.2">
      <c r="A3546" t="s">
        <v>367</v>
      </c>
      <c r="B3546" t="s">
        <v>368</v>
      </c>
      <c r="C3546" t="s">
        <v>369</v>
      </c>
      <c r="D3546" t="s">
        <v>1261</v>
      </c>
      <c r="F3546" t="str">
        <f>"254081"</f>
        <v>254081</v>
      </c>
      <c r="G3546" t="s">
        <v>49</v>
      </c>
      <c r="H3546" t="s">
        <v>1589</v>
      </c>
      <c r="K3546" t="s">
        <v>51</v>
      </c>
      <c r="L3546" t="s">
        <v>52</v>
      </c>
      <c r="M3546">
        <v>138090.81</v>
      </c>
      <c r="N3546">
        <v>468428.15</v>
      </c>
      <c r="O3546" t="s">
        <v>53</v>
      </c>
      <c r="P3546" t="s">
        <v>54</v>
      </c>
      <c r="Q3546" t="s">
        <v>55</v>
      </c>
      <c r="T3546" t="s">
        <v>818</v>
      </c>
      <c r="U3546">
        <v>40</v>
      </c>
      <c r="V3546" s="1">
        <v>42552</v>
      </c>
      <c r="W3546" s="1">
        <v>42552</v>
      </c>
      <c r="X3546" s="1">
        <v>42552</v>
      </c>
      <c r="Y3546" s="1">
        <v>57162</v>
      </c>
      <c r="Z3546" t="s">
        <v>51</v>
      </c>
      <c r="AB3546" t="s">
        <v>54</v>
      </c>
      <c r="AC3546">
        <v>1</v>
      </c>
      <c r="AE3546" t="s">
        <v>79</v>
      </c>
      <c r="AF3546">
        <v>20</v>
      </c>
      <c r="AG3546" s="1">
        <v>42552</v>
      </c>
      <c r="AH3546" s="1">
        <v>42552</v>
      </c>
      <c r="AI3546" s="1">
        <v>42552</v>
      </c>
      <c r="AJ3546" s="1">
        <v>49857</v>
      </c>
      <c r="AK3546" t="s">
        <v>51</v>
      </c>
      <c r="AN3546">
        <v>0</v>
      </c>
      <c r="AO3546" t="s">
        <v>54</v>
      </c>
      <c r="AP3546" t="s">
        <v>53</v>
      </c>
      <c r="AQ3546">
        <v>0</v>
      </c>
      <c r="AR3546" t="s">
        <v>145</v>
      </c>
      <c r="AS3546">
        <v>0</v>
      </c>
      <c r="AT3546">
        <v>0</v>
      </c>
      <c r="CC3546" t="s">
        <v>850</v>
      </c>
      <c r="CD3546">
        <v>1</v>
      </c>
      <c r="CE3546" s="1">
        <v>42552</v>
      </c>
      <c r="CF3546" s="1">
        <v>42552</v>
      </c>
      <c r="CG3546" s="1">
        <v>42552</v>
      </c>
      <c r="CH3546" s="1">
        <v>49714</v>
      </c>
      <c r="CI3546" t="s">
        <v>51</v>
      </c>
      <c r="CK3546" t="s">
        <v>78</v>
      </c>
      <c r="CM3546" t="s">
        <v>54</v>
      </c>
      <c r="CN3546" t="s">
        <v>174</v>
      </c>
      <c r="CO3546" t="s">
        <v>86</v>
      </c>
      <c r="CR3546">
        <v>18</v>
      </c>
      <c r="CS3546">
        <v>0</v>
      </c>
      <c r="CT3546">
        <v>0</v>
      </c>
      <c r="CU3546">
        <v>0</v>
      </c>
    </row>
    <row r="3547" spans="1:99" x14ac:dyDescent="0.2">
      <c r="A3547" t="s">
        <v>367</v>
      </c>
      <c r="B3547" t="s">
        <v>368</v>
      </c>
      <c r="C3547" t="s">
        <v>369</v>
      </c>
      <c r="D3547" t="s">
        <v>1261</v>
      </c>
      <c r="F3547" t="str">
        <f>"120961"</f>
        <v>120961</v>
      </c>
      <c r="G3547" t="s">
        <v>49</v>
      </c>
      <c r="H3547" t="s">
        <v>1590</v>
      </c>
      <c r="K3547" t="s">
        <v>51</v>
      </c>
      <c r="L3547" t="s">
        <v>52</v>
      </c>
      <c r="M3547">
        <v>138032.26999999999</v>
      </c>
      <c r="N3547">
        <v>468352.54</v>
      </c>
      <c r="O3547" t="s">
        <v>53</v>
      </c>
      <c r="P3547" t="s">
        <v>54</v>
      </c>
      <c r="Q3547" t="s">
        <v>55</v>
      </c>
      <c r="T3547" t="s">
        <v>841</v>
      </c>
      <c r="U3547">
        <v>40</v>
      </c>
      <c r="V3547" s="1">
        <v>44106</v>
      </c>
      <c r="W3547" s="1">
        <v>44106</v>
      </c>
      <c r="X3547" s="1">
        <v>44106</v>
      </c>
      <c r="Y3547" s="1">
        <v>58716</v>
      </c>
      <c r="Z3547" t="s">
        <v>51</v>
      </c>
      <c r="AB3547" t="s">
        <v>54</v>
      </c>
      <c r="AC3547">
        <v>1</v>
      </c>
      <c r="AE3547" t="s">
        <v>613</v>
      </c>
      <c r="AF3547">
        <v>20</v>
      </c>
      <c r="AG3547" s="1">
        <v>34207</v>
      </c>
      <c r="AH3547" s="1">
        <v>34207</v>
      </c>
      <c r="AI3547" s="1">
        <v>44106</v>
      </c>
      <c r="AJ3547" s="1">
        <v>41512</v>
      </c>
      <c r="AK3547" t="s">
        <v>51</v>
      </c>
      <c r="AN3547">
        <v>0</v>
      </c>
      <c r="AO3547" t="s">
        <v>54</v>
      </c>
      <c r="AP3547" t="s">
        <v>53</v>
      </c>
      <c r="AQ3547">
        <v>0</v>
      </c>
      <c r="AR3547" t="s">
        <v>53</v>
      </c>
      <c r="AS3547">
        <v>0</v>
      </c>
      <c r="AT3547">
        <v>0</v>
      </c>
      <c r="CC3547" t="s">
        <v>850</v>
      </c>
      <c r="CD3547">
        <v>1</v>
      </c>
      <c r="CE3547" s="1">
        <v>42552</v>
      </c>
      <c r="CF3547" s="1">
        <v>42552</v>
      </c>
      <c r="CG3547" s="1">
        <v>44106</v>
      </c>
      <c r="CH3547" s="1">
        <v>49714</v>
      </c>
      <c r="CI3547" t="s">
        <v>51</v>
      </c>
      <c r="CK3547" t="s">
        <v>78</v>
      </c>
      <c r="CM3547" t="s">
        <v>54</v>
      </c>
      <c r="CN3547" t="s">
        <v>174</v>
      </c>
      <c r="CO3547" t="s">
        <v>86</v>
      </c>
      <c r="CR3547">
        <v>18</v>
      </c>
      <c r="CS3547">
        <v>0</v>
      </c>
      <c r="CT3547">
        <v>0</v>
      </c>
      <c r="CU3547">
        <v>0</v>
      </c>
    </row>
    <row r="3548" spans="1:99" x14ac:dyDescent="0.2">
      <c r="A3548" t="s">
        <v>367</v>
      </c>
      <c r="B3548" t="s">
        <v>368</v>
      </c>
      <c r="C3548" t="s">
        <v>369</v>
      </c>
      <c r="D3548" t="s">
        <v>1562</v>
      </c>
      <c r="F3548" t="str">
        <f>"123591"</f>
        <v>123591</v>
      </c>
      <c r="G3548" t="s">
        <v>49</v>
      </c>
      <c r="H3548" t="s">
        <v>449</v>
      </c>
      <c r="K3548" t="s">
        <v>51</v>
      </c>
      <c r="L3548" t="s">
        <v>52</v>
      </c>
      <c r="M3548">
        <v>137686.56</v>
      </c>
      <c r="N3548">
        <v>468219.58</v>
      </c>
      <c r="O3548" t="s">
        <v>53</v>
      </c>
      <c r="P3548" t="s">
        <v>54</v>
      </c>
      <c r="Q3548" t="s">
        <v>55</v>
      </c>
      <c r="T3548" t="s">
        <v>818</v>
      </c>
      <c r="U3548">
        <v>40</v>
      </c>
      <c r="V3548" s="1">
        <v>34619</v>
      </c>
      <c r="W3548" s="1">
        <v>34619</v>
      </c>
      <c r="X3548" s="1">
        <v>34619</v>
      </c>
      <c r="Y3548" s="1">
        <v>49229</v>
      </c>
      <c r="Z3548" t="s">
        <v>51</v>
      </c>
      <c r="AB3548" t="s">
        <v>54</v>
      </c>
      <c r="AC3548">
        <v>1</v>
      </c>
      <c r="AE3548" t="s">
        <v>827</v>
      </c>
      <c r="AF3548">
        <v>20</v>
      </c>
      <c r="AG3548" s="1">
        <v>34619</v>
      </c>
      <c r="AH3548" s="1">
        <v>34619</v>
      </c>
      <c r="AI3548" s="1">
        <v>34619</v>
      </c>
      <c r="AJ3548" s="1">
        <v>41924</v>
      </c>
      <c r="AK3548" t="s">
        <v>51</v>
      </c>
      <c r="AN3548">
        <v>0</v>
      </c>
      <c r="AO3548" t="s">
        <v>54</v>
      </c>
      <c r="AP3548" t="s">
        <v>53</v>
      </c>
      <c r="AQ3548">
        <v>0</v>
      </c>
      <c r="AR3548" t="s">
        <v>53</v>
      </c>
      <c r="AS3548">
        <v>0</v>
      </c>
      <c r="AT3548">
        <v>0</v>
      </c>
      <c r="CC3548" t="s">
        <v>850</v>
      </c>
      <c r="CD3548">
        <v>1</v>
      </c>
      <c r="CE3548" s="1">
        <v>42552</v>
      </c>
      <c r="CF3548" s="1">
        <v>42552</v>
      </c>
      <c r="CG3548" s="1">
        <v>42552</v>
      </c>
      <c r="CH3548" s="1">
        <v>49714</v>
      </c>
      <c r="CI3548" t="s">
        <v>51</v>
      </c>
      <c r="CK3548" t="s">
        <v>78</v>
      </c>
      <c r="CM3548" t="s">
        <v>54</v>
      </c>
      <c r="CN3548" t="s">
        <v>174</v>
      </c>
      <c r="CO3548" t="s">
        <v>86</v>
      </c>
      <c r="CR3548">
        <v>18</v>
      </c>
      <c r="CS3548">
        <v>0</v>
      </c>
      <c r="CT3548">
        <v>0</v>
      </c>
      <c r="CU3548">
        <v>0</v>
      </c>
    </row>
    <row r="3549" spans="1:99" x14ac:dyDescent="0.2">
      <c r="A3549" t="s">
        <v>367</v>
      </c>
      <c r="B3549" t="s">
        <v>368</v>
      </c>
      <c r="C3549" t="s">
        <v>369</v>
      </c>
      <c r="D3549" t="s">
        <v>1562</v>
      </c>
      <c r="F3549" t="str">
        <f>"123592"</f>
        <v>123592</v>
      </c>
      <c r="G3549" t="s">
        <v>49</v>
      </c>
      <c r="H3549" t="s">
        <v>1591</v>
      </c>
      <c r="K3549" t="s">
        <v>51</v>
      </c>
      <c r="L3549" t="s">
        <v>52</v>
      </c>
      <c r="M3549">
        <v>137688.79999999999</v>
      </c>
      <c r="N3549">
        <v>468245.77</v>
      </c>
      <c r="O3549" t="s">
        <v>53</v>
      </c>
      <c r="P3549" t="s">
        <v>54</v>
      </c>
      <c r="Q3549" t="s">
        <v>55</v>
      </c>
      <c r="T3549" t="s">
        <v>818</v>
      </c>
      <c r="U3549">
        <v>40</v>
      </c>
      <c r="V3549" s="1">
        <v>34619</v>
      </c>
      <c r="W3549" s="1">
        <v>34619</v>
      </c>
      <c r="X3549" s="1">
        <v>34619</v>
      </c>
      <c r="Y3549" s="1">
        <v>49229</v>
      </c>
      <c r="Z3549" t="s">
        <v>51</v>
      </c>
      <c r="AB3549" t="s">
        <v>54</v>
      </c>
      <c r="AC3549">
        <v>1</v>
      </c>
      <c r="AE3549" t="s">
        <v>827</v>
      </c>
      <c r="AF3549">
        <v>20</v>
      </c>
      <c r="AG3549" s="1">
        <v>34619</v>
      </c>
      <c r="AH3549" s="1">
        <v>34619</v>
      </c>
      <c r="AI3549" s="1">
        <v>34619</v>
      </c>
      <c r="AJ3549" s="1">
        <v>41924</v>
      </c>
      <c r="AK3549" t="s">
        <v>51</v>
      </c>
      <c r="AN3549">
        <v>0</v>
      </c>
      <c r="AO3549" t="s">
        <v>54</v>
      </c>
      <c r="AP3549" t="s">
        <v>53</v>
      </c>
      <c r="AQ3549">
        <v>0</v>
      </c>
      <c r="AR3549" t="s">
        <v>53</v>
      </c>
      <c r="AS3549">
        <v>0</v>
      </c>
      <c r="AT3549">
        <v>0</v>
      </c>
      <c r="CC3549" t="s">
        <v>850</v>
      </c>
      <c r="CD3549">
        <v>1</v>
      </c>
      <c r="CE3549" s="1">
        <v>42552</v>
      </c>
      <c r="CF3549" s="1">
        <v>42552</v>
      </c>
      <c r="CG3549" s="1">
        <v>42552</v>
      </c>
      <c r="CH3549" s="1">
        <v>49714</v>
      </c>
      <c r="CI3549" t="s">
        <v>51</v>
      </c>
      <c r="CK3549" t="s">
        <v>78</v>
      </c>
      <c r="CM3549" t="s">
        <v>54</v>
      </c>
      <c r="CN3549" t="s">
        <v>174</v>
      </c>
      <c r="CO3549" t="s">
        <v>86</v>
      </c>
      <c r="CR3549">
        <v>18</v>
      </c>
      <c r="CS3549">
        <v>0</v>
      </c>
      <c r="CT3549">
        <v>0</v>
      </c>
      <c r="CU3549">
        <v>0</v>
      </c>
    </row>
    <row r="3550" spans="1:99" x14ac:dyDescent="0.2">
      <c r="A3550" t="s">
        <v>367</v>
      </c>
      <c r="B3550" t="s">
        <v>368</v>
      </c>
      <c r="C3550" t="s">
        <v>369</v>
      </c>
      <c r="D3550" t="s">
        <v>1445</v>
      </c>
      <c r="F3550" t="str">
        <f>"130040"</f>
        <v>130040</v>
      </c>
      <c r="G3550" t="s">
        <v>49</v>
      </c>
      <c r="H3550" t="s">
        <v>1592</v>
      </c>
      <c r="K3550" t="s">
        <v>51</v>
      </c>
      <c r="L3550" t="s">
        <v>52</v>
      </c>
      <c r="M3550">
        <v>137929.29999999999</v>
      </c>
      <c r="N3550">
        <v>467947.89</v>
      </c>
      <c r="O3550" t="s">
        <v>53</v>
      </c>
      <c r="P3550" t="s">
        <v>54</v>
      </c>
      <c r="Q3550" t="s">
        <v>55</v>
      </c>
      <c r="T3550" t="s">
        <v>841</v>
      </c>
      <c r="U3550">
        <v>40</v>
      </c>
      <c r="V3550" s="1">
        <v>34338</v>
      </c>
      <c r="W3550" s="1">
        <v>34338</v>
      </c>
      <c r="X3550" s="1">
        <v>34338</v>
      </c>
      <c r="Y3550" s="1">
        <v>48948</v>
      </c>
      <c r="Z3550" t="s">
        <v>51</v>
      </c>
      <c r="AB3550" t="s">
        <v>54</v>
      </c>
      <c r="AC3550">
        <v>1</v>
      </c>
      <c r="AE3550" t="s">
        <v>1212</v>
      </c>
      <c r="AF3550">
        <v>20</v>
      </c>
      <c r="AG3550" s="1">
        <v>34338</v>
      </c>
      <c r="AH3550" s="1">
        <v>34338</v>
      </c>
      <c r="AI3550" s="1">
        <v>34338</v>
      </c>
      <c r="AJ3550" s="1">
        <v>41643</v>
      </c>
      <c r="AK3550" t="s">
        <v>51</v>
      </c>
      <c r="AN3550">
        <v>0</v>
      </c>
      <c r="AO3550" t="s">
        <v>54</v>
      </c>
      <c r="AP3550" t="s">
        <v>53</v>
      </c>
      <c r="AQ3550">
        <v>0</v>
      </c>
      <c r="AR3550" t="s">
        <v>53</v>
      </c>
      <c r="AS3550">
        <v>0</v>
      </c>
      <c r="AT3550">
        <v>0</v>
      </c>
      <c r="CC3550" t="s">
        <v>850</v>
      </c>
      <c r="CD3550">
        <v>1</v>
      </c>
      <c r="CE3550" s="1">
        <v>43500</v>
      </c>
      <c r="CF3550" s="1">
        <v>43500</v>
      </c>
      <c r="CG3550" s="1">
        <v>43500</v>
      </c>
      <c r="CH3550" s="1">
        <v>50716</v>
      </c>
      <c r="CI3550" t="s">
        <v>51</v>
      </c>
      <c r="CK3550" t="s">
        <v>78</v>
      </c>
      <c r="CM3550" t="s">
        <v>54</v>
      </c>
      <c r="CN3550" t="s">
        <v>174</v>
      </c>
      <c r="CO3550" t="s">
        <v>86</v>
      </c>
      <c r="CR3550">
        <v>18</v>
      </c>
      <c r="CS3550">
        <v>0</v>
      </c>
      <c r="CT3550">
        <v>0</v>
      </c>
      <c r="CU3550">
        <v>0</v>
      </c>
    </row>
    <row r="3551" spans="1:99" x14ac:dyDescent="0.2">
      <c r="A3551" t="s">
        <v>367</v>
      </c>
      <c r="B3551" t="s">
        <v>368</v>
      </c>
      <c r="C3551" t="s">
        <v>369</v>
      </c>
      <c r="D3551" t="s">
        <v>1445</v>
      </c>
      <c r="F3551" t="str">
        <f>"130041"</f>
        <v>130041</v>
      </c>
      <c r="G3551" t="s">
        <v>49</v>
      </c>
      <c r="H3551" t="s">
        <v>1593</v>
      </c>
      <c r="K3551" t="s">
        <v>51</v>
      </c>
      <c r="L3551" t="s">
        <v>52</v>
      </c>
      <c r="M3551">
        <v>137923.15</v>
      </c>
      <c r="N3551">
        <v>467866.76</v>
      </c>
      <c r="O3551" t="s">
        <v>53</v>
      </c>
      <c r="P3551" t="s">
        <v>54</v>
      </c>
      <c r="Q3551" t="s">
        <v>55</v>
      </c>
      <c r="T3551" t="s">
        <v>841</v>
      </c>
      <c r="U3551">
        <v>40</v>
      </c>
      <c r="V3551" s="1">
        <v>34338</v>
      </c>
      <c r="W3551" s="1">
        <v>34338</v>
      </c>
      <c r="X3551" s="1">
        <v>34338</v>
      </c>
      <c r="Y3551" s="1">
        <v>48948</v>
      </c>
      <c r="Z3551" t="s">
        <v>51</v>
      </c>
      <c r="AB3551" t="s">
        <v>54</v>
      </c>
      <c r="AC3551">
        <v>1</v>
      </c>
      <c r="AE3551" t="s">
        <v>1212</v>
      </c>
      <c r="AF3551">
        <v>20</v>
      </c>
      <c r="AG3551" s="1">
        <v>31777</v>
      </c>
      <c r="AH3551" s="1">
        <v>31777</v>
      </c>
      <c r="AI3551" s="1">
        <v>34338</v>
      </c>
      <c r="AJ3551" s="1">
        <v>39082</v>
      </c>
      <c r="AK3551" t="s">
        <v>51</v>
      </c>
      <c r="AN3551">
        <v>0</v>
      </c>
      <c r="AO3551" t="s">
        <v>54</v>
      </c>
      <c r="AP3551" t="s">
        <v>53</v>
      </c>
      <c r="AQ3551">
        <v>0</v>
      </c>
      <c r="AR3551" t="s">
        <v>53</v>
      </c>
      <c r="AS3551">
        <v>0</v>
      </c>
      <c r="AT3551">
        <v>0</v>
      </c>
      <c r="AW3551" t="s">
        <v>58</v>
      </c>
      <c r="AX3551">
        <v>20</v>
      </c>
      <c r="AY3551" s="1">
        <v>31777</v>
      </c>
      <c r="AZ3551" s="1">
        <v>31777</v>
      </c>
      <c r="BA3551" s="1">
        <v>34338</v>
      </c>
      <c r="BB3551" s="1">
        <v>39082</v>
      </c>
      <c r="BC3551" t="s">
        <v>51</v>
      </c>
      <c r="BE3551" t="s">
        <v>54</v>
      </c>
      <c r="BF3551">
        <v>2</v>
      </c>
      <c r="BG3551">
        <v>0</v>
      </c>
      <c r="BH3551" t="s">
        <v>53</v>
      </c>
      <c r="BK3551" t="s">
        <v>720</v>
      </c>
      <c r="BL3551">
        <v>17000</v>
      </c>
      <c r="BM3551" s="1">
        <v>42552</v>
      </c>
      <c r="BN3551" s="1">
        <v>42552</v>
      </c>
      <c r="BO3551" s="1">
        <v>42552</v>
      </c>
      <c r="BP3551" s="1">
        <v>43974</v>
      </c>
      <c r="BQ3551" t="s">
        <v>51</v>
      </c>
      <c r="BS3551" t="s">
        <v>60</v>
      </c>
      <c r="BT3551" t="s">
        <v>54</v>
      </c>
      <c r="BU3551" t="s">
        <v>721</v>
      </c>
      <c r="BV3551" t="s">
        <v>722</v>
      </c>
      <c r="BX3551">
        <v>18</v>
      </c>
      <c r="BY3551">
        <v>0</v>
      </c>
      <c r="BZ3551">
        <v>0</v>
      </c>
    </row>
    <row r="3552" spans="1:99" x14ac:dyDescent="0.2">
      <c r="A3552" t="s">
        <v>367</v>
      </c>
      <c r="B3552" t="s">
        <v>368</v>
      </c>
      <c r="C3552" t="s">
        <v>369</v>
      </c>
      <c r="D3552" t="s">
        <v>1396</v>
      </c>
      <c r="F3552" t="str">
        <f>"130517"</f>
        <v>130517</v>
      </c>
      <c r="G3552" t="s">
        <v>49</v>
      </c>
      <c r="H3552" t="s">
        <v>1594</v>
      </c>
      <c r="K3552" t="s">
        <v>51</v>
      </c>
      <c r="L3552" t="s">
        <v>52</v>
      </c>
      <c r="M3552">
        <v>138208.85</v>
      </c>
      <c r="N3552">
        <v>467527.49</v>
      </c>
      <c r="O3552" t="s">
        <v>53</v>
      </c>
      <c r="P3552" t="s">
        <v>54</v>
      </c>
      <c r="Q3552" t="s">
        <v>55</v>
      </c>
      <c r="T3552" t="s">
        <v>841</v>
      </c>
      <c r="U3552">
        <v>40</v>
      </c>
      <c r="V3552" s="1">
        <v>37782</v>
      </c>
      <c r="W3552" s="1">
        <v>37782</v>
      </c>
      <c r="X3552" s="1">
        <v>37782</v>
      </c>
      <c r="Y3552" s="1">
        <v>52392</v>
      </c>
      <c r="Z3552" t="s">
        <v>51</v>
      </c>
      <c r="AB3552" t="s">
        <v>54</v>
      </c>
      <c r="AC3552">
        <v>1</v>
      </c>
      <c r="AE3552" t="s">
        <v>64</v>
      </c>
      <c r="AF3552">
        <v>20</v>
      </c>
      <c r="AG3552" s="1">
        <v>37782</v>
      </c>
      <c r="AH3552" s="1">
        <v>37782</v>
      </c>
      <c r="AI3552" s="1">
        <v>37782</v>
      </c>
      <c r="AJ3552" s="1">
        <v>45087</v>
      </c>
      <c r="AK3552" t="s">
        <v>51</v>
      </c>
      <c r="AN3552">
        <v>0</v>
      </c>
      <c r="AO3552" t="s">
        <v>54</v>
      </c>
      <c r="AP3552" t="s">
        <v>53</v>
      </c>
      <c r="AQ3552">
        <v>0</v>
      </c>
      <c r="AR3552" t="s">
        <v>53</v>
      </c>
      <c r="AS3552">
        <v>0</v>
      </c>
      <c r="AT3552">
        <v>0</v>
      </c>
      <c r="CC3552" t="s">
        <v>555</v>
      </c>
      <c r="CD3552">
        <v>85000</v>
      </c>
      <c r="CE3552" s="1">
        <v>42552</v>
      </c>
      <c r="CF3552" s="1">
        <v>42552</v>
      </c>
      <c r="CG3552" s="1">
        <v>42552</v>
      </c>
      <c r="CH3552" s="1">
        <v>49714</v>
      </c>
      <c r="CI3552" t="s">
        <v>51</v>
      </c>
      <c r="CK3552" t="s">
        <v>78</v>
      </c>
      <c r="CM3552" t="s">
        <v>54</v>
      </c>
      <c r="CN3552" t="s">
        <v>174</v>
      </c>
      <c r="CO3552" t="s">
        <v>86</v>
      </c>
      <c r="CR3552">
        <v>20</v>
      </c>
      <c r="CS3552">
        <v>0</v>
      </c>
      <c r="CT3552">
        <v>0</v>
      </c>
      <c r="CU3552">
        <v>0</v>
      </c>
    </row>
    <row r="3553" spans="1:99" x14ac:dyDescent="0.2">
      <c r="A3553" t="s">
        <v>367</v>
      </c>
      <c r="B3553" t="s">
        <v>368</v>
      </c>
      <c r="C3553" t="s">
        <v>369</v>
      </c>
      <c r="D3553" t="s">
        <v>1396</v>
      </c>
      <c r="F3553" t="str">
        <f>"130599"</f>
        <v>130599</v>
      </c>
      <c r="G3553" t="s">
        <v>49</v>
      </c>
      <c r="H3553" t="s">
        <v>1595</v>
      </c>
      <c r="K3553" t="s">
        <v>51</v>
      </c>
      <c r="L3553" t="s">
        <v>52</v>
      </c>
      <c r="M3553">
        <v>138234.98000000001</v>
      </c>
      <c r="N3553">
        <v>467518.33</v>
      </c>
      <c r="O3553" t="s">
        <v>53</v>
      </c>
      <c r="P3553" t="s">
        <v>54</v>
      </c>
      <c r="Q3553" t="s">
        <v>55</v>
      </c>
      <c r="T3553" t="s">
        <v>841</v>
      </c>
      <c r="U3553">
        <v>40</v>
      </c>
      <c r="V3553" s="1">
        <v>37782</v>
      </c>
      <c r="W3553" s="1">
        <v>37782</v>
      </c>
      <c r="X3553" s="1">
        <v>37782</v>
      </c>
      <c r="Y3553" s="1">
        <v>52392</v>
      </c>
      <c r="Z3553" t="s">
        <v>51</v>
      </c>
      <c r="AB3553" t="s">
        <v>54</v>
      </c>
      <c r="AC3553">
        <v>1</v>
      </c>
      <c r="AE3553" t="s">
        <v>64</v>
      </c>
      <c r="AF3553">
        <v>20</v>
      </c>
      <c r="AG3553" s="1">
        <v>37782</v>
      </c>
      <c r="AH3553" s="1">
        <v>37782</v>
      </c>
      <c r="AI3553" s="1">
        <v>37782</v>
      </c>
      <c r="AJ3553" s="1">
        <v>45087</v>
      </c>
      <c r="AK3553" t="s">
        <v>51</v>
      </c>
      <c r="AN3553">
        <v>0</v>
      </c>
      <c r="AO3553" t="s">
        <v>54</v>
      </c>
      <c r="AP3553" t="s">
        <v>53</v>
      </c>
      <c r="AQ3553">
        <v>0</v>
      </c>
      <c r="AR3553" t="s">
        <v>53</v>
      </c>
      <c r="AS3553">
        <v>0</v>
      </c>
      <c r="AT3553">
        <v>0</v>
      </c>
      <c r="CC3553" t="s">
        <v>555</v>
      </c>
      <c r="CD3553">
        <v>85000</v>
      </c>
      <c r="CE3553" s="1">
        <v>42552</v>
      </c>
      <c r="CF3553" s="1">
        <v>42552</v>
      </c>
      <c r="CG3553" s="1">
        <v>42552</v>
      </c>
      <c r="CH3553" s="1">
        <v>49714</v>
      </c>
      <c r="CI3553" t="s">
        <v>51</v>
      </c>
      <c r="CK3553" t="s">
        <v>78</v>
      </c>
      <c r="CM3553" t="s">
        <v>54</v>
      </c>
      <c r="CN3553" t="s">
        <v>174</v>
      </c>
      <c r="CO3553" t="s">
        <v>86</v>
      </c>
      <c r="CR3553">
        <v>20</v>
      </c>
      <c r="CS3553">
        <v>0</v>
      </c>
      <c r="CT3553">
        <v>0</v>
      </c>
      <c r="CU3553">
        <v>0</v>
      </c>
    </row>
    <row r="3554" spans="1:99" x14ac:dyDescent="0.2">
      <c r="A3554" t="s">
        <v>367</v>
      </c>
      <c r="B3554" t="s">
        <v>368</v>
      </c>
      <c r="C3554" t="s">
        <v>369</v>
      </c>
      <c r="D3554" t="s">
        <v>1562</v>
      </c>
      <c r="F3554" t="str">
        <f>"130732"</f>
        <v>130732</v>
      </c>
      <c r="G3554" t="s">
        <v>49</v>
      </c>
      <c r="H3554" t="s">
        <v>1596</v>
      </c>
      <c r="K3554" t="s">
        <v>51</v>
      </c>
      <c r="L3554" t="s">
        <v>52</v>
      </c>
      <c r="M3554">
        <v>137639.28</v>
      </c>
      <c r="N3554">
        <v>468227.51</v>
      </c>
      <c r="O3554" t="s">
        <v>53</v>
      </c>
      <c r="P3554" t="s">
        <v>54</v>
      </c>
      <c r="Q3554" t="s">
        <v>55</v>
      </c>
      <c r="T3554" t="s">
        <v>818</v>
      </c>
      <c r="U3554">
        <v>40</v>
      </c>
      <c r="V3554" s="1">
        <v>34872</v>
      </c>
      <c r="W3554" s="1">
        <v>34872</v>
      </c>
      <c r="X3554" s="1">
        <v>34872</v>
      </c>
      <c r="Y3554" s="1">
        <v>49482</v>
      </c>
      <c r="Z3554" t="s">
        <v>51</v>
      </c>
      <c r="AB3554" t="s">
        <v>54</v>
      </c>
      <c r="AC3554">
        <v>1</v>
      </c>
      <c r="AE3554" t="s">
        <v>827</v>
      </c>
      <c r="AF3554">
        <v>20</v>
      </c>
      <c r="AG3554" s="1">
        <v>34619</v>
      </c>
      <c r="AH3554" s="1">
        <v>34619</v>
      </c>
      <c r="AI3554" s="1">
        <v>34872</v>
      </c>
      <c r="AJ3554" s="1">
        <v>41924</v>
      </c>
      <c r="AK3554" t="s">
        <v>51</v>
      </c>
      <c r="AN3554">
        <v>0</v>
      </c>
      <c r="AO3554" t="s">
        <v>54</v>
      </c>
      <c r="AP3554" t="s">
        <v>53</v>
      </c>
      <c r="AQ3554">
        <v>0</v>
      </c>
      <c r="AR3554" t="s">
        <v>53</v>
      </c>
      <c r="AS3554">
        <v>0</v>
      </c>
      <c r="AT3554">
        <v>0</v>
      </c>
      <c r="CC3554" t="s">
        <v>850</v>
      </c>
      <c r="CD3554">
        <v>1</v>
      </c>
      <c r="CE3554" s="1">
        <v>42552</v>
      </c>
      <c r="CF3554" s="1">
        <v>42552</v>
      </c>
      <c r="CG3554" s="1">
        <v>42552</v>
      </c>
      <c r="CH3554" s="1">
        <v>49714</v>
      </c>
      <c r="CI3554" t="s">
        <v>51</v>
      </c>
      <c r="CK3554" t="s">
        <v>78</v>
      </c>
      <c r="CM3554" t="s">
        <v>54</v>
      </c>
      <c r="CN3554" t="s">
        <v>174</v>
      </c>
      <c r="CO3554" t="s">
        <v>86</v>
      </c>
      <c r="CR3554">
        <v>18</v>
      </c>
      <c r="CS3554">
        <v>0</v>
      </c>
      <c r="CT3554">
        <v>0</v>
      </c>
      <c r="CU3554">
        <v>0</v>
      </c>
    </row>
    <row r="3555" spans="1:99" x14ac:dyDescent="0.2">
      <c r="A3555" t="s">
        <v>367</v>
      </c>
      <c r="B3555" t="s">
        <v>368</v>
      </c>
      <c r="C3555" t="s">
        <v>369</v>
      </c>
      <c r="D3555" t="s">
        <v>1191</v>
      </c>
      <c r="F3555" t="str">
        <f>"132147"</f>
        <v>132147</v>
      </c>
      <c r="G3555" t="s">
        <v>49</v>
      </c>
      <c r="H3555" t="s">
        <v>1597</v>
      </c>
      <c r="K3555" t="s">
        <v>51</v>
      </c>
      <c r="L3555" t="s">
        <v>52</v>
      </c>
      <c r="M3555">
        <v>137980.03</v>
      </c>
      <c r="N3555">
        <v>467722.58</v>
      </c>
      <c r="O3555" t="s">
        <v>53</v>
      </c>
      <c r="P3555" t="s">
        <v>54</v>
      </c>
      <c r="Q3555" t="s">
        <v>55</v>
      </c>
      <c r="T3555" t="s">
        <v>841</v>
      </c>
      <c r="U3555">
        <v>40</v>
      </c>
      <c r="V3555" s="1">
        <v>35111</v>
      </c>
      <c r="W3555" s="1">
        <v>35111</v>
      </c>
      <c r="X3555" s="1">
        <v>35111</v>
      </c>
      <c r="Y3555" s="1">
        <v>49721</v>
      </c>
      <c r="Z3555" t="s">
        <v>51</v>
      </c>
      <c r="AB3555" t="s">
        <v>54</v>
      </c>
      <c r="AC3555">
        <v>1</v>
      </c>
      <c r="AE3555" t="s">
        <v>1212</v>
      </c>
      <c r="AF3555">
        <v>20</v>
      </c>
      <c r="AG3555" s="1">
        <v>35111</v>
      </c>
      <c r="AH3555" s="1">
        <v>35111</v>
      </c>
      <c r="AI3555" s="1">
        <v>35111</v>
      </c>
      <c r="AJ3555" s="1">
        <v>42416</v>
      </c>
      <c r="AK3555" t="s">
        <v>51</v>
      </c>
      <c r="AN3555">
        <v>0</v>
      </c>
      <c r="AO3555" t="s">
        <v>54</v>
      </c>
      <c r="AP3555" t="s">
        <v>53</v>
      </c>
      <c r="AQ3555">
        <v>0</v>
      </c>
      <c r="AR3555" t="s">
        <v>53</v>
      </c>
      <c r="AS3555">
        <v>0</v>
      </c>
      <c r="AT3555">
        <v>0</v>
      </c>
      <c r="AW3555" t="s">
        <v>58</v>
      </c>
      <c r="AX3555">
        <v>20</v>
      </c>
      <c r="AY3555" s="1">
        <v>35111</v>
      </c>
      <c r="AZ3555" s="1">
        <v>35111</v>
      </c>
      <c r="BA3555" s="1">
        <v>35111</v>
      </c>
      <c r="BB3555" s="1">
        <v>42416</v>
      </c>
      <c r="BC3555" t="s">
        <v>51</v>
      </c>
      <c r="BE3555" t="s">
        <v>54</v>
      </c>
      <c r="BF3555">
        <v>2</v>
      </c>
      <c r="BG3555">
        <v>0</v>
      </c>
      <c r="BH3555" t="s">
        <v>53</v>
      </c>
      <c r="BK3555" t="s">
        <v>720</v>
      </c>
      <c r="BL3555">
        <v>17000</v>
      </c>
      <c r="BM3555" s="1">
        <v>43865</v>
      </c>
      <c r="BN3555" s="1">
        <v>43865</v>
      </c>
      <c r="BO3555" s="1">
        <v>43865</v>
      </c>
      <c r="BP3555" s="1">
        <v>45307</v>
      </c>
      <c r="BQ3555" t="s">
        <v>51</v>
      </c>
      <c r="BS3555" t="s">
        <v>60</v>
      </c>
      <c r="BT3555" t="s">
        <v>54</v>
      </c>
      <c r="BU3555" t="s">
        <v>721</v>
      </c>
      <c r="BV3555" t="s">
        <v>722</v>
      </c>
      <c r="BX3555">
        <v>18</v>
      </c>
      <c r="BY3555">
        <v>0</v>
      </c>
      <c r="BZ3555">
        <v>0</v>
      </c>
    </row>
    <row r="3556" spans="1:99" x14ac:dyDescent="0.2">
      <c r="A3556" t="s">
        <v>367</v>
      </c>
      <c r="B3556" t="s">
        <v>368</v>
      </c>
      <c r="C3556" t="s">
        <v>369</v>
      </c>
      <c r="D3556" t="s">
        <v>1215</v>
      </c>
      <c r="F3556" t="str">
        <f>"132190"</f>
        <v>132190</v>
      </c>
      <c r="G3556" t="s">
        <v>49</v>
      </c>
      <c r="H3556" t="s">
        <v>1598</v>
      </c>
      <c r="K3556" t="s">
        <v>51</v>
      </c>
      <c r="L3556" t="s">
        <v>52</v>
      </c>
      <c r="M3556">
        <v>138248.76999999999</v>
      </c>
      <c r="N3556">
        <v>468072.65</v>
      </c>
      <c r="O3556" t="s">
        <v>53</v>
      </c>
      <c r="P3556" t="s">
        <v>54</v>
      </c>
      <c r="Q3556" t="s">
        <v>55</v>
      </c>
      <c r="T3556" t="s">
        <v>841</v>
      </c>
      <c r="U3556">
        <v>40</v>
      </c>
      <c r="V3556" s="1">
        <v>35136</v>
      </c>
      <c r="W3556" s="1">
        <v>35136</v>
      </c>
      <c r="X3556" s="1">
        <v>35136</v>
      </c>
      <c r="Y3556" s="1">
        <v>49746</v>
      </c>
      <c r="Z3556" t="s">
        <v>51</v>
      </c>
      <c r="AB3556" t="s">
        <v>54</v>
      </c>
      <c r="AC3556">
        <v>1</v>
      </c>
      <c r="AE3556" t="s">
        <v>1212</v>
      </c>
      <c r="AF3556">
        <v>20</v>
      </c>
      <c r="AG3556" s="1">
        <v>35136</v>
      </c>
      <c r="AH3556" s="1">
        <v>35136</v>
      </c>
      <c r="AI3556" s="1">
        <v>35136</v>
      </c>
      <c r="AJ3556" s="1">
        <v>42441</v>
      </c>
      <c r="AK3556" t="s">
        <v>51</v>
      </c>
      <c r="AN3556">
        <v>0</v>
      </c>
      <c r="AO3556" t="s">
        <v>54</v>
      </c>
      <c r="AP3556" t="s">
        <v>53</v>
      </c>
      <c r="AQ3556">
        <v>0</v>
      </c>
      <c r="AR3556" t="s">
        <v>53</v>
      </c>
      <c r="AS3556">
        <v>0</v>
      </c>
      <c r="AT3556">
        <v>0</v>
      </c>
      <c r="CC3556" t="s">
        <v>850</v>
      </c>
      <c r="CD3556">
        <v>1</v>
      </c>
      <c r="CE3556" s="1">
        <v>42552</v>
      </c>
      <c r="CF3556" s="1">
        <v>42552</v>
      </c>
      <c r="CG3556" s="1">
        <v>42552</v>
      </c>
      <c r="CH3556" s="1">
        <v>49714</v>
      </c>
      <c r="CI3556" t="s">
        <v>51</v>
      </c>
      <c r="CK3556" t="s">
        <v>78</v>
      </c>
      <c r="CM3556" t="s">
        <v>54</v>
      </c>
      <c r="CN3556" t="s">
        <v>174</v>
      </c>
      <c r="CO3556" t="s">
        <v>86</v>
      </c>
      <c r="CR3556">
        <v>18</v>
      </c>
      <c r="CS3556">
        <v>0</v>
      </c>
      <c r="CT3556">
        <v>0</v>
      </c>
      <c r="CU3556">
        <v>0</v>
      </c>
    </row>
    <row r="3557" spans="1:99" x14ac:dyDescent="0.2">
      <c r="A3557" t="s">
        <v>367</v>
      </c>
      <c r="B3557" t="s">
        <v>368</v>
      </c>
      <c r="C3557" t="s">
        <v>369</v>
      </c>
      <c r="D3557" t="s">
        <v>1215</v>
      </c>
      <c r="F3557" t="str">
        <f>"132191"</f>
        <v>132191</v>
      </c>
      <c r="G3557" t="s">
        <v>49</v>
      </c>
      <c r="H3557" t="s">
        <v>1599</v>
      </c>
      <c r="K3557" t="s">
        <v>51</v>
      </c>
      <c r="L3557" t="s">
        <v>52</v>
      </c>
      <c r="M3557">
        <v>138251.29</v>
      </c>
      <c r="N3557">
        <v>468090.57</v>
      </c>
      <c r="O3557" t="s">
        <v>53</v>
      </c>
      <c r="P3557" t="s">
        <v>54</v>
      </c>
      <c r="Q3557" t="s">
        <v>55</v>
      </c>
      <c r="T3557" t="s">
        <v>841</v>
      </c>
      <c r="U3557">
        <v>40</v>
      </c>
      <c r="V3557" s="1">
        <v>35137</v>
      </c>
      <c r="W3557" s="1">
        <v>35137</v>
      </c>
      <c r="X3557" s="1">
        <v>35137</v>
      </c>
      <c r="Y3557" s="1">
        <v>49747</v>
      </c>
      <c r="Z3557" t="s">
        <v>51</v>
      </c>
      <c r="AB3557" t="s">
        <v>54</v>
      </c>
      <c r="AC3557">
        <v>1</v>
      </c>
      <c r="AE3557" t="s">
        <v>1212</v>
      </c>
      <c r="AF3557">
        <v>20</v>
      </c>
      <c r="AG3557" s="1">
        <v>35137</v>
      </c>
      <c r="AH3557" s="1">
        <v>35137</v>
      </c>
      <c r="AI3557" s="1">
        <v>35137</v>
      </c>
      <c r="AJ3557" s="1">
        <v>42442</v>
      </c>
      <c r="AK3557" t="s">
        <v>51</v>
      </c>
      <c r="AN3557">
        <v>0</v>
      </c>
      <c r="AO3557" t="s">
        <v>54</v>
      </c>
      <c r="AP3557" t="s">
        <v>53</v>
      </c>
      <c r="AQ3557">
        <v>0</v>
      </c>
      <c r="AR3557" t="s">
        <v>53</v>
      </c>
      <c r="AS3557">
        <v>0</v>
      </c>
      <c r="AT3557">
        <v>0</v>
      </c>
      <c r="CC3557" t="s">
        <v>850</v>
      </c>
      <c r="CD3557">
        <v>1</v>
      </c>
      <c r="CE3557" s="1">
        <v>42552</v>
      </c>
      <c r="CF3557" s="1">
        <v>42552</v>
      </c>
      <c r="CG3557" s="1">
        <v>42552</v>
      </c>
      <c r="CH3557" s="1">
        <v>49714</v>
      </c>
      <c r="CI3557" t="s">
        <v>51</v>
      </c>
      <c r="CK3557" t="s">
        <v>78</v>
      </c>
      <c r="CM3557" t="s">
        <v>54</v>
      </c>
      <c r="CN3557" t="s">
        <v>174</v>
      </c>
      <c r="CO3557" t="s">
        <v>86</v>
      </c>
      <c r="CR3557">
        <v>18</v>
      </c>
      <c r="CS3557">
        <v>0</v>
      </c>
      <c r="CT3557">
        <v>0</v>
      </c>
      <c r="CU3557">
        <v>0</v>
      </c>
    </row>
    <row r="3558" spans="1:99" x14ac:dyDescent="0.2">
      <c r="A3558" t="s">
        <v>367</v>
      </c>
      <c r="B3558" t="s">
        <v>368</v>
      </c>
      <c r="C3558" t="s">
        <v>369</v>
      </c>
      <c r="D3558" t="s">
        <v>1188</v>
      </c>
      <c r="F3558" t="str">
        <f>"132652"</f>
        <v>132652</v>
      </c>
      <c r="G3558" t="s">
        <v>49</v>
      </c>
      <c r="H3558" t="s">
        <v>1209</v>
      </c>
      <c r="K3558" t="s">
        <v>51</v>
      </c>
      <c r="L3558" t="s">
        <v>52</v>
      </c>
      <c r="M3558">
        <v>137980.82999999999</v>
      </c>
      <c r="N3558">
        <v>467908.06</v>
      </c>
      <c r="O3558" t="s">
        <v>53</v>
      </c>
      <c r="P3558" t="s">
        <v>54</v>
      </c>
      <c r="Q3558" t="s">
        <v>55</v>
      </c>
      <c r="T3558" t="s">
        <v>818</v>
      </c>
      <c r="U3558">
        <v>40</v>
      </c>
      <c r="V3558" s="1">
        <v>35264</v>
      </c>
      <c r="W3558" s="1">
        <v>35264</v>
      </c>
      <c r="X3558" s="1">
        <v>35264</v>
      </c>
      <c r="Y3558" s="1">
        <v>49874</v>
      </c>
      <c r="Z3558" t="s">
        <v>51</v>
      </c>
      <c r="AB3558" t="s">
        <v>54</v>
      </c>
      <c r="AC3558">
        <v>1</v>
      </c>
      <c r="AE3558" t="s">
        <v>827</v>
      </c>
      <c r="AF3558">
        <v>20</v>
      </c>
      <c r="AG3558" s="1">
        <v>31777</v>
      </c>
      <c r="AH3558" s="1">
        <v>31777</v>
      </c>
      <c r="AI3558" s="1">
        <v>35264</v>
      </c>
      <c r="AJ3558" s="1">
        <v>39082</v>
      </c>
      <c r="AK3558" t="s">
        <v>51</v>
      </c>
      <c r="AN3558">
        <v>0</v>
      </c>
      <c r="AO3558" t="s">
        <v>54</v>
      </c>
      <c r="AP3558" t="s">
        <v>53</v>
      </c>
      <c r="AQ3558">
        <v>0</v>
      </c>
      <c r="AR3558" t="s">
        <v>53</v>
      </c>
      <c r="AS3558">
        <v>0</v>
      </c>
      <c r="AT3558">
        <v>0</v>
      </c>
      <c r="CC3558" t="s">
        <v>850</v>
      </c>
      <c r="CD3558">
        <v>1</v>
      </c>
      <c r="CE3558" s="1">
        <v>42552</v>
      </c>
      <c r="CF3558" s="1">
        <v>42552</v>
      </c>
      <c r="CG3558" s="1">
        <v>42552</v>
      </c>
      <c r="CH3558" s="1">
        <v>49714</v>
      </c>
      <c r="CI3558" t="s">
        <v>51</v>
      </c>
      <c r="CK3558" t="s">
        <v>78</v>
      </c>
      <c r="CM3558" t="s">
        <v>54</v>
      </c>
      <c r="CN3558" t="s">
        <v>174</v>
      </c>
      <c r="CO3558" t="s">
        <v>86</v>
      </c>
      <c r="CR3558">
        <v>18</v>
      </c>
      <c r="CS3558">
        <v>0</v>
      </c>
      <c r="CT3558">
        <v>0</v>
      </c>
      <c r="CU3558">
        <v>0</v>
      </c>
    </row>
    <row r="3559" spans="1:99" x14ac:dyDescent="0.2">
      <c r="A3559" t="s">
        <v>367</v>
      </c>
      <c r="B3559" t="s">
        <v>368</v>
      </c>
      <c r="C3559" t="s">
        <v>369</v>
      </c>
      <c r="D3559" t="s">
        <v>1205</v>
      </c>
      <c r="F3559" t="str">
        <f>"132653"</f>
        <v>132653</v>
      </c>
      <c r="G3559" t="s">
        <v>49</v>
      </c>
      <c r="H3559" t="s">
        <v>1600</v>
      </c>
      <c r="K3559" t="s">
        <v>51</v>
      </c>
      <c r="L3559" t="s">
        <v>52</v>
      </c>
      <c r="M3559">
        <v>138318.76</v>
      </c>
      <c r="N3559">
        <v>467882.41</v>
      </c>
      <c r="O3559" t="s">
        <v>53</v>
      </c>
      <c r="P3559" t="s">
        <v>54</v>
      </c>
      <c r="Q3559" t="s">
        <v>55</v>
      </c>
      <c r="T3559" t="s">
        <v>818</v>
      </c>
      <c r="U3559">
        <v>40</v>
      </c>
      <c r="V3559" s="1">
        <v>35264</v>
      </c>
      <c r="W3559" s="1">
        <v>35264</v>
      </c>
      <c r="X3559" s="1">
        <v>35264</v>
      </c>
      <c r="Y3559" s="1">
        <v>49874</v>
      </c>
      <c r="Z3559" t="s">
        <v>51</v>
      </c>
      <c r="AB3559" t="s">
        <v>54</v>
      </c>
      <c r="AC3559">
        <v>1</v>
      </c>
      <c r="AE3559" t="s">
        <v>827</v>
      </c>
      <c r="AF3559">
        <v>20</v>
      </c>
      <c r="AG3559" s="1">
        <v>31777</v>
      </c>
      <c r="AH3559" s="1">
        <v>31777</v>
      </c>
      <c r="AI3559" s="1">
        <v>35264</v>
      </c>
      <c r="AJ3559" s="1">
        <v>39082</v>
      </c>
      <c r="AK3559" t="s">
        <v>51</v>
      </c>
      <c r="AN3559">
        <v>0</v>
      </c>
      <c r="AO3559" t="s">
        <v>54</v>
      </c>
      <c r="AP3559" t="s">
        <v>53</v>
      </c>
      <c r="AQ3559">
        <v>0</v>
      </c>
      <c r="AR3559" t="s">
        <v>53</v>
      </c>
      <c r="AS3559">
        <v>0</v>
      </c>
      <c r="AT3559">
        <v>0</v>
      </c>
      <c r="AW3559" t="s">
        <v>58</v>
      </c>
      <c r="AX3559">
        <v>20</v>
      </c>
      <c r="AY3559" s="1">
        <v>31777</v>
      </c>
      <c r="AZ3559" s="1">
        <v>31777</v>
      </c>
      <c r="BA3559" s="1">
        <v>35264</v>
      </c>
      <c r="BB3559" s="1">
        <v>39082</v>
      </c>
      <c r="BC3559" t="s">
        <v>51</v>
      </c>
      <c r="BE3559" t="s">
        <v>54</v>
      </c>
      <c r="BF3559">
        <v>2</v>
      </c>
      <c r="BG3559">
        <v>0</v>
      </c>
      <c r="BH3559" t="s">
        <v>53</v>
      </c>
      <c r="BK3559" t="s">
        <v>720</v>
      </c>
      <c r="BL3559">
        <v>17000</v>
      </c>
      <c r="BM3559" s="1">
        <v>44578</v>
      </c>
      <c r="BN3559" s="1">
        <v>44578</v>
      </c>
      <c r="BO3559" s="1">
        <v>44578</v>
      </c>
      <c r="BP3559" s="1">
        <v>46020</v>
      </c>
      <c r="BQ3559" t="s">
        <v>51</v>
      </c>
      <c r="BS3559" t="s">
        <v>60</v>
      </c>
      <c r="BT3559" t="s">
        <v>54</v>
      </c>
      <c r="BU3559" t="s">
        <v>721</v>
      </c>
      <c r="BV3559" t="s">
        <v>722</v>
      </c>
      <c r="BX3559">
        <v>18</v>
      </c>
      <c r="BY3559">
        <v>0</v>
      </c>
      <c r="BZ3559">
        <v>0</v>
      </c>
    </row>
    <row r="3560" spans="1:99" x14ac:dyDescent="0.2">
      <c r="A3560" t="s">
        <v>367</v>
      </c>
      <c r="B3560" t="s">
        <v>368</v>
      </c>
      <c r="C3560" t="s">
        <v>369</v>
      </c>
      <c r="D3560" t="s">
        <v>1155</v>
      </c>
      <c r="F3560" t="str">
        <f>"132781"</f>
        <v>132781</v>
      </c>
      <c r="G3560" t="s">
        <v>49</v>
      </c>
      <c r="H3560" t="s">
        <v>1601</v>
      </c>
      <c r="K3560" t="s">
        <v>51</v>
      </c>
      <c r="L3560" t="s">
        <v>52</v>
      </c>
      <c r="M3560">
        <v>137970.59</v>
      </c>
      <c r="N3560">
        <v>468702.13</v>
      </c>
      <c r="O3560" t="s">
        <v>53</v>
      </c>
      <c r="P3560" t="s">
        <v>54</v>
      </c>
      <c r="Q3560" t="s">
        <v>55</v>
      </c>
      <c r="T3560" t="s">
        <v>841</v>
      </c>
      <c r="U3560">
        <v>40</v>
      </c>
      <c r="V3560" s="1">
        <v>35361</v>
      </c>
      <c r="W3560" s="1">
        <v>35361</v>
      </c>
      <c r="X3560" s="1">
        <v>35361</v>
      </c>
      <c r="Y3560" s="1">
        <v>49971</v>
      </c>
      <c r="Z3560" t="s">
        <v>51</v>
      </c>
      <c r="AB3560" t="s">
        <v>54</v>
      </c>
      <c r="AC3560">
        <v>1</v>
      </c>
      <c r="AE3560" t="s">
        <v>1212</v>
      </c>
      <c r="AF3560">
        <v>20</v>
      </c>
      <c r="AG3560" s="1">
        <v>31777</v>
      </c>
      <c r="AH3560" s="1">
        <v>31777</v>
      </c>
      <c r="AI3560" s="1">
        <v>35361</v>
      </c>
      <c r="AJ3560" s="1">
        <v>39082</v>
      </c>
      <c r="AK3560" t="s">
        <v>51</v>
      </c>
      <c r="AN3560">
        <v>0</v>
      </c>
      <c r="AO3560" t="s">
        <v>54</v>
      </c>
      <c r="AP3560" t="s">
        <v>53</v>
      </c>
      <c r="AQ3560">
        <v>0</v>
      </c>
      <c r="AR3560" t="s">
        <v>53</v>
      </c>
      <c r="AS3560">
        <v>0</v>
      </c>
      <c r="AT3560">
        <v>0</v>
      </c>
      <c r="AW3560" t="s">
        <v>58</v>
      </c>
      <c r="AX3560">
        <v>20</v>
      </c>
      <c r="AY3560" s="1">
        <v>31777</v>
      </c>
      <c r="AZ3560" s="1">
        <v>31777</v>
      </c>
      <c r="BA3560" s="1">
        <v>35361</v>
      </c>
      <c r="BB3560" s="1">
        <v>39082</v>
      </c>
      <c r="BC3560" t="s">
        <v>51</v>
      </c>
      <c r="BE3560" t="s">
        <v>54</v>
      </c>
      <c r="BF3560">
        <v>2</v>
      </c>
      <c r="BG3560">
        <v>0</v>
      </c>
      <c r="BH3560" t="s">
        <v>53</v>
      </c>
      <c r="BK3560" t="s">
        <v>720</v>
      </c>
      <c r="BL3560">
        <v>17000</v>
      </c>
      <c r="BM3560" s="1">
        <v>41091</v>
      </c>
      <c r="BN3560" s="1">
        <v>41091</v>
      </c>
      <c r="BO3560" s="1">
        <v>41091</v>
      </c>
      <c r="BP3560" s="1">
        <v>42513</v>
      </c>
      <c r="BQ3560" t="s">
        <v>51</v>
      </c>
      <c r="BS3560" t="s">
        <v>60</v>
      </c>
      <c r="BT3560" t="s">
        <v>54</v>
      </c>
      <c r="BU3560" t="s">
        <v>721</v>
      </c>
      <c r="BV3560" t="s">
        <v>722</v>
      </c>
      <c r="BX3560">
        <v>18</v>
      </c>
      <c r="BY3560">
        <v>0</v>
      </c>
      <c r="BZ3560">
        <v>0</v>
      </c>
    </row>
    <row r="3561" spans="1:99" x14ac:dyDescent="0.2">
      <c r="A3561" t="s">
        <v>367</v>
      </c>
      <c r="B3561" t="s">
        <v>368</v>
      </c>
      <c r="C3561" t="s">
        <v>369</v>
      </c>
      <c r="D3561" t="s">
        <v>1271</v>
      </c>
      <c r="F3561" t="str">
        <f>"133896"</f>
        <v>133896</v>
      </c>
      <c r="G3561" t="s">
        <v>49</v>
      </c>
      <c r="H3561" t="s">
        <v>1602</v>
      </c>
      <c r="K3561" t="s">
        <v>51</v>
      </c>
      <c r="L3561" t="s">
        <v>52</v>
      </c>
      <c r="M3561">
        <v>138129.24</v>
      </c>
      <c r="N3561">
        <v>468675.3</v>
      </c>
      <c r="O3561" t="s">
        <v>53</v>
      </c>
      <c r="P3561" t="s">
        <v>54</v>
      </c>
      <c r="Q3561" t="s">
        <v>55</v>
      </c>
      <c r="T3561" t="s">
        <v>841</v>
      </c>
      <c r="U3561">
        <v>40</v>
      </c>
      <c r="V3561" s="1">
        <v>29853</v>
      </c>
      <c r="W3561" s="1">
        <v>29853</v>
      </c>
      <c r="X3561" s="1">
        <v>29853</v>
      </c>
      <c r="Y3561" s="1">
        <v>44463</v>
      </c>
      <c r="Z3561" t="s">
        <v>51</v>
      </c>
      <c r="AB3561" t="s">
        <v>54</v>
      </c>
      <c r="AC3561">
        <v>1</v>
      </c>
      <c r="AE3561" t="s">
        <v>844</v>
      </c>
      <c r="AF3561">
        <v>20</v>
      </c>
      <c r="AG3561" s="1">
        <v>31593</v>
      </c>
      <c r="AH3561" s="1">
        <v>31593</v>
      </c>
      <c r="AI3561" s="1">
        <v>31593</v>
      </c>
      <c r="AJ3561" s="1">
        <v>38898</v>
      </c>
      <c r="AK3561" t="s">
        <v>51</v>
      </c>
      <c r="AN3561">
        <v>0</v>
      </c>
      <c r="AO3561" t="s">
        <v>54</v>
      </c>
      <c r="AP3561" t="s">
        <v>53</v>
      </c>
      <c r="AQ3561">
        <v>0</v>
      </c>
      <c r="AR3561" t="s">
        <v>53</v>
      </c>
      <c r="AS3561">
        <v>0</v>
      </c>
      <c r="AT3561">
        <v>0</v>
      </c>
      <c r="CC3561" t="s">
        <v>555</v>
      </c>
      <c r="CD3561">
        <v>85000</v>
      </c>
      <c r="CE3561" s="1">
        <v>42552</v>
      </c>
      <c r="CF3561" s="1">
        <v>42552</v>
      </c>
      <c r="CG3561" s="1">
        <v>42552</v>
      </c>
      <c r="CH3561" s="1">
        <v>49714</v>
      </c>
      <c r="CI3561" t="s">
        <v>51</v>
      </c>
      <c r="CK3561" t="s">
        <v>78</v>
      </c>
      <c r="CM3561" t="s">
        <v>54</v>
      </c>
      <c r="CN3561" t="s">
        <v>174</v>
      </c>
      <c r="CO3561" t="s">
        <v>86</v>
      </c>
      <c r="CR3561">
        <v>20</v>
      </c>
      <c r="CS3561">
        <v>0</v>
      </c>
      <c r="CT3561">
        <v>0</v>
      </c>
      <c r="CU3561">
        <v>0</v>
      </c>
    </row>
    <row r="3562" spans="1:99" x14ac:dyDescent="0.2">
      <c r="A3562" t="s">
        <v>367</v>
      </c>
      <c r="B3562" t="s">
        <v>368</v>
      </c>
      <c r="C3562" t="s">
        <v>369</v>
      </c>
      <c r="D3562" t="s">
        <v>1063</v>
      </c>
      <c r="F3562" t="str">
        <f>"136080"</f>
        <v>136080</v>
      </c>
      <c r="G3562" t="s">
        <v>49</v>
      </c>
      <c r="H3562" t="s">
        <v>1603</v>
      </c>
      <c r="K3562" t="s">
        <v>51</v>
      </c>
      <c r="L3562" t="s">
        <v>52</v>
      </c>
      <c r="M3562">
        <v>138068.10999999999</v>
      </c>
      <c r="N3562">
        <v>468333.48</v>
      </c>
      <c r="O3562" t="s">
        <v>53</v>
      </c>
      <c r="P3562" t="s">
        <v>54</v>
      </c>
      <c r="Q3562" t="s">
        <v>55</v>
      </c>
      <c r="T3562" t="s">
        <v>1604</v>
      </c>
      <c r="U3562">
        <v>40</v>
      </c>
      <c r="V3562" s="1">
        <v>35384</v>
      </c>
      <c r="W3562" s="1">
        <v>35384</v>
      </c>
      <c r="X3562" s="1">
        <v>35384</v>
      </c>
      <c r="Y3562" s="1">
        <v>49994</v>
      </c>
      <c r="Z3562" t="s">
        <v>51</v>
      </c>
      <c r="AB3562" t="s">
        <v>54</v>
      </c>
      <c r="AC3562">
        <v>1</v>
      </c>
      <c r="AE3562" t="s">
        <v>57</v>
      </c>
      <c r="AF3562">
        <v>20</v>
      </c>
      <c r="AG3562" s="1">
        <v>35384</v>
      </c>
      <c r="AH3562" s="1">
        <v>35384</v>
      </c>
      <c r="AI3562" s="1">
        <v>35384</v>
      </c>
      <c r="AJ3562" s="1">
        <v>42689</v>
      </c>
      <c r="AK3562" t="s">
        <v>51</v>
      </c>
      <c r="AN3562">
        <v>0</v>
      </c>
      <c r="AO3562" t="s">
        <v>54</v>
      </c>
      <c r="AP3562" t="s">
        <v>53</v>
      </c>
      <c r="AQ3562">
        <v>0</v>
      </c>
      <c r="AR3562" t="s">
        <v>53</v>
      </c>
      <c r="AS3562">
        <v>0</v>
      </c>
      <c r="AT3562">
        <v>0</v>
      </c>
      <c r="AW3562" t="s">
        <v>58</v>
      </c>
      <c r="AX3562">
        <v>20</v>
      </c>
      <c r="AY3562" s="1">
        <v>35384</v>
      </c>
      <c r="AZ3562" s="1">
        <v>35384</v>
      </c>
      <c r="BA3562" s="1">
        <v>35384</v>
      </c>
      <c r="BB3562" s="1">
        <v>42689</v>
      </c>
      <c r="BC3562" t="s">
        <v>51</v>
      </c>
      <c r="BE3562" t="s">
        <v>54</v>
      </c>
      <c r="BF3562">
        <v>2</v>
      </c>
      <c r="BG3562">
        <v>0</v>
      </c>
      <c r="BH3562" t="s">
        <v>53</v>
      </c>
      <c r="BK3562" t="s">
        <v>59</v>
      </c>
      <c r="BL3562">
        <v>14000</v>
      </c>
      <c r="BM3562" s="1">
        <v>42552</v>
      </c>
      <c r="BN3562" s="1">
        <v>42552</v>
      </c>
      <c r="BO3562" s="1">
        <v>42552</v>
      </c>
      <c r="BP3562" s="1">
        <v>43752</v>
      </c>
      <c r="BQ3562" t="s">
        <v>51</v>
      </c>
      <c r="BS3562" t="s">
        <v>60</v>
      </c>
      <c r="BT3562" t="s">
        <v>54</v>
      </c>
      <c r="BU3562" t="s">
        <v>61</v>
      </c>
      <c r="BV3562" t="s">
        <v>62</v>
      </c>
      <c r="BX3562">
        <v>24</v>
      </c>
      <c r="BY3562">
        <v>0</v>
      </c>
      <c r="BZ3562">
        <v>0</v>
      </c>
    </row>
    <row r="3563" spans="1:99" x14ac:dyDescent="0.2">
      <c r="A3563" t="s">
        <v>367</v>
      </c>
      <c r="B3563" t="s">
        <v>368</v>
      </c>
      <c r="C3563" t="s">
        <v>369</v>
      </c>
      <c r="D3563" t="s">
        <v>1063</v>
      </c>
      <c r="F3563" t="str">
        <f>"136081"</f>
        <v>136081</v>
      </c>
      <c r="G3563" t="s">
        <v>49</v>
      </c>
      <c r="H3563" t="s">
        <v>1605</v>
      </c>
      <c r="K3563" t="s">
        <v>51</v>
      </c>
      <c r="L3563" t="s">
        <v>52</v>
      </c>
      <c r="M3563">
        <v>138070.22</v>
      </c>
      <c r="N3563">
        <v>468308.91</v>
      </c>
      <c r="O3563" t="s">
        <v>53</v>
      </c>
      <c r="P3563" t="s">
        <v>54</v>
      </c>
      <c r="Q3563" t="s">
        <v>55</v>
      </c>
      <c r="T3563" t="s">
        <v>1604</v>
      </c>
      <c r="U3563">
        <v>40</v>
      </c>
      <c r="V3563" s="1">
        <v>35394</v>
      </c>
      <c r="W3563" s="1">
        <v>35394</v>
      </c>
      <c r="X3563" s="1">
        <v>35394</v>
      </c>
      <c r="Y3563" s="1">
        <v>50004</v>
      </c>
      <c r="Z3563" t="s">
        <v>51</v>
      </c>
      <c r="AB3563" t="s">
        <v>54</v>
      </c>
      <c r="AC3563">
        <v>1</v>
      </c>
      <c r="AE3563" t="s">
        <v>57</v>
      </c>
      <c r="AF3563">
        <v>20</v>
      </c>
      <c r="AG3563" s="1">
        <v>35394</v>
      </c>
      <c r="AH3563" s="1">
        <v>35394</v>
      </c>
      <c r="AI3563" s="1">
        <v>35394</v>
      </c>
      <c r="AJ3563" s="1">
        <v>42699</v>
      </c>
      <c r="AK3563" t="s">
        <v>51</v>
      </c>
      <c r="AN3563">
        <v>0</v>
      </c>
      <c r="AO3563" t="s">
        <v>54</v>
      </c>
      <c r="AP3563" t="s">
        <v>53</v>
      </c>
      <c r="AQ3563">
        <v>0</v>
      </c>
      <c r="AR3563" t="s">
        <v>53</v>
      </c>
      <c r="AS3563">
        <v>0</v>
      </c>
      <c r="AT3563">
        <v>0</v>
      </c>
      <c r="AW3563" t="s">
        <v>58</v>
      </c>
      <c r="AX3563">
        <v>20</v>
      </c>
      <c r="AY3563" s="1">
        <v>35394</v>
      </c>
      <c r="AZ3563" s="1">
        <v>35394</v>
      </c>
      <c r="BA3563" s="1">
        <v>35394</v>
      </c>
      <c r="BB3563" s="1">
        <v>42699</v>
      </c>
      <c r="BC3563" t="s">
        <v>51</v>
      </c>
      <c r="BE3563" t="s">
        <v>54</v>
      </c>
      <c r="BF3563">
        <v>2</v>
      </c>
      <c r="BG3563">
        <v>0</v>
      </c>
      <c r="BH3563" t="s">
        <v>53</v>
      </c>
      <c r="BK3563" t="s">
        <v>59</v>
      </c>
      <c r="BL3563">
        <v>14000</v>
      </c>
      <c r="BM3563" s="1">
        <v>42552</v>
      </c>
      <c r="BN3563" s="1">
        <v>42552</v>
      </c>
      <c r="BO3563" s="1">
        <v>42552</v>
      </c>
      <c r="BP3563" s="1">
        <v>43752</v>
      </c>
      <c r="BQ3563" t="s">
        <v>51</v>
      </c>
      <c r="BS3563" t="s">
        <v>60</v>
      </c>
      <c r="BT3563" t="s">
        <v>54</v>
      </c>
      <c r="BU3563" t="s">
        <v>61</v>
      </c>
      <c r="BV3563" t="s">
        <v>62</v>
      </c>
      <c r="BX3563">
        <v>24</v>
      </c>
      <c r="BY3563">
        <v>0</v>
      </c>
      <c r="BZ3563">
        <v>0</v>
      </c>
    </row>
    <row r="3564" spans="1:99" x14ac:dyDescent="0.2">
      <c r="A3564" t="s">
        <v>367</v>
      </c>
      <c r="B3564" t="s">
        <v>368</v>
      </c>
      <c r="C3564" t="s">
        <v>369</v>
      </c>
      <c r="D3564" t="s">
        <v>1063</v>
      </c>
      <c r="F3564" t="str">
        <f>"136083"</f>
        <v>136083</v>
      </c>
      <c r="G3564" t="s">
        <v>49</v>
      </c>
      <c r="H3564" t="s">
        <v>1606</v>
      </c>
      <c r="K3564" t="s">
        <v>51</v>
      </c>
      <c r="L3564" t="s">
        <v>52</v>
      </c>
      <c r="M3564">
        <v>138054.26999999999</v>
      </c>
      <c r="N3564">
        <v>468355.49</v>
      </c>
      <c r="O3564" t="s">
        <v>53</v>
      </c>
      <c r="P3564" t="s">
        <v>54</v>
      </c>
      <c r="Q3564" t="s">
        <v>55</v>
      </c>
      <c r="T3564" t="s">
        <v>1604</v>
      </c>
      <c r="U3564">
        <v>40</v>
      </c>
      <c r="V3564" s="1">
        <v>35394</v>
      </c>
      <c r="W3564" s="1">
        <v>35394</v>
      </c>
      <c r="X3564" s="1">
        <v>35394</v>
      </c>
      <c r="Y3564" s="1">
        <v>50004</v>
      </c>
      <c r="Z3564" t="s">
        <v>51</v>
      </c>
      <c r="AB3564" t="s">
        <v>54</v>
      </c>
      <c r="AC3564">
        <v>1</v>
      </c>
      <c r="AE3564" t="s">
        <v>57</v>
      </c>
      <c r="AF3564">
        <v>20</v>
      </c>
      <c r="AG3564" s="1">
        <v>35394</v>
      </c>
      <c r="AH3564" s="1">
        <v>35394</v>
      </c>
      <c r="AI3564" s="1">
        <v>35394</v>
      </c>
      <c r="AJ3564" s="1">
        <v>42699</v>
      </c>
      <c r="AK3564" t="s">
        <v>51</v>
      </c>
      <c r="AN3564">
        <v>0</v>
      </c>
      <c r="AO3564" t="s">
        <v>54</v>
      </c>
      <c r="AP3564" t="s">
        <v>53</v>
      </c>
      <c r="AQ3564">
        <v>0</v>
      </c>
      <c r="AR3564" t="s">
        <v>53</v>
      </c>
      <c r="AS3564">
        <v>0</v>
      </c>
      <c r="AT3564">
        <v>0</v>
      </c>
      <c r="AW3564" t="s">
        <v>58</v>
      </c>
      <c r="AX3564">
        <v>20</v>
      </c>
      <c r="AY3564" s="1">
        <v>35394</v>
      </c>
      <c r="AZ3564" s="1">
        <v>35394</v>
      </c>
      <c r="BA3564" s="1">
        <v>35394</v>
      </c>
      <c r="BB3564" s="1">
        <v>42699</v>
      </c>
      <c r="BC3564" t="s">
        <v>51</v>
      </c>
      <c r="BE3564" t="s">
        <v>54</v>
      </c>
      <c r="BF3564">
        <v>2</v>
      </c>
      <c r="BG3564">
        <v>0</v>
      </c>
      <c r="BH3564" t="s">
        <v>53</v>
      </c>
      <c r="BK3564" t="s">
        <v>59</v>
      </c>
      <c r="BL3564">
        <v>14000</v>
      </c>
      <c r="BM3564" s="1">
        <v>42552</v>
      </c>
      <c r="BN3564" s="1">
        <v>42552</v>
      </c>
      <c r="BO3564" s="1">
        <v>42552</v>
      </c>
      <c r="BP3564" s="1">
        <v>43752</v>
      </c>
      <c r="BQ3564" t="s">
        <v>51</v>
      </c>
      <c r="BS3564" t="s">
        <v>60</v>
      </c>
      <c r="BT3564" t="s">
        <v>54</v>
      </c>
      <c r="BU3564" t="s">
        <v>61</v>
      </c>
      <c r="BV3564" t="s">
        <v>62</v>
      </c>
      <c r="BX3564">
        <v>24</v>
      </c>
      <c r="BY3564">
        <v>0</v>
      </c>
      <c r="BZ3564">
        <v>0</v>
      </c>
    </row>
    <row r="3565" spans="1:99" x14ac:dyDescent="0.2">
      <c r="A3565" t="s">
        <v>367</v>
      </c>
      <c r="B3565" t="s">
        <v>368</v>
      </c>
      <c r="C3565" t="s">
        <v>369</v>
      </c>
      <c r="D3565" t="s">
        <v>1063</v>
      </c>
      <c r="F3565" t="str">
        <f>"136084"</f>
        <v>136084</v>
      </c>
      <c r="G3565" t="s">
        <v>49</v>
      </c>
      <c r="H3565" t="s">
        <v>1607</v>
      </c>
      <c r="K3565" t="s">
        <v>51</v>
      </c>
      <c r="L3565" t="s">
        <v>52</v>
      </c>
      <c r="M3565">
        <v>138082.53</v>
      </c>
      <c r="N3565">
        <v>468287.98</v>
      </c>
      <c r="O3565" t="s">
        <v>53</v>
      </c>
      <c r="P3565" t="s">
        <v>54</v>
      </c>
      <c r="Q3565" t="s">
        <v>55</v>
      </c>
      <c r="T3565" t="s">
        <v>1604</v>
      </c>
      <c r="U3565">
        <v>40</v>
      </c>
      <c r="V3565" s="1">
        <v>35405</v>
      </c>
      <c r="W3565" s="1">
        <v>35405</v>
      </c>
      <c r="X3565" s="1">
        <v>35405</v>
      </c>
      <c r="Y3565" s="1">
        <v>50015</v>
      </c>
      <c r="Z3565" t="s">
        <v>51</v>
      </c>
      <c r="AB3565" t="s">
        <v>54</v>
      </c>
      <c r="AC3565">
        <v>1</v>
      </c>
      <c r="AE3565" t="s">
        <v>57</v>
      </c>
      <c r="AF3565">
        <v>20</v>
      </c>
      <c r="AG3565" s="1">
        <v>35405</v>
      </c>
      <c r="AH3565" s="1">
        <v>35405</v>
      </c>
      <c r="AI3565" s="1">
        <v>35405</v>
      </c>
      <c r="AJ3565" s="1">
        <v>42710</v>
      </c>
      <c r="AK3565" t="s">
        <v>51</v>
      </c>
      <c r="AN3565">
        <v>0</v>
      </c>
      <c r="AO3565" t="s">
        <v>54</v>
      </c>
      <c r="AP3565" t="s">
        <v>53</v>
      </c>
      <c r="AQ3565">
        <v>0</v>
      </c>
      <c r="AR3565" t="s">
        <v>53</v>
      </c>
      <c r="AS3565">
        <v>0</v>
      </c>
      <c r="AT3565">
        <v>0</v>
      </c>
      <c r="AW3565" t="s">
        <v>58</v>
      </c>
      <c r="AX3565">
        <v>20</v>
      </c>
      <c r="AY3565" s="1">
        <v>35405</v>
      </c>
      <c r="AZ3565" s="1">
        <v>35405</v>
      </c>
      <c r="BA3565" s="1">
        <v>35405</v>
      </c>
      <c r="BB3565" s="1">
        <v>42710</v>
      </c>
      <c r="BC3565" t="s">
        <v>51</v>
      </c>
      <c r="BE3565" t="s">
        <v>54</v>
      </c>
      <c r="BF3565">
        <v>2</v>
      </c>
      <c r="BG3565">
        <v>0</v>
      </c>
      <c r="BH3565" t="s">
        <v>53</v>
      </c>
      <c r="BK3565" t="s">
        <v>59</v>
      </c>
      <c r="BL3565">
        <v>14000</v>
      </c>
      <c r="BM3565" s="1">
        <v>42552</v>
      </c>
      <c r="BN3565" s="1">
        <v>42552</v>
      </c>
      <c r="BO3565" s="1">
        <v>42552</v>
      </c>
      <c r="BP3565" s="1">
        <v>43752</v>
      </c>
      <c r="BQ3565" t="s">
        <v>51</v>
      </c>
      <c r="BS3565" t="s">
        <v>60</v>
      </c>
      <c r="BT3565" t="s">
        <v>54</v>
      </c>
      <c r="BU3565" t="s">
        <v>61</v>
      </c>
      <c r="BV3565" t="s">
        <v>62</v>
      </c>
      <c r="BX3565">
        <v>24</v>
      </c>
      <c r="BY3565">
        <v>0</v>
      </c>
      <c r="BZ3565">
        <v>0</v>
      </c>
    </row>
    <row r="3566" spans="1:99" x14ac:dyDescent="0.2">
      <c r="A3566" t="s">
        <v>367</v>
      </c>
      <c r="B3566" t="s">
        <v>368</v>
      </c>
      <c r="C3566" t="s">
        <v>369</v>
      </c>
      <c r="D3566" t="s">
        <v>1063</v>
      </c>
      <c r="F3566" t="str">
        <f>"136085"</f>
        <v>136085</v>
      </c>
      <c r="G3566" t="s">
        <v>49</v>
      </c>
      <c r="H3566" t="s">
        <v>1608</v>
      </c>
      <c r="K3566" t="s">
        <v>51</v>
      </c>
      <c r="L3566" t="s">
        <v>52</v>
      </c>
      <c r="M3566">
        <v>138096.67000000001</v>
      </c>
      <c r="N3566">
        <v>468245.42</v>
      </c>
      <c r="O3566" t="s">
        <v>53</v>
      </c>
      <c r="P3566" t="s">
        <v>54</v>
      </c>
      <c r="Q3566" t="s">
        <v>55</v>
      </c>
      <c r="T3566" t="s">
        <v>1604</v>
      </c>
      <c r="U3566">
        <v>40</v>
      </c>
      <c r="V3566" s="1">
        <v>35405</v>
      </c>
      <c r="W3566" s="1">
        <v>35405</v>
      </c>
      <c r="X3566" s="1">
        <v>35405</v>
      </c>
      <c r="Y3566" s="1">
        <v>50015</v>
      </c>
      <c r="Z3566" t="s">
        <v>51</v>
      </c>
      <c r="AB3566" t="s">
        <v>54</v>
      </c>
      <c r="AC3566">
        <v>1</v>
      </c>
      <c r="AE3566" t="s">
        <v>825</v>
      </c>
      <c r="AF3566">
        <v>20</v>
      </c>
      <c r="AG3566" s="1">
        <v>38646</v>
      </c>
      <c r="AH3566" s="1">
        <v>38646</v>
      </c>
      <c r="AI3566" s="1">
        <v>38646</v>
      </c>
      <c r="AJ3566" s="1">
        <v>45951</v>
      </c>
      <c r="AK3566" t="s">
        <v>51</v>
      </c>
      <c r="AN3566">
        <v>0</v>
      </c>
      <c r="AO3566" t="s">
        <v>54</v>
      </c>
      <c r="AP3566" t="s">
        <v>53</v>
      </c>
      <c r="AQ3566">
        <v>0</v>
      </c>
      <c r="AR3566" t="s">
        <v>53</v>
      </c>
      <c r="AS3566">
        <v>0</v>
      </c>
      <c r="AT3566">
        <v>0</v>
      </c>
      <c r="AW3566" t="s">
        <v>58</v>
      </c>
      <c r="AX3566">
        <v>20</v>
      </c>
      <c r="AY3566" s="1">
        <v>38646</v>
      </c>
      <c r="AZ3566" s="1">
        <v>38646</v>
      </c>
      <c r="BA3566" s="1">
        <v>38646</v>
      </c>
      <c r="BB3566" s="1">
        <v>45951</v>
      </c>
      <c r="BC3566" t="s">
        <v>51</v>
      </c>
      <c r="BE3566" t="s">
        <v>54</v>
      </c>
      <c r="BF3566">
        <v>2</v>
      </c>
      <c r="BG3566">
        <v>0</v>
      </c>
      <c r="BH3566" t="s">
        <v>53</v>
      </c>
      <c r="BK3566" t="s">
        <v>59</v>
      </c>
      <c r="BL3566">
        <v>14000</v>
      </c>
      <c r="BM3566" s="1">
        <v>44942</v>
      </c>
      <c r="BN3566" s="1">
        <v>44942</v>
      </c>
      <c r="BO3566" s="1">
        <v>44942</v>
      </c>
      <c r="BP3566" s="1">
        <v>46112</v>
      </c>
      <c r="BQ3566" t="s">
        <v>51</v>
      </c>
      <c r="BS3566" t="s">
        <v>60</v>
      </c>
      <c r="BT3566" t="s">
        <v>54</v>
      </c>
      <c r="BU3566" t="s">
        <v>61</v>
      </c>
      <c r="BV3566" t="s">
        <v>62</v>
      </c>
      <c r="BX3566">
        <v>24</v>
      </c>
      <c r="BY3566">
        <v>0</v>
      </c>
      <c r="BZ3566">
        <v>0</v>
      </c>
    </row>
    <row r="3567" spans="1:99" x14ac:dyDescent="0.2">
      <c r="A3567" t="s">
        <v>367</v>
      </c>
      <c r="B3567" t="s">
        <v>368</v>
      </c>
      <c r="C3567" t="s">
        <v>369</v>
      </c>
      <c r="D3567" t="s">
        <v>1063</v>
      </c>
      <c r="F3567" t="str">
        <f>"136086"</f>
        <v>136086</v>
      </c>
      <c r="G3567" t="s">
        <v>49</v>
      </c>
      <c r="H3567" t="s">
        <v>1609</v>
      </c>
      <c r="K3567" t="s">
        <v>51</v>
      </c>
      <c r="L3567" t="s">
        <v>52</v>
      </c>
      <c r="M3567">
        <v>138084.32</v>
      </c>
      <c r="N3567">
        <v>468264.49</v>
      </c>
      <c r="O3567" t="s">
        <v>53</v>
      </c>
      <c r="P3567" t="s">
        <v>54</v>
      </c>
      <c r="Q3567" t="s">
        <v>55</v>
      </c>
      <c r="T3567" t="s">
        <v>1604</v>
      </c>
      <c r="U3567">
        <v>40</v>
      </c>
      <c r="V3567" s="1">
        <v>35412</v>
      </c>
      <c r="W3567" s="1">
        <v>35412</v>
      </c>
      <c r="X3567" s="1">
        <v>35412</v>
      </c>
      <c r="Y3567" s="1">
        <v>50022</v>
      </c>
      <c r="Z3567" t="s">
        <v>51</v>
      </c>
      <c r="AB3567" t="s">
        <v>54</v>
      </c>
      <c r="AC3567">
        <v>1</v>
      </c>
      <c r="AE3567" t="s">
        <v>57</v>
      </c>
      <c r="AF3567">
        <v>20</v>
      </c>
      <c r="AG3567" s="1">
        <v>35412</v>
      </c>
      <c r="AH3567" s="1">
        <v>35412</v>
      </c>
      <c r="AI3567" s="1">
        <v>35412</v>
      </c>
      <c r="AJ3567" s="1">
        <v>42717</v>
      </c>
      <c r="AK3567" t="s">
        <v>51</v>
      </c>
      <c r="AN3567">
        <v>0</v>
      </c>
      <c r="AO3567" t="s">
        <v>54</v>
      </c>
      <c r="AP3567" t="s">
        <v>53</v>
      </c>
      <c r="AQ3567">
        <v>0</v>
      </c>
      <c r="AR3567" t="s">
        <v>53</v>
      </c>
      <c r="AS3567">
        <v>0</v>
      </c>
      <c r="AT3567">
        <v>0</v>
      </c>
      <c r="AW3567" t="s">
        <v>58</v>
      </c>
      <c r="AX3567">
        <v>20</v>
      </c>
      <c r="AY3567" s="1">
        <v>35412</v>
      </c>
      <c r="AZ3567" s="1">
        <v>35412</v>
      </c>
      <c r="BA3567" s="1">
        <v>35412</v>
      </c>
      <c r="BB3567" s="1">
        <v>42717</v>
      </c>
      <c r="BC3567" t="s">
        <v>51</v>
      </c>
      <c r="BE3567" t="s">
        <v>54</v>
      </c>
      <c r="BF3567">
        <v>2</v>
      </c>
      <c r="BG3567">
        <v>0</v>
      </c>
      <c r="BH3567" t="s">
        <v>53</v>
      </c>
      <c r="BK3567" t="s">
        <v>59</v>
      </c>
      <c r="BL3567">
        <v>14000</v>
      </c>
      <c r="BM3567" s="1">
        <v>42552</v>
      </c>
      <c r="BN3567" s="1">
        <v>42552</v>
      </c>
      <c r="BO3567" s="1">
        <v>42552</v>
      </c>
      <c r="BP3567" s="1">
        <v>43752</v>
      </c>
      <c r="BQ3567" t="s">
        <v>51</v>
      </c>
      <c r="BS3567" t="s">
        <v>60</v>
      </c>
      <c r="BT3567" t="s">
        <v>54</v>
      </c>
      <c r="BU3567" t="s">
        <v>61</v>
      </c>
      <c r="BV3567" t="s">
        <v>62</v>
      </c>
      <c r="BX3567">
        <v>24</v>
      </c>
      <c r="BY3567">
        <v>0</v>
      </c>
      <c r="BZ3567">
        <v>0</v>
      </c>
    </row>
    <row r="3568" spans="1:99" x14ac:dyDescent="0.2">
      <c r="A3568" t="s">
        <v>367</v>
      </c>
      <c r="B3568" t="s">
        <v>368</v>
      </c>
      <c r="C3568" t="s">
        <v>369</v>
      </c>
      <c r="D3568" t="s">
        <v>1063</v>
      </c>
      <c r="F3568" t="str">
        <f>"136087"</f>
        <v>136087</v>
      </c>
      <c r="G3568" t="s">
        <v>49</v>
      </c>
      <c r="H3568" t="s">
        <v>1610</v>
      </c>
      <c r="K3568" t="s">
        <v>51</v>
      </c>
      <c r="L3568" t="s">
        <v>52</v>
      </c>
      <c r="M3568">
        <v>138097.79</v>
      </c>
      <c r="N3568">
        <v>468223.3</v>
      </c>
      <c r="O3568" t="s">
        <v>53</v>
      </c>
      <c r="P3568" t="s">
        <v>54</v>
      </c>
      <c r="Q3568" t="s">
        <v>55</v>
      </c>
      <c r="T3568" t="s">
        <v>1604</v>
      </c>
      <c r="U3568">
        <v>40</v>
      </c>
      <c r="V3568" s="1">
        <v>35412</v>
      </c>
      <c r="W3568" s="1">
        <v>35412</v>
      </c>
      <c r="X3568" s="1">
        <v>35412</v>
      </c>
      <c r="Y3568" s="1">
        <v>50022</v>
      </c>
      <c r="Z3568" t="s">
        <v>51</v>
      </c>
      <c r="AB3568" t="s">
        <v>54</v>
      </c>
      <c r="AC3568">
        <v>1</v>
      </c>
      <c r="AE3568" t="s">
        <v>57</v>
      </c>
      <c r="AF3568">
        <v>20</v>
      </c>
      <c r="AG3568" s="1">
        <v>35412</v>
      </c>
      <c r="AH3568" s="1">
        <v>35412</v>
      </c>
      <c r="AI3568" s="1">
        <v>35412</v>
      </c>
      <c r="AJ3568" s="1">
        <v>42717</v>
      </c>
      <c r="AK3568" t="s">
        <v>51</v>
      </c>
      <c r="AN3568">
        <v>0</v>
      </c>
      <c r="AO3568" t="s">
        <v>54</v>
      </c>
      <c r="AP3568" t="s">
        <v>53</v>
      </c>
      <c r="AQ3568">
        <v>0</v>
      </c>
      <c r="AR3568" t="s">
        <v>53</v>
      </c>
      <c r="AS3568">
        <v>0</v>
      </c>
      <c r="AT3568">
        <v>0</v>
      </c>
      <c r="AW3568" t="s">
        <v>58</v>
      </c>
      <c r="AX3568">
        <v>20</v>
      </c>
      <c r="AY3568" s="1">
        <v>43591</v>
      </c>
      <c r="AZ3568" s="1">
        <v>43591</v>
      </c>
      <c r="BA3568" s="1">
        <v>43591</v>
      </c>
      <c r="BB3568" s="1">
        <v>50896</v>
      </c>
      <c r="BC3568" t="s">
        <v>51</v>
      </c>
      <c r="BE3568" t="s">
        <v>54</v>
      </c>
      <c r="BF3568">
        <v>2</v>
      </c>
      <c r="BG3568">
        <v>0</v>
      </c>
      <c r="BH3568" t="s">
        <v>53</v>
      </c>
      <c r="BK3568" t="s">
        <v>59</v>
      </c>
      <c r="BL3568">
        <v>14000</v>
      </c>
      <c r="BM3568" s="1">
        <v>43591</v>
      </c>
      <c r="BN3568" s="1">
        <v>43591</v>
      </c>
      <c r="BO3568" s="1">
        <v>43591</v>
      </c>
      <c r="BP3568" s="1">
        <v>44813</v>
      </c>
      <c r="BQ3568" t="s">
        <v>51</v>
      </c>
      <c r="BS3568" t="s">
        <v>60</v>
      </c>
      <c r="BT3568" t="s">
        <v>54</v>
      </c>
      <c r="BU3568" t="s">
        <v>61</v>
      </c>
      <c r="BV3568" t="s">
        <v>62</v>
      </c>
      <c r="BX3568">
        <v>24</v>
      </c>
      <c r="BY3568">
        <v>0</v>
      </c>
      <c r="BZ3568">
        <v>0</v>
      </c>
    </row>
    <row r="3569" spans="1:99" x14ac:dyDescent="0.2">
      <c r="A3569" t="s">
        <v>367</v>
      </c>
      <c r="B3569" t="s">
        <v>368</v>
      </c>
      <c r="C3569" t="s">
        <v>369</v>
      </c>
      <c r="D3569" t="s">
        <v>1198</v>
      </c>
      <c r="F3569" t="str">
        <f>"136352"</f>
        <v>136352</v>
      </c>
      <c r="G3569" t="s">
        <v>49</v>
      </c>
      <c r="H3569" t="s">
        <v>1611</v>
      </c>
      <c r="K3569" t="s">
        <v>51</v>
      </c>
      <c r="L3569" t="s">
        <v>52</v>
      </c>
      <c r="M3569">
        <v>137837.31</v>
      </c>
      <c r="N3569">
        <v>467721.63</v>
      </c>
      <c r="O3569" t="s">
        <v>53</v>
      </c>
      <c r="P3569" t="s">
        <v>54</v>
      </c>
      <c r="Q3569" t="s">
        <v>55</v>
      </c>
      <c r="T3569" t="s">
        <v>818</v>
      </c>
      <c r="U3569">
        <v>40</v>
      </c>
      <c r="V3569" s="1">
        <v>35552</v>
      </c>
      <c r="W3569" s="1">
        <v>35552</v>
      </c>
      <c r="X3569" s="1">
        <v>35552</v>
      </c>
      <c r="Y3569" s="1">
        <v>50162</v>
      </c>
      <c r="Z3569" t="s">
        <v>51</v>
      </c>
      <c r="AB3569" t="s">
        <v>54</v>
      </c>
      <c r="AC3569">
        <v>1</v>
      </c>
      <c r="AE3569" t="s">
        <v>819</v>
      </c>
      <c r="AF3569">
        <v>20</v>
      </c>
      <c r="AG3569" s="1">
        <v>35552</v>
      </c>
      <c r="AH3569" s="1">
        <v>35552</v>
      </c>
      <c r="AI3569" s="1">
        <v>35552</v>
      </c>
      <c r="AJ3569" s="1">
        <v>42857</v>
      </c>
      <c r="AK3569" t="s">
        <v>51</v>
      </c>
      <c r="AN3569">
        <v>0</v>
      </c>
      <c r="AO3569" t="s">
        <v>54</v>
      </c>
      <c r="AP3569" t="s">
        <v>53</v>
      </c>
      <c r="AQ3569">
        <v>0</v>
      </c>
      <c r="AR3569" t="s">
        <v>53</v>
      </c>
      <c r="AS3569">
        <v>0</v>
      </c>
      <c r="AT3569">
        <v>0</v>
      </c>
      <c r="CC3569" t="s">
        <v>850</v>
      </c>
      <c r="CD3569">
        <v>1</v>
      </c>
      <c r="CE3569" s="1">
        <v>42552</v>
      </c>
      <c r="CF3569" s="1">
        <v>42552</v>
      </c>
      <c r="CG3569" s="1">
        <v>42552</v>
      </c>
      <c r="CH3569" s="1">
        <v>49714</v>
      </c>
      <c r="CI3569" t="s">
        <v>51</v>
      </c>
      <c r="CK3569" t="s">
        <v>78</v>
      </c>
      <c r="CM3569" t="s">
        <v>54</v>
      </c>
      <c r="CN3569" t="s">
        <v>174</v>
      </c>
      <c r="CO3569" t="s">
        <v>86</v>
      </c>
      <c r="CR3569">
        <v>18</v>
      </c>
      <c r="CS3569">
        <v>0</v>
      </c>
      <c r="CT3569">
        <v>0</v>
      </c>
      <c r="CU3569">
        <v>0</v>
      </c>
    </row>
    <row r="3570" spans="1:99" x14ac:dyDescent="0.2">
      <c r="A3570" t="s">
        <v>367</v>
      </c>
      <c r="B3570" t="s">
        <v>368</v>
      </c>
      <c r="C3570" t="s">
        <v>369</v>
      </c>
      <c r="D3570" t="s">
        <v>1188</v>
      </c>
      <c r="F3570" t="str">
        <f>"136870"</f>
        <v>136870</v>
      </c>
      <c r="G3570" t="s">
        <v>49</v>
      </c>
      <c r="H3570" t="s">
        <v>391</v>
      </c>
      <c r="K3570" t="s">
        <v>51</v>
      </c>
      <c r="L3570" t="s">
        <v>52</v>
      </c>
      <c r="M3570">
        <v>137956.56</v>
      </c>
      <c r="N3570">
        <v>467922</v>
      </c>
      <c r="O3570" t="s">
        <v>53</v>
      </c>
      <c r="P3570" t="s">
        <v>54</v>
      </c>
      <c r="Q3570" t="s">
        <v>55</v>
      </c>
      <c r="T3570" t="s">
        <v>818</v>
      </c>
      <c r="U3570">
        <v>40</v>
      </c>
      <c r="V3570" s="1">
        <v>35801</v>
      </c>
      <c r="W3570" s="1">
        <v>35801</v>
      </c>
      <c r="X3570" s="1">
        <v>35801</v>
      </c>
      <c r="Y3570" s="1">
        <v>50411</v>
      </c>
      <c r="Z3570" t="s">
        <v>51</v>
      </c>
      <c r="AB3570" t="s">
        <v>54</v>
      </c>
      <c r="AC3570">
        <v>1</v>
      </c>
      <c r="AE3570" t="s">
        <v>819</v>
      </c>
      <c r="AF3570">
        <v>20</v>
      </c>
      <c r="AG3570" s="1">
        <v>35801</v>
      </c>
      <c r="AH3570" s="1">
        <v>35801</v>
      </c>
      <c r="AI3570" s="1">
        <v>35801</v>
      </c>
      <c r="AJ3570" s="1">
        <v>43106</v>
      </c>
      <c r="AK3570" t="s">
        <v>51</v>
      </c>
      <c r="AN3570">
        <v>0</v>
      </c>
      <c r="AO3570" t="s">
        <v>54</v>
      </c>
      <c r="AP3570" t="s">
        <v>53</v>
      </c>
      <c r="AQ3570">
        <v>0</v>
      </c>
      <c r="AR3570" t="s">
        <v>53</v>
      </c>
      <c r="AS3570">
        <v>0</v>
      </c>
      <c r="AT3570">
        <v>0</v>
      </c>
      <c r="CC3570" t="s">
        <v>850</v>
      </c>
      <c r="CD3570">
        <v>1</v>
      </c>
      <c r="CE3570" s="1">
        <v>42552</v>
      </c>
      <c r="CF3570" s="1">
        <v>42552</v>
      </c>
      <c r="CG3570" s="1">
        <v>42552</v>
      </c>
      <c r="CH3570" s="1">
        <v>49714</v>
      </c>
      <c r="CI3570" t="s">
        <v>51</v>
      </c>
      <c r="CK3570" t="s">
        <v>78</v>
      </c>
      <c r="CM3570" t="s">
        <v>54</v>
      </c>
      <c r="CN3570" t="s">
        <v>174</v>
      </c>
      <c r="CO3570" t="s">
        <v>86</v>
      </c>
      <c r="CR3570">
        <v>18</v>
      </c>
      <c r="CS3570">
        <v>0</v>
      </c>
      <c r="CT3570">
        <v>0</v>
      </c>
      <c r="CU3570">
        <v>0</v>
      </c>
    </row>
    <row r="3571" spans="1:99" x14ac:dyDescent="0.2">
      <c r="A3571" t="s">
        <v>367</v>
      </c>
      <c r="B3571" t="s">
        <v>368</v>
      </c>
      <c r="C3571" t="s">
        <v>369</v>
      </c>
      <c r="D3571" t="s">
        <v>1215</v>
      </c>
      <c r="F3571" t="str">
        <f>"139675"</f>
        <v>139675</v>
      </c>
      <c r="G3571" t="s">
        <v>49</v>
      </c>
      <c r="H3571" t="s">
        <v>1612</v>
      </c>
      <c r="K3571" t="s">
        <v>51</v>
      </c>
      <c r="L3571" t="s">
        <v>52</v>
      </c>
      <c r="M3571">
        <v>138153.17000000001</v>
      </c>
      <c r="N3571">
        <v>468164.3</v>
      </c>
      <c r="O3571" t="s">
        <v>53</v>
      </c>
      <c r="P3571" t="s">
        <v>54</v>
      </c>
      <c r="Q3571" t="s">
        <v>55</v>
      </c>
      <c r="T3571" t="s">
        <v>818</v>
      </c>
      <c r="U3571">
        <v>40</v>
      </c>
      <c r="V3571" s="1">
        <v>36558</v>
      </c>
      <c r="W3571" s="1">
        <v>36558</v>
      </c>
      <c r="X3571" s="1">
        <v>36558</v>
      </c>
      <c r="Y3571" s="1">
        <v>51168</v>
      </c>
      <c r="Z3571" t="s">
        <v>51</v>
      </c>
      <c r="AB3571" t="s">
        <v>54</v>
      </c>
      <c r="AC3571">
        <v>1</v>
      </c>
      <c r="AE3571" t="s">
        <v>1613</v>
      </c>
      <c r="AF3571">
        <v>20</v>
      </c>
      <c r="AG3571" s="1">
        <v>36558</v>
      </c>
      <c r="AH3571" s="1">
        <v>36558</v>
      </c>
      <c r="AI3571" s="1">
        <v>36558</v>
      </c>
      <c r="AJ3571" s="1">
        <v>43863</v>
      </c>
      <c r="AK3571" t="s">
        <v>51</v>
      </c>
      <c r="AN3571">
        <v>0</v>
      </c>
      <c r="AO3571" t="s">
        <v>54</v>
      </c>
      <c r="AP3571" t="s">
        <v>53</v>
      </c>
      <c r="AQ3571">
        <v>0</v>
      </c>
      <c r="AR3571" t="s">
        <v>53</v>
      </c>
      <c r="AS3571">
        <v>0</v>
      </c>
      <c r="AT3571">
        <v>0</v>
      </c>
      <c r="AW3571" t="s">
        <v>58</v>
      </c>
      <c r="AX3571">
        <v>20</v>
      </c>
      <c r="AY3571" s="1">
        <v>36558</v>
      </c>
      <c r="AZ3571" s="1">
        <v>36558</v>
      </c>
      <c r="BA3571" s="1">
        <v>36558</v>
      </c>
      <c r="BB3571" s="1">
        <v>43863</v>
      </c>
      <c r="BC3571" t="s">
        <v>51</v>
      </c>
      <c r="BE3571" t="s">
        <v>54</v>
      </c>
      <c r="BF3571">
        <v>2</v>
      </c>
      <c r="BG3571">
        <v>0</v>
      </c>
      <c r="BH3571" t="s">
        <v>53</v>
      </c>
      <c r="BK3571" t="s">
        <v>227</v>
      </c>
      <c r="BL3571">
        <v>10000</v>
      </c>
      <c r="BM3571" s="1">
        <v>42552</v>
      </c>
      <c r="BN3571" s="1">
        <v>42552</v>
      </c>
      <c r="BO3571" s="1">
        <v>42552</v>
      </c>
      <c r="BP3571" s="1">
        <v>43409</v>
      </c>
      <c r="BQ3571" t="s">
        <v>51</v>
      </c>
      <c r="BS3571" t="s">
        <v>60</v>
      </c>
      <c r="BT3571" t="s">
        <v>54</v>
      </c>
      <c r="BU3571" t="s">
        <v>228</v>
      </c>
      <c r="BV3571" t="s">
        <v>229</v>
      </c>
      <c r="BX3571">
        <v>32</v>
      </c>
      <c r="BY3571">
        <v>0</v>
      </c>
      <c r="BZ3571">
        <v>0</v>
      </c>
    </row>
    <row r="3572" spans="1:99" x14ac:dyDescent="0.2">
      <c r="A3572" t="s">
        <v>367</v>
      </c>
      <c r="B3572" t="s">
        <v>368</v>
      </c>
      <c r="C3572" t="s">
        <v>369</v>
      </c>
      <c r="D3572" t="s">
        <v>1215</v>
      </c>
      <c r="F3572" t="str">
        <f>"139676"</f>
        <v>139676</v>
      </c>
      <c r="G3572" t="s">
        <v>49</v>
      </c>
      <c r="H3572" t="s">
        <v>1612</v>
      </c>
      <c r="K3572" t="s">
        <v>51</v>
      </c>
      <c r="L3572" t="s">
        <v>52</v>
      </c>
      <c r="M3572">
        <v>138144</v>
      </c>
      <c r="N3572">
        <v>468163.28</v>
      </c>
      <c r="O3572" t="s">
        <v>53</v>
      </c>
      <c r="P3572" t="s">
        <v>54</v>
      </c>
      <c r="Q3572" t="s">
        <v>55</v>
      </c>
      <c r="T3572" t="s">
        <v>818</v>
      </c>
      <c r="U3572">
        <v>40</v>
      </c>
      <c r="V3572" s="1">
        <v>36558</v>
      </c>
      <c r="W3572" s="1">
        <v>36558</v>
      </c>
      <c r="X3572" s="1">
        <v>36558</v>
      </c>
      <c r="Y3572" s="1">
        <v>51168</v>
      </c>
      <c r="Z3572" t="s">
        <v>51</v>
      </c>
      <c r="AB3572" t="s">
        <v>54</v>
      </c>
      <c r="AC3572">
        <v>1</v>
      </c>
      <c r="AE3572" t="s">
        <v>1613</v>
      </c>
      <c r="AF3572">
        <v>20</v>
      </c>
      <c r="AG3572" s="1">
        <v>36558</v>
      </c>
      <c r="AH3572" s="1">
        <v>36558</v>
      </c>
      <c r="AI3572" s="1">
        <v>36558</v>
      </c>
      <c r="AJ3572" s="1">
        <v>43863</v>
      </c>
      <c r="AK3572" t="s">
        <v>51</v>
      </c>
      <c r="AN3572">
        <v>0</v>
      </c>
      <c r="AO3572" t="s">
        <v>54</v>
      </c>
      <c r="AP3572" t="s">
        <v>53</v>
      </c>
      <c r="AQ3572">
        <v>0</v>
      </c>
      <c r="AR3572" t="s">
        <v>53</v>
      </c>
      <c r="AS3572">
        <v>0</v>
      </c>
      <c r="AT3572">
        <v>0</v>
      </c>
      <c r="AW3572" t="s">
        <v>58</v>
      </c>
      <c r="AX3572">
        <v>20</v>
      </c>
      <c r="AY3572" s="1">
        <v>36558</v>
      </c>
      <c r="AZ3572" s="1">
        <v>36558</v>
      </c>
      <c r="BA3572" s="1">
        <v>36558</v>
      </c>
      <c r="BB3572" s="1">
        <v>43863</v>
      </c>
      <c r="BC3572" t="s">
        <v>51</v>
      </c>
      <c r="BE3572" t="s">
        <v>54</v>
      </c>
      <c r="BF3572">
        <v>2</v>
      </c>
      <c r="BG3572">
        <v>0</v>
      </c>
      <c r="BH3572" t="s">
        <v>53</v>
      </c>
      <c r="BK3572" t="s">
        <v>227</v>
      </c>
      <c r="BL3572">
        <v>10000</v>
      </c>
      <c r="BM3572" s="1">
        <v>42552</v>
      </c>
      <c r="BN3572" s="1">
        <v>42552</v>
      </c>
      <c r="BO3572" s="1">
        <v>42552</v>
      </c>
      <c r="BP3572" s="1">
        <v>43409</v>
      </c>
      <c r="BQ3572" t="s">
        <v>51</v>
      </c>
      <c r="BS3572" t="s">
        <v>60</v>
      </c>
      <c r="BT3572" t="s">
        <v>54</v>
      </c>
      <c r="BU3572" t="s">
        <v>228</v>
      </c>
      <c r="BV3572" t="s">
        <v>229</v>
      </c>
      <c r="BX3572">
        <v>32</v>
      </c>
      <c r="BY3572">
        <v>0</v>
      </c>
      <c r="BZ3572">
        <v>0</v>
      </c>
    </row>
    <row r="3573" spans="1:99" x14ac:dyDescent="0.2">
      <c r="A3573" t="s">
        <v>367</v>
      </c>
      <c r="B3573" t="s">
        <v>368</v>
      </c>
      <c r="C3573" t="s">
        <v>369</v>
      </c>
      <c r="D3573" t="s">
        <v>1215</v>
      </c>
      <c r="F3573" t="str">
        <f>"139677"</f>
        <v>139677</v>
      </c>
      <c r="G3573" t="s">
        <v>49</v>
      </c>
      <c r="H3573" t="s">
        <v>1612</v>
      </c>
      <c r="K3573" t="s">
        <v>51</v>
      </c>
      <c r="L3573" t="s">
        <v>52</v>
      </c>
      <c r="M3573">
        <v>138129.59</v>
      </c>
      <c r="N3573">
        <v>468163.89</v>
      </c>
      <c r="O3573" t="s">
        <v>53</v>
      </c>
      <c r="P3573" t="s">
        <v>54</v>
      </c>
      <c r="Q3573" t="s">
        <v>55</v>
      </c>
      <c r="T3573" t="s">
        <v>818</v>
      </c>
      <c r="U3573">
        <v>40</v>
      </c>
      <c r="V3573" s="1">
        <v>36558</v>
      </c>
      <c r="W3573" s="1">
        <v>36558</v>
      </c>
      <c r="X3573" s="1">
        <v>36558</v>
      </c>
      <c r="Y3573" s="1">
        <v>51168</v>
      </c>
      <c r="Z3573" t="s">
        <v>51</v>
      </c>
      <c r="AB3573" t="s">
        <v>54</v>
      </c>
      <c r="AC3573">
        <v>1</v>
      </c>
      <c r="AE3573" t="s">
        <v>1613</v>
      </c>
      <c r="AF3573">
        <v>20</v>
      </c>
      <c r="AG3573" s="1">
        <v>36558</v>
      </c>
      <c r="AH3573" s="1">
        <v>36558</v>
      </c>
      <c r="AI3573" s="1">
        <v>36558</v>
      </c>
      <c r="AJ3573" s="1">
        <v>43863</v>
      </c>
      <c r="AK3573" t="s">
        <v>51</v>
      </c>
      <c r="AN3573">
        <v>0</v>
      </c>
      <c r="AO3573" t="s">
        <v>54</v>
      </c>
      <c r="AP3573" t="s">
        <v>53</v>
      </c>
      <c r="AQ3573">
        <v>0</v>
      </c>
      <c r="AR3573" t="s">
        <v>53</v>
      </c>
      <c r="AS3573">
        <v>0</v>
      </c>
      <c r="AT3573">
        <v>0</v>
      </c>
      <c r="AW3573" t="s">
        <v>58</v>
      </c>
      <c r="AX3573">
        <v>20</v>
      </c>
      <c r="AY3573" s="1">
        <v>44264</v>
      </c>
      <c r="AZ3573" s="1">
        <v>44264</v>
      </c>
      <c r="BA3573" s="1">
        <v>44264</v>
      </c>
      <c r="BB3573" s="1">
        <v>51569</v>
      </c>
      <c r="BC3573" t="s">
        <v>51</v>
      </c>
      <c r="BE3573" t="s">
        <v>54</v>
      </c>
      <c r="BF3573">
        <v>2</v>
      </c>
      <c r="BG3573">
        <v>0</v>
      </c>
      <c r="BH3573" t="s">
        <v>53</v>
      </c>
      <c r="BK3573" t="s">
        <v>227</v>
      </c>
      <c r="BL3573">
        <v>10000</v>
      </c>
      <c r="BM3573" s="1">
        <v>44264</v>
      </c>
      <c r="BN3573" s="1">
        <v>44264</v>
      </c>
      <c r="BO3573" s="1">
        <v>44264</v>
      </c>
      <c r="BP3573" s="1">
        <v>45149</v>
      </c>
      <c r="BQ3573" t="s">
        <v>51</v>
      </c>
      <c r="BS3573" t="s">
        <v>60</v>
      </c>
      <c r="BT3573" t="s">
        <v>54</v>
      </c>
      <c r="BU3573" t="s">
        <v>228</v>
      </c>
      <c r="BV3573" t="s">
        <v>229</v>
      </c>
      <c r="BX3573">
        <v>32</v>
      </c>
      <c r="BY3573">
        <v>0</v>
      </c>
      <c r="BZ3573">
        <v>0</v>
      </c>
    </row>
    <row r="3574" spans="1:99" x14ac:dyDescent="0.2">
      <c r="A3574" t="s">
        <v>367</v>
      </c>
      <c r="B3574" t="s">
        <v>368</v>
      </c>
      <c r="C3574" t="s">
        <v>369</v>
      </c>
      <c r="D3574" t="s">
        <v>1215</v>
      </c>
      <c r="F3574" t="str">
        <f>"139678"</f>
        <v>139678</v>
      </c>
      <c r="G3574" t="s">
        <v>49</v>
      </c>
      <c r="H3574" t="s">
        <v>1612</v>
      </c>
      <c r="K3574" t="s">
        <v>51</v>
      </c>
      <c r="L3574" t="s">
        <v>52</v>
      </c>
      <c r="M3574">
        <v>138154.23999999999</v>
      </c>
      <c r="N3574">
        <v>468153.56</v>
      </c>
      <c r="O3574" t="s">
        <v>53</v>
      </c>
      <c r="P3574" t="s">
        <v>54</v>
      </c>
      <c r="Q3574" t="s">
        <v>55</v>
      </c>
      <c r="T3574" t="s">
        <v>1614</v>
      </c>
      <c r="U3574">
        <v>40</v>
      </c>
      <c r="V3574" s="1">
        <v>35593</v>
      </c>
      <c r="W3574" s="1">
        <v>35593</v>
      </c>
      <c r="X3574" s="1">
        <v>35593</v>
      </c>
      <c r="Y3574" s="1">
        <v>50203</v>
      </c>
      <c r="Z3574" t="s">
        <v>51</v>
      </c>
      <c r="AB3574" t="s">
        <v>54</v>
      </c>
      <c r="AC3574">
        <v>1</v>
      </c>
      <c r="AE3574" t="s">
        <v>1615</v>
      </c>
      <c r="AF3574">
        <v>20</v>
      </c>
      <c r="AG3574" s="1">
        <v>35593</v>
      </c>
      <c r="AH3574" s="1">
        <v>35593</v>
      </c>
      <c r="AI3574" s="1">
        <v>35593</v>
      </c>
      <c r="AJ3574" s="1">
        <v>42898</v>
      </c>
      <c r="AK3574" t="s">
        <v>51</v>
      </c>
      <c r="AN3574">
        <v>0</v>
      </c>
      <c r="AO3574" t="s">
        <v>54</v>
      </c>
      <c r="AP3574" t="s">
        <v>53</v>
      </c>
      <c r="AQ3574">
        <v>0</v>
      </c>
      <c r="AR3574" t="s">
        <v>53</v>
      </c>
      <c r="AS3574">
        <v>0</v>
      </c>
      <c r="AT3574">
        <v>0</v>
      </c>
      <c r="AW3574" t="s">
        <v>58</v>
      </c>
      <c r="AX3574">
        <v>20</v>
      </c>
      <c r="AY3574" s="1">
        <v>35593</v>
      </c>
      <c r="AZ3574" s="1">
        <v>35593</v>
      </c>
      <c r="BA3574" s="1">
        <v>35593</v>
      </c>
      <c r="BB3574" s="1">
        <v>42898</v>
      </c>
      <c r="BC3574" t="s">
        <v>51</v>
      </c>
      <c r="BE3574" t="s">
        <v>54</v>
      </c>
      <c r="BF3574">
        <v>2</v>
      </c>
      <c r="BG3574">
        <v>0</v>
      </c>
      <c r="BH3574" t="s">
        <v>53</v>
      </c>
      <c r="BK3574" t="s">
        <v>59</v>
      </c>
      <c r="BL3574">
        <v>14000</v>
      </c>
      <c r="BM3574" s="1">
        <v>42552</v>
      </c>
      <c r="BN3574" s="1">
        <v>42552</v>
      </c>
      <c r="BO3574" s="1">
        <v>42552</v>
      </c>
      <c r="BP3574" s="1">
        <v>43752</v>
      </c>
      <c r="BQ3574" t="s">
        <v>51</v>
      </c>
      <c r="BS3574" t="s">
        <v>60</v>
      </c>
      <c r="BT3574" t="s">
        <v>54</v>
      </c>
      <c r="BU3574" t="s">
        <v>61</v>
      </c>
      <c r="BV3574" t="s">
        <v>62</v>
      </c>
      <c r="BX3574">
        <v>24</v>
      </c>
      <c r="BY3574">
        <v>0</v>
      </c>
      <c r="BZ3574">
        <v>0</v>
      </c>
    </row>
    <row r="3575" spans="1:99" x14ac:dyDescent="0.2">
      <c r="A3575" t="s">
        <v>367</v>
      </c>
      <c r="B3575" t="s">
        <v>368</v>
      </c>
      <c r="C3575" t="s">
        <v>369</v>
      </c>
      <c r="D3575" t="s">
        <v>1215</v>
      </c>
      <c r="F3575" t="str">
        <f>"139679"</f>
        <v>139679</v>
      </c>
      <c r="G3575" t="s">
        <v>49</v>
      </c>
      <c r="H3575" t="s">
        <v>1612</v>
      </c>
      <c r="K3575" t="s">
        <v>51</v>
      </c>
      <c r="L3575" t="s">
        <v>52</v>
      </c>
      <c r="M3575">
        <v>138154.51</v>
      </c>
      <c r="N3575">
        <v>468146.72</v>
      </c>
      <c r="O3575" t="s">
        <v>53</v>
      </c>
      <c r="P3575" t="s">
        <v>54</v>
      </c>
      <c r="Q3575" t="s">
        <v>55</v>
      </c>
      <c r="T3575" t="s">
        <v>1614</v>
      </c>
      <c r="U3575">
        <v>40</v>
      </c>
      <c r="V3575" s="1">
        <v>35593</v>
      </c>
      <c r="W3575" s="1">
        <v>35593</v>
      </c>
      <c r="X3575" s="1">
        <v>35593</v>
      </c>
      <c r="Y3575" s="1">
        <v>50203</v>
      </c>
      <c r="Z3575" t="s">
        <v>51</v>
      </c>
      <c r="AB3575" t="s">
        <v>54</v>
      </c>
      <c r="AC3575">
        <v>1</v>
      </c>
      <c r="AE3575" t="s">
        <v>1615</v>
      </c>
      <c r="AF3575">
        <v>20</v>
      </c>
      <c r="AG3575" s="1">
        <v>35593</v>
      </c>
      <c r="AH3575" s="1">
        <v>35593</v>
      </c>
      <c r="AI3575" s="1">
        <v>35593</v>
      </c>
      <c r="AJ3575" s="1">
        <v>42898</v>
      </c>
      <c r="AK3575" t="s">
        <v>51</v>
      </c>
      <c r="AN3575">
        <v>0</v>
      </c>
      <c r="AO3575" t="s">
        <v>54</v>
      </c>
      <c r="AP3575" t="s">
        <v>53</v>
      </c>
      <c r="AQ3575">
        <v>0</v>
      </c>
      <c r="AR3575" t="s">
        <v>53</v>
      </c>
      <c r="AS3575">
        <v>0</v>
      </c>
      <c r="AT3575">
        <v>0</v>
      </c>
      <c r="AW3575" t="s">
        <v>58</v>
      </c>
      <c r="AX3575">
        <v>20</v>
      </c>
      <c r="AY3575" s="1">
        <v>35593</v>
      </c>
      <c r="AZ3575" s="1">
        <v>35593</v>
      </c>
      <c r="BA3575" s="1">
        <v>35593</v>
      </c>
      <c r="BB3575" s="1">
        <v>42898</v>
      </c>
      <c r="BC3575" t="s">
        <v>51</v>
      </c>
      <c r="BE3575" t="s">
        <v>54</v>
      </c>
      <c r="BF3575">
        <v>2</v>
      </c>
      <c r="BG3575">
        <v>0</v>
      </c>
      <c r="BH3575" t="s">
        <v>53</v>
      </c>
      <c r="BK3575" t="s">
        <v>59</v>
      </c>
      <c r="BL3575">
        <v>14000</v>
      </c>
      <c r="BM3575" s="1">
        <v>42552</v>
      </c>
      <c r="BN3575" s="1">
        <v>42552</v>
      </c>
      <c r="BO3575" s="1">
        <v>42552</v>
      </c>
      <c r="BP3575" s="1">
        <v>43752</v>
      </c>
      <c r="BQ3575" t="s">
        <v>51</v>
      </c>
      <c r="BS3575" t="s">
        <v>60</v>
      </c>
      <c r="BT3575" t="s">
        <v>54</v>
      </c>
      <c r="BU3575" t="s">
        <v>61</v>
      </c>
      <c r="BV3575" t="s">
        <v>62</v>
      </c>
      <c r="BX3575">
        <v>24</v>
      </c>
      <c r="BY3575">
        <v>0</v>
      </c>
      <c r="BZ3575">
        <v>0</v>
      </c>
    </row>
    <row r="3576" spans="1:99" x14ac:dyDescent="0.2">
      <c r="A3576" t="s">
        <v>367</v>
      </c>
      <c r="B3576" t="s">
        <v>368</v>
      </c>
      <c r="C3576" t="s">
        <v>369</v>
      </c>
      <c r="D3576" t="s">
        <v>1215</v>
      </c>
      <c r="F3576" t="str">
        <f>"139680"</f>
        <v>139680</v>
      </c>
      <c r="G3576" t="s">
        <v>49</v>
      </c>
      <c r="H3576" t="s">
        <v>1612</v>
      </c>
      <c r="K3576" t="s">
        <v>51</v>
      </c>
      <c r="L3576" t="s">
        <v>52</v>
      </c>
      <c r="M3576">
        <v>138154.85999999999</v>
      </c>
      <c r="N3576">
        <v>468139.81</v>
      </c>
      <c r="O3576" t="s">
        <v>53</v>
      </c>
      <c r="P3576" t="s">
        <v>54</v>
      </c>
      <c r="Q3576" t="s">
        <v>55</v>
      </c>
      <c r="T3576" t="s">
        <v>1614</v>
      </c>
      <c r="U3576">
        <v>40</v>
      </c>
      <c r="V3576" s="1">
        <v>35593</v>
      </c>
      <c r="W3576" s="1">
        <v>35593</v>
      </c>
      <c r="X3576" s="1">
        <v>35593</v>
      </c>
      <c r="Y3576" s="1">
        <v>50203</v>
      </c>
      <c r="Z3576" t="s">
        <v>51</v>
      </c>
      <c r="AB3576" t="s">
        <v>54</v>
      </c>
      <c r="AC3576">
        <v>1</v>
      </c>
      <c r="AE3576" t="s">
        <v>1615</v>
      </c>
      <c r="AF3576">
        <v>20</v>
      </c>
      <c r="AG3576" s="1">
        <v>35593</v>
      </c>
      <c r="AH3576" s="1">
        <v>35593</v>
      </c>
      <c r="AI3576" s="1">
        <v>35593</v>
      </c>
      <c r="AJ3576" s="1">
        <v>42898</v>
      </c>
      <c r="AK3576" t="s">
        <v>51</v>
      </c>
      <c r="AN3576">
        <v>0</v>
      </c>
      <c r="AO3576" t="s">
        <v>54</v>
      </c>
      <c r="AP3576" t="s">
        <v>53</v>
      </c>
      <c r="AQ3576">
        <v>0</v>
      </c>
      <c r="AR3576" t="s">
        <v>53</v>
      </c>
      <c r="AS3576">
        <v>0</v>
      </c>
      <c r="AT3576">
        <v>0</v>
      </c>
      <c r="AW3576" t="s">
        <v>58</v>
      </c>
      <c r="AX3576">
        <v>20</v>
      </c>
      <c r="AY3576" s="1">
        <v>35593</v>
      </c>
      <c r="AZ3576" s="1">
        <v>35593</v>
      </c>
      <c r="BA3576" s="1">
        <v>35593</v>
      </c>
      <c r="BB3576" s="1">
        <v>42898</v>
      </c>
      <c r="BC3576" t="s">
        <v>51</v>
      </c>
      <c r="BE3576" t="s">
        <v>54</v>
      </c>
      <c r="BF3576">
        <v>2</v>
      </c>
      <c r="BG3576">
        <v>0</v>
      </c>
      <c r="BH3576" t="s">
        <v>53</v>
      </c>
      <c r="BK3576" t="s">
        <v>59</v>
      </c>
      <c r="BL3576">
        <v>14000</v>
      </c>
      <c r="BM3576" s="1">
        <v>42552</v>
      </c>
      <c r="BN3576" s="1">
        <v>42552</v>
      </c>
      <c r="BO3576" s="1">
        <v>42552</v>
      </c>
      <c r="BP3576" s="1">
        <v>43752</v>
      </c>
      <c r="BQ3576" t="s">
        <v>51</v>
      </c>
      <c r="BS3576" t="s">
        <v>60</v>
      </c>
      <c r="BT3576" t="s">
        <v>54</v>
      </c>
      <c r="BU3576" t="s">
        <v>61</v>
      </c>
      <c r="BV3576" t="s">
        <v>62</v>
      </c>
      <c r="BX3576">
        <v>24</v>
      </c>
      <c r="BY3576">
        <v>0</v>
      </c>
      <c r="BZ3576">
        <v>0</v>
      </c>
    </row>
    <row r="3577" spans="1:99" x14ac:dyDescent="0.2">
      <c r="A3577" t="s">
        <v>367</v>
      </c>
      <c r="B3577" t="s">
        <v>368</v>
      </c>
      <c r="C3577" t="s">
        <v>369</v>
      </c>
      <c r="D3577" t="s">
        <v>1215</v>
      </c>
      <c r="F3577" t="str">
        <f>"139681"</f>
        <v>139681</v>
      </c>
      <c r="G3577" t="s">
        <v>49</v>
      </c>
      <c r="H3577" t="s">
        <v>1612</v>
      </c>
      <c r="K3577" t="s">
        <v>51</v>
      </c>
      <c r="L3577" t="s">
        <v>52</v>
      </c>
      <c r="M3577">
        <v>138155.20000000001</v>
      </c>
      <c r="N3577">
        <v>468133.01</v>
      </c>
      <c r="O3577" t="s">
        <v>53</v>
      </c>
      <c r="P3577" t="s">
        <v>54</v>
      </c>
      <c r="Q3577" t="s">
        <v>55</v>
      </c>
      <c r="T3577" t="s">
        <v>1614</v>
      </c>
      <c r="U3577">
        <v>40</v>
      </c>
      <c r="V3577" s="1">
        <v>35593</v>
      </c>
      <c r="W3577" s="1">
        <v>35593</v>
      </c>
      <c r="X3577" s="1">
        <v>35593</v>
      </c>
      <c r="Y3577" s="1">
        <v>50203</v>
      </c>
      <c r="Z3577" t="s">
        <v>51</v>
      </c>
      <c r="AB3577" t="s">
        <v>54</v>
      </c>
      <c r="AC3577">
        <v>1</v>
      </c>
      <c r="AE3577" t="s">
        <v>1615</v>
      </c>
      <c r="AF3577">
        <v>20</v>
      </c>
      <c r="AG3577" s="1">
        <v>35593</v>
      </c>
      <c r="AH3577" s="1">
        <v>35593</v>
      </c>
      <c r="AI3577" s="1">
        <v>35593</v>
      </c>
      <c r="AJ3577" s="1">
        <v>42898</v>
      </c>
      <c r="AK3577" t="s">
        <v>51</v>
      </c>
      <c r="AN3577">
        <v>0</v>
      </c>
      <c r="AO3577" t="s">
        <v>54</v>
      </c>
      <c r="AP3577" t="s">
        <v>53</v>
      </c>
      <c r="AQ3577">
        <v>0</v>
      </c>
      <c r="AR3577" t="s">
        <v>53</v>
      </c>
      <c r="AS3577">
        <v>0</v>
      </c>
      <c r="AT3577">
        <v>0</v>
      </c>
      <c r="AW3577" t="s">
        <v>58</v>
      </c>
      <c r="AX3577">
        <v>20</v>
      </c>
      <c r="AY3577" s="1">
        <v>35593</v>
      </c>
      <c r="AZ3577" s="1">
        <v>35593</v>
      </c>
      <c r="BA3577" s="1">
        <v>35593</v>
      </c>
      <c r="BB3577" s="1">
        <v>42898</v>
      </c>
      <c r="BC3577" t="s">
        <v>51</v>
      </c>
      <c r="BE3577" t="s">
        <v>54</v>
      </c>
      <c r="BF3577">
        <v>2</v>
      </c>
      <c r="BG3577">
        <v>0</v>
      </c>
      <c r="BH3577" t="s">
        <v>53</v>
      </c>
      <c r="BK3577" t="s">
        <v>59</v>
      </c>
      <c r="BL3577">
        <v>14000</v>
      </c>
      <c r="BM3577" s="1">
        <v>42552</v>
      </c>
      <c r="BN3577" s="1">
        <v>42552</v>
      </c>
      <c r="BO3577" s="1">
        <v>42552</v>
      </c>
      <c r="BP3577" s="1">
        <v>43752</v>
      </c>
      <c r="BQ3577" t="s">
        <v>51</v>
      </c>
      <c r="BS3577" t="s">
        <v>60</v>
      </c>
      <c r="BT3577" t="s">
        <v>54</v>
      </c>
      <c r="BU3577" t="s">
        <v>61</v>
      </c>
      <c r="BV3577" t="s">
        <v>62</v>
      </c>
      <c r="BX3577">
        <v>24</v>
      </c>
      <c r="BY3577">
        <v>0</v>
      </c>
      <c r="BZ3577">
        <v>0</v>
      </c>
    </row>
    <row r="3578" spans="1:99" x14ac:dyDescent="0.2">
      <c r="A3578" t="s">
        <v>367</v>
      </c>
      <c r="B3578" t="s">
        <v>368</v>
      </c>
      <c r="C3578" t="s">
        <v>369</v>
      </c>
      <c r="D3578" t="s">
        <v>1215</v>
      </c>
      <c r="F3578" t="str">
        <f>"139682"</f>
        <v>139682</v>
      </c>
      <c r="G3578" t="s">
        <v>49</v>
      </c>
      <c r="H3578" t="s">
        <v>1612</v>
      </c>
      <c r="K3578" t="s">
        <v>51</v>
      </c>
      <c r="L3578" t="s">
        <v>52</v>
      </c>
      <c r="M3578">
        <v>138154.99</v>
      </c>
      <c r="N3578">
        <v>468126.38</v>
      </c>
      <c r="O3578" t="s">
        <v>53</v>
      </c>
      <c r="P3578" t="s">
        <v>54</v>
      </c>
      <c r="Q3578" t="s">
        <v>55</v>
      </c>
      <c r="T3578" t="s">
        <v>1614</v>
      </c>
      <c r="U3578">
        <v>40</v>
      </c>
      <c r="V3578" s="1">
        <v>35593</v>
      </c>
      <c r="W3578" s="1">
        <v>35593</v>
      </c>
      <c r="X3578" s="1">
        <v>35593</v>
      </c>
      <c r="Y3578" s="1">
        <v>50203</v>
      </c>
      <c r="Z3578" t="s">
        <v>51</v>
      </c>
      <c r="AB3578" t="s">
        <v>54</v>
      </c>
      <c r="AC3578">
        <v>1</v>
      </c>
      <c r="AE3578" t="s">
        <v>1615</v>
      </c>
      <c r="AF3578">
        <v>20</v>
      </c>
      <c r="AG3578" s="1">
        <v>35593</v>
      </c>
      <c r="AH3578" s="1">
        <v>35593</v>
      </c>
      <c r="AI3578" s="1">
        <v>35593</v>
      </c>
      <c r="AJ3578" s="1">
        <v>42898</v>
      </c>
      <c r="AK3578" t="s">
        <v>51</v>
      </c>
      <c r="AN3578">
        <v>0</v>
      </c>
      <c r="AO3578" t="s">
        <v>54</v>
      </c>
      <c r="AP3578" t="s">
        <v>53</v>
      </c>
      <c r="AQ3578">
        <v>0</v>
      </c>
      <c r="AR3578" t="s">
        <v>53</v>
      </c>
      <c r="AS3578">
        <v>0</v>
      </c>
      <c r="AT3578">
        <v>0</v>
      </c>
      <c r="AW3578" t="s">
        <v>58</v>
      </c>
      <c r="AX3578">
        <v>20</v>
      </c>
      <c r="AY3578" s="1">
        <v>35593</v>
      </c>
      <c r="AZ3578" s="1">
        <v>35593</v>
      </c>
      <c r="BA3578" s="1">
        <v>35593</v>
      </c>
      <c r="BB3578" s="1">
        <v>42898</v>
      </c>
      <c r="BC3578" t="s">
        <v>51</v>
      </c>
      <c r="BE3578" t="s">
        <v>54</v>
      </c>
      <c r="BF3578">
        <v>2</v>
      </c>
      <c r="BG3578">
        <v>0</v>
      </c>
      <c r="BH3578" t="s">
        <v>53</v>
      </c>
      <c r="BK3578" t="s">
        <v>59</v>
      </c>
      <c r="BL3578">
        <v>14000</v>
      </c>
      <c r="BM3578" s="1">
        <v>42552</v>
      </c>
      <c r="BN3578" s="1">
        <v>42552</v>
      </c>
      <c r="BO3578" s="1">
        <v>42552</v>
      </c>
      <c r="BP3578" s="1">
        <v>43752</v>
      </c>
      <c r="BQ3578" t="s">
        <v>51</v>
      </c>
      <c r="BS3578" t="s">
        <v>60</v>
      </c>
      <c r="BT3578" t="s">
        <v>54</v>
      </c>
      <c r="BU3578" t="s">
        <v>61</v>
      </c>
      <c r="BV3578" t="s">
        <v>62</v>
      </c>
      <c r="BX3578">
        <v>24</v>
      </c>
      <c r="BY3578">
        <v>0</v>
      </c>
      <c r="BZ3578">
        <v>0</v>
      </c>
    </row>
    <row r="3579" spans="1:99" x14ac:dyDescent="0.2">
      <c r="A3579" t="s">
        <v>367</v>
      </c>
      <c r="B3579" t="s">
        <v>368</v>
      </c>
      <c r="C3579" t="s">
        <v>369</v>
      </c>
      <c r="D3579" t="s">
        <v>1215</v>
      </c>
      <c r="F3579" t="str">
        <f>"139683"</f>
        <v>139683</v>
      </c>
      <c r="G3579" t="s">
        <v>49</v>
      </c>
      <c r="H3579" t="s">
        <v>1612</v>
      </c>
      <c r="K3579" t="s">
        <v>51</v>
      </c>
      <c r="L3579" t="s">
        <v>52</v>
      </c>
      <c r="M3579">
        <v>138149.64000000001</v>
      </c>
      <c r="N3579">
        <v>468121.61</v>
      </c>
      <c r="O3579" t="s">
        <v>53</v>
      </c>
      <c r="P3579" t="s">
        <v>54</v>
      </c>
      <c r="Q3579" t="s">
        <v>55</v>
      </c>
      <c r="T3579" t="s">
        <v>1614</v>
      </c>
      <c r="U3579">
        <v>40</v>
      </c>
      <c r="V3579" s="1">
        <v>35593</v>
      </c>
      <c r="W3579" s="1">
        <v>35593</v>
      </c>
      <c r="X3579" s="1">
        <v>35593</v>
      </c>
      <c r="Y3579" s="1">
        <v>50203</v>
      </c>
      <c r="Z3579" t="s">
        <v>51</v>
      </c>
      <c r="AB3579" t="s">
        <v>54</v>
      </c>
      <c r="AC3579">
        <v>1</v>
      </c>
      <c r="AE3579" t="s">
        <v>1615</v>
      </c>
      <c r="AF3579">
        <v>20</v>
      </c>
      <c r="AG3579" s="1">
        <v>40641</v>
      </c>
      <c r="AH3579" s="1">
        <v>40641</v>
      </c>
      <c r="AI3579" s="1">
        <v>40641</v>
      </c>
      <c r="AJ3579" s="1">
        <v>47946</v>
      </c>
      <c r="AK3579" t="s">
        <v>51</v>
      </c>
      <c r="AN3579">
        <v>0</v>
      </c>
      <c r="AO3579" t="s">
        <v>54</v>
      </c>
      <c r="AP3579" t="s">
        <v>53</v>
      </c>
      <c r="AQ3579">
        <v>0</v>
      </c>
      <c r="AR3579" t="s">
        <v>53</v>
      </c>
      <c r="AS3579">
        <v>0</v>
      </c>
      <c r="AT3579">
        <v>0</v>
      </c>
      <c r="AW3579" t="s">
        <v>58</v>
      </c>
      <c r="AX3579">
        <v>20</v>
      </c>
      <c r="AY3579" s="1">
        <v>40641</v>
      </c>
      <c r="AZ3579" s="1">
        <v>40641</v>
      </c>
      <c r="BA3579" s="1">
        <v>40641</v>
      </c>
      <c r="BB3579" s="1">
        <v>47946</v>
      </c>
      <c r="BC3579" t="s">
        <v>51</v>
      </c>
      <c r="BE3579" t="s">
        <v>54</v>
      </c>
      <c r="BF3579">
        <v>2</v>
      </c>
      <c r="BG3579">
        <v>0</v>
      </c>
      <c r="BH3579" t="s">
        <v>53</v>
      </c>
      <c r="BK3579" t="s">
        <v>65</v>
      </c>
      <c r="BL3579">
        <v>14000</v>
      </c>
      <c r="BM3579" s="1">
        <v>42552</v>
      </c>
      <c r="BN3579" s="1">
        <v>42552</v>
      </c>
      <c r="BO3579" s="1">
        <v>42552</v>
      </c>
      <c r="BP3579" s="1">
        <v>43752</v>
      </c>
      <c r="BQ3579" t="s">
        <v>51</v>
      </c>
      <c r="BS3579" t="s">
        <v>60</v>
      </c>
      <c r="BT3579" t="s">
        <v>54</v>
      </c>
      <c r="BU3579" t="s">
        <v>61</v>
      </c>
      <c r="BV3579" t="s">
        <v>62</v>
      </c>
      <c r="BX3579">
        <v>36</v>
      </c>
      <c r="BY3579">
        <v>0</v>
      </c>
      <c r="BZ3579">
        <v>0</v>
      </c>
    </row>
    <row r="3580" spans="1:99" x14ac:dyDescent="0.2">
      <c r="A3580" t="s">
        <v>367</v>
      </c>
      <c r="B3580" t="s">
        <v>368</v>
      </c>
      <c r="C3580" t="s">
        <v>369</v>
      </c>
      <c r="D3580" t="s">
        <v>1215</v>
      </c>
      <c r="F3580" t="str">
        <f>"139684"</f>
        <v>139684</v>
      </c>
      <c r="G3580" t="s">
        <v>49</v>
      </c>
      <c r="H3580" t="s">
        <v>1612</v>
      </c>
      <c r="K3580" t="s">
        <v>51</v>
      </c>
      <c r="L3580" t="s">
        <v>52</v>
      </c>
      <c r="M3580">
        <v>138139.06</v>
      </c>
      <c r="N3580">
        <v>468120.43</v>
      </c>
      <c r="O3580" t="s">
        <v>53</v>
      </c>
      <c r="P3580" t="s">
        <v>54</v>
      </c>
      <c r="Q3580" t="s">
        <v>55</v>
      </c>
      <c r="T3580" t="s">
        <v>1614</v>
      </c>
      <c r="U3580">
        <v>40</v>
      </c>
      <c r="V3580" s="1">
        <v>35593</v>
      </c>
      <c r="W3580" s="1">
        <v>35593</v>
      </c>
      <c r="X3580" s="1">
        <v>35593</v>
      </c>
      <c r="Y3580" s="1">
        <v>50203</v>
      </c>
      <c r="Z3580" t="s">
        <v>51</v>
      </c>
      <c r="AB3580" t="s">
        <v>54</v>
      </c>
      <c r="AC3580">
        <v>1</v>
      </c>
      <c r="AE3580" t="s">
        <v>1615</v>
      </c>
      <c r="AF3580">
        <v>20</v>
      </c>
      <c r="AG3580" s="1">
        <v>40641</v>
      </c>
      <c r="AH3580" s="1">
        <v>40641</v>
      </c>
      <c r="AI3580" s="1">
        <v>40641</v>
      </c>
      <c r="AJ3580" s="1">
        <v>47946</v>
      </c>
      <c r="AK3580" t="s">
        <v>51</v>
      </c>
      <c r="AN3580">
        <v>0</v>
      </c>
      <c r="AO3580" t="s">
        <v>54</v>
      </c>
      <c r="AP3580" t="s">
        <v>53</v>
      </c>
      <c r="AQ3580">
        <v>0</v>
      </c>
      <c r="AR3580" t="s">
        <v>53</v>
      </c>
      <c r="AS3580">
        <v>0</v>
      </c>
      <c r="AT3580">
        <v>0</v>
      </c>
      <c r="AW3580" t="s">
        <v>58</v>
      </c>
      <c r="AX3580">
        <v>20</v>
      </c>
      <c r="AY3580" s="1">
        <v>40641</v>
      </c>
      <c r="AZ3580" s="1">
        <v>40641</v>
      </c>
      <c r="BA3580" s="1">
        <v>40641</v>
      </c>
      <c r="BB3580" s="1">
        <v>47946</v>
      </c>
      <c r="BC3580" t="s">
        <v>51</v>
      </c>
      <c r="BE3580" t="s">
        <v>54</v>
      </c>
      <c r="BF3580">
        <v>2</v>
      </c>
      <c r="BG3580">
        <v>0</v>
      </c>
      <c r="BH3580" t="s">
        <v>53</v>
      </c>
      <c r="BK3580" t="s">
        <v>65</v>
      </c>
      <c r="BL3580">
        <v>14000</v>
      </c>
      <c r="BM3580" s="1">
        <v>43787</v>
      </c>
      <c r="BN3580" s="1">
        <v>43787</v>
      </c>
      <c r="BO3580" s="1">
        <v>43787</v>
      </c>
      <c r="BP3580" s="1">
        <v>44946</v>
      </c>
      <c r="BQ3580" t="s">
        <v>51</v>
      </c>
      <c r="BS3580" t="s">
        <v>60</v>
      </c>
      <c r="BT3580" t="s">
        <v>54</v>
      </c>
      <c r="BU3580" t="s">
        <v>61</v>
      </c>
      <c r="BV3580" t="s">
        <v>62</v>
      </c>
      <c r="BX3580">
        <v>36</v>
      </c>
      <c r="BY3580">
        <v>0</v>
      </c>
      <c r="BZ3580">
        <v>0</v>
      </c>
    </row>
    <row r="3581" spans="1:99" x14ac:dyDescent="0.2">
      <c r="A3581" t="s">
        <v>367</v>
      </c>
      <c r="B3581" t="s">
        <v>368</v>
      </c>
      <c r="C3581" t="s">
        <v>369</v>
      </c>
      <c r="D3581" t="s">
        <v>1215</v>
      </c>
      <c r="F3581" t="str">
        <f>"139685"</f>
        <v>139685</v>
      </c>
      <c r="G3581" t="s">
        <v>49</v>
      </c>
      <c r="H3581" t="s">
        <v>1612</v>
      </c>
      <c r="K3581" t="s">
        <v>51</v>
      </c>
      <c r="L3581" t="s">
        <v>52</v>
      </c>
      <c r="M3581">
        <v>138128.89000000001</v>
      </c>
      <c r="N3581">
        <v>468119.15</v>
      </c>
      <c r="O3581" t="s">
        <v>53</v>
      </c>
      <c r="P3581" t="s">
        <v>54</v>
      </c>
      <c r="Q3581" t="s">
        <v>55</v>
      </c>
      <c r="T3581" t="s">
        <v>1614</v>
      </c>
      <c r="U3581">
        <v>40</v>
      </c>
      <c r="V3581" s="1">
        <v>35593</v>
      </c>
      <c r="W3581" s="1">
        <v>35593</v>
      </c>
      <c r="X3581" s="1">
        <v>35593</v>
      </c>
      <c r="Y3581" s="1">
        <v>50203</v>
      </c>
      <c r="Z3581" t="s">
        <v>51</v>
      </c>
      <c r="AB3581" t="s">
        <v>54</v>
      </c>
      <c r="AC3581">
        <v>1</v>
      </c>
      <c r="AE3581" t="s">
        <v>1615</v>
      </c>
      <c r="AF3581">
        <v>20</v>
      </c>
      <c r="AG3581" s="1">
        <v>35593</v>
      </c>
      <c r="AH3581" s="1">
        <v>35593</v>
      </c>
      <c r="AI3581" s="1">
        <v>35593</v>
      </c>
      <c r="AJ3581" s="1">
        <v>42898</v>
      </c>
      <c r="AK3581" t="s">
        <v>51</v>
      </c>
      <c r="AN3581">
        <v>0</v>
      </c>
      <c r="AO3581" t="s">
        <v>54</v>
      </c>
      <c r="AP3581" t="s">
        <v>53</v>
      </c>
      <c r="AQ3581">
        <v>0</v>
      </c>
      <c r="AR3581" t="s">
        <v>53</v>
      </c>
      <c r="AS3581">
        <v>0</v>
      </c>
      <c r="AT3581">
        <v>0</v>
      </c>
      <c r="AW3581" t="s">
        <v>58</v>
      </c>
      <c r="AX3581">
        <v>20</v>
      </c>
      <c r="AY3581" s="1">
        <v>35593</v>
      </c>
      <c r="AZ3581" s="1">
        <v>35593</v>
      </c>
      <c r="BA3581" s="1">
        <v>35593</v>
      </c>
      <c r="BB3581" s="1">
        <v>42898</v>
      </c>
      <c r="BC3581" t="s">
        <v>51</v>
      </c>
      <c r="BE3581" t="s">
        <v>54</v>
      </c>
      <c r="BF3581">
        <v>2</v>
      </c>
      <c r="BG3581">
        <v>0</v>
      </c>
      <c r="BH3581" t="s">
        <v>53</v>
      </c>
      <c r="BK3581" t="s">
        <v>65</v>
      </c>
      <c r="BL3581">
        <v>14000</v>
      </c>
      <c r="BM3581" s="1">
        <v>42552</v>
      </c>
      <c r="BN3581" s="1">
        <v>42552</v>
      </c>
      <c r="BO3581" s="1">
        <v>42552</v>
      </c>
      <c r="BP3581" s="1">
        <v>43752</v>
      </c>
      <c r="BQ3581" t="s">
        <v>51</v>
      </c>
      <c r="BS3581" t="s">
        <v>60</v>
      </c>
      <c r="BT3581" t="s">
        <v>54</v>
      </c>
      <c r="BU3581" t="s">
        <v>61</v>
      </c>
      <c r="BV3581" t="s">
        <v>62</v>
      </c>
      <c r="BX3581">
        <v>36</v>
      </c>
      <c r="BY3581">
        <v>0</v>
      </c>
      <c r="BZ3581">
        <v>0</v>
      </c>
    </row>
    <row r="3582" spans="1:99" x14ac:dyDescent="0.2">
      <c r="A3582" t="s">
        <v>367</v>
      </c>
      <c r="B3582" t="s">
        <v>368</v>
      </c>
      <c r="C3582" t="s">
        <v>369</v>
      </c>
      <c r="D3582" t="s">
        <v>1215</v>
      </c>
      <c r="F3582" t="str">
        <f>"139686"</f>
        <v>139686</v>
      </c>
      <c r="G3582" t="s">
        <v>49</v>
      </c>
      <c r="H3582" t="s">
        <v>1612</v>
      </c>
      <c r="K3582" t="s">
        <v>51</v>
      </c>
      <c r="L3582" t="s">
        <v>52</v>
      </c>
      <c r="M3582">
        <v>138127.22</v>
      </c>
      <c r="N3582">
        <v>468129.85</v>
      </c>
      <c r="O3582" t="s">
        <v>53</v>
      </c>
      <c r="P3582" t="s">
        <v>54</v>
      </c>
      <c r="Q3582" t="s">
        <v>55</v>
      </c>
      <c r="T3582" t="s">
        <v>1614</v>
      </c>
      <c r="U3582">
        <v>40</v>
      </c>
      <c r="V3582" s="1">
        <v>35593</v>
      </c>
      <c r="W3582" s="1">
        <v>35593</v>
      </c>
      <c r="X3582" s="1">
        <v>35593</v>
      </c>
      <c r="Y3582" s="1">
        <v>50203</v>
      </c>
      <c r="Z3582" t="s">
        <v>51</v>
      </c>
      <c r="AB3582" t="s">
        <v>54</v>
      </c>
      <c r="AC3582">
        <v>1</v>
      </c>
      <c r="AE3582" t="s">
        <v>1615</v>
      </c>
      <c r="AF3582">
        <v>20</v>
      </c>
      <c r="AG3582" s="1">
        <v>35593</v>
      </c>
      <c r="AH3582" s="1">
        <v>35593</v>
      </c>
      <c r="AI3582" s="1">
        <v>35593</v>
      </c>
      <c r="AJ3582" s="1">
        <v>42898</v>
      </c>
      <c r="AK3582" t="s">
        <v>51</v>
      </c>
      <c r="AN3582">
        <v>0</v>
      </c>
      <c r="AO3582" t="s">
        <v>54</v>
      </c>
      <c r="AP3582" t="s">
        <v>53</v>
      </c>
      <c r="AQ3582">
        <v>0</v>
      </c>
      <c r="AR3582" t="s">
        <v>53</v>
      </c>
      <c r="AS3582">
        <v>0</v>
      </c>
      <c r="AT3582">
        <v>0</v>
      </c>
      <c r="AW3582" t="s">
        <v>58</v>
      </c>
      <c r="AX3582">
        <v>20</v>
      </c>
      <c r="AY3582" s="1">
        <v>35593</v>
      </c>
      <c r="AZ3582" s="1">
        <v>35593</v>
      </c>
      <c r="BA3582" s="1">
        <v>35593</v>
      </c>
      <c r="BB3582" s="1">
        <v>42898</v>
      </c>
      <c r="BC3582" t="s">
        <v>51</v>
      </c>
      <c r="BE3582" t="s">
        <v>54</v>
      </c>
      <c r="BF3582">
        <v>2</v>
      </c>
      <c r="BG3582">
        <v>0</v>
      </c>
      <c r="BH3582" t="s">
        <v>53</v>
      </c>
      <c r="BK3582" t="s">
        <v>65</v>
      </c>
      <c r="BL3582">
        <v>14000</v>
      </c>
      <c r="BM3582" s="1">
        <v>42552</v>
      </c>
      <c r="BN3582" s="1">
        <v>42552</v>
      </c>
      <c r="BO3582" s="1">
        <v>42552</v>
      </c>
      <c r="BP3582" s="1">
        <v>43752</v>
      </c>
      <c r="BQ3582" t="s">
        <v>51</v>
      </c>
      <c r="BS3582" t="s">
        <v>60</v>
      </c>
      <c r="BT3582" t="s">
        <v>54</v>
      </c>
      <c r="BU3582" t="s">
        <v>61</v>
      </c>
      <c r="BV3582" t="s">
        <v>62</v>
      </c>
      <c r="BX3582">
        <v>36</v>
      </c>
      <c r="BY3582">
        <v>0</v>
      </c>
      <c r="BZ3582">
        <v>0</v>
      </c>
    </row>
    <row r="3583" spans="1:99" x14ac:dyDescent="0.2">
      <c r="A3583" t="s">
        <v>367</v>
      </c>
      <c r="B3583" t="s">
        <v>368</v>
      </c>
      <c r="C3583" t="s">
        <v>369</v>
      </c>
      <c r="D3583" t="s">
        <v>1215</v>
      </c>
      <c r="F3583" t="str">
        <f>"139687"</f>
        <v>139687</v>
      </c>
      <c r="G3583" t="s">
        <v>49</v>
      </c>
      <c r="H3583" t="s">
        <v>1612</v>
      </c>
      <c r="K3583" t="s">
        <v>51</v>
      </c>
      <c r="L3583" t="s">
        <v>52</v>
      </c>
      <c r="M3583">
        <v>138126.26</v>
      </c>
      <c r="N3583">
        <v>468140.63</v>
      </c>
      <c r="O3583" t="s">
        <v>53</v>
      </c>
      <c r="P3583" t="s">
        <v>54</v>
      </c>
      <c r="Q3583" t="s">
        <v>55</v>
      </c>
      <c r="T3583" t="s">
        <v>1614</v>
      </c>
      <c r="U3583">
        <v>40</v>
      </c>
      <c r="V3583" s="1">
        <v>35593</v>
      </c>
      <c r="W3583" s="1">
        <v>35593</v>
      </c>
      <c r="X3583" s="1">
        <v>35593</v>
      </c>
      <c r="Y3583" s="1">
        <v>50203</v>
      </c>
      <c r="Z3583" t="s">
        <v>51</v>
      </c>
      <c r="AB3583" t="s">
        <v>54</v>
      </c>
      <c r="AC3583">
        <v>1</v>
      </c>
      <c r="AE3583" t="s">
        <v>1615</v>
      </c>
      <c r="AF3583">
        <v>20</v>
      </c>
      <c r="AG3583" s="1">
        <v>35593</v>
      </c>
      <c r="AH3583" s="1">
        <v>35593</v>
      </c>
      <c r="AI3583" s="1">
        <v>35593</v>
      </c>
      <c r="AJ3583" s="1">
        <v>42898</v>
      </c>
      <c r="AK3583" t="s">
        <v>51</v>
      </c>
      <c r="AN3583">
        <v>0</v>
      </c>
      <c r="AO3583" t="s">
        <v>54</v>
      </c>
      <c r="AP3583" t="s">
        <v>53</v>
      </c>
      <c r="AQ3583">
        <v>0</v>
      </c>
      <c r="AR3583" t="s">
        <v>53</v>
      </c>
      <c r="AS3583">
        <v>0</v>
      </c>
      <c r="AT3583">
        <v>0</v>
      </c>
      <c r="AW3583" t="s">
        <v>58</v>
      </c>
      <c r="AX3583">
        <v>20</v>
      </c>
      <c r="AY3583" s="1">
        <v>35593</v>
      </c>
      <c r="AZ3583" s="1">
        <v>35593</v>
      </c>
      <c r="BA3583" s="1">
        <v>35593</v>
      </c>
      <c r="BB3583" s="1">
        <v>42898</v>
      </c>
      <c r="BC3583" t="s">
        <v>51</v>
      </c>
      <c r="BE3583" t="s">
        <v>54</v>
      </c>
      <c r="BF3583">
        <v>2</v>
      </c>
      <c r="BG3583">
        <v>0</v>
      </c>
      <c r="BH3583" t="s">
        <v>53</v>
      </c>
      <c r="BK3583" t="s">
        <v>65</v>
      </c>
      <c r="BL3583">
        <v>14000</v>
      </c>
      <c r="BM3583" s="1">
        <v>42552</v>
      </c>
      <c r="BN3583" s="1">
        <v>42552</v>
      </c>
      <c r="BO3583" s="1">
        <v>42552</v>
      </c>
      <c r="BP3583" s="1">
        <v>43752</v>
      </c>
      <c r="BQ3583" t="s">
        <v>51</v>
      </c>
      <c r="BS3583" t="s">
        <v>60</v>
      </c>
      <c r="BT3583" t="s">
        <v>54</v>
      </c>
      <c r="BU3583" t="s">
        <v>61</v>
      </c>
      <c r="BV3583" t="s">
        <v>62</v>
      </c>
      <c r="BX3583">
        <v>36</v>
      </c>
      <c r="BY3583">
        <v>0</v>
      </c>
      <c r="BZ3583">
        <v>0</v>
      </c>
    </row>
    <row r="3584" spans="1:99" x14ac:dyDescent="0.2">
      <c r="A3584" t="s">
        <v>367</v>
      </c>
      <c r="B3584" t="s">
        <v>368</v>
      </c>
      <c r="C3584" t="s">
        <v>369</v>
      </c>
      <c r="D3584" t="s">
        <v>1215</v>
      </c>
      <c r="F3584" t="str">
        <f>"139688"</f>
        <v>139688</v>
      </c>
      <c r="G3584" t="s">
        <v>49</v>
      </c>
      <c r="H3584" t="s">
        <v>1612</v>
      </c>
      <c r="K3584" t="s">
        <v>51</v>
      </c>
      <c r="L3584" t="s">
        <v>52</v>
      </c>
      <c r="M3584">
        <v>138124.99</v>
      </c>
      <c r="N3584">
        <v>468151.39</v>
      </c>
      <c r="O3584" t="s">
        <v>53</v>
      </c>
      <c r="P3584" t="s">
        <v>54</v>
      </c>
      <c r="Q3584" t="s">
        <v>55</v>
      </c>
      <c r="T3584" t="s">
        <v>1614</v>
      </c>
      <c r="U3584">
        <v>40</v>
      </c>
      <c r="V3584" s="1">
        <v>35593</v>
      </c>
      <c r="W3584" s="1">
        <v>35593</v>
      </c>
      <c r="X3584" s="1">
        <v>35593</v>
      </c>
      <c r="Y3584" s="1">
        <v>50203</v>
      </c>
      <c r="Z3584" t="s">
        <v>51</v>
      </c>
      <c r="AB3584" t="s">
        <v>54</v>
      </c>
      <c r="AC3584">
        <v>1</v>
      </c>
      <c r="AE3584" t="s">
        <v>1615</v>
      </c>
      <c r="AF3584">
        <v>20</v>
      </c>
      <c r="AG3584" s="1">
        <v>35593</v>
      </c>
      <c r="AH3584" s="1">
        <v>35593</v>
      </c>
      <c r="AI3584" s="1">
        <v>35593</v>
      </c>
      <c r="AJ3584" s="1">
        <v>42898</v>
      </c>
      <c r="AK3584" t="s">
        <v>51</v>
      </c>
      <c r="AN3584">
        <v>0</v>
      </c>
      <c r="AO3584" t="s">
        <v>54</v>
      </c>
      <c r="AP3584" t="s">
        <v>53</v>
      </c>
      <c r="AQ3584">
        <v>0</v>
      </c>
      <c r="AR3584" t="s">
        <v>53</v>
      </c>
      <c r="AS3584">
        <v>0</v>
      </c>
      <c r="AT3584">
        <v>0</v>
      </c>
      <c r="AW3584" t="s">
        <v>58</v>
      </c>
      <c r="AX3584">
        <v>20</v>
      </c>
      <c r="AY3584" s="1">
        <v>35593</v>
      </c>
      <c r="AZ3584" s="1">
        <v>35593</v>
      </c>
      <c r="BA3584" s="1">
        <v>35593</v>
      </c>
      <c r="BB3584" s="1">
        <v>42898</v>
      </c>
      <c r="BC3584" t="s">
        <v>51</v>
      </c>
      <c r="BE3584" t="s">
        <v>54</v>
      </c>
      <c r="BF3584">
        <v>2</v>
      </c>
      <c r="BG3584">
        <v>0</v>
      </c>
      <c r="BH3584" t="s">
        <v>53</v>
      </c>
      <c r="BK3584" t="s">
        <v>65</v>
      </c>
      <c r="BL3584">
        <v>14000</v>
      </c>
      <c r="BM3584" s="1">
        <v>42552</v>
      </c>
      <c r="BN3584" s="1">
        <v>42552</v>
      </c>
      <c r="BO3584" s="1">
        <v>42552</v>
      </c>
      <c r="BP3584" s="1">
        <v>43752</v>
      </c>
      <c r="BQ3584" t="s">
        <v>51</v>
      </c>
      <c r="BS3584" t="s">
        <v>60</v>
      </c>
      <c r="BT3584" t="s">
        <v>54</v>
      </c>
      <c r="BU3584" t="s">
        <v>61</v>
      </c>
      <c r="BV3584" t="s">
        <v>62</v>
      </c>
      <c r="BX3584">
        <v>36</v>
      </c>
      <c r="BY3584">
        <v>0</v>
      </c>
      <c r="BZ3584">
        <v>0</v>
      </c>
    </row>
    <row r="3585" spans="1:99" x14ac:dyDescent="0.2">
      <c r="A3585" t="s">
        <v>367</v>
      </c>
      <c r="B3585" t="s">
        <v>368</v>
      </c>
      <c r="C3585" t="s">
        <v>369</v>
      </c>
      <c r="D3585" t="s">
        <v>1215</v>
      </c>
      <c r="F3585" t="str">
        <f>"139689"</f>
        <v>139689</v>
      </c>
      <c r="G3585" t="s">
        <v>49</v>
      </c>
      <c r="H3585" t="s">
        <v>1616</v>
      </c>
      <c r="K3585" t="s">
        <v>51</v>
      </c>
      <c r="L3585" t="s">
        <v>52</v>
      </c>
      <c r="M3585">
        <v>138120.18</v>
      </c>
      <c r="N3585">
        <v>468099.35</v>
      </c>
      <c r="O3585" t="s">
        <v>53</v>
      </c>
      <c r="P3585" t="s">
        <v>54</v>
      </c>
      <c r="Q3585" t="s">
        <v>55</v>
      </c>
      <c r="T3585" t="s">
        <v>818</v>
      </c>
      <c r="U3585">
        <v>40</v>
      </c>
      <c r="V3585" s="1">
        <v>36558</v>
      </c>
      <c r="W3585" s="1">
        <v>36558</v>
      </c>
      <c r="X3585" s="1">
        <v>36558</v>
      </c>
      <c r="Y3585" s="1">
        <v>51168</v>
      </c>
      <c r="Z3585" t="s">
        <v>51</v>
      </c>
      <c r="AB3585" t="s">
        <v>54</v>
      </c>
      <c r="AC3585">
        <v>1</v>
      </c>
      <c r="AE3585" t="s">
        <v>564</v>
      </c>
      <c r="AF3585">
        <v>20</v>
      </c>
      <c r="AG3585" s="1">
        <v>40407</v>
      </c>
      <c r="AH3585" s="1">
        <v>40407</v>
      </c>
      <c r="AI3585" s="1">
        <v>40407</v>
      </c>
      <c r="AJ3585" s="1">
        <v>47712</v>
      </c>
      <c r="AK3585" t="s">
        <v>51</v>
      </c>
      <c r="AN3585">
        <v>0</v>
      </c>
      <c r="AO3585" t="s">
        <v>54</v>
      </c>
      <c r="AP3585" t="s">
        <v>53</v>
      </c>
      <c r="AQ3585">
        <v>0</v>
      </c>
      <c r="AR3585" t="s">
        <v>53</v>
      </c>
      <c r="AS3585">
        <v>0</v>
      </c>
      <c r="AT3585">
        <v>0</v>
      </c>
      <c r="AW3585" t="s">
        <v>58</v>
      </c>
      <c r="AX3585">
        <v>20</v>
      </c>
      <c r="AY3585" s="1">
        <v>40407</v>
      </c>
      <c r="AZ3585" s="1">
        <v>40407</v>
      </c>
      <c r="BA3585" s="1">
        <v>40407</v>
      </c>
      <c r="BB3585" s="1">
        <v>47712</v>
      </c>
      <c r="BC3585" t="s">
        <v>51</v>
      </c>
      <c r="BE3585" t="s">
        <v>54</v>
      </c>
      <c r="BF3585">
        <v>2</v>
      </c>
      <c r="BG3585">
        <v>0</v>
      </c>
      <c r="BH3585" t="s">
        <v>53</v>
      </c>
      <c r="BK3585" t="s">
        <v>59</v>
      </c>
      <c r="BL3585">
        <v>14000</v>
      </c>
      <c r="BM3585" s="1">
        <v>43787</v>
      </c>
      <c r="BN3585" s="1">
        <v>43787</v>
      </c>
      <c r="BO3585" s="1">
        <v>43787</v>
      </c>
      <c r="BP3585" s="1">
        <v>44946</v>
      </c>
      <c r="BQ3585" t="s">
        <v>51</v>
      </c>
      <c r="BS3585" t="s">
        <v>60</v>
      </c>
      <c r="BT3585" t="s">
        <v>54</v>
      </c>
      <c r="BU3585" t="s">
        <v>61</v>
      </c>
      <c r="BV3585" t="s">
        <v>62</v>
      </c>
      <c r="BX3585">
        <v>24</v>
      </c>
      <c r="BY3585">
        <v>0</v>
      </c>
      <c r="BZ3585">
        <v>0</v>
      </c>
    </row>
    <row r="3586" spans="1:99" x14ac:dyDescent="0.2">
      <c r="A3586" t="s">
        <v>367</v>
      </c>
      <c r="B3586" t="s">
        <v>368</v>
      </c>
      <c r="C3586" t="s">
        <v>369</v>
      </c>
      <c r="D3586" t="s">
        <v>1215</v>
      </c>
      <c r="F3586" t="str">
        <f>"139690"</f>
        <v>139690</v>
      </c>
      <c r="G3586" t="s">
        <v>49</v>
      </c>
      <c r="H3586" t="s">
        <v>1463</v>
      </c>
      <c r="K3586" t="s">
        <v>51</v>
      </c>
      <c r="L3586" t="s">
        <v>52</v>
      </c>
      <c r="M3586">
        <v>138129.42000000001</v>
      </c>
      <c r="N3586">
        <v>468099.59</v>
      </c>
      <c r="O3586" t="s">
        <v>53</v>
      </c>
      <c r="P3586" t="s">
        <v>54</v>
      </c>
      <c r="Q3586" t="s">
        <v>55</v>
      </c>
      <c r="T3586" t="s">
        <v>818</v>
      </c>
      <c r="U3586">
        <v>40</v>
      </c>
      <c r="V3586" s="1">
        <v>36558</v>
      </c>
      <c r="W3586" s="1">
        <v>36558</v>
      </c>
      <c r="X3586" s="1">
        <v>36558</v>
      </c>
      <c r="Y3586" s="1">
        <v>51168</v>
      </c>
      <c r="Z3586" t="s">
        <v>51</v>
      </c>
      <c r="AB3586" t="s">
        <v>54</v>
      </c>
      <c r="AC3586">
        <v>1</v>
      </c>
      <c r="AE3586" t="s">
        <v>564</v>
      </c>
      <c r="AF3586">
        <v>20</v>
      </c>
      <c r="AG3586" s="1">
        <v>40407</v>
      </c>
      <c r="AH3586" s="1">
        <v>40407</v>
      </c>
      <c r="AI3586" s="1">
        <v>40407</v>
      </c>
      <c r="AJ3586" s="1">
        <v>47712</v>
      </c>
      <c r="AK3586" t="s">
        <v>51</v>
      </c>
      <c r="AN3586">
        <v>0</v>
      </c>
      <c r="AO3586" t="s">
        <v>54</v>
      </c>
      <c r="AP3586" t="s">
        <v>53</v>
      </c>
      <c r="AQ3586">
        <v>0</v>
      </c>
      <c r="AR3586" t="s">
        <v>53</v>
      </c>
      <c r="AS3586">
        <v>0</v>
      </c>
      <c r="AT3586">
        <v>0</v>
      </c>
      <c r="AW3586" t="s">
        <v>58</v>
      </c>
      <c r="AX3586">
        <v>20</v>
      </c>
      <c r="AY3586" s="1">
        <v>40407</v>
      </c>
      <c r="AZ3586" s="1">
        <v>40407</v>
      </c>
      <c r="BA3586" s="1">
        <v>40407</v>
      </c>
      <c r="BB3586" s="1">
        <v>47712</v>
      </c>
      <c r="BC3586" t="s">
        <v>51</v>
      </c>
      <c r="BE3586" t="s">
        <v>54</v>
      </c>
      <c r="BF3586">
        <v>2</v>
      </c>
      <c r="BG3586">
        <v>0</v>
      </c>
      <c r="BH3586" t="s">
        <v>53</v>
      </c>
      <c r="BK3586" t="s">
        <v>59</v>
      </c>
      <c r="BL3586">
        <v>14000</v>
      </c>
      <c r="BM3586" s="1">
        <v>42552</v>
      </c>
      <c r="BN3586" s="1">
        <v>42552</v>
      </c>
      <c r="BO3586" s="1">
        <v>42552</v>
      </c>
      <c r="BP3586" s="1">
        <v>43752</v>
      </c>
      <c r="BQ3586" t="s">
        <v>51</v>
      </c>
      <c r="BS3586" t="s">
        <v>60</v>
      </c>
      <c r="BT3586" t="s">
        <v>54</v>
      </c>
      <c r="BU3586" t="s">
        <v>61</v>
      </c>
      <c r="BV3586" t="s">
        <v>62</v>
      </c>
      <c r="BX3586">
        <v>24</v>
      </c>
      <c r="BY3586">
        <v>0</v>
      </c>
      <c r="BZ3586">
        <v>0</v>
      </c>
    </row>
    <row r="3587" spans="1:99" x14ac:dyDescent="0.2">
      <c r="A3587" t="s">
        <v>367</v>
      </c>
      <c r="B3587" t="s">
        <v>368</v>
      </c>
      <c r="C3587" t="s">
        <v>369</v>
      </c>
      <c r="D3587" t="s">
        <v>1215</v>
      </c>
      <c r="F3587" t="str">
        <f>"139691"</f>
        <v>139691</v>
      </c>
      <c r="G3587" t="s">
        <v>49</v>
      </c>
      <c r="H3587" t="s">
        <v>1617</v>
      </c>
      <c r="K3587" t="s">
        <v>51</v>
      </c>
      <c r="L3587" t="s">
        <v>52</v>
      </c>
      <c r="M3587">
        <v>138139.12</v>
      </c>
      <c r="N3587">
        <v>468099.76</v>
      </c>
      <c r="O3587" t="s">
        <v>53</v>
      </c>
      <c r="P3587" t="s">
        <v>54</v>
      </c>
      <c r="Q3587" t="s">
        <v>55</v>
      </c>
      <c r="T3587" t="s">
        <v>818</v>
      </c>
      <c r="U3587">
        <v>40</v>
      </c>
      <c r="V3587" s="1">
        <v>36558</v>
      </c>
      <c r="W3587" s="1">
        <v>36558</v>
      </c>
      <c r="X3587" s="1">
        <v>36558</v>
      </c>
      <c r="Y3587" s="1">
        <v>51168</v>
      </c>
      <c r="Z3587" t="s">
        <v>51</v>
      </c>
      <c r="AB3587" t="s">
        <v>54</v>
      </c>
      <c r="AC3587">
        <v>1</v>
      </c>
      <c r="AE3587" t="s">
        <v>564</v>
      </c>
      <c r="AF3587">
        <v>20</v>
      </c>
      <c r="AG3587" s="1">
        <v>40407</v>
      </c>
      <c r="AH3587" s="1">
        <v>40407</v>
      </c>
      <c r="AI3587" s="1">
        <v>40407</v>
      </c>
      <c r="AJ3587" s="1">
        <v>47712</v>
      </c>
      <c r="AK3587" t="s">
        <v>51</v>
      </c>
      <c r="AN3587">
        <v>0</v>
      </c>
      <c r="AO3587" t="s">
        <v>54</v>
      </c>
      <c r="AP3587" t="s">
        <v>53</v>
      </c>
      <c r="AQ3587">
        <v>0</v>
      </c>
      <c r="AR3587" t="s">
        <v>53</v>
      </c>
      <c r="AS3587">
        <v>0</v>
      </c>
      <c r="AT3587">
        <v>0</v>
      </c>
      <c r="AW3587" t="s">
        <v>58</v>
      </c>
      <c r="AX3587">
        <v>20</v>
      </c>
      <c r="AY3587" s="1">
        <v>40407</v>
      </c>
      <c r="AZ3587" s="1">
        <v>40407</v>
      </c>
      <c r="BA3587" s="1">
        <v>40407</v>
      </c>
      <c r="BB3587" s="1">
        <v>47712</v>
      </c>
      <c r="BC3587" t="s">
        <v>51</v>
      </c>
      <c r="BE3587" t="s">
        <v>54</v>
      </c>
      <c r="BF3587">
        <v>2</v>
      </c>
      <c r="BG3587">
        <v>0</v>
      </c>
      <c r="BH3587" t="s">
        <v>53</v>
      </c>
      <c r="BK3587" t="s">
        <v>59</v>
      </c>
      <c r="BL3587">
        <v>14000</v>
      </c>
      <c r="BM3587" s="1">
        <v>42552</v>
      </c>
      <c r="BN3587" s="1">
        <v>42552</v>
      </c>
      <c r="BO3587" s="1">
        <v>42552</v>
      </c>
      <c r="BP3587" s="1">
        <v>43752</v>
      </c>
      <c r="BQ3587" t="s">
        <v>51</v>
      </c>
      <c r="BS3587" t="s">
        <v>60</v>
      </c>
      <c r="BT3587" t="s">
        <v>54</v>
      </c>
      <c r="BU3587" t="s">
        <v>61</v>
      </c>
      <c r="BV3587" t="s">
        <v>62</v>
      </c>
      <c r="BX3587">
        <v>24</v>
      </c>
      <c r="BY3587">
        <v>0</v>
      </c>
      <c r="BZ3587">
        <v>0</v>
      </c>
    </row>
    <row r="3588" spans="1:99" x14ac:dyDescent="0.2">
      <c r="A3588" t="s">
        <v>367</v>
      </c>
      <c r="B3588" t="s">
        <v>368</v>
      </c>
      <c r="C3588" t="s">
        <v>369</v>
      </c>
      <c r="D3588" t="s">
        <v>1215</v>
      </c>
      <c r="F3588" t="str">
        <f>"139692"</f>
        <v>139692</v>
      </c>
      <c r="G3588" t="s">
        <v>49</v>
      </c>
      <c r="H3588" t="s">
        <v>1464</v>
      </c>
      <c r="K3588" t="s">
        <v>51</v>
      </c>
      <c r="L3588" t="s">
        <v>52</v>
      </c>
      <c r="M3588">
        <v>138148.68</v>
      </c>
      <c r="N3588">
        <v>468099.75</v>
      </c>
      <c r="O3588" t="s">
        <v>53</v>
      </c>
      <c r="P3588" t="s">
        <v>54</v>
      </c>
      <c r="Q3588" t="s">
        <v>55</v>
      </c>
      <c r="T3588" t="s">
        <v>818</v>
      </c>
      <c r="U3588">
        <v>40</v>
      </c>
      <c r="V3588" s="1">
        <v>36558</v>
      </c>
      <c r="W3588" s="1">
        <v>36558</v>
      </c>
      <c r="X3588" s="1">
        <v>36558</v>
      </c>
      <c r="Y3588" s="1">
        <v>51168</v>
      </c>
      <c r="Z3588" t="s">
        <v>51</v>
      </c>
      <c r="AB3588" t="s">
        <v>54</v>
      </c>
      <c r="AC3588">
        <v>1</v>
      </c>
      <c r="AE3588" t="s">
        <v>564</v>
      </c>
      <c r="AF3588">
        <v>20</v>
      </c>
      <c r="AG3588" s="1">
        <v>40407</v>
      </c>
      <c r="AH3588" s="1">
        <v>40407</v>
      </c>
      <c r="AI3588" s="1">
        <v>40407</v>
      </c>
      <c r="AJ3588" s="1">
        <v>47712</v>
      </c>
      <c r="AK3588" t="s">
        <v>51</v>
      </c>
      <c r="AN3588">
        <v>0</v>
      </c>
      <c r="AO3588" t="s">
        <v>54</v>
      </c>
      <c r="AP3588" t="s">
        <v>53</v>
      </c>
      <c r="AQ3588">
        <v>0</v>
      </c>
      <c r="AR3588" t="s">
        <v>53</v>
      </c>
      <c r="AS3588">
        <v>0</v>
      </c>
      <c r="AT3588">
        <v>0</v>
      </c>
      <c r="AW3588" t="s">
        <v>58</v>
      </c>
      <c r="AX3588">
        <v>20</v>
      </c>
      <c r="AY3588" s="1">
        <v>40407</v>
      </c>
      <c r="AZ3588" s="1">
        <v>40407</v>
      </c>
      <c r="BA3588" s="1">
        <v>40407</v>
      </c>
      <c r="BB3588" s="1">
        <v>47712</v>
      </c>
      <c r="BC3588" t="s">
        <v>51</v>
      </c>
      <c r="BE3588" t="s">
        <v>54</v>
      </c>
      <c r="BF3588">
        <v>2</v>
      </c>
      <c r="BG3588">
        <v>0</v>
      </c>
      <c r="BH3588" t="s">
        <v>53</v>
      </c>
      <c r="BK3588" t="s">
        <v>59</v>
      </c>
      <c r="BL3588">
        <v>14000</v>
      </c>
      <c r="BM3588" s="1">
        <v>42552</v>
      </c>
      <c r="BN3588" s="1">
        <v>42552</v>
      </c>
      <c r="BO3588" s="1">
        <v>42552</v>
      </c>
      <c r="BP3588" s="1">
        <v>43752</v>
      </c>
      <c r="BQ3588" t="s">
        <v>51</v>
      </c>
      <c r="BS3588" t="s">
        <v>60</v>
      </c>
      <c r="BT3588" t="s">
        <v>54</v>
      </c>
      <c r="BU3588" t="s">
        <v>61</v>
      </c>
      <c r="BV3588" t="s">
        <v>62</v>
      </c>
      <c r="BX3588">
        <v>24</v>
      </c>
      <c r="BY3588">
        <v>0</v>
      </c>
      <c r="BZ3588">
        <v>0</v>
      </c>
    </row>
    <row r="3589" spans="1:99" x14ac:dyDescent="0.2">
      <c r="A3589" t="s">
        <v>367</v>
      </c>
      <c r="B3589" t="s">
        <v>368</v>
      </c>
      <c r="C3589" t="s">
        <v>369</v>
      </c>
      <c r="D3589" t="s">
        <v>1215</v>
      </c>
      <c r="F3589" t="str">
        <f>"139693"</f>
        <v>139693</v>
      </c>
      <c r="G3589" t="s">
        <v>49</v>
      </c>
      <c r="H3589" t="s">
        <v>1618</v>
      </c>
      <c r="K3589" t="s">
        <v>51</v>
      </c>
      <c r="L3589" t="s">
        <v>52</v>
      </c>
      <c r="M3589">
        <v>138158.24</v>
      </c>
      <c r="N3589">
        <v>468099.96</v>
      </c>
      <c r="O3589" t="s">
        <v>53</v>
      </c>
      <c r="P3589" t="s">
        <v>54</v>
      </c>
      <c r="Q3589" t="s">
        <v>55</v>
      </c>
      <c r="T3589" t="s">
        <v>818</v>
      </c>
      <c r="U3589">
        <v>40</v>
      </c>
      <c r="V3589" s="1">
        <v>36558</v>
      </c>
      <c r="W3589" s="1">
        <v>36558</v>
      </c>
      <c r="X3589" s="1">
        <v>36558</v>
      </c>
      <c r="Y3589" s="1">
        <v>51168</v>
      </c>
      <c r="Z3589" t="s">
        <v>51</v>
      </c>
      <c r="AB3589" t="s">
        <v>54</v>
      </c>
      <c r="AC3589">
        <v>1</v>
      </c>
      <c r="AE3589" t="s">
        <v>1613</v>
      </c>
      <c r="AF3589">
        <v>20</v>
      </c>
      <c r="AG3589" s="1">
        <v>36558</v>
      </c>
      <c r="AH3589" s="1">
        <v>36558</v>
      </c>
      <c r="AI3589" s="1">
        <v>36558</v>
      </c>
      <c r="AJ3589" s="1">
        <v>43863</v>
      </c>
      <c r="AK3589" t="s">
        <v>51</v>
      </c>
      <c r="AN3589">
        <v>0</v>
      </c>
      <c r="AO3589" t="s">
        <v>54</v>
      </c>
      <c r="AP3589" t="s">
        <v>53</v>
      </c>
      <c r="AQ3589">
        <v>0</v>
      </c>
      <c r="AR3589" t="s">
        <v>53</v>
      </c>
      <c r="AS3589">
        <v>0</v>
      </c>
      <c r="AT3589">
        <v>0</v>
      </c>
      <c r="AW3589" t="s">
        <v>58</v>
      </c>
      <c r="AX3589">
        <v>20</v>
      </c>
      <c r="AY3589" s="1">
        <v>36558</v>
      </c>
      <c r="AZ3589" s="1">
        <v>36558</v>
      </c>
      <c r="BA3589" s="1">
        <v>36558</v>
      </c>
      <c r="BB3589" s="1">
        <v>43863</v>
      </c>
      <c r="BC3589" t="s">
        <v>51</v>
      </c>
      <c r="BE3589" t="s">
        <v>54</v>
      </c>
      <c r="BF3589">
        <v>2</v>
      </c>
      <c r="BG3589">
        <v>0</v>
      </c>
      <c r="BH3589" t="s">
        <v>53</v>
      </c>
      <c r="BK3589" t="s">
        <v>227</v>
      </c>
      <c r="BL3589">
        <v>10000</v>
      </c>
      <c r="BM3589" s="1">
        <v>42552</v>
      </c>
      <c r="BN3589" s="1">
        <v>42552</v>
      </c>
      <c r="BO3589" s="1">
        <v>42552</v>
      </c>
      <c r="BP3589" s="1">
        <v>43409</v>
      </c>
      <c r="BQ3589" t="s">
        <v>51</v>
      </c>
      <c r="BS3589" t="s">
        <v>60</v>
      </c>
      <c r="BT3589" t="s">
        <v>54</v>
      </c>
      <c r="BU3589" t="s">
        <v>228</v>
      </c>
      <c r="BV3589" t="s">
        <v>229</v>
      </c>
      <c r="BX3589">
        <v>32</v>
      </c>
      <c r="BY3589">
        <v>0</v>
      </c>
      <c r="BZ3589">
        <v>0</v>
      </c>
    </row>
    <row r="3590" spans="1:99" x14ac:dyDescent="0.2">
      <c r="A3590" t="s">
        <v>367</v>
      </c>
      <c r="B3590" t="s">
        <v>368</v>
      </c>
      <c r="C3590" t="s">
        <v>369</v>
      </c>
      <c r="D3590" t="s">
        <v>1064</v>
      </c>
      <c r="F3590" t="str">
        <f>"139750"</f>
        <v>139750</v>
      </c>
      <c r="G3590" t="s">
        <v>49</v>
      </c>
      <c r="H3590" t="s">
        <v>1250</v>
      </c>
      <c r="K3590" t="s">
        <v>51</v>
      </c>
      <c r="L3590" t="s">
        <v>52</v>
      </c>
      <c r="M3590">
        <v>138155.35999999999</v>
      </c>
      <c r="N3590">
        <v>468204.46</v>
      </c>
      <c r="O3590" t="s">
        <v>53</v>
      </c>
      <c r="P3590" t="s">
        <v>54</v>
      </c>
      <c r="Q3590" t="s">
        <v>55</v>
      </c>
      <c r="T3590" t="s">
        <v>841</v>
      </c>
      <c r="U3590">
        <v>40</v>
      </c>
      <c r="V3590" s="1">
        <v>35538</v>
      </c>
      <c r="W3590" s="1">
        <v>35538</v>
      </c>
      <c r="X3590" s="1">
        <v>35538</v>
      </c>
      <c r="Y3590" s="1">
        <v>50148</v>
      </c>
      <c r="Z3590" t="s">
        <v>51</v>
      </c>
      <c r="AB3590" t="s">
        <v>54</v>
      </c>
      <c r="AC3590">
        <v>1</v>
      </c>
      <c r="AE3590" t="s">
        <v>613</v>
      </c>
      <c r="AF3590">
        <v>20</v>
      </c>
      <c r="AG3590" s="1">
        <v>35538</v>
      </c>
      <c r="AH3590" s="1">
        <v>35538</v>
      </c>
      <c r="AI3590" s="1">
        <v>35538</v>
      </c>
      <c r="AJ3590" s="1">
        <v>42843</v>
      </c>
      <c r="AK3590" t="s">
        <v>51</v>
      </c>
      <c r="AN3590">
        <v>0</v>
      </c>
      <c r="AO3590" t="s">
        <v>54</v>
      </c>
      <c r="AP3590" t="s">
        <v>53</v>
      </c>
      <c r="AQ3590">
        <v>0</v>
      </c>
      <c r="AR3590" t="s">
        <v>53</v>
      </c>
      <c r="AS3590">
        <v>0</v>
      </c>
      <c r="AT3590">
        <v>0</v>
      </c>
      <c r="AW3590" t="s">
        <v>58</v>
      </c>
      <c r="AX3590">
        <v>20</v>
      </c>
      <c r="AY3590" s="1">
        <v>35538</v>
      </c>
      <c r="AZ3590" s="1">
        <v>35538</v>
      </c>
      <c r="BA3590" s="1">
        <v>35538</v>
      </c>
      <c r="BB3590" s="1">
        <v>42843</v>
      </c>
      <c r="BC3590" t="s">
        <v>51</v>
      </c>
      <c r="BE3590" t="s">
        <v>54</v>
      </c>
      <c r="BF3590">
        <v>2</v>
      </c>
      <c r="BG3590">
        <v>0</v>
      </c>
      <c r="BH3590" t="s">
        <v>53</v>
      </c>
      <c r="BK3590" t="s">
        <v>65</v>
      </c>
      <c r="BL3590">
        <v>14000</v>
      </c>
      <c r="BM3590" s="1">
        <v>42552</v>
      </c>
      <c r="BN3590" s="1">
        <v>42552</v>
      </c>
      <c r="BO3590" s="1">
        <v>42552</v>
      </c>
      <c r="BP3590" s="1">
        <v>43752</v>
      </c>
      <c r="BQ3590" t="s">
        <v>51</v>
      </c>
      <c r="BS3590" t="s">
        <v>60</v>
      </c>
      <c r="BT3590" t="s">
        <v>54</v>
      </c>
      <c r="BU3590" t="s">
        <v>61</v>
      </c>
      <c r="BV3590" t="s">
        <v>62</v>
      </c>
      <c r="BX3590">
        <v>36</v>
      </c>
      <c r="BY3590">
        <v>0</v>
      </c>
      <c r="BZ3590">
        <v>0</v>
      </c>
    </row>
    <row r="3591" spans="1:99" x14ac:dyDescent="0.2">
      <c r="A3591" t="s">
        <v>367</v>
      </c>
      <c r="B3591" t="s">
        <v>368</v>
      </c>
      <c r="C3591" t="s">
        <v>369</v>
      </c>
      <c r="D3591" t="s">
        <v>1064</v>
      </c>
      <c r="F3591" t="str">
        <f>"139751"</f>
        <v>139751</v>
      </c>
      <c r="G3591" t="s">
        <v>49</v>
      </c>
      <c r="H3591" t="s">
        <v>1619</v>
      </c>
      <c r="K3591" t="s">
        <v>51</v>
      </c>
      <c r="L3591" t="s">
        <v>52</v>
      </c>
      <c r="M3591">
        <v>138137.62</v>
      </c>
      <c r="N3591">
        <v>468196.86</v>
      </c>
      <c r="O3591" t="s">
        <v>53</v>
      </c>
      <c r="P3591" t="s">
        <v>54</v>
      </c>
      <c r="Q3591" t="s">
        <v>55</v>
      </c>
      <c r="T3591" t="s">
        <v>841</v>
      </c>
      <c r="U3591">
        <v>40</v>
      </c>
      <c r="V3591" s="1">
        <v>35538</v>
      </c>
      <c r="W3591" s="1">
        <v>35538</v>
      </c>
      <c r="X3591" s="1">
        <v>35538</v>
      </c>
      <c r="Y3591" s="1">
        <v>50148</v>
      </c>
      <c r="Z3591" t="s">
        <v>51</v>
      </c>
      <c r="AB3591" t="s">
        <v>54</v>
      </c>
      <c r="AC3591">
        <v>1</v>
      </c>
      <c r="AE3591" t="s">
        <v>613</v>
      </c>
      <c r="AF3591">
        <v>20</v>
      </c>
      <c r="AG3591" s="1">
        <v>35538</v>
      </c>
      <c r="AH3591" s="1">
        <v>35538</v>
      </c>
      <c r="AI3591" s="1">
        <v>35538</v>
      </c>
      <c r="AJ3591" s="1">
        <v>42843</v>
      </c>
      <c r="AK3591" t="s">
        <v>51</v>
      </c>
      <c r="AN3591">
        <v>0</v>
      </c>
      <c r="AO3591" t="s">
        <v>54</v>
      </c>
      <c r="AP3591" t="s">
        <v>53</v>
      </c>
      <c r="AQ3591">
        <v>0</v>
      </c>
      <c r="AR3591" t="s">
        <v>53</v>
      </c>
      <c r="AS3591">
        <v>0</v>
      </c>
      <c r="AT3591">
        <v>0</v>
      </c>
      <c r="AW3591" t="s">
        <v>58</v>
      </c>
      <c r="AX3591">
        <v>20</v>
      </c>
      <c r="AY3591" s="1">
        <v>35538</v>
      </c>
      <c r="AZ3591" s="1">
        <v>35538</v>
      </c>
      <c r="BA3591" s="1">
        <v>35538</v>
      </c>
      <c r="BB3591" s="1">
        <v>42843</v>
      </c>
      <c r="BC3591" t="s">
        <v>51</v>
      </c>
      <c r="BE3591" t="s">
        <v>54</v>
      </c>
      <c r="BF3591">
        <v>2</v>
      </c>
      <c r="BG3591">
        <v>0</v>
      </c>
      <c r="BH3591" t="s">
        <v>53</v>
      </c>
      <c r="BK3591" t="s">
        <v>65</v>
      </c>
      <c r="BL3591">
        <v>14000</v>
      </c>
      <c r="BM3591" s="1">
        <v>44642</v>
      </c>
      <c r="BN3591" s="1">
        <v>44642</v>
      </c>
      <c r="BO3591" s="1">
        <v>44642</v>
      </c>
      <c r="BP3591" s="1">
        <v>45859</v>
      </c>
      <c r="BQ3591" t="s">
        <v>51</v>
      </c>
      <c r="BS3591" t="s">
        <v>60</v>
      </c>
      <c r="BT3591" t="s">
        <v>54</v>
      </c>
      <c r="BU3591" t="s">
        <v>61</v>
      </c>
      <c r="BV3591" t="s">
        <v>62</v>
      </c>
      <c r="BX3591">
        <v>36</v>
      </c>
      <c r="BY3591">
        <v>0</v>
      </c>
      <c r="BZ3591">
        <v>0</v>
      </c>
    </row>
    <row r="3592" spans="1:99" x14ac:dyDescent="0.2">
      <c r="A3592" t="s">
        <v>367</v>
      </c>
      <c r="B3592" t="s">
        <v>368</v>
      </c>
      <c r="C3592" t="s">
        <v>369</v>
      </c>
      <c r="D3592" t="s">
        <v>1064</v>
      </c>
      <c r="F3592" t="str">
        <f>"139752"</f>
        <v>139752</v>
      </c>
      <c r="G3592" t="s">
        <v>49</v>
      </c>
      <c r="H3592" t="s">
        <v>1620</v>
      </c>
      <c r="K3592" t="s">
        <v>51</v>
      </c>
      <c r="L3592" t="s">
        <v>52</v>
      </c>
      <c r="M3592">
        <v>138117.79999999999</v>
      </c>
      <c r="N3592">
        <v>468203.52000000002</v>
      </c>
      <c r="O3592" t="s">
        <v>53</v>
      </c>
      <c r="P3592" t="s">
        <v>54</v>
      </c>
      <c r="Q3592" t="s">
        <v>55</v>
      </c>
      <c r="T3592" t="s">
        <v>841</v>
      </c>
      <c r="U3592">
        <v>40</v>
      </c>
      <c r="V3592" s="1">
        <v>35538</v>
      </c>
      <c r="W3592" s="1">
        <v>35538</v>
      </c>
      <c r="X3592" s="1">
        <v>35538</v>
      </c>
      <c r="Y3592" s="1">
        <v>50148</v>
      </c>
      <c r="Z3592" t="s">
        <v>51</v>
      </c>
      <c r="AB3592" t="s">
        <v>54</v>
      </c>
      <c r="AC3592">
        <v>1</v>
      </c>
      <c r="AE3592" t="s">
        <v>613</v>
      </c>
      <c r="AF3592">
        <v>20</v>
      </c>
      <c r="AG3592" s="1">
        <v>35538</v>
      </c>
      <c r="AH3592" s="1">
        <v>35538</v>
      </c>
      <c r="AI3592" s="1">
        <v>35538</v>
      </c>
      <c r="AJ3592" s="1">
        <v>42843</v>
      </c>
      <c r="AK3592" t="s">
        <v>51</v>
      </c>
      <c r="AN3592">
        <v>0</v>
      </c>
      <c r="AO3592" t="s">
        <v>54</v>
      </c>
      <c r="AP3592" t="s">
        <v>53</v>
      </c>
      <c r="AQ3592">
        <v>0</v>
      </c>
      <c r="AR3592" t="s">
        <v>53</v>
      </c>
      <c r="AS3592">
        <v>0</v>
      </c>
      <c r="AT3592">
        <v>0</v>
      </c>
      <c r="AW3592" t="s">
        <v>58</v>
      </c>
      <c r="AX3592">
        <v>20</v>
      </c>
      <c r="AY3592" s="1">
        <v>44082</v>
      </c>
      <c r="AZ3592" s="1">
        <v>44082</v>
      </c>
      <c r="BA3592" s="1">
        <v>44082</v>
      </c>
      <c r="BB3592" s="1">
        <v>51387</v>
      </c>
      <c r="BC3592" t="s">
        <v>51</v>
      </c>
      <c r="BE3592" t="s">
        <v>54</v>
      </c>
      <c r="BF3592">
        <v>2</v>
      </c>
      <c r="BG3592">
        <v>0</v>
      </c>
      <c r="BH3592" t="s">
        <v>53</v>
      </c>
      <c r="BK3592" t="s">
        <v>65</v>
      </c>
      <c r="BL3592">
        <v>14000</v>
      </c>
      <c r="BM3592" s="1">
        <v>44082</v>
      </c>
      <c r="BN3592" s="1">
        <v>44082</v>
      </c>
      <c r="BO3592" s="1">
        <v>44082</v>
      </c>
      <c r="BP3592" s="1">
        <v>45252</v>
      </c>
      <c r="BQ3592" t="s">
        <v>51</v>
      </c>
      <c r="BS3592" t="s">
        <v>60</v>
      </c>
      <c r="BT3592" t="s">
        <v>54</v>
      </c>
      <c r="BU3592" t="s">
        <v>61</v>
      </c>
      <c r="BV3592" t="s">
        <v>62</v>
      </c>
      <c r="BX3592">
        <v>36</v>
      </c>
      <c r="BY3592">
        <v>0</v>
      </c>
      <c r="BZ3592">
        <v>0</v>
      </c>
    </row>
    <row r="3593" spans="1:99" x14ac:dyDescent="0.2">
      <c r="A3593" t="s">
        <v>367</v>
      </c>
      <c r="B3593" t="s">
        <v>368</v>
      </c>
      <c r="C3593" t="s">
        <v>369</v>
      </c>
      <c r="D3593" t="s">
        <v>1063</v>
      </c>
      <c r="F3593" t="str">
        <f>"139753"</f>
        <v>139753</v>
      </c>
      <c r="G3593" t="s">
        <v>49</v>
      </c>
      <c r="H3593" t="s">
        <v>1537</v>
      </c>
      <c r="K3593" t="s">
        <v>51</v>
      </c>
      <c r="L3593" t="s">
        <v>52</v>
      </c>
      <c r="M3593">
        <v>138110.28</v>
      </c>
      <c r="N3593">
        <v>468134.18</v>
      </c>
      <c r="O3593" t="s">
        <v>53</v>
      </c>
      <c r="P3593" t="s">
        <v>54</v>
      </c>
      <c r="Q3593" t="s">
        <v>55</v>
      </c>
      <c r="T3593" t="s">
        <v>841</v>
      </c>
      <c r="U3593">
        <v>40</v>
      </c>
      <c r="V3593" s="1">
        <v>35538</v>
      </c>
      <c r="W3593" s="1">
        <v>35538</v>
      </c>
      <c r="X3593" s="1">
        <v>35538</v>
      </c>
      <c r="Y3593" s="1">
        <v>50148</v>
      </c>
      <c r="Z3593" t="s">
        <v>51</v>
      </c>
      <c r="AB3593" t="s">
        <v>54</v>
      </c>
      <c r="AC3593">
        <v>1</v>
      </c>
      <c r="AE3593" t="s">
        <v>613</v>
      </c>
      <c r="AF3593">
        <v>20</v>
      </c>
      <c r="AG3593" s="1">
        <v>35538</v>
      </c>
      <c r="AH3593" s="1">
        <v>35538</v>
      </c>
      <c r="AI3593" s="1">
        <v>35538</v>
      </c>
      <c r="AJ3593" s="1">
        <v>42843</v>
      </c>
      <c r="AK3593" t="s">
        <v>51</v>
      </c>
      <c r="AN3593">
        <v>0</v>
      </c>
      <c r="AO3593" t="s">
        <v>54</v>
      </c>
      <c r="AP3593" t="s">
        <v>53</v>
      </c>
      <c r="AQ3593">
        <v>0</v>
      </c>
      <c r="AR3593" t="s">
        <v>53</v>
      </c>
      <c r="AS3593">
        <v>0</v>
      </c>
      <c r="AT3593">
        <v>0</v>
      </c>
      <c r="AW3593" t="s">
        <v>58</v>
      </c>
      <c r="AX3593">
        <v>20</v>
      </c>
      <c r="AY3593" s="1">
        <v>35538</v>
      </c>
      <c r="AZ3593" s="1">
        <v>35538</v>
      </c>
      <c r="BA3593" s="1">
        <v>35538</v>
      </c>
      <c r="BB3593" s="1">
        <v>42843</v>
      </c>
      <c r="BC3593" t="s">
        <v>51</v>
      </c>
      <c r="BE3593" t="s">
        <v>54</v>
      </c>
      <c r="BF3593">
        <v>2</v>
      </c>
      <c r="BG3593">
        <v>0</v>
      </c>
      <c r="BH3593" t="s">
        <v>53</v>
      </c>
      <c r="BK3593" t="s">
        <v>65</v>
      </c>
      <c r="BL3593">
        <v>14000</v>
      </c>
      <c r="BM3593" s="1">
        <v>42552</v>
      </c>
      <c r="BN3593" s="1">
        <v>42552</v>
      </c>
      <c r="BO3593" s="1">
        <v>42552</v>
      </c>
      <c r="BP3593" s="1">
        <v>43752</v>
      </c>
      <c r="BQ3593" t="s">
        <v>51</v>
      </c>
      <c r="BS3593" t="s">
        <v>60</v>
      </c>
      <c r="BT3593" t="s">
        <v>54</v>
      </c>
      <c r="BU3593" t="s">
        <v>61</v>
      </c>
      <c r="BV3593" t="s">
        <v>62</v>
      </c>
      <c r="BX3593">
        <v>36</v>
      </c>
      <c r="BY3593">
        <v>0</v>
      </c>
      <c r="BZ3593">
        <v>0</v>
      </c>
    </row>
    <row r="3594" spans="1:99" x14ac:dyDescent="0.2">
      <c r="A3594" t="s">
        <v>367</v>
      </c>
      <c r="B3594" t="s">
        <v>368</v>
      </c>
      <c r="C3594" t="s">
        <v>369</v>
      </c>
      <c r="D3594" t="s">
        <v>1063</v>
      </c>
      <c r="F3594" t="str">
        <f>"139754"</f>
        <v>139754</v>
      </c>
      <c r="G3594" t="s">
        <v>49</v>
      </c>
      <c r="H3594" t="s">
        <v>1621</v>
      </c>
      <c r="K3594" t="s">
        <v>51</v>
      </c>
      <c r="L3594" t="s">
        <v>52</v>
      </c>
      <c r="M3594">
        <v>138116.17000000001</v>
      </c>
      <c r="N3594">
        <v>468158.88</v>
      </c>
      <c r="O3594" t="s">
        <v>53</v>
      </c>
      <c r="P3594" t="s">
        <v>54</v>
      </c>
      <c r="Q3594" t="s">
        <v>55</v>
      </c>
      <c r="T3594" t="s">
        <v>841</v>
      </c>
      <c r="U3594">
        <v>40</v>
      </c>
      <c r="V3594" s="1">
        <v>35538</v>
      </c>
      <c r="W3594" s="1">
        <v>35538</v>
      </c>
      <c r="X3594" s="1">
        <v>35538</v>
      </c>
      <c r="Y3594" s="1">
        <v>50148</v>
      </c>
      <c r="Z3594" t="s">
        <v>51</v>
      </c>
      <c r="AB3594" t="s">
        <v>54</v>
      </c>
      <c r="AC3594">
        <v>1</v>
      </c>
      <c r="AE3594" t="s">
        <v>613</v>
      </c>
      <c r="AF3594">
        <v>20</v>
      </c>
      <c r="AG3594" s="1">
        <v>35538</v>
      </c>
      <c r="AH3594" s="1">
        <v>35538</v>
      </c>
      <c r="AI3594" s="1">
        <v>35538</v>
      </c>
      <c r="AJ3594" s="1">
        <v>42843</v>
      </c>
      <c r="AK3594" t="s">
        <v>51</v>
      </c>
      <c r="AN3594">
        <v>0</v>
      </c>
      <c r="AO3594" t="s">
        <v>54</v>
      </c>
      <c r="AP3594" t="s">
        <v>53</v>
      </c>
      <c r="AQ3594">
        <v>0</v>
      </c>
      <c r="AR3594" t="s">
        <v>53</v>
      </c>
      <c r="AS3594">
        <v>0</v>
      </c>
      <c r="AT3594">
        <v>0</v>
      </c>
      <c r="AW3594" t="s">
        <v>58</v>
      </c>
      <c r="AX3594">
        <v>20</v>
      </c>
      <c r="AY3594" s="1">
        <v>35538</v>
      </c>
      <c r="AZ3594" s="1">
        <v>35538</v>
      </c>
      <c r="BA3594" s="1">
        <v>35538</v>
      </c>
      <c r="BB3594" s="1">
        <v>42843</v>
      </c>
      <c r="BC3594" t="s">
        <v>51</v>
      </c>
      <c r="BE3594" t="s">
        <v>54</v>
      </c>
      <c r="BF3594">
        <v>2</v>
      </c>
      <c r="BG3594">
        <v>0</v>
      </c>
      <c r="BH3594" t="s">
        <v>53</v>
      </c>
      <c r="BK3594" t="s">
        <v>65</v>
      </c>
      <c r="BL3594">
        <v>14000</v>
      </c>
      <c r="BM3594" s="1">
        <v>42552</v>
      </c>
      <c r="BN3594" s="1">
        <v>42552</v>
      </c>
      <c r="BO3594" s="1">
        <v>42552</v>
      </c>
      <c r="BP3594" s="1">
        <v>43752</v>
      </c>
      <c r="BQ3594" t="s">
        <v>51</v>
      </c>
      <c r="BS3594" t="s">
        <v>60</v>
      </c>
      <c r="BT3594" t="s">
        <v>54</v>
      </c>
      <c r="BU3594" t="s">
        <v>61</v>
      </c>
      <c r="BV3594" t="s">
        <v>62</v>
      </c>
      <c r="BX3594">
        <v>36</v>
      </c>
      <c r="BY3594">
        <v>0</v>
      </c>
      <c r="BZ3594">
        <v>0</v>
      </c>
    </row>
    <row r="3595" spans="1:99" x14ac:dyDescent="0.2">
      <c r="A3595" t="s">
        <v>367</v>
      </c>
      <c r="B3595" t="s">
        <v>368</v>
      </c>
      <c r="C3595" t="s">
        <v>369</v>
      </c>
      <c r="D3595" t="s">
        <v>1063</v>
      </c>
      <c r="F3595" t="str">
        <f>"139755"</f>
        <v>139755</v>
      </c>
      <c r="G3595" t="s">
        <v>49</v>
      </c>
      <c r="H3595" t="s">
        <v>1622</v>
      </c>
      <c r="K3595" t="s">
        <v>51</v>
      </c>
      <c r="L3595" t="s">
        <v>52</v>
      </c>
      <c r="M3595">
        <v>138102.35</v>
      </c>
      <c r="N3595">
        <v>468186.6</v>
      </c>
      <c r="O3595" t="s">
        <v>53</v>
      </c>
      <c r="P3595" t="s">
        <v>54</v>
      </c>
      <c r="Q3595" t="s">
        <v>55</v>
      </c>
      <c r="T3595" t="s">
        <v>841</v>
      </c>
      <c r="U3595">
        <v>40</v>
      </c>
      <c r="V3595" s="1">
        <v>35538</v>
      </c>
      <c r="W3595" s="1">
        <v>35538</v>
      </c>
      <c r="X3595" s="1">
        <v>35538</v>
      </c>
      <c r="Y3595" s="1">
        <v>50148</v>
      </c>
      <c r="Z3595" t="s">
        <v>51</v>
      </c>
      <c r="AB3595" t="s">
        <v>54</v>
      </c>
      <c r="AC3595">
        <v>1</v>
      </c>
      <c r="AE3595" t="s">
        <v>613</v>
      </c>
      <c r="AF3595">
        <v>20</v>
      </c>
      <c r="AG3595" s="1">
        <v>35538</v>
      </c>
      <c r="AH3595" s="1">
        <v>35538</v>
      </c>
      <c r="AI3595" s="1">
        <v>35538</v>
      </c>
      <c r="AJ3595" s="1">
        <v>42843</v>
      </c>
      <c r="AK3595" t="s">
        <v>51</v>
      </c>
      <c r="AN3595">
        <v>0</v>
      </c>
      <c r="AO3595" t="s">
        <v>54</v>
      </c>
      <c r="AP3595" t="s">
        <v>53</v>
      </c>
      <c r="AQ3595">
        <v>0</v>
      </c>
      <c r="AR3595" t="s">
        <v>53</v>
      </c>
      <c r="AS3595">
        <v>0</v>
      </c>
      <c r="AT3595">
        <v>0</v>
      </c>
      <c r="AW3595" t="s">
        <v>58</v>
      </c>
      <c r="AX3595">
        <v>20</v>
      </c>
      <c r="AY3595" s="1">
        <v>35538</v>
      </c>
      <c r="AZ3595" s="1">
        <v>35538</v>
      </c>
      <c r="BA3595" s="1">
        <v>35538</v>
      </c>
      <c r="BB3595" s="1">
        <v>42843</v>
      </c>
      <c r="BC3595" t="s">
        <v>51</v>
      </c>
      <c r="BE3595" t="s">
        <v>54</v>
      </c>
      <c r="BF3595">
        <v>2</v>
      </c>
      <c r="BG3595">
        <v>0</v>
      </c>
      <c r="BH3595" t="s">
        <v>53</v>
      </c>
      <c r="BK3595" t="s">
        <v>65</v>
      </c>
      <c r="BL3595">
        <v>14000</v>
      </c>
      <c r="BM3595" s="1">
        <v>42552</v>
      </c>
      <c r="BN3595" s="1">
        <v>42552</v>
      </c>
      <c r="BO3595" s="1">
        <v>42552</v>
      </c>
      <c r="BP3595" s="1">
        <v>43752</v>
      </c>
      <c r="BQ3595" t="s">
        <v>51</v>
      </c>
      <c r="BS3595" t="s">
        <v>60</v>
      </c>
      <c r="BT3595" t="s">
        <v>54</v>
      </c>
      <c r="BU3595" t="s">
        <v>61</v>
      </c>
      <c r="BV3595" t="s">
        <v>62</v>
      </c>
      <c r="BX3595">
        <v>36</v>
      </c>
      <c r="BY3595">
        <v>0</v>
      </c>
      <c r="BZ3595">
        <v>0</v>
      </c>
    </row>
    <row r="3596" spans="1:99" x14ac:dyDescent="0.2">
      <c r="A3596" t="s">
        <v>367</v>
      </c>
      <c r="B3596" t="s">
        <v>368</v>
      </c>
      <c r="C3596" t="s">
        <v>369</v>
      </c>
      <c r="D3596" t="s">
        <v>1063</v>
      </c>
      <c r="F3596" t="str">
        <f>"139756"</f>
        <v>139756</v>
      </c>
      <c r="G3596" t="s">
        <v>49</v>
      </c>
      <c r="H3596" t="s">
        <v>1623</v>
      </c>
      <c r="K3596" t="s">
        <v>51</v>
      </c>
      <c r="L3596" t="s">
        <v>52</v>
      </c>
      <c r="M3596">
        <v>138121.01999999999</v>
      </c>
      <c r="N3596">
        <v>468111.77</v>
      </c>
      <c r="O3596" t="s">
        <v>53</v>
      </c>
      <c r="P3596" t="s">
        <v>54</v>
      </c>
      <c r="Q3596" t="s">
        <v>55</v>
      </c>
      <c r="T3596" t="s">
        <v>841</v>
      </c>
      <c r="U3596">
        <v>40</v>
      </c>
      <c r="V3596" s="1">
        <v>35552</v>
      </c>
      <c r="W3596" s="1">
        <v>35552</v>
      </c>
      <c r="X3596" s="1">
        <v>35552</v>
      </c>
      <c r="Y3596" s="1">
        <v>50162</v>
      </c>
      <c r="Z3596" t="s">
        <v>51</v>
      </c>
      <c r="AB3596" t="s">
        <v>54</v>
      </c>
      <c r="AC3596">
        <v>1</v>
      </c>
      <c r="AE3596" t="s">
        <v>613</v>
      </c>
      <c r="AF3596">
        <v>20</v>
      </c>
      <c r="AG3596" s="1">
        <v>35552</v>
      </c>
      <c r="AH3596" s="1">
        <v>35552</v>
      </c>
      <c r="AI3596" s="1">
        <v>35552</v>
      </c>
      <c r="AJ3596" s="1">
        <v>42857</v>
      </c>
      <c r="AK3596" t="s">
        <v>51</v>
      </c>
      <c r="AN3596">
        <v>0</v>
      </c>
      <c r="AO3596" t="s">
        <v>54</v>
      </c>
      <c r="AP3596" t="s">
        <v>53</v>
      </c>
      <c r="AQ3596">
        <v>0</v>
      </c>
      <c r="AR3596" t="s">
        <v>53</v>
      </c>
      <c r="AS3596">
        <v>0</v>
      </c>
      <c r="AT3596">
        <v>0</v>
      </c>
      <c r="AW3596" t="s">
        <v>58</v>
      </c>
      <c r="AX3596">
        <v>20</v>
      </c>
      <c r="AY3596" s="1">
        <v>43801</v>
      </c>
      <c r="AZ3596" s="1">
        <v>43801</v>
      </c>
      <c r="BA3596" s="1">
        <v>43801</v>
      </c>
      <c r="BB3596" s="1">
        <v>51106</v>
      </c>
      <c r="BC3596" t="s">
        <v>51</v>
      </c>
      <c r="BE3596" t="s">
        <v>54</v>
      </c>
      <c r="BF3596">
        <v>2</v>
      </c>
      <c r="BG3596">
        <v>0</v>
      </c>
      <c r="BH3596" t="s">
        <v>53</v>
      </c>
      <c r="BK3596" t="s">
        <v>65</v>
      </c>
      <c r="BL3596">
        <v>14000</v>
      </c>
      <c r="BM3596" s="1">
        <v>43801</v>
      </c>
      <c r="BN3596" s="1">
        <v>43801</v>
      </c>
      <c r="BO3596" s="1">
        <v>43801</v>
      </c>
      <c r="BP3596" s="1">
        <v>44961</v>
      </c>
      <c r="BQ3596" t="s">
        <v>51</v>
      </c>
      <c r="BS3596" t="s">
        <v>60</v>
      </c>
      <c r="BT3596" t="s">
        <v>54</v>
      </c>
      <c r="BU3596" t="s">
        <v>61</v>
      </c>
      <c r="BV3596" t="s">
        <v>62</v>
      </c>
      <c r="BX3596">
        <v>36</v>
      </c>
      <c r="BY3596">
        <v>0</v>
      </c>
      <c r="BZ3596">
        <v>0</v>
      </c>
    </row>
    <row r="3597" spans="1:99" x14ac:dyDescent="0.2">
      <c r="A3597" t="s">
        <v>367</v>
      </c>
      <c r="B3597" t="s">
        <v>368</v>
      </c>
      <c r="C3597" t="s">
        <v>369</v>
      </c>
      <c r="D3597" t="s">
        <v>1215</v>
      </c>
      <c r="F3597" t="str">
        <f>"139757"</f>
        <v>139757</v>
      </c>
      <c r="G3597" t="s">
        <v>49</v>
      </c>
      <c r="H3597" t="s">
        <v>1624</v>
      </c>
      <c r="K3597" t="s">
        <v>51</v>
      </c>
      <c r="L3597" t="s">
        <v>52</v>
      </c>
      <c r="M3597">
        <v>138103.94</v>
      </c>
      <c r="N3597">
        <v>468101.41</v>
      </c>
      <c r="O3597" t="s">
        <v>53</v>
      </c>
      <c r="P3597" t="s">
        <v>54</v>
      </c>
      <c r="Q3597" t="s">
        <v>55</v>
      </c>
      <c r="T3597" t="s">
        <v>841</v>
      </c>
      <c r="U3597">
        <v>40</v>
      </c>
      <c r="V3597" s="1">
        <v>35557</v>
      </c>
      <c r="W3597" s="1">
        <v>35557</v>
      </c>
      <c r="X3597" s="1">
        <v>35557</v>
      </c>
      <c r="Y3597" s="1">
        <v>50167</v>
      </c>
      <c r="Z3597" t="s">
        <v>51</v>
      </c>
      <c r="AB3597" t="s">
        <v>54</v>
      </c>
      <c r="AC3597">
        <v>1</v>
      </c>
      <c r="AE3597" t="s">
        <v>613</v>
      </c>
      <c r="AF3597">
        <v>20</v>
      </c>
      <c r="AG3597" s="1">
        <v>35557</v>
      </c>
      <c r="AH3597" s="1">
        <v>35557</v>
      </c>
      <c r="AI3597" s="1">
        <v>35557</v>
      </c>
      <c r="AJ3597" s="1">
        <v>42862</v>
      </c>
      <c r="AK3597" t="s">
        <v>51</v>
      </c>
      <c r="AN3597">
        <v>0</v>
      </c>
      <c r="AO3597" t="s">
        <v>54</v>
      </c>
      <c r="AP3597" t="s">
        <v>53</v>
      </c>
      <c r="AQ3597">
        <v>0</v>
      </c>
      <c r="AR3597" t="s">
        <v>53</v>
      </c>
      <c r="AS3597">
        <v>0</v>
      </c>
      <c r="AT3597">
        <v>0</v>
      </c>
      <c r="AW3597" t="s">
        <v>58</v>
      </c>
      <c r="AX3597">
        <v>20</v>
      </c>
      <c r="AY3597" s="1">
        <v>35557</v>
      </c>
      <c r="AZ3597" s="1">
        <v>35557</v>
      </c>
      <c r="BA3597" s="1">
        <v>35557</v>
      </c>
      <c r="BB3597" s="1">
        <v>42862</v>
      </c>
      <c r="BC3597" t="s">
        <v>51</v>
      </c>
      <c r="BE3597" t="s">
        <v>54</v>
      </c>
      <c r="BF3597">
        <v>2</v>
      </c>
      <c r="BG3597">
        <v>0</v>
      </c>
      <c r="BH3597" t="s">
        <v>53</v>
      </c>
      <c r="BK3597" t="s">
        <v>65</v>
      </c>
      <c r="BL3597">
        <v>14000</v>
      </c>
      <c r="BM3597" s="1">
        <v>42552</v>
      </c>
      <c r="BN3597" s="1">
        <v>42552</v>
      </c>
      <c r="BO3597" s="1">
        <v>42552</v>
      </c>
      <c r="BP3597" s="1">
        <v>43752</v>
      </c>
      <c r="BQ3597" t="s">
        <v>51</v>
      </c>
      <c r="BS3597" t="s">
        <v>60</v>
      </c>
      <c r="BT3597" t="s">
        <v>54</v>
      </c>
      <c r="BU3597" t="s">
        <v>61</v>
      </c>
      <c r="BV3597" t="s">
        <v>62</v>
      </c>
      <c r="BX3597">
        <v>36</v>
      </c>
      <c r="BY3597">
        <v>0</v>
      </c>
      <c r="BZ3597">
        <v>0</v>
      </c>
    </row>
    <row r="3598" spans="1:99" x14ac:dyDescent="0.2">
      <c r="A3598" t="s">
        <v>367</v>
      </c>
      <c r="B3598" t="s">
        <v>368</v>
      </c>
      <c r="C3598" t="s">
        <v>369</v>
      </c>
      <c r="D3598" t="s">
        <v>1261</v>
      </c>
      <c r="F3598" t="str">
        <f>"147003"</f>
        <v>147003</v>
      </c>
      <c r="G3598" t="s">
        <v>49</v>
      </c>
      <c r="H3598" t="s">
        <v>1625</v>
      </c>
      <c r="K3598" t="s">
        <v>51</v>
      </c>
      <c r="L3598" t="s">
        <v>52</v>
      </c>
      <c r="M3598">
        <v>138000.74</v>
      </c>
      <c r="N3598">
        <v>468363.31</v>
      </c>
      <c r="O3598" t="s">
        <v>53</v>
      </c>
      <c r="P3598" t="s">
        <v>54</v>
      </c>
      <c r="Q3598" t="s">
        <v>55</v>
      </c>
      <c r="T3598" t="s">
        <v>841</v>
      </c>
      <c r="U3598">
        <v>40</v>
      </c>
      <c r="V3598" s="1">
        <v>36059</v>
      </c>
      <c r="W3598" s="1">
        <v>36059</v>
      </c>
      <c r="X3598" s="1">
        <v>36059</v>
      </c>
      <c r="Y3598" s="1">
        <v>50669</v>
      </c>
      <c r="Z3598" t="s">
        <v>51</v>
      </c>
      <c r="AB3598" t="s">
        <v>54</v>
      </c>
      <c r="AC3598">
        <v>1</v>
      </c>
      <c r="AE3598" t="s">
        <v>57</v>
      </c>
      <c r="AF3598">
        <v>20</v>
      </c>
      <c r="AG3598" s="1">
        <v>36059</v>
      </c>
      <c r="AH3598" s="1">
        <v>36059</v>
      </c>
      <c r="AI3598" s="1">
        <v>36059</v>
      </c>
      <c r="AJ3598" s="1">
        <v>43364</v>
      </c>
      <c r="AK3598" t="s">
        <v>51</v>
      </c>
      <c r="AN3598">
        <v>0</v>
      </c>
      <c r="AO3598" t="s">
        <v>54</v>
      </c>
      <c r="AP3598" t="s">
        <v>53</v>
      </c>
      <c r="AQ3598">
        <v>0</v>
      </c>
      <c r="AR3598" t="s">
        <v>53</v>
      </c>
      <c r="AS3598">
        <v>0</v>
      </c>
      <c r="AT3598">
        <v>0</v>
      </c>
      <c r="CC3598" t="s">
        <v>432</v>
      </c>
      <c r="CD3598">
        <v>85000</v>
      </c>
      <c r="CE3598" s="1">
        <v>42552</v>
      </c>
      <c r="CF3598" s="1">
        <v>42552</v>
      </c>
      <c r="CG3598" s="1">
        <v>42552</v>
      </c>
      <c r="CH3598" s="1">
        <v>49714</v>
      </c>
      <c r="CI3598" t="s">
        <v>51</v>
      </c>
      <c r="CK3598" t="s">
        <v>78</v>
      </c>
      <c r="CM3598" t="s">
        <v>54</v>
      </c>
      <c r="CN3598" t="s">
        <v>174</v>
      </c>
      <c r="CO3598" t="s">
        <v>86</v>
      </c>
      <c r="CR3598">
        <v>24</v>
      </c>
      <c r="CS3598">
        <v>0</v>
      </c>
      <c r="CT3598">
        <v>0</v>
      </c>
      <c r="CU3598">
        <v>0</v>
      </c>
    </row>
    <row r="3599" spans="1:99" x14ac:dyDescent="0.2">
      <c r="A3599" t="s">
        <v>367</v>
      </c>
      <c r="B3599" t="s">
        <v>368</v>
      </c>
      <c r="C3599" t="s">
        <v>369</v>
      </c>
      <c r="D3599" t="s">
        <v>1261</v>
      </c>
      <c r="F3599" t="str">
        <f>"147004"</f>
        <v>147004</v>
      </c>
      <c r="G3599" t="s">
        <v>49</v>
      </c>
      <c r="H3599" t="s">
        <v>1625</v>
      </c>
      <c r="K3599" t="s">
        <v>51</v>
      </c>
      <c r="L3599" t="s">
        <v>52</v>
      </c>
      <c r="M3599">
        <v>137998.26999999999</v>
      </c>
      <c r="N3599">
        <v>468379.02</v>
      </c>
      <c r="O3599" t="s">
        <v>53</v>
      </c>
      <c r="P3599" t="s">
        <v>54</v>
      </c>
      <c r="Q3599" t="s">
        <v>55</v>
      </c>
      <c r="T3599" t="s">
        <v>841</v>
      </c>
      <c r="U3599">
        <v>40</v>
      </c>
      <c r="V3599" s="1">
        <v>36059</v>
      </c>
      <c r="W3599" s="1">
        <v>36059</v>
      </c>
      <c r="X3599" s="1">
        <v>36059</v>
      </c>
      <c r="Y3599" s="1">
        <v>50669</v>
      </c>
      <c r="Z3599" t="s">
        <v>51</v>
      </c>
      <c r="AB3599" t="s">
        <v>54</v>
      </c>
      <c r="AC3599">
        <v>1</v>
      </c>
      <c r="AE3599" t="s">
        <v>57</v>
      </c>
      <c r="AF3599">
        <v>20</v>
      </c>
      <c r="AG3599" s="1">
        <v>36059</v>
      </c>
      <c r="AH3599" s="1">
        <v>36059</v>
      </c>
      <c r="AI3599" s="1">
        <v>36059</v>
      </c>
      <c r="AJ3599" s="1">
        <v>43364</v>
      </c>
      <c r="AK3599" t="s">
        <v>51</v>
      </c>
      <c r="AN3599">
        <v>0</v>
      </c>
      <c r="AO3599" t="s">
        <v>54</v>
      </c>
      <c r="AP3599" t="s">
        <v>53</v>
      </c>
      <c r="AQ3599">
        <v>0</v>
      </c>
      <c r="AR3599" t="s">
        <v>53</v>
      </c>
      <c r="AS3599">
        <v>0</v>
      </c>
      <c r="AT3599">
        <v>0</v>
      </c>
      <c r="CC3599" t="s">
        <v>432</v>
      </c>
      <c r="CD3599">
        <v>85000</v>
      </c>
      <c r="CE3599" s="1">
        <v>42552</v>
      </c>
      <c r="CF3599" s="1">
        <v>42552</v>
      </c>
      <c r="CG3599" s="1">
        <v>42552</v>
      </c>
      <c r="CH3599" s="1">
        <v>49714</v>
      </c>
      <c r="CI3599" t="s">
        <v>51</v>
      </c>
      <c r="CK3599" t="s">
        <v>78</v>
      </c>
      <c r="CM3599" t="s">
        <v>54</v>
      </c>
      <c r="CN3599" t="s">
        <v>174</v>
      </c>
      <c r="CO3599" t="s">
        <v>86</v>
      </c>
      <c r="CR3599">
        <v>24</v>
      </c>
      <c r="CS3599">
        <v>0</v>
      </c>
      <c r="CT3599">
        <v>0</v>
      </c>
      <c r="CU3599">
        <v>0</v>
      </c>
    </row>
    <row r="3600" spans="1:99" x14ac:dyDescent="0.2">
      <c r="A3600" t="s">
        <v>367</v>
      </c>
      <c r="B3600" t="s">
        <v>368</v>
      </c>
      <c r="C3600" t="s">
        <v>369</v>
      </c>
      <c r="D3600" t="s">
        <v>1261</v>
      </c>
      <c r="F3600" t="str">
        <f>"147005"</f>
        <v>147005</v>
      </c>
      <c r="G3600" t="s">
        <v>49</v>
      </c>
      <c r="H3600" t="s">
        <v>1625</v>
      </c>
      <c r="K3600" t="s">
        <v>51</v>
      </c>
      <c r="L3600" t="s">
        <v>52</v>
      </c>
      <c r="M3600">
        <v>137985.23000000001</v>
      </c>
      <c r="N3600">
        <v>468355.36</v>
      </c>
      <c r="O3600" t="s">
        <v>53</v>
      </c>
      <c r="P3600" t="s">
        <v>54</v>
      </c>
      <c r="Q3600" t="s">
        <v>55</v>
      </c>
      <c r="T3600" t="s">
        <v>841</v>
      </c>
      <c r="U3600">
        <v>40</v>
      </c>
      <c r="V3600" s="1">
        <v>36059</v>
      </c>
      <c r="W3600" s="1">
        <v>36059</v>
      </c>
      <c r="X3600" s="1">
        <v>36059</v>
      </c>
      <c r="Y3600" s="1">
        <v>50669</v>
      </c>
      <c r="Z3600" t="s">
        <v>51</v>
      </c>
      <c r="AB3600" t="s">
        <v>54</v>
      </c>
      <c r="AC3600">
        <v>1</v>
      </c>
      <c r="AE3600" t="s">
        <v>57</v>
      </c>
      <c r="AF3600">
        <v>20</v>
      </c>
      <c r="AG3600" s="1">
        <v>36059</v>
      </c>
      <c r="AH3600" s="1">
        <v>36059</v>
      </c>
      <c r="AI3600" s="1">
        <v>36059</v>
      </c>
      <c r="AJ3600" s="1">
        <v>43364</v>
      </c>
      <c r="AK3600" t="s">
        <v>51</v>
      </c>
      <c r="AN3600">
        <v>0</v>
      </c>
      <c r="AO3600" t="s">
        <v>54</v>
      </c>
      <c r="AP3600" t="s">
        <v>53</v>
      </c>
      <c r="AQ3600">
        <v>0</v>
      </c>
      <c r="AR3600" t="s">
        <v>53</v>
      </c>
      <c r="AS3600">
        <v>0</v>
      </c>
      <c r="AT3600">
        <v>0</v>
      </c>
      <c r="CC3600" t="s">
        <v>432</v>
      </c>
      <c r="CD3600">
        <v>85000</v>
      </c>
      <c r="CE3600" s="1">
        <v>42552</v>
      </c>
      <c r="CF3600" s="1">
        <v>42552</v>
      </c>
      <c r="CG3600" s="1">
        <v>42552</v>
      </c>
      <c r="CH3600" s="1">
        <v>49714</v>
      </c>
      <c r="CI3600" t="s">
        <v>51</v>
      </c>
      <c r="CK3600" t="s">
        <v>78</v>
      </c>
      <c r="CM3600" t="s">
        <v>54</v>
      </c>
      <c r="CN3600" t="s">
        <v>174</v>
      </c>
      <c r="CO3600" t="s">
        <v>86</v>
      </c>
      <c r="CR3600">
        <v>24</v>
      </c>
      <c r="CS3600">
        <v>0</v>
      </c>
      <c r="CT3600">
        <v>0</v>
      </c>
      <c r="CU3600">
        <v>0</v>
      </c>
    </row>
    <row r="3601" spans="1:99" x14ac:dyDescent="0.2">
      <c r="A3601" t="s">
        <v>367</v>
      </c>
      <c r="B3601" t="s">
        <v>368</v>
      </c>
      <c r="C3601" t="s">
        <v>369</v>
      </c>
      <c r="D3601" t="s">
        <v>1261</v>
      </c>
      <c r="F3601" t="str">
        <f>"147006"</f>
        <v>147006</v>
      </c>
      <c r="G3601" t="s">
        <v>49</v>
      </c>
      <c r="H3601" t="s">
        <v>1625</v>
      </c>
      <c r="K3601" t="s">
        <v>51</v>
      </c>
      <c r="L3601" t="s">
        <v>52</v>
      </c>
      <c r="M3601">
        <v>137982.51</v>
      </c>
      <c r="N3601">
        <v>468373.46</v>
      </c>
      <c r="O3601" t="s">
        <v>53</v>
      </c>
      <c r="P3601" t="s">
        <v>54</v>
      </c>
      <c r="Q3601" t="s">
        <v>55</v>
      </c>
      <c r="T3601" t="s">
        <v>841</v>
      </c>
      <c r="U3601">
        <v>40</v>
      </c>
      <c r="V3601" s="1">
        <v>36059</v>
      </c>
      <c r="W3601" s="1">
        <v>36059</v>
      </c>
      <c r="X3601" s="1">
        <v>36059</v>
      </c>
      <c r="Y3601" s="1">
        <v>50669</v>
      </c>
      <c r="Z3601" t="s">
        <v>51</v>
      </c>
      <c r="AB3601" t="s">
        <v>54</v>
      </c>
      <c r="AC3601">
        <v>1</v>
      </c>
      <c r="AE3601" t="s">
        <v>57</v>
      </c>
      <c r="AF3601">
        <v>20</v>
      </c>
      <c r="AG3601" s="1">
        <v>36059</v>
      </c>
      <c r="AH3601" s="1">
        <v>36059</v>
      </c>
      <c r="AI3601" s="1">
        <v>36059</v>
      </c>
      <c r="AJ3601" s="1">
        <v>43364</v>
      </c>
      <c r="AK3601" t="s">
        <v>51</v>
      </c>
      <c r="AN3601">
        <v>0</v>
      </c>
      <c r="AO3601" t="s">
        <v>54</v>
      </c>
      <c r="AP3601" t="s">
        <v>53</v>
      </c>
      <c r="AQ3601">
        <v>0</v>
      </c>
      <c r="AR3601" t="s">
        <v>53</v>
      </c>
      <c r="AS3601">
        <v>0</v>
      </c>
      <c r="AT3601">
        <v>0</v>
      </c>
      <c r="CC3601" t="s">
        <v>432</v>
      </c>
      <c r="CD3601">
        <v>85000</v>
      </c>
      <c r="CE3601" s="1">
        <v>42552</v>
      </c>
      <c r="CF3601" s="1">
        <v>42552</v>
      </c>
      <c r="CG3601" s="1">
        <v>42552</v>
      </c>
      <c r="CH3601" s="1">
        <v>49714</v>
      </c>
      <c r="CI3601" t="s">
        <v>51</v>
      </c>
      <c r="CK3601" t="s">
        <v>78</v>
      </c>
      <c r="CM3601" t="s">
        <v>54</v>
      </c>
      <c r="CN3601" t="s">
        <v>174</v>
      </c>
      <c r="CO3601" t="s">
        <v>86</v>
      </c>
      <c r="CR3601">
        <v>24</v>
      </c>
      <c r="CS3601">
        <v>0</v>
      </c>
      <c r="CT3601">
        <v>0</v>
      </c>
      <c r="CU3601">
        <v>0</v>
      </c>
    </row>
    <row r="3602" spans="1:99" x14ac:dyDescent="0.2">
      <c r="A3602" t="s">
        <v>367</v>
      </c>
      <c r="B3602" t="s">
        <v>368</v>
      </c>
      <c r="C3602" t="s">
        <v>369</v>
      </c>
      <c r="D3602" t="s">
        <v>1261</v>
      </c>
      <c r="F3602" t="str">
        <f>"147007"</f>
        <v>147007</v>
      </c>
      <c r="G3602" t="s">
        <v>49</v>
      </c>
      <c r="H3602" t="s">
        <v>1625</v>
      </c>
      <c r="K3602" t="s">
        <v>51</v>
      </c>
      <c r="L3602" t="s">
        <v>52</v>
      </c>
      <c r="M3602">
        <v>137971.82</v>
      </c>
      <c r="N3602">
        <v>468353.81</v>
      </c>
      <c r="O3602" t="s">
        <v>53</v>
      </c>
      <c r="P3602" t="s">
        <v>54</v>
      </c>
      <c r="Q3602" t="s">
        <v>55</v>
      </c>
      <c r="T3602" t="s">
        <v>841</v>
      </c>
      <c r="U3602">
        <v>40</v>
      </c>
      <c r="V3602" s="1">
        <v>36059</v>
      </c>
      <c r="W3602" s="1">
        <v>36059</v>
      </c>
      <c r="X3602" s="1">
        <v>36059</v>
      </c>
      <c r="Y3602" s="1">
        <v>50669</v>
      </c>
      <c r="Z3602" t="s">
        <v>51</v>
      </c>
      <c r="AB3602" t="s">
        <v>54</v>
      </c>
      <c r="AC3602">
        <v>1</v>
      </c>
      <c r="AE3602" t="s">
        <v>57</v>
      </c>
      <c r="AF3602">
        <v>20</v>
      </c>
      <c r="AG3602" s="1">
        <v>36059</v>
      </c>
      <c r="AH3602" s="1">
        <v>36059</v>
      </c>
      <c r="AI3602" s="1">
        <v>36059</v>
      </c>
      <c r="AJ3602" s="1">
        <v>43364</v>
      </c>
      <c r="AK3602" t="s">
        <v>51</v>
      </c>
      <c r="AN3602">
        <v>0</v>
      </c>
      <c r="AO3602" t="s">
        <v>54</v>
      </c>
      <c r="AP3602" t="s">
        <v>53</v>
      </c>
      <c r="AQ3602">
        <v>0</v>
      </c>
      <c r="AR3602" t="s">
        <v>53</v>
      </c>
      <c r="AS3602">
        <v>0</v>
      </c>
      <c r="AT3602">
        <v>0</v>
      </c>
      <c r="CC3602" t="s">
        <v>432</v>
      </c>
      <c r="CD3602">
        <v>85000</v>
      </c>
      <c r="CE3602" s="1">
        <v>42552</v>
      </c>
      <c r="CF3602" s="1">
        <v>42552</v>
      </c>
      <c r="CG3602" s="1">
        <v>42552</v>
      </c>
      <c r="CH3602" s="1">
        <v>49714</v>
      </c>
      <c r="CI3602" t="s">
        <v>51</v>
      </c>
      <c r="CK3602" t="s">
        <v>78</v>
      </c>
      <c r="CM3602" t="s">
        <v>54</v>
      </c>
      <c r="CN3602" t="s">
        <v>174</v>
      </c>
      <c r="CO3602" t="s">
        <v>86</v>
      </c>
      <c r="CR3602">
        <v>24</v>
      </c>
      <c r="CS3602">
        <v>0</v>
      </c>
      <c r="CT3602">
        <v>0</v>
      </c>
      <c r="CU3602">
        <v>0</v>
      </c>
    </row>
    <row r="3603" spans="1:99" x14ac:dyDescent="0.2">
      <c r="A3603" t="s">
        <v>367</v>
      </c>
      <c r="B3603" t="s">
        <v>368</v>
      </c>
      <c r="C3603" t="s">
        <v>369</v>
      </c>
      <c r="D3603" t="s">
        <v>1261</v>
      </c>
      <c r="F3603" t="str">
        <f>"254259"</f>
        <v>254259</v>
      </c>
      <c r="G3603" t="s">
        <v>49</v>
      </c>
      <c r="H3603" t="s">
        <v>1625</v>
      </c>
      <c r="K3603" t="s">
        <v>51</v>
      </c>
      <c r="L3603" t="s">
        <v>52</v>
      </c>
      <c r="M3603">
        <v>137969.47</v>
      </c>
      <c r="N3603">
        <v>468371.87</v>
      </c>
      <c r="O3603" t="s">
        <v>53</v>
      </c>
      <c r="P3603" t="s">
        <v>54</v>
      </c>
      <c r="Q3603" t="s">
        <v>55</v>
      </c>
      <c r="T3603" t="s">
        <v>841</v>
      </c>
      <c r="U3603">
        <v>40</v>
      </c>
      <c r="V3603" s="1">
        <v>36059</v>
      </c>
      <c r="W3603" s="1">
        <v>36059</v>
      </c>
      <c r="X3603" s="1">
        <v>36059</v>
      </c>
      <c r="Y3603" s="1">
        <v>50669</v>
      </c>
      <c r="Z3603" t="s">
        <v>51</v>
      </c>
      <c r="AB3603" t="s">
        <v>54</v>
      </c>
      <c r="AC3603">
        <v>1</v>
      </c>
      <c r="AE3603" t="s">
        <v>57</v>
      </c>
      <c r="AF3603">
        <v>20</v>
      </c>
      <c r="AG3603" s="1">
        <v>36059</v>
      </c>
      <c r="AH3603" s="1">
        <v>36059</v>
      </c>
      <c r="AI3603" s="1">
        <v>36059</v>
      </c>
      <c r="AJ3603" s="1">
        <v>43364</v>
      </c>
      <c r="AK3603" t="s">
        <v>51</v>
      </c>
      <c r="AN3603">
        <v>0</v>
      </c>
      <c r="AO3603" t="s">
        <v>54</v>
      </c>
      <c r="AP3603" t="s">
        <v>53</v>
      </c>
      <c r="AQ3603">
        <v>0</v>
      </c>
      <c r="AR3603" t="s">
        <v>53</v>
      </c>
      <c r="AS3603">
        <v>0</v>
      </c>
      <c r="AT3603">
        <v>0</v>
      </c>
      <c r="CC3603" t="s">
        <v>432</v>
      </c>
      <c r="CD3603">
        <v>85000</v>
      </c>
      <c r="CE3603" s="1">
        <v>42552</v>
      </c>
      <c r="CF3603" s="1">
        <v>42552</v>
      </c>
      <c r="CG3603" s="1">
        <v>42552</v>
      </c>
      <c r="CH3603" s="1">
        <v>49714</v>
      </c>
      <c r="CI3603" t="s">
        <v>51</v>
      </c>
      <c r="CK3603" t="s">
        <v>78</v>
      </c>
      <c r="CM3603" t="s">
        <v>54</v>
      </c>
      <c r="CN3603" t="s">
        <v>174</v>
      </c>
      <c r="CO3603" t="s">
        <v>86</v>
      </c>
      <c r="CR3603">
        <v>24</v>
      </c>
      <c r="CS3603">
        <v>0</v>
      </c>
      <c r="CT3603">
        <v>0</v>
      </c>
      <c r="CU3603">
        <v>0</v>
      </c>
    </row>
    <row r="3604" spans="1:99" x14ac:dyDescent="0.2">
      <c r="A3604" t="s">
        <v>367</v>
      </c>
      <c r="B3604" t="s">
        <v>368</v>
      </c>
      <c r="C3604" t="s">
        <v>369</v>
      </c>
      <c r="D3604" t="s">
        <v>1261</v>
      </c>
      <c r="F3604" t="str">
        <f>"147009"</f>
        <v>147009</v>
      </c>
      <c r="G3604" t="s">
        <v>49</v>
      </c>
      <c r="H3604" t="s">
        <v>1625</v>
      </c>
      <c r="K3604" t="s">
        <v>51</v>
      </c>
      <c r="L3604" t="s">
        <v>52</v>
      </c>
      <c r="M3604">
        <v>137980.60999999999</v>
      </c>
      <c r="N3604">
        <v>468385.5</v>
      </c>
      <c r="O3604" t="s">
        <v>53</v>
      </c>
      <c r="P3604" t="s">
        <v>54</v>
      </c>
      <c r="Q3604" t="s">
        <v>55</v>
      </c>
      <c r="T3604" t="s">
        <v>841</v>
      </c>
      <c r="U3604">
        <v>40</v>
      </c>
      <c r="V3604" s="1">
        <v>36059</v>
      </c>
      <c r="W3604" s="1">
        <v>36059</v>
      </c>
      <c r="X3604" s="1">
        <v>36059</v>
      </c>
      <c r="Y3604" s="1">
        <v>50669</v>
      </c>
      <c r="Z3604" t="s">
        <v>51</v>
      </c>
      <c r="AB3604" t="s">
        <v>54</v>
      </c>
      <c r="AC3604">
        <v>1</v>
      </c>
      <c r="AE3604" t="s">
        <v>57</v>
      </c>
      <c r="AF3604">
        <v>20</v>
      </c>
      <c r="AG3604" s="1">
        <v>36059</v>
      </c>
      <c r="AH3604" s="1">
        <v>36059</v>
      </c>
      <c r="AI3604" s="1">
        <v>36059</v>
      </c>
      <c r="AJ3604" s="1">
        <v>43364</v>
      </c>
      <c r="AK3604" t="s">
        <v>51</v>
      </c>
      <c r="AN3604">
        <v>0</v>
      </c>
      <c r="AO3604" t="s">
        <v>54</v>
      </c>
      <c r="AP3604" t="s">
        <v>53</v>
      </c>
      <c r="AQ3604">
        <v>0</v>
      </c>
      <c r="AR3604" t="s">
        <v>53</v>
      </c>
      <c r="AS3604">
        <v>0</v>
      </c>
      <c r="AT3604">
        <v>0</v>
      </c>
      <c r="CC3604" t="s">
        <v>432</v>
      </c>
      <c r="CD3604">
        <v>85000</v>
      </c>
      <c r="CE3604" s="1">
        <v>42552</v>
      </c>
      <c r="CF3604" s="1">
        <v>42552</v>
      </c>
      <c r="CG3604" s="1">
        <v>42552</v>
      </c>
      <c r="CH3604" s="1">
        <v>49714</v>
      </c>
      <c r="CI3604" t="s">
        <v>51</v>
      </c>
      <c r="CK3604" t="s">
        <v>78</v>
      </c>
      <c r="CM3604" t="s">
        <v>54</v>
      </c>
      <c r="CN3604" t="s">
        <v>174</v>
      </c>
      <c r="CO3604" t="s">
        <v>86</v>
      </c>
      <c r="CR3604">
        <v>24</v>
      </c>
      <c r="CS3604">
        <v>0</v>
      </c>
      <c r="CT3604">
        <v>0</v>
      </c>
      <c r="CU3604">
        <v>0</v>
      </c>
    </row>
    <row r="3605" spans="1:99" x14ac:dyDescent="0.2">
      <c r="A3605" t="s">
        <v>367</v>
      </c>
      <c r="B3605" t="s">
        <v>368</v>
      </c>
      <c r="C3605" t="s">
        <v>369</v>
      </c>
      <c r="D3605" t="s">
        <v>1392</v>
      </c>
      <c r="F3605" t="str">
        <f>"147450"</f>
        <v>147450</v>
      </c>
      <c r="G3605" t="s">
        <v>49</v>
      </c>
      <c r="H3605" t="s">
        <v>1626</v>
      </c>
      <c r="K3605" t="s">
        <v>51</v>
      </c>
      <c r="L3605" t="s">
        <v>52</v>
      </c>
      <c r="M3605">
        <v>138092.19</v>
      </c>
      <c r="N3605">
        <v>468928.11</v>
      </c>
      <c r="O3605" t="s">
        <v>145</v>
      </c>
      <c r="P3605" t="s">
        <v>54</v>
      </c>
      <c r="Q3605" t="s">
        <v>55</v>
      </c>
      <c r="T3605" t="s">
        <v>841</v>
      </c>
      <c r="U3605">
        <v>40</v>
      </c>
      <c r="V3605" s="1">
        <v>36181</v>
      </c>
      <c r="W3605" s="1">
        <v>36181</v>
      </c>
      <c r="X3605" s="1">
        <v>36181</v>
      </c>
      <c r="Y3605" s="1">
        <v>50791</v>
      </c>
      <c r="Z3605" t="s">
        <v>51</v>
      </c>
      <c r="AB3605" t="s">
        <v>54</v>
      </c>
      <c r="AC3605">
        <v>1</v>
      </c>
      <c r="AE3605" t="s">
        <v>814</v>
      </c>
      <c r="AF3605">
        <v>20</v>
      </c>
      <c r="AG3605" s="1">
        <v>36181</v>
      </c>
      <c r="AH3605" s="1">
        <v>36181</v>
      </c>
      <c r="AI3605" s="1">
        <v>36181</v>
      </c>
      <c r="AJ3605" s="1">
        <v>43486</v>
      </c>
      <c r="AK3605" t="s">
        <v>51</v>
      </c>
      <c r="AN3605">
        <v>0</v>
      </c>
      <c r="AO3605" t="s">
        <v>54</v>
      </c>
      <c r="AP3605" t="s">
        <v>53</v>
      </c>
      <c r="AQ3605">
        <v>0</v>
      </c>
      <c r="AR3605" t="s">
        <v>53</v>
      </c>
      <c r="AS3605">
        <v>0</v>
      </c>
      <c r="AT3605">
        <v>0</v>
      </c>
      <c r="CC3605" t="s">
        <v>439</v>
      </c>
      <c r="CD3605">
        <v>85000</v>
      </c>
      <c r="CE3605" s="1">
        <v>42552</v>
      </c>
      <c r="CF3605" s="1">
        <v>42552</v>
      </c>
      <c r="CG3605" s="1">
        <v>42552</v>
      </c>
      <c r="CH3605" s="1">
        <v>49714</v>
      </c>
      <c r="CI3605" t="s">
        <v>51</v>
      </c>
      <c r="CK3605" t="s">
        <v>78</v>
      </c>
      <c r="CM3605" t="s">
        <v>54</v>
      </c>
      <c r="CN3605" t="s">
        <v>174</v>
      </c>
      <c r="CO3605" t="s">
        <v>86</v>
      </c>
      <c r="CR3605">
        <v>25</v>
      </c>
      <c r="CS3605">
        <v>0</v>
      </c>
      <c r="CT3605">
        <v>0</v>
      </c>
      <c r="CU3605">
        <v>0</v>
      </c>
    </row>
    <row r="3606" spans="1:99" x14ac:dyDescent="0.2">
      <c r="A3606" t="s">
        <v>367</v>
      </c>
      <c r="B3606" t="s">
        <v>368</v>
      </c>
      <c r="C3606" t="s">
        <v>369</v>
      </c>
      <c r="D3606" t="s">
        <v>1392</v>
      </c>
      <c r="F3606" t="str">
        <f>"147451"</f>
        <v>147451</v>
      </c>
      <c r="G3606" t="s">
        <v>49</v>
      </c>
      <c r="H3606" t="s">
        <v>1627</v>
      </c>
      <c r="K3606" t="s">
        <v>51</v>
      </c>
      <c r="L3606" t="s">
        <v>52</v>
      </c>
      <c r="M3606">
        <v>138101.66</v>
      </c>
      <c r="N3606">
        <v>468905.62</v>
      </c>
      <c r="O3606" t="s">
        <v>53</v>
      </c>
      <c r="P3606" t="s">
        <v>54</v>
      </c>
      <c r="Q3606" t="s">
        <v>55</v>
      </c>
      <c r="T3606" t="s">
        <v>841</v>
      </c>
      <c r="U3606">
        <v>40</v>
      </c>
      <c r="V3606" s="1">
        <v>36181</v>
      </c>
      <c r="W3606" s="1">
        <v>36181</v>
      </c>
      <c r="X3606" s="1">
        <v>36181</v>
      </c>
      <c r="Y3606" s="1">
        <v>50791</v>
      </c>
      <c r="Z3606" t="s">
        <v>51</v>
      </c>
      <c r="AB3606" t="s">
        <v>54</v>
      </c>
      <c r="AC3606">
        <v>1</v>
      </c>
      <c r="AE3606" t="s">
        <v>814</v>
      </c>
      <c r="AF3606">
        <v>20</v>
      </c>
      <c r="AG3606" s="1">
        <v>36181</v>
      </c>
      <c r="AH3606" s="1">
        <v>36181</v>
      </c>
      <c r="AI3606" s="1">
        <v>36181</v>
      </c>
      <c r="AJ3606" s="1">
        <v>43486</v>
      </c>
      <c r="AK3606" t="s">
        <v>51</v>
      </c>
      <c r="AN3606">
        <v>0</v>
      </c>
      <c r="AO3606" t="s">
        <v>54</v>
      </c>
      <c r="AP3606" t="s">
        <v>53</v>
      </c>
      <c r="AQ3606">
        <v>0</v>
      </c>
      <c r="AR3606" t="s">
        <v>53</v>
      </c>
      <c r="AS3606">
        <v>0</v>
      </c>
      <c r="AT3606">
        <v>0</v>
      </c>
      <c r="CC3606" t="s">
        <v>439</v>
      </c>
      <c r="CD3606">
        <v>85000</v>
      </c>
      <c r="CE3606" s="1">
        <v>42552</v>
      </c>
      <c r="CF3606" s="1">
        <v>42552</v>
      </c>
      <c r="CG3606" s="1">
        <v>42552</v>
      </c>
      <c r="CH3606" s="1">
        <v>49714</v>
      </c>
      <c r="CI3606" t="s">
        <v>51</v>
      </c>
      <c r="CK3606" t="s">
        <v>78</v>
      </c>
      <c r="CM3606" t="s">
        <v>54</v>
      </c>
      <c r="CN3606" t="s">
        <v>174</v>
      </c>
      <c r="CO3606" t="s">
        <v>86</v>
      </c>
      <c r="CR3606">
        <v>25</v>
      </c>
      <c r="CS3606">
        <v>0</v>
      </c>
      <c r="CT3606">
        <v>0</v>
      </c>
      <c r="CU3606">
        <v>0</v>
      </c>
    </row>
    <row r="3607" spans="1:99" x14ac:dyDescent="0.2">
      <c r="A3607" t="s">
        <v>367</v>
      </c>
      <c r="B3607" t="s">
        <v>368</v>
      </c>
      <c r="C3607" t="s">
        <v>369</v>
      </c>
      <c r="D3607" t="s">
        <v>1392</v>
      </c>
      <c r="F3607" t="str">
        <f>"147452"</f>
        <v>147452</v>
      </c>
      <c r="G3607" t="s">
        <v>49</v>
      </c>
      <c r="H3607" t="s">
        <v>1628</v>
      </c>
      <c r="K3607" t="s">
        <v>51</v>
      </c>
      <c r="L3607" t="s">
        <v>52</v>
      </c>
      <c r="M3607">
        <v>138111.20000000001</v>
      </c>
      <c r="N3607">
        <v>468881.69</v>
      </c>
      <c r="O3607" t="s">
        <v>53</v>
      </c>
      <c r="P3607" t="s">
        <v>54</v>
      </c>
      <c r="Q3607" t="s">
        <v>55</v>
      </c>
      <c r="T3607" t="s">
        <v>841</v>
      </c>
      <c r="U3607">
        <v>40</v>
      </c>
      <c r="V3607" s="1">
        <v>36181</v>
      </c>
      <c r="W3607" s="1">
        <v>36181</v>
      </c>
      <c r="X3607" s="1">
        <v>36181</v>
      </c>
      <c r="Y3607" s="1">
        <v>50791</v>
      </c>
      <c r="Z3607" t="s">
        <v>51</v>
      </c>
      <c r="AB3607" t="s">
        <v>54</v>
      </c>
      <c r="AC3607">
        <v>1</v>
      </c>
      <c r="AE3607" t="s">
        <v>814</v>
      </c>
      <c r="AF3607">
        <v>20</v>
      </c>
      <c r="AG3607" s="1">
        <v>36181</v>
      </c>
      <c r="AH3607" s="1">
        <v>36181</v>
      </c>
      <c r="AI3607" s="1">
        <v>36181</v>
      </c>
      <c r="AJ3607" s="1">
        <v>43486</v>
      </c>
      <c r="AK3607" t="s">
        <v>51</v>
      </c>
      <c r="AN3607">
        <v>0</v>
      </c>
      <c r="AO3607" t="s">
        <v>54</v>
      </c>
      <c r="AP3607" t="s">
        <v>53</v>
      </c>
      <c r="AQ3607">
        <v>0</v>
      </c>
      <c r="AR3607" t="s">
        <v>53</v>
      </c>
      <c r="AS3607">
        <v>0</v>
      </c>
      <c r="AT3607">
        <v>0</v>
      </c>
      <c r="CC3607" t="s">
        <v>439</v>
      </c>
      <c r="CD3607">
        <v>85000</v>
      </c>
      <c r="CE3607" s="1">
        <v>42552</v>
      </c>
      <c r="CF3607" s="1">
        <v>42552</v>
      </c>
      <c r="CG3607" s="1">
        <v>42552</v>
      </c>
      <c r="CH3607" s="1">
        <v>49714</v>
      </c>
      <c r="CI3607" t="s">
        <v>51</v>
      </c>
      <c r="CK3607" t="s">
        <v>78</v>
      </c>
      <c r="CM3607" t="s">
        <v>54</v>
      </c>
      <c r="CN3607" t="s">
        <v>174</v>
      </c>
      <c r="CO3607" t="s">
        <v>86</v>
      </c>
      <c r="CR3607">
        <v>25</v>
      </c>
      <c r="CS3607">
        <v>0</v>
      </c>
      <c r="CT3607">
        <v>0</v>
      </c>
      <c r="CU3607">
        <v>0</v>
      </c>
    </row>
    <row r="3608" spans="1:99" x14ac:dyDescent="0.2">
      <c r="A3608" t="s">
        <v>367</v>
      </c>
      <c r="B3608" t="s">
        <v>368</v>
      </c>
      <c r="C3608" t="s">
        <v>369</v>
      </c>
      <c r="D3608" t="s">
        <v>1392</v>
      </c>
      <c r="F3608" t="str">
        <f>"147453"</f>
        <v>147453</v>
      </c>
      <c r="G3608" t="s">
        <v>49</v>
      </c>
      <c r="H3608" t="s">
        <v>1629</v>
      </c>
      <c r="K3608" t="s">
        <v>51</v>
      </c>
      <c r="L3608" t="s">
        <v>52</v>
      </c>
      <c r="M3608">
        <v>138121.19</v>
      </c>
      <c r="N3608">
        <v>468860.71</v>
      </c>
      <c r="O3608" t="s">
        <v>53</v>
      </c>
      <c r="P3608" t="s">
        <v>54</v>
      </c>
      <c r="Q3608" t="s">
        <v>55</v>
      </c>
      <c r="T3608" t="s">
        <v>841</v>
      </c>
      <c r="U3608">
        <v>40</v>
      </c>
      <c r="V3608" s="1">
        <v>36181</v>
      </c>
      <c r="W3608" s="1">
        <v>36181</v>
      </c>
      <c r="X3608" s="1">
        <v>36181</v>
      </c>
      <c r="Y3608" s="1">
        <v>50791</v>
      </c>
      <c r="Z3608" t="s">
        <v>51</v>
      </c>
      <c r="AB3608" t="s">
        <v>54</v>
      </c>
      <c r="AC3608">
        <v>1</v>
      </c>
      <c r="AE3608" t="s">
        <v>814</v>
      </c>
      <c r="AF3608">
        <v>20</v>
      </c>
      <c r="AG3608" s="1">
        <v>36181</v>
      </c>
      <c r="AH3608" s="1">
        <v>36181</v>
      </c>
      <c r="AI3608" s="1">
        <v>36181</v>
      </c>
      <c r="AJ3608" s="1">
        <v>43486</v>
      </c>
      <c r="AK3608" t="s">
        <v>51</v>
      </c>
      <c r="AN3608">
        <v>0</v>
      </c>
      <c r="AO3608" t="s">
        <v>54</v>
      </c>
      <c r="AP3608" t="s">
        <v>53</v>
      </c>
      <c r="AQ3608">
        <v>0</v>
      </c>
      <c r="AR3608" t="s">
        <v>53</v>
      </c>
      <c r="AS3608">
        <v>0</v>
      </c>
      <c r="AT3608">
        <v>0</v>
      </c>
      <c r="CC3608" t="s">
        <v>439</v>
      </c>
      <c r="CD3608">
        <v>85000</v>
      </c>
      <c r="CE3608" s="1">
        <v>42552</v>
      </c>
      <c r="CF3608" s="1">
        <v>42552</v>
      </c>
      <c r="CG3608" s="1">
        <v>42552</v>
      </c>
      <c r="CH3608" s="1">
        <v>49714</v>
      </c>
      <c r="CI3608" t="s">
        <v>51</v>
      </c>
      <c r="CK3608" t="s">
        <v>78</v>
      </c>
      <c r="CM3608" t="s">
        <v>54</v>
      </c>
      <c r="CN3608" t="s">
        <v>174</v>
      </c>
      <c r="CO3608" t="s">
        <v>86</v>
      </c>
      <c r="CR3608">
        <v>25</v>
      </c>
      <c r="CS3608">
        <v>0</v>
      </c>
      <c r="CT3608">
        <v>0</v>
      </c>
      <c r="CU3608">
        <v>0</v>
      </c>
    </row>
    <row r="3609" spans="1:99" x14ac:dyDescent="0.2">
      <c r="A3609" t="s">
        <v>367</v>
      </c>
      <c r="B3609" t="s">
        <v>368</v>
      </c>
      <c r="C3609" t="s">
        <v>369</v>
      </c>
      <c r="D3609" t="s">
        <v>1392</v>
      </c>
      <c r="F3609" t="str">
        <f>"147454"</f>
        <v>147454</v>
      </c>
      <c r="G3609" t="s">
        <v>49</v>
      </c>
      <c r="H3609" t="s">
        <v>1630</v>
      </c>
      <c r="K3609" t="s">
        <v>51</v>
      </c>
      <c r="L3609" t="s">
        <v>52</v>
      </c>
      <c r="M3609">
        <v>138132.12</v>
      </c>
      <c r="N3609">
        <v>468836.74</v>
      </c>
      <c r="O3609" t="s">
        <v>53</v>
      </c>
      <c r="P3609" t="s">
        <v>54</v>
      </c>
      <c r="Q3609" t="s">
        <v>55</v>
      </c>
      <c r="T3609" t="s">
        <v>841</v>
      </c>
      <c r="U3609">
        <v>40</v>
      </c>
      <c r="V3609" s="1">
        <v>36305</v>
      </c>
      <c r="W3609" s="1">
        <v>36305</v>
      </c>
      <c r="X3609" s="1">
        <v>36305</v>
      </c>
      <c r="Y3609" s="1">
        <v>50915</v>
      </c>
      <c r="Z3609" t="s">
        <v>51</v>
      </c>
      <c r="AB3609" t="s">
        <v>54</v>
      </c>
      <c r="AC3609">
        <v>1</v>
      </c>
      <c r="AE3609" t="s">
        <v>814</v>
      </c>
      <c r="AF3609">
        <v>20</v>
      </c>
      <c r="AG3609" s="1">
        <v>36305</v>
      </c>
      <c r="AH3609" s="1">
        <v>36305</v>
      </c>
      <c r="AI3609" s="1">
        <v>36305</v>
      </c>
      <c r="AJ3609" s="1">
        <v>43610</v>
      </c>
      <c r="AK3609" t="s">
        <v>51</v>
      </c>
      <c r="AN3609">
        <v>0</v>
      </c>
      <c r="AO3609" t="s">
        <v>54</v>
      </c>
      <c r="AP3609" t="s">
        <v>53</v>
      </c>
      <c r="AQ3609">
        <v>0</v>
      </c>
      <c r="AR3609" t="s">
        <v>53</v>
      </c>
      <c r="AS3609">
        <v>0</v>
      </c>
      <c r="AT3609">
        <v>0</v>
      </c>
      <c r="CC3609" t="s">
        <v>439</v>
      </c>
      <c r="CD3609">
        <v>85000</v>
      </c>
      <c r="CE3609" s="1">
        <v>42552</v>
      </c>
      <c r="CF3609" s="1">
        <v>42552</v>
      </c>
      <c r="CG3609" s="1">
        <v>42552</v>
      </c>
      <c r="CH3609" s="1">
        <v>49714</v>
      </c>
      <c r="CI3609" t="s">
        <v>51</v>
      </c>
      <c r="CK3609" t="s">
        <v>78</v>
      </c>
      <c r="CM3609" t="s">
        <v>54</v>
      </c>
      <c r="CN3609" t="s">
        <v>174</v>
      </c>
      <c r="CO3609" t="s">
        <v>86</v>
      </c>
      <c r="CR3609">
        <v>25</v>
      </c>
      <c r="CS3609">
        <v>0</v>
      </c>
      <c r="CT3609">
        <v>0</v>
      </c>
      <c r="CU3609">
        <v>0</v>
      </c>
    </row>
    <row r="3610" spans="1:99" x14ac:dyDescent="0.2">
      <c r="A3610" t="s">
        <v>367</v>
      </c>
      <c r="B3610" t="s">
        <v>368</v>
      </c>
      <c r="C3610" t="s">
        <v>369</v>
      </c>
      <c r="D3610" t="s">
        <v>1392</v>
      </c>
      <c r="F3610" t="str">
        <f>"147455"</f>
        <v>147455</v>
      </c>
      <c r="G3610" t="s">
        <v>49</v>
      </c>
      <c r="H3610" t="s">
        <v>1631</v>
      </c>
      <c r="K3610" t="s">
        <v>51</v>
      </c>
      <c r="L3610" t="s">
        <v>52</v>
      </c>
      <c r="M3610">
        <v>138141.78</v>
      </c>
      <c r="N3610">
        <v>468816.72</v>
      </c>
      <c r="O3610" t="s">
        <v>53</v>
      </c>
      <c r="P3610" t="s">
        <v>54</v>
      </c>
      <c r="Q3610" t="s">
        <v>55</v>
      </c>
      <c r="T3610" t="s">
        <v>841</v>
      </c>
      <c r="U3610">
        <v>40</v>
      </c>
      <c r="V3610" s="1">
        <v>36181</v>
      </c>
      <c r="W3610" s="1">
        <v>36181</v>
      </c>
      <c r="X3610" s="1">
        <v>36181</v>
      </c>
      <c r="Y3610" s="1">
        <v>50791</v>
      </c>
      <c r="Z3610" t="s">
        <v>51</v>
      </c>
      <c r="AB3610" t="s">
        <v>54</v>
      </c>
      <c r="AC3610">
        <v>1</v>
      </c>
      <c r="AE3610" t="s">
        <v>814</v>
      </c>
      <c r="AF3610">
        <v>20</v>
      </c>
      <c r="AG3610" s="1">
        <v>36181</v>
      </c>
      <c r="AH3610" s="1">
        <v>36181</v>
      </c>
      <c r="AI3610" s="1">
        <v>36181</v>
      </c>
      <c r="AJ3610" s="1">
        <v>43486</v>
      </c>
      <c r="AK3610" t="s">
        <v>51</v>
      </c>
      <c r="AN3610">
        <v>0</v>
      </c>
      <c r="AO3610" t="s">
        <v>54</v>
      </c>
      <c r="AP3610" t="s">
        <v>53</v>
      </c>
      <c r="AQ3610">
        <v>0</v>
      </c>
      <c r="AR3610" t="s">
        <v>53</v>
      </c>
      <c r="AS3610">
        <v>0</v>
      </c>
      <c r="AT3610">
        <v>0</v>
      </c>
      <c r="CC3610" t="s">
        <v>439</v>
      </c>
      <c r="CD3610">
        <v>85000</v>
      </c>
      <c r="CE3610" s="1">
        <v>42552</v>
      </c>
      <c r="CF3610" s="1">
        <v>42552</v>
      </c>
      <c r="CG3610" s="1">
        <v>42552</v>
      </c>
      <c r="CH3610" s="1">
        <v>49714</v>
      </c>
      <c r="CI3610" t="s">
        <v>51</v>
      </c>
      <c r="CK3610" t="s">
        <v>78</v>
      </c>
      <c r="CM3610" t="s">
        <v>54</v>
      </c>
      <c r="CN3610" t="s">
        <v>174</v>
      </c>
      <c r="CO3610" t="s">
        <v>86</v>
      </c>
      <c r="CR3610">
        <v>25</v>
      </c>
      <c r="CS3610">
        <v>0</v>
      </c>
      <c r="CT3610">
        <v>0</v>
      </c>
      <c r="CU3610">
        <v>0</v>
      </c>
    </row>
    <row r="3611" spans="1:99" x14ac:dyDescent="0.2">
      <c r="A3611" t="s">
        <v>367</v>
      </c>
      <c r="B3611" t="s">
        <v>368</v>
      </c>
      <c r="C3611" t="s">
        <v>369</v>
      </c>
      <c r="D3611" t="s">
        <v>1392</v>
      </c>
      <c r="F3611" t="str">
        <f>"147456"</f>
        <v>147456</v>
      </c>
      <c r="G3611" t="s">
        <v>49</v>
      </c>
      <c r="H3611" t="s">
        <v>1632</v>
      </c>
      <c r="K3611" t="s">
        <v>51</v>
      </c>
      <c r="L3611" t="s">
        <v>52</v>
      </c>
      <c r="M3611">
        <v>138149.48000000001</v>
      </c>
      <c r="N3611">
        <v>468799.78</v>
      </c>
      <c r="O3611" t="s">
        <v>53</v>
      </c>
      <c r="P3611" t="s">
        <v>54</v>
      </c>
      <c r="Q3611" t="s">
        <v>55</v>
      </c>
      <c r="T3611" t="s">
        <v>841</v>
      </c>
      <c r="U3611">
        <v>40</v>
      </c>
      <c r="V3611" s="1">
        <v>36181</v>
      </c>
      <c r="W3611" s="1">
        <v>36181</v>
      </c>
      <c r="X3611" s="1">
        <v>36181</v>
      </c>
      <c r="Y3611" s="1">
        <v>50791</v>
      </c>
      <c r="Z3611" t="s">
        <v>51</v>
      </c>
      <c r="AB3611" t="s">
        <v>54</v>
      </c>
      <c r="AC3611">
        <v>1</v>
      </c>
      <c r="AE3611" t="s">
        <v>814</v>
      </c>
      <c r="AF3611">
        <v>20</v>
      </c>
      <c r="AG3611" s="1">
        <v>36181</v>
      </c>
      <c r="AH3611" s="1">
        <v>36181</v>
      </c>
      <c r="AI3611" s="1">
        <v>36181</v>
      </c>
      <c r="AJ3611" s="1">
        <v>43486</v>
      </c>
      <c r="AK3611" t="s">
        <v>51</v>
      </c>
      <c r="AN3611">
        <v>0</v>
      </c>
      <c r="AO3611" t="s">
        <v>54</v>
      </c>
      <c r="AP3611" t="s">
        <v>53</v>
      </c>
      <c r="AQ3611">
        <v>0</v>
      </c>
      <c r="AR3611" t="s">
        <v>53</v>
      </c>
      <c r="AS3611">
        <v>0</v>
      </c>
      <c r="AT3611">
        <v>0</v>
      </c>
      <c r="CC3611" t="s">
        <v>439</v>
      </c>
      <c r="CD3611">
        <v>85000</v>
      </c>
      <c r="CE3611" s="1">
        <v>42552</v>
      </c>
      <c r="CF3611" s="1">
        <v>42552</v>
      </c>
      <c r="CG3611" s="1">
        <v>42552</v>
      </c>
      <c r="CH3611" s="1">
        <v>49714</v>
      </c>
      <c r="CI3611" t="s">
        <v>51</v>
      </c>
      <c r="CK3611" t="s">
        <v>78</v>
      </c>
      <c r="CM3611" t="s">
        <v>54</v>
      </c>
      <c r="CN3611" t="s">
        <v>174</v>
      </c>
      <c r="CO3611" t="s">
        <v>86</v>
      </c>
      <c r="CR3611">
        <v>25</v>
      </c>
      <c r="CS3611">
        <v>0</v>
      </c>
      <c r="CT3611">
        <v>0</v>
      </c>
      <c r="CU3611">
        <v>0</v>
      </c>
    </row>
    <row r="3612" spans="1:99" x14ac:dyDescent="0.2">
      <c r="A3612" t="s">
        <v>367</v>
      </c>
      <c r="B3612" t="s">
        <v>368</v>
      </c>
      <c r="C3612" t="s">
        <v>369</v>
      </c>
      <c r="D3612" t="s">
        <v>1392</v>
      </c>
      <c r="F3612" t="str">
        <f>"147457"</f>
        <v>147457</v>
      </c>
      <c r="G3612" t="s">
        <v>49</v>
      </c>
      <c r="H3612" t="s">
        <v>1633</v>
      </c>
      <c r="K3612" t="s">
        <v>51</v>
      </c>
      <c r="L3612" t="s">
        <v>52</v>
      </c>
      <c r="M3612">
        <v>138159.42000000001</v>
      </c>
      <c r="N3612">
        <v>468777.94</v>
      </c>
      <c r="O3612" t="s">
        <v>53</v>
      </c>
      <c r="P3612" t="s">
        <v>54</v>
      </c>
      <c r="Q3612" t="s">
        <v>55</v>
      </c>
      <c r="T3612" t="s">
        <v>841</v>
      </c>
      <c r="U3612">
        <v>40</v>
      </c>
      <c r="V3612" s="1">
        <v>36181</v>
      </c>
      <c r="W3612" s="1">
        <v>36181</v>
      </c>
      <c r="X3612" s="1">
        <v>36181</v>
      </c>
      <c r="Y3612" s="1">
        <v>50791</v>
      </c>
      <c r="Z3612" t="s">
        <v>51</v>
      </c>
      <c r="AB3612" t="s">
        <v>54</v>
      </c>
      <c r="AC3612">
        <v>1</v>
      </c>
      <c r="AE3612" t="s">
        <v>814</v>
      </c>
      <c r="AF3612">
        <v>20</v>
      </c>
      <c r="AG3612" s="1">
        <v>36181</v>
      </c>
      <c r="AH3612" s="1">
        <v>36181</v>
      </c>
      <c r="AI3612" s="1">
        <v>36181</v>
      </c>
      <c r="AJ3612" s="1">
        <v>43486</v>
      </c>
      <c r="AK3612" t="s">
        <v>51</v>
      </c>
      <c r="AN3612">
        <v>0</v>
      </c>
      <c r="AO3612" t="s">
        <v>54</v>
      </c>
      <c r="AP3612" t="s">
        <v>53</v>
      </c>
      <c r="AQ3612">
        <v>0</v>
      </c>
      <c r="AR3612" t="s">
        <v>53</v>
      </c>
      <c r="AS3612">
        <v>0</v>
      </c>
      <c r="AT3612">
        <v>0</v>
      </c>
      <c r="CC3612" t="s">
        <v>439</v>
      </c>
      <c r="CD3612">
        <v>85000</v>
      </c>
      <c r="CE3612" s="1">
        <v>42552</v>
      </c>
      <c r="CF3612" s="1">
        <v>42552</v>
      </c>
      <c r="CG3612" s="1">
        <v>42552</v>
      </c>
      <c r="CH3612" s="1">
        <v>49714</v>
      </c>
      <c r="CI3612" t="s">
        <v>51</v>
      </c>
      <c r="CK3612" t="s">
        <v>78</v>
      </c>
      <c r="CM3612" t="s">
        <v>54</v>
      </c>
      <c r="CN3612" t="s">
        <v>174</v>
      </c>
      <c r="CO3612" t="s">
        <v>86</v>
      </c>
      <c r="CR3612">
        <v>25</v>
      </c>
      <c r="CS3612">
        <v>0</v>
      </c>
      <c r="CT3612">
        <v>0</v>
      </c>
      <c r="CU3612">
        <v>0</v>
      </c>
    </row>
    <row r="3613" spans="1:99" x14ac:dyDescent="0.2">
      <c r="A3613" t="s">
        <v>425</v>
      </c>
      <c r="B3613" t="s">
        <v>425</v>
      </c>
      <c r="C3613" t="s">
        <v>425</v>
      </c>
      <c r="D3613" t="s">
        <v>1392</v>
      </c>
      <c r="F3613" t="str">
        <f>"147458"</f>
        <v>147458</v>
      </c>
      <c r="G3613" t="s">
        <v>49</v>
      </c>
      <c r="H3613" t="s">
        <v>1634</v>
      </c>
      <c r="K3613" t="s">
        <v>51</v>
      </c>
      <c r="L3613" t="s">
        <v>52</v>
      </c>
      <c r="M3613">
        <v>138172.97</v>
      </c>
      <c r="N3613">
        <v>468752.55</v>
      </c>
      <c r="O3613" t="s">
        <v>53</v>
      </c>
      <c r="P3613" t="s">
        <v>54</v>
      </c>
      <c r="Q3613" t="s">
        <v>55</v>
      </c>
      <c r="T3613" t="s">
        <v>841</v>
      </c>
      <c r="U3613">
        <v>40</v>
      </c>
      <c r="V3613" s="1">
        <v>36181</v>
      </c>
      <c r="W3613" s="1">
        <v>36181</v>
      </c>
      <c r="X3613" s="1">
        <v>36181</v>
      </c>
      <c r="Y3613" s="1">
        <v>50791</v>
      </c>
      <c r="Z3613" t="s">
        <v>51</v>
      </c>
      <c r="AB3613" t="s">
        <v>54</v>
      </c>
      <c r="AC3613">
        <v>1</v>
      </c>
      <c r="AE3613" t="s">
        <v>814</v>
      </c>
      <c r="AF3613">
        <v>20</v>
      </c>
      <c r="AG3613" s="1">
        <v>36181</v>
      </c>
      <c r="AH3613" s="1">
        <v>36181</v>
      </c>
      <c r="AI3613" s="1">
        <v>36181</v>
      </c>
      <c r="AJ3613" s="1">
        <v>43486</v>
      </c>
      <c r="AK3613" t="s">
        <v>51</v>
      </c>
      <c r="AN3613">
        <v>0</v>
      </c>
      <c r="AO3613" t="s">
        <v>54</v>
      </c>
      <c r="AP3613" t="s">
        <v>53</v>
      </c>
      <c r="AQ3613">
        <v>0</v>
      </c>
      <c r="AR3613" t="s">
        <v>53</v>
      </c>
      <c r="AS3613">
        <v>0</v>
      </c>
      <c r="AT3613">
        <v>0</v>
      </c>
      <c r="CC3613" t="s">
        <v>439</v>
      </c>
      <c r="CD3613">
        <v>85000</v>
      </c>
      <c r="CE3613" s="1">
        <v>42552</v>
      </c>
      <c r="CF3613" s="1">
        <v>42552</v>
      </c>
      <c r="CG3613" s="1">
        <v>42552</v>
      </c>
      <c r="CH3613" s="1">
        <v>49714</v>
      </c>
      <c r="CI3613" t="s">
        <v>51</v>
      </c>
      <c r="CK3613" t="s">
        <v>78</v>
      </c>
      <c r="CM3613" t="s">
        <v>54</v>
      </c>
      <c r="CN3613" t="s">
        <v>174</v>
      </c>
      <c r="CO3613" t="s">
        <v>86</v>
      </c>
      <c r="CR3613">
        <v>25</v>
      </c>
      <c r="CS3613">
        <v>0</v>
      </c>
      <c r="CT3613">
        <v>0</v>
      </c>
      <c r="CU3613">
        <v>0</v>
      </c>
    </row>
    <row r="3614" spans="1:99" x14ac:dyDescent="0.2">
      <c r="A3614" t="s">
        <v>425</v>
      </c>
      <c r="B3614" t="s">
        <v>425</v>
      </c>
      <c r="C3614" t="s">
        <v>425</v>
      </c>
      <c r="D3614" t="s">
        <v>1392</v>
      </c>
      <c r="F3614" t="str">
        <f>"147459"</f>
        <v>147459</v>
      </c>
      <c r="G3614" t="s">
        <v>49</v>
      </c>
      <c r="H3614" t="s">
        <v>1635</v>
      </c>
      <c r="K3614" t="s">
        <v>51</v>
      </c>
      <c r="L3614" t="s">
        <v>52</v>
      </c>
      <c r="M3614">
        <v>138181.28</v>
      </c>
      <c r="N3614">
        <v>468736.08</v>
      </c>
      <c r="O3614" t="s">
        <v>53</v>
      </c>
      <c r="P3614" t="s">
        <v>54</v>
      </c>
      <c r="Q3614" t="s">
        <v>55</v>
      </c>
      <c r="T3614" t="s">
        <v>841</v>
      </c>
      <c r="U3614">
        <v>40</v>
      </c>
      <c r="V3614" s="1">
        <v>36181</v>
      </c>
      <c r="W3614" s="1">
        <v>36181</v>
      </c>
      <c r="X3614" s="1">
        <v>36181</v>
      </c>
      <c r="Y3614" s="1">
        <v>50791</v>
      </c>
      <c r="Z3614" t="s">
        <v>51</v>
      </c>
      <c r="AB3614" t="s">
        <v>54</v>
      </c>
      <c r="AC3614">
        <v>1</v>
      </c>
      <c r="AE3614" t="s">
        <v>814</v>
      </c>
      <c r="AF3614">
        <v>20</v>
      </c>
      <c r="AG3614" s="1">
        <v>36181</v>
      </c>
      <c r="AH3614" s="1">
        <v>36181</v>
      </c>
      <c r="AI3614" s="1">
        <v>36181</v>
      </c>
      <c r="AJ3614" s="1">
        <v>43486</v>
      </c>
      <c r="AK3614" t="s">
        <v>51</v>
      </c>
      <c r="AN3614">
        <v>0</v>
      </c>
      <c r="AO3614" t="s">
        <v>54</v>
      </c>
      <c r="AP3614" t="s">
        <v>53</v>
      </c>
      <c r="AQ3614">
        <v>0</v>
      </c>
      <c r="AR3614" t="s">
        <v>53</v>
      </c>
      <c r="AS3614">
        <v>0</v>
      </c>
      <c r="AT3614">
        <v>0</v>
      </c>
      <c r="CC3614" t="s">
        <v>439</v>
      </c>
      <c r="CD3614">
        <v>85000</v>
      </c>
      <c r="CE3614" s="1">
        <v>42552</v>
      </c>
      <c r="CF3614" s="1">
        <v>42552</v>
      </c>
      <c r="CG3614" s="1">
        <v>42552</v>
      </c>
      <c r="CH3614" s="1">
        <v>49714</v>
      </c>
      <c r="CI3614" t="s">
        <v>51</v>
      </c>
      <c r="CK3614" t="s">
        <v>78</v>
      </c>
      <c r="CM3614" t="s">
        <v>54</v>
      </c>
      <c r="CN3614" t="s">
        <v>174</v>
      </c>
      <c r="CO3614" t="s">
        <v>86</v>
      </c>
      <c r="CR3614">
        <v>25</v>
      </c>
      <c r="CS3614">
        <v>0</v>
      </c>
      <c r="CT3614">
        <v>0</v>
      </c>
      <c r="CU3614">
        <v>0</v>
      </c>
    </row>
    <row r="3615" spans="1:99" x14ac:dyDescent="0.2">
      <c r="A3615" t="s">
        <v>425</v>
      </c>
      <c r="B3615" t="s">
        <v>425</v>
      </c>
      <c r="C3615" t="s">
        <v>425</v>
      </c>
      <c r="D3615" t="s">
        <v>1392</v>
      </c>
      <c r="F3615" t="str">
        <f>"147460"</f>
        <v>147460</v>
      </c>
      <c r="G3615" t="s">
        <v>49</v>
      </c>
      <c r="H3615" t="s">
        <v>1636</v>
      </c>
      <c r="K3615" t="s">
        <v>51</v>
      </c>
      <c r="L3615" t="s">
        <v>52</v>
      </c>
      <c r="M3615">
        <v>138192.17000000001</v>
      </c>
      <c r="N3615">
        <v>468714.67</v>
      </c>
      <c r="O3615" t="s">
        <v>53</v>
      </c>
      <c r="P3615" t="s">
        <v>54</v>
      </c>
      <c r="Q3615" t="s">
        <v>55</v>
      </c>
      <c r="T3615" t="s">
        <v>841</v>
      </c>
      <c r="U3615">
        <v>40</v>
      </c>
      <c r="V3615" s="1">
        <v>36181</v>
      </c>
      <c r="W3615" s="1">
        <v>36181</v>
      </c>
      <c r="X3615" s="1">
        <v>36181</v>
      </c>
      <c r="Y3615" s="1">
        <v>50791</v>
      </c>
      <c r="Z3615" t="s">
        <v>51</v>
      </c>
      <c r="AB3615" t="s">
        <v>54</v>
      </c>
      <c r="AC3615">
        <v>1</v>
      </c>
      <c r="AE3615" t="s">
        <v>814</v>
      </c>
      <c r="AF3615">
        <v>20</v>
      </c>
      <c r="AG3615" s="1">
        <v>36181</v>
      </c>
      <c r="AH3615" s="1">
        <v>36181</v>
      </c>
      <c r="AI3615" s="1">
        <v>36181</v>
      </c>
      <c r="AJ3615" s="1">
        <v>43486</v>
      </c>
      <c r="AK3615" t="s">
        <v>51</v>
      </c>
      <c r="AN3615">
        <v>0</v>
      </c>
      <c r="AO3615" t="s">
        <v>54</v>
      </c>
      <c r="AP3615" t="s">
        <v>53</v>
      </c>
      <c r="AQ3615">
        <v>0</v>
      </c>
      <c r="AR3615" t="s">
        <v>53</v>
      </c>
      <c r="AS3615">
        <v>0</v>
      </c>
      <c r="AT3615">
        <v>0</v>
      </c>
      <c r="CC3615" t="s">
        <v>439</v>
      </c>
      <c r="CD3615">
        <v>85000</v>
      </c>
      <c r="CE3615" s="1">
        <v>42552</v>
      </c>
      <c r="CF3615" s="1">
        <v>42552</v>
      </c>
      <c r="CG3615" s="1">
        <v>42552</v>
      </c>
      <c r="CH3615" s="1">
        <v>49714</v>
      </c>
      <c r="CI3615" t="s">
        <v>51</v>
      </c>
      <c r="CK3615" t="s">
        <v>78</v>
      </c>
      <c r="CM3615" t="s">
        <v>54</v>
      </c>
      <c r="CN3615" t="s">
        <v>174</v>
      </c>
      <c r="CO3615" t="s">
        <v>86</v>
      </c>
      <c r="CR3615">
        <v>25</v>
      </c>
      <c r="CS3615">
        <v>0</v>
      </c>
      <c r="CT3615">
        <v>0</v>
      </c>
      <c r="CU3615">
        <v>0</v>
      </c>
    </row>
    <row r="3616" spans="1:99" x14ac:dyDescent="0.2">
      <c r="A3616" t="s">
        <v>425</v>
      </c>
      <c r="B3616" t="s">
        <v>425</v>
      </c>
      <c r="C3616" t="s">
        <v>425</v>
      </c>
      <c r="D3616" t="s">
        <v>1392</v>
      </c>
      <c r="F3616" t="str">
        <f>"147461"</f>
        <v>147461</v>
      </c>
      <c r="G3616" t="s">
        <v>49</v>
      </c>
      <c r="H3616" t="s">
        <v>1637</v>
      </c>
      <c r="K3616" t="s">
        <v>51</v>
      </c>
      <c r="L3616" t="s">
        <v>52</v>
      </c>
      <c r="M3616">
        <v>138203.65</v>
      </c>
      <c r="N3616">
        <v>468693.35</v>
      </c>
      <c r="O3616" t="s">
        <v>53</v>
      </c>
      <c r="P3616" t="s">
        <v>54</v>
      </c>
      <c r="Q3616" t="s">
        <v>55</v>
      </c>
      <c r="T3616" t="s">
        <v>841</v>
      </c>
      <c r="U3616">
        <v>40</v>
      </c>
      <c r="V3616" s="1">
        <v>36181</v>
      </c>
      <c r="W3616" s="1">
        <v>36181</v>
      </c>
      <c r="X3616" s="1">
        <v>36181</v>
      </c>
      <c r="Y3616" s="1">
        <v>50791</v>
      </c>
      <c r="Z3616" t="s">
        <v>51</v>
      </c>
      <c r="AB3616" t="s">
        <v>54</v>
      </c>
      <c r="AC3616">
        <v>1</v>
      </c>
      <c r="AE3616" t="s">
        <v>814</v>
      </c>
      <c r="AF3616">
        <v>20</v>
      </c>
      <c r="AG3616" s="1">
        <v>36181</v>
      </c>
      <c r="AH3616" s="1">
        <v>36181</v>
      </c>
      <c r="AI3616" s="1">
        <v>36181</v>
      </c>
      <c r="AJ3616" s="1">
        <v>43486</v>
      </c>
      <c r="AK3616" t="s">
        <v>51</v>
      </c>
      <c r="AN3616">
        <v>0</v>
      </c>
      <c r="AO3616" t="s">
        <v>54</v>
      </c>
      <c r="AP3616" t="s">
        <v>53</v>
      </c>
      <c r="AQ3616">
        <v>0</v>
      </c>
      <c r="AR3616" t="s">
        <v>53</v>
      </c>
      <c r="AS3616">
        <v>0</v>
      </c>
      <c r="AT3616">
        <v>0</v>
      </c>
      <c r="CC3616" t="s">
        <v>439</v>
      </c>
      <c r="CD3616">
        <v>85000</v>
      </c>
      <c r="CE3616" s="1">
        <v>42552</v>
      </c>
      <c r="CF3616" s="1">
        <v>42552</v>
      </c>
      <c r="CG3616" s="1">
        <v>42552</v>
      </c>
      <c r="CH3616" s="1">
        <v>49714</v>
      </c>
      <c r="CI3616" t="s">
        <v>51</v>
      </c>
      <c r="CK3616" t="s">
        <v>78</v>
      </c>
      <c r="CM3616" t="s">
        <v>54</v>
      </c>
      <c r="CN3616" t="s">
        <v>174</v>
      </c>
      <c r="CO3616" t="s">
        <v>86</v>
      </c>
      <c r="CR3616">
        <v>25</v>
      </c>
      <c r="CS3616">
        <v>0</v>
      </c>
      <c r="CT3616">
        <v>0</v>
      </c>
      <c r="CU3616">
        <v>0</v>
      </c>
    </row>
    <row r="3617" spans="1:99" x14ac:dyDescent="0.2">
      <c r="A3617" t="s">
        <v>425</v>
      </c>
      <c r="B3617" t="s">
        <v>425</v>
      </c>
      <c r="C3617" t="s">
        <v>425</v>
      </c>
      <c r="D3617" t="s">
        <v>1392</v>
      </c>
      <c r="F3617" t="str">
        <f>"147462"</f>
        <v>147462</v>
      </c>
      <c r="G3617" t="s">
        <v>49</v>
      </c>
      <c r="H3617" t="s">
        <v>1638</v>
      </c>
      <c r="K3617" t="s">
        <v>51</v>
      </c>
      <c r="L3617" t="s">
        <v>52</v>
      </c>
      <c r="M3617">
        <v>138214.34</v>
      </c>
      <c r="N3617">
        <v>468672.44</v>
      </c>
      <c r="O3617" t="s">
        <v>53</v>
      </c>
      <c r="P3617" t="s">
        <v>54</v>
      </c>
      <c r="Q3617" t="s">
        <v>55</v>
      </c>
      <c r="T3617" t="s">
        <v>841</v>
      </c>
      <c r="U3617">
        <v>40</v>
      </c>
      <c r="V3617" s="1">
        <v>36181</v>
      </c>
      <c r="W3617" s="1">
        <v>36181</v>
      </c>
      <c r="X3617" s="1">
        <v>36181</v>
      </c>
      <c r="Y3617" s="1">
        <v>50791</v>
      </c>
      <c r="Z3617" t="s">
        <v>51</v>
      </c>
      <c r="AB3617" t="s">
        <v>54</v>
      </c>
      <c r="AC3617">
        <v>1</v>
      </c>
      <c r="AE3617" t="s">
        <v>814</v>
      </c>
      <c r="AF3617">
        <v>20</v>
      </c>
      <c r="AG3617" s="1">
        <v>36181</v>
      </c>
      <c r="AH3617" s="1">
        <v>36181</v>
      </c>
      <c r="AI3617" s="1">
        <v>36181</v>
      </c>
      <c r="AJ3617" s="1">
        <v>43486</v>
      </c>
      <c r="AK3617" t="s">
        <v>51</v>
      </c>
      <c r="AN3617">
        <v>0</v>
      </c>
      <c r="AO3617" t="s">
        <v>54</v>
      </c>
      <c r="AP3617" t="s">
        <v>53</v>
      </c>
      <c r="AQ3617">
        <v>0</v>
      </c>
      <c r="AR3617" t="s">
        <v>53</v>
      </c>
      <c r="AS3617">
        <v>0</v>
      </c>
      <c r="AT3617">
        <v>0</v>
      </c>
      <c r="CC3617" t="s">
        <v>439</v>
      </c>
      <c r="CD3617">
        <v>85000</v>
      </c>
      <c r="CE3617" s="1">
        <v>42552</v>
      </c>
      <c r="CF3617" s="1">
        <v>42552</v>
      </c>
      <c r="CG3617" s="1">
        <v>42552</v>
      </c>
      <c r="CH3617" s="1">
        <v>49714</v>
      </c>
      <c r="CI3617" t="s">
        <v>51</v>
      </c>
      <c r="CK3617" t="s">
        <v>78</v>
      </c>
      <c r="CM3617" t="s">
        <v>54</v>
      </c>
      <c r="CN3617" t="s">
        <v>174</v>
      </c>
      <c r="CO3617" t="s">
        <v>86</v>
      </c>
      <c r="CR3617">
        <v>25</v>
      </c>
      <c r="CS3617">
        <v>0</v>
      </c>
      <c r="CT3617">
        <v>0</v>
      </c>
      <c r="CU3617">
        <v>0</v>
      </c>
    </row>
    <row r="3618" spans="1:99" x14ac:dyDescent="0.2">
      <c r="A3618" t="s">
        <v>425</v>
      </c>
      <c r="B3618" t="s">
        <v>425</v>
      </c>
      <c r="C3618" t="s">
        <v>425</v>
      </c>
      <c r="D3618" t="s">
        <v>1392</v>
      </c>
      <c r="F3618" t="str">
        <f>"147463"</f>
        <v>147463</v>
      </c>
      <c r="G3618" t="s">
        <v>49</v>
      </c>
      <c r="H3618" t="s">
        <v>1639</v>
      </c>
      <c r="K3618" t="s">
        <v>51</v>
      </c>
      <c r="L3618" t="s">
        <v>52</v>
      </c>
      <c r="M3618">
        <v>138222.85999999999</v>
      </c>
      <c r="N3618">
        <v>468655.86</v>
      </c>
      <c r="O3618" t="s">
        <v>53</v>
      </c>
      <c r="P3618" t="s">
        <v>54</v>
      </c>
      <c r="Q3618" t="s">
        <v>55</v>
      </c>
      <c r="T3618" t="s">
        <v>841</v>
      </c>
      <c r="U3618">
        <v>40</v>
      </c>
      <c r="V3618" s="1">
        <v>44767</v>
      </c>
      <c r="W3618" s="1">
        <v>44767</v>
      </c>
      <c r="X3618" s="1">
        <v>44767</v>
      </c>
      <c r="Y3618" s="1">
        <v>59377</v>
      </c>
      <c r="Z3618" t="s">
        <v>51</v>
      </c>
      <c r="AB3618" t="s">
        <v>54</v>
      </c>
      <c r="AC3618">
        <v>1</v>
      </c>
      <c r="AE3618" t="s">
        <v>814</v>
      </c>
      <c r="AF3618">
        <v>20</v>
      </c>
      <c r="AG3618" s="1">
        <v>40989</v>
      </c>
      <c r="AH3618" s="1">
        <v>40989</v>
      </c>
      <c r="AI3618" s="1">
        <v>44767</v>
      </c>
      <c r="AJ3618" s="1">
        <v>48294</v>
      </c>
      <c r="AK3618" t="s">
        <v>51</v>
      </c>
      <c r="AN3618">
        <v>0</v>
      </c>
      <c r="AO3618" t="s">
        <v>54</v>
      </c>
      <c r="AP3618" t="s">
        <v>53</v>
      </c>
      <c r="AQ3618">
        <v>0</v>
      </c>
      <c r="AR3618" t="s">
        <v>53</v>
      </c>
      <c r="AS3618">
        <v>0</v>
      </c>
      <c r="AT3618">
        <v>0</v>
      </c>
      <c r="CC3618" t="s">
        <v>439</v>
      </c>
      <c r="CD3618">
        <v>85000</v>
      </c>
      <c r="CE3618" s="1">
        <v>42552</v>
      </c>
      <c r="CF3618" s="1">
        <v>42552</v>
      </c>
      <c r="CG3618" s="1">
        <v>44767</v>
      </c>
      <c r="CH3618" s="1">
        <v>49714</v>
      </c>
      <c r="CI3618" t="s">
        <v>51</v>
      </c>
      <c r="CK3618" t="s">
        <v>78</v>
      </c>
      <c r="CM3618" t="s">
        <v>54</v>
      </c>
      <c r="CN3618" t="s">
        <v>174</v>
      </c>
      <c r="CO3618" t="s">
        <v>86</v>
      </c>
      <c r="CR3618">
        <v>25</v>
      </c>
      <c r="CS3618">
        <v>0</v>
      </c>
      <c r="CT3618">
        <v>0</v>
      </c>
      <c r="CU3618">
        <v>0</v>
      </c>
    </row>
    <row r="3619" spans="1:99" x14ac:dyDescent="0.2">
      <c r="A3619" t="s">
        <v>425</v>
      </c>
      <c r="B3619" t="s">
        <v>425</v>
      </c>
      <c r="C3619" t="s">
        <v>425</v>
      </c>
      <c r="D3619" t="s">
        <v>1392</v>
      </c>
      <c r="F3619" t="str">
        <f>"147464"</f>
        <v>147464</v>
      </c>
      <c r="G3619" t="s">
        <v>49</v>
      </c>
      <c r="H3619" t="s">
        <v>1640</v>
      </c>
      <c r="K3619" t="s">
        <v>51</v>
      </c>
      <c r="L3619" t="s">
        <v>52</v>
      </c>
      <c r="M3619">
        <v>138233.70000000001</v>
      </c>
      <c r="N3619">
        <v>468635.11</v>
      </c>
      <c r="O3619" t="s">
        <v>53</v>
      </c>
      <c r="P3619" t="s">
        <v>54</v>
      </c>
      <c r="Q3619" t="s">
        <v>55</v>
      </c>
      <c r="T3619" t="s">
        <v>841</v>
      </c>
      <c r="U3619">
        <v>40</v>
      </c>
      <c r="V3619" s="1">
        <v>36305</v>
      </c>
      <c r="W3619" s="1">
        <v>36305</v>
      </c>
      <c r="X3619" s="1">
        <v>36305</v>
      </c>
      <c r="Y3619" s="1">
        <v>50915</v>
      </c>
      <c r="Z3619" t="s">
        <v>51</v>
      </c>
      <c r="AB3619" t="s">
        <v>54</v>
      </c>
      <c r="AC3619">
        <v>1</v>
      </c>
      <c r="AE3619" t="s">
        <v>814</v>
      </c>
      <c r="AF3619">
        <v>20</v>
      </c>
      <c r="AG3619" s="1">
        <v>36305</v>
      </c>
      <c r="AH3619" s="1">
        <v>36305</v>
      </c>
      <c r="AI3619" s="1">
        <v>36305</v>
      </c>
      <c r="AJ3619" s="1">
        <v>43610</v>
      </c>
      <c r="AK3619" t="s">
        <v>51</v>
      </c>
      <c r="AN3619">
        <v>0</v>
      </c>
      <c r="AO3619" t="s">
        <v>54</v>
      </c>
      <c r="AP3619" t="s">
        <v>53</v>
      </c>
      <c r="AQ3619">
        <v>0</v>
      </c>
      <c r="AR3619" t="s">
        <v>53</v>
      </c>
      <c r="AS3619">
        <v>0</v>
      </c>
      <c r="AT3619">
        <v>0</v>
      </c>
      <c r="CC3619" t="s">
        <v>439</v>
      </c>
      <c r="CD3619">
        <v>85000</v>
      </c>
      <c r="CE3619" s="1">
        <v>42552</v>
      </c>
      <c r="CF3619" s="1">
        <v>42552</v>
      </c>
      <c r="CG3619" s="1">
        <v>42552</v>
      </c>
      <c r="CH3619" s="1">
        <v>49714</v>
      </c>
      <c r="CI3619" t="s">
        <v>51</v>
      </c>
      <c r="CK3619" t="s">
        <v>78</v>
      </c>
      <c r="CM3619" t="s">
        <v>54</v>
      </c>
      <c r="CN3619" t="s">
        <v>174</v>
      </c>
      <c r="CO3619" t="s">
        <v>86</v>
      </c>
      <c r="CR3619">
        <v>25</v>
      </c>
      <c r="CS3619">
        <v>0</v>
      </c>
      <c r="CT3619">
        <v>0</v>
      </c>
      <c r="CU3619">
        <v>0</v>
      </c>
    </row>
    <row r="3620" spans="1:99" x14ac:dyDescent="0.2">
      <c r="A3620" t="s">
        <v>425</v>
      </c>
      <c r="B3620" t="s">
        <v>425</v>
      </c>
      <c r="C3620" t="s">
        <v>425</v>
      </c>
      <c r="D3620" t="s">
        <v>1392</v>
      </c>
      <c r="F3620" t="str">
        <f>"147465"</f>
        <v>147465</v>
      </c>
      <c r="G3620" t="s">
        <v>49</v>
      </c>
      <c r="H3620" t="s">
        <v>1641</v>
      </c>
      <c r="K3620" t="s">
        <v>51</v>
      </c>
      <c r="L3620" t="s">
        <v>52</v>
      </c>
      <c r="M3620">
        <v>138247.98000000001</v>
      </c>
      <c r="N3620">
        <v>468609.24</v>
      </c>
      <c r="O3620" t="s">
        <v>53</v>
      </c>
      <c r="P3620" t="s">
        <v>54</v>
      </c>
      <c r="Q3620" t="s">
        <v>55</v>
      </c>
      <c r="T3620" t="s">
        <v>841</v>
      </c>
      <c r="U3620">
        <v>40</v>
      </c>
      <c r="V3620" s="1">
        <v>36181</v>
      </c>
      <c r="W3620" s="1">
        <v>36181</v>
      </c>
      <c r="X3620" s="1">
        <v>36181</v>
      </c>
      <c r="Y3620" s="1">
        <v>50791</v>
      </c>
      <c r="Z3620" t="s">
        <v>51</v>
      </c>
      <c r="AB3620" t="s">
        <v>54</v>
      </c>
      <c r="AC3620">
        <v>1</v>
      </c>
      <c r="AE3620" t="s">
        <v>356</v>
      </c>
      <c r="AF3620">
        <v>20</v>
      </c>
      <c r="AG3620" s="1">
        <v>43633</v>
      </c>
      <c r="AH3620" s="1">
        <v>43633</v>
      </c>
      <c r="AI3620" s="1">
        <v>43633</v>
      </c>
      <c r="AJ3620" s="1">
        <v>50938</v>
      </c>
      <c r="AK3620" t="s">
        <v>51</v>
      </c>
      <c r="AN3620">
        <v>0</v>
      </c>
      <c r="AO3620" t="s">
        <v>54</v>
      </c>
      <c r="AP3620" t="s">
        <v>53</v>
      </c>
      <c r="AQ3620">
        <v>0</v>
      </c>
      <c r="AR3620" t="s">
        <v>145</v>
      </c>
      <c r="AS3620">
        <v>0</v>
      </c>
      <c r="AT3620">
        <v>0</v>
      </c>
      <c r="CC3620" t="s">
        <v>250</v>
      </c>
      <c r="CD3620">
        <v>100000</v>
      </c>
      <c r="CE3620" s="1">
        <v>43633</v>
      </c>
      <c r="CF3620" s="1">
        <v>43633</v>
      </c>
      <c r="CG3620" s="1">
        <v>43633</v>
      </c>
      <c r="CH3620" s="1">
        <v>52109</v>
      </c>
      <c r="CI3620" t="s">
        <v>51</v>
      </c>
      <c r="CK3620" t="s">
        <v>78</v>
      </c>
      <c r="CM3620" t="s">
        <v>54</v>
      </c>
      <c r="CN3620" t="s">
        <v>174</v>
      </c>
      <c r="CR3620">
        <v>13.2</v>
      </c>
      <c r="CS3620">
        <v>1800</v>
      </c>
      <c r="CT3620">
        <v>0</v>
      </c>
      <c r="CU3620">
        <v>16</v>
      </c>
    </row>
    <row r="3621" spans="1:99" x14ac:dyDescent="0.2">
      <c r="A3621" t="s">
        <v>425</v>
      </c>
      <c r="B3621" t="s">
        <v>425</v>
      </c>
      <c r="C3621" t="s">
        <v>425</v>
      </c>
      <c r="D3621" t="s">
        <v>1392</v>
      </c>
      <c r="F3621" t="str">
        <f>"147466"</f>
        <v>147466</v>
      </c>
      <c r="G3621" t="s">
        <v>49</v>
      </c>
      <c r="H3621" t="s">
        <v>1642</v>
      </c>
      <c r="K3621" t="s">
        <v>51</v>
      </c>
      <c r="L3621" t="s">
        <v>52</v>
      </c>
      <c r="M3621">
        <v>138262.99</v>
      </c>
      <c r="N3621">
        <v>468579.87</v>
      </c>
      <c r="O3621" t="s">
        <v>53</v>
      </c>
      <c r="P3621" t="s">
        <v>54</v>
      </c>
      <c r="Q3621" t="s">
        <v>55</v>
      </c>
      <c r="T3621" t="s">
        <v>841</v>
      </c>
      <c r="U3621">
        <v>40</v>
      </c>
      <c r="V3621" s="1">
        <v>36181</v>
      </c>
      <c r="W3621" s="1">
        <v>36181</v>
      </c>
      <c r="X3621" s="1">
        <v>36181</v>
      </c>
      <c r="Y3621" s="1">
        <v>50791</v>
      </c>
      <c r="Z3621" t="s">
        <v>51</v>
      </c>
      <c r="AB3621" t="s">
        <v>54</v>
      </c>
      <c r="AC3621">
        <v>1</v>
      </c>
      <c r="AE3621" t="s">
        <v>814</v>
      </c>
      <c r="AF3621">
        <v>20</v>
      </c>
      <c r="AG3621" s="1">
        <v>36181</v>
      </c>
      <c r="AH3621" s="1">
        <v>36181</v>
      </c>
      <c r="AI3621" s="1">
        <v>36181</v>
      </c>
      <c r="AJ3621" s="1">
        <v>43486</v>
      </c>
      <c r="AK3621" t="s">
        <v>51</v>
      </c>
      <c r="AN3621">
        <v>0</v>
      </c>
      <c r="AO3621" t="s">
        <v>54</v>
      </c>
      <c r="AP3621" t="s">
        <v>53</v>
      </c>
      <c r="AQ3621">
        <v>0</v>
      </c>
      <c r="AR3621" t="s">
        <v>53</v>
      </c>
      <c r="AS3621">
        <v>0</v>
      </c>
      <c r="AT3621">
        <v>0</v>
      </c>
      <c r="CC3621" t="s">
        <v>439</v>
      </c>
      <c r="CD3621">
        <v>85000</v>
      </c>
      <c r="CE3621" s="1">
        <v>42552</v>
      </c>
      <c r="CF3621" s="1">
        <v>42552</v>
      </c>
      <c r="CG3621" s="1">
        <v>42552</v>
      </c>
      <c r="CH3621" s="1">
        <v>49714</v>
      </c>
      <c r="CI3621" t="s">
        <v>51</v>
      </c>
      <c r="CK3621" t="s">
        <v>78</v>
      </c>
      <c r="CM3621" t="s">
        <v>54</v>
      </c>
      <c r="CN3621" t="s">
        <v>174</v>
      </c>
      <c r="CO3621" t="s">
        <v>86</v>
      </c>
      <c r="CR3621">
        <v>25</v>
      </c>
      <c r="CS3621">
        <v>0</v>
      </c>
      <c r="CT3621">
        <v>0</v>
      </c>
      <c r="CU3621">
        <v>0</v>
      </c>
    </row>
    <row r="3622" spans="1:99" x14ac:dyDescent="0.2">
      <c r="A3622" t="s">
        <v>425</v>
      </c>
      <c r="B3622" t="s">
        <v>425</v>
      </c>
      <c r="C3622" t="s">
        <v>425</v>
      </c>
      <c r="D3622" t="s">
        <v>1392</v>
      </c>
      <c r="F3622" t="str">
        <f>"147467"</f>
        <v>147467</v>
      </c>
      <c r="G3622" t="s">
        <v>49</v>
      </c>
      <c r="H3622" t="s">
        <v>1642</v>
      </c>
      <c r="K3622" t="s">
        <v>51</v>
      </c>
      <c r="L3622" t="s">
        <v>52</v>
      </c>
      <c r="M3622">
        <v>138277.51999999999</v>
      </c>
      <c r="N3622">
        <v>468552.7</v>
      </c>
      <c r="O3622" t="s">
        <v>53</v>
      </c>
      <c r="P3622" t="s">
        <v>54</v>
      </c>
      <c r="Q3622" t="s">
        <v>55</v>
      </c>
      <c r="T3622" t="s">
        <v>841</v>
      </c>
      <c r="U3622">
        <v>40</v>
      </c>
      <c r="V3622" s="1">
        <v>36181</v>
      </c>
      <c r="W3622" s="1">
        <v>36181</v>
      </c>
      <c r="X3622" s="1">
        <v>36181</v>
      </c>
      <c r="Y3622" s="1">
        <v>50791</v>
      </c>
      <c r="Z3622" t="s">
        <v>51</v>
      </c>
      <c r="AB3622" t="s">
        <v>54</v>
      </c>
      <c r="AC3622">
        <v>1</v>
      </c>
      <c r="AE3622" t="s">
        <v>814</v>
      </c>
      <c r="AF3622">
        <v>20</v>
      </c>
      <c r="AG3622" s="1">
        <v>36181</v>
      </c>
      <c r="AH3622" s="1">
        <v>36181</v>
      </c>
      <c r="AI3622" s="1">
        <v>36181</v>
      </c>
      <c r="AJ3622" s="1">
        <v>43486</v>
      </c>
      <c r="AK3622" t="s">
        <v>51</v>
      </c>
      <c r="AN3622">
        <v>0</v>
      </c>
      <c r="AO3622" t="s">
        <v>54</v>
      </c>
      <c r="AP3622" t="s">
        <v>53</v>
      </c>
      <c r="AQ3622">
        <v>0</v>
      </c>
      <c r="AR3622" t="s">
        <v>53</v>
      </c>
      <c r="AS3622">
        <v>0</v>
      </c>
      <c r="AT3622">
        <v>0</v>
      </c>
      <c r="CC3622" t="s">
        <v>439</v>
      </c>
      <c r="CD3622">
        <v>85000</v>
      </c>
      <c r="CE3622" s="1">
        <v>42552</v>
      </c>
      <c r="CF3622" s="1">
        <v>42552</v>
      </c>
      <c r="CG3622" s="1">
        <v>42552</v>
      </c>
      <c r="CH3622" s="1">
        <v>49714</v>
      </c>
      <c r="CI3622" t="s">
        <v>51</v>
      </c>
      <c r="CK3622" t="s">
        <v>78</v>
      </c>
      <c r="CM3622" t="s">
        <v>54</v>
      </c>
      <c r="CN3622" t="s">
        <v>174</v>
      </c>
      <c r="CO3622" t="s">
        <v>86</v>
      </c>
      <c r="CR3622">
        <v>25</v>
      </c>
      <c r="CS3622">
        <v>0</v>
      </c>
      <c r="CT3622">
        <v>0</v>
      </c>
      <c r="CU3622">
        <v>0</v>
      </c>
    </row>
    <row r="3623" spans="1:99" x14ac:dyDescent="0.2">
      <c r="A3623" t="s">
        <v>425</v>
      </c>
      <c r="B3623" t="s">
        <v>425</v>
      </c>
      <c r="C3623" t="s">
        <v>425</v>
      </c>
      <c r="D3623" t="s">
        <v>1392</v>
      </c>
      <c r="F3623" t="str">
        <f>"147468"</f>
        <v>147468</v>
      </c>
      <c r="G3623" t="s">
        <v>49</v>
      </c>
      <c r="H3623" t="s">
        <v>1643</v>
      </c>
      <c r="K3623" t="s">
        <v>51</v>
      </c>
      <c r="L3623" t="s">
        <v>52</v>
      </c>
      <c r="M3623">
        <v>138291.73000000001</v>
      </c>
      <c r="N3623">
        <v>468524.16</v>
      </c>
      <c r="O3623" t="s">
        <v>53</v>
      </c>
      <c r="P3623" t="s">
        <v>54</v>
      </c>
      <c r="Q3623" t="s">
        <v>55</v>
      </c>
      <c r="T3623" t="s">
        <v>841</v>
      </c>
      <c r="U3623">
        <v>40</v>
      </c>
      <c r="V3623" s="1">
        <v>36181</v>
      </c>
      <c r="W3623" s="1">
        <v>36181</v>
      </c>
      <c r="X3623" s="1">
        <v>36181</v>
      </c>
      <c r="Y3623" s="1">
        <v>50791</v>
      </c>
      <c r="Z3623" t="s">
        <v>51</v>
      </c>
      <c r="AB3623" t="s">
        <v>54</v>
      </c>
      <c r="AC3623">
        <v>1</v>
      </c>
      <c r="AE3623" t="s">
        <v>814</v>
      </c>
      <c r="AF3623">
        <v>20</v>
      </c>
      <c r="AG3623" s="1">
        <v>36181</v>
      </c>
      <c r="AH3623" s="1">
        <v>36181</v>
      </c>
      <c r="AI3623" s="1">
        <v>36181</v>
      </c>
      <c r="AJ3623" s="1">
        <v>43486</v>
      </c>
      <c r="AK3623" t="s">
        <v>51</v>
      </c>
      <c r="AN3623">
        <v>0</v>
      </c>
      <c r="AO3623" t="s">
        <v>54</v>
      </c>
      <c r="AP3623" t="s">
        <v>53</v>
      </c>
      <c r="AQ3623">
        <v>0</v>
      </c>
      <c r="AR3623" t="s">
        <v>53</v>
      </c>
      <c r="AS3623">
        <v>0</v>
      </c>
      <c r="AT3623">
        <v>0</v>
      </c>
      <c r="CC3623" t="s">
        <v>439</v>
      </c>
      <c r="CD3623">
        <v>85000</v>
      </c>
      <c r="CE3623" s="1">
        <v>42552</v>
      </c>
      <c r="CF3623" s="1">
        <v>42552</v>
      </c>
      <c r="CG3623" s="1">
        <v>42552</v>
      </c>
      <c r="CH3623" s="1">
        <v>49714</v>
      </c>
      <c r="CI3623" t="s">
        <v>51</v>
      </c>
      <c r="CK3623" t="s">
        <v>78</v>
      </c>
      <c r="CM3623" t="s">
        <v>54</v>
      </c>
      <c r="CN3623" t="s">
        <v>174</v>
      </c>
      <c r="CO3623" t="s">
        <v>86</v>
      </c>
      <c r="CR3623">
        <v>25</v>
      </c>
      <c r="CS3623">
        <v>0</v>
      </c>
      <c r="CT3623">
        <v>0</v>
      </c>
      <c r="CU3623">
        <v>0</v>
      </c>
    </row>
    <row r="3624" spans="1:99" x14ac:dyDescent="0.2">
      <c r="A3624" t="s">
        <v>425</v>
      </c>
      <c r="B3624" t="s">
        <v>425</v>
      </c>
      <c r="C3624" t="s">
        <v>425</v>
      </c>
      <c r="D3624" t="s">
        <v>1392</v>
      </c>
      <c r="F3624" t="str">
        <f>"147469"</f>
        <v>147469</v>
      </c>
      <c r="G3624" t="s">
        <v>49</v>
      </c>
      <c r="H3624" t="s">
        <v>1644</v>
      </c>
      <c r="K3624" t="s">
        <v>51</v>
      </c>
      <c r="L3624" t="s">
        <v>52</v>
      </c>
      <c r="M3624">
        <v>138302.47</v>
      </c>
      <c r="N3624">
        <v>468501.83</v>
      </c>
      <c r="O3624" t="s">
        <v>53</v>
      </c>
      <c r="P3624" t="s">
        <v>54</v>
      </c>
      <c r="Q3624" t="s">
        <v>55</v>
      </c>
      <c r="T3624" t="s">
        <v>841</v>
      </c>
      <c r="U3624">
        <v>40</v>
      </c>
      <c r="V3624" s="1">
        <v>36181</v>
      </c>
      <c r="W3624" s="1">
        <v>36181</v>
      </c>
      <c r="X3624" s="1">
        <v>36181</v>
      </c>
      <c r="Y3624" s="1">
        <v>50791</v>
      </c>
      <c r="Z3624" t="s">
        <v>51</v>
      </c>
      <c r="AB3624" t="s">
        <v>54</v>
      </c>
      <c r="AC3624">
        <v>1</v>
      </c>
      <c r="AE3624" t="s">
        <v>814</v>
      </c>
      <c r="AF3624">
        <v>20</v>
      </c>
      <c r="AG3624" s="1">
        <v>36181</v>
      </c>
      <c r="AH3624" s="1">
        <v>36181</v>
      </c>
      <c r="AI3624" s="1">
        <v>36181</v>
      </c>
      <c r="AJ3624" s="1">
        <v>43486</v>
      </c>
      <c r="AK3624" t="s">
        <v>51</v>
      </c>
      <c r="AN3624">
        <v>0</v>
      </c>
      <c r="AO3624" t="s">
        <v>54</v>
      </c>
      <c r="AP3624" t="s">
        <v>53</v>
      </c>
      <c r="AQ3624">
        <v>0</v>
      </c>
      <c r="AR3624" t="s">
        <v>53</v>
      </c>
      <c r="AS3624">
        <v>0</v>
      </c>
      <c r="AT3624">
        <v>0</v>
      </c>
      <c r="CC3624" t="s">
        <v>439</v>
      </c>
      <c r="CD3624">
        <v>85000</v>
      </c>
      <c r="CE3624" s="1">
        <v>42552</v>
      </c>
      <c r="CF3624" s="1">
        <v>42552</v>
      </c>
      <c r="CG3624" s="1">
        <v>42552</v>
      </c>
      <c r="CH3624" s="1">
        <v>49714</v>
      </c>
      <c r="CI3624" t="s">
        <v>51</v>
      </c>
      <c r="CK3624" t="s">
        <v>78</v>
      </c>
      <c r="CM3624" t="s">
        <v>54</v>
      </c>
      <c r="CN3624" t="s">
        <v>174</v>
      </c>
      <c r="CO3624" t="s">
        <v>86</v>
      </c>
      <c r="CR3624">
        <v>25</v>
      </c>
      <c r="CS3624">
        <v>0</v>
      </c>
      <c r="CT3624">
        <v>0</v>
      </c>
      <c r="CU3624">
        <v>0</v>
      </c>
    </row>
    <row r="3625" spans="1:99" x14ac:dyDescent="0.2">
      <c r="A3625" t="s">
        <v>425</v>
      </c>
      <c r="B3625" t="s">
        <v>425</v>
      </c>
      <c r="C3625" t="s">
        <v>425</v>
      </c>
      <c r="D3625" t="s">
        <v>1392</v>
      </c>
      <c r="F3625" t="str">
        <f>"147472"</f>
        <v>147472</v>
      </c>
      <c r="G3625" t="s">
        <v>49</v>
      </c>
      <c r="H3625" t="s">
        <v>1645</v>
      </c>
      <c r="K3625" t="s">
        <v>51</v>
      </c>
      <c r="L3625" t="s">
        <v>52</v>
      </c>
      <c r="M3625">
        <v>138334.01999999999</v>
      </c>
      <c r="N3625">
        <v>468437.14</v>
      </c>
      <c r="O3625" t="s">
        <v>53</v>
      </c>
      <c r="P3625" t="s">
        <v>54</v>
      </c>
      <c r="Q3625" t="s">
        <v>55</v>
      </c>
      <c r="T3625" t="s">
        <v>841</v>
      </c>
      <c r="U3625">
        <v>40</v>
      </c>
      <c r="V3625" s="1">
        <v>36181</v>
      </c>
      <c r="W3625" s="1">
        <v>36181</v>
      </c>
      <c r="X3625" s="1">
        <v>36181</v>
      </c>
      <c r="Y3625" s="1">
        <v>50791</v>
      </c>
      <c r="Z3625" t="s">
        <v>51</v>
      </c>
      <c r="AB3625" t="s">
        <v>54</v>
      </c>
      <c r="AC3625">
        <v>1</v>
      </c>
      <c r="AE3625" t="s">
        <v>814</v>
      </c>
      <c r="AF3625">
        <v>20</v>
      </c>
      <c r="AG3625" s="1">
        <v>36181</v>
      </c>
      <c r="AH3625" s="1">
        <v>36181</v>
      </c>
      <c r="AI3625" s="1">
        <v>36181</v>
      </c>
      <c r="AJ3625" s="1">
        <v>43486</v>
      </c>
      <c r="AK3625" t="s">
        <v>51</v>
      </c>
      <c r="AN3625">
        <v>0</v>
      </c>
      <c r="AO3625" t="s">
        <v>54</v>
      </c>
      <c r="AP3625" t="s">
        <v>53</v>
      </c>
      <c r="AQ3625">
        <v>0</v>
      </c>
      <c r="AR3625" t="s">
        <v>53</v>
      </c>
      <c r="AS3625">
        <v>0</v>
      </c>
      <c r="AT3625">
        <v>0</v>
      </c>
      <c r="CC3625" t="s">
        <v>439</v>
      </c>
      <c r="CD3625">
        <v>85000</v>
      </c>
      <c r="CE3625" s="1">
        <v>42552</v>
      </c>
      <c r="CF3625" s="1">
        <v>42552</v>
      </c>
      <c r="CG3625" s="1">
        <v>42552</v>
      </c>
      <c r="CH3625" s="1">
        <v>49714</v>
      </c>
      <c r="CI3625" t="s">
        <v>51</v>
      </c>
      <c r="CK3625" t="s">
        <v>78</v>
      </c>
      <c r="CM3625" t="s">
        <v>54</v>
      </c>
      <c r="CN3625" t="s">
        <v>174</v>
      </c>
      <c r="CO3625" t="s">
        <v>86</v>
      </c>
      <c r="CR3625">
        <v>25</v>
      </c>
      <c r="CS3625">
        <v>0</v>
      </c>
      <c r="CT3625">
        <v>0</v>
      </c>
      <c r="CU3625">
        <v>0</v>
      </c>
    </row>
    <row r="3626" spans="1:99" x14ac:dyDescent="0.2">
      <c r="A3626" t="s">
        <v>425</v>
      </c>
      <c r="B3626" t="s">
        <v>425</v>
      </c>
      <c r="C3626" t="s">
        <v>425</v>
      </c>
      <c r="D3626" t="s">
        <v>1392</v>
      </c>
      <c r="F3626" t="str">
        <f>"147473"</f>
        <v>147473</v>
      </c>
      <c r="G3626" t="s">
        <v>49</v>
      </c>
      <c r="H3626" t="s">
        <v>1646</v>
      </c>
      <c r="K3626" t="s">
        <v>51</v>
      </c>
      <c r="L3626" t="s">
        <v>52</v>
      </c>
      <c r="M3626">
        <v>138348.26999999999</v>
      </c>
      <c r="N3626">
        <v>468407.64</v>
      </c>
      <c r="O3626" t="s">
        <v>53</v>
      </c>
      <c r="P3626" t="s">
        <v>54</v>
      </c>
      <c r="Q3626" t="s">
        <v>55</v>
      </c>
      <c r="T3626" t="s">
        <v>841</v>
      </c>
      <c r="U3626">
        <v>40</v>
      </c>
      <c r="V3626" s="1">
        <v>36181</v>
      </c>
      <c r="W3626" s="1">
        <v>36181</v>
      </c>
      <c r="X3626" s="1">
        <v>36181</v>
      </c>
      <c r="Y3626" s="1">
        <v>50791</v>
      </c>
      <c r="Z3626" t="s">
        <v>51</v>
      </c>
      <c r="AB3626" t="s">
        <v>54</v>
      </c>
      <c r="AC3626">
        <v>1</v>
      </c>
      <c r="AE3626" t="s">
        <v>814</v>
      </c>
      <c r="AF3626">
        <v>20</v>
      </c>
      <c r="AG3626" s="1">
        <v>36181</v>
      </c>
      <c r="AH3626" s="1">
        <v>36181</v>
      </c>
      <c r="AI3626" s="1">
        <v>36181</v>
      </c>
      <c r="AJ3626" s="1">
        <v>43486</v>
      </c>
      <c r="AK3626" t="s">
        <v>51</v>
      </c>
      <c r="AN3626">
        <v>0</v>
      </c>
      <c r="AO3626" t="s">
        <v>54</v>
      </c>
      <c r="AP3626" t="s">
        <v>53</v>
      </c>
      <c r="AQ3626">
        <v>0</v>
      </c>
      <c r="AR3626" t="s">
        <v>53</v>
      </c>
      <c r="AS3626">
        <v>0</v>
      </c>
      <c r="AT3626">
        <v>0</v>
      </c>
      <c r="CC3626" t="s">
        <v>439</v>
      </c>
      <c r="CD3626">
        <v>85000</v>
      </c>
      <c r="CE3626" s="1">
        <v>42552</v>
      </c>
      <c r="CF3626" s="1">
        <v>42552</v>
      </c>
      <c r="CG3626" s="1">
        <v>42552</v>
      </c>
      <c r="CH3626" s="1">
        <v>49714</v>
      </c>
      <c r="CI3626" t="s">
        <v>51</v>
      </c>
      <c r="CK3626" t="s">
        <v>78</v>
      </c>
      <c r="CM3626" t="s">
        <v>54</v>
      </c>
      <c r="CN3626" t="s">
        <v>174</v>
      </c>
      <c r="CO3626" t="s">
        <v>86</v>
      </c>
      <c r="CR3626">
        <v>25</v>
      </c>
      <c r="CS3626">
        <v>0</v>
      </c>
      <c r="CT3626">
        <v>0</v>
      </c>
      <c r="CU3626">
        <v>0</v>
      </c>
    </row>
    <row r="3627" spans="1:99" x14ac:dyDescent="0.2">
      <c r="A3627" t="s">
        <v>425</v>
      </c>
      <c r="B3627" t="s">
        <v>425</v>
      </c>
      <c r="C3627" t="s">
        <v>425</v>
      </c>
      <c r="D3627" t="s">
        <v>1392</v>
      </c>
      <c r="F3627" t="str">
        <f>"147474"</f>
        <v>147474</v>
      </c>
      <c r="G3627" t="s">
        <v>49</v>
      </c>
      <c r="H3627" t="s">
        <v>1647</v>
      </c>
      <c r="K3627" t="s">
        <v>51</v>
      </c>
      <c r="L3627" t="s">
        <v>52</v>
      </c>
      <c r="M3627">
        <v>138362.42000000001</v>
      </c>
      <c r="N3627">
        <v>468379.78</v>
      </c>
      <c r="O3627" t="s">
        <v>53</v>
      </c>
      <c r="P3627" t="s">
        <v>54</v>
      </c>
      <c r="Q3627" t="s">
        <v>55</v>
      </c>
      <c r="T3627" t="s">
        <v>841</v>
      </c>
      <c r="U3627">
        <v>40</v>
      </c>
      <c r="V3627" s="1">
        <v>36181</v>
      </c>
      <c r="W3627" s="1">
        <v>36181</v>
      </c>
      <c r="X3627" s="1">
        <v>36181</v>
      </c>
      <c r="Y3627" s="1">
        <v>50791</v>
      </c>
      <c r="Z3627" t="s">
        <v>51</v>
      </c>
      <c r="AB3627" t="s">
        <v>54</v>
      </c>
      <c r="AC3627">
        <v>1</v>
      </c>
      <c r="AE3627" t="s">
        <v>814</v>
      </c>
      <c r="AF3627">
        <v>20</v>
      </c>
      <c r="AG3627" s="1">
        <v>36181</v>
      </c>
      <c r="AH3627" s="1">
        <v>36181</v>
      </c>
      <c r="AI3627" s="1">
        <v>36181</v>
      </c>
      <c r="AJ3627" s="1">
        <v>43486</v>
      </c>
      <c r="AK3627" t="s">
        <v>51</v>
      </c>
      <c r="AN3627">
        <v>0</v>
      </c>
      <c r="AO3627" t="s">
        <v>54</v>
      </c>
      <c r="AP3627" t="s">
        <v>53</v>
      </c>
      <c r="AQ3627">
        <v>0</v>
      </c>
      <c r="AR3627" t="s">
        <v>53</v>
      </c>
      <c r="AS3627">
        <v>0</v>
      </c>
      <c r="AT3627">
        <v>0</v>
      </c>
      <c r="CC3627" t="s">
        <v>439</v>
      </c>
      <c r="CD3627">
        <v>85000</v>
      </c>
      <c r="CE3627" s="1">
        <v>42552</v>
      </c>
      <c r="CF3627" s="1">
        <v>42552</v>
      </c>
      <c r="CG3627" s="1">
        <v>42552</v>
      </c>
      <c r="CH3627" s="1">
        <v>49714</v>
      </c>
      <c r="CI3627" t="s">
        <v>51</v>
      </c>
      <c r="CK3627" t="s">
        <v>78</v>
      </c>
      <c r="CM3627" t="s">
        <v>54</v>
      </c>
      <c r="CN3627" t="s">
        <v>174</v>
      </c>
      <c r="CO3627" t="s">
        <v>86</v>
      </c>
      <c r="CR3627">
        <v>25</v>
      </c>
      <c r="CS3627">
        <v>0</v>
      </c>
      <c r="CT3627">
        <v>0</v>
      </c>
      <c r="CU3627">
        <v>0</v>
      </c>
    </row>
    <row r="3628" spans="1:99" x14ac:dyDescent="0.2">
      <c r="A3628" t="s">
        <v>425</v>
      </c>
      <c r="B3628" t="s">
        <v>425</v>
      </c>
      <c r="C3628" t="s">
        <v>425</v>
      </c>
      <c r="D3628" t="s">
        <v>1392</v>
      </c>
      <c r="F3628" t="str">
        <f>"147475"</f>
        <v>147475</v>
      </c>
      <c r="G3628" t="s">
        <v>49</v>
      </c>
      <c r="H3628" t="s">
        <v>1648</v>
      </c>
      <c r="K3628" t="s">
        <v>51</v>
      </c>
      <c r="L3628" t="s">
        <v>52</v>
      </c>
      <c r="M3628">
        <v>138376.26999999999</v>
      </c>
      <c r="N3628">
        <v>468350.49</v>
      </c>
      <c r="O3628" t="s">
        <v>53</v>
      </c>
      <c r="P3628" t="s">
        <v>54</v>
      </c>
      <c r="Q3628" t="s">
        <v>55</v>
      </c>
      <c r="T3628" t="s">
        <v>841</v>
      </c>
      <c r="U3628">
        <v>40</v>
      </c>
      <c r="V3628" s="1">
        <v>36181</v>
      </c>
      <c r="W3628" s="1">
        <v>36181</v>
      </c>
      <c r="X3628" s="1">
        <v>36181</v>
      </c>
      <c r="Y3628" s="1">
        <v>50791</v>
      </c>
      <c r="Z3628" t="s">
        <v>51</v>
      </c>
      <c r="AB3628" t="s">
        <v>54</v>
      </c>
      <c r="AC3628">
        <v>1</v>
      </c>
      <c r="AE3628" t="s">
        <v>814</v>
      </c>
      <c r="AF3628">
        <v>20</v>
      </c>
      <c r="AG3628" s="1">
        <v>36181</v>
      </c>
      <c r="AH3628" s="1">
        <v>36181</v>
      </c>
      <c r="AI3628" s="1">
        <v>36181</v>
      </c>
      <c r="AJ3628" s="1">
        <v>43486</v>
      </c>
      <c r="AK3628" t="s">
        <v>51</v>
      </c>
      <c r="AN3628">
        <v>0</v>
      </c>
      <c r="AO3628" t="s">
        <v>54</v>
      </c>
      <c r="AP3628" t="s">
        <v>53</v>
      </c>
      <c r="AQ3628">
        <v>0</v>
      </c>
      <c r="AR3628" t="s">
        <v>53</v>
      </c>
      <c r="AS3628">
        <v>0</v>
      </c>
      <c r="AT3628">
        <v>0</v>
      </c>
      <c r="CC3628" t="s">
        <v>439</v>
      </c>
      <c r="CD3628">
        <v>85000</v>
      </c>
      <c r="CE3628" s="1">
        <v>42552</v>
      </c>
      <c r="CF3628" s="1">
        <v>42552</v>
      </c>
      <c r="CG3628" s="1">
        <v>42552</v>
      </c>
      <c r="CH3628" s="1">
        <v>49714</v>
      </c>
      <c r="CI3628" t="s">
        <v>51</v>
      </c>
      <c r="CK3628" t="s">
        <v>78</v>
      </c>
      <c r="CM3628" t="s">
        <v>54</v>
      </c>
      <c r="CN3628" t="s">
        <v>174</v>
      </c>
      <c r="CO3628" t="s">
        <v>86</v>
      </c>
      <c r="CR3628">
        <v>25</v>
      </c>
      <c r="CS3628">
        <v>0</v>
      </c>
      <c r="CT3628">
        <v>0</v>
      </c>
      <c r="CU3628">
        <v>0</v>
      </c>
    </row>
    <row r="3629" spans="1:99" x14ac:dyDescent="0.2">
      <c r="A3629" t="s">
        <v>425</v>
      </c>
      <c r="B3629" t="s">
        <v>425</v>
      </c>
      <c r="C3629" t="s">
        <v>425</v>
      </c>
      <c r="D3629" t="s">
        <v>1392</v>
      </c>
      <c r="F3629" t="str">
        <f>"147476"</f>
        <v>147476</v>
      </c>
      <c r="G3629" t="s">
        <v>49</v>
      </c>
      <c r="H3629" t="s">
        <v>1648</v>
      </c>
      <c r="K3629" t="s">
        <v>51</v>
      </c>
      <c r="L3629" t="s">
        <v>52</v>
      </c>
      <c r="M3629">
        <v>138390.44</v>
      </c>
      <c r="N3629">
        <v>468322.64</v>
      </c>
      <c r="O3629" t="s">
        <v>53</v>
      </c>
      <c r="P3629" t="s">
        <v>54</v>
      </c>
      <c r="Q3629" t="s">
        <v>55</v>
      </c>
      <c r="T3629" t="s">
        <v>841</v>
      </c>
      <c r="U3629">
        <v>40</v>
      </c>
      <c r="V3629" s="1">
        <v>36181</v>
      </c>
      <c r="W3629" s="1">
        <v>36181</v>
      </c>
      <c r="X3629" s="1">
        <v>36181</v>
      </c>
      <c r="Y3629" s="1">
        <v>50791</v>
      </c>
      <c r="Z3629" t="s">
        <v>51</v>
      </c>
      <c r="AB3629" t="s">
        <v>54</v>
      </c>
      <c r="AC3629">
        <v>1</v>
      </c>
      <c r="AE3629" t="s">
        <v>814</v>
      </c>
      <c r="AF3629">
        <v>20</v>
      </c>
      <c r="AG3629" s="1">
        <v>36181</v>
      </c>
      <c r="AH3629" s="1">
        <v>36181</v>
      </c>
      <c r="AI3629" s="1">
        <v>36181</v>
      </c>
      <c r="AJ3629" s="1">
        <v>43486</v>
      </c>
      <c r="AK3629" t="s">
        <v>51</v>
      </c>
      <c r="AN3629">
        <v>0</v>
      </c>
      <c r="AO3629" t="s">
        <v>54</v>
      </c>
      <c r="AP3629" t="s">
        <v>53</v>
      </c>
      <c r="AQ3629">
        <v>0</v>
      </c>
      <c r="AR3629" t="s">
        <v>53</v>
      </c>
      <c r="AS3629">
        <v>0</v>
      </c>
      <c r="AT3629">
        <v>0</v>
      </c>
      <c r="CC3629" t="s">
        <v>439</v>
      </c>
      <c r="CD3629">
        <v>85000</v>
      </c>
      <c r="CE3629" s="1">
        <v>42552</v>
      </c>
      <c r="CF3629" s="1">
        <v>42552</v>
      </c>
      <c r="CG3629" s="1">
        <v>42552</v>
      </c>
      <c r="CH3629" s="1">
        <v>49714</v>
      </c>
      <c r="CI3629" t="s">
        <v>51</v>
      </c>
      <c r="CK3629" t="s">
        <v>78</v>
      </c>
      <c r="CM3629" t="s">
        <v>54</v>
      </c>
      <c r="CN3629" t="s">
        <v>174</v>
      </c>
      <c r="CO3629" t="s">
        <v>86</v>
      </c>
      <c r="CR3629">
        <v>25</v>
      </c>
      <c r="CS3629">
        <v>0</v>
      </c>
      <c r="CT3629">
        <v>0</v>
      </c>
      <c r="CU3629">
        <v>0</v>
      </c>
    </row>
    <row r="3630" spans="1:99" x14ac:dyDescent="0.2">
      <c r="A3630" t="s">
        <v>425</v>
      </c>
      <c r="B3630" t="s">
        <v>425</v>
      </c>
      <c r="C3630" t="s">
        <v>425</v>
      </c>
      <c r="D3630" t="s">
        <v>1392</v>
      </c>
      <c r="F3630" t="str">
        <f>"147477"</f>
        <v>147477</v>
      </c>
      <c r="G3630" t="s">
        <v>49</v>
      </c>
      <c r="H3630" t="s">
        <v>1649</v>
      </c>
      <c r="K3630" t="s">
        <v>51</v>
      </c>
      <c r="L3630" t="s">
        <v>52</v>
      </c>
      <c r="M3630">
        <v>138403.28</v>
      </c>
      <c r="N3630">
        <v>468293.36</v>
      </c>
      <c r="O3630" t="s">
        <v>53</v>
      </c>
      <c r="P3630" t="s">
        <v>54</v>
      </c>
      <c r="Q3630" t="s">
        <v>55</v>
      </c>
      <c r="T3630" t="s">
        <v>841</v>
      </c>
      <c r="U3630">
        <v>40</v>
      </c>
      <c r="V3630" s="1">
        <v>36181</v>
      </c>
      <c r="W3630" s="1">
        <v>36181</v>
      </c>
      <c r="X3630" s="1">
        <v>36181</v>
      </c>
      <c r="Y3630" s="1">
        <v>50791</v>
      </c>
      <c r="Z3630" t="s">
        <v>51</v>
      </c>
      <c r="AB3630" t="s">
        <v>54</v>
      </c>
      <c r="AC3630">
        <v>1</v>
      </c>
      <c r="AE3630" t="s">
        <v>814</v>
      </c>
      <c r="AF3630">
        <v>20</v>
      </c>
      <c r="AG3630" s="1">
        <v>36181</v>
      </c>
      <c r="AH3630" s="1">
        <v>36181</v>
      </c>
      <c r="AI3630" s="1">
        <v>36181</v>
      </c>
      <c r="AJ3630" s="1">
        <v>43486</v>
      </c>
      <c r="AK3630" t="s">
        <v>51</v>
      </c>
      <c r="AN3630">
        <v>0</v>
      </c>
      <c r="AO3630" t="s">
        <v>54</v>
      </c>
      <c r="AP3630" t="s">
        <v>53</v>
      </c>
      <c r="AQ3630">
        <v>0</v>
      </c>
      <c r="AR3630" t="s">
        <v>53</v>
      </c>
      <c r="AS3630">
        <v>0</v>
      </c>
      <c r="AT3630">
        <v>0</v>
      </c>
      <c r="CC3630" t="s">
        <v>439</v>
      </c>
      <c r="CD3630">
        <v>85000</v>
      </c>
      <c r="CE3630" s="1">
        <v>42552</v>
      </c>
      <c r="CF3630" s="1">
        <v>42552</v>
      </c>
      <c r="CG3630" s="1">
        <v>42552</v>
      </c>
      <c r="CH3630" s="1">
        <v>49714</v>
      </c>
      <c r="CI3630" t="s">
        <v>51</v>
      </c>
      <c r="CK3630" t="s">
        <v>78</v>
      </c>
      <c r="CM3630" t="s">
        <v>54</v>
      </c>
      <c r="CN3630" t="s">
        <v>174</v>
      </c>
      <c r="CO3630" t="s">
        <v>86</v>
      </c>
      <c r="CR3630">
        <v>25</v>
      </c>
      <c r="CS3630">
        <v>0</v>
      </c>
      <c r="CT3630">
        <v>0</v>
      </c>
      <c r="CU3630">
        <v>0</v>
      </c>
    </row>
    <row r="3631" spans="1:99" x14ac:dyDescent="0.2">
      <c r="A3631" t="s">
        <v>425</v>
      </c>
      <c r="B3631" t="s">
        <v>425</v>
      </c>
      <c r="C3631" t="s">
        <v>425</v>
      </c>
      <c r="D3631" t="s">
        <v>1392</v>
      </c>
      <c r="F3631" t="str">
        <f>"147478"</f>
        <v>147478</v>
      </c>
      <c r="G3631" t="s">
        <v>49</v>
      </c>
      <c r="H3631" t="s">
        <v>1650</v>
      </c>
      <c r="K3631" t="s">
        <v>51</v>
      </c>
      <c r="L3631" t="s">
        <v>52</v>
      </c>
      <c r="M3631">
        <v>138415.07</v>
      </c>
      <c r="N3631">
        <v>468262.32</v>
      </c>
      <c r="O3631" t="s">
        <v>53</v>
      </c>
      <c r="P3631" t="s">
        <v>54</v>
      </c>
      <c r="Q3631" t="s">
        <v>55</v>
      </c>
      <c r="T3631" t="s">
        <v>841</v>
      </c>
      <c r="U3631">
        <v>40</v>
      </c>
      <c r="V3631" s="1">
        <v>36181</v>
      </c>
      <c r="W3631" s="1">
        <v>36181</v>
      </c>
      <c r="X3631" s="1">
        <v>36181</v>
      </c>
      <c r="Y3631" s="1">
        <v>50791</v>
      </c>
      <c r="Z3631" t="s">
        <v>51</v>
      </c>
      <c r="AB3631" t="s">
        <v>54</v>
      </c>
      <c r="AC3631">
        <v>1</v>
      </c>
      <c r="AE3631" t="s">
        <v>814</v>
      </c>
      <c r="AF3631">
        <v>20</v>
      </c>
      <c r="AG3631" s="1">
        <v>36181</v>
      </c>
      <c r="AH3631" s="1">
        <v>36181</v>
      </c>
      <c r="AI3631" s="1">
        <v>36181</v>
      </c>
      <c r="AJ3631" s="1">
        <v>43486</v>
      </c>
      <c r="AK3631" t="s">
        <v>51</v>
      </c>
      <c r="AN3631">
        <v>0</v>
      </c>
      <c r="AO3631" t="s">
        <v>54</v>
      </c>
      <c r="AP3631" t="s">
        <v>53</v>
      </c>
      <c r="AQ3631">
        <v>0</v>
      </c>
      <c r="AR3631" t="s">
        <v>53</v>
      </c>
      <c r="AS3631">
        <v>0</v>
      </c>
      <c r="AT3631">
        <v>0</v>
      </c>
      <c r="CC3631" t="s">
        <v>439</v>
      </c>
      <c r="CD3631">
        <v>85000</v>
      </c>
      <c r="CE3631" s="1">
        <v>42552</v>
      </c>
      <c r="CF3631" s="1">
        <v>42552</v>
      </c>
      <c r="CG3631" s="1">
        <v>42552</v>
      </c>
      <c r="CH3631" s="1">
        <v>49714</v>
      </c>
      <c r="CI3631" t="s">
        <v>51</v>
      </c>
      <c r="CK3631" t="s">
        <v>78</v>
      </c>
      <c r="CM3631" t="s">
        <v>54</v>
      </c>
      <c r="CN3631" t="s">
        <v>174</v>
      </c>
      <c r="CO3631" t="s">
        <v>86</v>
      </c>
      <c r="CR3631">
        <v>25</v>
      </c>
      <c r="CS3631">
        <v>0</v>
      </c>
      <c r="CT3631">
        <v>0</v>
      </c>
      <c r="CU3631">
        <v>0</v>
      </c>
    </row>
    <row r="3632" spans="1:99" x14ac:dyDescent="0.2">
      <c r="A3632" t="s">
        <v>425</v>
      </c>
      <c r="B3632" t="s">
        <v>425</v>
      </c>
      <c r="C3632" t="s">
        <v>425</v>
      </c>
      <c r="D3632" t="s">
        <v>1392</v>
      </c>
      <c r="F3632" t="str">
        <f>"147479"</f>
        <v>147479</v>
      </c>
      <c r="G3632" t="s">
        <v>49</v>
      </c>
      <c r="H3632" t="s">
        <v>1650</v>
      </c>
      <c r="K3632" t="s">
        <v>51</v>
      </c>
      <c r="L3632" t="s">
        <v>52</v>
      </c>
      <c r="M3632">
        <v>138426.23000000001</v>
      </c>
      <c r="N3632">
        <v>468233.28</v>
      </c>
      <c r="O3632" t="s">
        <v>53</v>
      </c>
      <c r="P3632" t="s">
        <v>54</v>
      </c>
      <c r="Q3632" t="s">
        <v>55</v>
      </c>
      <c r="T3632" t="s">
        <v>841</v>
      </c>
      <c r="U3632">
        <v>40</v>
      </c>
      <c r="V3632" s="1">
        <v>36181</v>
      </c>
      <c r="W3632" s="1">
        <v>36181</v>
      </c>
      <c r="X3632" s="1">
        <v>36181</v>
      </c>
      <c r="Y3632" s="1">
        <v>50791</v>
      </c>
      <c r="Z3632" t="s">
        <v>51</v>
      </c>
      <c r="AB3632" t="s">
        <v>54</v>
      </c>
      <c r="AC3632">
        <v>1</v>
      </c>
      <c r="AE3632" t="s">
        <v>814</v>
      </c>
      <c r="AF3632">
        <v>20</v>
      </c>
      <c r="AG3632" s="1">
        <v>36181</v>
      </c>
      <c r="AH3632" s="1">
        <v>36181</v>
      </c>
      <c r="AI3632" s="1">
        <v>36181</v>
      </c>
      <c r="AJ3632" s="1">
        <v>43486</v>
      </c>
      <c r="AK3632" t="s">
        <v>51</v>
      </c>
      <c r="AN3632">
        <v>0</v>
      </c>
      <c r="AO3632" t="s">
        <v>54</v>
      </c>
      <c r="AP3632" t="s">
        <v>53</v>
      </c>
      <c r="AQ3632">
        <v>0</v>
      </c>
      <c r="AR3632" t="s">
        <v>53</v>
      </c>
      <c r="AS3632">
        <v>0</v>
      </c>
      <c r="AT3632">
        <v>0</v>
      </c>
      <c r="CC3632" t="s">
        <v>439</v>
      </c>
      <c r="CD3632">
        <v>85000</v>
      </c>
      <c r="CE3632" s="1">
        <v>42552</v>
      </c>
      <c r="CF3632" s="1">
        <v>42552</v>
      </c>
      <c r="CG3632" s="1">
        <v>42552</v>
      </c>
      <c r="CH3632" s="1">
        <v>49714</v>
      </c>
      <c r="CI3632" t="s">
        <v>51</v>
      </c>
      <c r="CK3632" t="s">
        <v>78</v>
      </c>
      <c r="CM3632" t="s">
        <v>54</v>
      </c>
      <c r="CN3632" t="s">
        <v>174</v>
      </c>
      <c r="CO3632" t="s">
        <v>86</v>
      </c>
      <c r="CR3632">
        <v>25</v>
      </c>
      <c r="CS3632">
        <v>0</v>
      </c>
      <c r="CT3632">
        <v>0</v>
      </c>
      <c r="CU3632">
        <v>0</v>
      </c>
    </row>
    <row r="3633" spans="1:99" x14ac:dyDescent="0.2">
      <c r="A3633" t="s">
        <v>425</v>
      </c>
      <c r="B3633" t="s">
        <v>425</v>
      </c>
      <c r="C3633" t="s">
        <v>425</v>
      </c>
      <c r="D3633" t="s">
        <v>1392</v>
      </c>
      <c r="F3633" t="str">
        <f>"147480"</f>
        <v>147480</v>
      </c>
      <c r="G3633" t="s">
        <v>49</v>
      </c>
      <c r="H3633" t="s">
        <v>1651</v>
      </c>
      <c r="K3633" t="s">
        <v>51</v>
      </c>
      <c r="L3633" t="s">
        <v>52</v>
      </c>
      <c r="M3633">
        <v>138436.23000000001</v>
      </c>
      <c r="N3633">
        <v>468202.22</v>
      </c>
      <c r="O3633" t="s">
        <v>53</v>
      </c>
      <c r="P3633" t="s">
        <v>54</v>
      </c>
      <c r="Q3633" t="s">
        <v>55</v>
      </c>
      <c r="T3633" t="s">
        <v>841</v>
      </c>
      <c r="U3633">
        <v>40</v>
      </c>
      <c r="V3633" s="1">
        <v>36181</v>
      </c>
      <c r="W3633" s="1">
        <v>36181</v>
      </c>
      <c r="X3633" s="1">
        <v>36181</v>
      </c>
      <c r="Y3633" s="1">
        <v>50791</v>
      </c>
      <c r="Z3633" t="s">
        <v>51</v>
      </c>
      <c r="AB3633" t="s">
        <v>54</v>
      </c>
      <c r="AC3633">
        <v>1</v>
      </c>
      <c r="AE3633" t="s">
        <v>814</v>
      </c>
      <c r="AF3633">
        <v>20</v>
      </c>
      <c r="AG3633" s="1">
        <v>36181</v>
      </c>
      <c r="AH3633" s="1">
        <v>36181</v>
      </c>
      <c r="AI3633" s="1">
        <v>36181</v>
      </c>
      <c r="AJ3633" s="1">
        <v>43486</v>
      </c>
      <c r="AK3633" t="s">
        <v>51</v>
      </c>
      <c r="AN3633">
        <v>0</v>
      </c>
      <c r="AO3633" t="s">
        <v>54</v>
      </c>
      <c r="AP3633" t="s">
        <v>53</v>
      </c>
      <c r="AQ3633">
        <v>0</v>
      </c>
      <c r="AR3633" t="s">
        <v>53</v>
      </c>
      <c r="AS3633">
        <v>0</v>
      </c>
      <c r="AT3633">
        <v>0</v>
      </c>
      <c r="CC3633" t="s">
        <v>439</v>
      </c>
      <c r="CD3633">
        <v>85000</v>
      </c>
      <c r="CE3633" s="1">
        <v>42552</v>
      </c>
      <c r="CF3633" s="1">
        <v>42552</v>
      </c>
      <c r="CG3633" s="1">
        <v>42552</v>
      </c>
      <c r="CH3633" s="1">
        <v>49714</v>
      </c>
      <c r="CI3633" t="s">
        <v>51</v>
      </c>
      <c r="CK3633" t="s">
        <v>78</v>
      </c>
      <c r="CM3633" t="s">
        <v>54</v>
      </c>
      <c r="CN3633" t="s">
        <v>174</v>
      </c>
      <c r="CO3633" t="s">
        <v>86</v>
      </c>
      <c r="CR3633">
        <v>25</v>
      </c>
      <c r="CS3633">
        <v>0</v>
      </c>
      <c r="CT3633">
        <v>0</v>
      </c>
      <c r="CU3633">
        <v>0</v>
      </c>
    </row>
    <row r="3634" spans="1:99" x14ac:dyDescent="0.2">
      <c r="A3634" t="s">
        <v>425</v>
      </c>
      <c r="B3634" t="s">
        <v>425</v>
      </c>
      <c r="C3634" t="s">
        <v>425</v>
      </c>
      <c r="D3634" t="s">
        <v>1392</v>
      </c>
      <c r="F3634" t="str">
        <f>"147481"</f>
        <v>147481</v>
      </c>
      <c r="G3634" t="s">
        <v>49</v>
      </c>
      <c r="H3634" t="s">
        <v>1652</v>
      </c>
      <c r="K3634" t="s">
        <v>51</v>
      </c>
      <c r="L3634" t="s">
        <v>52</v>
      </c>
      <c r="M3634">
        <v>138442.79</v>
      </c>
      <c r="N3634">
        <v>468170.54</v>
      </c>
      <c r="O3634" t="s">
        <v>53</v>
      </c>
      <c r="P3634" t="s">
        <v>54</v>
      </c>
      <c r="Q3634" t="s">
        <v>55</v>
      </c>
      <c r="T3634" t="s">
        <v>841</v>
      </c>
      <c r="U3634">
        <v>40</v>
      </c>
      <c r="V3634" s="1">
        <v>36181</v>
      </c>
      <c r="W3634" s="1">
        <v>36181</v>
      </c>
      <c r="X3634" s="1">
        <v>36181</v>
      </c>
      <c r="Y3634" s="1">
        <v>50791</v>
      </c>
      <c r="Z3634" t="s">
        <v>51</v>
      </c>
      <c r="AB3634" t="s">
        <v>54</v>
      </c>
      <c r="AC3634">
        <v>1</v>
      </c>
      <c r="AE3634" t="s">
        <v>814</v>
      </c>
      <c r="AF3634">
        <v>20</v>
      </c>
      <c r="AG3634" s="1">
        <v>36181</v>
      </c>
      <c r="AH3634" s="1">
        <v>36181</v>
      </c>
      <c r="AI3634" s="1">
        <v>36181</v>
      </c>
      <c r="AJ3634" s="1">
        <v>43486</v>
      </c>
      <c r="AK3634" t="s">
        <v>51</v>
      </c>
      <c r="AN3634">
        <v>0</v>
      </c>
      <c r="AO3634" t="s">
        <v>54</v>
      </c>
      <c r="AP3634" t="s">
        <v>53</v>
      </c>
      <c r="AQ3634">
        <v>0</v>
      </c>
      <c r="AR3634" t="s">
        <v>53</v>
      </c>
      <c r="AS3634">
        <v>0</v>
      </c>
      <c r="AT3634">
        <v>0</v>
      </c>
      <c r="CC3634" t="s">
        <v>439</v>
      </c>
      <c r="CD3634">
        <v>85000</v>
      </c>
      <c r="CE3634" s="1">
        <v>42552</v>
      </c>
      <c r="CF3634" s="1">
        <v>42552</v>
      </c>
      <c r="CG3634" s="1">
        <v>42552</v>
      </c>
      <c r="CH3634" s="1">
        <v>49714</v>
      </c>
      <c r="CI3634" t="s">
        <v>51</v>
      </c>
      <c r="CK3634" t="s">
        <v>78</v>
      </c>
      <c r="CM3634" t="s">
        <v>54</v>
      </c>
      <c r="CN3634" t="s">
        <v>174</v>
      </c>
      <c r="CO3634" t="s">
        <v>86</v>
      </c>
      <c r="CR3634">
        <v>25</v>
      </c>
      <c r="CS3634">
        <v>0</v>
      </c>
      <c r="CT3634">
        <v>0</v>
      </c>
      <c r="CU3634">
        <v>0</v>
      </c>
    </row>
    <row r="3635" spans="1:99" x14ac:dyDescent="0.2">
      <c r="A3635" t="s">
        <v>367</v>
      </c>
      <c r="B3635" t="s">
        <v>368</v>
      </c>
      <c r="C3635" t="s">
        <v>369</v>
      </c>
      <c r="D3635" t="s">
        <v>1392</v>
      </c>
      <c r="F3635" t="str">
        <f>"147482"</f>
        <v>147482</v>
      </c>
      <c r="G3635" t="s">
        <v>49</v>
      </c>
      <c r="H3635" t="s">
        <v>1653</v>
      </c>
      <c r="K3635" t="s">
        <v>51</v>
      </c>
      <c r="L3635" t="s">
        <v>52</v>
      </c>
      <c r="M3635">
        <v>138448.41</v>
      </c>
      <c r="N3635">
        <v>468142.06</v>
      </c>
      <c r="O3635" t="s">
        <v>53</v>
      </c>
      <c r="P3635" t="s">
        <v>54</v>
      </c>
      <c r="Q3635" t="s">
        <v>55</v>
      </c>
      <c r="T3635" t="s">
        <v>841</v>
      </c>
      <c r="U3635">
        <v>40</v>
      </c>
      <c r="V3635" s="1">
        <v>36305</v>
      </c>
      <c r="W3635" s="1">
        <v>36305</v>
      </c>
      <c r="X3635" s="1">
        <v>36305</v>
      </c>
      <c r="Y3635" s="1">
        <v>50915</v>
      </c>
      <c r="Z3635" t="s">
        <v>51</v>
      </c>
      <c r="AB3635" t="s">
        <v>54</v>
      </c>
      <c r="AC3635">
        <v>1</v>
      </c>
      <c r="AE3635" t="s">
        <v>814</v>
      </c>
      <c r="AF3635">
        <v>20</v>
      </c>
      <c r="AG3635" s="1">
        <v>36305</v>
      </c>
      <c r="AH3635" s="1">
        <v>36305</v>
      </c>
      <c r="AI3635" s="1">
        <v>36305</v>
      </c>
      <c r="AJ3635" s="1">
        <v>43610</v>
      </c>
      <c r="AK3635" t="s">
        <v>51</v>
      </c>
      <c r="AN3635">
        <v>0</v>
      </c>
      <c r="AO3635" t="s">
        <v>54</v>
      </c>
      <c r="AP3635" t="s">
        <v>53</v>
      </c>
      <c r="AQ3635">
        <v>0</v>
      </c>
      <c r="AR3635" t="s">
        <v>53</v>
      </c>
      <c r="AS3635">
        <v>0</v>
      </c>
      <c r="AT3635">
        <v>0</v>
      </c>
      <c r="CC3635" t="s">
        <v>439</v>
      </c>
      <c r="CD3635">
        <v>85000</v>
      </c>
      <c r="CE3635" s="1">
        <v>44095</v>
      </c>
      <c r="CF3635" s="1">
        <v>44095</v>
      </c>
      <c r="CG3635" s="1">
        <v>44095</v>
      </c>
      <c r="CH3635" s="1">
        <v>51235</v>
      </c>
      <c r="CI3635" t="s">
        <v>51</v>
      </c>
      <c r="CK3635" t="s">
        <v>78</v>
      </c>
      <c r="CM3635" t="s">
        <v>54</v>
      </c>
      <c r="CN3635" t="s">
        <v>174</v>
      </c>
      <c r="CO3635" t="s">
        <v>86</v>
      </c>
      <c r="CR3635">
        <v>25</v>
      </c>
      <c r="CS3635">
        <v>0</v>
      </c>
      <c r="CT3635">
        <v>0</v>
      </c>
      <c r="CU3635">
        <v>0</v>
      </c>
    </row>
    <row r="3636" spans="1:99" x14ac:dyDescent="0.2">
      <c r="A3636" t="s">
        <v>367</v>
      </c>
      <c r="B3636" t="s">
        <v>368</v>
      </c>
      <c r="C3636" t="s">
        <v>369</v>
      </c>
      <c r="D3636" t="s">
        <v>1392</v>
      </c>
      <c r="F3636" t="str">
        <f>"147483"</f>
        <v>147483</v>
      </c>
      <c r="G3636" t="s">
        <v>49</v>
      </c>
      <c r="H3636" t="s">
        <v>1653</v>
      </c>
      <c r="K3636" t="s">
        <v>51</v>
      </c>
      <c r="L3636" t="s">
        <v>52</v>
      </c>
      <c r="M3636">
        <v>138455.87</v>
      </c>
      <c r="N3636">
        <v>468123.26</v>
      </c>
      <c r="O3636" t="s">
        <v>53</v>
      </c>
      <c r="P3636" t="s">
        <v>54</v>
      </c>
      <c r="Q3636" t="s">
        <v>55</v>
      </c>
      <c r="T3636" t="s">
        <v>841</v>
      </c>
      <c r="U3636">
        <v>40</v>
      </c>
      <c r="V3636" s="1">
        <v>36305</v>
      </c>
      <c r="W3636" s="1">
        <v>36305</v>
      </c>
      <c r="X3636" s="1">
        <v>36305</v>
      </c>
      <c r="Y3636" s="1">
        <v>50915</v>
      </c>
      <c r="Z3636" t="s">
        <v>51</v>
      </c>
      <c r="AB3636" t="s">
        <v>54</v>
      </c>
      <c r="AC3636">
        <v>1</v>
      </c>
      <c r="AE3636" t="s">
        <v>814</v>
      </c>
      <c r="AF3636">
        <v>20</v>
      </c>
      <c r="AG3636" s="1">
        <v>36305</v>
      </c>
      <c r="AH3636" s="1">
        <v>36305</v>
      </c>
      <c r="AI3636" s="1">
        <v>36305</v>
      </c>
      <c r="AJ3636" s="1">
        <v>43610</v>
      </c>
      <c r="AK3636" t="s">
        <v>51</v>
      </c>
      <c r="AN3636">
        <v>0</v>
      </c>
      <c r="AO3636" t="s">
        <v>54</v>
      </c>
      <c r="AP3636" t="s">
        <v>53</v>
      </c>
      <c r="AQ3636">
        <v>0</v>
      </c>
      <c r="AR3636" t="s">
        <v>53</v>
      </c>
      <c r="AS3636">
        <v>0</v>
      </c>
      <c r="AT3636">
        <v>0</v>
      </c>
      <c r="CC3636" t="s">
        <v>439</v>
      </c>
      <c r="CD3636">
        <v>85000</v>
      </c>
      <c r="CE3636" s="1">
        <v>42552</v>
      </c>
      <c r="CF3636" s="1">
        <v>42552</v>
      </c>
      <c r="CG3636" s="1">
        <v>42552</v>
      </c>
      <c r="CH3636" s="1">
        <v>49714</v>
      </c>
      <c r="CI3636" t="s">
        <v>51</v>
      </c>
      <c r="CK3636" t="s">
        <v>78</v>
      </c>
      <c r="CM3636" t="s">
        <v>54</v>
      </c>
      <c r="CN3636" t="s">
        <v>174</v>
      </c>
      <c r="CO3636" t="s">
        <v>86</v>
      </c>
      <c r="CR3636">
        <v>25</v>
      </c>
      <c r="CS3636">
        <v>0</v>
      </c>
      <c r="CT3636">
        <v>0</v>
      </c>
      <c r="CU3636">
        <v>0</v>
      </c>
    </row>
    <row r="3637" spans="1:99" x14ac:dyDescent="0.2">
      <c r="A3637" t="s">
        <v>425</v>
      </c>
      <c r="B3637" t="s">
        <v>425</v>
      </c>
      <c r="C3637" t="s">
        <v>425</v>
      </c>
      <c r="D3637" t="s">
        <v>1392</v>
      </c>
      <c r="F3637" t="str">
        <f>"147484"</f>
        <v>147484</v>
      </c>
      <c r="G3637" t="s">
        <v>49</v>
      </c>
      <c r="H3637" t="s">
        <v>1654</v>
      </c>
      <c r="K3637" t="s">
        <v>51</v>
      </c>
      <c r="L3637" t="s">
        <v>52</v>
      </c>
      <c r="M3637">
        <v>138471.89000000001</v>
      </c>
      <c r="N3637">
        <v>468099.26</v>
      </c>
      <c r="O3637" t="s">
        <v>53</v>
      </c>
      <c r="P3637" t="s">
        <v>54</v>
      </c>
      <c r="Q3637" t="s">
        <v>55</v>
      </c>
      <c r="T3637" t="s">
        <v>841</v>
      </c>
      <c r="U3637">
        <v>40</v>
      </c>
      <c r="V3637" s="1">
        <v>36181</v>
      </c>
      <c r="W3637" s="1">
        <v>36181</v>
      </c>
      <c r="X3637" s="1">
        <v>36181</v>
      </c>
      <c r="Y3637" s="1">
        <v>50791</v>
      </c>
      <c r="Z3637" t="s">
        <v>51</v>
      </c>
      <c r="AB3637" t="s">
        <v>54</v>
      </c>
      <c r="AC3637">
        <v>1</v>
      </c>
      <c r="AE3637" t="s">
        <v>356</v>
      </c>
      <c r="AF3637">
        <v>20</v>
      </c>
      <c r="AG3637" s="1">
        <v>44333</v>
      </c>
      <c r="AH3637" s="1">
        <v>44333</v>
      </c>
      <c r="AI3637" s="1">
        <v>44333</v>
      </c>
      <c r="AJ3637" s="1">
        <v>51638</v>
      </c>
      <c r="AK3637" t="s">
        <v>51</v>
      </c>
      <c r="AN3637">
        <v>0</v>
      </c>
      <c r="AO3637" t="s">
        <v>54</v>
      </c>
      <c r="AP3637" t="s">
        <v>53</v>
      </c>
      <c r="AQ3637">
        <v>0</v>
      </c>
      <c r="AR3637" t="s">
        <v>145</v>
      </c>
      <c r="AS3637">
        <v>0</v>
      </c>
      <c r="AT3637">
        <v>0</v>
      </c>
      <c r="AW3637" t="s">
        <v>172</v>
      </c>
      <c r="AX3637">
        <v>15</v>
      </c>
      <c r="AY3637" s="1">
        <v>44321</v>
      </c>
      <c r="AZ3637" s="1">
        <v>44321</v>
      </c>
      <c r="BA3637" s="1">
        <v>44333</v>
      </c>
      <c r="BB3637" s="1">
        <v>49800</v>
      </c>
      <c r="BC3637" t="s">
        <v>51</v>
      </c>
      <c r="BE3637" t="s">
        <v>54</v>
      </c>
      <c r="BF3637">
        <v>40</v>
      </c>
      <c r="BG3637">
        <v>0</v>
      </c>
      <c r="BH3637" t="s">
        <v>145</v>
      </c>
      <c r="CC3637" t="s">
        <v>250</v>
      </c>
      <c r="CD3637">
        <v>100000</v>
      </c>
      <c r="CE3637" s="1">
        <v>44321</v>
      </c>
      <c r="CF3637" s="1">
        <v>44321</v>
      </c>
      <c r="CG3637" s="1">
        <v>44333</v>
      </c>
      <c r="CH3637" s="1">
        <v>52803</v>
      </c>
      <c r="CI3637" t="s">
        <v>51</v>
      </c>
      <c r="CK3637" t="s">
        <v>78</v>
      </c>
      <c r="CM3637" t="s">
        <v>54</v>
      </c>
      <c r="CN3637" t="s">
        <v>174</v>
      </c>
      <c r="CR3637">
        <v>13.2</v>
      </c>
      <c r="CS3637">
        <v>1800</v>
      </c>
      <c r="CT3637">
        <v>0</v>
      </c>
      <c r="CU3637">
        <v>16</v>
      </c>
    </row>
    <row r="3638" spans="1:99" x14ac:dyDescent="0.2">
      <c r="A3638" t="s">
        <v>425</v>
      </c>
      <c r="B3638" t="s">
        <v>425</v>
      </c>
      <c r="C3638" t="s">
        <v>425</v>
      </c>
      <c r="D3638" t="s">
        <v>1392</v>
      </c>
      <c r="F3638" t="str">
        <f>"147485"</f>
        <v>147485</v>
      </c>
      <c r="G3638" t="s">
        <v>49</v>
      </c>
      <c r="H3638" t="s">
        <v>1655</v>
      </c>
      <c r="K3638" t="s">
        <v>51</v>
      </c>
      <c r="L3638" t="s">
        <v>52</v>
      </c>
      <c r="M3638">
        <v>138483.23000000001</v>
      </c>
      <c r="N3638">
        <v>468075.17</v>
      </c>
      <c r="O3638" t="s">
        <v>53</v>
      </c>
      <c r="P3638" t="s">
        <v>54</v>
      </c>
      <c r="Q3638" t="s">
        <v>55</v>
      </c>
      <c r="T3638" t="s">
        <v>841</v>
      </c>
      <c r="U3638">
        <v>40</v>
      </c>
      <c r="V3638" s="1">
        <v>36181</v>
      </c>
      <c r="W3638" s="1">
        <v>36181</v>
      </c>
      <c r="X3638" s="1">
        <v>36181</v>
      </c>
      <c r="Y3638" s="1">
        <v>50791</v>
      </c>
      <c r="Z3638" t="s">
        <v>51</v>
      </c>
      <c r="AB3638" t="s">
        <v>54</v>
      </c>
      <c r="AC3638">
        <v>1</v>
      </c>
      <c r="AE3638" t="s">
        <v>814</v>
      </c>
      <c r="AF3638">
        <v>20</v>
      </c>
      <c r="AG3638" s="1">
        <v>36181</v>
      </c>
      <c r="AH3638" s="1">
        <v>36181</v>
      </c>
      <c r="AI3638" s="1">
        <v>36181</v>
      </c>
      <c r="AJ3638" s="1">
        <v>43486</v>
      </c>
      <c r="AK3638" t="s">
        <v>51</v>
      </c>
      <c r="AN3638">
        <v>0</v>
      </c>
      <c r="AO3638" t="s">
        <v>54</v>
      </c>
      <c r="AP3638" t="s">
        <v>53</v>
      </c>
      <c r="AQ3638">
        <v>0</v>
      </c>
      <c r="AR3638" t="s">
        <v>53</v>
      </c>
      <c r="AS3638">
        <v>0</v>
      </c>
      <c r="AT3638">
        <v>0</v>
      </c>
      <c r="CC3638" t="s">
        <v>439</v>
      </c>
      <c r="CD3638">
        <v>85000</v>
      </c>
      <c r="CE3638" s="1">
        <v>42552</v>
      </c>
      <c r="CF3638" s="1">
        <v>42552</v>
      </c>
      <c r="CG3638" s="1">
        <v>42552</v>
      </c>
      <c r="CH3638" s="1">
        <v>49714</v>
      </c>
      <c r="CI3638" t="s">
        <v>51</v>
      </c>
      <c r="CK3638" t="s">
        <v>78</v>
      </c>
      <c r="CM3638" t="s">
        <v>54</v>
      </c>
      <c r="CN3638" t="s">
        <v>174</v>
      </c>
      <c r="CO3638" t="s">
        <v>86</v>
      </c>
      <c r="CR3638">
        <v>25</v>
      </c>
      <c r="CS3638">
        <v>0</v>
      </c>
      <c r="CT3638">
        <v>0</v>
      </c>
      <c r="CU3638">
        <v>0</v>
      </c>
    </row>
    <row r="3639" spans="1:99" x14ac:dyDescent="0.2">
      <c r="A3639" t="s">
        <v>425</v>
      </c>
      <c r="B3639" t="s">
        <v>425</v>
      </c>
      <c r="C3639" t="s">
        <v>425</v>
      </c>
      <c r="D3639" t="s">
        <v>1392</v>
      </c>
      <c r="F3639" t="str">
        <f>"147486"</f>
        <v>147486</v>
      </c>
      <c r="G3639" t="s">
        <v>49</v>
      </c>
      <c r="H3639" t="s">
        <v>1656</v>
      </c>
      <c r="K3639" t="s">
        <v>51</v>
      </c>
      <c r="L3639" t="s">
        <v>52</v>
      </c>
      <c r="M3639">
        <v>138486.32999999999</v>
      </c>
      <c r="N3639">
        <v>468051.99</v>
      </c>
      <c r="O3639" t="s">
        <v>53</v>
      </c>
      <c r="P3639" t="s">
        <v>54</v>
      </c>
      <c r="Q3639" t="s">
        <v>55</v>
      </c>
      <c r="T3639" t="s">
        <v>841</v>
      </c>
      <c r="U3639">
        <v>40</v>
      </c>
      <c r="V3639" s="1">
        <v>36181</v>
      </c>
      <c r="W3639" s="1">
        <v>36181</v>
      </c>
      <c r="X3639" s="1">
        <v>36181</v>
      </c>
      <c r="Y3639" s="1">
        <v>50791</v>
      </c>
      <c r="Z3639" t="s">
        <v>51</v>
      </c>
      <c r="AB3639" t="s">
        <v>54</v>
      </c>
      <c r="AC3639">
        <v>1</v>
      </c>
      <c r="AE3639" t="s">
        <v>814</v>
      </c>
      <c r="AF3639">
        <v>20</v>
      </c>
      <c r="AG3639" s="1">
        <v>36181</v>
      </c>
      <c r="AH3639" s="1">
        <v>36181</v>
      </c>
      <c r="AI3639" s="1">
        <v>36181</v>
      </c>
      <c r="AJ3639" s="1">
        <v>43486</v>
      </c>
      <c r="AK3639" t="s">
        <v>51</v>
      </c>
      <c r="AN3639">
        <v>0</v>
      </c>
      <c r="AO3639" t="s">
        <v>54</v>
      </c>
      <c r="AP3639" t="s">
        <v>53</v>
      </c>
      <c r="AQ3639">
        <v>0</v>
      </c>
      <c r="AR3639" t="s">
        <v>53</v>
      </c>
      <c r="AS3639">
        <v>0</v>
      </c>
      <c r="AT3639">
        <v>0</v>
      </c>
      <c r="CC3639" t="s">
        <v>439</v>
      </c>
      <c r="CD3639">
        <v>85000</v>
      </c>
      <c r="CE3639" s="1">
        <v>42552</v>
      </c>
      <c r="CF3639" s="1">
        <v>42552</v>
      </c>
      <c r="CG3639" s="1">
        <v>42552</v>
      </c>
      <c r="CH3639" s="1">
        <v>49714</v>
      </c>
      <c r="CI3639" t="s">
        <v>51</v>
      </c>
      <c r="CK3639" t="s">
        <v>78</v>
      </c>
      <c r="CM3639" t="s">
        <v>54</v>
      </c>
      <c r="CN3639" t="s">
        <v>174</v>
      </c>
      <c r="CO3639" t="s">
        <v>86</v>
      </c>
      <c r="CR3639">
        <v>25</v>
      </c>
      <c r="CS3639">
        <v>0</v>
      </c>
      <c r="CT3639">
        <v>0</v>
      </c>
      <c r="CU3639">
        <v>0</v>
      </c>
    </row>
    <row r="3640" spans="1:99" x14ac:dyDescent="0.2">
      <c r="A3640" t="s">
        <v>425</v>
      </c>
      <c r="B3640" t="s">
        <v>425</v>
      </c>
      <c r="C3640" t="s">
        <v>425</v>
      </c>
      <c r="D3640" t="s">
        <v>1392</v>
      </c>
      <c r="F3640" t="str">
        <f>"147487"</f>
        <v>147487</v>
      </c>
      <c r="G3640" t="s">
        <v>49</v>
      </c>
      <c r="H3640" t="s">
        <v>1657</v>
      </c>
      <c r="K3640" t="s">
        <v>51</v>
      </c>
      <c r="L3640" t="s">
        <v>52</v>
      </c>
      <c r="M3640">
        <v>138488.51</v>
      </c>
      <c r="N3640">
        <v>468026.89</v>
      </c>
      <c r="O3640" t="s">
        <v>53</v>
      </c>
      <c r="P3640" t="s">
        <v>54</v>
      </c>
      <c r="Q3640" t="s">
        <v>55</v>
      </c>
      <c r="T3640" t="s">
        <v>841</v>
      </c>
      <c r="U3640">
        <v>40</v>
      </c>
      <c r="V3640" s="1">
        <v>36181</v>
      </c>
      <c r="W3640" s="1">
        <v>36181</v>
      </c>
      <c r="X3640" s="1">
        <v>36181</v>
      </c>
      <c r="Y3640" s="1">
        <v>50791</v>
      </c>
      <c r="Z3640" t="s">
        <v>51</v>
      </c>
      <c r="AB3640" t="s">
        <v>54</v>
      </c>
      <c r="AC3640">
        <v>1</v>
      </c>
      <c r="AE3640" t="s">
        <v>814</v>
      </c>
      <c r="AF3640">
        <v>20</v>
      </c>
      <c r="AG3640" s="1">
        <v>36181</v>
      </c>
      <c r="AH3640" s="1">
        <v>36181</v>
      </c>
      <c r="AI3640" s="1">
        <v>36181</v>
      </c>
      <c r="AJ3640" s="1">
        <v>43486</v>
      </c>
      <c r="AK3640" t="s">
        <v>51</v>
      </c>
      <c r="AN3640">
        <v>0</v>
      </c>
      <c r="AO3640" t="s">
        <v>54</v>
      </c>
      <c r="AP3640" t="s">
        <v>53</v>
      </c>
      <c r="AQ3640">
        <v>0</v>
      </c>
      <c r="AR3640" t="s">
        <v>53</v>
      </c>
      <c r="AS3640">
        <v>0</v>
      </c>
      <c r="AT3640">
        <v>0</v>
      </c>
      <c r="CC3640" t="s">
        <v>439</v>
      </c>
      <c r="CD3640">
        <v>85000</v>
      </c>
      <c r="CE3640" s="1">
        <v>42552</v>
      </c>
      <c r="CF3640" s="1">
        <v>42552</v>
      </c>
      <c r="CG3640" s="1">
        <v>42552</v>
      </c>
      <c r="CH3640" s="1">
        <v>49714</v>
      </c>
      <c r="CI3640" t="s">
        <v>51</v>
      </c>
      <c r="CK3640" t="s">
        <v>78</v>
      </c>
      <c r="CM3640" t="s">
        <v>54</v>
      </c>
      <c r="CN3640" t="s">
        <v>174</v>
      </c>
      <c r="CO3640" t="s">
        <v>86</v>
      </c>
      <c r="CR3640">
        <v>25</v>
      </c>
      <c r="CS3640">
        <v>0</v>
      </c>
      <c r="CT3640">
        <v>0</v>
      </c>
      <c r="CU3640">
        <v>0</v>
      </c>
    </row>
    <row r="3641" spans="1:99" x14ac:dyDescent="0.2">
      <c r="A3641" t="s">
        <v>425</v>
      </c>
      <c r="B3641" t="s">
        <v>425</v>
      </c>
      <c r="C3641" t="s">
        <v>425</v>
      </c>
      <c r="D3641" t="s">
        <v>1392</v>
      </c>
      <c r="F3641" t="str">
        <f>"147488"</f>
        <v>147488</v>
      </c>
      <c r="G3641" t="s">
        <v>49</v>
      </c>
      <c r="H3641" t="s">
        <v>1658</v>
      </c>
      <c r="K3641" t="s">
        <v>51</v>
      </c>
      <c r="L3641" t="s">
        <v>52</v>
      </c>
      <c r="M3641">
        <v>138490.39000000001</v>
      </c>
      <c r="N3641">
        <v>468003.12</v>
      </c>
      <c r="O3641" t="s">
        <v>53</v>
      </c>
      <c r="P3641" t="s">
        <v>54</v>
      </c>
      <c r="Q3641" t="s">
        <v>55</v>
      </c>
      <c r="T3641" t="s">
        <v>841</v>
      </c>
      <c r="U3641">
        <v>40</v>
      </c>
      <c r="V3641" s="1">
        <v>36181</v>
      </c>
      <c r="W3641" s="1">
        <v>36181</v>
      </c>
      <c r="X3641" s="1">
        <v>36181</v>
      </c>
      <c r="Y3641" s="1">
        <v>50791</v>
      </c>
      <c r="Z3641" t="s">
        <v>51</v>
      </c>
      <c r="AB3641" t="s">
        <v>54</v>
      </c>
      <c r="AC3641">
        <v>1</v>
      </c>
      <c r="AE3641" t="s">
        <v>814</v>
      </c>
      <c r="AF3641">
        <v>20</v>
      </c>
      <c r="AG3641" s="1">
        <v>36181</v>
      </c>
      <c r="AH3641" s="1">
        <v>36181</v>
      </c>
      <c r="AI3641" s="1">
        <v>36181</v>
      </c>
      <c r="AJ3641" s="1">
        <v>43486</v>
      </c>
      <c r="AK3641" t="s">
        <v>51</v>
      </c>
      <c r="AN3641">
        <v>0</v>
      </c>
      <c r="AO3641" t="s">
        <v>54</v>
      </c>
      <c r="AP3641" t="s">
        <v>53</v>
      </c>
      <c r="AQ3641">
        <v>0</v>
      </c>
      <c r="AR3641" t="s">
        <v>53</v>
      </c>
      <c r="AS3641">
        <v>0</v>
      </c>
      <c r="AT3641">
        <v>0</v>
      </c>
      <c r="CC3641" t="s">
        <v>439</v>
      </c>
      <c r="CD3641">
        <v>85000</v>
      </c>
      <c r="CE3641" s="1">
        <v>42552</v>
      </c>
      <c r="CF3641" s="1">
        <v>42552</v>
      </c>
      <c r="CG3641" s="1">
        <v>42552</v>
      </c>
      <c r="CH3641" s="1">
        <v>49714</v>
      </c>
      <c r="CI3641" t="s">
        <v>51</v>
      </c>
      <c r="CK3641" t="s">
        <v>78</v>
      </c>
      <c r="CM3641" t="s">
        <v>54</v>
      </c>
      <c r="CN3641" t="s">
        <v>174</v>
      </c>
      <c r="CO3641" t="s">
        <v>86</v>
      </c>
      <c r="CR3641">
        <v>25</v>
      </c>
      <c r="CS3641">
        <v>0</v>
      </c>
      <c r="CT3641">
        <v>0</v>
      </c>
      <c r="CU3641">
        <v>0</v>
      </c>
    </row>
    <row r="3642" spans="1:99" x14ac:dyDescent="0.2">
      <c r="A3642" t="s">
        <v>425</v>
      </c>
      <c r="B3642" t="s">
        <v>425</v>
      </c>
      <c r="C3642" t="s">
        <v>425</v>
      </c>
      <c r="D3642" t="s">
        <v>1392</v>
      </c>
      <c r="F3642" t="str">
        <f>"147489"</f>
        <v>147489</v>
      </c>
      <c r="G3642" t="s">
        <v>49</v>
      </c>
      <c r="H3642" t="s">
        <v>1624</v>
      </c>
      <c r="K3642" t="s">
        <v>51</v>
      </c>
      <c r="L3642" t="s">
        <v>52</v>
      </c>
      <c r="M3642">
        <v>138491.41</v>
      </c>
      <c r="N3642">
        <v>467978.28</v>
      </c>
      <c r="O3642" t="s">
        <v>53</v>
      </c>
      <c r="P3642" t="s">
        <v>54</v>
      </c>
      <c r="Q3642" t="s">
        <v>55</v>
      </c>
      <c r="T3642" t="s">
        <v>841</v>
      </c>
      <c r="U3642">
        <v>40</v>
      </c>
      <c r="V3642" s="1">
        <v>36181</v>
      </c>
      <c r="W3642" s="1">
        <v>36181</v>
      </c>
      <c r="X3642" s="1">
        <v>36181</v>
      </c>
      <c r="Y3642" s="1">
        <v>50791</v>
      </c>
      <c r="Z3642" t="s">
        <v>51</v>
      </c>
      <c r="AB3642" t="s">
        <v>54</v>
      </c>
      <c r="AC3642">
        <v>1</v>
      </c>
      <c r="AE3642" t="s">
        <v>814</v>
      </c>
      <c r="AF3642">
        <v>20</v>
      </c>
      <c r="AG3642" s="1">
        <v>36181</v>
      </c>
      <c r="AH3642" s="1">
        <v>36181</v>
      </c>
      <c r="AI3642" s="1">
        <v>36181</v>
      </c>
      <c r="AJ3642" s="1">
        <v>43486</v>
      </c>
      <c r="AK3642" t="s">
        <v>51</v>
      </c>
      <c r="AN3642">
        <v>0</v>
      </c>
      <c r="AO3642" t="s">
        <v>54</v>
      </c>
      <c r="AP3642" t="s">
        <v>53</v>
      </c>
      <c r="AQ3642">
        <v>0</v>
      </c>
      <c r="AR3642" t="s">
        <v>53</v>
      </c>
      <c r="AS3642">
        <v>0</v>
      </c>
      <c r="AT3642">
        <v>0</v>
      </c>
      <c r="CC3642" t="s">
        <v>439</v>
      </c>
      <c r="CD3642">
        <v>85000</v>
      </c>
      <c r="CE3642" s="1">
        <v>42552</v>
      </c>
      <c r="CF3642" s="1">
        <v>42552</v>
      </c>
      <c r="CG3642" s="1">
        <v>42552</v>
      </c>
      <c r="CH3642" s="1">
        <v>49714</v>
      </c>
      <c r="CI3642" t="s">
        <v>51</v>
      </c>
      <c r="CK3642" t="s">
        <v>78</v>
      </c>
      <c r="CM3642" t="s">
        <v>54</v>
      </c>
      <c r="CN3642" t="s">
        <v>174</v>
      </c>
      <c r="CO3642" t="s">
        <v>86</v>
      </c>
      <c r="CR3642">
        <v>25</v>
      </c>
      <c r="CS3642">
        <v>0</v>
      </c>
      <c r="CT3642">
        <v>0</v>
      </c>
      <c r="CU3642">
        <v>0</v>
      </c>
    </row>
    <row r="3643" spans="1:99" x14ac:dyDescent="0.2">
      <c r="A3643" t="s">
        <v>425</v>
      </c>
      <c r="B3643" t="s">
        <v>425</v>
      </c>
      <c r="C3643" t="s">
        <v>425</v>
      </c>
      <c r="D3643" t="s">
        <v>1392</v>
      </c>
      <c r="F3643" t="str">
        <f>"147490"</f>
        <v>147490</v>
      </c>
      <c r="G3643" t="s">
        <v>49</v>
      </c>
      <c r="H3643" t="s">
        <v>1659</v>
      </c>
      <c r="K3643" t="s">
        <v>51</v>
      </c>
      <c r="L3643" t="s">
        <v>52</v>
      </c>
      <c r="M3643">
        <v>138489.32</v>
      </c>
      <c r="N3643">
        <v>467950.09</v>
      </c>
      <c r="O3643" t="s">
        <v>53</v>
      </c>
      <c r="P3643" t="s">
        <v>54</v>
      </c>
      <c r="Q3643" t="s">
        <v>55</v>
      </c>
      <c r="T3643" t="s">
        <v>841</v>
      </c>
      <c r="U3643">
        <v>40</v>
      </c>
      <c r="V3643" s="1">
        <v>38015</v>
      </c>
      <c r="W3643" s="1">
        <v>38015</v>
      </c>
      <c r="X3643" s="1">
        <v>38015</v>
      </c>
      <c r="Y3643" s="1">
        <v>52625</v>
      </c>
      <c r="Z3643" t="s">
        <v>51</v>
      </c>
      <c r="AB3643" t="s">
        <v>54</v>
      </c>
      <c r="AC3643">
        <v>1</v>
      </c>
      <c r="AE3643" t="s">
        <v>356</v>
      </c>
      <c r="AF3643">
        <v>20</v>
      </c>
      <c r="AG3643" s="1">
        <v>44627</v>
      </c>
      <c r="AH3643" s="1">
        <v>44627</v>
      </c>
      <c r="AI3643" s="1">
        <v>44627</v>
      </c>
      <c r="AJ3643" s="1">
        <v>51932</v>
      </c>
      <c r="AK3643" t="s">
        <v>51</v>
      </c>
      <c r="AN3643">
        <v>0</v>
      </c>
      <c r="AO3643" t="s">
        <v>54</v>
      </c>
      <c r="AP3643" t="s">
        <v>53</v>
      </c>
      <c r="AQ3643">
        <v>0</v>
      </c>
      <c r="AR3643" t="s">
        <v>145</v>
      </c>
      <c r="AS3643">
        <v>0</v>
      </c>
      <c r="AT3643">
        <v>0</v>
      </c>
      <c r="CC3643" t="s">
        <v>439</v>
      </c>
      <c r="CD3643">
        <v>85000</v>
      </c>
      <c r="CE3643" s="1">
        <v>42552</v>
      </c>
      <c r="CF3643" s="1">
        <v>42552</v>
      </c>
      <c r="CG3643" s="1">
        <v>44627</v>
      </c>
      <c r="CH3643" s="1">
        <v>49714</v>
      </c>
      <c r="CI3643" t="s">
        <v>51</v>
      </c>
      <c r="CK3643" t="s">
        <v>78</v>
      </c>
      <c r="CM3643" t="s">
        <v>54</v>
      </c>
      <c r="CN3643" t="s">
        <v>174</v>
      </c>
      <c r="CO3643" t="s">
        <v>86</v>
      </c>
      <c r="CR3643">
        <v>25</v>
      </c>
      <c r="CS3643">
        <v>0</v>
      </c>
      <c r="CT3643">
        <v>0</v>
      </c>
      <c r="CU3643">
        <v>0</v>
      </c>
    </row>
    <row r="3644" spans="1:99" x14ac:dyDescent="0.2">
      <c r="A3644" t="s">
        <v>425</v>
      </c>
      <c r="B3644" t="s">
        <v>425</v>
      </c>
      <c r="C3644" t="s">
        <v>425</v>
      </c>
      <c r="D3644" t="s">
        <v>1392</v>
      </c>
      <c r="F3644" t="str">
        <f>"147491"</f>
        <v>147491</v>
      </c>
      <c r="G3644" t="s">
        <v>49</v>
      </c>
      <c r="H3644" t="s">
        <v>1659</v>
      </c>
      <c r="K3644" t="s">
        <v>51</v>
      </c>
      <c r="L3644" t="s">
        <v>52</v>
      </c>
      <c r="M3644">
        <v>138489.67000000001</v>
      </c>
      <c r="N3644">
        <v>467929.61</v>
      </c>
      <c r="O3644" t="s">
        <v>53</v>
      </c>
      <c r="P3644" t="s">
        <v>54</v>
      </c>
      <c r="Q3644" t="s">
        <v>55</v>
      </c>
      <c r="T3644" t="s">
        <v>841</v>
      </c>
      <c r="U3644">
        <v>40</v>
      </c>
      <c r="V3644" s="1">
        <v>36305</v>
      </c>
      <c r="W3644" s="1">
        <v>36305</v>
      </c>
      <c r="X3644" s="1">
        <v>36305</v>
      </c>
      <c r="Y3644" s="1">
        <v>50915</v>
      </c>
      <c r="Z3644" t="s">
        <v>51</v>
      </c>
      <c r="AB3644" t="s">
        <v>54</v>
      </c>
      <c r="AC3644">
        <v>1</v>
      </c>
      <c r="AE3644" t="s">
        <v>814</v>
      </c>
      <c r="AF3644">
        <v>20</v>
      </c>
      <c r="AG3644" s="1">
        <v>36305</v>
      </c>
      <c r="AH3644" s="1">
        <v>36305</v>
      </c>
      <c r="AI3644" s="1">
        <v>36305</v>
      </c>
      <c r="AJ3644" s="1">
        <v>43610</v>
      </c>
      <c r="AK3644" t="s">
        <v>51</v>
      </c>
      <c r="AN3644">
        <v>0</v>
      </c>
      <c r="AO3644" t="s">
        <v>54</v>
      </c>
      <c r="AP3644" t="s">
        <v>53</v>
      </c>
      <c r="AQ3644">
        <v>0</v>
      </c>
      <c r="AR3644" t="s">
        <v>53</v>
      </c>
      <c r="AS3644">
        <v>0</v>
      </c>
      <c r="AT3644">
        <v>0</v>
      </c>
      <c r="CC3644" t="s">
        <v>439</v>
      </c>
      <c r="CD3644">
        <v>85000</v>
      </c>
      <c r="CE3644" s="1">
        <v>42552</v>
      </c>
      <c r="CF3644" s="1">
        <v>42552</v>
      </c>
      <c r="CG3644" s="1">
        <v>42552</v>
      </c>
      <c r="CH3644" s="1">
        <v>49714</v>
      </c>
      <c r="CI3644" t="s">
        <v>51</v>
      </c>
      <c r="CK3644" t="s">
        <v>78</v>
      </c>
      <c r="CM3644" t="s">
        <v>54</v>
      </c>
      <c r="CN3644" t="s">
        <v>174</v>
      </c>
      <c r="CO3644" t="s">
        <v>86</v>
      </c>
      <c r="CR3644">
        <v>25</v>
      </c>
      <c r="CS3644">
        <v>0</v>
      </c>
      <c r="CT3644">
        <v>0</v>
      </c>
      <c r="CU3644">
        <v>0</v>
      </c>
    </row>
    <row r="3645" spans="1:99" x14ac:dyDescent="0.2">
      <c r="A3645" t="s">
        <v>367</v>
      </c>
      <c r="B3645" t="s">
        <v>368</v>
      </c>
      <c r="C3645" t="s">
        <v>369</v>
      </c>
      <c r="D3645" t="s">
        <v>1278</v>
      </c>
      <c r="F3645" t="str">
        <f>"147495"</f>
        <v>147495</v>
      </c>
      <c r="G3645" t="s">
        <v>49</v>
      </c>
      <c r="H3645" t="s">
        <v>1660</v>
      </c>
      <c r="K3645" t="s">
        <v>51</v>
      </c>
      <c r="L3645" t="s">
        <v>52</v>
      </c>
      <c r="M3645">
        <v>137436.54</v>
      </c>
      <c r="N3645">
        <v>468444.37</v>
      </c>
      <c r="O3645" t="s">
        <v>53</v>
      </c>
      <c r="P3645" t="s">
        <v>54</v>
      </c>
      <c r="Q3645" t="s">
        <v>55</v>
      </c>
      <c r="T3645" t="s">
        <v>372</v>
      </c>
      <c r="U3645">
        <v>40</v>
      </c>
      <c r="V3645" s="1">
        <v>36333</v>
      </c>
      <c r="W3645" s="1">
        <v>36333</v>
      </c>
      <c r="X3645" s="1">
        <v>36333</v>
      </c>
      <c r="Y3645" s="1">
        <v>50943</v>
      </c>
      <c r="Z3645" t="s">
        <v>51</v>
      </c>
      <c r="AB3645" t="s">
        <v>54</v>
      </c>
      <c r="AC3645">
        <v>1</v>
      </c>
      <c r="AE3645" t="s">
        <v>844</v>
      </c>
      <c r="AF3645">
        <v>20</v>
      </c>
      <c r="AG3645" s="1">
        <v>36333</v>
      </c>
      <c r="AH3645" s="1">
        <v>36333</v>
      </c>
      <c r="AI3645" s="1">
        <v>36333</v>
      </c>
      <c r="AJ3645" s="1">
        <v>43638</v>
      </c>
      <c r="AK3645" t="s">
        <v>51</v>
      </c>
      <c r="AN3645">
        <v>0</v>
      </c>
      <c r="AO3645" t="s">
        <v>54</v>
      </c>
      <c r="AP3645" t="s">
        <v>53</v>
      </c>
      <c r="AQ3645">
        <v>0</v>
      </c>
      <c r="AR3645" t="s">
        <v>53</v>
      </c>
      <c r="AS3645">
        <v>0</v>
      </c>
      <c r="AT3645">
        <v>0</v>
      </c>
      <c r="CC3645" t="s">
        <v>555</v>
      </c>
      <c r="CD3645">
        <v>85000</v>
      </c>
      <c r="CE3645" s="1">
        <v>42552</v>
      </c>
      <c r="CF3645" s="1">
        <v>42552</v>
      </c>
      <c r="CG3645" s="1">
        <v>42552</v>
      </c>
      <c r="CH3645" s="1">
        <v>49714</v>
      </c>
      <c r="CI3645" t="s">
        <v>51</v>
      </c>
      <c r="CK3645" t="s">
        <v>78</v>
      </c>
      <c r="CM3645" t="s">
        <v>54</v>
      </c>
      <c r="CN3645" t="s">
        <v>174</v>
      </c>
      <c r="CO3645" t="s">
        <v>86</v>
      </c>
      <c r="CR3645">
        <v>20</v>
      </c>
      <c r="CS3645">
        <v>0</v>
      </c>
      <c r="CT3645">
        <v>0</v>
      </c>
      <c r="CU3645">
        <v>0</v>
      </c>
    </row>
    <row r="3646" spans="1:99" x14ac:dyDescent="0.2">
      <c r="A3646" t="s">
        <v>425</v>
      </c>
      <c r="B3646" t="s">
        <v>425</v>
      </c>
      <c r="C3646" t="s">
        <v>425</v>
      </c>
      <c r="D3646" t="s">
        <v>1392</v>
      </c>
      <c r="F3646" t="str">
        <f>"150146"</f>
        <v>150146</v>
      </c>
      <c r="G3646" t="s">
        <v>49</v>
      </c>
      <c r="K3646" t="s">
        <v>51</v>
      </c>
      <c r="L3646" t="s">
        <v>52</v>
      </c>
      <c r="M3646">
        <v>138311.51999999999</v>
      </c>
      <c r="N3646">
        <v>468475.98</v>
      </c>
      <c r="O3646" t="s">
        <v>53</v>
      </c>
      <c r="P3646" t="s">
        <v>54</v>
      </c>
      <c r="Q3646" t="s">
        <v>55</v>
      </c>
      <c r="T3646" t="s">
        <v>841</v>
      </c>
      <c r="U3646">
        <v>40</v>
      </c>
      <c r="V3646" s="1">
        <v>36570</v>
      </c>
      <c r="W3646" s="1">
        <v>36570</v>
      </c>
      <c r="X3646" s="1">
        <v>36570</v>
      </c>
      <c r="Y3646" s="1">
        <v>51180</v>
      </c>
      <c r="Z3646" t="s">
        <v>51</v>
      </c>
      <c r="AB3646" t="s">
        <v>54</v>
      </c>
      <c r="AC3646">
        <v>1</v>
      </c>
      <c r="AE3646" t="s">
        <v>814</v>
      </c>
      <c r="AF3646">
        <v>20</v>
      </c>
      <c r="AG3646" s="1">
        <v>36570</v>
      </c>
      <c r="AH3646" s="1">
        <v>36570</v>
      </c>
      <c r="AI3646" s="1">
        <v>36570</v>
      </c>
      <c r="AJ3646" s="1">
        <v>43875</v>
      </c>
      <c r="AK3646" t="s">
        <v>51</v>
      </c>
      <c r="AN3646">
        <v>0</v>
      </c>
      <c r="AO3646" t="s">
        <v>54</v>
      </c>
      <c r="AP3646" t="s">
        <v>53</v>
      </c>
      <c r="AQ3646">
        <v>0</v>
      </c>
      <c r="AR3646" t="s">
        <v>53</v>
      </c>
      <c r="AS3646">
        <v>0</v>
      </c>
      <c r="AT3646">
        <v>0</v>
      </c>
      <c r="CC3646" t="s">
        <v>439</v>
      </c>
      <c r="CD3646">
        <v>85000</v>
      </c>
      <c r="CE3646" s="1">
        <v>42552</v>
      </c>
      <c r="CF3646" s="1">
        <v>42552</v>
      </c>
      <c r="CG3646" s="1">
        <v>42552</v>
      </c>
      <c r="CH3646" s="1">
        <v>49714</v>
      </c>
      <c r="CI3646" t="s">
        <v>51</v>
      </c>
      <c r="CK3646" t="s">
        <v>78</v>
      </c>
      <c r="CM3646" t="s">
        <v>54</v>
      </c>
      <c r="CN3646" t="s">
        <v>174</v>
      </c>
      <c r="CO3646" t="s">
        <v>86</v>
      </c>
      <c r="CR3646">
        <v>25</v>
      </c>
      <c r="CS3646">
        <v>0</v>
      </c>
      <c r="CT3646">
        <v>0</v>
      </c>
      <c r="CU3646">
        <v>0</v>
      </c>
    </row>
    <row r="3647" spans="1:99" x14ac:dyDescent="0.2">
      <c r="A3647" t="s">
        <v>367</v>
      </c>
      <c r="B3647" t="s">
        <v>368</v>
      </c>
      <c r="C3647" t="s">
        <v>369</v>
      </c>
      <c r="D3647" t="s">
        <v>1403</v>
      </c>
      <c r="F3647" t="str">
        <f>"150213"</f>
        <v>150213</v>
      </c>
      <c r="G3647" t="s">
        <v>49</v>
      </c>
      <c r="H3647" t="s">
        <v>1661</v>
      </c>
      <c r="K3647" t="s">
        <v>51</v>
      </c>
      <c r="L3647" t="s">
        <v>52</v>
      </c>
      <c r="M3647">
        <v>137916.57999999999</v>
      </c>
      <c r="N3647">
        <v>467669.41</v>
      </c>
      <c r="O3647" t="s">
        <v>53</v>
      </c>
      <c r="P3647" t="s">
        <v>54</v>
      </c>
      <c r="Q3647" t="s">
        <v>55</v>
      </c>
      <c r="T3647" t="s">
        <v>372</v>
      </c>
      <c r="U3647">
        <v>40</v>
      </c>
      <c r="V3647" s="1">
        <v>36661</v>
      </c>
      <c r="W3647" s="1">
        <v>36661</v>
      </c>
      <c r="X3647" s="1">
        <v>36661</v>
      </c>
      <c r="Y3647" s="1">
        <v>51271</v>
      </c>
      <c r="Z3647" t="s">
        <v>51</v>
      </c>
      <c r="AB3647" t="s">
        <v>54</v>
      </c>
      <c r="AC3647">
        <v>1</v>
      </c>
      <c r="AE3647" t="s">
        <v>844</v>
      </c>
      <c r="AF3647">
        <v>20</v>
      </c>
      <c r="AG3647" s="1">
        <v>36661</v>
      </c>
      <c r="AH3647" s="1">
        <v>36661</v>
      </c>
      <c r="AI3647" s="1">
        <v>36661</v>
      </c>
      <c r="AJ3647" s="1">
        <v>43966</v>
      </c>
      <c r="AK3647" t="s">
        <v>51</v>
      </c>
      <c r="AN3647">
        <v>0</v>
      </c>
      <c r="AO3647" t="s">
        <v>54</v>
      </c>
      <c r="AP3647" t="s">
        <v>53</v>
      </c>
      <c r="AQ3647">
        <v>0</v>
      </c>
      <c r="AR3647" t="s">
        <v>53</v>
      </c>
      <c r="AS3647">
        <v>0</v>
      </c>
      <c r="AT3647">
        <v>0</v>
      </c>
      <c r="CC3647" t="s">
        <v>555</v>
      </c>
      <c r="CD3647">
        <v>85000</v>
      </c>
      <c r="CE3647" s="1">
        <v>42552</v>
      </c>
      <c r="CF3647" s="1">
        <v>42552</v>
      </c>
      <c r="CG3647" s="1">
        <v>42552</v>
      </c>
      <c r="CH3647" s="1">
        <v>49714</v>
      </c>
      <c r="CI3647" t="s">
        <v>51</v>
      </c>
      <c r="CK3647" t="s">
        <v>78</v>
      </c>
      <c r="CM3647" t="s">
        <v>54</v>
      </c>
      <c r="CN3647" t="s">
        <v>174</v>
      </c>
      <c r="CO3647" t="s">
        <v>86</v>
      </c>
      <c r="CR3647">
        <v>20</v>
      </c>
      <c r="CS3647">
        <v>0</v>
      </c>
      <c r="CT3647">
        <v>0</v>
      </c>
      <c r="CU3647">
        <v>0</v>
      </c>
    </row>
    <row r="3648" spans="1:99" x14ac:dyDescent="0.2">
      <c r="A3648" t="s">
        <v>367</v>
      </c>
      <c r="B3648" t="s">
        <v>368</v>
      </c>
      <c r="C3648" t="s">
        <v>369</v>
      </c>
      <c r="D3648" t="s">
        <v>1198</v>
      </c>
      <c r="F3648" t="str">
        <f>"150239"</f>
        <v>150239</v>
      </c>
      <c r="G3648" t="s">
        <v>49</v>
      </c>
      <c r="H3648" t="s">
        <v>1662</v>
      </c>
      <c r="K3648" t="s">
        <v>51</v>
      </c>
      <c r="L3648" t="s">
        <v>52</v>
      </c>
      <c r="M3648">
        <v>137757.51</v>
      </c>
      <c r="N3648">
        <v>467661.51</v>
      </c>
      <c r="O3648" t="s">
        <v>53</v>
      </c>
      <c r="P3648" t="s">
        <v>54</v>
      </c>
      <c r="Q3648" t="s">
        <v>55</v>
      </c>
      <c r="T3648" t="s">
        <v>841</v>
      </c>
      <c r="U3648">
        <v>40</v>
      </c>
      <c r="V3648" s="1">
        <v>36690</v>
      </c>
      <c r="W3648" s="1">
        <v>36690</v>
      </c>
      <c r="X3648" s="1">
        <v>36690</v>
      </c>
      <c r="Y3648" s="1">
        <v>51300</v>
      </c>
      <c r="Z3648" t="s">
        <v>51</v>
      </c>
      <c r="AB3648" t="s">
        <v>54</v>
      </c>
      <c r="AC3648">
        <v>1</v>
      </c>
      <c r="AE3648" t="s">
        <v>1212</v>
      </c>
      <c r="AF3648">
        <v>20</v>
      </c>
      <c r="AG3648" s="1">
        <v>31777</v>
      </c>
      <c r="AH3648" s="1">
        <v>31777</v>
      </c>
      <c r="AI3648" s="1">
        <v>36690</v>
      </c>
      <c r="AJ3648" s="1">
        <v>39082</v>
      </c>
      <c r="AK3648" t="s">
        <v>51</v>
      </c>
      <c r="AN3648">
        <v>0</v>
      </c>
      <c r="AO3648" t="s">
        <v>54</v>
      </c>
      <c r="AP3648" t="s">
        <v>53</v>
      </c>
      <c r="AQ3648">
        <v>0</v>
      </c>
      <c r="AR3648" t="s">
        <v>53</v>
      </c>
      <c r="AS3648">
        <v>0</v>
      </c>
      <c r="AT3648">
        <v>0</v>
      </c>
      <c r="CC3648" t="s">
        <v>850</v>
      </c>
      <c r="CD3648">
        <v>1</v>
      </c>
      <c r="CE3648" s="1">
        <v>42552</v>
      </c>
      <c r="CF3648" s="1">
        <v>42552</v>
      </c>
      <c r="CG3648" s="1">
        <v>42552</v>
      </c>
      <c r="CH3648" s="1">
        <v>49714</v>
      </c>
      <c r="CI3648" t="s">
        <v>51</v>
      </c>
      <c r="CK3648" t="s">
        <v>78</v>
      </c>
      <c r="CM3648" t="s">
        <v>54</v>
      </c>
      <c r="CN3648" t="s">
        <v>174</v>
      </c>
      <c r="CO3648" t="s">
        <v>86</v>
      </c>
      <c r="CR3648">
        <v>18</v>
      </c>
      <c r="CS3648">
        <v>0</v>
      </c>
      <c r="CT3648">
        <v>0</v>
      </c>
      <c r="CU3648">
        <v>0</v>
      </c>
    </row>
    <row r="3649" spans="1:99" x14ac:dyDescent="0.2">
      <c r="A3649" t="s">
        <v>367</v>
      </c>
      <c r="B3649" t="s">
        <v>368</v>
      </c>
      <c r="C3649" t="s">
        <v>369</v>
      </c>
      <c r="D3649" t="s">
        <v>1392</v>
      </c>
      <c r="F3649" t="str">
        <f>"150351"</f>
        <v>150351</v>
      </c>
      <c r="G3649" t="s">
        <v>49</v>
      </c>
      <c r="H3649" t="s">
        <v>1663</v>
      </c>
      <c r="K3649" t="s">
        <v>51</v>
      </c>
      <c r="L3649" t="s">
        <v>52</v>
      </c>
      <c r="M3649">
        <v>138139.60999999999</v>
      </c>
      <c r="N3649">
        <v>467270.88</v>
      </c>
      <c r="O3649" t="s">
        <v>53</v>
      </c>
      <c r="P3649" t="s">
        <v>54</v>
      </c>
      <c r="Q3649" t="s">
        <v>55</v>
      </c>
      <c r="T3649" t="s">
        <v>818</v>
      </c>
      <c r="U3649">
        <v>40</v>
      </c>
      <c r="V3649" s="1">
        <v>42552</v>
      </c>
      <c r="W3649" s="1">
        <v>42552</v>
      </c>
      <c r="X3649" s="1">
        <v>42552</v>
      </c>
      <c r="Y3649" s="1">
        <v>57162</v>
      </c>
      <c r="Z3649" t="s">
        <v>51</v>
      </c>
      <c r="AB3649" t="s">
        <v>54</v>
      </c>
      <c r="AC3649">
        <v>1</v>
      </c>
      <c r="AE3649" t="s">
        <v>79</v>
      </c>
      <c r="AF3649">
        <v>20</v>
      </c>
      <c r="AG3649" s="1">
        <v>42552</v>
      </c>
      <c r="AH3649" s="1">
        <v>42552</v>
      </c>
      <c r="AI3649" s="1">
        <v>42552</v>
      </c>
      <c r="AJ3649" s="1">
        <v>49857</v>
      </c>
      <c r="AK3649" t="s">
        <v>51</v>
      </c>
      <c r="AN3649">
        <v>0</v>
      </c>
      <c r="AO3649" t="s">
        <v>54</v>
      </c>
      <c r="AP3649" t="s">
        <v>53</v>
      </c>
      <c r="AQ3649">
        <v>0</v>
      </c>
      <c r="AR3649" t="s">
        <v>145</v>
      </c>
      <c r="AS3649">
        <v>0</v>
      </c>
      <c r="AT3649">
        <v>0</v>
      </c>
      <c r="CC3649" t="s">
        <v>555</v>
      </c>
      <c r="CD3649">
        <v>85000</v>
      </c>
      <c r="CE3649" s="1">
        <v>42552</v>
      </c>
      <c r="CF3649" s="1">
        <v>42552</v>
      </c>
      <c r="CG3649" s="1">
        <v>42552</v>
      </c>
      <c r="CH3649" s="1">
        <v>49714</v>
      </c>
      <c r="CI3649" t="s">
        <v>51</v>
      </c>
      <c r="CK3649" t="s">
        <v>78</v>
      </c>
      <c r="CM3649" t="s">
        <v>54</v>
      </c>
      <c r="CN3649" t="s">
        <v>174</v>
      </c>
      <c r="CO3649" t="s">
        <v>86</v>
      </c>
      <c r="CR3649">
        <v>20</v>
      </c>
      <c r="CS3649">
        <v>0</v>
      </c>
      <c r="CT3649">
        <v>0</v>
      </c>
      <c r="CU3649">
        <v>0</v>
      </c>
    </row>
    <row r="3650" spans="1:99" x14ac:dyDescent="0.2">
      <c r="A3650" t="s">
        <v>367</v>
      </c>
      <c r="B3650" t="s">
        <v>368</v>
      </c>
      <c r="C3650" t="s">
        <v>369</v>
      </c>
      <c r="D3650" t="s">
        <v>1445</v>
      </c>
      <c r="F3650" t="str">
        <f>"150357"</f>
        <v>150357</v>
      </c>
      <c r="G3650" t="s">
        <v>49</v>
      </c>
      <c r="H3650" t="s">
        <v>1664</v>
      </c>
      <c r="K3650" t="s">
        <v>51</v>
      </c>
      <c r="L3650" t="s">
        <v>52</v>
      </c>
      <c r="M3650">
        <v>137927.62</v>
      </c>
      <c r="N3650">
        <v>467893.15</v>
      </c>
      <c r="O3650" t="s">
        <v>53</v>
      </c>
      <c r="P3650" t="s">
        <v>54</v>
      </c>
      <c r="Q3650" t="s">
        <v>55</v>
      </c>
      <c r="T3650" t="s">
        <v>841</v>
      </c>
      <c r="U3650">
        <v>40</v>
      </c>
      <c r="V3650" s="1">
        <v>36805</v>
      </c>
      <c r="W3650" s="1">
        <v>36805</v>
      </c>
      <c r="X3650" s="1">
        <v>36805</v>
      </c>
      <c r="Y3650" s="1">
        <v>51415</v>
      </c>
      <c r="Z3650" t="s">
        <v>51</v>
      </c>
      <c r="AB3650" t="s">
        <v>54</v>
      </c>
      <c r="AC3650">
        <v>1</v>
      </c>
      <c r="AE3650" t="s">
        <v>1212</v>
      </c>
      <c r="AF3650">
        <v>20</v>
      </c>
      <c r="AG3650" s="1">
        <v>31777</v>
      </c>
      <c r="AH3650" s="1">
        <v>31777</v>
      </c>
      <c r="AI3650" s="1">
        <v>36805</v>
      </c>
      <c r="AJ3650" s="1">
        <v>39082</v>
      </c>
      <c r="AK3650" t="s">
        <v>51</v>
      </c>
      <c r="AN3650">
        <v>0</v>
      </c>
      <c r="AO3650" t="s">
        <v>54</v>
      </c>
      <c r="AP3650" t="s">
        <v>53</v>
      </c>
      <c r="AQ3650">
        <v>0</v>
      </c>
      <c r="AR3650" t="s">
        <v>53</v>
      </c>
      <c r="AS3650">
        <v>0</v>
      </c>
      <c r="AT3650">
        <v>0</v>
      </c>
      <c r="AW3650" t="s">
        <v>58</v>
      </c>
      <c r="AX3650">
        <v>20</v>
      </c>
      <c r="AY3650" s="1">
        <v>31777</v>
      </c>
      <c r="AZ3650" s="1">
        <v>31777</v>
      </c>
      <c r="BA3650" s="1">
        <v>36805</v>
      </c>
      <c r="BB3650" s="1">
        <v>39082</v>
      </c>
      <c r="BC3650" t="s">
        <v>51</v>
      </c>
      <c r="BE3650" t="s">
        <v>54</v>
      </c>
      <c r="BF3650">
        <v>2</v>
      </c>
      <c r="BG3650">
        <v>0</v>
      </c>
      <c r="BH3650" t="s">
        <v>53</v>
      </c>
      <c r="BK3650" t="s">
        <v>720</v>
      </c>
      <c r="BL3650">
        <v>17000</v>
      </c>
      <c r="BM3650" s="1">
        <v>42552</v>
      </c>
      <c r="BN3650" s="1">
        <v>42552</v>
      </c>
      <c r="BO3650" s="1">
        <v>42552</v>
      </c>
      <c r="BP3650" s="1">
        <v>43974</v>
      </c>
      <c r="BQ3650" t="s">
        <v>51</v>
      </c>
      <c r="BS3650" t="s">
        <v>60</v>
      </c>
      <c r="BT3650" t="s">
        <v>54</v>
      </c>
      <c r="BU3650" t="s">
        <v>721</v>
      </c>
      <c r="BV3650" t="s">
        <v>722</v>
      </c>
      <c r="BX3650">
        <v>18</v>
      </c>
      <c r="BY3650">
        <v>0</v>
      </c>
      <c r="BZ3650">
        <v>0</v>
      </c>
    </row>
    <row r="3651" spans="1:99" x14ac:dyDescent="0.2">
      <c r="A3651" t="s">
        <v>367</v>
      </c>
      <c r="B3651" t="s">
        <v>368</v>
      </c>
      <c r="C3651" t="s">
        <v>369</v>
      </c>
      <c r="D3651" t="s">
        <v>1528</v>
      </c>
      <c r="F3651" t="str">
        <f>"150463"</f>
        <v>150463</v>
      </c>
      <c r="G3651" t="s">
        <v>49</v>
      </c>
      <c r="H3651" t="s">
        <v>1306</v>
      </c>
      <c r="K3651" t="s">
        <v>51</v>
      </c>
      <c r="L3651" t="s">
        <v>52</v>
      </c>
      <c r="M3651">
        <v>137892.56</v>
      </c>
      <c r="N3651">
        <v>468199.19</v>
      </c>
      <c r="O3651" t="s">
        <v>53</v>
      </c>
      <c r="P3651" t="s">
        <v>54</v>
      </c>
      <c r="Q3651" t="s">
        <v>55</v>
      </c>
      <c r="T3651" t="s">
        <v>841</v>
      </c>
      <c r="U3651">
        <v>40</v>
      </c>
      <c r="V3651" s="1">
        <v>36929</v>
      </c>
      <c r="W3651" s="1">
        <v>36929</v>
      </c>
      <c r="X3651" s="1">
        <v>36929</v>
      </c>
      <c r="Y3651" s="1">
        <v>51539</v>
      </c>
      <c r="Z3651" t="s">
        <v>51</v>
      </c>
      <c r="AB3651" t="s">
        <v>54</v>
      </c>
      <c r="AC3651">
        <v>1</v>
      </c>
      <c r="AE3651" t="s">
        <v>1212</v>
      </c>
      <c r="AF3651">
        <v>20</v>
      </c>
      <c r="AG3651" s="1">
        <v>31777</v>
      </c>
      <c r="AH3651" s="1">
        <v>31777</v>
      </c>
      <c r="AI3651" s="1">
        <v>36929</v>
      </c>
      <c r="AJ3651" s="1">
        <v>39082</v>
      </c>
      <c r="AK3651" t="s">
        <v>51</v>
      </c>
      <c r="AN3651">
        <v>0</v>
      </c>
      <c r="AO3651" t="s">
        <v>54</v>
      </c>
      <c r="AP3651" t="s">
        <v>53</v>
      </c>
      <c r="AQ3651">
        <v>0</v>
      </c>
      <c r="AR3651" t="s">
        <v>53</v>
      </c>
      <c r="AS3651">
        <v>0</v>
      </c>
      <c r="AT3651">
        <v>0</v>
      </c>
      <c r="CC3651" t="s">
        <v>850</v>
      </c>
      <c r="CD3651">
        <v>1</v>
      </c>
      <c r="CE3651" s="1">
        <v>42552</v>
      </c>
      <c r="CF3651" s="1">
        <v>42552</v>
      </c>
      <c r="CG3651" s="1">
        <v>42552</v>
      </c>
      <c r="CH3651" s="1">
        <v>49714</v>
      </c>
      <c r="CI3651" t="s">
        <v>51</v>
      </c>
      <c r="CK3651" t="s">
        <v>78</v>
      </c>
      <c r="CM3651" t="s">
        <v>54</v>
      </c>
      <c r="CN3651" t="s">
        <v>174</v>
      </c>
      <c r="CO3651" t="s">
        <v>86</v>
      </c>
      <c r="CR3651">
        <v>18</v>
      </c>
      <c r="CS3651">
        <v>0</v>
      </c>
      <c r="CT3651">
        <v>0</v>
      </c>
      <c r="CU3651">
        <v>0</v>
      </c>
    </row>
    <row r="3652" spans="1:99" x14ac:dyDescent="0.2">
      <c r="A3652" t="s">
        <v>367</v>
      </c>
      <c r="B3652" t="s">
        <v>368</v>
      </c>
      <c r="C3652" t="s">
        <v>369</v>
      </c>
      <c r="D3652" t="s">
        <v>1278</v>
      </c>
      <c r="F3652" t="str">
        <f>"151881"</f>
        <v>151881</v>
      </c>
      <c r="G3652" t="s">
        <v>49</v>
      </c>
      <c r="H3652" t="s">
        <v>1665</v>
      </c>
      <c r="K3652" t="s">
        <v>51</v>
      </c>
      <c r="L3652" t="s">
        <v>52</v>
      </c>
      <c r="M3652">
        <v>137832.48000000001</v>
      </c>
      <c r="N3652">
        <v>468549</v>
      </c>
      <c r="O3652" t="s">
        <v>53</v>
      </c>
      <c r="P3652" t="s">
        <v>54</v>
      </c>
      <c r="Q3652" t="s">
        <v>55</v>
      </c>
      <c r="T3652" t="s">
        <v>818</v>
      </c>
      <c r="U3652">
        <v>40</v>
      </c>
      <c r="V3652" s="1">
        <v>36901</v>
      </c>
      <c r="W3652" s="1">
        <v>36901</v>
      </c>
      <c r="X3652" s="1">
        <v>36901</v>
      </c>
      <c r="Y3652" s="1">
        <v>51511</v>
      </c>
      <c r="Z3652" t="s">
        <v>51</v>
      </c>
      <c r="AB3652" t="s">
        <v>54</v>
      </c>
      <c r="AC3652">
        <v>1</v>
      </c>
      <c r="AE3652" t="s">
        <v>825</v>
      </c>
      <c r="AF3652">
        <v>20</v>
      </c>
      <c r="AG3652" s="1">
        <v>36901</v>
      </c>
      <c r="AH3652" s="1">
        <v>36901</v>
      </c>
      <c r="AI3652" s="1">
        <v>36901</v>
      </c>
      <c r="AJ3652" s="1">
        <v>44206</v>
      </c>
      <c r="AK3652" t="s">
        <v>51</v>
      </c>
      <c r="AN3652">
        <v>0</v>
      </c>
      <c r="AO3652" t="s">
        <v>54</v>
      </c>
      <c r="AP3652" t="s">
        <v>53</v>
      </c>
      <c r="AQ3652">
        <v>0</v>
      </c>
      <c r="AR3652" t="s">
        <v>53</v>
      </c>
      <c r="AS3652">
        <v>0</v>
      </c>
      <c r="AT3652">
        <v>0</v>
      </c>
      <c r="CC3652" t="s">
        <v>555</v>
      </c>
      <c r="CD3652">
        <v>85000</v>
      </c>
      <c r="CE3652" s="1">
        <v>42552</v>
      </c>
      <c r="CF3652" s="1">
        <v>42552</v>
      </c>
      <c r="CG3652" s="1">
        <v>42552</v>
      </c>
      <c r="CH3652" s="1">
        <v>49714</v>
      </c>
      <c r="CI3652" t="s">
        <v>51</v>
      </c>
      <c r="CK3652" t="s">
        <v>78</v>
      </c>
      <c r="CM3652" t="s">
        <v>54</v>
      </c>
      <c r="CN3652" t="s">
        <v>174</v>
      </c>
      <c r="CO3652" t="s">
        <v>86</v>
      </c>
      <c r="CR3652">
        <v>20</v>
      </c>
      <c r="CS3652">
        <v>0</v>
      </c>
      <c r="CT3652">
        <v>0</v>
      </c>
      <c r="CU3652">
        <v>0</v>
      </c>
    </row>
    <row r="3653" spans="1:99" x14ac:dyDescent="0.2">
      <c r="A3653" t="s">
        <v>367</v>
      </c>
      <c r="B3653" t="s">
        <v>368</v>
      </c>
      <c r="C3653" t="s">
        <v>369</v>
      </c>
      <c r="D3653" t="s">
        <v>1278</v>
      </c>
      <c r="F3653" t="str">
        <f>"151882"</f>
        <v>151882</v>
      </c>
      <c r="G3653" t="s">
        <v>49</v>
      </c>
      <c r="H3653" t="s">
        <v>1666</v>
      </c>
      <c r="K3653" t="s">
        <v>51</v>
      </c>
      <c r="L3653" t="s">
        <v>52</v>
      </c>
      <c r="M3653">
        <v>137809.48000000001</v>
      </c>
      <c r="N3653">
        <v>468550.69</v>
      </c>
      <c r="O3653" t="s">
        <v>53</v>
      </c>
      <c r="P3653" t="s">
        <v>54</v>
      </c>
      <c r="Q3653" t="s">
        <v>55</v>
      </c>
      <c r="T3653" t="s">
        <v>818</v>
      </c>
      <c r="U3653">
        <v>40</v>
      </c>
      <c r="V3653" s="1">
        <v>36901</v>
      </c>
      <c r="W3653" s="1">
        <v>36901</v>
      </c>
      <c r="X3653" s="1">
        <v>36901</v>
      </c>
      <c r="Y3653" s="1">
        <v>51511</v>
      </c>
      <c r="Z3653" t="s">
        <v>51</v>
      </c>
      <c r="AB3653" t="s">
        <v>54</v>
      </c>
      <c r="AC3653">
        <v>1</v>
      </c>
      <c r="AE3653" t="s">
        <v>825</v>
      </c>
      <c r="AF3653">
        <v>20</v>
      </c>
      <c r="AG3653" s="1">
        <v>36901</v>
      </c>
      <c r="AH3653" s="1">
        <v>36901</v>
      </c>
      <c r="AI3653" s="1">
        <v>36901</v>
      </c>
      <c r="AJ3653" s="1">
        <v>44206</v>
      </c>
      <c r="AK3653" t="s">
        <v>51</v>
      </c>
      <c r="AN3653">
        <v>0</v>
      </c>
      <c r="AO3653" t="s">
        <v>54</v>
      </c>
      <c r="AP3653" t="s">
        <v>53</v>
      </c>
      <c r="AQ3653">
        <v>0</v>
      </c>
      <c r="AR3653" t="s">
        <v>53</v>
      </c>
      <c r="AS3653">
        <v>0</v>
      </c>
      <c r="AT3653">
        <v>0</v>
      </c>
      <c r="CC3653" t="s">
        <v>555</v>
      </c>
      <c r="CD3653">
        <v>85000</v>
      </c>
      <c r="CE3653" s="1">
        <v>42552</v>
      </c>
      <c r="CF3653" s="1">
        <v>42552</v>
      </c>
      <c r="CG3653" s="1">
        <v>42552</v>
      </c>
      <c r="CH3653" s="1">
        <v>49714</v>
      </c>
      <c r="CI3653" t="s">
        <v>51</v>
      </c>
      <c r="CK3653" t="s">
        <v>78</v>
      </c>
      <c r="CM3653" t="s">
        <v>54</v>
      </c>
      <c r="CN3653" t="s">
        <v>174</v>
      </c>
      <c r="CO3653" t="s">
        <v>86</v>
      </c>
      <c r="CR3653">
        <v>20</v>
      </c>
      <c r="CS3653">
        <v>0</v>
      </c>
      <c r="CT3653">
        <v>0</v>
      </c>
      <c r="CU3653">
        <v>0</v>
      </c>
    </row>
    <row r="3654" spans="1:99" x14ac:dyDescent="0.2">
      <c r="A3654" t="s">
        <v>367</v>
      </c>
      <c r="B3654" t="s">
        <v>368</v>
      </c>
      <c r="C3654" t="s">
        <v>369</v>
      </c>
      <c r="D3654" t="s">
        <v>1278</v>
      </c>
      <c r="F3654" t="str">
        <f>"151883"</f>
        <v>151883</v>
      </c>
      <c r="G3654" t="s">
        <v>49</v>
      </c>
      <c r="H3654" t="s">
        <v>1667</v>
      </c>
      <c r="K3654" t="s">
        <v>51</v>
      </c>
      <c r="L3654" t="s">
        <v>52</v>
      </c>
      <c r="M3654">
        <v>137799.64000000001</v>
      </c>
      <c r="N3654">
        <v>468540.65</v>
      </c>
      <c r="O3654" t="s">
        <v>53</v>
      </c>
      <c r="P3654" t="s">
        <v>54</v>
      </c>
      <c r="Q3654" t="s">
        <v>55</v>
      </c>
      <c r="T3654" t="s">
        <v>818</v>
      </c>
      <c r="U3654">
        <v>40</v>
      </c>
      <c r="V3654" s="1">
        <v>36901</v>
      </c>
      <c r="W3654" s="1">
        <v>36901</v>
      </c>
      <c r="X3654" s="1">
        <v>36901</v>
      </c>
      <c r="Y3654" s="1">
        <v>51511</v>
      </c>
      <c r="Z3654" t="s">
        <v>51</v>
      </c>
      <c r="AB3654" t="s">
        <v>54</v>
      </c>
      <c r="AC3654">
        <v>1</v>
      </c>
      <c r="AE3654" t="s">
        <v>825</v>
      </c>
      <c r="AF3654">
        <v>20</v>
      </c>
      <c r="AG3654" s="1">
        <v>36901</v>
      </c>
      <c r="AH3654" s="1">
        <v>36901</v>
      </c>
      <c r="AI3654" s="1">
        <v>36901</v>
      </c>
      <c r="AJ3654" s="1">
        <v>44206</v>
      </c>
      <c r="AK3654" t="s">
        <v>51</v>
      </c>
      <c r="AN3654">
        <v>0</v>
      </c>
      <c r="AO3654" t="s">
        <v>54</v>
      </c>
      <c r="AP3654" t="s">
        <v>53</v>
      </c>
      <c r="AQ3654">
        <v>0</v>
      </c>
      <c r="AR3654" t="s">
        <v>53</v>
      </c>
      <c r="AS3654">
        <v>0</v>
      </c>
      <c r="AT3654">
        <v>0</v>
      </c>
      <c r="CC3654" t="s">
        <v>555</v>
      </c>
      <c r="CD3654">
        <v>85000</v>
      </c>
      <c r="CE3654" s="1">
        <v>42552</v>
      </c>
      <c r="CF3654" s="1">
        <v>42552</v>
      </c>
      <c r="CG3654" s="1">
        <v>42552</v>
      </c>
      <c r="CH3654" s="1">
        <v>49714</v>
      </c>
      <c r="CI3654" t="s">
        <v>51</v>
      </c>
      <c r="CK3654" t="s">
        <v>78</v>
      </c>
      <c r="CM3654" t="s">
        <v>54</v>
      </c>
      <c r="CN3654" t="s">
        <v>174</v>
      </c>
      <c r="CO3654" t="s">
        <v>86</v>
      </c>
      <c r="CR3654">
        <v>20</v>
      </c>
      <c r="CS3654">
        <v>0</v>
      </c>
      <c r="CT3654">
        <v>0</v>
      </c>
      <c r="CU3654">
        <v>0</v>
      </c>
    </row>
    <row r="3655" spans="1:99" x14ac:dyDescent="0.2">
      <c r="A3655" t="s">
        <v>367</v>
      </c>
      <c r="B3655" t="s">
        <v>368</v>
      </c>
      <c r="C3655" t="s">
        <v>369</v>
      </c>
      <c r="D3655" t="s">
        <v>1278</v>
      </c>
      <c r="F3655" t="str">
        <f>"151884"</f>
        <v>151884</v>
      </c>
      <c r="G3655" t="s">
        <v>49</v>
      </c>
      <c r="H3655" t="s">
        <v>1668</v>
      </c>
      <c r="K3655" t="s">
        <v>51</v>
      </c>
      <c r="L3655" t="s">
        <v>52</v>
      </c>
      <c r="M3655">
        <v>137784.24</v>
      </c>
      <c r="N3655">
        <v>468544.71</v>
      </c>
      <c r="O3655" t="s">
        <v>53</v>
      </c>
      <c r="P3655" t="s">
        <v>54</v>
      </c>
      <c r="Q3655" t="s">
        <v>55</v>
      </c>
      <c r="T3655" t="s">
        <v>818</v>
      </c>
      <c r="U3655">
        <v>40</v>
      </c>
      <c r="V3655" s="1">
        <v>36901</v>
      </c>
      <c r="W3655" s="1">
        <v>36901</v>
      </c>
      <c r="X3655" s="1">
        <v>36901</v>
      </c>
      <c r="Y3655" s="1">
        <v>51511</v>
      </c>
      <c r="Z3655" t="s">
        <v>51</v>
      </c>
      <c r="AB3655" t="s">
        <v>54</v>
      </c>
      <c r="AC3655">
        <v>1</v>
      </c>
      <c r="AE3655" t="s">
        <v>825</v>
      </c>
      <c r="AF3655">
        <v>20</v>
      </c>
      <c r="AG3655" s="1">
        <v>36901</v>
      </c>
      <c r="AH3655" s="1">
        <v>36901</v>
      </c>
      <c r="AI3655" s="1">
        <v>36901</v>
      </c>
      <c r="AJ3655" s="1">
        <v>44206</v>
      </c>
      <c r="AK3655" t="s">
        <v>51</v>
      </c>
      <c r="AN3655">
        <v>0</v>
      </c>
      <c r="AO3655" t="s">
        <v>54</v>
      </c>
      <c r="AP3655" t="s">
        <v>53</v>
      </c>
      <c r="AQ3655">
        <v>0</v>
      </c>
      <c r="AR3655" t="s">
        <v>53</v>
      </c>
      <c r="AS3655">
        <v>0</v>
      </c>
      <c r="AT3655">
        <v>0</v>
      </c>
      <c r="CC3655" t="s">
        <v>555</v>
      </c>
      <c r="CD3655">
        <v>85000</v>
      </c>
      <c r="CE3655" s="1">
        <v>42552</v>
      </c>
      <c r="CF3655" s="1">
        <v>42552</v>
      </c>
      <c r="CG3655" s="1">
        <v>42552</v>
      </c>
      <c r="CH3655" s="1">
        <v>49714</v>
      </c>
      <c r="CI3655" t="s">
        <v>51</v>
      </c>
      <c r="CK3655" t="s">
        <v>78</v>
      </c>
      <c r="CM3655" t="s">
        <v>54</v>
      </c>
      <c r="CN3655" t="s">
        <v>174</v>
      </c>
      <c r="CO3655" t="s">
        <v>86</v>
      </c>
      <c r="CR3655">
        <v>20</v>
      </c>
      <c r="CS3655">
        <v>0</v>
      </c>
      <c r="CT3655">
        <v>0</v>
      </c>
      <c r="CU3655">
        <v>0</v>
      </c>
    </row>
    <row r="3656" spans="1:99" x14ac:dyDescent="0.2">
      <c r="A3656" t="s">
        <v>367</v>
      </c>
      <c r="B3656" t="s">
        <v>368</v>
      </c>
      <c r="C3656" t="s">
        <v>369</v>
      </c>
      <c r="D3656" t="s">
        <v>1278</v>
      </c>
      <c r="F3656" t="str">
        <f>"151885"</f>
        <v>151885</v>
      </c>
      <c r="G3656" t="s">
        <v>49</v>
      </c>
      <c r="H3656" t="s">
        <v>1669</v>
      </c>
      <c r="K3656" t="s">
        <v>51</v>
      </c>
      <c r="L3656" t="s">
        <v>52</v>
      </c>
      <c r="M3656">
        <v>137770.73000000001</v>
      </c>
      <c r="N3656">
        <v>468534.09</v>
      </c>
      <c r="O3656" t="s">
        <v>53</v>
      </c>
      <c r="P3656" t="s">
        <v>54</v>
      </c>
      <c r="Q3656" t="s">
        <v>55</v>
      </c>
      <c r="T3656" t="s">
        <v>818</v>
      </c>
      <c r="U3656">
        <v>40</v>
      </c>
      <c r="V3656" s="1">
        <v>36901</v>
      </c>
      <c r="W3656" s="1">
        <v>36901</v>
      </c>
      <c r="X3656" s="1">
        <v>36901</v>
      </c>
      <c r="Y3656" s="1">
        <v>51511</v>
      </c>
      <c r="Z3656" t="s">
        <v>51</v>
      </c>
      <c r="AB3656" t="s">
        <v>54</v>
      </c>
      <c r="AC3656">
        <v>1</v>
      </c>
      <c r="AE3656" t="s">
        <v>825</v>
      </c>
      <c r="AF3656">
        <v>20</v>
      </c>
      <c r="AG3656" s="1">
        <v>36901</v>
      </c>
      <c r="AH3656" s="1">
        <v>36901</v>
      </c>
      <c r="AI3656" s="1">
        <v>36901</v>
      </c>
      <c r="AJ3656" s="1">
        <v>44206</v>
      </c>
      <c r="AK3656" t="s">
        <v>51</v>
      </c>
      <c r="AN3656">
        <v>0</v>
      </c>
      <c r="AO3656" t="s">
        <v>54</v>
      </c>
      <c r="AP3656" t="s">
        <v>53</v>
      </c>
      <c r="AQ3656">
        <v>0</v>
      </c>
      <c r="AR3656" t="s">
        <v>53</v>
      </c>
      <c r="AS3656">
        <v>0</v>
      </c>
      <c r="AT3656">
        <v>0</v>
      </c>
      <c r="CC3656" t="s">
        <v>555</v>
      </c>
      <c r="CD3656">
        <v>85000</v>
      </c>
      <c r="CE3656" s="1">
        <v>42552</v>
      </c>
      <c r="CF3656" s="1">
        <v>42552</v>
      </c>
      <c r="CG3656" s="1">
        <v>42552</v>
      </c>
      <c r="CH3656" s="1">
        <v>49714</v>
      </c>
      <c r="CI3656" t="s">
        <v>51</v>
      </c>
      <c r="CK3656" t="s">
        <v>78</v>
      </c>
      <c r="CM3656" t="s">
        <v>54</v>
      </c>
      <c r="CN3656" t="s">
        <v>174</v>
      </c>
      <c r="CO3656" t="s">
        <v>86</v>
      </c>
      <c r="CR3656">
        <v>20</v>
      </c>
      <c r="CS3656">
        <v>0</v>
      </c>
      <c r="CT3656">
        <v>0</v>
      </c>
      <c r="CU3656">
        <v>0</v>
      </c>
    </row>
    <row r="3657" spans="1:99" x14ac:dyDescent="0.2">
      <c r="A3657" t="s">
        <v>367</v>
      </c>
      <c r="B3657" t="s">
        <v>368</v>
      </c>
      <c r="C3657" t="s">
        <v>369</v>
      </c>
      <c r="D3657" t="s">
        <v>1278</v>
      </c>
      <c r="F3657" t="str">
        <f>"151886"</f>
        <v>151886</v>
      </c>
      <c r="G3657" t="s">
        <v>49</v>
      </c>
      <c r="H3657" t="s">
        <v>1670</v>
      </c>
      <c r="K3657" t="s">
        <v>51</v>
      </c>
      <c r="L3657" t="s">
        <v>52</v>
      </c>
      <c r="M3657">
        <v>137749.65</v>
      </c>
      <c r="N3657">
        <v>468536.22</v>
      </c>
      <c r="O3657" t="s">
        <v>53</v>
      </c>
      <c r="P3657" t="s">
        <v>54</v>
      </c>
      <c r="Q3657" t="s">
        <v>55</v>
      </c>
      <c r="T3657" t="s">
        <v>818</v>
      </c>
      <c r="U3657">
        <v>40</v>
      </c>
      <c r="V3657" s="1">
        <v>36901</v>
      </c>
      <c r="W3657" s="1">
        <v>36901</v>
      </c>
      <c r="X3657" s="1">
        <v>36901</v>
      </c>
      <c r="Y3657" s="1">
        <v>51511</v>
      </c>
      <c r="Z3657" t="s">
        <v>51</v>
      </c>
      <c r="AB3657" t="s">
        <v>54</v>
      </c>
      <c r="AC3657">
        <v>1</v>
      </c>
      <c r="AE3657" t="s">
        <v>825</v>
      </c>
      <c r="AF3657">
        <v>20</v>
      </c>
      <c r="AG3657" s="1">
        <v>43123</v>
      </c>
      <c r="AH3657" s="1">
        <v>43123</v>
      </c>
      <c r="AI3657" s="1">
        <v>43123</v>
      </c>
      <c r="AJ3657" s="1">
        <v>50428</v>
      </c>
      <c r="AK3657" t="s">
        <v>51</v>
      </c>
      <c r="AN3657">
        <v>0</v>
      </c>
      <c r="AO3657" t="s">
        <v>54</v>
      </c>
      <c r="AP3657" t="s">
        <v>53</v>
      </c>
      <c r="AQ3657">
        <v>0</v>
      </c>
      <c r="AR3657" t="s">
        <v>53</v>
      </c>
      <c r="AS3657">
        <v>0</v>
      </c>
      <c r="AT3657">
        <v>0</v>
      </c>
      <c r="CC3657" t="s">
        <v>555</v>
      </c>
      <c r="CD3657">
        <v>85000</v>
      </c>
      <c r="CE3657" s="1">
        <v>42552</v>
      </c>
      <c r="CF3657" s="1">
        <v>42552</v>
      </c>
      <c r="CG3657" s="1">
        <v>43123</v>
      </c>
      <c r="CH3657" s="1">
        <v>49714</v>
      </c>
      <c r="CI3657" t="s">
        <v>51</v>
      </c>
      <c r="CK3657" t="s">
        <v>78</v>
      </c>
      <c r="CM3657" t="s">
        <v>54</v>
      </c>
      <c r="CN3657" t="s">
        <v>174</v>
      </c>
      <c r="CO3657" t="s">
        <v>86</v>
      </c>
      <c r="CR3657">
        <v>20</v>
      </c>
      <c r="CS3657">
        <v>0</v>
      </c>
      <c r="CT3657">
        <v>0</v>
      </c>
      <c r="CU3657">
        <v>0</v>
      </c>
    </row>
    <row r="3658" spans="1:99" x14ac:dyDescent="0.2">
      <c r="A3658" t="s">
        <v>367</v>
      </c>
      <c r="B3658" t="s">
        <v>368</v>
      </c>
      <c r="C3658" t="s">
        <v>369</v>
      </c>
      <c r="D3658" t="s">
        <v>1278</v>
      </c>
      <c r="F3658" t="str">
        <f>"151887"</f>
        <v>151887</v>
      </c>
      <c r="G3658" t="s">
        <v>49</v>
      </c>
      <c r="H3658" t="s">
        <v>1671</v>
      </c>
      <c r="K3658" t="s">
        <v>51</v>
      </c>
      <c r="L3658" t="s">
        <v>52</v>
      </c>
      <c r="M3658">
        <v>137735.82999999999</v>
      </c>
      <c r="N3658">
        <v>468525.09</v>
      </c>
      <c r="O3658" t="s">
        <v>53</v>
      </c>
      <c r="P3658" t="s">
        <v>54</v>
      </c>
      <c r="Q3658" t="s">
        <v>55</v>
      </c>
      <c r="T3658" t="s">
        <v>818</v>
      </c>
      <c r="U3658">
        <v>40</v>
      </c>
      <c r="V3658" s="1">
        <v>36901</v>
      </c>
      <c r="W3658" s="1">
        <v>36901</v>
      </c>
      <c r="X3658" s="1">
        <v>36901</v>
      </c>
      <c r="Y3658" s="1">
        <v>51511</v>
      </c>
      <c r="Z3658" t="s">
        <v>51</v>
      </c>
      <c r="AB3658" t="s">
        <v>54</v>
      </c>
      <c r="AC3658">
        <v>1</v>
      </c>
      <c r="AE3658" t="s">
        <v>825</v>
      </c>
      <c r="AF3658">
        <v>20</v>
      </c>
      <c r="AG3658" s="1">
        <v>36901</v>
      </c>
      <c r="AH3658" s="1">
        <v>36901</v>
      </c>
      <c r="AI3658" s="1">
        <v>36901</v>
      </c>
      <c r="AJ3658" s="1">
        <v>44206</v>
      </c>
      <c r="AK3658" t="s">
        <v>51</v>
      </c>
      <c r="AN3658">
        <v>0</v>
      </c>
      <c r="AO3658" t="s">
        <v>54</v>
      </c>
      <c r="AP3658" t="s">
        <v>53</v>
      </c>
      <c r="AQ3658">
        <v>0</v>
      </c>
      <c r="AR3658" t="s">
        <v>53</v>
      </c>
      <c r="AS3658">
        <v>0</v>
      </c>
      <c r="AT3658">
        <v>0</v>
      </c>
      <c r="CC3658" t="s">
        <v>555</v>
      </c>
      <c r="CD3658">
        <v>85000</v>
      </c>
      <c r="CE3658" s="1">
        <v>42552</v>
      </c>
      <c r="CF3658" s="1">
        <v>42552</v>
      </c>
      <c r="CG3658" s="1">
        <v>42552</v>
      </c>
      <c r="CH3658" s="1">
        <v>49714</v>
      </c>
      <c r="CI3658" t="s">
        <v>51</v>
      </c>
      <c r="CK3658" t="s">
        <v>78</v>
      </c>
      <c r="CM3658" t="s">
        <v>54</v>
      </c>
      <c r="CN3658" t="s">
        <v>174</v>
      </c>
      <c r="CO3658" t="s">
        <v>86</v>
      </c>
      <c r="CR3658">
        <v>20</v>
      </c>
      <c r="CS3658">
        <v>0</v>
      </c>
      <c r="CT3658">
        <v>0</v>
      </c>
      <c r="CU3658">
        <v>0</v>
      </c>
    </row>
    <row r="3659" spans="1:99" x14ac:dyDescent="0.2">
      <c r="A3659" t="s">
        <v>367</v>
      </c>
      <c r="B3659" t="s">
        <v>368</v>
      </c>
      <c r="C3659" t="s">
        <v>369</v>
      </c>
      <c r="D3659" t="s">
        <v>1278</v>
      </c>
      <c r="F3659" t="str">
        <f>"151888"</f>
        <v>151888</v>
      </c>
      <c r="G3659" t="s">
        <v>49</v>
      </c>
      <c r="H3659" t="s">
        <v>1672</v>
      </c>
      <c r="K3659" t="s">
        <v>51</v>
      </c>
      <c r="L3659" t="s">
        <v>52</v>
      </c>
      <c r="M3659">
        <v>137720.57</v>
      </c>
      <c r="N3659">
        <v>468529.29</v>
      </c>
      <c r="O3659" t="s">
        <v>53</v>
      </c>
      <c r="P3659" t="s">
        <v>54</v>
      </c>
      <c r="Q3659" t="s">
        <v>55</v>
      </c>
      <c r="T3659" t="s">
        <v>818</v>
      </c>
      <c r="U3659">
        <v>40</v>
      </c>
      <c r="V3659" s="1">
        <v>36901</v>
      </c>
      <c r="W3659" s="1">
        <v>36901</v>
      </c>
      <c r="X3659" s="1">
        <v>36901</v>
      </c>
      <c r="Y3659" s="1">
        <v>51511</v>
      </c>
      <c r="Z3659" t="s">
        <v>51</v>
      </c>
      <c r="AB3659" t="s">
        <v>54</v>
      </c>
      <c r="AC3659">
        <v>1</v>
      </c>
      <c r="AE3659" t="s">
        <v>825</v>
      </c>
      <c r="AF3659">
        <v>20</v>
      </c>
      <c r="AG3659" s="1">
        <v>36901</v>
      </c>
      <c r="AH3659" s="1">
        <v>36901</v>
      </c>
      <c r="AI3659" s="1">
        <v>36901</v>
      </c>
      <c r="AJ3659" s="1">
        <v>44206</v>
      </c>
      <c r="AK3659" t="s">
        <v>51</v>
      </c>
      <c r="AN3659">
        <v>0</v>
      </c>
      <c r="AO3659" t="s">
        <v>54</v>
      </c>
      <c r="AP3659" t="s">
        <v>53</v>
      </c>
      <c r="AQ3659">
        <v>0</v>
      </c>
      <c r="AR3659" t="s">
        <v>53</v>
      </c>
      <c r="AS3659">
        <v>0</v>
      </c>
      <c r="AT3659">
        <v>0</v>
      </c>
      <c r="CC3659" t="s">
        <v>555</v>
      </c>
      <c r="CD3659">
        <v>85000</v>
      </c>
      <c r="CE3659" s="1">
        <v>42552</v>
      </c>
      <c r="CF3659" s="1">
        <v>42552</v>
      </c>
      <c r="CG3659" s="1">
        <v>42552</v>
      </c>
      <c r="CH3659" s="1">
        <v>49714</v>
      </c>
      <c r="CI3659" t="s">
        <v>51</v>
      </c>
      <c r="CK3659" t="s">
        <v>78</v>
      </c>
      <c r="CM3659" t="s">
        <v>54</v>
      </c>
      <c r="CN3659" t="s">
        <v>174</v>
      </c>
      <c r="CO3659" t="s">
        <v>86</v>
      </c>
      <c r="CR3659">
        <v>20</v>
      </c>
      <c r="CS3659">
        <v>0</v>
      </c>
      <c r="CT3659">
        <v>0</v>
      </c>
      <c r="CU3659">
        <v>0</v>
      </c>
    </row>
    <row r="3660" spans="1:99" x14ac:dyDescent="0.2">
      <c r="A3660" t="s">
        <v>367</v>
      </c>
      <c r="B3660" t="s">
        <v>368</v>
      </c>
      <c r="C3660" t="s">
        <v>369</v>
      </c>
      <c r="D3660" t="s">
        <v>1278</v>
      </c>
      <c r="F3660" t="str">
        <f>"151889"</f>
        <v>151889</v>
      </c>
      <c r="G3660" t="s">
        <v>49</v>
      </c>
      <c r="H3660" t="s">
        <v>1673</v>
      </c>
      <c r="K3660" t="s">
        <v>51</v>
      </c>
      <c r="L3660" t="s">
        <v>52</v>
      </c>
      <c r="M3660">
        <v>137702.72</v>
      </c>
      <c r="N3660">
        <v>468517.44</v>
      </c>
      <c r="O3660" t="s">
        <v>53</v>
      </c>
      <c r="P3660" t="s">
        <v>54</v>
      </c>
      <c r="Q3660" t="s">
        <v>55</v>
      </c>
      <c r="T3660" t="s">
        <v>818</v>
      </c>
      <c r="U3660">
        <v>40</v>
      </c>
      <c r="V3660" s="1">
        <v>36901</v>
      </c>
      <c r="W3660" s="1">
        <v>36901</v>
      </c>
      <c r="X3660" s="1">
        <v>36901</v>
      </c>
      <c r="Y3660" s="1">
        <v>51511</v>
      </c>
      <c r="Z3660" t="s">
        <v>51</v>
      </c>
      <c r="AB3660" t="s">
        <v>54</v>
      </c>
      <c r="AC3660">
        <v>1</v>
      </c>
      <c r="AE3660" t="s">
        <v>825</v>
      </c>
      <c r="AF3660">
        <v>20</v>
      </c>
      <c r="AG3660" s="1">
        <v>36901</v>
      </c>
      <c r="AH3660" s="1">
        <v>36901</v>
      </c>
      <c r="AI3660" s="1">
        <v>36901</v>
      </c>
      <c r="AJ3660" s="1">
        <v>44206</v>
      </c>
      <c r="AK3660" t="s">
        <v>51</v>
      </c>
      <c r="AN3660">
        <v>0</v>
      </c>
      <c r="AO3660" t="s">
        <v>54</v>
      </c>
      <c r="AP3660" t="s">
        <v>53</v>
      </c>
      <c r="AQ3660">
        <v>0</v>
      </c>
      <c r="AR3660" t="s">
        <v>53</v>
      </c>
      <c r="AS3660">
        <v>0</v>
      </c>
      <c r="AT3660">
        <v>0</v>
      </c>
      <c r="CC3660" t="s">
        <v>555</v>
      </c>
      <c r="CD3660">
        <v>85000</v>
      </c>
      <c r="CE3660" s="1">
        <v>42552</v>
      </c>
      <c r="CF3660" s="1">
        <v>42552</v>
      </c>
      <c r="CG3660" s="1">
        <v>42552</v>
      </c>
      <c r="CH3660" s="1">
        <v>49714</v>
      </c>
      <c r="CI3660" t="s">
        <v>51</v>
      </c>
      <c r="CK3660" t="s">
        <v>78</v>
      </c>
      <c r="CM3660" t="s">
        <v>54</v>
      </c>
      <c r="CN3660" t="s">
        <v>174</v>
      </c>
      <c r="CO3660" t="s">
        <v>86</v>
      </c>
      <c r="CR3660">
        <v>20</v>
      </c>
      <c r="CS3660">
        <v>0</v>
      </c>
      <c r="CT3660">
        <v>0</v>
      </c>
      <c r="CU3660">
        <v>0</v>
      </c>
    </row>
    <row r="3661" spans="1:99" x14ac:dyDescent="0.2">
      <c r="A3661" t="s">
        <v>367</v>
      </c>
      <c r="B3661" t="s">
        <v>368</v>
      </c>
      <c r="C3661" t="s">
        <v>369</v>
      </c>
      <c r="D3661" t="s">
        <v>1278</v>
      </c>
      <c r="F3661" t="str">
        <f>"151890"</f>
        <v>151890</v>
      </c>
      <c r="G3661" t="s">
        <v>49</v>
      </c>
      <c r="H3661" t="s">
        <v>1674</v>
      </c>
      <c r="K3661" t="s">
        <v>51</v>
      </c>
      <c r="L3661" t="s">
        <v>52</v>
      </c>
      <c r="M3661">
        <v>137684.31</v>
      </c>
      <c r="N3661">
        <v>468520.47</v>
      </c>
      <c r="O3661" t="s">
        <v>53</v>
      </c>
      <c r="P3661" t="s">
        <v>54</v>
      </c>
      <c r="Q3661" t="s">
        <v>55</v>
      </c>
      <c r="T3661" t="s">
        <v>818</v>
      </c>
      <c r="U3661">
        <v>40</v>
      </c>
      <c r="V3661" s="1">
        <v>36901</v>
      </c>
      <c r="W3661" s="1">
        <v>36901</v>
      </c>
      <c r="X3661" s="1">
        <v>36901</v>
      </c>
      <c r="Y3661" s="1">
        <v>51511</v>
      </c>
      <c r="Z3661" t="s">
        <v>51</v>
      </c>
      <c r="AB3661" t="s">
        <v>54</v>
      </c>
      <c r="AC3661">
        <v>1</v>
      </c>
      <c r="AE3661" t="s">
        <v>825</v>
      </c>
      <c r="AF3661">
        <v>20</v>
      </c>
      <c r="AG3661" s="1">
        <v>36901</v>
      </c>
      <c r="AH3661" s="1">
        <v>36901</v>
      </c>
      <c r="AI3661" s="1">
        <v>36901</v>
      </c>
      <c r="AJ3661" s="1">
        <v>44206</v>
      </c>
      <c r="AK3661" t="s">
        <v>51</v>
      </c>
      <c r="AN3661">
        <v>0</v>
      </c>
      <c r="AO3661" t="s">
        <v>54</v>
      </c>
      <c r="AP3661" t="s">
        <v>53</v>
      </c>
      <c r="AQ3661">
        <v>0</v>
      </c>
      <c r="AR3661" t="s">
        <v>53</v>
      </c>
      <c r="AS3661">
        <v>0</v>
      </c>
      <c r="AT3661">
        <v>0</v>
      </c>
      <c r="CC3661" t="s">
        <v>555</v>
      </c>
      <c r="CD3661">
        <v>85000</v>
      </c>
      <c r="CE3661" s="1">
        <v>42552</v>
      </c>
      <c r="CF3661" s="1">
        <v>42552</v>
      </c>
      <c r="CG3661" s="1">
        <v>42552</v>
      </c>
      <c r="CH3661" s="1">
        <v>49714</v>
      </c>
      <c r="CI3661" t="s">
        <v>51</v>
      </c>
      <c r="CK3661" t="s">
        <v>78</v>
      </c>
      <c r="CM3661" t="s">
        <v>54</v>
      </c>
      <c r="CN3661" t="s">
        <v>174</v>
      </c>
      <c r="CO3661" t="s">
        <v>86</v>
      </c>
      <c r="CR3661">
        <v>20</v>
      </c>
      <c r="CS3661">
        <v>0</v>
      </c>
      <c r="CT3661">
        <v>0</v>
      </c>
      <c r="CU3661">
        <v>0</v>
      </c>
    </row>
    <row r="3662" spans="1:99" x14ac:dyDescent="0.2">
      <c r="A3662" t="s">
        <v>367</v>
      </c>
      <c r="B3662" t="s">
        <v>368</v>
      </c>
      <c r="C3662" t="s">
        <v>369</v>
      </c>
      <c r="D3662" t="s">
        <v>1278</v>
      </c>
      <c r="F3662" t="str">
        <f>"151891"</f>
        <v>151891</v>
      </c>
      <c r="G3662" t="s">
        <v>49</v>
      </c>
      <c r="H3662" t="s">
        <v>1675</v>
      </c>
      <c r="K3662" t="s">
        <v>51</v>
      </c>
      <c r="L3662" t="s">
        <v>52</v>
      </c>
      <c r="M3662">
        <v>137669.47</v>
      </c>
      <c r="N3662">
        <v>468509.4</v>
      </c>
      <c r="O3662" t="s">
        <v>53</v>
      </c>
      <c r="P3662" t="s">
        <v>54</v>
      </c>
      <c r="Q3662" t="s">
        <v>55</v>
      </c>
      <c r="T3662" t="s">
        <v>818</v>
      </c>
      <c r="U3662">
        <v>40</v>
      </c>
      <c r="V3662" s="1">
        <v>36901</v>
      </c>
      <c r="W3662" s="1">
        <v>36901</v>
      </c>
      <c r="X3662" s="1">
        <v>36901</v>
      </c>
      <c r="Y3662" s="1">
        <v>51511</v>
      </c>
      <c r="Z3662" t="s">
        <v>51</v>
      </c>
      <c r="AB3662" t="s">
        <v>54</v>
      </c>
      <c r="AC3662">
        <v>1</v>
      </c>
      <c r="AE3662" t="s">
        <v>825</v>
      </c>
      <c r="AF3662">
        <v>20</v>
      </c>
      <c r="AG3662" s="1">
        <v>36901</v>
      </c>
      <c r="AH3662" s="1">
        <v>36901</v>
      </c>
      <c r="AI3662" s="1">
        <v>36901</v>
      </c>
      <c r="AJ3662" s="1">
        <v>44206</v>
      </c>
      <c r="AK3662" t="s">
        <v>51</v>
      </c>
      <c r="AN3662">
        <v>0</v>
      </c>
      <c r="AO3662" t="s">
        <v>54</v>
      </c>
      <c r="AP3662" t="s">
        <v>53</v>
      </c>
      <c r="AQ3662">
        <v>0</v>
      </c>
      <c r="AR3662" t="s">
        <v>53</v>
      </c>
      <c r="AS3662">
        <v>0</v>
      </c>
      <c r="AT3662">
        <v>0</v>
      </c>
      <c r="CC3662" t="s">
        <v>555</v>
      </c>
      <c r="CD3662">
        <v>85000</v>
      </c>
      <c r="CE3662" s="1">
        <v>42552</v>
      </c>
      <c r="CF3662" s="1">
        <v>42552</v>
      </c>
      <c r="CG3662" s="1">
        <v>42552</v>
      </c>
      <c r="CH3662" s="1">
        <v>49714</v>
      </c>
      <c r="CI3662" t="s">
        <v>51</v>
      </c>
      <c r="CK3662" t="s">
        <v>78</v>
      </c>
      <c r="CM3662" t="s">
        <v>54</v>
      </c>
      <c r="CN3662" t="s">
        <v>174</v>
      </c>
      <c r="CO3662" t="s">
        <v>86</v>
      </c>
      <c r="CR3662">
        <v>20</v>
      </c>
      <c r="CS3662">
        <v>0</v>
      </c>
      <c r="CT3662">
        <v>0</v>
      </c>
      <c r="CU3662">
        <v>0</v>
      </c>
    </row>
    <row r="3663" spans="1:99" x14ac:dyDescent="0.2">
      <c r="A3663" t="s">
        <v>367</v>
      </c>
      <c r="B3663" t="s">
        <v>368</v>
      </c>
      <c r="C3663" t="s">
        <v>369</v>
      </c>
      <c r="D3663" t="s">
        <v>1278</v>
      </c>
      <c r="F3663" t="str">
        <f>"151892"</f>
        <v>151892</v>
      </c>
      <c r="G3663" t="s">
        <v>49</v>
      </c>
      <c r="H3663" t="s">
        <v>1676</v>
      </c>
      <c r="K3663" t="s">
        <v>51</v>
      </c>
      <c r="L3663" t="s">
        <v>52</v>
      </c>
      <c r="M3663">
        <v>137655.47</v>
      </c>
      <c r="N3663">
        <v>468513.33</v>
      </c>
      <c r="O3663" t="s">
        <v>53</v>
      </c>
      <c r="P3663" t="s">
        <v>54</v>
      </c>
      <c r="Q3663" t="s">
        <v>55</v>
      </c>
      <c r="T3663" t="s">
        <v>818</v>
      </c>
      <c r="U3663">
        <v>40</v>
      </c>
      <c r="V3663" s="1">
        <v>36901</v>
      </c>
      <c r="W3663" s="1">
        <v>36901</v>
      </c>
      <c r="X3663" s="1">
        <v>36901</v>
      </c>
      <c r="Y3663" s="1">
        <v>51511</v>
      </c>
      <c r="Z3663" t="s">
        <v>51</v>
      </c>
      <c r="AB3663" t="s">
        <v>54</v>
      </c>
      <c r="AC3663">
        <v>1</v>
      </c>
      <c r="AE3663" t="s">
        <v>825</v>
      </c>
      <c r="AF3663">
        <v>20</v>
      </c>
      <c r="AG3663" s="1">
        <v>36901</v>
      </c>
      <c r="AH3663" s="1">
        <v>36901</v>
      </c>
      <c r="AI3663" s="1">
        <v>36901</v>
      </c>
      <c r="AJ3663" s="1">
        <v>44206</v>
      </c>
      <c r="AK3663" t="s">
        <v>51</v>
      </c>
      <c r="AN3663">
        <v>0</v>
      </c>
      <c r="AO3663" t="s">
        <v>54</v>
      </c>
      <c r="AP3663" t="s">
        <v>53</v>
      </c>
      <c r="AQ3663">
        <v>0</v>
      </c>
      <c r="AR3663" t="s">
        <v>53</v>
      </c>
      <c r="AS3663">
        <v>0</v>
      </c>
      <c r="AT3663">
        <v>0</v>
      </c>
      <c r="CC3663" t="s">
        <v>555</v>
      </c>
      <c r="CD3663">
        <v>85000</v>
      </c>
      <c r="CE3663" s="1">
        <v>42552</v>
      </c>
      <c r="CF3663" s="1">
        <v>42552</v>
      </c>
      <c r="CG3663" s="1">
        <v>42552</v>
      </c>
      <c r="CH3663" s="1">
        <v>49714</v>
      </c>
      <c r="CI3663" t="s">
        <v>51</v>
      </c>
      <c r="CK3663" t="s">
        <v>78</v>
      </c>
      <c r="CM3663" t="s">
        <v>54</v>
      </c>
      <c r="CN3663" t="s">
        <v>174</v>
      </c>
      <c r="CO3663" t="s">
        <v>86</v>
      </c>
      <c r="CR3663">
        <v>20</v>
      </c>
      <c r="CS3663">
        <v>0</v>
      </c>
      <c r="CT3663">
        <v>0</v>
      </c>
      <c r="CU3663">
        <v>0</v>
      </c>
    </row>
    <row r="3664" spans="1:99" x14ac:dyDescent="0.2">
      <c r="A3664" t="s">
        <v>367</v>
      </c>
      <c r="B3664" t="s">
        <v>368</v>
      </c>
      <c r="C3664" t="s">
        <v>369</v>
      </c>
      <c r="D3664" t="s">
        <v>1278</v>
      </c>
      <c r="F3664" t="str">
        <f>"151893"</f>
        <v>151893</v>
      </c>
      <c r="G3664" t="s">
        <v>49</v>
      </c>
      <c r="H3664" t="s">
        <v>1677</v>
      </c>
      <c r="K3664" t="s">
        <v>51</v>
      </c>
      <c r="L3664" t="s">
        <v>52</v>
      </c>
      <c r="M3664">
        <v>137638.67000000001</v>
      </c>
      <c r="N3664">
        <v>468499.75</v>
      </c>
      <c r="O3664" t="s">
        <v>53</v>
      </c>
      <c r="P3664" t="s">
        <v>54</v>
      </c>
      <c r="Q3664" t="s">
        <v>55</v>
      </c>
      <c r="T3664" t="s">
        <v>818</v>
      </c>
      <c r="U3664">
        <v>40</v>
      </c>
      <c r="V3664" s="1">
        <v>36901</v>
      </c>
      <c r="W3664" s="1">
        <v>36901</v>
      </c>
      <c r="X3664" s="1">
        <v>36901</v>
      </c>
      <c r="Y3664" s="1">
        <v>51511</v>
      </c>
      <c r="Z3664" t="s">
        <v>51</v>
      </c>
      <c r="AB3664" t="s">
        <v>54</v>
      </c>
      <c r="AC3664">
        <v>1</v>
      </c>
      <c r="AE3664" t="s">
        <v>825</v>
      </c>
      <c r="AF3664">
        <v>20</v>
      </c>
      <c r="AG3664" s="1">
        <v>36901</v>
      </c>
      <c r="AH3664" s="1">
        <v>36901</v>
      </c>
      <c r="AI3664" s="1">
        <v>36901</v>
      </c>
      <c r="AJ3664" s="1">
        <v>44206</v>
      </c>
      <c r="AK3664" t="s">
        <v>51</v>
      </c>
      <c r="AN3664">
        <v>0</v>
      </c>
      <c r="AO3664" t="s">
        <v>54</v>
      </c>
      <c r="AP3664" t="s">
        <v>53</v>
      </c>
      <c r="AQ3664">
        <v>0</v>
      </c>
      <c r="AR3664" t="s">
        <v>53</v>
      </c>
      <c r="AS3664">
        <v>0</v>
      </c>
      <c r="AT3664">
        <v>0</v>
      </c>
      <c r="CC3664" t="s">
        <v>555</v>
      </c>
      <c r="CD3664">
        <v>85000</v>
      </c>
      <c r="CE3664" s="1">
        <v>42552</v>
      </c>
      <c r="CF3664" s="1">
        <v>42552</v>
      </c>
      <c r="CG3664" s="1">
        <v>42552</v>
      </c>
      <c r="CH3664" s="1">
        <v>49714</v>
      </c>
      <c r="CI3664" t="s">
        <v>51</v>
      </c>
      <c r="CK3664" t="s">
        <v>78</v>
      </c>
      <c r="CM3664" t="s">
        <v>54</v>
      </c>
      <c r="CN3664" t="s">
        <v>174</v>
      </c>
      <c r="CO3664" t="s">
        <v>86</v>
      </c>
      <c r="CR3664">
        <v>20</v>
      </c>
      <c r="CS3664">
        <v>0</v>
      </c>
      <c r="CT3664">
        <v>0</v>
      </c>
      <c r="CU3664">
        <v>0</v>
      </c>
    </row>
    <row r="3665" spans="1:99" x14ac:dyDescent="0.2">
      <c r="A3665" t="s">
        <v>367</v>
      </c>
      <c r="B3665" t="s">
        <v>368</v>
      </c>
      <c r="C3665" t="s">
        <v>369</v>
      </c>
      <c r="D3665" t="s">
        <v>1278</v>
      </c>
      <c r="F3665" t="str">
        <f>"151894"</f>
        <v>151894</v>
      </c>
      <c r="G3665" t="s">
        <v>49</v>
      </c>
      <c r="H3665" t="s">
        <v>1678</v>
      </c>
      <c r="K3665" t="s">
        <v>51</v>
      </c>
      <c r="L3665" t="s">
        <v>52</v>
      </c>
      <c r="M3665">
        <v>137619.54</v>
      </c>
      <c r="N3665">
        <v>468504.06</v>
      </c>
      <c r="O3665" t="s">
        <v>53</v>
      </c>
      <c r="P3665" t="s">
        <v>54</v>
      </c>
      <c r="Q3665" t="s">
        <v>55</v>
      </c>
      <c r="T3665" t="s">
        <v>818</v>
      </c>
      <c r="U3665">
        <v>40</v>
      </c>
      <c r="V3665" s="1">
        <v>36901</v>
      </c>
      <c r="W3665" s="1">
        <v>36901</v>
      </c>
      <c r="X3665" s="1">
        <v>36901</v>
      </c>
      <c r="Y3665" s="1">
        <v>51511</v>
      </c>
      <c r="Z3665" t="s">
        <v>51</v>
      </c>
      <c r="AB3665" t="s">
        <v>54</v>
      </c>
      <c r="AC3665">
        <v>1</v>
      </c>
      <c r="AE3665" t="s">
        <v>825</v>
      </c>
      <c r="AF3665">
        <v>20</v>
      </c>
      <c r="AG3665" s="1">
        <v>36901</v>
      </c>
      <c r="AH3665" s="1">
        <v>36901</v>
      </c>
      <c r="AI3665" s="1">
        <v>36901</v>
      </c>
      <c r="AJ3665" s="1">
        <v>44206</v>
      </c>
      <c r="AK3665" t="s">
        <v>51</v>
      </c>
      <c r="AN3665">
        <v>0</v>
      </c>
      <c r="AO3665" t="s">
        <v>54</v>
      </c>
      <c r="AP3665" t="s">
        <v>53</v>
      </c>
      <c r="AQ3665">
        <v>0</v>
      </c>
      <c r="AR3665" t="s">
        <v>53</v>
      </c>
      <c r="AS3665">
        <v>0</v>
      </c>
      <c r="AT3665">
        <v>0</v>
      </c>
      <c r="CC3665" t="s">
        <v>555</v>
      </c>
      <c r="CD3665">
        <v>85000</v>
      </c>
      <c r="CE3665" s="1">
        <v>42552</v>
      </c>
      <c r="CF3665" s="1">
        <v>42552</v>
      </c>
      <c r="CG3665" s="1">
        <v>42552</v>
      </c>
      <c r="CH3665" s="1">
        <v>49714</v>
      </c>
      <c r="CI3665" t="s">
        <v>51</v>
      </c>
      <c r="CK3665" t="s">
        <v>78</v>
      </c>
      <c r="CM3665" t="s">
        <v>54</v>
      </c>
      <c r="CN3665" t="s">
        <v>174</v>
      </c>
      <c r="CO3665" t="s">
        <v>86</v>
      </c>
      <c r="CR3665">
        <v>20</v>
      </c>
      <c r="CS3665">
        <v>0</v>
      </c>
      <c r="CT3665">
        <v>0</v>
      </c>
      <c r="CU3665">
        <v>0</v>
      </c>
    </row>
    <row r="3666" spans="1:99" x14ac:dyDescent="0.2">
      <c r="A3666" t="s">
        <v>367</v>
      </c>
      <c r="B3666" t="s">
        <v>368</v>
      </c>
      <c r="C3666" t="s">
        <v>369</v>
      </c>
      <c r="D3666" t="s">
        <v>1503</v>
      </c>
      <c r="F3666" t="str">
        <f>"156650"</f>
        <v>156650</v>
      </c>
      <c r="G3666" t="s">
        <v>49</v>
      </c>
      <c r="H3666" t="s">
        <v>1326</v>
      </c>
      <c r="K3666" t="s">
        <v>51</v>
      </c>
      <c r="L3666" t="s">
        <v>52</v>
      </c>
      <c r="M3666">
        <v>137880.82</v>
      </c>
      <c r="N3666">
        <v>467578.03</v>
      </c>
      <c r="O3666" t="s">
        <v>53</v>
      </c>
      <c r="P3666" t="s">
        <v>54</v>
      </c>
      <c r="Q3666" t="s">
        <v>55</v>
      </c>
      <c r="T3666" t="s">
        <v>818</v>
      </c>
      <c r="U3666">
        <v>40</v>
      </c>
      <c r="V3666" s="1">
        <v>36941</v>
      </c>
      <c r="W3666" s="1">
        <v>36941</v>
      </c>
      <c r="X3666" s="1">
        <v>36941</v>
      </c>
      <c r="Y3666" s="1">
        <v>51551</v>
      </c>
      <c r="Z3666" t="s">
        <v>51</v>
      </c>
      <c r="AB3666" t="s">
        <v>54</v>
      </c>
      <c r="AC3666">
        <v>1</v>
      </c>
      <c r="AE3666" t="s">
        <v>825</v>
      </c>
      <c r="AF3666">
        <v>20</v>
      </c>
      <c r="AG3666" s="1">
        <v>36941</v>
      </c>
      <c r="AH3666" s="1">
        <v>36941</v>
      </c>
      <c r="AI3666" s="1">
        <v>36941</v>
      </c>
      <c r="AJ3666" s="1">
        <v>44246</v>
      </c>
      <c r="AK3666" t="s">
        <v>51</v>
      </c>
      <c r="AN3666">
        <v>0</v>
      </c>
      <c r="AO3666" t="s">
        <v>54</v>
      </c>
      <c r="AP3666" t="s">
        <v>53</v>
      </c>
      <c r="AQ3666">
        <v>0</v>
      </c>
      <c r="AR3666" t="s">
        <v>53</v>
      </c>
      <c r="AS3666">
        <v>0</v>
      </c>
      <c r="AT3666">
        <v>0</v>
      </c>
      <c r="AW3666" t="s">
        <v>58</v>
      </c>
      <c r="AX3666">
        <v>20</v>
      </c>
      <c r="AY3666" s="1">
        <v>36941</v>
      </c>
      <c r="AZ3666" s="1">
        <v>36941</v>
      </c>
      <c r="BA3666" s="1">
        <v>36941</v>
      </c>
      <c r="BB3666" s="1">
        <v>44246</v>
      </c>
      <c r="BC3666" t="s">
        <v>51</v>
      </c>
      <c r="BE3666" t="s">
        <v>54</v>
      </c>
      <c r="BF3666">
        <v>2</v>
      </c>
      <c r="BG3666">
        <v>0</v>
      </c>
      <c r="BH3666" t="s">
        <v>53</v>
      </c>
      <c r="BK3666" t="s">
        <v>59</v>
      </c>
      <c r="BL3666">
        <v>14000</v>
      </c>
      <c r="BM3666" s="1">
        <v>42552</v>
      </c>
      <c r="BN3666" s="1">
        <v>42552</v>
      </c>
      <c r="BO3666" s="1">
        <v>42552</v>
      </c>
      <c r="BP3666" s="1">
        <v>43752</v>
      </c>
      <c r="BQ3666" t="s">
        <v>51</v>
      </c>
      <c r="BS3666" t="s">
        <v>60</v>
      </c>
      <c r="BT3666" t="s">
        <v>54</v>
      </c>
      <c r="BU3666" t="s">
        <v>61</v>
      </c>
      <c r="BV3666" t="s">
        <v>62</v>
      </c>
      <c r="BX3666">
        <v>24</v>
      </c>
      <c r="BY3666">
        <v>0</v>
      </c>
      <c r="BZ3666">
        <v>0</v>
      </c>
    </row>
    <row r="3667" spans="1:99" x14ac:dyDescent="0.2">
      <c r="A3667" t="s">
        <v>367</v>
      </c>
      <c r="B3667" t="s">
        <v>368</v>
      </c>
      <c r="C3667" t="s">
        <v>369</v>
      </c>
      <c r="D3667" t="s">
        <v>1503</v>
      </c>
      <c r="F3667" t="str">
        <f>"156651"</f>
        <v>156651</v>
      </c>
      <c r="G3667" t="s">
        <v>49</v>
      </c>
      <c r="H3667" t="s">
        <v>1203</v>
      </c>
      <c r="K3667" t="s">
        <v>51</v>
      </c>
      <c r="L3667" t="s">
        <v>52</v>
      </c>
      <c r="M3667">
        <v>137901.26</v>
      </c>
      <c r="N3667">
        <v>467569.21</v>
      </c>
      <c r="O3667" t="s">
        <v>53</v>
      </c>
      <c r="P3667" t="s">
        <v>54</v>
      </c>
      <c r="Q3667" t="s">
        <v>55</v>
      </c>
      <c r="T3667" t="s">
        <v>818</v>
      </c>
      <c r="U3667">
        <v>40</v>
      </c>
      <c r="V3667" s="1">
        <v>36941</v>
      </c>
      <c r="W3667" s="1">
        <v>36941</v>
      </c>
      <c r="X3667" s="1">
        <v>36941</v>
      </c>
      <c r="Y3667" s="1">
        <v>51551</v>
      </c>
      <c r="Z3667" t="s">
        <v>51</v>
      </c>
      <c r="AB3667" t="s">
        <v>54</v>
      </c>
      <c r="AC3667">
        <v>1</v>
      </c>
      <c r="AE3667" t="s">
        <v>825</v>
      </c>
      <c r="AF3667">
        <v>20</v>
      </c>
      <c r="AG3667" s="1">
        <v>36941</v>
      </c>
      <c r="AH3667" s="1">
        <v>36941</v>
      </c>
      <c r="AI3667" s="1">
        <v>36941</v>
      </c>
      <c r="AJ3667" s="1">
        <v>44246</v>
      </c>
      <c r="AK3667" t="s">
        <v>51</v>
      </c>
      <c r="AN3667">
        <v>0</v>
      </c>
      <c r="AO3667" t="s">
        <v>54</v>
      </c>
      <c r="AP3667" t="s">
        <v>53</v>
      </c>
      <c r="AQ3667">
        <v>0</v>
      </c>
      <c r="AR3667" t="s">
        <v>53</v>
      </c>
      <c r="AS3667">
        <v>0</v>
      </c>
      <c r="AT3667">
        <v>0</v>
      </c>
      <c r="AW3667" t="s">
        <v>58</v>
      </c>
      <c r="AX3667">
        <v>20</v>
      </c>
      <c r="AY3667" s="1">
        <v>44956</v>
      </c>
      <c r="AZ3667" s="1">
        <v>44956</v>
      </c>
      <c r="BA3667" s="1">
        <v>44956</v>
      </c>
      <c r="BB3667" s="1">
        <v>52261</v>
      </c>
      <c r="BC3667" t="s">
        <v>51</v>
      </c>
      <c r="BE3667" t="s">
        <v>54</v>
      </c>
      <c r="BF3667">
        <v>2</v>
      </c>
      <c r="BG3667">
        <v>0</v>
      </c>
      <c r="BH3667" t="s">
        <v>53</v>
      </c>
      <c r="BK3667" t="s">
        <v>59</v>
      </c>
      <c r="BL3667">
        <v>14000</v>
      </c>
      <c r="BM3667" s="1">
        <v>44956</v>
      </c>
      <c r="BN3667" s="1">
        <v>44956</v>
      </c>
      <c r="BO3667" s="1">
        <v>44956</v>
      </c>
      <c r="BP3667" s="1">
        <v>46134</v>
      </c>
      <c r="BQ3667" t="s">
        <v>51</v>
      </c>
      <c r="BS3667" t="s">
        <v>60</v>
      </c>
      <c r="BT3667" t="s">
        <v>54</v>
      </c>
      <c r="BU3667" t="s">
        <v>61</v>
      </c>
      <c r="BV3667" t="s">
        <v>62</v>
      </c>
      <c r="BX3667">
        <v>24</v>
      </c>
      <c r="BY3667">
        <v>0</v>
      </c>
      <c r="BZ3667">
        <v>0</v>
      </c>
    </row>
    <row r="3668" spans="1:99" x14ac:dyDescent="0.2">
      <c r="A3668" t="s">
        <v>367</v>
      </c>
      <c r="B3668" t="s">
        <v>368</v>
      </c>
      <c r="C3668" t="s">
        <v>369</v>
      </c>
      <c r="D3668" t="s">
        <v>1503</v>
      </c>
      <c r="F3668" t="str">
        <f>"156652"</f>
        <v>156652</v>
      </c>
      <c r="G3668" t="s">
        <v>49</v>
      </c>
      <c r="H3668" t="s">
        <v>1391</v>
      </c>
      <c r="K3668" t="s">
        <v>51</v>
      </c>
      <c r="L3668" t="s">
        <v>52</v>
      </c>
      <c r="M3668">
        <v>137925.76000000001</v>
      </c>
      <c r="N3668">
        <v>467580.97</v>
      </c>
      <c r="O3668" t="s">
        <v>53</v>
      </c>
      <c r="P3668" t="s">
        <v>54</v>
      </c>
      <c r="Q3668" t="s">
        <v>55</v>
      </c>
      <c r="T3668" t="s">
        <v>818</v>
      </c>
      <c r="U3668">
        <v>40</v>
      </c>
      <c r="V3668" s="1">
        <v>36941</v>
      </c>
      <c r="W3668" s="1">
        <v>36941</v>
      </c>
      <c r="X3668" s="1">
        <v>36941</v>
      </c>
      <c r="Y3668" s="1">
        <v>51551</v>
      </c>
      <c r="Z3668" t="s">
        <v>51</v>
      </c>
      <c r="AB3668" t="s">
        <v>54</v>
      </c>
      <c r="AC3668">
        <v>1</v>
      </c>
      <c r="AE3668" t="s">
        <v>825</v>
      </c>
      <c r="AF3668">
        <v>20</v>
      </c>
      <c r="AG3668" s="1">
        <v>36941</v>
      </c>
      <c r="AH3668" s="1">
        <v>36941</v>
      </c>
      <c r="AI3668" s="1">
        <v>36941</v>
      </c>
      <c r="AJ3668" s="1">
        <v>44246</v>
      </c>
      <c r="AK3668" t="s">
        <v>51</v>
      </c>
      <c r="AN3668">
        <v>0</v>
      </c>
      <c r="AO3668" t="s">
        <v>54</v>
      </c>
      <c r="AP3668" t="s">
        <v>53</v>
      </c>
      <c r="AQ3668">
        <v>0</v>
      </c>
      <c r="AR3668" t="s">
        <v>53</v>
      </c>
      <c r="AS3668">
        <v>0</v>
      </c>
      <c r="AT3668">
        <v>0</v>
      </c>
      <c r="AW3668" t="s">
        <v>58</v>
      </c>
      <c r="AX3668">
        <v>20</v>
      </c>
      <c r="AY3668" s="1">
        <v>36941</v>
      </c>
      <c r="AZ3668" s="1">
        <v>36941</v>
      </c>
      <c r="BA3668" s="1">
        <v>36941</v>
      </c>
      <c r="BB3668" s="1">
        <v>44246</v>
      </c>
      <c r="BC3668" t="s">
        <v>51</v>
      </c>
      <c r="BE3668" t="s">
        <v>54</v>
      </c>
      <c r="BF3668">
        <v>2</v>
      </c>
      <c r="BG3668">
        <v>0</v>
      </c>
      <c r="BH3668" t="s">
        <v>53</v>
      </c>
      <c r="BK3668" t="s">
        <v>59</v>
      </c>
      <c r="BL3668">
        <v>14000</v>
      </c>
      <c r="BM3668" s="1">
        <v>42552</v>
      </c>
      <c r="BN3668" s="1">
        <v>42552</v>
      </c>
      <c r="BO3668" s="1">
        <v>42552</v>
      </c>
      <c r="BP3668" s="1">
        <v>43752</v>
      </c>
      <c r="BQ3668" t="s">
        <v>51</v>
      </c>
      <c r="BS3668" t="s">
        <v>60</v>
      </c>
      <c r="BT3668" t="s">
        <v>54</v>
      </c>
      <c r="BU3668" t="s">
        <v>61</v>
      </c>
      <c r="BV3668" t="s">
        <v>62</v>
      </c>
      <c r="BX3668">
        <v>24</v>
      </c>
      <c r="BY3668">
        <v>0</v>
      </c>
      <c r="BZ3668">
        <v>0</v>
      </c>
    </row>
    <row r="3669" spans="1:99" x14ac:dyDescent="0.2">
      <c r="A3669" t="s">
        <v>367</v>
      </c>
      <c r="B3669" t="s">
        <v>368</v>
      </c>
      <c r="C3669" t="s">
        <v>369</v>
      </c>
      <c r="D3669" t="s">
        <v>1503</v>
      </c>
      <c r="F3669" t="str">
        <f>"156653"</f>
        <v>156653</v>
      </c>
      <c r="G3669" t="s">
        <v>49</v>
      </c>
      <c r="H3669" t="s">
        <v>1442</v>
      </c>
      <c r="K3669" t="s">
        <v>51</v>
      </c>
      <c r="L3669" t="s">
        <v>52</v>
      </c>
      <c r="M3669">
        <v>137944.1</v>
      </c>
      <c r="N3669">
        <v>467573.55</v>
      </c>
      <c r="O3669" t="s">
        <v>53</v>
      </c>
      <c r="P3669" t="s">
        <v>54</v>
      </c>
      <c r="Q3669" t="s">
        <v>55</v>
      </c>
      <c r="T3669" t="s">
        <v>818</v>
      </c>
      <c r="U3669">
        <v>40</v>
      </c>
      <c r="V3669" s="1">
        <v>36941</v>
      </c>
      <c r="W3669" s="1">
        <v>36941</v>
      </c>
      <c r="X3669" s="1">
        <v>36941</v>
      </c>
      <c r="Y3669" s="1">
        <v>51551</v>
      </c>
      <c r="Z3669" t="s">
        <v>51</v>
      </c>
      <c r="AB3669" t="s">
        <v>54</v>
      </c>
      <c r="AC3669">
        <v>1</v>
      </c>
      <c r="AE3669" t="s">
        <v>825</v>
      </c>
      <c r="AF3669">
        <v>20</v>
      </c>
      <c r="AG3669" s="1">
        <v>36941</v>
      </c>
      <c r="AH3669" s="1">
        <v>36941</v>
      </c>
      <c r="AI3669" s="1">
        <v>36941</v>
      </c>
      <c r="AJ3669" s="1">
        <v>44246</v>
      </c>
      <c r="AK3669" t="s">
        <v>51</v>
      </c>
      <c r="AN3669">
        <v>0</v>
      </c>
      <c r="AO3669" t="s">
        <v>54</v>
      </c>
      <c r="AP3669" t="s">
        <v>53</v>
      </c>
      <c r="AQ3669">
        <v>0</v>
      </c>
      <c r="AR3669" t="s">
        <v>53</v>
      </c>
      <c r="AS3669">
        <v>0</v>
      </c>
      <c r="AT3669">
        <v>0</v>
      </c>
      <c r="AW3669" t="s">
        <v>58</v>
      </c>
      <c r="AX3669">
        <v>20</v>
      </c>
      <c r="AY3669" s="1">
        <v>36941</v>
      </c>
      <c r="AZ3669" s="1">
        <v>36941</v>
      </c>
      <c r="BA3669" s="1">
        <v>36941</v>
      </c>
      <c r="BB3669" s="1">
        <v>44246</v>
      </c>
      <c r="BC3669" t="s">
        <v>51</v>
      </c>
      <c r="BE3669" t="s">
        <v>54</v>
      </c>
      <c r="BF3669">
        <v>2</v>
      </c>
      <c r="BG3669">
        <v>0</v>
      </c>
      <c r="BH3669" t="s">
        <v>53</v>
      </c>
      <c r="BK3669" t="s">
        <v>59</v>
      </c>
      <c r="BL3669">
        <v>14000</v>
      </c>
      <c r="BM3669" s="1">
        <v>42552</v>
      </c>
      <c r="BN3669" s="1">
        <v>42552</v>
      </c>
      <c r="BO3669" s="1">
        <v>42552</v>
      </c>
      <c r="BP3669" s="1">
        <v>43752</v>
      </c>
      <c r="BQ3669" t="s">
        <v>51</v>
      </c>
      <c r="BS3669" t="s">
        <v>60</v>
      </c>
      <c r="BT3669" t="s">
        <v>54</v>
      </c>
      <c r="BU3669" t="s">
        <v>61</v>
      </c>
      <c r="BV3669" t="s">
        <v>62</v>
      </c>
      <c r="BX3669">
        <v>24</v>
      </c>
      <c r="BY3669">
        <v>0</v>
      </c>
      <c r="BZ3669">
        <v>0</v>
      </c>
    </row>
    <row r="3670" spans="1:99" x14ac:dyDescent="0.2">
      <c r="A3670" t="s">
        <v>367</v>
      </c>
      <c r="B3670" t="s">
        <v>368</v>
      </c>
      <c r="C3670" t="s">
        <v>369</v>
      </c>
      <c r="D3670" t="s">
        <v>1368</v>
      </c>
      <c r="F3670" t="str">
        <f>"156654"</f>
        <v>156654</v>
      </c>
      <c r="G3670" t="s">
        <v>49</v>
      </c>
      <c r="H3670" t="s">
        <v>1679</v>
      </c>
      <c r="K3670" t="s">
        <v>51</v>
      </c>
      <c r="L3670" t="s">
        <v>52</v>
      </c>
      <c r="M3670">
        <v>137963.78</v>
      </c>
      <c r="N3670">
        <v>467639.38</v>
      </c>
      <c r="O3670" t="s">
        <v>53</v>
      </c>
      <c r="P3670" t="s">
        <v>54</v>
      </c>
      <c r="Q3670" t="s">
        <v>55</v>
      </c>
      <c r="T3670" t="s">
        <v>818</v>
      </c>
      <c r="U3670">
        <v>40</v>
      </c>
      <c r="V3670" s="1">
        <v>36945</v>
      </c>
      <c r="W3670" s="1">
        <v>36945</v>
      </c>
      <c r="X3670" s="1">
        <v>36945</v>
      </c>
      <c r="Y3670" s="1">
        <v>51555</v>
      </c>
      <c r="Z3670" t="s">
        <v>51</v>
      </c>
      <c r="AB3670" t="s">
        <v>54</v>
      </c>
      <c r="AC3670">
        <v>1</v>
      </c>
      <c r="AE3670" t="s">
        <v>825</v>
      </c>
      <c r="AF3670">
        <v>20</v>
      </c>
      <c r="AG3670" s="1">
        <v>36945</v>
      </c>
      <c r="AH3670" s="1">
        <v>36945</v>
      </c>
      <c r="AI3670" s="1">
        <v>36945</v>
      </c>
      <c r="AJ3670" s="1">
        <v>44250</v>
      </c>
      <c r="AK3670" t="s">
        <v>51</v>
      </c>
      <c r="AN3670">
        <v>0</v>
      </c>
      <c r="AO3670" t="s">
        <v>54</v>
      </c>
      <c r="AP3670" t="s">
        <v>53</v>
      </c>
      <c r="AQ3670">
        <v>0</v>
      </c>
      <c r="AR3670" t="s">
        <v>53</v>
      </c>
      <c r="AS3670">
        <v>0</v>
      </c>
      <c r="AT3670">
        <v>0</v>
      </c>
      <c r="AW3670" t="s">
        <v>58</v>
      </c>
      <c r="AX3670">
        <v>20</v>
      </c>
      <c r="AY3670" s="1">
        <v>36945</v>
      </c>
      <c r="AZ3670" s="1">
        <v>36945</v>
      </c>
      <c r="BA3670" s="1">
        <v>36945</v>
      </c>
      <c r="BB3670" s="1">
        <v>44250</v>
      </c>
      <c r="BC3670" t="s">
        <v>51</v>
      </c>
      <c r="BE3670" t="s">
        <v>54</v>
      </c>
      <c r="BF3670">
        <v>2</v>
      </c>
      <c r="BG3670">
        <v>0</v>
      </c>
      <c r="BH3670" t="s">
        <v>53</v>
      </c>
      <c r="BK3670" t="s">
        <v>59</v>
      </c>
      <c r="BL3670">
        <v>14000</v>
      </c>
      <c r="BM3670" s="1">
        <v>42552</v>
      </c>
      <c r="BN3670" s="1">
        <v>42552</v>
      </c>
      <c r="BO3670" s="1">
        <v>42552</v>
      </c>
      <c r="BP3670" s="1">
        <v>43752</v>
      </c>
      <c r="BQ3670" t="s">
        <v>51</v>
      </c>
      <c r="BS3670" t="s">
        <v>60</v>
      </c>
      <c r="BT3670" t="s">
        <v>54</v>
      </c>
      <c r="BU3670" t="s">
        <v>61</v>
      </c>
      <c r="BV3670" t="s">
        <v>62</v>
      </c>
      <c r="BX3670">
        <v>24</v>
      </c>
      <c r="BY3670">
        <v>0</v>
      </c>
      <c r="BZ3670">
        <v>0</v>
      </c>
    </row>
    <row r="3671" spans="1:99" x14ac:dyDescent="0.2">
      <c r="A3671" t="s">
        <v>367</v>
      </c>
      <c r="B3671" t="s">
        <v>440</v>
      </c>
      <c r="C3671" t="s">
        <v>441</v>
      </c>
      <c r="D3671" t="s">
        <v>369</v>
      </c>
      <c r="F3671" t="str">
        <f>"156915"</f>
        <v>156915</v>
      </c>
      <c r="G3671" t="s">
        <v>49</v>
      </c>
      <c r="H3671" t="s">
        <v>1680</v>
      </c>
      <c r="K3671" t="s">
        <v>51</v>
      </c>
      <c r="L3671" t="s">
        <v>52</v>
      </c>
      <c r="M3671">
        <v>137286.91</v>
      </c>
      <c r="N3671">
        <v>468620.37</v>
      </c>
      <c r="O3671" t="s">
        <v>53</v>
      </c>
      <c r="P3671" t="s">
        <v>54</v>
      </c>
      <c r="Q3671" t="s">
        <v>55</v>
      </c>
      <c r="T3671" t="s">
        <v>1681</v>
      </c>
      <c r="U3671">
        <v>40</v>
      </c>
      <c r="V3671" s="1">
        <v>37166</v>
      </c>
      <c r="W3671" s="1">
        <v>37166</v>
      </c>
      <c r="X3671" s="1">
        <v>37166</v>
      </c>
      <c r="Y3671" s="1">
        <v>51776</v>
      </c>
      <c r="Z3671" t="s">
        <v>51</v>
      </c>
      <c r="AB3671" t="s">
        <v>54</v>
      </c>
      <c r="AC3671">
        <v>1</v>
      </c>
      <c r="AE3671" t="s">
        <v>814</v>
      </c>
      <c r="AF3671">
        <v>20</v>
      </c>
      <c r="AG3671" s="1">
        <v>37166</v>
      </c>
      <c r="AH3671" s="1">
        <v>37166</v>
      </c>
      <c r="AI3671" s="1">
        <v>37166</v>
      </c>
      <c r="AJ3671" s="1">
        <v>44471</v>
      </c>
      <c r="AK3671" t="s">
        <v>51</v>
      </c>
      <c r="AN3671">
        <v>0</v>
      </c>
      <c r="AO3671" t="s">
        <v>54</v>
      </c>
      <c r="AP3671" t="s">
        <v>53</v>
      </c>
      <c r="AQ3671">
        <v>0</v>
      </c>
      <c r="AR3671" t="s">
        <v>53</v>
      </c>
      <c r="AS3671">
        <v>0</v>
      </c>
      <c r="AT3671">
        <v>0</v>
      </c>
      <c r="AW3671" t="s">
        <v>58</v>
      </c>
      <c r="AX3671">
        <v>20</v>
      </c>
      <c r="AY3671" s="1">
        <v>37166</v>
      </c>
      <c r="AZ3671" s="1">
        <v>37166</v>
      </c>
      <c r="BA3671" s="1">
        <v>37166</v>
      </c>
      <c r="BB3671" s="1">
        <v>44471</v>
      </c>
      <c r="BC3671" t="s">
        <v>51</v>
      </c>
      <c r="BE3671" t="s">
        <v>54</v>
      </c>
      <c r="BF3671">
        <v>2</v>
      </c>
      <c r="BG3671">
        <v>0</v>
      </c>
      <c r="BH3671" t="s">
        <v>53</v>
      </c>
      <c r="BK3671" t="s">
        <v>1682</v>
      </c>
      <c r="BL3671">
        <v>21500</v>
      </c>
      <c r="BM3671" s="1">
        <v>42552</v>
      </c>
      <c r="BN3671" s="1">
        <v>42552</v>
      </c>
      <c r="BO3671" s="1">
        <v>42552</v>
      </c>
      <c r="BP3671" s="1">
        <v>44363</v>
      </c>
      <c r="BQ3671" t="s">
        <v>51</v>
      </c>
      <c r="BS3671" t="s">
        <v>60</v>
      </c>
      <c r="BT3671" t="s">
        <v>54</v>
      </c>
      <c r="BU3671" t="s">
        <v>353</v>
      </c>
      <c r="BV3671" t="s">
        <v>354</v>
      </c>
      <c r="BX3671">
        <v>150</v>
      </c>
      <c r="BY3671">
        <v>0</v>
      </c>
      <c r="BZ3671">
        <v>0</v>
      </c>
    </row>
    <row r="3672" spans="1:99" x14ac:dyDescent="0.2">
      <c r="A3672" t="s">
        <v>367</v>
      </c>
      <c r="B3672" t="s">
        <v>368</v>
      </c>
      <c r="C3672" t="s">
        <v>369</v>
      </c>
      <c r="D3672" t="s">
        <v>1278</v>
      </c>
      <c r="F3672" t="str">
        <f>"157800"</f>
        <v>157800</v>
      </c>
      <c r="G3672" t="s">
        <v>49</v>
      </c>
      <c r="H3672" t="s">
        <v>1683</v>
      </c>
      <c r="K3672" t="s">
        <v>51</v>
      </c>
      <c r="L3672" t="s">
        <v>52</v>
      </c>
      <c r="M3672">
        <v>137606.28</v>
      </c>
      <c r="N3672">
        <v>468492.66</v>
      </c>
      <c r="O3672" t="s">
        <v>53</v>
      </c>
      <c r="P3672" t="s">
        <v>54</v>
      </c>
      <c r="Q3672" t="s">
        <v>55</v>
      </c>
      <c r="T3672" t="s">
        <v>818</v>
      </c>
      <c r="U3672">
        <v>40</v>
      </c>
      <c r="V3672" s="1">
        <v>36901</v>
      </c>
      <c r="W3672" s="1">
        <v>36901</v>
      </c>
      <c r="X3672" s="1">
        <v>36901</v>
      </c>
      <c r="Y3672" s="1">
        <v>51511</v>
      </c>
      <c r="Z3672" t="s">
        <v>51</v>
      </c>
      <c r="AB3672" t="s">
        <v>54</v>
      </c>
      <c r="AC3672">
        <v>1</v>
      </c>
      <c r="AE3672" t="s">
        <v>825</v>
      </c>
      <c r="AF3672">
        <v>20</v>
      </c>
      <c r="AG3672" s="1">
        <v>36901</v>
      </c>
      <c r="AH3672" s="1">
        <v>36901</v>
      </c>
      <c r="AI3672" s="1">
        <v>36901</v>
      </c>
      <c r="AJ3672" s="1">
        <v>44206</v>
      </c>
      <c r="AK3672" t="s">
        <v>51</v>
      </c>
      <c r="AN3672">
        <v>0</v>
      </c>
      <c r="AO3672" t="s">
        <v>54</v>
      </c>
      <c r="AP3672" t="s">
        <v>53</v>
      </c>
      <c r="AQ3672">
        <v>0</v>
      </c>
      <c r="AR3672" t="s">
        <v>53</v>
      </c>
      <c r="AS3672">
        <v>0</v>
      </c>
      <c r="AT3672">
        <v>0</v>
      </c>
      <c r="CC3672" t="s">
        <v>555</v>
      </c>
      <c r="CD3672">
        <v>85000</v>
      </c>
      <c r="CE3672" s="1">
        <v>42552</v>
      </c>
      <c r="CF3672" s="1">
        <v>42552</v>
      </c>
      <c r="CG3672" s="1">
        <v>42552</v>
      </c>
      <c r="CH3672" s="1">
        <v>49714</v>
      </c>
      <c r="CI3672" t="s">
        <v>51</v>
      </c>
      <c r="CK3672" t="s">
        <v>78</v>
      </c>
      <c r="CM3672" t="s">
        <v>54</v>
      </c>
      <c r="CN3672" t="s">
        <v>174</v>
      </c>
      <c r="CO3672" t="s">
        <v>86</v>
      </c>
      <c r="CR3672">
        <v>20</v>
      </c>
      <c r="CS3672">
        <v>0</v>
      </c>
      <c r="CT3672">
        <v>0</v>
      </c>
      <c r="CU3672">
        <v>0</v>
      </c>
    </row>
    <row r="3673" spans="1:99" x14ac:dyDescent="0.2">
      <c r="A3673" t="s">
        <v>367</v>
      </c>
      <c r="B3673" t="s">
        <v>368</v>
      </c>
      <c r="C3673" t="s">
        <v>369</v>
      </c>
      <c r="D3673" t="s">
        <v>1278</v>
      </c>
      <c r="F3673" t="str">
        <f>"157801"</f>
        <v>157801</v>
      </c>
      <c r="G3673" t="s">
        <v>49</v>
      </c>
      <c r="H3673" t="s">
        <v>1684</v>
      </c>
      <c r="K3673" t="s">
        <v>51</v>
      </c>
      <c r="L3673" t="s">
        <v>52</v>
      </c>
      <c r="M3673">
        <v>137590.88</v>
      </c>
      <c r="N3673">
        <v>468496.03</v>
      </c>
      <c r="O3673" t="s">
        <v>53</v>
      </c>
      <c r="P3673" t="s">
        <v>54</v>
      </c>
      <c r="Q3673" t="s">
        <v>55</v>
      </c>
      <c r="T3673" t="s">
        <v>818</v>
      </c>
      <c r="U3673">
        <v>40</v>
      </c>
      <c r="V3673" s="1">
        <v>36901</v>
      </c>
      <c r="W3673" s="1">
        <v>36901</v>
      </c>
      <c r="X3673" s="1">
        <v>36901</v>
      </c>
      <c r="Y3673" s="1">
        <v>51511</v>
      </c>
      <c r="Z3673" t="s">
        <v>51</v>
      </c>
      <c r="AB3673" t="s">
        <v>54</v>
      </c>
      <c r="AC3673">
        <v>1</v>
      </c>
      <c r="AE3673" t="s">
        <v>825</v>
      </c>
      <c r="AF3673">
        <v>20</v>
      </c>
      <c r="AG3673" s="1">
        <v>36901</v>
      </c>
      <c r="AH3673" s="1">
        <v>36901</v>
      </c>
      <c r="AI3673" s="1">
        <v>36901</v>
      </c>
      <c r="AJ3673" s="1">
        <v>44206</v>
      </c>
      <c r="AK3673" t="s">
        <v>51</v>
      </c>
      <c r="AN3673">
        <v>0</v>
      </c>
      <c r="AO3673" t="s">
        <v>54</v>
      </c>
      <c r="AP3673" t="s">
        <v>53</v>
      </c>
      <c r="AQ3673">
        <v>0</v>
      </c>
      <c r="AR3673" t="s">
        <v>53</v>
      </c>
      <c r="AS3673">
        <v>0</v>
      </c>
      <c r="AT3673">
        <v>0</v>
      </c>
      <c r="CC3673" t="s">
        <v>555</v>
      </c>
      <c r="CD3673">
        <v>85000</v>
      </c>
      <c r="CE3673" s="1">
        <v>42552</v>
      </c>
      <c r="CF3673" s="1">
        <v>42552</v>
      </c>
      <c r="CG3673" s="1">
        <v>42552</v>
      </c>
      <c r="CH3673" s="1">
        <v>49714</v>
      </c>
      <c r="CI3673" t="s">
        <v>51</v>
      </c>
      <c r="CK3673" t="s">
        <v>78</v>
      </c>
      <c r="CM3673" t="s">
        <v>54</v>
      </c>
      <c r="CN3673" t="s">
        <v>174</v>
      </c>
      <c r="CO3673" t="s">
        <v>86</v>
      </c>
      <c r="CR3673">
        <v>20</v>
      </c>
      <c r="CS3673">
        <v>0</v>
      </c>
      <c r="CT3673">
        <v>0</v>
      </c>
      <c r="CU3673">
        <v>0</v>
      </c>
    </row>
    <row r="3674" spans="1:99" x14ac:dyDescent="0.2">
      <c r="A3674" t="s">
        <v>367</v>
      </c>
      <c r="B3674" t="s">
        <v>368</v>
      </c>
      <c r="C3674" t="s">
        <v>369</v>
      </c>
      <c r="D3674" t="s">
        <v>1278</v>
      </c>
      <c r="F3674" t="str">
        <f>"157802"</f>
        <v>157802</v>
      </c>
      <c r="G3674" t="s">
        <v>49</v>
      </c>
      <c r="H3674" t="s">
        <v>1685</v>
      </c>
      <c r="K3674" t="s">
        <v>51</v>
      </c>
      <c r="L3674" t="s">
        <v>52</v>
      </c>
      <c r="M3674">
        <v>137577.94</v>
      </c>
      <c r="N3674">
        <v>468484.63</v>
      </c>
      <c r="O3674" t="s">
        <v>53</v>
      </c>
      <c r="P3674" t="s">
        <v>54</v>
      </c>
      <c r="Q3674" t="s">
        <v>55</v>
      </c>
      <c r="T3674" t="s">
        <v>818</v>
      </c>
      <c r="U3674">
        <v>40</v>
      </c>
      <c r="V3674" s="1">
        <v>36901</v>
      </c>
      <c r="W3674" s="1">
        <v>36901</v>
      </c>
      <c r="X3674" s="1">
        <v>36901</v>
      </c>
      <c r="Y3674" s="1">
        <v>51511</v>
      </c>
      <c r="Z3674" t="s">
        <v>51</v>
      </c>
      <c r="AB3674" t="s">
        <v>54</v>
      </c>
      <c r="AC3674">
        <v>1</v>
      </c>
      <c r="AE3674" t="s">
        <v>825</v>
      </c>
      <c r="AF3674">
        <v>20</v>
      </c>
      <c r="AG3674" s="1">
        <v>36901</v>
      </c>
      <c r="AH3674" s="1">
        <v>36901</v>
      </c>
      <c r="AI3674" s="1">
        <v>36901</v>
      </c>
      <c r="AJ3674" s="1">
        <v>44206</v>
      </c>
      <c r="AK3674" t="s">
        <v>51</v>
      </c>
      <c r="AN3674">
        <v>0</v>
      </c>
      <c r="AO3674" t="s">
        <v>54</v>
      </c>
      <c r="AP3674" t="s">
        <v>53</v>
      </c>
      <c r="AQ3674">
        <v>0</v>
      </c>
      <c r="AR3674" t="s">
        <v>53</v>
      </c>
      <c r="AS3674">
        <v>0</v>
      </c>
      <c r="AT3674">
        <v>0</v>
      </c>
      <c r="CC3674" t="s">
        <v>555</v>
      </c>
      <c r="CD3674">
        <v>85000</v>
      </c>
      <c r="CE3674" s="1">
        <v>42552</v>
      </c>
      <c r="CF3674" s="1">
        <v>42552</v>
      </c>
      <c r="CG3674" s="1">
        <v>42552</v>
      </c>
      <c r="CH3674" s="1">
        <v>49714</v>
      </c>
      <c r="CI3674" t="s">
        <v>51</v>
      </c>
      <c r="CK3674" t="s">
        <v>78</v>
      </c>
      <c r="CM3674" t="s">
        <v>54</v>
      </c>
      <c r="CN3674" t="s">
        <v>174</v>
      </c>
      <c r="CO3674" t="s">
        <v>86</v>
      </c>
      <c r="CR3674">
        <v>20</v>
      </c>
      <c r="CS3674">
        <v>0</v>
      </c>
      <c r="CT3674">
        <v>0</v>
      </c>
      <c r="CU3674">
        <v>0</v>
      </c>
    </row>
    <row r="3675" spans="1:99" x14ac:dyDescent="0.2">
      <c r="A3675" t="s">
        <v>367</v>
      </c>
      <c r="B3675" t="s">
        <v>368</v>
      </c>
      <c r="C3675" t="s">
        <v>369</v>
      </c>
      <c r="D3675" t="s">
        <v>1278</v>
      </c>
      <c r="F3675" t="str">
        <f>"157803"</f>
        <v>157803</v>
      </c>
      <c r="G3675" t="s">
        <v>49</v>
      </c>
      <c r="H3675" t="s">
        <v>1686</v>
      </c>
      <c r="K3675" t="s">
        <v>51</v>
      </c>
      <c r="L3675" t="s">
        <v>52</v>
      </c>
      <c r="M3675">
        <v>137557.6</v>
      </c>
      <c r="N3675">
        <v>468486.21</v>
      </c>
      <c r="O3675" t="s">
        <v>53</v>
      </c>
      <c r="P3675" t="s">
        <v>54</v>
      </c>
      <c r="Q3675" t="s">
        <v>55</v>
      </c>
      <c r="T3675" t="s">
        <v>818</v>
      </c>
      <c r="U3675">
        <v>40</v>
      </c>
      <c r="V3675" s="1">
        <v>36901</v>
      </c>
      <c r="W3675" s="1">
        <v>36901</v>
      </c>
      <c r="X3675" s="1">
        <v>36901</v>
      </c>
      <c r="Y3675" s="1">
        <v>51511</v>
      </c>
      <c r="Z3675" t="s">
        <v>51</v>
      </c>
      <c r="AB3675" t="s">
        <v>54</v>
      </c>
      <c r="AC3675">
        <v>1</v>
      </c>
      <c r="AE3675" t="s">
        <v>825</v>
      </c>
      <c r="AF3675">
        <v>20</v>
      </c>
      <c r="AG3675" s="1">
        <v>36901</v>
      </c>
      <c r="AH3675" s="1">
        <v>36901</v>
      </c>
      <c r="AI3675" s="1">
        <v>36901</v>
      </c>
      <c r="AJ3675" s="1">
        <v>44206</v>
      </c>
      <c r="AK3675" t="s">
        <v>51</v>
      </c>
      <c r="AN3675">
        <v>0</v>
      </c>
      <c r="AO3675" t="s">
        <v>54</v>
      </c>
      <c r="AP3675" t="s">
        <v>53</v>
      </c>
      <c r="AQ3675">
        <v>0</v>
      </c>
      <c r="AR3675" t="s">
        <v>53</v>
      </c>
      <c r="AS3675">
        <v>0</v>
      </c>
      <c r="AT3675">
        <v>0</v>
      </c>
      <c r="CC3675" t="s">
        <v>555</v>
      </c>
      <c r="CD3675">
        <v>85000</v>
      </c>
      <c r="CE3675" s="1">
        <v>42552</v>
      </c>
      <c r="CF3675" s="1">
        <v>42552</v>
      </c>
      <c r="CG3675" s="1">
        <v>42552</v>
      </c>
      <c r="CH3675" s="1">
        <v>49714</v>
      </c>
      <c r="CI3675" t="s">
        <v>51</v>
      </c>
      <c r="CK3675" t="s">
        <v>78</v>
      </c>
      <c r="CM3675" t="s">
        <v>54</v>
      </c>
      <c r="CN3675" t="s">
        <v>174</v>
      </c>
      <c r="CO3675" t="s">
        <v>86</v>
      </c>
      <c r="CR3675">
        <v>20</v>
      </c>
      <c r="CS3675">
        <v>0</v>
      </c>
      <c r="CT3675">
        <v>0</v>
      </c>
      <c r="CU3675">
        <v>0</v>
      </c>
    </row>
    <row r="3676" spans="1:99" x14ac:dyDescent="0.2">
      <c r="A3676" t="s">
        <v>367</v>
      </c>
      <c r="B3676" t="s">
        <v>368</v>
      </c>
      <c r="C3676" t="s">
        <v>369</v>
      </c>
      <c r="D3676" t="s">
        <v>1278</v>
      </c>
      <c r="F3676" t="str">
        <f>"157804"</f>
        <v>157804</v>
      </c>
      <c r="G3676" t="s">
        <v>49</v>
      </c>
      <c r="H3676" t="s">
        <v>1687</v>
      </c>
      <c r="K3676" t="s">
        <v>51</v>
      </c>
      <c r="L3676" t="s">
        <v>52</v>
      </c>
      <c r="M3676">
        <v>137545.01</v>
      </c>
      <c r="N3676">
        <v>468475.34</v>
      </c>
      <c r="O3676" t="s">
        <v>53</v>
      </c>
      <c r="P3676" t="s">
        <v>54</v>
      </c>
      <c r="Q3676" t="s">
        <v>55</v>
      </c>
      <c r="T3676" t="s">
        <v>818</v>
      </c>
      <c r="U3676">
        <v>40</v>
      </c>
      <c r="V3676" s="1">
        <v>36901</v>
      </c>
      <c r="W3676" s="1">
        <v>36901</v>
      </c>
      <c r="X3676" s="1">
        <v>36901</v>
      </c>
      <c r="Y3676" s="1">
        <v>51511</v>
      </c>
      <c r="Z3676" t="s">
        <v>51</v>
      </c>
      <c r="AB3676" t="s">
        <v>54</v>
      </c>
      <c r="AC3676">
        <v>1</v>
      </c>
      <c r="AE3676" t="s">
        <v>825</v>
      </c>
      <c r="AF3676">
        <v>20</v>
      </c>
      <c r="AG3676" s="1">
        <v>36901</v>
      </c>
      <c r="AH3676" s="1">
        <v>36901</v>
      </c>
      <c r="AI3676" s="1">
        <v>36901</v>
      </c>
      <c r="AJ3676" s="1">
        <v>44206</v>
      </c>
      <c r="AK3676" t="s">
        <v>51</v>
      </c>
      <c r="AN3676">
        <v>0</v>
      </c>
      <c r="AO3676" t="s">
        <v>54</v>
      </c>
      <c r="AP3676" t="s">
        <v>53</v>
      </c>
      <c r="AQ3676">
        <v>0</v>
      </c>
      <c r="AR3676" t="s">
        <v>53</v>
      </c>
      <c r="AS3676">
        <v>0</v>
      </c>
      <c r="AT3676">
        <v>0</v>
      </c>
      <c r="CC3676" t="s">
        <v>555</v>
      </c>
      <c r="CD3676">
        <v>85000</v>
      </c>
      <c r="CE3676" s="1">
        <v>42552</v>
      </c>
      <c r="CF3676" s="1">
        <v>42552</v>
      </c>
      <c r="CG3676" s="1">
        <v>42552</v>
      </c>
      <c r="CH3676" s="1">
        <v>49714</v>
      </c>
      <c r="CI3676" t="s">
        <v>51</v>
      </c>
      <c r="CK3676" t="s">
        <v>78</v>
      </c>
      <c r="CM3676" t="s">
        <v>54</v>
      </c>
      <c r="CN3676" t="s">
        <v>174</v>
      </c>
      <c r="CO3676" t="s">
        <v>86</v>
      </c>
      <c r="CR3676">
        <v>20</v>
      </c>
      <c r="CS3676">
        <v>0</v>
      </c>
      <c r="CT3676">
        <v>0</v>
      </c>
      <c r="CU3676">
        <v>0</v>
      </c>
    </row>
    <row r="3677" spans="1:99" x14ac:dyDescent="0.2">
      <c r="A3677" t="s">
        <v>367</v>
      </c>
      <c r="B3677" t="s">
        <v>368</v>
      </c>
      <c r="C3677" t="s">
        <v>369</v>
      </c>
      <c r="D3677" t="s">
        <v>1278</v>
      </c>
      <c r="F3677" t="str">
        <f>"157805"</f>
        <v>157805</v>
      </c>
      <c r="G3677" t="s">
        <v>49</v>
      </c>
      <c r="H3677" t="s">
        <v>1688</v>
      </c>
      <c r="K3677" t="s">
        <v>51</v>
      </c>
      <c r="L3677" t="s">
        <v>52</v>
      </c>
      <c r="M3677">
        <v>137528.78</v>
      </c>
      <c r="N3677">
        <v>468477.98</v>
      </c>
      <c r="O3677" t="s">
        <v>53</v>
      </c>
      <c r="P3677" t="s">
        <v>54</v>
      </c>
      <c r="Q3677" t="s">
        <v>55</v>
      </c>
      <c r="T3677" t="s">
        <v>818</v>
      </c>
      <c r="U3677">
        <v>40</v>
      </c>
      <c r="V3677" s="1">
        <v>36901</v>
      </c>
      <c r="W3677" s="1">
        <v>36901</v>
      </c>
      <c r="X3677" s="1">
        <v>36901</v>
      </c>
      <c r="Y3677" s="1">
        <v>51511</v>
      </c>
      <c r="Z3677" t="s">
        <v>51</v>
      </c>
      <c r="AB3677" t="s">
        <v>54</v>
      </c>
      <c r="AC3677">
        <v>1</v>
      </c>
      <c r="AE3677" t="s">
        <v>825</v>
      </c>
      <c r="AF3677">
        <v>20</v>
      </c>
      <c r="AG3677" s="1">
        <v>36901</v>
      </c>
      <c r="AH3677" s="1">
        <v>36901</v>
      </c>
      <c r="AI3677" s="1">
        <v>36901</v>
      </c>
      <c r="AJ3677" s="1">
        <v>44206</v>
      </c>
      <c r="AK3677" t="s">
        <v>51</v>
      </c>
      <c r="AN3677">
        <v>0</v>
      </c>
      <c r="AO3677" t="s">
        <v>54</v>
      </c>
      <c r="AP3677" t="s">
        <v>53</v>
      </c>
      <c r="AQ3677">
        <v>0</v>
      </c>
      <c r="AR3677" t="s">
        <v>53</v>
      </c>
      <c r="AS3677">
        <v>0</v>
      </c>
      <c r="AT3677">
        <v>0</v>
      </c>
      <c r="CC3677" t="s">
        <v>555</v>
      </c>
      <c r="CD3677">
        <v>85000</v>
      </c>
      <c r="CE3677" s="1">
        <v>42552</v>
      </c>
      <c r="CF3677" s="1">
        <v>42552</v>
      </c>
      <c r="CG3677" s="1">
        <v>42552</v>
      </c>
      <c r="CH3677" s="1">
        <v>49714</v>
      </c>
      <c r="CI3677" t="s">
        <v>51</v>
      </c>
      <c r="CK3677" t="s">
        <v>78</v>
      </c>
      <c r="CM3677" t="s">
        <v>54</v>
      </c>
      <c r="CN3677" t="s">
        <v>174</v>
      </c>
      <c r="CO3677" t="s">
        <v>86</v>
      </c>
      <c r="CR3677">
        <v>20</v>
      </c>
      <c r="CS3677">
        <v>0</v>
      </c>
      <c r="CT3677">
        <v>0</v>
      </c>
      <c r="CU3677">
        <v>0</v>
      </c>
    </row>
    <row r="3678" spans="1:99" x14ac:dyDescent="0.2">
      <c r="A3678" t="s">
        <v>367</v>
      </c>
      <c r="B3678" t="s">
        <v>368</v>
      </c>
      <c r="C3678" t="s">
        <v>369</v>
      </c>
      <c r="D3678" t="s">
        <v>1278</v>
      </c>
      <c r="F3678" t="str">
        <f>"157806"</f>
        <v>157806</v>
      </c>
      <c r="G3678" t="s">
        <v>49</v>
      </c>
      <c r="H3678" t="s">
        <v>1689</v>
      </c>
      <c r="K3678" t="s">
        <v>51</v>
      </c>
      <c r="L3678" t="s">
        <v>52</v>
      </c>
      <c r="M3678">
        <v>137511.69</v>
      </c>
      <c r="N3678">
        <v>468465.59</v>
      </c>
      <c r="O3678" t="s">
        <v>53</v>
      </c>
      <c r="P3678" t="s">
        <v>54</v>
      </c>
      <c r="Q3678" t="s">
        <v>55</v>
      </c>
      <c r="T3678" t="s">
        <v>818</v>
      </c>
      <c r="U3678">
        <v>40</v>
      </c>
      <c r="V3678" s="1">
        <v>39189</v>
      </c>
      <c r="W3678" s="1">
        <v>39189</v>
      </c>
      <c r="X3678" s="1">
        <v>39189</v>
      </c>
      <c r="Y3678" s="1">
        <v>53799</v>
      </c>
      <c r="Z3678" t="s">
        <v>51</v>
      </c>
      <c r="AB3678" t="s">
        <v>54</v>
      </c>
      <c r="AC3678">
        <v>1</v>
      </c>
      <c r="AE3678" t="s">
        <v>825</v>
      </c>
      <c r="AF3678">
        <v>20</v>
      </c>
      <c r="AG3678" s="1">
        <v>39189</v>
      </c>
      <c r="AH3678" s="1">
        <v>39189</v>
      </c>
      <c r="AI3678" s="1">
        <v>39189</v>
      </c>
      <c r="AJ3678" s="1">
        <v>46494</v>
      </c>
      <c r="AK3678" t="s">
        <v>51</v>
      </c>
      <c r="AN3678">
        <v>0</v>
      </c>
      <c r="AO3678" t="s">
        <v>54</v>
      </c>
      <c r="AP3678" t="s">
        <v>53</v>
      </c>
      <c r="AQ3678">
        <v>0</v>
      </c>
      <c r="AR3678" t="s">
        <v>53</v>
      </c>
      <c r="AS3678">
        <v>0</v>
      </c>
      <c r="AT3678">
        <v>0</v>
      </c>
      <c r="CC3678" t="s">
        <v>555</v>
      </c>
      <c r="CD3678">
        <v>85000</v>
      </c>
      <c r="CE3678" s="1">
        <v>42552</v>
      </c>
      <c r="CF3678" s="1">
        <v>42552</v>
      </c>
      <c r="CG3678" s="1">
        <v>42552</v>
      </c>
      <c r="CH3678" s="1">
        <v>49714</v>
      </c>
      <c r="CI3678" t="s">
        <v>51</v>
      </c>
      <c r="CK3678" t="s">
        <v>78</v>
      </c>
      <c r="CM3678" t="s">
        <v>54</v>
      </c>
      <c r="CN3678" t="s">
        <v>174</v>
      </c>
      <c r="CO3678" t="s">
        <v>86</v>
      </c>
      <c r="CR3678">
        <v>20</v>
      </c>
      <c r="CS3678">
        <v>0</v>
      </c>
      <c r="CT3678">
        <v>0</v>
      </c>
      <c r="CU3678">
        <v>0</v>
      </c>
    </row>
    <row r="3679" spans="1:99" x14ac:dyDescent="0.2">
      <c r="A3679" t="s">
        <v>367</v>
      </c>
      <c r="B3679" t="s">
        <v>368</v>
      </c>
      <c r="C3679" t="s">
        <v>369</v>
      </c>
      <c r="D3679" t="s">
        <v>1278</v>
      </c>
      <c r="F3679" t="str">
        <f>"157807"</f>
        <v>157807</v>
      </c>
      <c r="G3679" t="s">
        <v>49</v>
      </c>
      <c r="H3679" t="s">
        <v>1690</v>
      </c>
      <c r="K3679" t="s">
        <v>51</v>
      </c>
      <c r="L3679" t="s">
        <v>52</v>
      </c>
      <c r="M3679">
        <v>137495.15</v>
      </c>
      <c r="N3679">
        <v>468468.46</v>
      </c>
      <c r="O3679" t="s">
        <v>53</v>
      </c>
      <c r="P3679" t="s">
        <v>54</v>
      </c>
      <c r="Q3679" t="s">
        <v>55</v>
      </c>
      <c r="T3679" t="s">
        <v>818</v>
      </c>
      <c r="U3679">
        <v>40</v>
      </c>
      <c r="V3679" s="1">
        <v>36901</v>
      </c>
      <c r="W3679" s="1">
        <v>36901</v>
      </c>
      <c r="X3679" s="1">
        <v>36901</v>
      </c>
      <c r="Y3679" s="1">
        <v>51511</v>
      </c>
      <c r="Z3679" t="s">
        <v>51</v>
      </c>
      <c r="AB3679" t="s">
        <v>54</v>
      </c>
      <c r="AC3679">
        <v>1</v>
      </c>
      <c r="AE3679" t="s">
        <v>825</v>
      </c>
      <c r="AF3679">
        <v>20</v>
      </c>
      <c r="AG3679" s="1">
        <v>36901</v>
      </c>
      <c r="AH3679" s="1">
        <v>36901</v>
      </c>
      <c r="AI3679" s="1">
        <v>36901</v>
      </c>
      <c r="AJ3679" s="1">
        <v>44206</v>
      </c>
      <c r="AK3679" t="s">
        <v>51</v>
      </c>
      <c r="AN3679">
        <v>0</v>
      </c>
      <c r="AO3679" t="s">
        <v>54</v>
      </c>
      <c r="AP3679" t="s">
        <v>53</v>
      </c>
      <c r="AQ3679">
        <v>0</v>
      </c>
      <c r="AR3679" t="s">
        <v>53</v>
      </c>
      <c r="AS3679">
        <v>0</v>
      </c>
      <c r="AT3679">
        <v>0</v>
      </c>
      <c r="CC3679" t="s">
        <v>555</v>
      </c>
      <c r="CD3679">
        <v>85000</v>
      </c>
      <c r="CE3679" s="1">
        <v>42552</v>
      </c>
      <c r="CF3679" s="1">
        <v>42552</v>
      </c>
      <c r="CG3679" s="1">
        <v>42552</v>
      </c>
      <c r="CH3679" s="1">
        <v>49714</v>
      </c>
      <c r="CI3679" t="s">
        <v>51</v>
      </c>
      <c r="CK3679" t="s">
        <v>78</v>
      </c>
      <c r="CM3679" t="s">
        <v>54</v>
      </c>
      <c r="CN3679" t="s">
        <v>174</v>
      </c>
      <c r="CO3679" t="s">
        <v>86</v>
      </c>
      <c r="CR3679">
        <v>20</v>
      </c>
      <c r="CS3679">
        <v>0</v>
      </c>
      <c r="CT3679">
        <v>0</v>
      </c>
      <c r="CU3679">
        <v>0</v>
      </c>
    </row>
    <row r="3680" spans="1:99" x14ac:dyDescent="0.2">
      <c r="A3680" t="s">
        <v>367</v>
      </c>
      <c r="B3680" t="s">
        <v>368</v>
      </c>
      <c r="C3680" t="s">
        <v>369</v>
      </c>
      <c r="D3680" t="s">
        <v>1278</v>
      </c>
      <c r="F3680" t="str">
        <f>"157808"</f>
        <v>157808</v>
      </c>
      <c r="G3680" t="s">
        <v>49</v>
      </c>
      <c r="H3680" t="s">
        <v>1691</v>
      </c>
      <c r="K3680" t="s">
        <v>51</v>
      </c>
      <c r="L3680" t="s">
        <v>52</v>
      </c>
      <c r="M3680">
        <v>137484.88</v>
      </c>
      <c r="N3680">
        <v>468457.65</v>
      </c>
      <c r="O3680" t="s">
        <v>53</v>
      </c>
      <c r="P3680" t="s">
        <v>54</v>
      </c>
      <c r="Q3680" t="s">
        <v>55</v>
      </c>
      <c r="T3680" t="s">
        <v>818</v>
      </c>
      <c r="U3680">
        <v>40</v>
      </c>
      <c r="V3680" s="1">
        <v>36901</v>
      </c>
      <c r="W3680" s="1">
        <v>36901</v>
      </c>
      <c r="X3680" s="1">
        <v>36901</v>
      </c>
      <c r="Y3680" s="1">
        <v>51511</v>
      </c>
      <c r="Z3680" t="s">
        <v>51</v>
      </c>
      <c r="AB3680" t="s">
        <v>54</v>
      </c>
      <c r="AC3680">
        <v>1</v>
      </c>
      <c r="AE3680" t="s">
        <v>825</v>
      </c>
      <c r="AF3680">
        <v>20</v>
      </c>
      <c r="AG3680" s="1">
        <v>36901</v>
      </c>
      <c r="AH3680" s="1">
        <v>36901</v>
      </c>
      <c r="AI3680" s="1">
        <v>36901</v>
      </c>
      <c r="AJ3680" s="1">
        <v>44206</v>
      </c>
      <c r="AK3680" t="s">
        <v>51</v>
      </c>
      <c r="AN3680">
        <v>0</v>
      </c>
      <c r="AO3680" t="s">
        <v>54</v>
      </c>
      <c r="AP3680" t="s">
        <v>53</v>
      </c>
      <c r="AQ3680">
        <v>0</v>
      </c>
      <c r="AR3680" t="s">
        <v>53</v>
      </c>
      <c r="AS3680">
        <v>0</v>
      </c>
      <c r="AT3680">
        <v>0</v>
      </c>
      <c r="CC3680" t="s">
        <v>555</v>
      </c>
      <c r="CD3680">
        <v>85000</v>
      </c>
      <c r="CE3680" s="1">
        <v>42552</v>
      </c>
      <c r="CF3680" s="1">
        <v>42552</v>
      </c>
      <c r="CG3680" s="1">
        <v>42552</v>
      </c>
      <c r="CH3680" s="1">
        <v>49714</v>
      </c>
      <c r="CI3680" t="s">
        <v>51</v>
      </c>
      <c r="CK3680" t="s">
        <v>78</v>
      </c>
      <c r="CM3680" t="s">
        <v>54</v>
      </c>
      <c r="CN3680" t="s">
        <v>174</v>
      </c>
      <c r="CO3680" t="s">
        <v>86</v>
      </c>
      <c r="CR3680">
        <v>20</v>
      </c>
      <c r="CS3680">
        <v>0</v>
      </c>
      <c r="CT3680">
        <v>0</v>
      </c>
      <c r="CU3680">
        <v>0</v>
      </c>
    </row>
    <row r="3681" spans="1:99" x14ac:dyDescent="0.2">
      <c r="A3681" t="s">
        <v>367</v>
      </c>
      <c r="B3681" t="s">
        <v>368</v>
      </c>
      <c r="C3681" t="s">
        <v>369</v>
      </c>
      <c r="D3681" t="s">
        <v>1278</v>
      </c>
      <c r="F3681" t="str">
        <f>"157809"</f>
        <v>157809</v>
      </c>
      <c r="G3681" t="s">
        <v>49</v>
      </c>
      <c r="H3681" t="s">
        <v>1692</v>
      </c>
      <c r="K3681" t="s">
        <v>51</v>
      </c>
      <c r="L3681" t="s">
        <v>52</v>
      </c>
      <c r="M3681">
        <v>137462.98000000001</v>
      </c>
      <c r="N3681">
        <v>468458.98</v>
      </c>
      <c r="O3681" t="s">
        <v>53</v>
      </c>
      <c r="P3681" t="s">
        <v>54</v>
      </c>
      <c r="Q3681" t="s">
        <v>55</v>
      </c>
      <c r="T3681" t="s">
        <v>818</v>
      </c>
      <c r="U3681">
        <v>40</v>
      </c>
      <c r="V3681" s="1">
        <v>36901</v>
      </c>
      <c r="W3681" s="1">
        <v>36901</v>
      </c>
      <c r="X3681" s="1">
        <v>36901</v>
      </c>
      <c r="Y3681" s="1">
        <v>51511</v>
      </c>
      <c r="Z3681" t="s">
        <v>51</v>
      </c>
      <c r="AB3681" t="s">
        <v>54</v>
      </c>
      <c r="AC3681">
        <v>1</v>
      </c>
      <c r="AE3681" t="s">
        <v>825</v>
      </c>
      <c r="AF3681">
        <v>20</v>
      </c>
      <c r="AG3681" s="1">
        <v>36901</v>
      </c>
      <c r="AH3681" s="1">
        <v>36901</v>
      </c>
      <c r="AI3681" s="1">
        <v>36901</v>
      </c>
      <c r="AJ3681" s="1">
        <v>44206</v>
      </c>
      <c r="AK3681" t="s">
        <v>51</v>
      </c>
      <c r="AN3681">
        <v>0</v>
      </c>
      <c r="AO3681" t="s">
        <v>54</v>
      </c>
      <c r="AP3681" t="s">
        <v>53</v>
      </c>
      <c r="AQ3681">
        <v>0</v>
      </c>
      <c r="AR3681" t="s">
        <v>53</v>
      </c>
      <c r="AS3681">
        <v>0</v>
      </c>
      <c r="AT3681">
        <v>0</v>
      </c>
      <c r="CC3681" t="s">
        <v>555</v>
      </c>
      <c r="CD3681">
        <v>85000</v>
      </c>
      <c r="CE3681" s="1">
        <v>42552</v>
      </c>
      <c r="CF3681" s="1">
        <v>42552</v>
      </c>
      <c r="CG3681" s="1">
        <v>42552</v>
      </c>
      <c r="CH3681" s="1">
        <v>49714</v>
      </c>
      <c r="CI3681" t="s">
        <v>51</v>
      </c>
      <c r="CK3681" t="s">
        <v>78</v>
      </c>
      <c r="CM3681" t="s">
        <v>54</v>
      </c>
      <c r="CN3681" t="s">
        <v>174</v>
      </c>
      <c r="CO3681" t="s">
        <v>86</v>
      </c>
      <c r="CR3681">
        <v>20</v>
      </c>
      <c r="CS3681">
        <v>0</v>
      </c>
      <c r="CT3681">
        <v>0</v>
      </c>
      <c r="CU3681">
        <v>0</v>
      </c>
    </row>
    <row r="3682" spans="1:99" x14ac:dyDescent="0.2">
      <c r="A3682" t="s">
        <v>367</v>
      </c>
      <c r="B3682" t="s">
        <v>368</v>
      </c>
      <c r="C3682" t="s">
        <v>369</v>
      </c>
      <c r="D3682" t="s">
        <v>1278</v>
      </c>
      <c r="F3682" t="str">
        <f>"157810"</f>
        <v>157810</v>
      </c>
      <c r="G3682" t="s">
        <v>49</v>
      </c>
      <c r="H3682" t="s">
        <v>1693</v>
      </c>
      <c r="K3682" t="s">
        <v>51</v>
      </c>
      <c r="L3682" t="s">
        <v>52</v>
      </c>
      <c r="M3682">
        <v>137454.43</v>
      </c>
      <c r="N3682">
        <v>468445.29</v>
      </c>
      <c r="O3682" t="s">
        <v>53</v>
      </c>
      <c r="P3682" t="s">
        <v>54</v>
      </c>
      <c r="Q3682" t="s">
        <v>55</v>
      </c>
      <c r="T3682" t="s">
        <v>818</v>
      </c>
      <c r="U3682">
        <v>40</v>
      </c>
      <c r="V3682" s="1">
        <v>36901</v>
      </c>
      <c r="W3682" s="1">
        <v>36901</v>
      </c>
      <c r="X3682" s="1">
        <v>36901</v>
      </c>
      <c r="Y3682" s="1">
        <v>51511</v>
      </c>
      <c r="Z3682" t="s">
        <v>51</v>
      </c>
      <c r="AB3682" t="s">
        <v>54</v>
      </c>
      <c r="AC3682">
        <v>1</v>
      </c>
      <c r="AE3682" t="s">
        <v>825</v>
      </c>
      <c r="AF3682">
        <v>20</v>
      </c>
      <c r="AG3682" s="1">
        <v>36901</v>
      </c>
      <c r="AH3682" s="1">
        <v>36901</v>
      </c>
      <c r="AI3682" s="1">
        <v>36901</v>
      </c>
      <c r="AJ3682" s="1">
        <v>44206</v>
      </c>
      <c r="AK3682" t="s">
        <v>51</v>
      </c>
      <c r="AN3682">
        <v>0</v>
      </c>
      <c r="AO3682" t="s">
        <v>54</v>
      </c>
      <c r="AP3682" t="s">
        <v>53</v>
      </c>
      <c r="AQ3682">
        <v>0</v>
      </c>
      <c r="AR3682" t="s">
        <v>53</v>
      </c>
      <c r="AS3682">
        <v>0</v>
      </c>
      <c r="AT3682">
        <v>0</v>
      </c>
      <c r="CC3682" t="s">
        <v>555</v>
      </c>
      <c r="CD3682">
        <v>85000</v>
      </c>
      <c r="CE3682" s="1">
        <v>42552</v>
      </c>
      <c r="CF3682" s="1">
        <v>42552</v>
      </c>
      <c r="CG3682" s="1">
        <v>42552</v>
      </c>
      <c r="CH3682" s="1">
        <v>49714</v>
      </c>
      <c r="CI3682" t="s">
        <v>51</v>
      </c>
      <c r="CK3682" t="s">
        <v>78</v>
      </c>
      <c r="CM3682" t="s">
        <v>54</v>
      </c>
      <c r="CN3682" t="s">
        <v>174</v>
      </c>
      <c r="CO3682" t="s">
        <v>86</v>
      </c>
      <c r="CR3682">
        <v>20</v>
      </c>
      <c r="CS3682">
        <v>0</v>
      </c>
      <c r="CT3682">
        <v>0</v>
      </c>
      <c r="CU3682">
        <v>0</v>
      </c>
    </row>
    <row r="3683" spans="1:99" x14ac:dyDescent="0.2">
      <c r="A3683" t="s">
        <v>367</v>
      </c>
      <c r="B3683" t="s">
        <v>368</v>
      </c>
      <c r="C3683" t="s">
        <v>369</v>
      </c>
      <c r="D3683" t="s">
        <v>1278</v>
      </c>
      <c r="F3683" t="str">
        <f>"158133"</f>
        <v>158133</v>
      </c>
      <c r="G3683" t="s">
        <v>49</v>
      </c>
      <c r="H3683" t="s">
        <v>1694</v>
      </c>
      <c r="K3683" t="s">
        <v>51</v>
      </c>
      <c r="L3683" t="s">
        <v>52</v>
      </c>
      <c r="M3683">
        <v>138001.35</v>
      </c>
      <c r="N3683">
        <v>468596</v>
      </c>
      <c r="O3683" t="s">
        <v>53</v>
      </c>
      <c r="P3683" t="s">
        <v>54</v>
      </c>
      <c r="Q3683" t="s">
        <v>55</v>
      </c>
      <c r="T3683" t="s">
        <v>818</v>
      </c>
      <c r="U3683">
        <v>40</v>
      </c>
      <c r="V3683" s="1">
        <v>36901</v>
      </c>
      <c r="W3683" s="1">
        <v>36901</v>
      </c>
      <c r="X3683" s="1">
        <v>36901</v>
      </c>
      <c r="Y3683" s="1">
        <v>51511</v>
      </c>
      <c r="Z3683" t="s">
        <v>51</v>
      </c>
      <c r="AB3683" t="s">
        <v>54</v>
      </c>
      <c r="AC3683">
        <v>1</v>
      </c>
      <c r="AE3683" t="s">
        <v>825</v>
      </c>
      <c r="AF3683">
        <v>20</v>
      </c>
      <c r="AG3683" s="1">
        <v>36901</v>
      </c>
      <c r="AH3683" s="1">
        <v>36901</v>
      </c>
      <c r="AI3683" s="1">
        <v>36901</v>
      </c>
      <c r="AJ3683" s="1">
        <v>44206</v>
      </c>
      <c r="AK3683" t="s">
        <v>51</v>
      </c>
      <c r="AN3683">
        <v>0</v>
      </c>
      <c r="AO3683" t="s">
        <v>54</v>
      </c>
      <c r="AP3683" t="s">
        <v>53</v>
      </c>
      <c r="AQ3683">
        <v>0</v>
      </c>
      <c r="AR3683" t="s">
        <v>53</v>
      </c>
      <c r="AS3683">
        <v>0</v>
      </c>
      <c r="AT3683">
        <v>0</v>
      </c>
      <c r="CC3683" t="s">
        <v>555</v>
      </c>
      <c r="CD3683">
        <v>85000</v>
      </c>
      <c r="CE3683" s="1">
        <v>42552</v>
      </c>
      <c r="CF3683" s="1">
        <v>42552</v>
      </c>
      <c r="CG3683" s="1">
        <v>42552</v>
      </c>
      <c r="CH3683" s="1">
        <v>49714</v>
      </c>
      <c r="CI3683" t="s">
        <v>51</v>
      </c>
      <c r="CK3683" t="s">
        <v>78</v>
      </c>
      <c r="CM3683" t="s">
        <v>54</v>
      </c>
      <c r="CN3683" t="s">
        <v>174</v>
      </c>
      <c r="CO3683" t="s">
        <v>86</v>
      </c>
      <c r="CR3683">
        <v>20</v>
      </c>
      <c r="CS3683">
        <v>0</v>
      </c>
      <c r="CT3683">
        <v>0</v>
      </c>
      <c r="CU3683">
        <v>0</v>
      </c>
    </row>
    <row r="3684" spans="1:99" x14ac:dyDescent="0.2">
      <c r="A3684" t="s">
        <v>367</v>
      </c>
      <c r="B3684" t="s">
        <v>368</v>
      </c>
      <c r="C3684" t="s">
        <v>369</v>
      </c>
      <c r="D3684" t="s">
        <v>1278</v>
      </c>
      <c r="F3684" t="str">
        <f>"158134"</f>
        <v>158134</v>
      </c>
      <c r="G3684" t="s">
        <v>49</v>
      </c>
      <c r="H3684" t="s">
        <v>1695</v>
      </c>
      <c r="K3684" t="s">
        <v>51</v>
      </c>
      <c r="L3684" t="s">
        <v>52</v>
      </c>
      <c r="M3684">
        <v>137986.46</v>
      </c>
      <c r="N3684">
        <v>468584.4</v>
      </c>
      <c r="O3684" t="s">
        <v>53</v>
      </c>
      <c r="P3684" t="s">
        <v>54</v>
      </c>
      <c r="Q3684" t="s">
        <v>55</v>
      </c>
      <c r="T3684" t="s">
        <v>818</v>
      </c>
      <c r="U3684">
        <v>40</v>
      </c>
      <c r="V3684" s="1">
        <v>36901</v>
      </c>
      <c r="W3684" s="1">
        <v>36901</v>
      </c>
      <c r="X3684" s="1">
        <v>36901</v>
      </c>
      <c r="Y3684" s="1">
        <v>51511</v>
      </c>
      <c r="Z3684" t="s">
        <v>51</v>
      </c>
      <c r="AB3684" t="s">
        <v>54</v>
      </c>
      <c r="AC3684">
        <v>1</v>
      </c>
      <c r="AE3684" t="s">
        <v>825</v>
      </c>
      <c r="AF3684">
        <v>20</v>
      </c>
      <c r="AG3684" s="1">
        <v>36901</v>
      </c>
      <c r="AH3684" s="1">
        <v>36901</v>
      </c>
      <c r="AI3684" s="1">
        <v>36901</v>
      </c>
      <c r="AJ3684" s="1">
        <v>44206</v>
      </c>
      <c r="AK3684" t="s">
        <v>51</v>
      </c>
      <c r="AN3684">
        <v>0</v>
      </c>
      <c r="AO3684" t="s">
        <v>54</v>
      </c>
      <c r="AP3684" t="s">
        <v>53</v>
      </c>
      <c r="AQ3684">
        <v>0</v>
      </c>
      <c r="AR3684" t="s">
        <v>53</v>
      </c>
      <c r="AS3684">
        <v>0</v>
      </c>
      <c r="AT3684">
        <v>0</v>
      </c>
      <c r="CC3684" t="s">
        <v>555</v>
      </c>
      <c r="CD3684">
        <v>85000</v>
      </c>
      <c r="CE3684" s="1">
        <v>42552</v>
      </c>
      <c r="CF3684" s="1">
        <v>42552</v>
      </c>
      <c r="CG3684" s="1">
        <v>42552</v>
      </c>
      <c r="CH3684" s="1">
        <v>49714</v>
      </c>
      <c r="CI3684" t="s">
        <v>51</v>
      </c>
      <c r="CK3684" t="s">
        <v>78</v>
      </c>
      <c r="CM3684" t="s">
        <v>54</v>
      </c>
      <c r="CN3684" t="s">
        <v>174</v>
      </c>
      <c r="CO3684" t="s">
        <v>86</v>
      </c>
      <c r="CR3684">
        <v>20</v>
      </c>
      <c r="CS3684">
        <v>0</v>
      </c>
      <c r="CT3684">
        <v>0</v>
      </c>
      <c r="CU3684">
        <v>0</v>
      </c>
    </row>
    <row r="3685" spans="1:99" x14ac:dyDescent="0.2">
      <c r="A3685" t="s">
        <v>367</v>
      </c>
      <c r="B3685" t="s">
        <v>368</v>
      </c>
      <c r="C3685" t="s">
        <v>369</v>
      </c>
      <c r="D3685" t="s">
        <v>1278</v>
      </c>
      <c r="F3685" t="str">
        <f>"158135"</f>
        <v>158135</v>
      </c>
      <c r="G3685" t="s">
        <v>49</v>
      </c>
      <c r="H3685" t="s">
        <v>1696</v>
      </c>
      <c r="K3685" t="s">
        <v>51</v>
      </c>
      <c r="L3685" t="s">
        <v>52</v>
      </c>
      <c r="M3685">
        <v>137971.70000000001</v>
      </c>
      <c r="N3685">
        <v>468589.09</v>
      </c>
      <c r="O3685" t="s">
        <v>53</v>
      </c>
      <c r="P3685" t="s">
        <v>54</v>
      </c>
      <c r="Q3685" t="s">
        <v>55</v>
      </c>
      <c r="T3685" t="s">
        <v>818</v>
      </c>
      <c r="U3685">
        <v>40</v>
      </c>
      <c r="V3685" s="1">
        <v>36901</v>
      </c>
      <c r="W3685" s="1">
        <v>36901</v>
      </c>
      <c r="X3685" s="1">
        <v>36901</v>
      </c>
      <c r="Y3685" s="1">
        <v>51511</v>
      </c>
      <c r="Z3685" t="s">
        <v>51</v>
      </c>
      <c r="AB3685" t="s">
        <v>54</v>
      </c>
      <c r="AC3685">
        <v>1</v>
      </c>
      <c r="AE3685" t="s">
        <v>825</v>
      </c>
      <c r="AF3685">
        <v>20</v>
      </c>
      <c r="AG3685" s="1">
        <v>36901</v>
      </c>
      <c r="AH3685" s="1">
        <v>36901</v>
      </c>
      <c r="AI3685" s="1">
        <v>36901</v>
      </c>
      <c r="AJ3685" s="1">
        <v>44206</v>
      </c>
      <c r="AK3685" t="s">
        <v>51</v>
      </c>
      <c r="AN3685">
        <v>0</v>
      </c>
      <c r="AO3685" t="s">
        <v>54</v>
      </c>
      <c r="AP3685" t="s">
        <v>53</v>
      </c>
      <c r="AQ3685">
        <v>0</v>
      </c>
      <c r="AR3685" t="s">
        <v>53</v>
      </c>
      <c r="AS3685">
        <v>0</v>
      </c>
      <c r="AT3685">
        <v>0</v>
      </c>
      <c r="CC3685" t="s">
        <v>555</v>
      </c>
      <c r="CD3685">
        <v>85000</v>
      </c>
      <c r="CE3685" s="1">
        <v>42552</v>
      </c>
      <c r="CF3685" s="1">
        <v>42552</v>
      </c>
      <c r="CG3685" s="1">
        <v>42552</v>
      </c>
      <c r="CH3685" s="1">
        <v>49714</v>
      </c>
      <c r="CI3685" t="s">
        <v>51</v>
      </c>
      <c r="CK3685" t="s">
        <v>78</v>
      </c>
      <c r="CM3685" t="s">
        <v>54</v>
      </c>
      <c r="CN3685" t="s">
        <v>174</v>
      </c>
      <c r="CO3685" t="s">
        <v>86</v>
      </c>
      <c r="CR3685">
        <v>20</v>
      </c>
      <c r="CS3685">
        <v>0</v>
      </c>
      <c r="CT3685">
        <v>0</v>
      </c>
      <c r="CU3685">
        <v>0</v>
      </c>
    </row>
    <row r="3686" spans="1:99" x14ac:dyDescent="0.2">
      <c r="A3686" t="s">
        <v>367</v>
      </c>
      <c r="B3686" t="s">
        <v>368</v>
      </c>
      <c r="C3686" t="s">
        <v>369</v>
      </c>
      <c r="D3686" t="s">
        <v>1278</v>
      </c>
      <c r="F3686" t="str">
        <f>"158136"</f>
        <v>158136</v>
      </c>
      <c r="G3686" t="s">
        <v>49</v>
      </c>
      <c r="H3686" t="s">
        <v>1697</v>
      </c>
      <c r="K3686" t="s">
        <v>51</v>
      </c>
      <c r="L3686" t="s">
        <v>52</v>
      </c>
      <c r="M3686">
        <v>137958.82</v>
      </c>
      <c r="N3686">
        <v>468578.31</v>
      </c>
      <c r="O3686" t="s">
        <v>53</v>
      </c>
      <c r="P3686" t="s">
        <v>54</v>
      </c>
      <c r="Q3686" t="s">
        <v>55</v>
      </c>
      <c r="T3686" t="s">
        <v>818</v>
      </c>
      <c r="U3686">
        <v>40</v>
      </c>
      <c r="V3686" s="1">
        <v>36901</v>
      </c>
      <c r="W3686" s="1">
        <v>36901</v>
      </c>
      <c r="X3686" s="1">
        <v>36901</v>
      </c>
      <c r="Y3686" s="1">
        <v>51511</v>
      </c>
      <c r="Z3686" t="s">
        <v>51</v>
      </c>
      <c r="AB3686" t="s">
        <v>54</v>
      </c>
      <c r="AC3686">
        <v>1</v>
      </c>
      <c r="AE3686" t="s">
        <v>825</v>
      </c>
      <c r="AF3686">
        <v>20</v>
      </c>
      <c r="AG3686" s="1">
        <v>36901</v>
      </c>
      <c r="AH3686" s="1">
        <v>36901</v>
      </c>
      <c r="AI3686" s="1">
        <v>36901</v>
      </c>
      <c r="AJ3686" s="1">
        <v>44206</v>
      </c>
      <c r="AK3686" t="s">
        <v>51</v>
      </c>
      <c r="AN3686">
        <v>0</v>
      </c>
      <c r="AO3686" t="s">
        <v>54</v>
      </c>
      <c r="AP3686" t="s">
        <v>53</v>
      </c>
      <c r="AQ3686">
        <v>0</v>
      </c>
      <c r="AR3686" t="s">
        <v>53</v>
      </c>
      <c r="AS3686">
        <v>0</v>
      </c>
      <c r="AT3686">
        <v>0</v>
      </c>
      <c r="CC3686" t="s">
        <v>555</v>
      </c>
      <c r="CD3686">
        <v>85000</v>
      </c>
      <c r="CE3686" s="1">
        <v>42552</v>
      </c>
      <c r="CF3686" s="1">
        <v>42552</v>
      </c>
      <c r="CG3686" s="1">
        <v>42552</v>
      </c>
      <c r="CH3686" s="1">
        <v>49714</v>
      </c>
      <c r="CI3686" t="s">
        <v>51</v>
      </c>
      <c r="CK3686" t="s">
        <v>78</v>
      </c>
      <c r="CM3686" t="s">
        <v>54</v>
      </c>
      <c r="CN3686" t="s">
        <v>174</v>
      </c>
      <c r="CO3686" t="s">
        <v>86</v>
      </c>
      <c r="CR3686">
        <v>20</v>
      </c>
      <c r="CS3686">
        <v>0</v>
      </c>
      <c r="CT3686">
        <v>0</v>
      </c>
      <c r="CU3686">
        <v>0</v>
      </c>
    </row>
    <row r="3687" spans="1:99" x14ac:dyDescent="0.2">
      <c r="A3687" t="s">
        <v>367</v>
      </c>
      <c r="B3687" t="s">
        <v>368</v>
      </c>
      <c r="C3687" t="s">
        <v>369</v>
      </c>
      <c r="D3687" t="s">
        <v>1278</v>
      </c>
      <c r="F3687" t="str">
        <f>"158137"</f>
        <v>158137</v>
      </c>
      <c r="G3687" t="s">
        <v>49</v>
      </c>
      <c r="H3687" t="s">
        <v>1698</v>
      </c>
      <c r="K3687" t="s">
        <v>51</v>
      </c>
      <c r="L3687" t="s">
        <v>52</v>
      </c>
      <c r="M3687">
        <v>137935.54</v>
      </c>
      <c r="N3687">
        <v>468580.32</v>
      </c>
      <c r="O3687" t="s">
        <v>53</v>
      </c>
      <c r="P3687" t="s">
        <v>54</v>
      </c>
      <c r="Q3687" t="s">
        <v>55</v>
      </c>
      <c r="T3687" t="s">
        <v>818</v>
      </c>
      <c r="U3687">
        <v>40</v>
      </c>
      <c r="V3687" s="1">
        <v>36901</v>
      </c>
      <c r="W3687" s="1">
        <v>36901</v>
      </c>
      <c r="X3687" s="1">
        <v>36901</v>
      </c>
      <c r="Y3687" s="1">
        <v>51511</v>
      </c>
      <c r="Z3687" t="s">
        <v>51</v>
      </c>
      <c r="AB3687" t="s">
        <v>54</v>
      </c>
      <c r="AC3687">
        <v>1</v>
      </c>
      <c r="AE3687" t="s">
        <v>825</v>
      </c>
      <c r="AF3687">
        <v>20</v>
      </c>
      <c r="AG3687" s="1">
        <v>36901</v>
      </c>
      <c r="AH3687" s="1">
        <v>36901</v>
      </c>
      <c r="AI3687" s="1">
        <v>36901</v>
      </c>
      <c r="AJ3687" s="1">
        <v>44206</v>
      </c>
      <c r="AK3687" t="s">
        <v>51</v>
      </c>
      <c r="AN3687">
        <v>0</v>
      </c>
      <c r="AO3687" t="s">
        <v>54</v>
      </c>
      <c r="AP3687" t="s">
        <v>53</v>
      </c>
      <c r="AQ3687">
        <v>0</v>
      </c>
      <c r="AR3687" t="s">
        <v>53</v>
      </c>
      <c r="AS3687">
        <v>0</v>
      </c>
      <c r="AT3687">
        <v>0</v>
      </c>
      <c r="CC3687" t="s">
        <v>555</v>
      </c>
      <c r="CD3687">
        <v>85000</v>
      </c>
      <c r="CE3687" s="1">
        <v>42552</v>
      </c>
      <c r="CF3687" s="1">
        <v>42552</v>
      </c>
      <c r="CG3687" s="1">
        <v>42552</v>
      </c>
      <c r="CH3687" s="1">
        <v>49714</v>
      </c>
      <c r="CI3687" t="s">
        <v>51</v>
      </c>
      <c r="CK3687" t="s">
        <v>78</v>
      </c>
      <c r="CM3687" t="s">
        <v>54</v>
      </c>
      <c r="CN3687" t="s">
        <v>174</v>
      </c>
      <c r="CO3687" t="s">
        <v>86</v>
      </c>
      <c r="CR3687">
        <v>20</v>
      </c>
      <c r="CS3687">
        <v>0</v>
      </c>
      <c r="CT3687">
        <v>0</v>
      </c>
      <c r="CU3687">
        <v>0</v>
      </c>
    </row>
    <row r="3688" spans="1:99" x14ac:dyDescent="0.2">
      <c r="A3688" t="s">
        <v>367</v>
      </c>
      <c r="B3688" t="s">
        <v>368</v>
      </c>
      <c r="C3688" t="s">
        <v>369</v>
      </c>
      <c r="D3688" t="s">
        <v>1278</v>
      </c>
      <c r="F3688" t="str">
        <f>"158138"</f>
        <v>158138</v>
      </c>
      <c r="G3688" t="s">
        <v>49</v>
      </c>
      <c r="H3688" t="s">
        <v>1699</v>
      </c>
      <c r="K3688" t="s">
        <v>51</v>
      </c>
      <c r="L3688" t="s">
        <v>52</v>
      </c>
      <c r="M3688">
        <v>137921.85999999999</v>
      </c>
      <c r="N3688">
        <v>468569.49</v>
      </c>
      <c r="O3688" t="s">
        <v>53</v>
      </c>
      <c r="P3688" t="s">
        <v>54</v>
      </c>
      <c r="Q3688" t="s">
        <v>55</v>
      </c>
      <c r="T3688" t="s">
        <v>818</v>
      </c>
      <c r="U3688">
        <v>40</v>
      </c>
      <c r="V3688" s="1">
        <v>36901</v>
      </c>
      <c r="W3688" s="1">
        <v>36901</v>
      </c>
      <c r="X3688" s="1">
        <v>36901</v>
      </c>
      <c r="Y3688" s="1">
        <v>51511</v>
      </c>
      <c r="Z3688" t="s">
        <v>51</v>
      </c>
      <c r="AB3688" t="s">
        <v>54</v>
      </c>
      <c r="AC3688">
        <v>1</v>
      </c>
      <c r="AE3688" t="s">
        <v>552</v>
      </c>
      <c r="AF3688">
        <v>20</v>
      </c>
      <c r="AG3688" s="1">
        <v>43794</v>
      </c>
      <c r="AH3688" s="1">
        <v>43794</v>
      </c>
      <c r="AI3688" s="1">
        <v>43794</v>
      </c>
      <c r="AJ3688" s="1">
        <v>51099</v>
      </c>
      <c r="AK3688" t="s">
        <v>51</v>
      </c>
      <c r="AN3688">
        <v>0</v>
      </c>
      <c r="AO3688" t="s">
        <v>54</v>
      </c>
      <c r="AP3688" t="s">
        <v>53</v>
      </c>
      <c r="AQ3688">
        <v>0</v>
      </c>
      <c r="AR3688" t="s">
        <v>145</v>
      </c>
      <c r="AS3688">
        <v>0</v>
      </c>
      <c r="AT3688">
        <v>0</v>
      </c>
      <c r="CC3688" t="s">
        <v>555</v>
      </c>
      <c r="CD3688">
        <v>85000</v>
      </c>
      <c r="CE3688" s="1">
        <v>42552</v>
      </c>
      <c r="CF3688" s="1">
        <v>42552</v>
      </c>
      <c r="CG3688" s="1">
        <v>43794</v>
      </c>
      <c r="CH3688" s="1">
        <v>49714</v>
      </c>
      <c r="CI3688" t="s">
        <v>51</v>
      </c>
      <c r="CK3688" t="s">
        <v>78</v>
      </c>
      <c r="CM3688" t="s">
        <v>54</v>
      </c>
      <c r="CN3688" t="s">
        <v>174</v>
      </c>
      <c r="CO3688" t="s">
        <v>86</v>
      </c>
      <c r="CR3688">
        <v>20</v>
      </c>
      <c r="CS3688">
        <v>0</v>
      </c>
      <c r="CT3688">
        <v>0</v>
      </c>
      <c r="CU3688">
        <v>0</v>
      </c>
    </row>
    <row r="3689" spans="1:99" x14ac:dyDescent="0.2">
      <c r="A3689" t="s">
        <v>367</v>
      </c>
      <c r="B3689" t="s">
        <v>368</v>
      </c>
      <c r="C3689" t="s">
        <v>369</v>
      </c>
      <c r="D3689" t="s">
        <v>1278</v>
      </c>
      <c r="F3689" t="str">
        <f>"158139"</f>
        <v>158139</v>
      </c>
      <c r="G3689" t="s">
        <v>49</v>
      </c>
      <c r="H3689" t="s">
        <v>1700</v>
      </c>
      <c r="K3689" t="s">
        <v>51</v>
      </c>
      <c r="L3689" t="s">
        <v>52</v>
      </c>
      <c r="M3689">
        <v>137909.66</v>
      </c>
      <c r="N3689">
        <v>468574.23</v>
      </c>
      <c r="O3689" t="s">
        <v>53</v>
      </c>
      <c r="P3689" t="s">
        <v>54</v>
      </c>
      <c r="Q3689" t="s">
        <v>55</v>
      </c>
      <c r="T3689" t="s">
        <v>818</v>
      </c>
      <c r="U3689">
        <v>40</v>
      </c>
      <c r="V3689" s="1">
        <v>36901</v>
      </c>
      <c r="W3689" s="1">
        <v>36901</v>
      </c>
      <c r="X3689" s="1">
        <v>36901</v>
      </c>
      <c r="Y3689" s="1">
        <v>51511</v>
      </c>
      <c r="Z3689" t="s">
        <v>51</v>
      </c>
      <c r="AB3689" t="s">
        <v>54</v>
      </c>
      <c r="AC3689">
        <v>1</v>
      </c>
      <c r="AE3689" t="s">
        <v>825</v>
      </c>
      <c r="AF3689">
        <v>20</v>
      </c>
      <c r="AG3689" s="1">
        <v>36901</v>
      </c>
      <c r="AH3689" s="1">
        <v>36901</v>
      </c>
      <c r="AI3689" s="1">
        <v>36901</v>
      </c>
      <c r="AJ3689" s="1">
        <v>44206</v>
      </c>
      <c r="AK3689" t="s">
        <v>51</v>
      </c>
      <c r="AN3689">
        <v>0</v>
      </c>
      <c r="AO3689" t="s">
        <v>54</v>
      </c>
      <c r="AP3689" t="s">
        <v>53</v>
      </c>
      <c r="AQ3689">
        <v>0</v>
      </c>
      <c r="AR3689" t="s">
        <v>53</v>
      </c>
      <c r="AS3689">
        <v>0</v>
      </c>
      <c r="AT3689">
        <v>0</v>
      </c>
      <c r="CC3689" t="s">
        <v>555</v>
      </c>
      <c r="CD3689">
        <v>85000</v>
      </c>
      <c r="CE3689" s="1">
        <v>42552</v>
      </c>
      <c r="CF3689" s="1">
        <v>42552</v>
      </c>
      <c r="CG3689" s="1">
        <v>42552</v>
      </c>
      <c r="CH3689" s="1">
        <v>49714</v>
      </c>
      <c r="CI3689" t="s">
        <v>51</v>
      </c>
      <c r="CK3689" t="s">
        <v>78</v>
      </c>
      <c r="CM3689" t="s">
        <v>54</v>
      </c>
      <c r="CN3689" t="s">
        <v>174</v>
      </c>
      <c r="CO3689" t="s">
        <v>86</v>
      </c>
      <c r="CR3689">
        <v>20</v>
      </c>
      <c r="CS3689">
        <v>0</v>
      </c>
      <c r="CT3689">
        <v>0</v>
      </c>
      <c r="CU3689">
        <v>0</v>
      </c>
    </row>
    <row r="3690" spans="1:99" x14ac:dyDescent="0.2">
      <c r="A3690" t="s">
        <v>367</v>
      </c>
      <c r="B3690" t="s">
        <v>368</v>
      </c>
      <c r="C3690" t="s">
        <v>369</v>
      </c>
      <c r="D3690" t="s">
        <v>1278</v>
      </c>
      <c r="F3690" t="str">
        <f>"158140"</f>
        <v>158140</v>
      </c>
      <c r="G3690" t="s">
        <v>49</v>
      </c>
      <c r="H3690" t="s">
        <v>1701</v>
      </c>
      <c r="K3690" t="s">
        <v>51</v>
      </c>
      <c r="L3690" t="s">
        <v>52</v>
      </c>
      <c r="M3690">
        <v>137894.64000000001</v>
      </c>
      <c r="N3690">
        <v>468561.28</v>
      </c>
      <c r="O3690" t="s">
        <v>53</v>
      </c>
      <c r="P3690" t="s">
        <v>54</v>
      </c>
      <c r="Q3690" t="s">
        <v>55</v>
      </c>
      <c r="T3690" t="s">
        <v>818</v>
      </c>
      <c r="U3690">
        <v>40</v>
      </c>
      <c r="V3690" s="1">
        <v>36901</v>
      </c>
      <c r="W3690" s="1">
        <v>36901</v>
      </c>
      <c r="X3690" s="1">
        <v>36901</v>
      </c>
      <c r="Y3690" s="1">
        <v>51511</v>
      </c>
      <c r="Z3690" t="s">
        <v>51</v>
      </c>
      <c r="AB3690" t="s">
        <v>54</v>
      </c>
      <c r="AC3690">
        <v>1</v>
      </c>
      <c r="AE3690" t="s">
        <v>825</v>
      </c>
      <c r="AF3690">
        <v>20</v>
      </c>
      <c r="AG3690" s="1">
        <v>36901</v>
      </c>
      <c r="AH3690" s="1">
        <v>36901</v>
      </c>
      <c r="AI3690" s="1">
        <v>36901</v>
      </c>
      <c r="AJ3690" s="1">
        <v>44206</v>
      </c>
      <c r="AK3690" t="s">
        <v>51</v>
      </c>
      <c r="AN3690">
        <v>0</v>
      </c>
      <c r="AO3690" t="s">
        <v>54</v>
      </c>
      <c r="AP3690" t="s">
        <v>53</v>
      </c>
      <c r="AQ3690">
        <v>0</v>
      </c>
      <c r="AR3690" t="s">
        <v>53</v>
      </c>
      <c r="AS3690">
        <v>0</v>
      </c>
      <c r="AT3690">
        <v>0</v>
      </c>
      <c r="CC3690" t="s">
        <v>555</v>
      </c>
      <c r="CD3690">
        <v>85000</v>
      </c>
      <c r="CE3690" s="1">
        <v>42552</v>
      </c>
      <c r="CF3690" s="1">
        <v>42552</v>
      </c>
      <c r="CG3690" s="1">
        <v>42552</v>
      </c>
      <c r="CH3690" s="1">
        <v>49714</v>
      </c>
      <c r="CI3690" t="s">
        <v>51</v>
      </c>
      <c r="CK3690" t="s">
        <v>78</v>
      </c>
      <c r="CM3690" t="s">
        <v>54</v>
      </c>
      <c r="CN3690" t="s">
        <v>174</v>
      </c>
      <c r="CO3690" t="s">
        <v>86</v>
      </c>
      <c r="CR3690">
        <v>20</v>
      </c>
      <c r="CS3690">
        <v>0</v>
      </c>
      <c r="CT3690">
        <v>0</v>
      </c>
      <c r="CU3690">
        <v>0</v>
      </c>
    </row>
    <row r="3691" spans="1:99" x14ac:dyDescent="0.2">
      <c r="A3691" t="s">
        <v>367</v>
      </c>
      <c r="B3691" t="s">
        <v>368</v>
      </c>
      <c r="C3691" t="s">
        <v>369</v>
      </c>
      <c r="D3691" t="s">
        <v>1278</v>
      </c>
      <c r="F3691" t="str">
        <f>"158141"</f>
        <v>158141</v>
      </c>
      <c r="G3691" t="s">
        <v>49</v>
      </c>
      <c r="H3691" t="s">
        <v>1702</v>
      </c>
      <c r="K3691" t="s">
        <v>51</v>
      </c>
      <c r="L3691" t="s">
        <v>52</v>
      </c>
      <c r="M3691">
        <v>137875.91</v>
      </c>
      <c r="N3691">
        <v>468566.54</v>
      </c>
      <c r="O3691" t="s">
        <v>53</v>
      </c>
      <c r="P3691" t="s">
        <v>54</v>
      </c>
      <c r="Q3691" t="s">
        <v>55</v>
      </c>
      <c r="T3691" t="s">
        <v>818</v>
      </c>
      <c r="U3691">
        <v>40</v>
      </c>
      <c r="V3691" s="1">
        <v>36901</v>
      </c>
      <c r="W3691" s="1">
        <v>36901</v>
      </c>
      <c r="X3691" s="1">
        <v>36901</v>
      </c>
      <c r="Y3691" s="1">
        <v>51511</v>
      </c>
      <c r="Z3691" t="s">
        <v>51</v>
      </c>
      <c r="AB3691" t="s">
        <v>54</v>
      </c>
      <c r="AC3691">
        <v>1</v>
      </c>
      <c r="AE3691" t="s">
        <v>825</v>
      </c>
      <c r="AF3691">
        <v>20</v>
      </c>
      <c r="AG3691" s="1">
        <v>36901</v>
      </c>
      <c r="AH3691" s="1">
        <v>36901</v>
      </c>
      <c r="AI3691" s="1">
        <v>36901</v>
      </c>
      <c r="AJ3691" s="1">
        <v>44206</v>
      </c>
      <c r="AK3691" t="s">
        <v>51</v>
      </c>
      <c r="AN3691">
        <v>0</v>
      </c>
      <c r="AO3691" t="s">
        <v>54</v>
      </c>
      <c r="AP3691" t="s">
        <v>53</v>
      </c>
      <c r="AQ3691">
        <v>0</v>
      </c>
      <c r="AR3691" t="s">
        <v>53</v>
      </c>
      <c r="AS3691">
        <v>0</v>
      </c>
      <c r="AT3691">
        <v>0</v>
      </c>
      <c r="CC3691" t="s">
        <v>555</v>
      </c>
      <c r="CD3691">
        <v>85000</v>
      </c>
      <c r="CE3691" s="1">
        <v>42552</v>
      </c>
      <c r="CF3691" s="1">
        <v>42552</v>
      </c>
      <c r="CG3691" s="1">
        <v>42552</v>
      </c>
      <c r="CH3691" s="1">
        <v>49714</v>
      </c>
      <c r="CI3691" t="s">
        <v>51</v>
      </c>
      <c r="CK3691" t="s">
        <v>78</v>
      </c>
      <c r="CM3691" t="s">
        <v>54</v>
      </c>
      <c r="CN3691" t="s">
        <v>174</v>
      </c>
      <c r="CO3691" t="s">
        <v>86</v>
      </c>
      <c r="CR3691">
        <v>20</v>
      </c>
      <c r="CS3691">
        <v>0</v>
      </c>
      <c r="CT3691">
        <v>0</v>
      </c>
      <c r="CU3691">
        <v>0</v>
      </c>
    </row>
    <row r="3692" spans="1:99" x14ac:dyDescent="0.2">
      <c r="A3692" t="s">
        <v>367</v>
      </c>
      <c r="B3692" t="s">
        <v>368</v>
      </c>
      <c r="C3692" t="s">
        <v>369</v>
      </c>
      <c r="D3692" t="s">
        <v>1278</v>
      </c>
      <c r="F3692" t="str">
        <f>"158142"</f>
        <v>158142</v>
      </c>
      <c r="G3692" t="s">
        <v>49</v>
      </c>
      <c r="H3692" t="s">
        <v>1703</v>
      </c>
      <c r="K3692" t="s">
        <v>51</v>
      </c>
      <c r="L3692" t="s">
        <v>52</v>
      </c>
      <c r="M3692">
        <v>137866.28</v>
      </c>
      <c r="N3692">
        <v>468556.61</v>
      </c>
      <c r="O3692" t="s">
        <v>53</v>
      </c>
      <c r="P3692" t="s">
        <v>54</v>
      </c>
      <c r="Q3692" t="s">
        <v>55</v>
      </c>
      <c r="T3692" t="s">
        <v>818</v>
      </c>
      <c r="U3692">
        <v>40</v>
      </c>
      <c r="V3692" s="1">
        <v>36901</v>
      </c>
      <c r="W3692" s="1">
        <v>36901</v>
      </c>
      <c r="X3692" s="1">
        <v>36901</v>
      </c>
      <c r="Y3692" s="1">
        <v>51511</v>
      </c>
      <c r="Z3692" t="s">
        <v>51</v>
      </c>
      <c r="AB3692" t="s">
        <v>54</v>
      </c>
      <c r="AC3692">
        <v>1</v>
      </c>
      <c r="AE3692" t="s">
        <v>825</v>
      </c>
      <c r="AF3692">
        <v>20</v>
      </c>
      <c r="AG3692" s="1">
        <v>40253</v>
      </c>
      <c r="AH3692" s="1">
        <v>40253</v>
      </c>
      <c r="AI3692" s="1">
        <v>40253</v>
      </c>
      <c r="AJ3692" s="1">
        <v>47558</v>
      </c>
      <c r="AK3692" t="s">
        <v>51</v>
      </c>
      <c r="AN3692">
        <v>0</v>
      </c>
      <c r="AO3692" t="s">
        <v>54</v>
      </c>
      <c r="AP3692" t="s">
        <v>53</v>
      </c>
      <c r="AQ3692">
        <v>0</v>
      </c>
      <c r="AR3692" t="s">
        <v>53</v>
      </c>
      <c r="AS3692">
        <v>0</v>
      </c>
      <c r="AT3692">
        <v>0</v>
      </c>
      <c r="CC3692" t="s">
        <v>555</v>
      </c>
      <c r="CD3692">
        <v>85000</v>
      </c>
      <c r="CE3692" s="1">
        <v>42552</v>
      </c>
      <c r="CF3692" s="1">
        <v>42552</v>
      </c>
      <c r="CG3692" s="1">
        <v>42552</v>
      </c>
      <c r="CH3692" s="1">
        <v>49714</v>
      </c>
      <c r="CI3692" t="s">
        <v>51</v>
      </c>
      <c r="CK3692" t="s">
        <v>78</v>
      </c>
      <c r="CM3692" t="s">
        <v>54</v>
      </c>
      <c r="CN3692" t="s">
        <v>174</v>
      </c>
      <c r="CO3692" t="s">
        <v>86</v>
      </c>
      <c r="CR3692">
        <v>20</v>
      </c>
      <c r="CS3692">
        <v>0</v>
      </c>
      <c r="CT3692">
        <v>0</v>
      </c>
      <c r="CU3692">
        <v>0</v>
      </c>
    </row>
    <row r="3693" spans="1:99" x14ac:dyDescent="0.2">
      <c r="A3693" t="s">
        <v>367</v>
      </c>
      <c r="B3693" t="s">
        <v>368</v>
      </c>
      <c r="C3693" t="s">
        <v>369</v>
      </c>
      <c r="D3693" t="s">
        <v>1278</v>
      </c>
      <c r="F3693" t="str">
        <f>"158143"</f>
        <v>158143</v>
      </c>
      <c r="G3693" t="s">
        <v>49</v>
      </c>
      <c r="H3693" t="s">
        <v>1704</v>
      </c>
      <c r="K3693" t="s">
        <v>51</v>
      </c>
      <c r="L3693" t="s">
        <v>52</v>
      </c>
      <c r="M3693">
        <v>137846.07999999999</v>
      </c>
      <c r="N3693">
        <v>468559.41</v>
      </c>
      <c r="O3693" t="s">
        <v>53</v>
      </c>
      <c r="P3693" t="s">
        <v>54</v>
      </c>
      <c r="Q3693" t="s">
        <v>55</v>
      </c>
      <c r="T3693" t="s">
        <v>818</v>
      </c>
      <c r="U3693">
        <v>40</v>
      </c>
      <c r="V3693" s="1">
        <v>36901</v>
      </c>
      <c r="W3693" s="1">
        <v>36901</v>
      </c>
      <c r="X3693" s="1">
        <v>36901</v>
      </c>
      <c r="Y3693" s="1">
        <v>51511</v>
      </c>
      <c r="Z3693" t="s">
        <v>51</v>
      </c>
      <c r="AB3693" t="s">
        <v>54</v>
      </c>
      <c r="AC3693">
        <v>1</v>
      </c>
      <c r="AE3693" t="s">
        <v>552</v>
      </c>
      <c r="AF3693">
        <v>20</v>
      </c>
      <c r="AG3693" s="1">
        <v>43892</v>
      </c>
      <c r="AH3693" s="1">
        <v>43892</v>
      </c>
      <c r="AI3693" s="1">
        <v>43892</v>
      </c>
      <c r="AJ3693" s="1">
        <v>51197</v>
      </c>
      <c r="AK3693" t="s">
        <v>51</v>
      </c>
      <c r="AN3693">
        <v>0</v>
      </c>
      <c r="AO3693" t="s">
        <v>54</v>
      </c>
      <c r="AP3693" t="s">
        <v>53</v>
      </c>
      <c r="AQ3693">
        <v>0</v>
      </c>
      <c r="AR3693" t="s">
        <v>145</v>
      </c>
      <c r="AS3693">
        <v>0</v>
      </c>
      <c r="AT3693">
        <v>0</v>
      </c>
      <c r="CC3693" t="s">
        <v>555</v>
      </c>
      <c r="CD3693">
        <v>85000</v>
      </c>
      <c r="CE3693" s="1">
        <v>43186</v>
      </c>
      <c r="CF3693" s="1">
        <v>43186</v>
      </c>
      <c r="CG3693" s="1">
        <v>43892</v>
      </c>
      <c r="CH3693" s="1">
        <v>50393</v>
      </c>
      <c r="CI3693" t="s">
        <v>51</v>
      </c>
      <c r="CK3693" t="s">
        <v>78</v>
      </c>
      <c r="CM3693" t="s">
        <v>54</v>
      </c>
      <c r="CN3693" t="s">
        <v>174</v>
      </c>
      <c r="CO3693" t="s">
        <v>86</v>
      </c>
      <c r="CR3693">
        <v>20</v>
      </c>
      <c r="CS3693">
        <v>0</v>
      </c>
      <c r="CT3693">
        <v>0</v>
      </c>
      <c r="CU3693">
        <v>0</v>
      </c>
    </row>
    <row r="3694" spans="1:99" x14ac:dyDescent="0.2">
      <c r="A3694" t="s">
        <v>367</v>
      </c>
      <c r="B3694" t="s">
        <v>368</v>
      </c>
      <c r="C3694" t="s">
        <v>369</v>
      </c>
      <c r="D3694" t="s">
        <v>1340</v>
      </c>
      <c r="F3694" t="str">
        <f>"159150"</f>
        <v>159150</v>
      </c>
      <c r="G3694" t="s">
        <v>49</v>
      </c>
      <c r="H3694" t="s">
        <v>1313</v>
      </c>
      <c r="K3694" t="s">
        <v>51</v>
      </c>
      <c r="L3694" t="s">
        <v>52</v>
      </c>
      <c r="M3694">
        <v>137793.60999999999</v>
      </c>
      <c r="N3694">
        <v>467491.65</v>
      </c>
      <c r="O3694" t="s">
        <v>53</v>
      </c>
      <c r="P3694" t="s">
        <v>54</v>
      </c>
      <c r="Q3694" t="s">
        <v>55</v>
      </c>
      <c r="T3694" t="s">
        <v>818</v>
      </c>
      <c r="U3694">
        <v>40</v>
      </c>
      <c r="V3694" s="1">
        <v>36810</v>
      </c>
      <c r="W3694" s="1">
        <v>36810</v>
      </c>
      <c r="X3694" s="1">
        <v>36810</v>
      </c>
      <c r="Y3694" s="1">
        <v>51420</v>
      </c>
      <c r="Z3694" t="s">
        <v>51</v>
      </c>
      <c r="AB3694" t="s">
        <v>54</v>
      </c>
      <c r="AC3694">
        <v>1</v>
      </c>
      <c r="AE3694" t="s">
        <v>825</v>
      </c>
      <c r="AF3694">
        <v>20</v>
      </c>
      <c r="AG3694" s="1">
        <v>36810</v>
      </c>
      <c r="AH3694" s="1">
        <v>36810</v>
      </c>
      <c r="AI3694" s="1">
        <v>36810</v>
      </c>
      <c r="AJ3694" s="1">
        <v>44115</v>
      </c>
      <c r="AK3694" t="s">
        <v>51</v>
      </c>
      <c r="AN3694">
        <v>0</v>
      </c>
      <c r="AO3694" t="s">
        <v>54</v>
      </c>
      <c r="AP3694" t="s">
        <v>53</v>
      </c>
      <c r="AQ3694">
        <v>0</v>
      </c>
      <c r="AR3694" t="s">
        <v>53</v>
      </c>
      <c r="AS3694">
        <v>0</v>
      </c>
      <c r="AT3694">
        <v>0</v>
      </c>
      <c r="CC3694" t="s">
        <v>555</v>
      </c>
      <c r="CD3694">
        <v>85000</v>
      </c>
      <c r="CE3694" s="1">
        <v>42552</v>
      </c>
      <c r="CF3694" s="1">
        <v>42552</v>
      </c>
      <c r="CG3694" s="1">
        <v>42552</v>
      </c>
      <c r="CH3694" s="1">
        <v>49714</v>
      </c>
      <c r="CI3694" t="s">
        <v>51</v>
      </c>
      <c r="CK3694" t="s">
        <v>78</v>
      </c>
      <c r="CM3694" t="s">
        <v>54</v>
      </c>
      <c r="CN3694" t="s">
        <v>174</v>
      </c>
      <c r="CO3694" t="s">
        <v>86</v>
      </c>
      <c r="CR3694">
        <v>20</v>
      </c>
      <c r="CS3694">
        <v>0</v>
      </c>
      <c r="CT3694">
        <v>0</v>
      </c>
      <c r="CU3694">
        <v>0</v>
      </c>
    </row>
    <row r="3695" spans="1:99" x14ac:dyDescent="0.2">
      <c r="A3695" t="s">
        <v>367</v>
      </c>
      <c r="B3695" t="s">
        <v>368</v>
      </c>
      <c r="C3695" t="s">
        <v>369</v>
      </c>
      <c r="D3695" t="s">
        <v>1340</v>
      </c>
      <c r="F3695" t="str">
        <f>"159151"</f>
        <v>159151</v>
      </c>
      <c r="G3695" t="s">
        <v>49</v>
      </c>
      <c r="H3695" t="s">
        <v>1228</v>
      </c>
      <c r="K3695" t="s">
        <v>51</v>
      </c>
      <c r="L3695" t="s">
        <v>52</v>
      </c>
      <c r="M3695">
        <v>137772.01</v>
      </c>
      <c r="N3695">
        <v>467495.83</v>
      </c>
      <c r="O3695" t="s">
        <v>53</v>
      </c>
      <c r="P3695" t="s">
        <v>54</v>
      </c>
      <c r="Q3695" t="s">
        <v>55</v>
      </c>
      <c r="T3695" t="s">
        <v>818</v>
      </c>
      <c r="U3695">
        <v>40</v>
      </c>
      <c r="V3695" s="1">
        <v>36810</v>
      </c>
      <c r="W3695" s="1">
        <v>36810</v>
      </c>
      <c r="X3695" s="1">
        <v>36810</v>
      </c>
      <c r="Y3695" s="1">
        <v>51420</v>
      </c>
      <c r="Z3695" t="s">
        <v>51</v>
      </c>
      <c r="AB3695" t="s">
        <v>54</v>
      </c>
      <c r="AC3695">
        <v>1</v>
      </c>
      <c r="AE3695" t="s">
        <v>825</v>
      </c>
      <c r="AF3695">
        <v>20</v>
      </c>
      <c r="AG3695" s="1">
        <v>36810</v>
      </c>
      <c r="AH3695" s="1">
        <v>36810</v>
      </c>
      <c r="AI3695" s="1">
        <v>36810</v>
      </c>
      <c r="AJ3695" s="1">
        <v>44115</v>
      </c>
      <c r="AK3695" t="s">
        <v>51</v>
      </c>
      <c r="AN3695">
        <v>0</v>
      </c>
      <c r="AO3695" t="s">
        <v>54</v>
      </c>
      <c r="AP3695" t="s">
        <v>53</v>
      </c>
      <c r="AQ3695">
        <v>0</v>
      </c>
      <c r="AR3695" t="s">
        <v>53</v>
      </c>
      <c r="AS3695">
        <v>0</v>
      </c>
      <c r="AT3695">
        <v>0</v>
      </c>
      <c r="CC3695" t="s">
        <v>555</v>
      </c>
      <c r="CD3695">
        <v>85000</v>
      </c>
      <c r="CE3695" s="1">
        <v>42552</v>
      </c>
      <c r="CF3695" s="1">
        <v>42552</v>
      </c>
      <c r="CG3695" s="1">
        <v>42552</v>
      </c>
      <c r="CH3695" s="1">
        <v>49714</v>
      </c>
      <c r="CI3695" t="s">
        <v>51</v>
      </c>
      <c r="CK3695" t="s">
        <v>78</v>
      </c>
      <c r="CM3695" t="s">
        <v>54</v>
      </c>
      <c r="CN3695" t="s">
        <v>174</v>
      </c>
      <c r="CO3695" t="s">
        <v>86</v>
      </c>
      <c r="CR3695">
        <v>20</v>
      </c>
      <c r="CS3695">
        <v>0</v>
      </c>
      <c r="CT3695">
        <v>0</v>
      </c>
      <c r="CU3695">
        <v>0</v>
      </c>
    </row>
    <row r="3696" spans="1:99" x14ac:dyDescent="0.2">
      <c r="A3696" t="s">
        <v>367</v>
      </c>
      <c r="B3696" t="s">
        <v>368</v>
      </c>
      <c r="C3696" t="s">
        <v>369</v>
      </c>
      <c r="D3696" t="s">
        <v>1340</v>
      </c>
      <c r="F3696" t="str">
        <f>"159152"</f>
        <v>159152</v>
      </c>
      <c r="G3696" t="s">
        <v>49</v>
      </c>
      <c r="H3696" t="s">
        <v>1336</v>
      </c>
      <c r="K3696" t="s">
        <v>51</v>
      </c>
      <c r="L3696" t="s">
        <v>52</v>
      </c>
      <c r="M3696">
        <v>137753.57</v>
      </c>
      <c r="N3696">
        <v>467508.31</v>
      </c>
      <c r="O3696" t="s">
        <v>53</v>
      </c>
      <c r="P3696" t="s">
        <v>54</v>
      </c>
      <c r="Q3696" t="s">
        <v>55</v>
      </c>
      <c r="T3696" t="s">
        <v>818</v>
      </c>
      <c r="U3696">
        <v>40</v>
      </c>
      <c r="V3696" s="1">
        <v>36810</v>
      </c>
      <c r="W3696" s="1">
        <v>36810</v>
      </c>
      <c r="X3696" s="1">
        <v>36810</v>
      </c>
      <c r="Y3696" s="1">
        <v>51420</v>
      </c>
      <c r="Z3696" t="s">
        <v>51</v>
      </c>
      <c r="AB3696" t="s">
        <v>54</v>
      </c>
      <c r="AC3696">
        <v>1</v>
      </c>
      <c r="AE3696" t="s">
        <v>825</v>
      </c>
      <c r="AF3696">
        <v>20</v>
      </c>
      <c r="AG3696" s="1">
        <v>36810</v>
      </c>
      <c r="AH3696" s="1">
        <v>36810</v>
      </c>
      <c r="AI3696" s="1">
        <v>36810</v>
      </c>
      <c r="AJ3696" s="1">
        <v>44115</v>
      </c>
      <c r="AK3696" t="s">
        <v>51</v>
      </c>
      <c r="AN3696">
        <v>0</v>
      </c>
      <c r="AO3696" t="s">
        <v>54</v>
      </c>
      <c r="AP3696" t="s">
        <v>53</v>
      </c>
      <c r="AQ3696">
        <v>0</v>
      </c>
      <c r="AR3696" t="s">
        <v>53</v>
      </c>
      <c r="AS3696">
        <v>0</v>
      </c>
      <c r="AT3696">
        <v>0</v>
      </c>
      <c r="CC3696" t="s">
        <v>555</v>
      </c>
      <c r="CD3696">
        <v>85000</v>
      </c>
      <c r="CE3696" s="1">
        <v>42552</v>
      </c>
      <c r="CF3696" s="1">
        <v>42552</v>
      </c>
      <c r="CG3696" s="1">
        <v>42552</v>
      </c>
      <c r="CH3696" s="1">
        <v>49714</v>
      </c>
      <c r="CI3696" t="s">
        <v>51</v>
      </c>
      <c r="CK3696" t="s">
        <v>78</v>
      </c>
      <c r="CM3696" t="s">
        <v>54</v>
      </c>
      <c r="CN3696" t="s">
        <v>174</v>
      </c>
      <c r="CO3696" t="s">
        <v>86</v>
      </c>
      <c r="CR3696">
        <v>20</v>
      </c>
      <c r="CS3696">
        <v>0</v>
      </c>
      <c r="CT3696">
        <v>0</v>
      </c>
      <c r="CU3696">
        <v>0</v>
      </c>
    </row>
    <row r="3697" spans="1:99" x14ac:dyDescent="0.2">
      <c r="A3697" t="s">
        <v>367</v>
      </c>
      <c r="B3697" t="s">
        <v>368</v>
      </c>
      <c r="C3697" t="s">
        <v>369</v>
      </c>
      <c r="D3697" t="s">
        <v>1261</v>
      </c>
      <c r="F3697" t="str">
        <f>"161941"</f>
        <v>161941</v>
      </c>
      <c r="G3697" t="s">
        <v>49</v>
      </c>
      <c r="H3697" t="s">
        <v>1705</v>
      </c>
      <c r="K3697" t="s">
        <v>51</v>
      </c>
      <c r="L3697" t="s">
        <v>52</v>
      </c>
      <c r="M3697">
        <v>138053.26999999999</v>
      </c>
      <c r="N3697">
        <v>468368.76</v>
      </c>
      <c r="O3697" t="s">
        <v>53</v>
      </c>
      <c r="P3697" t="s">
        <v>54</v>
      </c>
      <c r="Q3697" t="s">
        <v>55</v>
      </c>
      <c r="T3697" t="s">
        <v>841</v>
      </c>
      <c r="U3697">
        <v>40</v>
      </c>
      <c r="V3697" s="1">
        <v>37047</v>
      </c>
      <c r="W3697" s="1">
        <v>37047</v>
      </c>
      <c r="X3697" s="1">
        <v>37047</v>
      </c>
      <c r="Y3697" s="1">
        <v>51657</v>
      </c>
      <c r="Z3697" t="s">
        <v>51</v>
      </c>
      <c r="AB3697" t="s">
        <v>54</v>
      </c>
      <c r="AC3697">
        <v>1</v>
      </c>
      <c r="AE3697" t="s">
        <v>57</v>
      </c>
      <c r="AF3697">
        <v>20</v>
      </c>
      <c r="AG3697" s="1">
        <v>40843</v>
      </c>
      <c r="AH3697" s="1">
        <v>40843</v>
      </c>
      <c r="AI3697" s="1">
        <v>40843</v>
      </c>
      <c r="AJ3697" s="1">
        <v>48148</v>
      </c>
      <c r="AK3697" t="s">
        <v>51</v>
      </c>
      <c r="AN3697">
        <v>0</v>
      </c>
      <c r="AO3697" t="s">
        <v>54</v>
      </c>
      <c r="AP3697" t="s">
        <v>53</v>
      </c>
      <c r="AQ3697">
        <v>0</v>
      </c>
      <c r="AR3697" t="s">
        <v>53</v>
      </c>
      <c r="AS3697">
        <v>0</v>
      </c>
      <c r="AT3697">
        <v>0</v>
      </c>
      <c r="CC3697" t="s">
        <v>432</v>
      </c>
      <c r="CD3697">
        <v>85000</v>
      </c>
      <c r="CE3697" s="1">
        <v>42552</v>
      </c>
      <c r="CF3697" s="1">
        <v>42552</v>
      </c>
      <c r="CG3697" s="1">
        <v>42552</v>
      </c>
      <c r="CH3697" s="1">
        <v>49714</v>
      </c>
      <c r="CI3697" t="s">
        <v>51</v>
      </c>
      <c r="CK3697" t="s">
        <v>78</v>
      </c>
      <c r="CM3697" t="s">
        <v>54</v>
      </c>
      <c r="CN3697" t="s">
        <v>174</v>
      </c>
      <c r="CO3697" t="s">
        <v>86</v>
      </c>
      <c r="CR3697">
        <v>24</v>
      </c>
      <c r="CS3697">
        <v>0</v>
      </c>
      <c r="CT3697">
        <v>0</v>
      </c>
      <c r="CU3697">
        <v>0</v>
      </c>
    </row>
    <row r="3698" spans="1:99" x14ac:dyDescent="0.2">
      <c r="A3698" t="s">
        <v>367</v>
      </c>
      <c r="B3698" t="s">
        <v>440</v>
      </c>
      <c r="C3698" t="s">
        <v>441</v>
      </c>
      <c r="D3698" t="s">
        <v>1201</v>
      </c>
      <c r="F3698" t="str">
        <f>"164067"</f>
        <v>164067</v>
      </c>
      <c r="G3698" t="s">
        <v>49</v>
      </c>
      <c r="H3698" t="s">
        <v>1706</v>
      </c>
      <c r="K3698" t="s">
        <v>51</v>
      </c>
      <c r="L3698" t="s">
        <v>52</v>
      </c>
      <c r="M3698">
        <v>137347.74</v>
      </c>
      <c r="N3698">
        <v>468613.38</v>
      </c>
      <c r="O3698" t="s">
        <v>53</v>
      </c>
      <c r="P3698" t="s">
        <v>54</v>
      </c>
      <c r="Q3698" t="s">
        <v>55</v>
      </c>
      <c r="T3698" t="s">
        <v>841</v>
      </c>
      <c r="U3698">
        <v>40</v>
      </c>
      <c r="V3698" s="1">
        <v>37166</v>
      </c>
      <c r="W3698" s="1">
        <v>37166</v>
      </c>
      <c r="X3698" s="1">
        <v>37166</v>
      </c>
      <c r="Y3698" s="1">
        <v>51776</v>
      </c>
      <c r="Z3698" t="s">
        <v>51</v>
      </c>
      <c r="AB3698" t="s">
        <v>54</v>
      </c>
      <c r="AC3698">
        <v>1</v>
      </c>
      <c r="AE3698" t="s">
        <v>64</v>
      </c>
      <c r="AF3698">
        <v>20</v>
      </c>
      <c r="AG3698" s="1">
        <v>37166</v>
      </c>
      <c r="AH3698" s="1">
        <v>37166</v>
      </c>
      <c r="AI3698" s="1">
        <v>37166</v>
      </c>
      <c r="AJ3698" s="1">
        <v>44471</v>
      </c>
      <c r="AK3698" t="s">
        <v>51</v>
      </c>
      <c r="AN3698">
        <v>0</v>
      </c>
      <c r="AO3698" t="s">
        <v>54</v>
      </c>
      <c r="AP3698" t="s">
        <v>53</v>
      </c>
      <c r="AQ3698">
        <v>0</v>
      </c>
      <c r="AR3698" t="s">
        <v>53</v>
      </c>
      <c r="AS3698">
        <v>0</v>
      </c>
      <c r="AT3698">
        <v>0</v>
      </c>
      <c r="AW3698" t="s">
        <v>58</v>
      </c>
      <c r="AX3698">
        <v>20</v>
      </c>
      <c r="AY3698" s="1">
        <v>37166</v>
      </c>
      <c r="AZ3698" s="1">
        <v>37166</v>
      </c>
      <c r="BA3698" s="1">
        <v>37166</v>
      </c>
      <c r="BB3698" s="1">
        <v>44471</v>
      </c>
      <c r="BC3698" t="s">
        <v>51</v>
      </c>
      <c r="BE3698" t="s">
        <v>54</v>
      </c>
      <c r="BF3698">
        <v>2</v>
      </c>
      <c r="BG3698">
        <v>0</v>
      </c>
      <c r="BH3698" t="s">
        <v>53</v>
      </c>
      <c r="BK3698" t="s">
        <v>65</v>
      </c>
      <c r="BL3698">
        <v>14000</v>
      </c>
      <c r="BM3698" s="1">
        <v>42552</v>
      </c>
      <c r="BN3698" s="1">
        <v>42552</v>
      </c>
      <c r="BO3698" s="1">
        <v>42552</v>
      </c>
      <c r="BP3698" s="1">
        <v>43752</v>
      </c>
      <c r="BQ3698" t="s">
        <v>51</v>
      </c>
      <c r="BS3698" t="s">
        <v>60</v>
      </c>
      <c r="BT3698" t="s">
        <v>54</v>
      </c>
      <c r="BU3698" t="s">
        <v>61</v>
      </c>
      <c r="BV3698" t="s">
        <v>62</v>
      </c>
      <c r="BX3698">
        <v>36</v>
      </c>
      <c r="BY3698">
        <v>0</v>
      </c>
      <c r="BZ3698">
        <v>0</v>
      </c>
    </row>
    <row r="3699" spans="1:99" x14ac:dyDescent="0.2">
      <c r="A3699" t="s">
        <v>367</v>
      </c>
      <c r="B3699" t="s">
        <v>440</v>
      </c>
      <c r="C3699" t="s">
        <v>441</v>
      </c>
      <c r="D3699" t="s">
        <v>1201</v>
      </c>
      <c r="F3699" t="str">
        <f>"164068"</f>
        <v>164068</v>
      </c>
      <c r="G3699" t="s">
        <v>49</v>
      </c>
      <c r="H3699" t="s">
        <v>1706</v>
      </c>
      <c r="K3699" t="s">
        <v>51</v>
      </c>
      <c r="L3699" t="s">
        <v>52</v>
      </c>
      <c r="M3699">
        <v>137335.32</v>
      </c>
      <c r="N3699">
        <v>468616.35</v>
      </c>
      <c r="O3699" t="s">
        <v>53</v>
      </c>
      <c r="P3699" t="s">
        <v>54</v>
      </c>
      <c r="Q3699" t="s">
        <v>55</v>
      </c>
      <c r="T3699" t="s">
        <v>841</v>
      </c>
      <c r="U3699">
        <v>40</v>
      </c>
      <c r="V3699" s="1">
        <v>37166</v>
      </c>
      <c r="W3699" s="1">
        <v>37166</v>
      </c>
      <c r="X3699" s="1">
        <v>37166</v>
      </c>
      <c r="Y3699" s="1">
        <v>51776</v>
      </c>
      <c r="Z3699" t="s">
        <v>51</v>
      </c>
      <c r="AB3699" t="s">
        <v>54</v>
      </c>
      <c r="AC3699">
        <v>1</v>
      </c>
      <c r="AE3699" t="s">
        <v>64</v>
      </c>
      <c r="AF3699">
        <v>20</v>
      </c>
      <c r="AG3699" s="1">
        <v>37166</v>
      </c>
      <c r="AH3699" s="1">
        <v>37166</v>
      </c>
      <c r="AI3699" s="1">
        <v>37166</v>
      </c>
      <c r="AJ3699" s="1">
        <v>44471</v>
      </c>
      <c r="AK3699" t="s">
        <v>51</v>
      </c>
      <c r="AN3699">
        <v>0</v>
      </c>
      <c r="AO3699" t="s">
        <v>54</v>
      </c>
      <c r="AP3699" t="s">
        <v>53</v>
      </c>
      <c r="AQ3699">
        <v>0</v>
      </c>
      <c r="AR3699" t="s">
        <v>53</v>
      </c>
      <c r="AS3699">
        <v>0</v>
      </c>
      <c r="AT3699">
        <v>0</v>
      </c>
      <c r="AW3699" t="s">
        <v>58</v>
      </c>
      <c r="AX3699">
        <v>20</v>
      </c>
      <c r="AY3699" s="1">
        <v>37166</v>
      </c>
      <c r="AZ3699" s="1">
        <v>37166</v>
      </c>
      <c r="BA3699" s="1">
        <v>37166</v>
      </c>
      <c r="BB3699" s="1">
        <v>44471</v>
      </c>
      <c r="BC3699" t="s">
        <v>51</v>
      </c>
      <c r="BE3699" t="s">
        <v>54</v>
      </c>
      <c r="BF3699">
        <v>2</v>
      </c>
      <c r="BG3699">
        <v>0</v>
      </c>
      <c r="BH3699" t="s">
        <v>53</v>
      </c>
      <c r="BK3699" t="s">
        <v>65</v>
      </c>
      <c r="BL3699">
        <v>14000</v>
      </c>
      <c r="BM3699" s="1">
        <v>42552</v>
      </c>
      <c r="BN3699" s="1">
        <v>42552</v>
      </c>
      <c r="BO3699" s="1">
        <v>42552</v>
      </c>
      <c r="BP3699" s="1">
        <v>43752</v>
      </c>
      <c r="BQ3699" t="s">
        <v>51</v>
      </c>
      <c r="BS3699" t="s">
        <v>60</v>
      </c>
      <c r="BT3699" t="s">
        <v>54</v>
      </c>
      <c r="BU3699" t="s">
        <v>61</v>
      </c>
      <c r="BV3699" t="s">
        <v>62</v>
      </c>
      <c r="BX3699">
        <v>36</v>
      </c>
      <c r="BY3699">
        <v>0</v>
      </c>
      <c r="BZ3699">
        <v>0</v>
      </c>
    </row>
    <row r="3700" spans="1:99" x14ac:dyDescent="0.2">
      <c r="A3700" t="s">
        <v>367</v>
      </c>
      <c r="B3700" t="s">
        <v>440</v>
      </c>
      <c r="C3700" t="s">
        <v>441</v>
      </c>
      <c r="D3700" t="s">
        <v>1201</v>
      </c>
      <c r="F3700" t="str">
        <f>"164069"</f>
        <v>164069</v>
      </c>
      <c r="G3700" t="s">
        <v>49</v>
      </c>
      <c r="H3700" t="s">
        <v>1706</v>
      </c>
      <c r="K3700" t="s">
        <v>51</v>
      </c>
      <c r="L3700" t="s">
        <v>52</v>
      </c>
      <c r="M3700">
        <v>137325.06</v>
      </c>
      <c r="N3700">
        <v>468635.52</v>
      </c>
      <c r="O3700" t="s">
        <v>53</v>
      </c>
      <c r="P3700" t="s">
        <v>54</v>
      </c>
      <c r="Q3700" t="s">
        <v>55</v>
      </c>
      <c r="T3700" t="s">
        <v>841</v>
      </c>
      <c r="U3700">
        <v>40</v>
      </c>
      <c r="V3700" s="1">
        <v>37166</v>
      </c>
      <c r="W3700" s="1">
        <v>37166</v>
      </c>
      <c r="X3700" s="1">
        <v>37166</v>
      </c>
      <c r="Y3700" s="1">
        <v>51776</v>
      </c>
      <c r="Z3700" t="s">
        <v>51</v>
      </c>
      <c r="AB3700" t="s">
        <v>54</v>
      </c>
      <c r="AC3700">
        <v>1</v>
      </c>
      <c r="AE3700" t="s">
        <v>64</v>
      </c>
      <c r="AF3700">
        <v>20</v>
      </c>
      <c r="AG3700" s="1">
        <v>37166</v>
      </c>
      <c r="AH3700" s="1">
        <v>37166</v>
      </c>
      <c r="AI3700" s="1">
        <v>37166</v>
      </c>
      <c r="AJ3700" s="1">
        <v>44471</v>
      </c>
      <c r="AK3700" t="s">
        <v>51</v>
      </c>
      <c r="AN3700">
        <v>0</v>
      </c>
      <c r="AO3700" t="s">
        <v>54</v>
      </c>
      <c r="AP3700" t="s">
        <v>53</v>
      </c>
      <c r="AQ3700">
        <v>0</v>
      </c>
      <c r="AR3700" t="s">
        <v>53</v>
      </c>
      <c r="AS3700">
        <v>0</v>
      </c>
      <c r="AT3700">
        <v>0</v>
      </c>
      <c r="AW3700" t="s">
        <v>58</v>
      </c>
      <c r="AX3700">
        <v>20</v>
      </c>
      <c r="AY3700" s="1">
        <v>37166</v>
      </c>
      <c r="AZ3700" s="1">
        <v>37166</v>
      </c>
      <c r="BA3700" s="1">
        <v>37166</v>
      </c>
      <c r="BB3700" s="1">
        <v>44471</v>
      </c>
      <c r="BC3700" t="s">
        <v>51</v>
      </c>
      <c r="BE3700" t="s">
        <v>54</v>
      </c>
      <c r="BF3700">
        <v>2</v>
      </c>
      <c r="BG3700">
        <v>0</v>
      </c>
      <c r="BH3700" t="s">
        <v>53</v>
      </c>
      <c r="BK3700" t="s">
        <v>65</v>
      </c>
      <c r="BL3700">
        <v>14000</v>
      </c>
      <c r="BM3700" s="1">
        <v>42552</v>
      </c>
      <c r="BN3700" s="1">
        <v>42552</v>
      </c>
      <c r="BO3700" s="1">
        <v>42552</v>
      </c>
      <c r="BP3700" s="1">
        <v>43752</v>
      </c>
      <c r="BQ3700" t="s">
        <v>51</v>
      </c>
      <c r="BS3700" t="s">
        <v>60</v>
      </c>
      <c r="BT3700" t="s">
        <v>54</v>
      </c>
      <c r="BU3700" t="s">
        <v>61</v>
      </c>
      <c r="BV3700" t="s">
        <v>62</v>
      </c>
      <c r="BX3700">
        <v>36</v>
      </c>
      <c r="BY3700">
        <v>0</v>
      </c>
      <c r="BZ3700">
        <v>0</v>
      </c>
    </row>
    <row r="3701" spans="1:99" x14ac:dyDescent="0.2">
      <c r="A3701" t="s">
        <v>367</v>
      </c>
      <c r="B3701" t="s">
        <v>440</v>
      </c>
      <c r="C3701" t="s">
        <v>441</v>
      </c>
      <c r="D3701" t="s">
        <v>1201</v>
      </c>
      <c r="F3701" t="str">
        <f>"164070"</f>
        <v>164070</v>
      </c>
      <c r="G3701" t="s">
        <v>49</v>
      </c>
      <c r="H3701" t="s">
        <v>1706</v>
      </c>
      <c r="K3701" t="s">
        <v>51</v>
      </c>
      <c r="L3701" t="s">
        <v>52</v>
      </c>
      <c r="M3701">
        <v>137326.22</v>
      </c>
      <c r="N3701">
        <v>468649.64</v>
      </c>
      <c r="O3701" t="s">
        <v>53</v>
      </c>
      <c r="P3701" t="s">
        <v>54</v>
      </c>
      <c r="Q3701" t="s">
        <v>55</v>
      </c>
      <c r="T3701" t="s">
        <v>841</v>
      </c>
      <c r="U3701">
        <v>40</v>
      </c>
      <c r="V3701" s="1">
        <v>37166</v>
      </c>
      <c r="W3701" s="1">
        <v>37166</v>
      </c>
      <c r="X3701" s="1">
        <v>37166</v>
      </c>
      <c r="Y3701" s="1">
        <v>51776</v>
      </c>
      <c r="Z3701" t="s">
        <v>51</v>
      </c>
      <c r="AB3701" t="s">
        <v>54</v>
      </c>
      <c r="AC3701">
        <v>1</v>
      </c>
      <c r="AE3701" t="s">
        <v>64</v>
      </c>
      <c r="AF3701">
        <v>20</v>
      </c>
      <c r="AG3701" s="1">
        <v>37166</v>
      </c>
      <c r="AH3701" s="1">
        <v>37166</v>
      </c>
      <c r="AI3701" s="1">
        <v>37166</v>
      </c>
      <c r="AJ3701" s="1">
        <v>44471</v>
      </c>
      <c r="AK3701" t="s">
        <v>51</v>
      </c>
      <c r="AN3701">
        <v>0</v>
      </c>
      <c r="AO3701" t="s">
        <v>54</v>
      </c>
      <c r="AP3701" t="s">
        <v>53</v>
      </c>
      <c r="AQ3701">
        <v>0</v>
      </c>
      <c r="AR3701" t="s">
        <v>53</v>
      </c>
      <c r="AS3701">
        <v>0</v>
      </c>
      <c r="AT3701">
        <v>0</v>
      </c>
      <c r="AW3701" t="s">
        <v>58</v>
      </c>
      <c r="AX3701">
        <v>20</v>
      </c>
      <c r="AY3701" s="1">
        <v>37166</v>
      </c>
      <c r="AZ3701" s="1">
        <v>37166</v>
      </c>
      <c r="BA3701" s="1">
        <v>37166</v>
      </c>
      <c r="BB3701" s="1">
        <v>44471</v>
      </c>
      <c r="BC3701" t="s">
        <v>51</v>
      </c>
      <c r="BE3701" t="s">
        <v>54</v>
      </c>
      <c r="BF3701">
        <v>2</v>
      </c>
      <c r="BG3701">
        <v>0</v>
      </c>
      <c r="BH3701" t="s">
        <v>53</v>
      </c>
      <c r="BK3701" t="s">
        <v>65</v>
      </c>
      <c r="BL3701">
        <v>14000</v>
      </c>
      <c r="BM3701" s="1">
        <v>42552</v>
      </c>
      <c r="BN3701" s="1">
        <v>42552</v>
      </c>
      <c r="BO3701" s="1">
        <v>42552</v>
      </c>
      <c r="BP3701" s="1">
        <v>43752</v>
      </c>
      <c r="BQ3701" t="s">
        <v>51</v>
      </c>
      <c r="BS3701" t="s">
        <v>60</v>
      </c>
      <c r="BT3701" t="s">
        <v>54</v>
      </c>
      <c r="BU3701" t="s">
        <v>61</v>
      </c>
      <c r="BV3701" t="s">
        <v>62</v>
      </c>
      <c r="BX3701">
        <v>36</v>
      </c>
      <c r="BY3701">
        <v>0</v>
      </c>
      <c r="BZ3701">
        <v>0</v>
      </c>
    </row>
    <row r="3702" spans="1:99" x14ac:dyDescent="0.2">
      <c r="A3702" t="s">
        <v>367</v>
      </c>
      <c r="B3702" t="s">
        <v>440</v>
      </c>
      <c r="C3702" t="s">
        <v>441</v>
      </c>
      <c r="D3702" t="s">
        <v>1201</v>
      </c>
      <c r="F3702" t="str">
        <f>"164071"</f>
        <v>164071</v>
      </c>
      <c r="G3702" t="s">
        <v>49</v>
      </c>
      <c r="H3702" t="s">
        <v>1706</v>
      </c>
      <c r="K3702" t="s">
        <v>51</v>
      </c>
      <c r="L3702" t="s">
        <v>52</v>
      </c>
      <c r="M3702">
        <v>137340.79</v>
      </c>
      <c r="N3702">
        <v>468644.38</v>
      </c>
      <c r="O3702" t="s">
        <v>53</v>
      </c>
      <c r="P3702" t="s">
        <v>54</v>
      </c>
      <c r="Q3702" t="s">
        <v>55</v>
      </c>
      <c r="T3702" t="s">
        <v>841</v>
      </c>
      <c r="U3702">
        <v>40</v>
      </c>
      <c r="V3702" s="1">
        <v>37166</v>
      </c>
      <c r="W3702" s="1">
        <v>37166</v>
      </c>
      <c r="X3702" s="1">
        <v>37166</v>
      </c>
      <c r="Y3702" s="1">
        <v>51776</v>
      </c>
      <c r="Z3702" t="s">
        <v>51</v>
      </c>
      <c r="AB3702" t="s">
        <v>54</v>
      </c>
      <c r="AC3702">
        <v>1</v>
      </c>
      <c r="AE3702" t="s">
        <v>64</v>
      </c>
      <c r="AF3702">
        <v>20</v>
      </c>
      <c r="AG3702" s="1">
        <v>37166</v>
      </c>
      <c r="AH3702" s="1">
        <v>37166</v>
      </c>
      <c r="AI3702" s="1">
        <v>37166</v>
      </c>
      <c r="AJ3702" s="1">
        <v>44471</v>
      </c>
      <c r="AK3702" t="s">
        <v>51</v>
      </c>
      <c r="AN3702">
        <v>0</v>
      </c>
      <c r="AO3702" t="s">
        <v>54</v>
      </c>
      <c r="AP3702" t="s">
        <v>53</v>
      </c>
      <c r="AQ3702">
        <v>0</v>
      </c>
      <c r="AR3702" t="s">
        <v>53</v>
      </c>
      <c r="AS3702">
        <v>0</v>
      </c>
      <c r="AT3702">
        <v>0</v>
      </c>
      <c r="AW3702" t="s">
        <v>58</v>
      </c>
      <c r="AX3702">
        <v>20</v>
      </c>
      <c r="AY3702" s="1">
        <v>37166</v>
      </c>
      <c r="AZ3702" s="1">
        <v>37166</v>
      </c>
      <c r="BA3702" s="1">
        <v>37166</v>
      </c>
      <c r="BB3702" s="1">
        <v>44471</v>
      </c>
      <c r="BC3702" t="s">
        <v>51</v>
      </c>
      <c r="BE3702" t="s">
        <v>54</v>
      </c>
      <c r="BF3702">
        <v>2</v>
      </c>
      <c r="BG3702">
        <v>0</v>
      </c>
      <c r="BH3702" t="s">
        <v>53</v>
      </c>
      <c r="BK3702" t="s">
        <v>65</v>
      </c>
      <c r="BL3702">
        <v>14000</v>
      </c>
      <c r="BM3702" s="1">
        <v>42552</v>
      </c>
      <c r="BN3702" s="1">
        <v>42552</v>
      </c>
      <c r="BO3702" s="1">
        <v>42552</v>
      </c>
      <c r="BP3702" s="1">
        <v>43752</v>
      </c>
      <c r="BQ3702" t="s">
        <v>51</v>
      </c>
      <c r="BS3702" t="s">
        <v>60</v>
      </c>
      <c r="BT3702" t="s">
        <v>54</v>
      </c>
      <c r="BU3702" t="s">
        <v>61</v>
      </c>
      <c r="BV3702" t="s">
        <v>62</v>
      </c>
      <c r="BX3702">
        <v>36</v>
      </c>
      <c r="BY3702">
        <v>0</v>
      </c>
      <c r="BZ3702">
        <v>0</v>
      </c>
    </row>
    <row r="3703" spans="1:99" x14ac:dyDescent="0.2">
      <c r="A3703" t="s">
        <v>367</v>
      </c>
      <c r="B3703" t="s">
        <v>440</v>
      </c>
      <c r="C3703" t="s">
        <v>441</v>
      </c>
      <c r="D3703" t="s">
        <v>1201</v>
      </c>
      <c r="F3703" t="str">
        <f>"164072"</f>
        <v>164072</v>
      </c>
      <c r="G3703" t="s">
        <v>49</v>
      </c>
      <c r="H3703" t="s">
        <v>1706</v>
      </c>
      <c r="K3703" t="s">
        <v>51</v>
      </c>
      <c r="L3703" t="s">
        <v>52</v>
      </c>
      <c r="M3703">
        <v>137349.97</v>
      </c>
      <c r="N3703">
        <v>468628.99</v>
      </c>
      <c r="O3703" t="s">
        <v>53</v>
      </c>
      <c r="P3703" t="s">
        <v>54</v>
      </c>
      <c r="Q3703" t="s">
        <v>55</v>
      </c>
      <c r="T3703" t="s">
        <v>841</v>
      </c>
      <c r="U3703">
        <v>40</v>
      </c>
      <c r="V3703" s="1">
        <v>37166</v>
      </c>
      <c r="W3703" s="1">
        <v>37166</v>
      </c>
      <c r="X3703" s="1">
        <v>37166</v>
      </c>
      <c r="Y3703" s="1">
        <v>51776</v>
      </c>
      <c r="Z3703" t="s">
        <v>51</v>
      </c>
      <c r="AB3703" t="s">
        <v>54</v>
      </c>
      <c r="AC3703">
        <v>1</v>
      </c>
      <c r="AE3703" t="s">
        <v>64</v>
      </c>
      <c r="AF3703">
        <v>20</v>
      </c>
      <c r="AG3703" s="1">
        <v>37166</v>
      </c>
      <c r="AH3703" s="1">
        <v>37166</v>
      </c>
      <c r="AI3703" s="1">
        <v>37166</v>
      </c>
      <c r="AJ3703" s="1">
        <v>44471</v>
      </c>
      <c r="AK3703" t="s">
        <v>51</v>
      </c>
      <c r="AN3703">
        <v>0</v>
      </c>
      <c r="AO3703" t="s">
        <v>54</v>
      </c>
      <c r="AP3703" t="s">
        <v>53</v>
      </c>
      <c r="AQ3703">
        <v>0</v>
      </c>
      <c r="AR3703" t="s">
        <v>53</v>
      </c>
      <c r="AS3703">
        <v>0</v>
      </c>
      <c r="AT3703">
        <v>0</v>
      </c>
      <c r="AW3703" t="s">
        <v>58</v>
      </c>
      <c r="AX3703">
        <v>20</v>
      </c>
      <c r="AY3703" s="1">
        <v>37166</v>
      </c>
      <c r="AZ3703" s="1">
        <v>37166</v>
      </c>
      <c r="BA3703" s="1">
        <v>37166</v>
      </c>
      <c r="BB3703" s="1">
        <v>44471</v>
      </c>
      <c r="BC3703" t="s">
        <v>51</v>
      </c>
      <c r="BE3703" t="s">
        <v>54</v>
      </c>
      <c r="BF3703">
        <v>2</v>
      </c>
      <c r="BG3703">
        <v>0</v>
      </c>
      <c r="BH3703" t="s">
        <v>53</v>
      </c>
      <c r="BK3703" t="s">
        <v>65</v>
      </c>
      <c r="BL3703">
        <v>14000</v>
      </c>
      <c r="BM3703" s="1">
        <v>44942</v>
      </c>
      <c r="BN3703" s="1">
        <v>44942</v>
      </c>
      <c r="BO3703" s="1">
        <v>44942</v>
      </c>
      <c r="BP3703" s="1">
        <v>46112</v>
      </c>
      <c r="BQ3703" t="s">
        <v>51</v>
      </c>
      <c r="BS3703" t="s">
        <v>60</v>
      </c>
      <c r="BT3703" t="s">
        <v>54</v>
      </c>
      <c r="BU3703" t="s">
        <v>61</v>
      </c>
      <c r="BV3703" t="s">
        <v>62</v>
      </c>
      <c r="BX3703">
        <v>36</v>
      </c>
      <c r="BY3703">
        <v>0</v>
      </c>
      <c r="BZ3703">
        <v>0</v>
      </c>
    </row>
    <row r="3704" spans="1:99" x14ac:dyDescent="0.2">
      <c r="A3704" t="s">
        <v>367</v>
      </c>
      <c r="B3704" t="s">
        <v>368</v>
      </c>
      <c r="C3704" t="s">
        <v>369</v>
      </c>
      <c r="D3704" t="s">
        <v>369</v>
      </c>
      <c r="F3704" t="str">
        <f>"164104"</f>
        <v>164104</v>
      </c>
      <c r="G3704" t="s">
        <v>49</v>
      </c>
      <c r="H3704" t="s">
        <v>1707</v>
      </c>
      <c r="K3704" t="s">
        <v>51</v>
      </c>
      <c r="L3704" t="s">
        <v>52</v>
      </c>
      <c r="M3704">
        <v>137346.57999999999</v>
      </c>
      <c r="N3704">
        <v>468527.28</v>
      </c>
      <c r="O3704" t="s">
        <v>53</v>
      </c>
      <c r="P3704" t="s">
        <v>54</v>
      </c>
      <c r="Q3704" t="s">
        <v>55</v>
      </c>
      <c r="T3704" t="s">
        <v>1708</v>
      </c>
      <c r="U3704">
        <v>40</v>
      </c>
      <c r="V3704" s="1">
        <v>37056</v>
      </c>
      <c r="W3704" s="1">
        <v>37056</v>
      </c>
      <c r="X3704" s="1">
        <v>37056</v>
      </c>
      <c r="Y3704" s="1">
        <v>51666</v>
      </c>
      <c r="Z3704" t="s">
        <v>51</v>
      </c>
      <c r="AB3704" t="s">
        <v>54</v>
      </c>
      <c r="AC3704">
        <v>1</v>
      </c>
      <c r="AE3704" t="s">
        <v>814</v>
      </c>
      <c r="AF3704">
        <v>20</v>
      </c>
      <c r="AG3704" s="1">
        <v>37056</v>
      </c>
      <c r="AH3704" s="1">
        <v>37056</v>
      </c>
      <c r="AI3704" s="1">
        <v>37056</v>
      </c>
      <c r="AJ3704" s="1">
        <v>44361</v>
      </c>
      <c r="AK3704" t="s">
        <v>51</v>
      </c>
      <c r="AN3704">
        <v>0</v>
      </c>
      <c r="AO3704" t="s">
        <v>54</v>
      </c>
      <c r="AP3704" t="s">
        <v>53</v>
      </c>
      <c r="AQ3704">
        <v>0</v>
      </c>
      <c r="AR3704" t="s">
        <v>53</v>
      </c>
      <c r="AS3704">
        <v>0</v>
      </c>
      <c r="AT3704">
        <v>0</v>
      </c>
      <c r="CC3704" t="s">
        <v>669</v>
      </c>
      <c r="CD3704">
        <v>85000</v>
      </c>
      <c r="CE3704" s="1">
        <v>42552</v>
      </c>
      <c r="CF3704" s="1">
        <v>42552</v>
      </c>
      <c r="CG3704" s="1">
        <v>42552</v>
      </c>
      <c r="CH3704" s="1">
        <v>49714</v>
      </c>
      <c r="CI3704" t="s">
        <v>51</v>
      </c>
      <c r="CK3704" t="s">
        <v>78</v>
      </c>
      <c r="CM3704" t="s">
        <v>54</v>
      </c>
      <c r="CN3704" t="s">
        <v>174</v>
      </c>
      <c r="CO3704" t="s">
        <v>86</v>
      </c>
      <c r="CR3704">
        <v>50</v>
      </c>
      <c r="CS3704">
        <v>0</v>
      </c>
      <c r="CT3704">
        <v>0</v>
      </c>
      <c r="CU3704">
        <v>0</v>
      </c>
    </row>
    <row r="3705" spans="1:99" x14ac:dyDescent="0.2">
      <c r="A3705" t="s">
        <v>425</v>
      </c>
      <c r="B3705" t="s">
        <v>425</v>
      </c>
      <c r="C3705" t="s">
        <v>425</v>
      </c>
      <c r="D3705" t="s">
        <v>1392</v>
      </c>
      <c r="F3705" t="str">
        <f>"164111"</f>
        <v>164111</v>
      </c>
      <c r="G3705" t="s">
        <v>49</v>
      </c>
      <c r="H3705" t="s">
        <v>1709</v>
      </c>
      <c r="K3705" t="s">
        <v>51</v>
      </c>
      <c r="L3705" t="s">
        <v>52</v>
      </c>
      <c r="M3705">
        <v>138483.87</v>
      </c>
      <c r="N3705">
        <v>467870.2</v>
      </c>
      <c r="O3705" t="s">
        <v>53</v>
      </c>
      <c r="P3705" t="s">
        <v>54</v>
      </c>
      <c r="Q3705" t="s">
        <v>55</v>
      </c>
      <c r="T3705" t="s">
        <v>466</v>
      </c>
      <c r="U3705">
        <v>40</v>
      </c>
      <c r="V3705" s="1">
        <v>37245</v>
      </c>
      <c r="W3705" s="1">
        <v>37245</v>
      </c>
      <c r="X3705" s="1">
        <v>37245</v>
      </c>
      <c r="Y3705" s="1">
        <v>51855</v>
      </c>
      <c r="Z3705" t="s">
        <v>51</v>
      </c>
      <c r="AB3705" t="s">
        <v>54</v>
      </c>
      <c r="AC3705">
        <v>1</v>
      </c>
      <c r="AE3705" t="s">
        <v>814</v>
      </c>
      <c r="AF3705">
        <v>20</v>
      </c>
      <c r="AG3705" s="1">
        <v>37245</v>
      </c>
      <c r="AH3705" s="1">
        <v>37245</v>
      </c>
      <c r="AI3705" s="1">
        <v>37245</v>
      </c>
      <c r="AJ3705" s="1">
        <v>44550</v>
      </c>
      <c r="AK3705" t="s">
        <v>51</v>
      </c>
      <c r="AN3705">
        <v>0</v>
      </c>
      <c r="AO3705" t="s">
        <v>54</v>
      </c>
      <c r="AP3705" t="s">
        <v>53</v>
      </c>
      <c r="AQ3705">
        <v>0</v>
      </c>
      <c r="AR3705" t="s">
        <v>53</v>
      </c>
      <c r="AS3705">
        <v>0</v>
      </c>
      <c r="AT3705">
        <v>0</v>
      </c>
      <c r="CC3705" t="s">
        <v>439</v>
      </c>
      <c r="CD3705">
        <v>85000</v>
      </c>
      <c r="CE3705" s="1">
        <v>42552</v>
      </c>
      <c r="CF3705" s="1">
        <v>42552</v>
      </c>
      <c r="CG3705" s="1">
        <v>42552</v>
      </c>
      <c r="CH3705" s="1">
        <v>49714</v>
      </c>
      <c r="CI3705" t="s">
        <v>51</v>
      </c>
      <c r="CK3705" t="s">
        <v>78</v>
      </c>
      <c r="CM3705" t="s">
        <v>54</v>
      </c>
      <c r="CN3705" t="s">
        <v>174</v>
      </c>
      <c r="CO3705" t="s">
        <v>86</v>
      </c>
      <c r="CR3705">
        <v>25</v>
      </c>
      <c r="CS3705">
        <v>0</v>
      </c>
      <c r="CT3705">
        <v>0</v>
      </c>
      <c r="CU3705">
        <v>0</v>
      </c>
    </row>
    <row r="3706" spans="1:99" x14ac:dyDescent="0.2">
      <c r="A3706" t="s">
        <v>425</v>
      </c>
      <c r="B3706" t="s">
        <v>425</v>
      </c>
      <c r="C3706" t="s">
        <v>425</v>
      </c>
      <c r="D3706" t="s">
        <v>1392</v>
      </c>
      <c r="F3706" t="str">
        <f>"164112"</f>
        <v>164112</v>
      </c>
      <c r="G3706" t="s">
        <v>49</v>
      </c>
      <c r="H3706" t="s">
        <v>1710</v>
      </c>
      <c r="K3706" t="s">
        <v>51</v>
      </c>
      <c r="L3706" t="s">
        <v>52</v>
      </c>
      <c r="M3706">
        <v>138491.5</v>
      </c>
      <c r="N3706">
        <v>467819.27</v>
      </c>
      <c r="O3706" t="s">
        <v>53</v>
      </c>
      <c r="P3706" t="s">
        <v>54</v>
      </c>
      <c r="Q3706" t="s">
        <v>55</v>
      </c>
      <c r="T3706" t="s">
        <v>466</v>
      </c>
      <c r="U3706">
        <v>40</v>
      </c>
      <c r="V3706" s="1">
        <v>37356</v>
      </c>
      <c r="W3706" s="1">
        <v>37356</v>
      </c>
      <c r="X3706" s="1">
        <v>37356</v>
      </c>
      <c r="Y3706" s="1">
        <v>51966</v>
      </c>
      <c r="Z3706" t="s">
        <v>51</v>
      </c>
      <c r="AB3706" t="s">
        <v>54</v>
      </c>
      <c r="AC3706">
        <v>1</v>
      </c>
      <c r="AE3706" t="s">
        <v>814</v>
      </c>
      <c r="AF3706">
        <v>20</v>
      </c>
      <c r="AG3706" s="1">
        <v>37356</v>
      </c>
      <c r="AH3706" s="1">
        <v>37356</v>
      </c>
      <c r="AI3706" s="1">
        <v>37356</v>
      </c>
      <c r="AJ3706" s="1">
        <v>44661</v>
      </c>
      <c r="AK3706" t="s">
        <v>51</v>
      </c>
      <c r="AN3706">
        <v>0</v>
      </c>
      <c r="AO3706" t="s">
        <v>54</v>
      </c>
      <c r="AP3706" t="s">
        <v>53</v>
      </c>
      <c r="AQ3706">
        <v>0</v>
      </c>
      <c r="AR3706" t="s">
        <v>53</v>
      </c>
      <c r="AS3706">
        <v>0</v>
      </c>
      <c r="AT3706">
        <v>0</v>
      </c>
      <c r="CC3706" t="s">
        <v>439</v>
      </c>
      <c r="CD3706">
        <v>85000</v>
      </c>
      <c r="CE3706" s="1">
        <v>42552</v>
      </c>
      <c r="CF3706" s="1">
        <v>42552</v>
      </c>
      <c r="CG3706" s="1">
        <v>42552</v>
      </c>
      <c r="CH3706" s="1">
        <v>49714</v>
      </c>
      <c r="CI3706" t="s">
        <v>51</v>
      </c>
      <c r="CK3706" t="s">
        <v>78</v>
      </c>
      <c r="CM3706" t="s">
        <v>54</v>
      </c>
      <c r="CN3706" t="s">
        <v>174</v>
      </c>
      <c r="CO3706" t="s">
        <v>86</v>
      </c>
      <c r="CR3706">
        <v>25</v>
      </c>
      <c r="CS3706">
        <v>0</v>
      </c>
      <c r="CT3706">
        <v>0</v>
      </c>
      <c r="CU3706">
        <v>0</v>
      </c>
    </row>
    <row r="3707" spans="1:99" x14ac:dyDescent="0.2">
      <c r="A3707" t="s">
        <v>425</v>
      </c>
      <c r="B3707" t="s">
        <v>425</v>
      </c>
      <c r="C3707" t="s">
        <v>425</v>
      </c>
      <c r="D3707" t="s">
        <v>1392</v>
      </c>
      <c r="F3707" t="str">
        <f>"164113"</f>
        <v>164113</v>
      </c>
      <c r="G3707" t="s">
        <v>49</v>
      </c>
      <c r="H3707" t="s">
        <v>1711</v>
      </c>
      <c r="K3707" t="s">
        <v>51</v>
      </c>
      <c r="L3707" t="s">
        <v>52</v>
      </c>
      <c r="M3707">
        <v>138491.57999999999</v>
      </c>
      <c r="N3707">
        <v>467794.44</v>
      </c>
      <c r="O3707" t="s">
        <v>53</v>
      </c>
      <c r="P3707" t="s">
        <v>54</v>
      </c>
      <c r="Q3707" t="s">
        <v>55</v>
      </c>
      <c r="T3707" t="s">
        <v>466</v>
      </c>
      <c r="U3707">
        <v>40</v>
      </c>
      <c r="V3707" s="1">
        <v>37356</v>
      </c>
      <c r="W3707" s="1">
        <v>37356</v>
      </c>
      <c r="X3707" s="1">
        <v>37356</v>
      </c>
      <c r="Y3707" s="1">
        <v>51966</v>
      </c>
      <c r="Z3707" t="s">
        <v>51</v>
      </c>
      <c r="AB3707" t="s">
        <v>54</v>
      </c>
      <c r="AC3707">
        <v>1</v>
      </c>
      <c r="AE3707" t="s">
        <v>814</v>
      </c>
      <c r="AF3707">
        <v>20</v>
      </c>
      <c r="AG3707" s="1">
        <v>37356</v>
      </c>
      <c r="AH3707" s="1">
        <v>37356</v>
      </c>
      <c r="AI3707" s="1">
        <v>37356</v>
      </c>
      <c r="AJ3707" s="1">
        <v>44661</v>
      </c>
      <c r="AK3707" t="s">
        <v>51</v>
      </c>
      <c r="AN3707">
        <v>0</v>
      </c>
      <c r="AO3707" t="s">
        <v>54</v>
      </c>
      <c r="AP3707" t="s">
        <v>53</v>
      </c>
      <c r="AQ3707">
        <v>0</v>
      </c>
      <c r="AR3707" t="s">
        <v>53</v>
      </c>
      <c r="AS3707">
        <v>0</v>
      </c>
      <c r="AT3707">
        <v>0</v>
      </c>
      <c r="CC3707" t="s">
        <v>439</v>
      </c>
      <c r="CD3707">
        <v>85000</v>
      </c>
      <c r="CE3707" s="1">
        <v>42552</v>
      </c>
      <c r="CF3707" s="1">
        <v>42552</v>
      </c>
      <c r="CG3707" s="1">
        <v>42552</v>
      </c>
      <c r="CH3707" s="1">
        <v>49714</v>
      </c>
      <c r="CI3707" t="s">
        <v>51</v>
      </c>
      <c r="CK3707" t="s">
        <v>78</v>
      </c>
      <c r="CM3707" t="s">
        <v>54</v>
      </c>
      <c r="CN3707" t="s">
        <v>174</v>
      </c>
      <c r="CO3707" t="s">
        <v>86</v>
      </c>
      <c r="CR3707">
        <v>25</v>
      </c>
      <c r="CS3707">
        <v>0</v>
      </c>
      <c r="CT3707">
        <v>0</v>
      </c>
      <c r="CU3707">
        <v>0</v>
      </c>
    </row>
    <row r="3708" spans="1:99" x14ac:dyDescent="0.2">
      <c r="A3708" t="s">
        <v>425</v>
      </c>
      <c r="B3708" t="s">
        <v>425</v>
      </c>
      <c r="C3708" t="s">
        <v>425</v>
      </c>
      <c r="D3708" t="s">
        <v>1392</v>
      </c>
      <c r="F3708" t="str">
        <f>"164114"</f>
        <v>164114</v>
      </c>
      <c r="G3708" t="s">
        <v>49</v>
      </c>
      <c r="H3708" t="s">
        <v>1712</v>
      </c>
      <c r="K3708" t="s">
        <v>51</v>
      </c>
      <c r="L3708" t="s">
        <v>52</v>
      </c>
      <c r="M3708">
        <v>138488.5</v>
      </c>
      <c r="N3708">
        <v>467768.83</v>
      </c>
      <c r="O3708" t="s">
        <v>53</v>
      </c>
      <c r="P3708" t="s">
        <v>54</v>
      </c>
      <c r="Q3708" t="s">
        <v>55</v>
      </c>
      <c r="T3708" t="s">
        <v>466</v>
      </c>
      <c r="U3708">
        <v>40</v>
      </c>
      <c r="V3708" s="1">
        <v>37245</v>
      </c>
      <c r="W3708" s="1">
        <v>37245</v>
      </c>
      <c r="X3708" s="1">
        <v>37245</v>
      </c>
      <c r="Y3708" s="1">
        <v>51855</v>
      </c>
      <c r="Z3708" t="s">
        <v>51</v>
      </c>
      <c r="AB3708" t="s">
        <v>54</v>
      </c>
      <c r="AC3708">
        <v>1</v>
      </c>
      <c r="AE3708" t="s">
        <v>814</v>
      </c>
      <c r="AF3708">
        <v>20</v>
      </c>
      <c r="AG3708" s="1">
        <v>37245</v>
      </c>
      <c r="AH3708" s="1">
        <v>37245</v>
      </c>
      <c r="AI3708" s="1">
        <v>37245</v>
      </c>
      <c r="AJ3708" s="1">
        <v>44550</v>
      </c>
      <c r="AK3708" t="s">
        <v>51</v>
      </c>
      <c r="AN3708">
        <v>0</v>
      </c>
      <c r="AO3708" t="s">
        <v>54</v>
      </c>
      <c r="AP3708" t="s">
        <v>53</v>
      </c>
      <c r="AQ3708">
        <v>0</v>
      </c>
      <c r="AR3708" t="s">
        <v>53</v>
      </c>
      <c r="AS3708">
        <v>0</v>
      </c>
      <c r="AT3708">
        <v>0</v>
      </c>
      <c r="CC3708" t="s">
        <v>439</v>
      </c>
      <c r="CD3708">
        <v>85000</v>
      </c>
      <c r="CE3708" s="1">
        <v>42552</v>
      </c>
      <c r="CF3708" s="1">
        <v>42552</v>
      </c>
      <c r="CG3708" s="1">
        <v>42552</v>
      </c>
      <c r="CH3708" s="1">
        <v>49714</v>
      </c>
      <c r="CI3708" t="s">
        <v>51</v>
      </c>
      <c r="CK3708" t="s">
        <v>78</v>
      </c>
      <c r="CM3708" t="s">
        <v>54</v>
      </c>
      <c r="CN3708" t="s">
        <v>174</v>
      </c>
      <c r="CO3708" t="s">
        <v>86</v>
      </c>
      <c r="CR3708">
        <v>25</v>
      </c>
      <c r="CS3708">
        <v>0</v>
      </c>
      <c r="CT3708">
        <v>0</v>
      </c>
      <c r="CU3708">
        <v>0</v>
      </c>
    </row>
    <row r="3709" spans="1:99" x14ac:dyDescent="0.2">
      <c r="A3709" t="s">
        <v>425</v>
      </c>
      <c r="B3709" t="s">
        <v>425</v>
      </c>
      <c r="C3709" t="s">
        <v>425</v>
      </c>
      <c r="D3709" t="s">
        <v>1392</v>
      </c>
      <c r="F3709" t="str">
        <f>"164115"</f>
        <v>164115</v>
      </c>
      <c r="G3709" t="s">
        <v>49</v>
      </c>
      <c r="H3709" t="s">
        <v>1713</v>
      </c>
      <c r="K3709" t="s">
        <v>51</v>
      </c>
      <c r="L3709" t="s">
        <v>52</v>
      </c>
      <c r="M3709">
        <v>138483.57999999999</v>
      </c>
      <c r="N3709">
        <v>467746.07</v>
      </c>
      <c r="O3709" t="s">
        <v>53</v>
      </c>
      <c r="P3709" t="s">
        <v>54</v>
      </c>
      <c r="Q3709" t="s">
        <v>55</v>
      </c>
      <c r="T3709" t="s">
        <v>466</v>
      </c>
      <c r="U3709">
        <v>40</v>
      </c>
      <c r="V3709" s="1">
        <v>37245</v>
      </c>
      <c r="W3709" s="1">
        <v>37245</v>
      </c>
      <c r="X3709" s="1">
        <v>37245</v>
      </c>
      <c r="Y3709" s="1">
        <v>51855</v>
      </c>
      <c r="Z3709" t="s">
        <v>51</v>
      </c>
      <c r="AB3709" t="s">
        <v>54</v>
      </c>
      <c r="AC3709">
        <v>1</v>
      </c>
      <c r="AE3709" t="s">
        <v>814</v>
      </c>
      <c r="AF3709">
        <v>20</v>
      </c>
      <c r="AG3709" s="1">
        <v>37245</v>
      </c>
      <c r="AH3709" s="1">
        <v>37245</v>
      </c>
      <c r="AI3709" s="1">
        <v>37245</v>
      </c>
      <c r="AJ3709" s="1">
        <v>44550</v>
      </c>
      <c r="AK3709" t="s">
        <v>51</v>
      </c>
      <c r="AN3709">
        <v>0</v>
      </c>
      <c r="AO3709" t="s">
        <v>54</v>
      </c>
      <c r="AP3709" t="s">
        <v>53</v>
      </c>
      <c r="AQ3709">
        <v>0</v>
      </c>
      <c r="AR3709" t="s">
        <v>53</v>
      </c>
      <c r="AS3709">
        <v>0</v>
      </c>
      <c r="AT3709">
        <v>0</v>
      </c>
      <c r="CC3709" t="s">
        <v>439</v>
      </c>
      <c r="CD3709">
        <v>85000</v>
      </c>
      <c r="CE3709" s="1">
        <v>42552</v>
      </c>
      <c r="CF3709" s="1">
        <v>42552</v>
      </c>
      <c r="CG3709" s="1">
        <v>42552</v>
      </c>
      <c r="CH3709" s="1">
        <v>49714</v>
      </c>
      <c r="CI3709" t="s">
        <v>51</v>
      </c>
      <c r="CK3709" t="s">
        <v>78</v>
      </c>
      <c r="CM3709" t="s">
        <v>54</v>
      </c>
      <c r="CN3709" t="s">
        <v>174</v>
      </c>
      <c r="CO3709" t="s">
        <v>86</v>
      </c>
      <c r="CR3709">
        <v>25</v>
      </c>
      <c r="CS3709">
        <v>0</v>
      </c>
      <c r="CT3709">
        <v>0</v>
      </c>
      <c r="CU3709">
        <v>0</v>
      </c>
    </row>
    <row r="3710" spans="1:99" x14ac:dyDescent="0.2">
      <c r="A3710" t="s">
        <v>425</v>
      </c>
      <c r="B3710" t="s">
        <v>425</v>
      </c>
      <c r="C3710" t="s">
        <v>425</v>
      </c>
      <c r="D3710" t="s">
        <v>1392</v>
      </c>
      <c r="F3710" t="str">
        <f>"164116"</f>
        <v>164116</v>
      </c>
      <c r="G3710" t="s">
        <v>49</v>
      </c>
      <c r="H3710" t="s">
        <v>1714</v>
      </c>
      <c r="K3710" t="s">
        <v>51</v>
      </c>
      <c r="L3710" t="s">
        <v>52</v>
      </c>
      <c r="M3710">
        <v>138479.24</v>
      </c>
      <c r="N3710">
        <v>467722.97</v>
      </c>
      <c r="O3710" t="s">
        <v>53</v>
      </c>
      <c r="P3710" t="s">
        <v>54</v>
      </c>
      <c r="Q3710" t="s">
        <v>55</v>
      </c>
      <c r="T3710" t="s">
        <v>466</v>
      </c>
      <c r="U3710">
        <v>40</v>
      </c>
      <c r="V3710" s="1">
        <v>37245</v>
      </c>
      <c r="W3710" s="1">
        <v>37245</v>
      </c>
      <c r="X3710" s="1">
        <v>37245</v>
      </c>
      <c r="Y3710" s="1">
        <v>51855</v>
      </c>
      <c r="Z3710" t="s">
        <v>51</v>
      </c>
      <c r="AB3710" t="s">
        <v>54</v>
      </c>
      <c r="AC3710">
        <v>1</v>
      </c>
      <c r="AE3710" t="s">
        <v>814</v>
      </c>
      <c r="AF3710">
        <v>20</v>
      </c>
      <c r="AG3710" s="1">
        <v>37245</v>
      </c>
      <c r="AH3710" s="1">
        <v>37245</v>
      </c>
      <c r="AI3710" s="1">
        <v>37245</v>
      </c>
      <c r="AJ3710" s="1">
        <v>44550</v>
      </c>
      <c r="AK3710" t="s">
        <v>51</v>
      </c>
      <c r="AN3710">
        <v>0</v>
      </c>
      <c r="AO3710" t="s">
        <v>54</v>
      </c>
      <c r="AP3710" t="s">
        <v>53</v>
      </c>
      <c r="AQ3710">
        <v>0</v>
      </c>
      <c r="AR3710" t="s">
        <v>53</v>
      </c>
      <c r="AS3710">
        <v>0</v>
      </c>
      <c r="AT3710">
        <v>0</v>
      </c>
      <c r="CC3710" t="s">
        <v>439</v>
      </c>
      <c r="CD3710">
        <v>85000</v>
      </c>
      <c r="CE3710" s="1">
        <v>42552</v>
      </c>
      <c r="CF3710" s="1">
        <v>42552</v>
      </c>
      <c r="CG3710" s="1">
        <v>42552</v>
      </c>
      <c r="CH3710" s="1">
        <v>49714</v>
      </c>
      <c r="CI3710" t="s">
        <v>51</v>
      </c>
      <c r="CK3710" t="s">
        <v>78</v>
      </c>
      <c r="CM3710" t="s">
        <v>54</v>
      </c>
      <c r="CN3710" t="s">
        <v>174</v>
      </c>
      <c r="CO3710" t="s">
        <v>86</v>
      </c>
      <c r="CR3710">
        <v>25</v>
      </c>
      <c r="CS3710">
        <v>0</v>
      </c>
      <c r="CT3710">
        <v>0</v>
      </c>
      <c r="CU3710">
        <v>0</v>
      </c>
    </row>
    <row r="3711" spans="1:99" x14ac:dyDescent="0.2">
      <c r="A3711" t="s">
        <v>425</v>
      </c>
      <c r="B3711" t="s">
        <v>425</v>
      </c>
      <c r="C3711" t="s">
        <v>425</v>
      </c>
      <c r="D3711" t="s">
        <v>1392</v>
      </c>
      <c r="F3711" t="str">
        <f>"164117"</f>
        <v>164117</v>
      </c>
      <c r="G3711" t="s">
        <v>49</v>
      </c>
      <c r="H3711" t="s">
        <v>1715</v>
      </c>
      <c r="K3711" t="s">
        <v>51</v>
      </c>
      <c r="L3711" t="s">
        <v>52</v>
      </c>
      <c r="M3711">
        <v>138473.35999999999</v>
      </c>
      <c r="N3711">
        <v>467699.31</v>
      </c>
      <c r="O3711" t="s">
        <v>53</v>
      </c>
      <c r="P3711" t="s">
        <v>54</v>
      </c>
      <c r="Q3711" t="s">
        <v>55</v>
      </c>
      <c r="T3711" t="s">
        <v>841</v>
      </c>
      <c r="U3711">
        <v>40</v>
      </c>
      <c r="V3711" s="1">
        <v>40309</v>
      </c>
      <c r="W3711" s="1">
        <v>40309</v>
      </c>
      <c r="X3711" s="1">
        <v>40309</v>
      </c>
      <c r="Y3711" s="1">
        <v>54919</v>
      </c>
      <c r="Z3711" t="s">
        <v>51</v>
      </c>
      <c r="AB3711" t="s">
        <v>54</v>
      </c>
      <c r="AC3711">
        <v>1</v>
      </c>
      <c r="AE3711" t="s">
        <v>814</v>
      </c>
      <c r="AF3711">
        <v>20</v>
      </c>
      <c r="AG3711" s="1">
        <v>40267</v>
      </c>
      <c r="AH3711" s="1">
        <v>40267</v>
      </c>
      <c r="AI3711" s="1">
        <v>40309</v>
      </c>
      <c r="AJ3711" s="1">
        <v>47572</v>
      </c>
      <c r="AK3711" t="s">
        <v>51</v>
      </c>
      <c r="AN3711">
        <v>0</v>
      </c>
      <c r="AO3711" t="s">
        <v>54</v>
      </c>
      <c r="AP3711" t="s">
        <v>53</v>
      </c>
      <c r="AQ3711">
        <v>0</v>
      </c>
      <c r="AR3711" t="s">
        <v>53</v>
      </c>
      <c r="AS3711">
        <v>0</v>
      </c>
      <c r="AT3711">
        <v>0</v>
      </c>
      <c r="CC3711" t="s">
        <v>439</v>
      </c>
      <c r="CD3711">
        <v>85000</v>
      </c>
      <c r="CE3711" s="1">
        <v>42552</v>
      </c>
      <c r="CF3711" s="1">
        <v>42552</v>
      </c>
      <c r="CG3711" s="1">
        <v>42552</v>
      </c>
      <c r="CH3711" s="1">
        <v>49714</v>
      </c>
      <c r="CI3711" t="s">
        <v>51</v>
      </c>
      <c r="CK3711" t="s">
        <v>78</v>
      </c>
      <c r="CM3711" t="s">
        <v>54</v>
      </c>
      <c r="CN3711" t="s">
        <v>174</v>
      </c>
      <c r="CO3711" t="s">
        <v>86</v>
      </c>
      <c r="CR3711">
        <v>25</v>
      </c>
      <c r="CS3711">
        <v>0</v>
      </c>
      <c r="CT3711">
        <v>0</v>
      </c>
      <c r="CU3711">
        <v>0</v>
      </c>
    </row>
    <row r="3712" spans="1:99" x14ac:dyDescent="0.2">
      <c r="A3712" t="s">
        <v>425</v>
      </c>
      <c r="B3712" t="s">
        <v>425</v>
      </c>
      <c r="C3712" t="s">
        <v>425</v>
      </c>
      <c r="D3712" t="s">
        <v>1392</v>
      </c>
      <c r="F3712" t="str">
        <f>"164118"</f>
        <v>164118</v>
      </c>
      <c r="G3712" t="s">
        <v>49</v>
      </c>
      <c r="H3712" t="s">
        <v>1716</v>
      </c>
      <c r="K3712" t="s">
        <v>51</v>
      </c>
      <c r="L3712" t="s">
        <v>52</v>
      </c>
      <c r="M3712">
        <v>138465.51999999999</v>
      </c>
      <c r="N3712">
        <v>467674.25</v>
      </c>
      <c r="O3712" t="s">
        <v>53</v>
      </c>
      <c r="P3712" t="s">
        <v>54</v>
      </c>
      <c r="Q3712" t="s">
        <v>55</v>
      </c>
      <c r="T3712" t="s">
        <v>466</v>
      </c>
      <c r="U3712">
        <v>40</v>
      </c>
      <c r="V3712" s="1">
        <v>37245</v>
      </c>
      <c r="W3712" s="1">
        <v>37245</v>
      </c>
      <c r="X3712" s="1">
        <v>37245</v>
      </c>
      <c r="Y3712" s="1">
        <v>51855</v>
      </c>
      <c r="Z3712" t="s">
        <v>51</v>
      </c>
      <c r="AB3712" t="s">
        <v>54</v>
      </c>
      <c r="AC3712">
        <v>1</v>
      </c>
      <c r="AE3712" t="s">
        <v>814</v>
      </c>
      <c r="AF3712">
        <v>20</v>
      </c>
      <c r="AG3712" s="1">
        <v>37245</v>
      </c>
      <c r="AH3712" s="1">
        <v>37245</v>
      </c>
      <c r="AI3712" s="1">
        <v>37245</v>
      </c>
      <c r="AJ3712" s="1">
        <v>44550</v>
      </c>
      <c r="AK3712" t="s">
        <v>51</v>
      </c>
      <c r="AN3712">
        <v>0</v>
      </c>
      <c r="AO3712" t="s">
        <v>54</v>
      </c>
      <c r="AP3712" t="s">
        <v>53</v>
      </c>
      <c r="AQ3712">
        <v>0</v>
      </c>
      <c r="AR3712" t="s">
        <v>53</v>
      </c>
      <c r="AS3712">
        <v>0</v>
      </c>
      <c r="AT3712">
        <v>0</v>
      </c>
      <c r="CC3712" t="s">
        <v>439</v>
      </c>
      <c r="CD3712">
        <v>85000</v>
      </c>
      <c r="CE3712" s="1">
        <v>42552</v>
      </c>
      <c r="CF3712" s="1">
        <v>42552</v>
      </c>
      <c r="CG3712" s="1">
        <v>42552</v>
      </c>
      <c r="CH3712" s="1">
        <v>49714</v>
      </c>
      <c r="CI3712" t="s">
        <v>51</v>
      </c>
      <c r="CK3712" t="s">
        <v>78</v>
      </c>
      <c r="CM3712" t="s">
        <v>54</v>
      </c>
      <c r="CN3712" t="s">
        <v>174</v>
      </c>
      <c r="CO3712" t="s">
        <v>86</v>
      </c>
      <c r="CR3712">
        <v>25</v>
      </c>
      <c r="CS3712">
        <v>0</v>
      </c>
      <c r="CT3712">
        <v>0</v>
      </c>
      <c r="CU3712">
        <v>0</v>
      </c>
    </row>
    <row r="3713" spans="1:99" x14ac:dyDescent="0.2">
      <c r="A3713" t="s">
        <v>425</v>
      </c>
      <c r="B3713" t="s">
        <v>425</v>
      </c>
      <c r="C3713" t="s">
        <v>425</v>
      </c>
      <c r="D3713" t="s">
        <v>1392</v>
      </c>
      <c r="F3713" t="str">
        <f>"164119"</f>
        <v>164119</v>
      </c>
      <c r="G3713" t="s">
        <v>49</v>
      </c>
      <c r="H3713" t="s">
        <v>1717</v>
      </c>
      <c r="K3713" t="s">
        <v>51</v>
      </c>
      <c r="L3713" t="s">
        <v>52</v>
      </c>
      <c r="M3713">
        <v>138456.48000000001</v>
      </c>
      <c r="N3713">
        <v>467652.37</v>
      </c>
      <c r="O3713" t="s">
        <v>53</v>
      </c>
      <c r="P3713" t="s">
        <v>54</v>
      </c>
      <c r="Q3713" t="s">
        <v>55</v>
      </c>
      <c r="T3713" t="s">
        <v>466</v>
      </c>
      <c r="U3713">
        <v>40</v>
      </c>
      <c r="V3713" s="1">
        <v>37245</v>
      </c>
      <c r="W3713" s="1">
        <v>37245</v>
      </c>
      <c r="X3713" s="1">
        <v>37245</v>
      </c>
      <c r="Y3713" s="1">
        <v>51855</v>
      </c>
      <c r="Z3713" t="s">
        <v>51</v>
      </c>
      <c r="AB3713" t="s">
        <v>54</v>
      </c>
      <c r="AC3713">
        <v>1</v>
      </c>
      <c r="AE3713" t="s">
        <v>814</v>
      </c>
      <c r="AF3713">
        <v>20</v>
      </c>
      <c r="AG3713" s="1">
        <v>37245</v>
      </c>
      <c r="AH3713" s="1">
        <v>37245</v>
      </c>
      <c r="AI3713" s="1">
        <v>37245</v>
      </c>
      <c r="AJ3713" s="1">
        <v>44550</v>
      </c>
      <c r="AK3713" t="s">
        <v>51</v>
      </c>
      <c r="AN3713">
        <v>0</v>
      </c>
      <c r="AO3713" t="s">
        <v>54</v>
      </c>
      <c r="AP3713" t="s">
        <v>53</v>
      </c>
      <c r="AQ3713">
        <v>0</v>
      </c>
      <c r="AR3713" t="s">
        <v>53</v>
      </c>
      <c r="AS3713">
        <v>0</v>
      </c>
      <c r="AT3713">
        <v>0</v>
      </c>
      <c r="CC3713" t="s">
        <v>439</v>
      </c>
      <c r="CD3713">
        <v>85000</v>
      </c>
      <c r="CE3713" s="1">
        <v>44837</v>
      </c>
      <c r="CF3713" s="1">
        <v>44837</v>
      </c>
      <c r="CG3713" s="1">
        <v>44837</v>
      </c>
      <c r="CH3713" s="1">
        <v>51981</v>
      </c>
      <c r="CI3713" t="s">
        <v>51</v>
      </c>
      <c r="CK3713" t="s">
        <v>78</v>
      </c>
      <c r="CM3713" t="s">
        <v>54</v>
      </c>
      <c r="CN3713" t="s">
        <v>174</v>
      </c>
      <c r="CO3713" t="s">
        <v>86</v>
      </c>
      <c r="CR3713">
        <v>25</v>
      </c>
      <c r="CS3713">
        <v>0</v>
      </c>
      <c r="CT3713">
        <v>0</v>
      </c>
      <c r="CU3713">
        <v>0</v>
      </c>
    </row>
    <row r="3714" spans="1:99" x14ac:dyDescent="0.2">
      <c r="A3714" t="s">
        <v>425</v>
      </c>
      <c r="B3714" t="s">
        <v>425</v>
      </c>
      <c r="C3714" t="s">
        <v>425</v>
      </c>
      <c r="D3714" t="s">
        <v>1392</v>
      </c>
      <c r="F3714" t="str">
        <f>"164120"</f>
        <v>164120</v>
      </c>
      <c r="G3714" t="s">
        <v>49</v>
      </c>
      <c r="H3714" t="s">
        <v>1718</v>
      </c>
      <c r="K3714" t="s">
        <v>51</v>
      </c>
      <c r="L3714" t="s">
        <v>52</v>
      </c>
      <c r="M3714">
        <v>138443.19</v>
      </c>
      <c r="N3714">
        <v>467630.4</v>
      </c>
      <c r="O3714" t="s">
        <v>53</v>
      </c>
      <c r="P3714" t="s">
        <v>54</v>
      </c>
      <c r="Q3714" t="s">
        <v>55</v>
      </c>
      <c r="T3714" t="s">
        <v>466</v>
      </c>
      <c r="U3714">
        <v>40</v>
      </c>
      <c r="V3714" s="1">
        <v>37245</v>
      </c>
      <c r="W3714" s="1">
        <v>37245</v>
      </c>
      <c r="X3714" s="1">
        <v>37245</v>
      </c>
      <c r="Y3714" s="1">
        <v>51855</v>
      </c>
      <c r="Z3714" t="s">
        <v>51</v>
      </c>
      <c r="AB3714" t="s">
        <v>54</v>
      </c>
      <c r="AC3714">
        <v>1</v>
      </c>
      <c r="AE3714" t="s">
        <v>814</v>
      </c>
      <c r="AF3714">
        <v>20</v>
      </c>
      <c r="AG3714" s="1">
        <v>37245</v>
      </c>
      <c r="AH3714" s="1">
        <v>37245</v>
      </c>
      <c r="AI3714" s="1">
        <v>37245</v>
      </c>
      <c r="AJ3714" s="1">
        <v>44550</v>
      </c>
      <c r="AK3714" t="s">
        <v>51</v>
      </c>
      <c r="AN3714">
        <v>0</v>
      </c>
      <c r="AO3714" t="s">
        <v>54</v>
      </c>
      <c r="AP3714" t="s">
        <v>53</v>
      </c>
      <c r="AQ3714">
        <v>0</v>
      </c>
      <c r="AR3714" t="s">
        <v>53</v>
      </c>
      <c r="AS3714">
        <v>0</v>
      </c>
      <c r="AT3714">
        <v>0</v>
      </c>
      <c r="CC3714" t="s">
        <v>439</v>
      </c>
      <c r="CD3714">
        <v>85000</v>
      </c>
      <c r="CE3714" s="1">
        <v>42552</v>
      </c>
      <c r="CF3714" s="1">
        <v>42552</v>
      </c>
      <c r="CG3714" s="1">
        <v>42552</v>
      </c>
      <c r="CH3714" s="1">
        <v>49714</v>
      </c>
      <c r="CI3714" t="s">
        <v>51</v>
      </c>
      <c r="CK3714" t="s">
        <v>78</v>
      </c>
      <c r="CM3714" t="s">
        <v>54</v>
      </c>
      <c r="CN3714" t="s">
        <v>174</v>
      </c>
      <c r="CO3714" t="s">
        <v>86</v>
      </c>
      <c r="CR3714">
        <v>25</v>
      </c>
      <c r="CS3714">
        <v>0</v>
      </c>
      <c r="CT3714">
        <v>0</v>
      </c>
      <c r="CU3714">
        <v>0</v>
      </c>
    </row>
    <row r="3715" spans="1:99" x14ac:dyDescent="0.2">
      <c r="A3715" t="s">
        <v>425</v>
      </c>
      <c r="B3715" t="s">
        <v>425</v>
      </c>
      <c r="C3715" t="s">
        <v>425</v>
      </c>
      <c r="D3715" t="s">
        <v>1392</v>
      </c>
      <c r="F3715" t="str">
        <f>"164121"</f>
        <v>164121</v>
      </c>
      <c r="G3715" t="s">
        <v>49</v>
      </c>
      <c r="H3715" t="s">
        <v>1719</v>
      </c>
      <c r="K3715" t="s">
        <v>51</v>
      </c>
      <c r="L3715" t="s">
        <v>52</v>
      </c>
      <c r="M3715">
        <v>138428.35</v>
      </c>
      <c r="N3715">
        <v>467609.04</v>
      </c>
      <c r="O3715" t="s">
        <v>53</v>
      </c>
      <c r="P3715" t="s">
        <v>54</v>
      </c>
      <c r="Q3715" t="s">
        <v>55</v>
      </c>
      <c r="T3715" t="s">
        <v>466</v>
      </c>
      <c r="U3715">
        <v>40</v>
      </c>
      <c r="V3715" s="1">
        <v>37245</v>
      </c>
      <c r="W3715" s="1">
        <v>37245</v>
      </c>
      <c r="X3715" s="1">
        <v>37245</v>
      </c>
      <c r="Y3715" s="1">
        <v>51855</v>
      </c>
      <c r="Z3715" t="s">
        <v>51</v>
      </c>
      <c r="AB3715" t="s">
        <v>54</v>
      </c>
      <c r="AC3715">
        <v>1</v>
      </c>
      <c r="AE3715" t="s">
        <v>814</v>
      </c>
      <c r="AF3715">
        <v>20</v>
      </c>
      <c r="AG3715" s="1">
        <v>37245</v>
      </c>
      <c r="AH3715" s="1">
        <v>37245</v>
      </c>
      <c r="AI3715" s="1">
        <v>37245</v>
      </c>
      <c r="AJ3715" s="1">
        <v>44550</v>
      </c>
      <c r="AK3715" t="s">
        <v>51</v>
      </c>
      <c r="AN3715">
        <v>0</v>
      </c>
      <c r="AO3715" t="s">
        <v>54</v>
      </c>
      <c r="AP3715" t="s">
        <v>53</v>
      </c>
      <c r="AQ3715">
        <v>0</v>
      </c>
      <c r="AR3715" t="s">
        <v>53</v>
      </c>
      <c r="AS3715">
        <v>0</v>
      </c>
      <c r="AT3715">
        <v>0</v>
      </c>
      <c r="CC3715" t="s">
        <v>439</v>
      </c>
      <c r="CD3715">
        <v>85000</v>
      </c>
      <c r="CE3715" s="1">
        <v>42552</v>
      </c>
      <c r="CF3715" s="1">
        <v>42552</v>
      </c>
      <c r="CG3715" s="1">
        <v>42552</v>
      </c>
      <c r="CH3715" s="1">
        <v>49714</v>
      </c>
      <c r="CI3715" t="s">
        <v>51</v>
      </c>
      <c r="CK3715" t="s">
        <v>78</v>
      </c>
      <c r="CM3715" t="s">
        <v>54</v>
      </c>
      <c r="CN3715" t="s">
        <v>174</v>
      </c>
      <c r="CO3715" t="s">
        <v>86</v>
      </c>
      <c r="CR3715">
        <v>25</v>
      </c>
      <c r="CS3715">
        <v>0</v>
      </c>
      <c r="CT3715">
        <v>0</v>
      </c>
      <c r="CU3715">
        <v>0</v>
      </c>
    </row>
    <row r="3716" spans="1:99" x14ac:dyDescent="0.2">
      <c r="A3716" t="s">
        <v>425</v>
      </c>
      <c r="B3716" t="s">
        <v>425</v>
      </c>
      <c r="C3716" t="s">
        <v>425</v>
      </c>
      <c r="D3716" t="s">
        <v>1392</v>
      </c>
      <c r="F3716" t="str">
        <f>"164122"</f>
        <v>164122</v>
      </c>
      <c r="G3716" t="s">
        <v>49</v>
      </c>
      <c r="H3716" t="s">
        <v>1720</v>
      </c>
      <c r="K3716" t="s">
        <v>51</v>
      </c>
      <c r="L3716" t="s">
        <v>52</v>
      </c>
      <c r="M3716">
        <v>138414.41</v>
      </c>
      <c r="N3716">
        <v>467588.87</v>
      </c>
      <c r="O3716" t="s">
        <v>53</v>
      </c>
      <c r="P3716" t="s">
        <v>54</v>
      </c>
      <c r="Q3716" t="s">
        <v>55</v>
      </c>
      <c r="T3716" t="s">
        <v>466</v>
      </c>
      <c r="U3716">
        <v>40</v>
      </c>
      <c r="V3716" s="1">
        <v>37245</v>
      </c>
      <c r="W3716" s="1">
        <v>37245</v>
      </c>
      <c r="X3716" s="1">
        <v>37245</v>
      </c>
      <c r="Y3716" s="1">
        <v>51855</v>
      </c>
      <c r="Z3716" t="s">
        <v>51</v>
      </c>
      <c r="AB3716" t="s">
        <v>54</v>
      </c>
      <c r="AC3716">
        <v>1</v>
      </c>
      <c r="AE3716" t="s">
        <v>814</v>
      </c>
      <c r="AF3716">
        <v>20</v>
      </c>
      <c r="AG3716" s="1">
        <v>37245</v>
      </c>
      <c r="AH3716" s="1">
        <v>37245</v>
      </c>
      <c r="AI3716" s="1">
        <v>37245</v>
      </c>
      <c r="AJ3716" s="1">
        <v>44550</v>
      </c>
      <c r="AK3716" t="s">
        <v>51</v>
      </c>
      <c r="AN3716">
        <v>0</v>
      </c>
      <c r="AO3716" t="s">
        <v>54</v>
      </c>
      <c r="AP3716" t="s">
        <v>53</v>
      </c>
      <c r="AQ3716">
        <v>0</v>
      </c>
      <c r="AR3716" t="s">
        <v>53</v>
      </c>
      <c r="AS3716">
        <v>0</v>
      </c>
      <c r="AT3716">
        <v>0</v>
      </c>
      <c r="CC3716" t="s">
        <v>439</v>
      </c>
      <c r="CD3716">
        <v>85000</v>
      </c>
      <c r="CE3716" s="1">
        <v>42552</v>
      </c>
      <c r="CF3716" s="1">
        <v>42552</v>
      </c>
      <c r="CG3716" s="1">
        <v>42552</v>
      </c>
      <c r="CH3716" s="1">
        <v>49714</v>
      </c>
      <c r="CI3716" t="s">
        <v>51</v>
      </c>
      <c r="CK3716" t="s">
        <v>78</v>
      </c>
      <c r="CM3716" t="s">
        <v>54</v>
      </c>
      <c r="CN3716" t="s">
        <v>174</v>
      </c>
      <c r="CO3716" t="s">
        <v>86</v>
      </c>
      <c r="CR3716">
        <v>25</v>
      </c>
      <c r="CS3716">
        <v>0</v>
      </c>
      <c r="CT3716">
        <v>0</v>
      </c>
      <c r="CU3716">
        <v>0</v>
      </c>
    </row>
    <row r="3717" spans="1:99" x14ac:dyDescent="0.2">
      <c r="A3717" t="s">
        <v>425</v>
      </c>
      <c r="B3717" t="s">
        <v>425</v>
      </c>
      <c r="C3717" t="s">
        <v>425</v>
      </c>
      <c r="D3717" t="s">
        <v>1392</v>
      </c>
      <c r="F3717" t="str">
        <f>"164123"</f>
        <v>164123</v>
      </c>
      <c r="G3717" t="s">
        <v>49</v>
      </c>
      <c r="H3717" t="s">
        <v>1721</v>
      </c>
      <c r="K3717" t="s">
        <v>51</v>
      </c>
      <c r="L3717" t="s">
        <v>52</v>
      </c>
      <c r="M3717">
        <v>138401.10999999999</v>
      </c>
      <c r="N3717">
        <v>467568.84</v>
      </c>
      <c r="O3717" t="s">
        <v>53</v>
      </c>
      <c r="P3717" t="s">
        <v>54</v>
      </c>
      <c r="Q3717" t="s">
        <v>55</v>
      </c>
      <c r="T3717" t="s">
        <v>466</v>
      </c>
      <c r="U3717">
        <v>40</v>
      </c>
      <c r="V3717" s="1">
        <v>37245</v>
      </c>
      <c r="W3717" s="1">
        <v>37245</v>
      </c>
      <c r="X3717" s="1">
        <v>37245</v>
      </c>
      <c r="Y3717" s="1">
        <v>51855</v>
      </c>
      <c r="Z3717" t="s">
        <v>51</v>
      </c>
      <c r="AB3717" t="s">
        <v>54</v>
      </c>
      <c r="AC3717">
        <v>1</v>
      </c>
      <c r="AE3717" t="s">
        <v>814</v>
      </c>
      <c r="AF3717">
        <v>20</v>
      </c>
      <c r="AG3717" s="1">
        <v>37245</v>
      </c>
      <c r="AH3717" s="1">
        <v>37245</v>
      </c>
      <c r="AI3717" s="1">
        <v>37245</v>
      </c>
      <c r="AJ3717" s="1">
        <v>44550</v>
      </c>
      <c r="AK3717" t="s">
        <v>51</v>
      </c>
      <c r="AN3717">
        <v>0</v>
      </c>
      <c r="AO3717" t="s">
        <v>54</v>
      </c>
      <c r="AP3717" t="s">
        <v>53</v>
      </c>
      <c r="AQ3717">
        <v>0</v>
      </c>
      <c r="AR3717" t="s">
        <v>53</v>
      </c>
      <c r="AS3717">
        <v>0</v>
      </c>
      <c r="AT3717">
        <v>0</v>
      </c>
      <c r="CC3717" t="s">
        <v>439</v>
      </c>
      <c r="CD3717">
        <v>85000</v>
      </c>
      <c r="CE3717" s="1">
        <v>42552</v>
      </c>
      <c r="CF3717" s="1">
        <v>42552</v>
      </c>
      <c r="CG3717" s="1">
        <v>42552</v>
      </c>
      <c r="CH3717" s="1">
        <v>49714</v>
      </c>
      <c r="CI3717" t="s">
        <v>51</v>
      </c>
      <c r="CK3717" t="s">
        <v>78</v>
      </c>
      <c r="CM3717" t="s">
        <v>54</v>
      </c>
      <c r="CN3717" t="s">
        <v>174</v>
      </c>
      <c r="CO3717" t="s">
        <v>86</v>
      </c>
      <c r="CR3717">
        <v>25</v>
      </c>
      <c r="CS3717">
        <v>0</v>
      </c>
      <c r="CT3717">
        <v>0</v>
      </c>
      <c r="CU3717">
        <v>0</v>
      </c>
    </row>
    <row r="3718" spans="1:99" x14ac:dyDescent="0.2">
      <c r="A3718" t="s">
        <v>425</v>
      </c>
      <c r="B3718" t="s">
        <v>425</v>
      </c>
      <c r="C3718" t="s">
        <v>425</v>
      </c>
      <c r="D3718" t="s">
        <v>1392</v>
      </c>
      <c r="F3718" t="str">
        <f>"164124"</f>
        <v>164124</v>
      </c>
      <c r="G3718" t="s">
        <v>49</v>
      </c>
      <c r="H3718" t="s">
        <v>1722</v>
      </c>
      <c r="K3718" t="s">
        <v>51</v>
      </c>
      <c r="L3718" t="s">
        <v>52</v>
      </c>
      <c r="M3718">
        <v>138388.69</v>
      </c>
      <c r="N3718">
        <v>467548.9</v>
      </c>
      <c r="O3718" t="s">
        <v>53</v>
      </c>
      <c r="P3718" t="s">
        <v>54</v>
      </c>
      <c r="Q3718" t="s">
        <v>55</v>
      </c>
      <c r="T3718" t="s">
        <v>466</v>
      </c>
      <c r="U3718">
        <v>40</v>
      </c>
      <c r="V3718" s="1">
        <v>40564</v>
      </c>
      <c r="W3718" s="1">
        <v>40564</v>
      </c>
      <c r="X3718" s="1">
        <v>40564</v>
      </c>
      <c r="Y3718" s="1">
        <v>55174</v>
      </c>
      <c r="Z3718" t="s">
        <v>51</v>
      </c>
      <c r="AB3718" t="s">
        <v>54</v>
      </c>
      <c r="AC3718">
        <v>1</v>
      </c>
      <c r="AE3718" t="s">
        <v>814</v>
      </c>
      <c r="AF3718">
        <v>20</v>
      </c>
      <c r="AG3718" s="1">
        <v>37245</v>
      </c>
      <c r="AH3718" s="1">
        <v>37245</v>
      </c>
      <c r="AI3718" s="1">
        <v>40564</v>
      </c>
      <c r="AJ3718" s="1">
        <v>44550</v>
      </c>
      <c r="AK3718" t="s">
        <v>51</v>
      </c>
      <c r="AN3718">
        <v>0</v>
      </c>
      <c r="AO3718" t="s">
        <v>54</v>
      </c>
      <c r="AP3718" t="s">
        <v>53</v>
      </c>
      <c r="AQ3718">
        <v>0</v>
      </c>
      <c r="AR3718" t="s">
        <v>53</v>
      </c>
      <c r="AS3718">
        <v>0</v>
      </c>
      <c r="AT3718">
        <v>0</v>
      </c>
      <c r="CC3718" t="s">
        <v>439</v>
      </c>
      <c r="CD3718">
        <v>85000</v>
      </c>
      <c r="CE3718" s="1">
        <v>44208</v>
      </c>
      <c r="CF3718" s="1">
        <v>44208</v>
      </c>
      <c r="CG3718" s="1">
        <v>44208</v>
      </c>
      <c r="CH3718" s="1">
        <v>51422</v>
      </c>
      <c r="CI3718" t="s">
        <v>51</v>
      </c>
      <c r="CK3718" t="s">
        <v>78</v>
      </c>
      <c r="CM3718" t="s">
        <v>54</v>
      </c>
      <c r="CN3718" t="s">
        <v>174</v>
      </c>
      <c r="CO3718" t="s">
        <v>86</v>
      </c>
      <c r="CR3718">
        <v>25</v>
      </c>
      <c r="CS3718">
        <v>0</v>
      </c>
      <c r="CT3718">
        <v>0</v>
      </c>
      <c r="CU3718">
        <v>0</v>
      </c>
    </row>
    <row r="3719" spans="1:99" x14ac:dyDescent="0.2">
      <c r="A3719" t="s">
        <v>425</v>
      </c>
      <c r="B3719" t="s">
        <v>425</v>
      </c>
      <c r="C3719" t="s">
        <v>425</v>
      </c>
      <c r="D3719" t="s">
        <v>1392</v>
      </c>
      <c r="F3719" t="str">
        <f>"254257"</f>
        <v>254257</v>
      </c>
      <c r="G3719" t="s">
        <v>49</v>
      </c>
      <c r="H3719" t="s">
        <v>1723</v>
      </c>
      <c r="K3719" t="s">
        <v>51</v>
      </c>
      <c r="L3719" t="s">
        <v>52</v>
      </c>
      <c r="M3719">
        <v>138374.76999999999</v>
      </c>
      <c r="N3719">
        <v>467527.73</v>
      </c>
      <c r="O3719" t="s">
        <v>53</v>
      </c>
      <c r="P3719" t="s">
        <v>54</v>
      </c>
      <c r="Q3719" t="s">
        <v>55</v>
      </c>
      <c r="T3719" t="s">
        <v>466</v>
      </c>
      <c r="U3719">
        <v>40</v>
      </c>
      <c r="V3719" s="1">
        <v>42552</v>
      </c>
      <c r="W3719" s="1">
        <v>42552</v>
      </c>
      <c r="X3719" s="1">
        <v>42552</v>
      </c>
      <c r="Y3719" s="1">
        <v>57162</v>
      </c>
      <c r="Z3719" t="s">
        <v>51</v>
      </c>
      <c r="AB3719" t="s">
        <v>54</v>
      </c>
      <c r="AC3719">
        <v>1</v>
      </c>
      <c r="AE3719" t="s">
        <v>79</v>
      </c>
      <c r="AF3719">
        <v>20</v>
      </c>
      <c r="AG3719" s="1">
        <v>42552</v>
      </c>
      <c r="AH3719" s="1">
        <v>42552</v>
      </c>
      <c r="AI3719" s="1">
        <v>42552</v>
      </c>
      <c r="AJ3719" s="1">
        <v>49857</v>
      </c>
      <c r="AK3719" t="s">
        <v>51</v>
      </c>
      <c r="AN3719">
        <v>0</v>
      </c>
      <c r="AO3719" t="s">
        <v>54</v>
      </c>
      <c r="AP3719" t="s">
        <v>53</v>
      </c>
      <c r="AQ3719">
        <v>0</v>
      </c>
      <c r="AR3719" t="s">
        <v>145</v>
      </c>
      <c r="AS3719">
        <v>0</v>
      </c>
      <c r="AT3719">
        <v>0</v>
      </c>
      <c r="CC3719" t="s">
        <v>439</v>
      </c>
      <c r="CD3719">
        <v>85000</v>
      </c>
      <c r="CE3719" s="1">
        <v>42552</v>
      </c>
      <c r="CF3719" s="1">
        <v>42552</v>
      </c>
      <c r="CG3719" s="1">
        <v>42552</v>
      </c>
      <c r="CH3719" s="1">
        <v>49714</v>
      </c>
      <c r="CI3719" t="s">
        <v>51</v>
      </c>
      <c r="CK3719" t="s">
        <v>78</v>
      </c>
      <c r="CM3719" t="s">
        <v>54</v>
      </c>
      <c r="CN3719" t="s">
        <v>174</v>
      </c>
      <c r="CO3719" t="s">
        <v>86</v>
      </c>
      <c r="CR3719">
        <v>25</v>
      </c>
      <c r="CS3719">
        <v>0</v>
      </c>
      <c r="CT3719">
        <v>0</v>
      </c>
      <c r="CU3719">
        <v>0</v>
      </c>
    </row>
    <row r="3720" spans="1:99" x14ac:dyDescent="0.2">
      <c r="A3720" t="s">
        <v>425</v>
      </c>
      <c r="B3720" t="s">
        <v>425</v>
      </c>
      <c r="C3720" t="s">
        <v>425</v>
      </c>
      <c r="D3720" t="s">
        <v>1392</v>
      </c>
      <c r="F3720" t="str">
        <f>"164126"</f>
        <v>164126</v>
      </c>
      <c r="G3720" t="s">
        <v>49</v>
      </c>
      <c r="H3720" t="s">
        <v>1724</v>
      </c>
      <c r="K3720" t="s">
        <v>51</v>
      </c>
      <c r="L3720" t="s">
        <v>52</v>
      </c>
      <c r="M3720">
        <v>138482.46</v>
      </c>
      <c r="N3720">
        <v>467839.83</v>
      </c>
      <c r="O3720" t="s">
        <v>53</v>
      </c>
      <c r="P3720" t="s">
        <v>54</v>
      </c>
      <c r="Q3720" t="s">
        <v>55</v>
      </c>
      <c r="T3720" t="s">
        <v>841</v>
      </c>
      <c r="U3720">
        <v>40</v>
      </c>
      <c r="V3720" s="1">
        <v>39736</v>
      </c>
      <c r="W3720" s="1">
        <v>39736</v>
      </c>
      <c r="X3720" s="1">
        <v>39736</v>
      </c>
      <c r="Y3720" s="1">
        <v>54346</v>
      </c>
      <c r="Z3720" t="s">
        <v>51</v>
      </c>
      <c r="AB3720" t="s">
        <v>54</v>
      </c>
      <c r="AC3720">
        <v>1</v>
      </c>
      <c r="AE3720" t="s">
        <v>814</v>
      </c>
      <c r="AF3720">
        <v>20</v>
      </c>
      <c r="AG3720" s="1">
        <v>39526</v>
      </c>
      <c r="AH3720" s="1">
        <v>39526</v>
      </c>
      <c r="AI3720" s="1">
        <v>39736</v>
      </c>
      <c r="AJ3720" s="1">
        <v>46831</v>
      </c>
      <c r="AK3720" t="s">
        <v>51</v>
      </c>
      <c r="AN3720">
        <v>0</v>
      </c>
      <c r="AO3720" t="s">
        <v>54</v>
      </c>
      <c r="AP3720" t="s">
        <v>53</v>
      </c>
      <c r="AQ3720">
        <v>0</v>
      </c>
      <c r="AR3720" t="s">
        <v>53</v>
      </c>
      <c r="AS3720">
        <v>0</v>
      </c>
      <c r="AT3720">
        <v>0</v>
      </c>
      <c r="CC3720" t="s">
        <v>439</v>
      </c>
      <c r="CD3720">
        <v>85000</v>
      </c>
      <c r="CE3720" s="1">
        <v>42552</v>
      </c>
      <c r="CF3720" s="1">
        <v>42552</v>
      </c>
      <c r="CG3720" s="1">
        <v>42552</v>
      </c>
      <c r="CH3720" s="1">
        <v>49714</v>
      </c>
      <c r="CI3720" t="s">
        <v>51</v>
      </c>
      <c r="CK3720" t="s">
        <v>78</v>
      </c>
      <c r="CM3720" t="s">
        <v>54</v>
      </c>
      <c r="CN3720" t="s">
        <v>174</v>
      </c>
      <c r="CO3720" t="s">
        <v>86</v>
      </c>
      <c r="CR3720">
        <v>25</v>
      </c>
      <c r="CS3720">
        <v>0</v>
      </c>
      <c r="CT3720">
        <v>0</v>
      </c>
      <c r="CU3720">
        <v>0</v>
      </c>
    </row>
    <row r="3721" spans="1:99" x14ac:dyDescent="0.2">
      <c r="A3721" t="s">
        <v>367</v>
      </c>
      <c r="B3721" t="s">
        <v>368</v>
      </c>
      <c r="C3721" t="s">
        <v>369</v>
      </c>
      <c r="D3721" t="s">
        <v>1155</v>
      </c>
      <c r="F3721" t="str">
        <f>"164242"</f>
        <v>164242</v>
      </c>
      <c r="G3721" t="s">
        <v>49</v>
      </c>
      <c r="H3721" t="s">
        <v>1725</v>
      </c>
      <c r="K3721" t="s">
        <v>51</v>
      </c>
      <c r="L3721" t="s">
        <v>52</v>
      </c>
      <c r="M3721">
        <v>137995.51999999999</v>
      </c>
      <c r="N3721">
        <v>468677.08</v>
      </c>
      <c r="O3721" t="s">
        <v>53</v>
      </c>
      <c r="P3721" t="s">
        <v>54</v>
      </c>
      <c r="Q3721" t="s">
        <v>55</v>
      </c>
      <c r="T3721" t="s">
        <v>1604</v>
      </c>
      <c r="U3721">
        <v>40</v>
      </c>
      <c r="V3721" s="1">
        <v>37175</v>
      </c>
      <c r="W3721" s="1">
        <v>37175</v>
      </c>
      <c r="X3721" s="1">
        <v>37175</v>
      </c>
      <c r="Y3721" s="1">
        <v>51785</v>
      </c>
      <c r="Z3721" t="s">
        <v>51</v>
      </c>
      <c r="AB3721" t="s">
        <v>54</v>
      </c>
      <c r="AC3721">
        <v>1</v>
      </c>
      <c r="AE3721" t="s">
        <v>57</v>
      </c>
      <c r="AF3721">
        <v>20</v>
      </c>
      <c r="AG3721" s="1">
        <v>37175</v>
      </c>
      <c r="AH3721" s="1">
        <v>37175</v>
      </c>
      <c r="AI3721" s="1">
        <v>37175</v>
      </c>
      <c r="AJ3721" s="1">
        <v>44480</v>
      </c>
      <c r="AK3721" t="s">
        <v>51</v>
      </c>
      <c r="AN3721">
        <v>0</v>
      </c>
      <c r="AO3721" t="s">
        <v>54</v>
      </c>
      <c r="AP3721" t="s">
        <v>53</v>
      </c>
      <c r="AQ3721">
        <v>0</v>
      </c>
      <c r="AR3721" t="s">
        <v>53</v>
      </c>
      <c r="AS3721">
        <v>0</v>
      </c>
      <c r="AT3721">
        <v>0</v>
      </c>
      <c r="AW3721" t="s">
        <v>58</v>
      </c>
      <c r="AX3721">
        <v>20</v>
      </c>
      <c r="AY3721" s="1">
        <v>37175</v>
      </c>
      <c r="AZ3721" s="1">
        <v>37175</v>
      </c>
      <c r="BA3721" s="1">
        <v>37175</v>
      </c>
      <c r="BB3721" s="1">
        <v>44480</v>
      </c>
      <c r="BC3721" t="s">
        <v>51</v>
      </c>
      <c r="BE3721" t="s">
        <v>54</v>
      </c>
      <c r="BF3721">
        <v>2</v>
      </c>
      <c r="BG3721">
        <v>0</v>
      </c>
      <c r="BH3721" t="s">
        <v>53</v>
      </c>
      <c r="BK3721" t="s">
        <v>59</v>
      </c>
      <c r="BL3721">
        <v>14000</v>
      </c>
      <c r="BM3721" s="1">
        <v>41091</v>
      </c>
      <c r="BN3721" s="1">
        <v>41091</v>
      </c>
      <c r="BO3721" s="1">
        <v>41091</v>
      </c>
      <c r="BP3721" s="1">
        <v>42291</v>
      </c>
      <c r="BQ3721" t="s">
        <v>51</v>
      </c>
      <c r="BS3721" t="s">
        <v>60</v>
      </c>
      <c r="BT3721" t="s">
        <v>54</v>
      </c>
      <c r="BU3721" t="s">
        <v>61</v>
      </c>
      <c r="BV3721" t="s">
        <v>62</v>
      </c>
      <c r="BX3721">
        <v>24</v>
      </c>
      <c r="BY3721">
        <v>0</v>
      </c>
      <c r="BZ3721">
        <v>0</v>
      </c>
    </row>
    <row r="3722" spans="1:99" x14ac:dyDescent="0.2">
      <c r="A3722" t="s">
        <v>367</v>
      </c>
      <c r="B3722" t="s">
        <v>368</v>
      </c>
      <c r="C3722" t="s">
        <v>369</v>
      </c>
      <c r="D3722" t="s">
        <v>1155</v>
      </c>
      <c r="F3722" t="str">
        <f>"164243"</f>
        <v>164243</v>
      </c>
      <c r="G3722" t="s">
        <v>49</v>
      </c>
      <c r="H3722" t="s">
        <v>1726</v>
      </c>
      <c r="K3722" t="s">
        <v>51</v>
      </c>
      <c r="L3722" t="s">
        <v>52</v>
      </c>
      <c r="M3722">
        <v>137991.66</v>
      </c>
      <c r="N3722">
        <v>468687.31</v>
      </c>
      <c r="O3722" t="s">
        <v>53</v>
      </c>
      <c r="P3722" t="s">
        <v>54</v>
      </c>
      <c r="Q3722" t="s">
        <v>55</v>
      </c>
      <c r="T3722" t="s">
        <v>1604</v>
      </c>
      <c r="U3722">
        <v>40</v>
      </c>
      <c r="V3722" s="1">
        <v>37175</v>
      </c>
      <c r="W3722" s="1">
        <v>37175</v>
      </c>
      <c r="X3722" s="1">
        <v>37175</v>
      </c>
      <c r="Y3722" s="1">
        <v>51785</v>
      </c>
      <c r="Z3722" t="s">
        <v>51</v>
      </c>
      <c r="AB3722" t="s">
        <v>54</v>
      </c>
      <c r="AC3722">
        <v>1</v>
      </c>
      <c r="AE3722" t="s">
        <v>57</v>
      </c>
      <c r="AF3722">
        <v>20</v>
      </c>
      <c r="AG3722" s="1">
        <v>37175</v>
      </c>
      <c r="AH3722" s="1">
        <v>37175</v>
      </c>
      <c r="AI3722" s="1">
        <v>37175</v>
      </c>
      <c r="AJ3722" s="1">
        <v>44480</v>
      </c>
      <c r="AK3722" t="s">
        <v>51</v>
      </c>
      <c r="AN3722">
        <v>0</v>
      </c>
      <c r="AO3722" t="s">
        <v>54</v>
      </c>
      <c r="AP3722" t="s">
        <v>53</v>
      </c>
      <c r="AQ3722">
        <v>0</v>
      </c>
      <c r="AR3722" t="s">
        <v>53</v>
      </c>
      <c r="AS3722">
        <v>0</v>
      </c>
      <c r="AT3722">
        <v>0</v>
      </c>
      <c r="AW3722" t="s">
        <v>58</v>
      </c>
      <c r="AX3722">
        <v>20</v>
      </c>
      <c r="AY3722" s="1">
        <v>37175</v>
      </c>
      <c r="AZ3722" s="1">
        <v>37175</v>
      </c>
      <c r="BA3722" s="1">
        <v>37175</v>
      </c>
      <c r="BB3722" s="1">
        <v>44480</v>
      </c>
      <c r="BC3722" t="s">
        <v>51</v>
      </c>
      <c r="BE3722" t="s">
        <v>54</v>
      </c>
      <c r="BF3722">
        <v>2</v>
      </c>
      <c r="BG3722">
        <v>0</v>
      </c>
      <c r="BH3722" t="s">
        <v>53</v>
      </c>
      <c r="BK3722" t="s">
        <v>59</v>
      </c>
      <c r="BL3722">
        <v>14000</v>
      </c>
      <c r="BM3722" s="1">
        <v>41091</v>
      </c>
      <c r="BN3722" s="1">
        <v>41091</v>
      </c>
      <c r="BO3722" s="1">
        <v>41091</v>
      </c>
      <c r="BP3722" s="1">
        <v>42291</v>
      </c>
      <c r="BQ3722" t="s">
        <v>51</v>
      </c>
      <c r="BS3722" t="s">
        <v>60</v>
      </c>
      <c r="BT3722" t="s">
        <v>54</v>
      </c>
      <c r="BU3722" t="s">
        <v>61</v>
      </c>
      <c r="BV3722" t="s">
        <v>62</v>
      </c>
      <c r="BX3722">
        <v>24</v>
      </c>
      <c r="BY3722">
        <v>0</v>
      </c>
      <c r="BZ3722">
        <v>0</v>
      </c>
    </row>
    <row r="3723" spans="1:99" x14ac:dyDescent="0.2">
      <c r="A3723" t="s">
        <v>367</v>
      </c>
      <c r="B3723" t="s">
        <v>368</v>
      </c>
      <c r="C3723" t="s">
        <v>369</v>
      </c>
      <c r="D3723" t="s">
        <v>1155</v>
      </c>
      <c r="F3723" t="str">
        <f>"164244"</f>
        <v>164244</v>
      </c>
      <c r="G3723" t="s">
        <v>49</v>
      </c>
      <c r="H3723" t="s">
        <v>1727</v>
      </c>
      <c r="K3723" t="s">
        <v>51</v>
      </c>
      <c r="L3723" t="s">
        <v>52</v>
      </c>
      <c r="M3723">
        <v>137987.98000000001</v>
      </c>
      <c r="N3723">
        <v>468695.4</v>
      </c>
      <c r="O3723" t="s">
        <v>53</v>
      </c>
      <c r="P3723" t="s">
        <v>54</v>
      </c>
      <c r="Q3723" t="s">
        <v>55</v>
      </c>
      <c r="T3723" t="s">
        <v>1604</v>
      </c>
      <c r="U3723">
        <v>40</v>
      </c>
      <c r="V3723" s="1">
        <v>37175</v>
      </c>
      <c r="W3723" s="1">
        <v>37175</v>
      </c>
      <c r="X3723" s="1">
        <v>37175</v>
      </c>
      <c r="Y3723" s="1">
        <v>51785</v>
      </c>
      <c r="Z3723" t="s">
        <v>51</v>
      </c>
      <c r="AB3723" t="s">
        <v>54</v>
      </c>
      <c r="AC3723">
        <v>1</v>
      </c>
      <c r="AE3723" t="s">
        <v>57</v>
      </c>
      <c r="AF3723">
        <v>20</v>
      </c>
      <c r="AG3723" s="1">
        <v>37175</v>
      </c>
      <c r="AH3723" s="1">
        <v>37175</v>
      </c>
      <c r="AI3723" s="1">
        <v>37175</v>
      </c>
      <c r="AJ3723" s="1">
        <v>44480</v>
      </c>
      <c r="AK3723" t="s">
        <v>51</v>
      </c>
      <c r="AN3723">
        <v>0</v>
      </c>
      <c r="AO3723" t="s">
        <v>54</v>
      </c>
      <c r="AP3723" t="s">
        <v>53</v>
      </c>
      <c r="AQ3723">
        <v>0</v>
      </c>
      <c r="AR3723" t="s">
        <v>53</v>
      </c>
      <c r="AS3723">
        <v>0</v>
      </c>
      <c r="AT3723">
        <v>0</v>
      </c>
      <c r="AW3723" t="s">
        <v>58</v>
      </c>
      <c r="AX3723">
        <v>20</v>
      </c>
      <c r="AY3723" s="1">
        <v>37175</v>
      </c>
      <c r="AZ3723" s="1">
        <v>37175</v>
      </c>
      <c r="BA3723" s="1">
        <v>37175</v>
      </c>
      <c r="BB3723" s="1">
        <v>44480</v>
      </c>
      <c r="BC3723" t="s">
        <v>51</v>
      </c>
      <c r="BE3723" t="s">
        <v>54</v>
      </c>
      <c r="BF3723">
        <v>2</v>
      </c>
      <c r="BG3723">
        <v>0</v>
      </c>
      <c r="BH3723" t="s">
        <v>53</v>
      </c>
      <c r="BK3723" t="s">
        <v>59</v>
      </c>
      <c r="BL3723">
        <v>14000</v>
      </c>
      <c r="BM3723" s="1">
        <v>41091</v>
      </c>
      <c r="BN3723" s="1">
        <v>41091</v>
      </c>
      <c r="BO3723" s="1">
        <v>41091</v>
      </c>
      <c r="BP3723" s="1">
        <v>42291</v>
      </c>
      <c r="BQ3723" t="s">
        <v>51</v>
      </c>
      <c r="BS3723" t="s">
        <v>60</v>
      </c>
      <c r="BT3723" t="s">
        <v>54</v>
      </c>
      <c r="BU3723" t="s">
        <v>61</v>
      </c>
      <c r="BV3723" t="s">
        <v>62</v>
      </c>
      <c r="BX3723">
        <v>24</v>
      </c>
      <c r="BY3723">
        <v>0</v>
      </c>
      <c r="BZ3723">
        <v>0</v>
      </c>
    </row>
    <row r="3724" spans="1:99" x14ac:dyDescent="0.2">
      <c r="A3724" t="s">
        <v>367</v>
      </c>
      <c r="B3724" t="s">
        <v>368</v>
      </c>
      <c r="C3724" t="s">
        <v>369</v>
      </c>
      <c r="D3724" t="s">
        <v>1155</v>
      </c>
      <c r="F3724" t="str">
        <f>"164245"</f>
        <v>164245</v>
      </c>
      <c r="G3724" t="s">
        <v>49</v>
      </c>
      <c r="H3724" t="s">
        <v>1728</v>
      </c>
      <c r="K3724" t="s">
        <v>51</v>
      </c>
      <c r="L3724" t="s">
        <v>52</v>
      </c>
      <c r="M3724">
        <v>137984.47</v>
      </c>
      <c r="N3724">
        <v>468704.58</v>
      </c>
      <c r="O3724" t="s">
        <v>53</v>
      </c>
      <c r="P3724" t="s">
        <v>54</v>
      </c>
      <c r="Q3724" t="s">
        <v>55</v>
      </c>
      <c r="T3724" t="s">
        <v>1604</v>
      </c>
      <c r="U3724">
        <v>40</v>
      </c>
      <c r="V3724" s="1">
        <v>37175</v>
      </c>
      <c r="W3724" s="1">
        <v>37175</v>
      </c>
      <c r="X3724" s="1">
        <v>37175</v>
      </c>
      <c r="Y3724" s="1">
        <v>51785</v>
      </c>
      <c r="Z3724" t="s">
        <v>51</v>
      </c>
      <c r="AB3724" t="s">
        <v>54</v>
      </c>
      <c r="AC3724">
        <v>1</v>
      </c>
      <c r="AE3724" t="s">
        <v>57</v>
      </c>
      <c r="AF3724">
        <v>20</v>
      </c>
      <c r="AG3724" s="1">
        <v>37175</v>
      </c>
      <c r="AH3724" s="1">
        <v>37175</v>
      </c>
      <c r="AI3724" s="1">
        <v>37175</v>
      </c>
      <c r="AJ3724" s="1">
        <v>44480</v>
      </c>
      <c r="AK3724" t="s">
        <v>51</v>
      </c>
      <c r="AN3724">
        <v>0</v>
      </c>
      <c r="AO3724" t="s">
        <v>54</v>
      </c>
      <c r="AP3724" t="s">
        <v>53</v>
      </c>
      <c r="AQ3724">
        <v>0</v>
      </c>
      <c r="AR3724" t="s">
        <v>53</v>
      </c>
      <c r="AS3724">
        <v>0</v>
      </c>
      <c r="AT3724">
        <v>0</v>
      </c>
      <c r="AW3724" t="s">
        <v>58</v>
      </c>
      <c r="AX3724">
        <v>20</v>
      </c>
      <c r="AY3724" s="1">
        <v>37175</v>
      </c>
      <c r="AZ3724" s="1">
        <v>37175</v>
      </c>
      <c r="BA3724" s="1">
        <v>37175</v>
      </c>
      <c r="BB3724" s="1">
        <v>44480</v>
      </c>
      <c r="BC3724" t="s">
        <v>51</v>
      </c>
      <c r="BE3724" t="s">
        <v>54</v>
      </c>
      <c r="BF3724">
        <v>2</v>
      </c>
      <c r="BG3724">
        <v>0</v>
      </c>
      <c r="BH3724" t="s">
        <v>53</v>
      </c>
      <c r="BK3724" t="s">
        <v>59</v>
      </c>
      <c r="BL3724">
        <v>14000</v>
      </c>
      <c r="BM3724" s="1">
        <v>41091</v>
      </c>
      <c r="BN3724" s="1">
        <v>41091</v>
      </c>
      <c r="BO3724" s="1">
        <v>41091</v>
      </c>
      <c r="BP3724" s="1">
        <v>42291</v>
      </c>
      <c r="BQ3724" t="s">
        <v>51</v>
      </c>
      <c r="BS3724" t="s">
        <v>60</v>
      </c>
      <c r="BT3724" t="s">
        <v>54</v>
      </c>
      <c r="BU3724" t="s">
        <v>61</v>
      </c>
      <c r="BV3724" t="s">
        <v>62</v>
      </c>
      <c r="BX3724">
        <v>24</v>
      </c>
      <c r="BY3724">
        <v>0</v>
      </c>
      <c r="BZ3724">
        <v>0</v>
      </c>
    </row>
    <row r="3725" spans="1:99" x14ac:dyDescent="0.2">
      <c r="A3725" t="s">
        <v>367</v>
      </c>
      <c r="B3725" t="s">
        <v>368</v>
      </c>
      <c r="C3725" t="s">
        <v>369</v>
      </c>
      <c r="D3725" t="s">
        <v>1155</v>
      </c>
      <c r="F3725" t="str">
        <f>"164246"</f>
        <v>164246</v>
      </c>
      <c r="G3725" t="s">
        <v>49</v>
      </c>
      <c r="H3725" t="s">
        <v>1729</v>
      </c>
      <c r="K3725" t="s">
        <v>51</v>
      </c>
      <c r="L3725" t="s">
        <v>52</v>
      </c>
      <c r="M3725">
        <v>137980.96</v>
      </c>
      <c r="N3725">
        <v>468712.68</v>
      </c>
      <c r="O3725" t="s">
        <v>53</v>
      </c>
      <c r="P3725" t="s">
        <v>54</v>
      </c>
      <c r="Q3725" t="s">
        <v>55</v>
      </c>
      <c r="T3725" t="s">
        <v>1604</v>
      </c>
      <c r="U3725">
        <v>40</v>
      </c>
      <c r="V3725" s="1">
        <v>37175</v>
      </c>
      <c r="W3725" s="1">
        <v>37175</v>
      </c>
      <c r="X3725" s="1">
        <v>37175</v>
      </c>
      <c r="Y3725" s="1">
        <v>51785</v>
      </c>
      <c r="Z3725" t="s">
        <v>51</v>
      </c>
      <c r="AB3725" t="s">
        <v>54</v>
      </c>
      <c r="AC3725">
        <v>1</v>
      </c>
      <c r="AE3725" t="s">
        <v>57</v>
      </c>
      <c r="AF3725">
        <v>20</v>
      </c>
      <c r="AG3725" s="1">
        <v>37175</v>
      </c>
      <c r="AH3725" s="1">
        <v>37175</v>
      </c>
      <c r="AI3725" s="1">
        <v>37175</v>
      </c>
      <c r="AJ3725" s="1">
        <v>44480</v>
      </c>
      <c r="AK3725" t="s">
        <v>51</v>
      </c>
      <c r="AN3725">
        <v>0</v>
      </c>
      <c r="AO3725" t="s">
        <v>54</v>
      </c>
      <c r="AP3725" t="s">
        <v>53</v>
      </c>
      <c r="AQ3725">
        <v>0</v>
      </c>
      <c r="AR3725" t="s">
        <v>53</v>
      </c>
      <c r="AS3725">
        <v>0</v>
      </c>
      <c r="AT3725">
        <v>0</v>
      </c>
      <c r="AW3725" t="s">
        <v>58</v>
      </c>
      <c r="AX3725">
        <v>20</v>
      </c>
      <c r="AY3725" s="1">
        <v>37175</v>
      </c>
      <c r="AZ3725" s="1">
        <v>37175</v>
      </c>
      <c r="BA3725" s="1">
        <v>37175</v>
      </c>
      <c r="BB3725" s="1">
        <v>44480</v>
      </c>
      <c r="BC3725" t="s">
        <v>51</v>
      </c>
      <c r="BE3725" t="s">
        <v>54</v>
      </c>
      <c r="BF3725">
        <v>2</v>
      </c>
      <c r="BG3725">
        <v>0</v>
      </c>
      <c r="BH3725" t="s">
        <v>53</v>
      </c>
      <c r="BK3725" t="s">
        <v>59</v>
      </c>
      <c r="BL3725">
        <v>14000</v>
      </c>
      <c r="BM3725" s="1">
        <v>41091</v>
      </c>
      <c r="BN3725" s="1">
        <v>41091</v>
      </c>
      <c r="BO3725" s="1">
        <v>41091</v>
      </c>
      <c r="BP3725" s="1">
        <v>42291</v>
      </c>
      <c r="BQ3725" t="s">
        <v>51</v>
      </c>
      <c r="BS3725" t="s">
        <v>60</v>
      </c>
      <c r="BT3725" t="s">
        <v>54</v>
      </c>
      <c r="BU3725" t="s">
        <v>61</v>
      </c>
      <c r="BV3725" t="s">
        <v>62</v>
      </c>
      <c r="BX3725">
        <v>24</v>
      </c>
      <c r="BY3725">
        <v>0</v>
      </c>
      <c r="BZ3725">
        <v>0</v>
      </c>
    </row>
    <row r="3726" spans="1:99" x14ac:dyDescent="0.2">
      <c r="A3726" t="s">
        <v>367</v>
      </c>
      <c r="B3726" t="s">
        <v>440</v>
      </c>
      <c r="C3726" t="s">
        <v>441</v>
      </c>
      <c r="D3726" t="s">
        <v>1485</v>
      </c>
      <c r="F3726" t="str">
        <f>"164247"</f>
        <v>164247</v>
      </c>
      <c r="G3726" t="s">
        <v>49</v>
      </c>
      <c r="H3726" t="s">
        <v>1730</v>
      </c>
      <c r="K3726" t="s">
        <v>51</v>
      </c>
      <c r="L3726" t="s">
        <v>52</v>
      </c>
      <c r="M3726">
        <v>137726.64000000001</v>
      </c>
      <c r="N3726">
        <v>468953.25</v>
      </c>
      <c r="O3726" t="s">
        <v>53</v>
      </c>
      <c r="P3726" t="s">
        <v>54</v>
      </c>
      <c r="Q3726" t="s">
        <v>55</v>
      </c>
      <c r="T3726" t="s">
        <v>841</v>
      </c>
      <c r="U3726">
        <v>40</v>
      </c>
      <c r="V3726" s="1">
        <v>37180</v>
      </c>
      <c r="W3726" s="1">
        <v>37180</v>
      </c>
      <c r="X3726" s="1">
        <v>37180</v>
      </c>
      <c r="Y3726" s="1">
        <v>51790</v>
      </c>
      <c r="Z3726" t="s">
        <v>51</v>
      </c>
      <c r="AB3726" t="s">
        <v>54</v>
      </c>
      <c r="AC3726">
        <v>1</v>
      </c>
      <c r="AE3726" t="s">
        <v>57</v>
      </c>
      <c r="AF3726">
        <v>20</v>
      </c>
      <c r="AG3726" s="1">
        <v>37180</v>
      </c>
      <c r="AH3726" s="1">
        <v>37180</v>
      </c>
      <c r="AI3726" s="1">
        <v>37180</v>
      </c>
      <c r="AJ3726" s="1">
        <v>44485</v>
      </c>
      <c r="AK3726" t="s">
        <v>51</v>
      </c>
      <c r="AN3726">
        <v>0</v>
      </c>
      <c r="AO3726" t="s">
        <v>54</v>
      </c>
      <c r="AP3726" t="s">
        <v>53</v>
      </c>
      <c r="AQ3726">
        <v>0</v>
      </c>
      <c r="AR3726" t="s">
        <v>53</v>
      </c>
      <c r="AS3726">
        <v>0</v>
      </c>
      <c r="AT3726">
        <v>0</v>
      </c>
      <c r="CC3726" t="s">
        <v>432</v>
      </c>
      <c r="CD3726">
        <v>85000</v>
      </c>
      <c r="CE3726" s="1">
        <v>43119</v>
      </c>
      <c r="CF3726" s="1">
        <v>43119</v>
      </c>
      <c r="CG3726" s="1">
        <v>43119</v>
      </c>
      <c r="CH3726" s="1">
        <v>50748</v>
      </c>
      <c r="CI3726" t="s">
        <v>51</v>
      </c>
      <c r="CK3726" t="s">
        <v>78</v>
      </c>
      <c r="CM3726" t="s">
        <v>54</v>
      </c>
      <c r="CN3726" t="s">
        <v>174</v>
      </c>
      <c r="CO3726" t="s">
        <v>86</v>
      </c>
      <c r="CR3726">
        <v>24</v>
      </c>
      <c r="CS3726">
        <v>0</v>
      </c>
      <c r="CT3726">
        <v>0</v>
      </c>
      <c r="CU3726">
        <v>0</v>
      </c>
    </row>
    <row r="3727" spans="1:99" x14ac:dyDescent="0.2">
      <c r="A3727" t="s">
        <v>367</v>
      </c>
      <c r="B3727" t="s">
        <v>440</v>
      </c>
      <c r="C3727" t="s">
        <v>441</v>
      </c>
      <c r="D3727" t="s">
        <v>1485</v>
      </c>
      <c r="F3727" t="str">
        <f>"164248"</f>
        <v>164248</v>
      </c>
      <c r="G3727" t="s">
        <v>49</v>
      </c>
      <c r="H3727" t="s">
        <v>1731</v>
      </c>
      <c r="K3727" t="s">
        <v>51</v>
      </c>
      <c r="L3727" t="s">
        <v>52</v>
      </c>
      <c r="M3727">
        <v>137744.07999999999</v>
      </c>
      <c r="N3727">
        <v>468901</v>
      </c>
      <c r="O3727" t="s">
        <v>53</v>
      </c>
      <c r="P3727" t="s">
        <v>54</v>
      </c>
      <c r="Q3727" t="s">
        <v>55</v>
      </c>
      <c r="T3727" t="s">
        <v>841</v>
      </c>
      <c r="U3727">
        <v>40</v>
      </c>
      <c r="V3727" s="1">
        <v>38100</v>
      </c>
      <c r="W3727" s="1">
        <v>38100</v>
      </c>
      <c r="X3727" s="1">
        <v>38100</v>
      </c>
      <c r="Y3727" s="1">
        <v>52710</v>
      </c>
      <c r="Z3727" t="s">
        <v>51</v>
      </c>
      <c r="AB3727" t="s">
        <v>54</v>
      </c>
      <c r="AC3727">
        <v>1</v>
      </c>
      <c r="AE3727" t="s">
        <v>57</v>
      </c>
      <c r="AF3727">
        <v>20</v>
      </c>
      <c r="AG3727" s="1">
        <v>37180</v>
      </c>
      <c r="AH3727" s="1">
        <v>37180</v>
      </c>
      <c r="AI3727" s="1">
        <v>38100</v>
      </c>
      <c r="AJ3727" s="1">
        <v>44485</v>
      </c>
      <c r="AK3727" t="s">
        <v>51</v>
      </c>
      <c r="AN3727">
        <v>0</v>
      </c>
      <c r="AO3727" t="s">
        <v>54</v>
      </c>
      <c r="AP3727" t="s">
        <v>53</v>
      </c>
      <c r="AQ3727">
        <v>0</v>
      </c>
      <c r="AR3727" t="s">
        <v>53</v>
      </c>
      <c r="AS3727">
        <v>0</v>
      </c>
      <c r="AT3727">
        <v>0</v>
      </c>
      <c r="CC3727" t="s">
        <v>432</v>
      </c>
      <c r="CD3727">
        <v>85000</v>
      </c>
      <c r="CE3727" s="1">
        <v>42552</v>
      </c>
      <c r="CF3727" s="1">
        <v>42552</v>
      </c>
      <c r="CG3727" s="1">
        <v>42552</v>
      </c>
      <c r="CH3727" s="1">
        <v>50139</v>
      </c>
      <c r="CI3727" t="s">
        <v>51</v>
      </c>
      <c r="CK3727" t="s">
        <v>78</v>
      </c>
      <c r="CM3727" t="s">
        <v>54</v>
      </c>
      <c r="CN3727" t="s">
        <v>174</v>
      </c>
      <c r="CO3727" t="s">
        <v>86</v>
      </c>
      <c r="CR3727">
        <v>24</v>
      </c>
      <c r="CS3727">
        <v>0</v>
      </c>
      <c r="CT3727">
        <v>0</v>
      </c>
      <c r="CU3727">
        <v>0</v>
      </c>
    </row>
    <row r="3728" spans="1:99" x14ac:dyDescent="0.2">
      <c r="A3728" t="s">
        <v>367</v>
      </c>
      <c r="B3728" t="s">
        <v>440</v>
      </c>
      <c r="C3728" t="s">
        <v>441</v>
      </c>
      <c r="D3728" t="s">
        <v>1485</v>
      </c>
      <c r="F3728" t="str">
        <f>"164249"</f>
        <v>164249</v>
      </c>
      <c r="G3728" t="s">
        <v>49</v>
      </c>
      <c r="H3728" t="s">
        <v>1732</v>
      </c>
      <c r="K3728" t="s">
        <v>51</v>
      </c>
      <c r="L3728" t="s">
        <v>52</v>
      </c>
      <c r="M3728">
        <v>137768.17000000001</v>
      </c>
      <c r="N3728">
        <v>468832.59</v>
      </c>
      <c r="O3728" t="s">
        <v>53</v>
      </c>
      <c r="P3728" t="s">
        <v>54</v>
      </c>
      <c r="Q3728" t="s">
        <v>55</v>
      </c>
      <c r="T3728" t="s">
        <v>841</v>
      </c>
      <c r="U3728">
        <v>40</v>
      </c>
      <c r="V3728" s="1">
        <v>37180</v>
      </c>
      <c r="W3728" s="1">
        <v>37180</v>
      </c>
      <c r="X3728" s="1">
        <v>37180</v>
      </c>
      <c r="Y3728" s="1">
        <v>51790</v>
      </c>
      <c r="Z3728" t="s">
        <v>51</v>
      </c>
      <c r="AB3728" t="s">
        <v>54</v>
      </c>
      <c r="AC3728">
        <v>1</v>
      </c>
      <c r="AE3728" t="s">
        <v>57</v>
      </c>
      <c r="AF3728">
        <v>20</v>
      </c>
      <c r="AG3728" s="1">
        <v>37180</v>
      </c>
      <c r="AH3728" s="1">
        <v>37180</v>
      </c>
      <c r="AI3728" s="1">
        <v>37180</v>
      </c>
      <c r="AJ3728" s="1">
        <v>44485</v>
      </c>
      <c r="AK3728" t="s">
        <v>51</v>
      </c>
      <c r="AN3728">
        <v>0</v>
      </c>
      <c r="AO3728" t="s">
        <v>54</v>
      </c>
      <c r="AP3728" t="s">
        <v>53</v>
      </c>
      <c r="AQ3728">
        <v>0</v>
      </c>
      <c r="AR3728" t="s">
        <v>53</v>
      </c>
      <c r="AS3728">
        <v>0</v>
      </c>
      <c r="AT3728">
        <v>0</v>
      </c>
      <c r="CC3728" t="s">
        <v>432</v>
      </c>
      <c r="CD3728">
        <v>85000</v>
      </c>
      <c r="CE3728" s="1">
        <v>44676</v>
      </c>
      <c r="CF3728" s="1">
        <v>44676</v>
      </c>
      <c r="CG3728" s="1">
        <v>44676</v>
      </c>
      <c r="CH3728" s="1">
        <v>51873</v>
      </c>
      <c r="CI3728" t="s">
        <v>51</v>
      </c>
      <c r="CK3728" t="s">
        <v>78</v>
      </c>
      <c r="CM3728" t="s">
        <v>54</v>
      </c>
      <c r="CN3728" t="s">
        <v>174</v>
      </c>
      <c r="CO3728" t="s">
        <v>86</v>
      </c>
      <c r="CR3728">
        <v>24</v>
      </c>
      <c r="CS3728">
        <v>0</v>
      </c>
      <c r="CT3728">
        <v>0</v>
      </c>
      <c r="CU3728">
        <v>0</v>
      </c>
    </row>
    <row r="3729" spans="1:99" x14ac:dyDescent="0.2">
      <c r="A3729" t="s">
        <v>367</v>
      </c>
      <c r="B3729" t="s">
        <v>368</v>
      </c>
      <c r="C3729" t="s">
        <v>1733</v>
      </c>
      <c r="D3729" t="s">
        <v>369</v>
      </c>
      <c r="F3729" t="str">
        <f>"165401"</f>
        <v>165401</v>
      </c>
      <c r="G3729" t="s">
        <v>49</v>
      </c>
      <c r="H3729" t="s">
        <v>1734</v>
      </c>
      <c r="K3729" t="s">
        <v>51</v>
      </c>
      <c r="L3729" t="s">
        <v>52</v>
      </c>
      <c r="M3729">
        <v>135757.46</v>
      </c>
      <c r="N3729">
        <v>466822.93</v>
      </c>
      <c r="O3729" t="s">
        <v>53</v>
      </c>
      <c r="P3729" t="s">
        <v>54</v>
      </c>
      <c r="Q3729" t="s">
        <v>55</v>
      </c>
      <c r="T3729" t="s">
        <v>376</v>
      </c>
      <c r="U3729">
        <v>40</v>
      </c>
      <c r="V3729" s="1">
        <v>37258</v>
      </c>
      <c r="W3729" s="1">
        <v>37258</v>
      </c>
      <c r="X3729" s="1">
        <v>37258</v>
      </c>
      <c r="Y3729" s="1">
        <v>51868</v>
      </c>
      <c r="Z3729" t="s">
        <v>51</v>
      </c>
      <c r="AB3729" t="s">
        <v>54</v>
      </c>
      <c r="AC3729">
        <v>1</v>
      </c>
      <c r="AE3729" t="s">
        <v>814</v>
      </c>
      <c r="AF3729">
        <v>20</v>
      </c>
      <c r="AG3729" s="1">
        <v>37258</v>
      </c>
      <c r="AH3729" s="1">
        <v>37258</v>
      </c>
      <c r="AI3729" s="1">
        <v>37258</v>
      </c>
      <c r="AJ3729" s="1">
        <v>44563</v>
      </c>
      <c r="AK3729" t="s">
        <v>51</v>
      </c>
      <c r="AN3729">
        <v>0</v>
      </c>
      <c r="AO3729" t="s">
        <v>54</v>
      </c>
      <c r="AP3729" t="s">
        <v>53</v>
      </c>
      <c r="AQ3729">
        <v>0</v>
      </c>
      <c r="AR3729" t="s">
        <v>53</v>
      </c>
      <c r="AS3729">
        <v>0</v>
      </c>
      <c r="AT3729">
        <v>0</v>
      </c>
      <c r="CC3729" t="s">
        <v>439</v>
      </c>
      <c r="CD3729">
        <v>85000</v>
      </c>
      <c r="CE3729" s="1">
        <v>42552</v>
      </c>
      <c r="CF3729" s="1">
        <v>42552</v>
      </c>
      <c r="CG3729" s="1">
        <v>42552</v>
      </c>
      <c r="CH3729" s="1">
        <v>49714</v>
      </c>
      <c r="CI3729" t="s">
        <v>51</v>
      </c>
      <c r="CK3729" t="s">
        <v>78</v>
      </c>
      <c r="CM3729" t="s">
        <v>54</v>
      </c>
      <c r="CN3729" t="s">
        <v>174</v>
      </c>
      <c r="CO3729" t="s">
        <v>86</v>
      </c>
      <c r="CR3729">
        <v>25</v>
      </c>
      <c r="CS3729">
        <v>0</v>
      </c>
      <c r="CT3729">
        <v>0</v>
      </c>
      <c r="CU3729">
        <v>0</v>
      </c>
    </row>
    <row r="3730" spans="1:99" x14ac:dyDescent="0.2">
      <c r="A3730" t="s">
        <v>367</v>
      </c>
      <c r="B3730" t="s">
        <v>368</v>
      </c>
      <c r="C3730" t="s">
        <v>1733</v>
      </c>
      <c r="D3730" t="s">
        <v>369</v>
      </c>
      <c r="F3730" t="str">
        <f>"165402"</f>
        <v>165402</v>
      </c>
      <c r="G3730" t="s">
        <v>49</v>
      </c>
      <c r="H3730" t="s">
        <v>1734</v>
      </c>
      <c r="K3730" t="s">
        <v>51</v>
      </c>
      <c r="L3730" t="s">
        <v>52</v>
      </c>
      <c r="M3730">
        <v>135727.06</v>
      </c>
      <c r="N3730">
        <v>466813.69</v>
      </c>
      <c r="O3730" t="s">
        <v>53</v>
      </c>
      <c r="P3730" t="s">
        <v>54</v>
      </c>
      <c r="Q3730" t="s">
        <v>55</v>
      </c>
      <c r="T3730" t="s">
        <v>376</v>
      </c>
      <c r="U3730">
        <v>40</v>
      </c>
      <c r="V3730" s="1">
        <v>37258</v>
      </c>
      <c r="W3730" s="1">
        <v>37258</v>
      </c>
      <c r="X3730" s="1">
        <v>37258</v>
      </c>
      <c r="Y3730" s="1">
        <v>51868</v>
      </c>
      <c r="Z3730" t="s">
        <v>51</v>
      </c>
      <c r="AB3730" t="s">
        <v>54</v>
      </c>
      <c r="AC3730">
        <v>1</v>
      </c>
      <c r="AE3730" t="s">
        <v>814</v>
      </c>
      <c r="AF3730">
        <v>20</v>
      </c>
      <c r="AG3730" s="1">
        <v>37258</v>
      </c>
      <c r="AH3730" s="1">
        <v>37258</v>
      </c>
      <c r="AI3730" s="1">
        <v>37258</v>
      </c>
      <c r="AJ3730" s="1">
        <v>44563</v>
      </c>
      <c r="AK3730" t="s">
        <v>51</v>
      </c>
      <c r="AN3730">
        <v>0</v>
      </c>
      <c r="AO3730" t="s">
        <v>54</v>
      </c>
      <c r="AP3730" t="s">
        <v>53</v>
      </c>
      <c r="AQ3730">
        <v>0</v>
      </c>
      <c r="AR3730" t="s">
        <v>53</v>
      </c>
      <c r="AS3730">
        <v>0</v>
      </c>
      <c r="AT3730">
        <v>0</v>
      </c>
      <c r="CC3730" t="s">
        <v>439</v>
      </c>
      <c r="CD3730">
        <v>85000</v>
      </c>
      <c r="CE3730" s="1">
        <v>42552</v>
      </c>
      <c r="CF3730" s="1">
        <v>42552</v>
      </c>
      <c r="CG3730" s="1">
        <v>42552</v>
      </c>
      <c r="CH3730" s="1">
        <v>49714</v>
      </c>
      <c r="CI3730" t="s">
        <v>51</v>
      </c>
      <c r="CK3730" t="s">
        <v>78</v>
      </c>
      <c r="CM3730" t="s">
        <v>54</v>
      </c>
      <c r="CN3730" t="s">
        <v>174</v>
      </c>
      <c r="CO3730" t="s">
        <v>86</v>
      </c>
      <c r="CR3730">
        <v>25</v>
      </c>
      <c r="CS3730">
        <v>0</v>
      </c>
      <c r="CT3730">
        <v>0</v>
      </c>
      <c r="CU3730">
        <v>0</v>
      </c>
    </row>
    <row r="3731" spans="1:99" x14ac:dyDescent="0.2">
      <c r="A3731" t="s">
        <v>367</v>
      </c>
      <c r="B3731" t="s">
        <v>368</v>
      </c>
      <c r="C3731" t="s">
        <v>1733</v>
      </c>
      <c r="D3731" t="s">
        <v>369</v>
      </c>
      <c r="F3731" t="str">
        <f>"165403"</f>
        <v>165403</v>
      </c>
      <c r="G3731" t="s">
        <v>49</v>
      </c>
      <c r="H3731" t="s">
        <v>1734</v>
      </c>
      <c r="K3731" t="s">
        <v>51</v>
      </c>
      <c r="L3731" t="s">
        <v>52</v>
      </c>
      <c r="M3731">
        <v>135695.09</v>
      </c>
      <c r="N3731">
        <v>466804.65</v>
      </c>
      <c r="O3731" t="s">
        <v>53</v>
      </c>
      <c r="P3731" t="s">
        <v>54</v>
      </c>
      <c r="Q3731" t="s">
        <v>55</v>
      </c>
      <c r="T3731" t="s">
        <v>376</v>
      </c>
      <c r="U3731">
        <v>40</v>
      </c>
      <c r="V3731" s="1">
        <v>37258</v>
      </c>
      <c r="W3731" s="1">
        <v>37258</v>
      </c>
      <c r="X3731" s="1">
        <v>37258</v>
      </c>
      <c r="Y3731" s="1">
        <v>51868</v>
      </c>
      <c r="Z3731" t="s">
        <v>51</v>
      </c>
      <c r="AB3731" t="s">
        <v>54</v>
      </c>
      <c r="AC3731">
        <v>1</v>
      </c>
      <c r="AE3731" t="s">
        <v>814</v>
      </c>
      <c r="AF3731">
        <v>20</v>
      </c>
      <c r="AG3731" s="1">
        <v>37258</v>
      </c>
      <c r="AH3731" s="1">
        <v>37258</v>
      </c>
      <c r="AI3731" s="1">
        <v>37258</v>
      </c>
      <c r="AJ3731" s="1">
        <v>44563</v>
      </c>
      <c r="AK3731" t="s">
        <v>51</v>
      </c>
      <c r="AN3731">
        <v>0</v>
      </c>
      <c r="AO3731" t="s">
        <v>54</v>
      </c>
      <c r="AP3731" t="s">
        <v>53</v>
      </c>
      <c r="AQ3731">
        <v>0</v>
      </c>
      <c r="AR3731" t="s">
        <v>53</v>
      </c>
      <c r="AS3731">
        <v>0</v>
      </c>
      <c r="AT3731">
        <v>0</v>
      </c>
      <c r="CC3731" t="s">
        <v>439</v>
      </c>
      <c r="CD3731">
        <v>85000</v>
      </c>
      <c r="CE3731" s="1">
        <v>43423</v>
      </c>
      <c r="CF3731" s="1">
        <v>43423</v>
      </c>
      <c r="CG3731" s="1">
        <v>43423</v>
      </c>
      <c r="CH3731" s="1">
        <v>50608</v>
      </c>
      <c r="CI3731" t="s">
        <v>51</v>
      </c>
      <c r="CK3731" t="s">
        <v>78</v>
      </c>
      <c r="CM3731" t="s">
        <v>54</v>
      </c>
      <c r="CN3731" t="s">
        <v>174</v>
      </c>
      <c r="CO3731" t="s">
        <v>86</v>
      </c>
      <c r="CR3731">
        <v>25</v>
      </c>
      <c r="CS3731">
        <v>0</v>
      </c>
      <c r="CT3731">
        <v>0</v>
      </c>
      <c r="CU3731">
        <v>0</v>
      </c>
    </row>
    <row r="3732" spans="1:99" x14ac:dyDescent="0.2">
      <c r="A3732" t="s">
        <v>367</v>
      </c>
      <c r="B3732" t="s">
        <v>368</v>
      </c>
      <c r="C3732" t="s">
        <v>1733</v>
      </c>
      <c r="D3732" t="s">
        <v>369</v>
      </c>
      <c r="F3732" t="str">
        <f>"165404"</f>
        <v>165404</v>
      </c>
      <c r="G3732" t="s">
        <v>49</v>
      </c>
      <c r="H3732" t="s">
        <v>1735</v>
      </c>
      <c r="K3732" t="s">
        <v>51</v>
      </c>
      <c r="L3732" t="s">
        <v>52</v>
      </c>
      <c r="M3732">
        <v>135664.98000000001</v>
      </c>
      <c r="N3732">
        <v>466795.63</v>
      </c>
      <c r="O3732" t="s">
        <v>53</v>
      </c>
      <c r="P3732" t="s">
        <v>54</v>
      </c>
      <c r="Q3732" t="s">
        <v>55</v>
      </c>
      <c r="T3732" t="s">
        <v>376</v>
      </c>
      <c r="U3732">
        <v>40</v>
      </c>
      <c r="V3732" s="1">
        <v>37258</v>
      </c>
      <c r="W3732" s="1">
        <v>37258</v>
      </c>
      <c r="X3732" s="1">
        <v>37258</v>
      </c>
      <c r="Y3732" s="1">
        <v>51868</v>
      </c>
      <c r="Z3732" t="s">
        <v>51</v>
      </c>
      <c r="AB3732" t="s">
        <v>54</v>
      </c>
      <c r="AC3732">
        <v>1</v>
      </c>
      <c r="AE3732" t="s">
        <v>814</v>
      </c>
      <c r="AF3732">
        <v>20</v>
      </c>
      <c r="AG3732" s="1">
        <v>37258</v>
      </c>
      <c r="AH3732" s="1">
        <v>37258</v>
      </c>
      <c r="AI3732" s="1">
        <v>37258</v>
      </c>
      <c r="AJ3732" s="1">
        <v>44563</v>
      </c>
      <c r="AK3732" t="s">
        <v>51</v>
      </c>
      <c r="AN3732">
        <v>0</v>
      </c>
      <c r="AO3732" t="s">
        <v>54</v>
      </c>
      <c r="AP3732" t="s">
        <v>53</v>
      </c>
      <c r="AQ3732">
        <v>0</v>
      </c>
      <c r="AR3732" t="s">
        <v>53</v>
      </c>
      <c r="AS3732">
        <v>0</v>
      </c>
      <c r="AT3732">
        <v>0</v>
      </c>
      <c r="CC3732" t="s">
        <v>439</v>
      </c>
      <c r="CD3732">
        <v>85000</v>
      </c>
      <c r="CE3732" s="1">
        <v>42552</v>
      </c>
      <c r="CF3732" s="1">
        <v>42552</v>
      </c>
      <c r="CG3732" s="1">
        <v>42552</v>
      </c>
      <c r="CH3732" s="1">
        <v>49714</v>
      </c>
      <c r="CI3732" t="s">
        <v>51</v>
      </c>
      <c r="CK3732" t="s">
        <v>78</v>
      </c>
      <c r="CM3732" t="s">
        <v>54</v>
      </c>
      <c r="CN3732" t="s">
        <v>174</v>
      </c>
      <c r="CO3732" t="s">
        <v>86</v>
      </c>
      <c r="CR3732">
        <v>25</v>
      </c>
      <c r="CS3732">
        <v>0</v>
      </c>
      <c r="CT3732">
        <v>0</v>
      </c>
      <c r="CU3732">
        <v>0</v>
      </c>
    </row>
    <row r="3733" spans="1:99" x14ac:dyDescent="0.2">
      <c r="A3733" t="s">
        <v>367</v>
      </c>
      <c r="B3733" t="s">
        <v>368</v>
      </c>
      <c r="C3733" t="s">
        <v>1733</v>
      </c>
      <c r="D3733" t="s">
        <v>369</v>
      </c>
      <c r="F3733" t="str">
        <f>"165405"</f>
        <v>165405</v>
      </c>
      <c r="G3733" t="s">
        <v>49</v>
      </c>
      <c r="H3733" t="s">
        <v>1736</v>
      </c>
      <c r="K3733" t="s">
        <v>51</v>
      </c>
      <c r="L3733" t="s">
        <v>52</v>
      </c>
      <c r="M3733">
        <v>135636.29999999999</v>
      </c>
      <c r="N3733">
        <v>466787.75</v>
      </c>
      <c r="O3733" t="s">
        <v>53</v>
      </c>
      <c r="P3733" t="s">
        <v>54</v>
      </c>
      <c r="Q3733" t="s">
        <v>55</v>
      </c>
      <c r="T3733" t="s">
        <v>376</v>
      </c>
      <c r="U3733">
        <v>40</v>
      </c>
      <c r="V3733" s="1">
        <v>37258</v>
      </c>
      <c r="W3733" s="1">
        <v>37258</v>
      </c>
      <c r="X3733" s="1">
        <v>37258</v>
      </c>
      <c r="Y3733" s="1">
        <v>51868</v>
      </c>
      <c r="Z3733" t="s">
        <v>51</v>
      </c>
      <c r="AB3733" t="s">
        <v>54</v>
      </c>
      <c r="AC3733">
        <v>1</v>
      </c>
      <c r="AE3733" t="s">
        <v>356</v>
      </c>
      <c r="AF3733">
        <v>20</v>
      </c>
      <c r="AG3733" s="1">
        <v>44655</v>
      </c>
      <c r="AH3733" s="1">
        <v>44655</v>
      </c>
      <c r="AI3733" s="1">
        <v>44655</v>
      </c>
      <c r="AJ3733" s="1">
        <v>51960</v>
      </c>
      <c r="AK3733" t="s">
        <v>51</v>
      </c>
      <c r="AN3733">
        <v>0</v>
      </c>
      <c r="AO3733" t="s">
        <v>54</v>
      </c>
      <c r="AP3733" t="s">
        <v>53</v>
      </c>
      <c r="AQ3733">
        <v>0</v>
      </c>
      <c r="AR3733" t="s">
        <v>145</v>
      </c>
      <c r="AS3733">
        <v>0</v>
      </c>
      <c r="AT3733">
        <v>0</v>
      </c>
      <c r="CC3733" t="s">
        <v>439</v>
      </c>
      <c r="CD3733">
        <v>85000</v>
      </c>
      <c r="CE3733" s="1">
        <v>42552</v>
      </c>
      <c r="CF3733" s="1">
        <v>42552</v>
      </c>
      <c r="CG3733" s="1">
        <v>44655</v>
      </c>
      <c r="CH3733" s="1">
        <v>49714</v>
      </c>
      <c r="CI3733" t="s">
        <v>51</v>
      </c>
      <c r="CK3733" t="s">
        <v>78</v>
      </c>
      <c r="CM3733" t="s">
        <v>54</v>
      </c>
      <c r="CN3733" t="s">
        <v>174</v>
      </c>
      <c r="CO3733" t="s">
        <v>86</v>
      </c>
      <c r="CR3733">
        <v>25</v>
      </c>
      <c r="CS3733">
        <v>0</v>
      </c>
      <c r="CT3733">
        <v>0</v>
      </c>
      <c r="CU3733">
        <v>0</v>
      </c>
    </row>
    <row r="3734" spans="1:99" x14ac:dyDescent="0.2">
      <c r="A3734" t="s">
        <v>367</v>
      </c>
      <c r="B3734" t="s">
        <v>368</v>
      </c>
      <c r="C3734" t="s">
        <v>1733</v>
      </c>
      <c r="D3734" t="s">
        <v>369</v>
      </c>
      <c r="F3734" t="str">
        <f>"165406"</f>
        <v>165406</v>
      </c>
      <c r="G3734" t="s">
        <v>49</v>
      </c>
      <c r="H3734" t="s">
        <v>1736</v>
      </c>
      <c r="K3734" t="s">
        <v>51</v>
      </c>
      <c r="L3734" t="s">
        <v>52</v>
      </c>
      <c r="M3734">
        <v>135607.18</v>
      </c>
      <c r="N3734">
        <v>466780.53</v>
      </c>
      <c r="O3734" t="s">
        <v>53</v>
      </c>
      <c r="P3734" t="s">
        <v>54</v>
      </c>
      <c r="Q3734" t="s">
        <v>55</v>
      </c>
      <c r="T3734" t="s">
        <v>376</v>
      </c>
      <c r="U3734">
        <v>40</v>
      </c>
      <c r="V3734" s="1">
        <v>37258</v>
      </c>
      <c r="W3734" s="1">
        <v>37258</v>
      </c>
      <c r="X3734" s="1">
        <v>37258</v>
      </c>
      <c r="Y3734" s="1">
        <v>51868</v>
      </c>
      <c r="Z3734" t="s">
        <v>51</v>
      </c>
      <c r="AB3734" t="s">
        <v>54</v>
      </c>
      <c r="AC3734">
        <v>1</v>
      </c>
      <c r="AE3734" t="s">
        <v>814</v>
      </c>
      <c r="AF3734">
        <v>20</v>
      </c>
      <c r="AG3734" s="1">
        <v>37258</v>
      </c>
      <c r="AH3734" s="1">
        <v>37258</v>
      </c>
      <c r="AI3734" s="1">
        <v>37258</v>
      </c>
      <c r="AJ3734" s="1">
        <v>44563</v>
      </c>
      <c r="AK3734" t="s">
        <v>51</v>
      </c>
      <c r="AN3734">
        <v>0</v>
      </c>
      <c r="AO3734" t="s">
        <v>54</v>
      </c>
      <c r="AP3734" t="s">
        <v>53</v>
      </c>
      <c r="AQ3734">
        <v>0</v>
      </c>
      <c r="AR3734" t="s">
        <v>53</v>
      </c>
      <c r="AS3734">
        <v>0</v>
      </c>
      <c r="AT3734">
        <v>0</v>
      </c>
      <c r="CC3734" t="s">
        <v>439</v>
      </c>
      <c r="CD3734">
        <v>85000</v>
      </c>
      <c r="CE3734" s="1">
        <v>42552</v>
      </c>
      <c r="CF3734" s="1">
        <v>42552</v>
      </c>
      <c r="CG3734" s="1">
        <v>42552</v>
      </c>
      <c r="CH3734" s="1">
        <v>49714</v>
      </c>
      <c r="CI3734" t="s">
        <v>51</v>
      </c>
      <c r="CK3734" t="s">
        <v>78</v>
      </c>
      <c r="CM3734" t="s">
        <v>54</v>
      </c>
      <c r="CN3734" t="s">
        <v>174</v>
      </c>
      <c r="CO3734" t="s">
        <v>86</v>
      </c>
      <c r="CR3734">
        <v>25</v>
      </c>
      <c r="CS3734">
        <v>0</v>
      </c>
      <c r="CT3734">
        <v>0</v>
      </c>
      <c r="CU3734">
        <v>0</v>
      </c>
    </row>
    <row r="3735" spans="1:99" x14ac:dyDescent="0.2">
      <c r="A3735" t="s">
        <v>367</v>
      </c>
      <c r="B3735" t="s">
        <v>368</v>
      </c>
      <c r="C3735" t="s">
        <v>1733</v>
      </c>
      <c r="D3735" t="s">
        <v>369</v>
      </c>
      <c r="F3735" t="str">
        <f>"165407"</f>
        <v>165407</v>
      </c>
      <c r="G3735" t="s">
        <v>49</v>
      </c>
      <c r="H3735" t="s">
        <v>1737</v>
      </c>
      <c r="K3735" t="s">
        <v>51</v>
      </c>
      <c r="L3735" t="s">
        <v>52</v>
      </c>
      <c r="M3735">
        <v>135585.94</v>
      </c>
      <c r="N3735">
        <v>466776.17</v>
      </c>
      <c r="O3735" t="s">
        <v>53</v>
      </c>
      <c r="P3735" t="s">
        <v>54</v>
      </c>
      <c r="Q3735" t="s">
        <v>55</v>
      </c>
      <c r="T3735" t="s">
        <v>376</v>
      </c>
      <c r="U3735">
        <v>40</v>
      </c>
      <c r="V3735" s="1">
        <v>37258</v>
      </c>
      <c r="W3735" s="1">
        <v>37258</v>
      </c>
      <c r="X3735" s="1">
        <v>37258</v>
      </c>
      <c r="Y3735" s="1">
        <v>51868</v>
      </c>
      <c r="Z3735" t="s">
        <v>51</v>
      </c>
      <c r="AB3735" t="s">
        <v>54</v>
      </c>
      <c r="AC3735">
        <v>1</v>
      </c>
      <c r="AE3735" t="s">
        <v>814</v>
      </c>
      <c r="AF3735">
        <v>20</v>
      </c>
      <c r="AG3735" s="1">
        <v>37258</v>
      </c>
      <c r="AH3735" s="1">
        <v>37258</v>
      </c>
      <c r="AI3735" s="1">
        <v>37258</v>
      </c>
      <c r="AJ3735" s="1">
        <v>44563</v>
      </c>
      <c r="AK3735" t="s">
        <v>51</v>
      </c>
      <c r="AN3735">
        <v>0</v>
      </c>
      <c r="AO3735" t="s">
        <v>54</v>
      </c>
      <c r="AP3735" t="s">
        <v>53</v>
      </c>
      <c r="AQ3735">
        <v>0</v>
      </c>
      <c r="AR3735" t="s">
        <v>53</v>
      </c>
      <c r="AS3735">
        <v>0</v>
      </c>
      <c r="AT3735">
        <v>0</v>
      </c>
      <c r="CC3735" t="s">
        <v>439</v>
      </c>
      <c r="CD3735">
        <v>85000</v>
      </c>
      <c r="CE3735" s="1">
        <v>42552</v>
      </c>
      <c r="CF3735" s="1">
        <v>42552</v>
      </c>
      <c r="CG3735" s="1">
        <v>42552</v>
      </c>
      <c r="CH3735" s="1">
        <v>49714</v>
      </c>
      <c r="CI3735" t="s">
        <v>51</v>
      </c>
      <c r="CK3735" t="s">
        <v>78</v>
      </c>
      <c r="CM3735" t="s">
        <v>54</v>
      </c>
      <c r="CN3735" t="s">
        <v>174</v>
      </c>
      <c r="CO3735" t="s">
        <v>86</v>
      </c>
      <c r="CR3735">
        <v>25</v>
      </c>
      <c r="CS3735">
        <v>0</v>
      </c>
      <c r="CT3735">
        <v>0</v>
      </c>
      <c r="CU3735">
        <v>0</v>
      </c>
    </row>
    <row r="3736" spans="1:99" x14ac:dyDescent="0.2">
      <c r="A3736" t="s">
        <v>367</v>
      </c>
      <c r="B3736" t="s">
        <v>368</v>
      </c>
      <c r="C3736" t="s">
        <v>1733</v>
      </c>
      <c r="D3736" t="s">
        <v>369</v>
      </c>
      <c r="F3736" t="str">
        <f>"165408"</f>
        <v>165408</v>
      </c>
      <c r="G3736" t="s">
        <v>49</v>
      </c>
      <c r="H3736" t="s">
        <v>1737</v>
      </c>
      <c r="K3736" t="s">
        <v>51</v>
      </c>
      <c r="L3736" t="s">
        <v>52</v>
      </c>
      <c r="M3736">
        <v>135568.71</v>
      </c>
      <c r="N3736">
        <v>466773.05</v>
      </c>
      <c r="O3736" t="s">
        <v>53</v>
      </c>
      <c r="P3736" t="s">
        <v>54</v>
      </c>
      <c r="Q3736" t="s">
        <v>55</v>
      </c>
      <c r="T3736" t="s">
        <v>376</v>
      </c>
      <c r="U3736">
        <v>40</v>
      </c>
      <c r="V3736" s="1">
        <v>37258</v>
      </c>
      <c r="W3736" s="1">
        <v>37258</v>
      </c>
      <c r="X3736" s="1">
        <v>37258</v>
      </c>
      <c r="Y3736" s="1">
        <v>51868</v>
      </c>
      <c r="Z3736" t="s">
        <v>51</v>
      </c>
      <c r="AB3736" t="s">
        <v>54</v>
      </c>
      <c r="AC3736">
        <v>1</v>
      </c>
      <c r="AE3736" t="s">
        <v>814</v>
      </c>
      <c r="AF3736">
        <v>20</v>
      </c>
      <c r="AG3736" s="1">
        <v>37258</v>
      </c>
      <c r="AH3736" s="1">
        <v>37258</v>
      </c>
      <c r="AI3736" s="1">
        <v>37258</v>
      </c>
      <c r="AJ3736" s="1">
        <v>44563</v>
      </c>
      <c r="AK3736" t="s">
        <v>51</v>
      </c>
      <c r="AN3736">
        <v>0</v>
      </c>
      <c r="AO3736" t="s">
        <v>54</v>
      </c>
      <c r="AP3736" t="s">
        <v>53</v>
      </c>
      <c r="AQ3736">
        <v>0</v>
      </c>
      <c r="AR3736" t="s">
        <v>53</v>
      </c>
      <c r="AS3736">
        <v>0</v>
      </c>
      <c r="AT3736">
        <v>0</v>
      </c>
      <c r="CC3736" t="s">
        <v>439</v>
      </c>
      <c r="CD3736">
        <v>85000</v>
      </c>
      <c r="CE3736" s="1">
        <v>42552</v>
      </c>
      <c r="CF3736" s="1">
        <v>42552</v>
      </c>
      <c r="CG3736" s="1">
        <v>42552</v>
      </c>
      <c r="CH3736" s="1">
        <v>49714</v>
      </c>
      <c r="CI3736" t="s">
        <v>51</v>
      </c>
      <c r="CK3736" t="s">
        <v>78</v>
      </c>
      <c r="CM3736" t="s">
        <v>54</v>
      </c>
      <c r="CN3736" t="s">
        <v>174</v>
      </c>
      <c r="CO3736" t="s">
        <v>86</v>
      </c>
      <c r="CR3736">
        <v>25</v>
      </c>
      <c r="CS3736">
        <v>0</v>
      </c>
      <c r="CT3736">
        <v>0</v>
      </c>
      <c r="CU3736">
        <v>0</v>
      </c>
    </row>
    <row r="3737" spans="1:99" x14ac:dyDescent="0.2">
      <c r="A3737" t="s">
        <v>367</v>
      </c>
      <c r="B3737" t="s">
        <v>368</v>
      </c>
      <c r="C3737" t="s">
        <v>1733</v>
      </c>
      <c r="D3737" t="s">
        <v>369</v>
      </c>
      <c r="F3737" t="str">
        <f>"165409"</f>
        <v>165409</v>
      </c>
      <c r="G3737" t="s">
        <v>49</v>
      </c>
      <c r="H3737" t="s">
        <v>1737</v>
      </c>
      <c r="K3737" t="s">
        <v>51</v>
      </c>
      <c r="L3737" t="s">
        <v>52</v>
      </c>
      <c r="M3737">
        <v>135534.70000000001</v>
      </c>
      <c r="N3737">
        <v>466766.93</v>
      </c>
      <c r="O3737" t="s">
        <v>53</v>
      </c>
      <c r="P3737" t="s">
        <v>54</v>
      </c>
      <c r="Q3737" t="s">
        <v>55</v>
      </c>
      <c r="T3737" t="s">
        <v>376</v>
      </c>
      <c r="U3737">
        <v>40</v>
      </c>
      <c r="V3737" s="1">
        <v>37258</v>
      </c>
      <c r="W3737" s="1">
        <v>37258</v>
      </c>
      <c r="X3737" s="1">
        <v>37258</v>
      </c>
      <c r="Y3737" s="1">
        <v>51868</v>
      </c>
      <c r="Z3737" t="s">
        <v>51</v>
      </c>
      <c r="AB3737" t="s">
        <v>54</v>
      </c>
      <c r="AC3737">
        <v>1</v>
      </c>
      <c r="AE3737" t="s">
        <v>814</v>
      </c>
      <c r="AF3737">
        <v>20</v>
      </c>
      <c r="AG3737" s="1">
        <v>37258</v>
      </c>
      <c r="AH3737" s="1">
        <v>37258</v>
      </c>
      <c r="AI3737" s="1">
        <v>37258</v>
      </c>
      <c r="AJ3737" s="1">
        <v>44563</v>
      </c>
      <c r="AK3737" t="s">
        <v>51</v>
      </c>
      <c r="AN3737">
        <v>0</v>
      </c>
      <c r="AO3737" t="s">
        <v>54</v>
      </c>
      <c r="AP3737" t="s">
        <v>53</v>
      </c>
      <c r="AQ3737">
        <v>0</v>
      </c>
      <c r="AR3737" t="s">
        <v>53</v>
      </c>
      <c r="AS3737">
        <v>0</v>
      </c>
      <c r="AT3737">
        <v>0</v>
      </c>
      <c r="CC3737" t="s">
        <v>439</v>
      </c>
      <c r="CD3737">
        <v>85000</v>
      </c>
      <c r="CE3737" s="1">
        <v>42552</v>
      </c>
      <c r="CF3737" s="1">
        <v>42552</v>
      </c>
      <c r="CG3737" s="1">
        <v>42552</v>
      </c>
      <c r="CH3737" s="1">
        <v>49714</v>
      </c>
      <c r="CI3737" t="s">
        <v>51</v>
      </c>
      <c r="CK3737" t="s">
        <v>78</v>
      </c>
      <c r="CM3737" t="s">
        <v>54</v>
      </c>
      <c r="CN3737" t="s">
        <v>174</v>
      </c>
      <c r="CO3737" t="s">
        <v>86</v>
      </c>
      <c r="CR3737">
        <v>25</v>
      </c>
      <c r="CS3737">
        <v>0</v>
      </c>
      <c r="CT3737">
        <v>0</v>
      </c>
      <c r="CU3737">
        <v>0</v>
      </c>
    </row>
    <row r="3738" spans="1:99" x14ac:dyDescent="0.2">
      <c r="A3738" t="s">
        <v>367</v>
      </c>
      <c r="B3738" t="s">
        <v>368</v>
      </c>
      <c r="C3738" t="s">
        <v>1733</v>
      </c>
      <c r="D3738" t="s">
        <v>369</v>
      </c>
      <c r="F3738" t="str">
        <f>"165410"</f>
        <v>165410</v>
      </c>
      <c r="G3738" t="s">
        <v>49</v>
      </c>
      <c r="H3738" t="s">
        <v>1738</v>
      </c>
      <c r="K3738" t="s">
        <v>51</v>
      </c>
      <c r="L3738" t="s">
        <v>52</v>
      </c>
      <c r="M3738">
        <v>135498.16</v>
      </c>
      <c r="N3738">
        <v>466760.77</v>
      </c>
      <c r="O3738" t="s">
        <v>53</v>
      </c>
      <c r="P3738" t="s">
        <v>54</v>
      </c>
      <c r="Q3738" t="s">
        <v>55</v>
      </c>
      <c r="T3738" t="s">
        <v>376</v>
      </c>
      <c r="U3738">
        <v>40</v>
      </c>
      <c r="V3738" s="1">
        <v>37257</v>
      </c>
      <c r="W3738" s="1">
        <v>37257</v>
      </c>
      <c r="X3738" s="1">
        <v>37257</v>
      </c>
      <c r="Y3738" s="1">
        <v>51867</v>
      </c>
      <c r="Z3738" t="s">
        <v>51</v>
      </c>
      <c r="AB3738" t="s">
        <v>54</v>
      </c>
      <c r="AC3738">
        <v>1</v>
      </c>
      <c r="AE3738" t="s">
        <v>814</v>
      </c>
      <c r="AF3738">
        <v>20</v>
      </c>
      <c r="AG3738" s="1">
        <v>37257</v>
      </c>
      <c r="AH3738" s="1">
        <v>37257</v>
      </c>
      <c r="AI3738" s="1">
        <v>37257</v>
      </c>
      <c r="AJ3738" s="1">
        <v>44562</v>
      </c>
      <c r="AK3738" t="s">
        <v>51</v>
      </c>
      <c r="AN3738">
        <v>0</v>
      </c>
      <c r="AO3738" t="s">
        <v>54</v>
      </c>
      <c r="AP3738" t="s">
        <v>53</v>
      </c>
      <c r="AQ3738">
        <v>0</v>
      </c>
      <c r="AR3738" t="s">
        <v>53</v>
      </c>
      <c r="AS3738">
        <v>0</v>
      </c>
      <c r="AT3738">
        <v>0</v>
      </c>
      <c r="CC3738" t="s">
        <v>439</v>
      </c>
      <c r="CD3738">
        <v>85000</v>
      </c>
      <c r="CE3738" s="1">
        <v>42552</v>
      </c>
      <c r="CF3738" s="1">
        <v>42552</v>
      </c>
      <c r="CG3738" s="1">
        <v>42552</v>
      </c>
      <c r="CH3738" s="1">
        <v>49714</v>
      </c>
      <c r="CI3738" t="s">
        <v>51</v>
      </c>
      <c r="CK3738" t="s">
        <v>78</v>
      </c>
      <c r="CM3738" t="s">
        <v>54</v>
      </c>
      <c r="CN3738" t="s">
        <v>174</v>
      </c>
      <c r="CO3738" t="s">
        <v>86</v>
      </c>
      <c r="CR3738">
        <v>25</v>
      </c>
      <c r="CS3738">
        <v>0</v>
      </c>
      <c r="CT3738">
        <v>0</v>
      </c>
      <c r="CU3738">
        <v>0</v>
      </c>
    </row>
    <row r="3739" spans="1:99" x14ac:dyDescent="0.2">
      <c r="A3739" t="s">
        <v>367</v>
      </c>
      <c r="B3739" t="s">
        <v>368</v>
      </c>
      <c r="C3739" t="s">
        <v>1733</v>
      </c>
      <c r="D3739" t="s">
        <v>369</v>
      </c>
      <c r="F3739" t="str">
        <f>"165411"</f>
        <v>165411</v>
      </c>
      <c r="G3739" t="s">
        <v>49</v>
      </c>
      <c r="H3739" t="s">
        <v>1739</v>
      </c>
      <c r="K3739" t="s">
        <v>51</v>
      </c>
      <c r="L3739" t="s">
        <v>52</v>
      </c>
      <c r="M3739">
        <v>135460.98000000001</v>
      </c>
      <c r="N3739">
        <v>466754.13</v>
      </c>
      <c r="O3739" t="s">
        <v>53</v>
      </c>
      <c r="P3739" t="s">
        <v>54</v>
      </c>
      <c r="Q3739" t="s">
        <v>55</v>
      </c>
      <c r="T3739" t="s">
        <v>376</v>
      </c>
      <c r="U3739">
        <v>40</v>
      </c>
      <c r="V3739" s="1">
        <v>37257</v>
      </c>
      <c r="W3739" s="1">
        <v>37257</v>
      </c>
      <c r="X3739" s="1">
        <v>37257</v>
      </c>
      <c r="Y3739" s="1">
        <v>51867</v>
      </c>
      <c r="Z3739" t="s">
        <v>51</v>
      </c>
      <c r="AB3739" t="s">
        <v>54</v>
      </c>
      <c r="AC3739">
        <v>1</v>
      </c>
      <c r="AE3739" t="s">
        <v>814</v>
      </c>
      <c r="AF3739">
        <v>20</v>
      </c>
      <c r="AG3739" s="1">
        <v>37257</v>
      </c>
      <c r="AH3739" s="1">
        <v>37257</v>
      </c>
      <c r="AI3739" s="1">
        <v>37257</v>
      </c>
      <c r="AJ3739" s="1">
        <v>44562</v>
      </c>
      <c r="AK3739" t="s">
        <v>51</v>
      </c>
      <c r="AN3739">
        <v>0</v>
      </c>
      <c r="AO3739" t="s">
        <v>54</v>
      </c>
      <c r="AP3739" t="s">
        <v>53</v>
      </c>
      <c r="AQ3739">
        <v>0</v>
      </c>
      <c r="AR3739" t="s">
        <v>53</v>
      </c>
      <c r="AS3739">
        <v>0</v>
      </c>
      <c r="AT3739">
        <v>0</v>
      </c>
      <c r="CC3739" t="s">
        <v>439</v>
      </c>
      <c r="CD3739">
        <v>85000</v>
      </c>
      <c r="CE3739" s="1">
        <v>42552</v>
      </c>
      <c r="CF3739" s="1">
        <v>42552</v>
      </c>
      <c r="CG3739" s="1">
        <v>42552</v>
      </c>
      <c r="CH3739" s="1">
        <v>49714</v>
      </c>
      <c r="CI3739" t="s">
        <v>51</v>
      </c>
      <c r="CK3739" t="s">
        <v>78</v>
      </c>
      <c r="CM3739" t="s">
        <v>54</v>
      </c>
      <c r="CN3739" t="s">
        <v>174</v>
      </c>
      <c r="CO3739" t="s">
        <v>86</v>
      </c>
      <c r="CR3739">
        <v>25</v>
      </c>
      <c r="CS3739">
        <v>0</v>
      </c>
      <c r="CT3739">
        <v>0</v>
      </c>
      <c r="CU3739">
        <v>0</v>
      </c>
    </row>
    <row r="3740" spans="1:99" x14ac:dyDescent="0.2">
      <c r="A3740" t="s">
        <v>367</v>
      </c>
      <c r="B3740" t="s">
        <v>368</v>
      </c>
      <c r="C3740" t="s">
        <v>1733</v>
      </c>
      <c r="D3740" t="s">
        <v>369</v>
      </c>
      <c r="F3740" t="str">
        <f>"165412"</f>
        <v>165412</v>
      </c>
      <c r="G3740" t="s">
        <v>49</v>
      </c>
      <c r="H3740" t="s">
        <v>1740</v>
      </c>
      <c r="K3740" t="s">
        <v>51</v>
      </c>
      <c r="L3740" t="s">
        <v>52</v>
      </c>
      <c r="M3740">
        <v>135425.18</v>
      </c>
      <c r="N3740">
        <v>466747.02</v>
      </c>
      <c r="O3740" t="s">
        <v>53</v>
      </c>
      <c r="P3740" t="s">
        <v>54</v>
      </c>
      <c r="Q3740" t="s">
        <v>55</v>
      </c>
      <c r="T3740" t="s">
        <v>376</v>
      </c>
      <c r="U3740">
        <v>40</v>
      </c>
      <c r="V3740" s="1">
        <v>37257</v>
      </c>
      <c r="W3740" s="1">
        <v>37257</v>
      </c>
      <c r="X3740" s="1">
        <v>37257</v>
      </c>
      <c r="Y3740" s="1">
        <v>51867</v>
      </c>
      <c r="Z3740" t="s">
        <v>51</v>
      </c>
      <c r="AB3740" t="s">
        <v>54</v>
      </c>
      <c r="AC3740">
        <v>1</v>
      </c>
      <c r="AE3740" t="s">
        <v>814</v>
      </c>
      <c r="AF3740">
        <v>20</v>
      </c>
      <c r="AG3740" s="1">
        <v>37257</v>
      </c>
      <c r="AH3740" s="1">
        <v>37257</v>
      </c>
      <c r="AI3740" s="1">
        <v>37257</v>
      </c>
      <c r="AJ3740" s="1">
        <v>44562</v>
      </c>
      <c r="AK3740" t="s">
        <v>51</v>
      </c>
      <c r="AN3740">
        <v>0</v>
      </c>
      <c r="AO3740" t="s">
        <v>54</v>
      </c>
      <c r="AP3740" t="s">
        <v>53</v>
      </c>
      <c r="AQ3740">
        <v>0</v>
      </c>
      <c r="AR3740" t="s">
        <v>53</v>
      </c>
      <c r="AS3740">
        <v>0</v>
      </c>
      <c r="AT3740">
        <v>0</v>
      </c>
      <c r="CC3740" t="s">
        <v>439</v>
      </c>
      <c r="CD3740">
        <v>85000</v>
      </c>
      <c r="CE3740" s="1">
        <v>43123</v>
      </c>
      <c r="CF3740" s="1">
        <v>43123</v>
      </c>
      <c r="CG3740" s="1">
        <v>43123</v>
      </c>
      <c r="CH3740" s="1">
        <v>50338</v>
      </c>
      <c r="CI3740" t="s">
        <v>51</v>
      </c>
      <c r="CK3740" t="s">
        <v>78</v>
      </c>
      <c r="CM3740" t="s">
        <v>54</v>
      </c>
      <c r="CN3740" t="s">
        <v>174</v>
      </c>
      <c r="CO3740" t="s">
        <v>86</v>
      </c>
      <c r="CR3740">
        <v>25</v>
      </c>
      <c r="CS3740">
        <v>0</v>
      </c>
      <c r="CT3740">
        <v>0</v>
      </c>
      <c r="CU3740">
        <v>0</v>
      </c>
    </row>
    <row r="3741" spans="1:99" x14ac:dyDescent="0.2">
      <c r="A3741" t="s">
        <v>367</v>
      </c>
      <c r="B3741" t="s">
        <v>368</v>
      </c>
      <c r="C3741" t="s">
        <v>1733</v>
      </c>
      <c r="D3741" t="s">
        <v>369</v>
      </c>
      <c r="F3741" t="str">
        <f>"165413"</f>
        <v>165413</v>
      </c>
      <c r="G3741" t="s">
        <v>49</v>
      </c>
      <c r="H3741" t="s">
        <v>1740</v>
      </c>
      <c r="K3741" t="s">
        <v>51</v>
      </c>
      <c r="L3741" t="s">
        <v>52</v>
      </c>
      <c r="M3741">
        <v>135400.06</v>
      </c>
      <c r="N3741">
        <v>466742.66</v>
      </c>
      <c r="O3741" t="s">
        <v>53</v>
      </c>
      <c r="P3741" t="s">
        <v>54</v>
      </c>
      <c r="Q3741" t="s">
        <v>55</v>
      </c>
      <c r="T3741" t="s">
        <v>376</v>
      </c>
      <c r="U3741">
        <v>40</v>
      </c>
      <c r="V3741" s="1">
        <v>37258</v>
      </c>
      <c r="W3741" s="1">
        <v>37258</v>
      </c>
      <c r="X3741" s="1">
        <v>37258</v>
      </c>
      <c r="Y3741" s="1">
        <v>51868</v>
      </c>
      <c r="Z3741" t="s">
        <v>51</v>
      </c>
      <c r="AB3741" t="s">
        <v>54</v>
      </c>
      <c r="AC3741">
        <v>1</v>
      </c>
      <c r="AE3741" t="s">
        <v>814</v>
      </c>
      <c r="AF3741">
        <v>20</v>
      </c>
      <c r="AG3741" s="1">
        <v>37258</v>
      </c>
      <c r="AH3741" s="1">
        <v>37258</v>
      </c>
      <c r="AI3741" s="1">
        <v>37258</v>
      </c>
      <c r="AJ3741" s="1">
        <v>44563</v>
      </c>
      <c r="AK3741" t="s">
        <v>51</v>
      </c>
      <c r="AN3741">
        <v>0</v>
      </c>
      <c r="AO3741" t="s">
        <v>54</v>
      </c>
      <c r="AP3741" t="s">
        <v>53</v>
      </c>
      <c r="AQ3741">
        <v>0</v>
      </c>
      <c r="AR3741" t="s">
        <v>53</v>
      </c>
      <c r="AS3741">
        <v>0</v>
      </c>
      <c r="AT3741">
        <v>0</v>
      </c>
      <c r="CC3741" t="s">
        <v>439</v>
      </c>
      <c r="CD3741">
        <v>85000</v>
      </c>
      <c r="CE3741" s="1">
        <v>42552</v>
      </c>
      <c r="CF3741" s="1">
        <v>42552</v>
      </c>
      <c r="CG3741" s="1">
        <v>42552</v>
      </c>
      <c r="CH3741" s="1">
        <v>49714</v>
      </c>
      <c r="CI3741" t="s">
        <v>51</v>
      </c>
      <c r="CK3741" t="s">
        <v>78</v>
      </c>
      <c r="CM3741" t="s">
        <v>54</v>
      </c>
      <c r="CN3741" t="s">
        <v>174</v>
      </c>
      <c r="CO3741" t="s">
        <v>86</v>
      </c>
      <c r="CR3741">
        <v>25</v>
      </c>
      <c r="CS3741">
        <v>0</v>
      </c>
      <c r="CT3741">
        <v>0</v>
      </c>
      <c r="CU3741">
        <v>0</v>
      </c>
    </row>
    <row r="3742" spans="1:99" x14ac:dyDescent="0.2">
      <c r="A3742" t="s">
        <v>367</v>
      </c>
      <c r="B3742" t="s">
        <v>368</v>
      </c>
      <c r="C3742" t="s">
        <v>1733</v>
      </c>
      <c r="D3742" t="s">
        <v>369</v>
      </c>
      <c r="F3742" t="str">
        <f>"165414"</f>
        <v>165414</v>
      </c>
      <c r="G3742" t="s">
        <v>49</v>
      </c>
      <c r="H3742" t="s">
        <v>1741</v>
      </c>
      <c r="K3742" t="s">
        <v>51</v>
      </c>
      <c r="L3742" t="s">
        <v>52</v>
      </c>
      <c r="M3742">
        <v>135374.6</v>
      </c>
      <c r="N3742">
        <v>466737.21</v>
      </c>
      <c r="O3742" t="s">
        <v>53</v>
      </c>
      <c r="P3742" t="s">
        <v>54</v>
      </c>
      <c r="Q3742" t="s">
        <v>55</v>
      </c>
      <c r="T3742" t="s">
        <v>376</v>
      </c>
      <c r="U3742">
        <v>40</v>
      </c>
      <c r="V3742" s="1">
        <v>37258</v>
      </c>
      <c r="W3742" s="1">
        <v>37258</v>
      </c>
      <c r="X3742" s="1">
        <v>37258</v>
      </c>
      <c r="Y3742" s="1">
        <v>51868</v>
      </c>
      <c r="Z3742" t="s">
        <v>51</v>
      </c>
      <c r="AB3742" t="s">
        <v>54</v>
      </c>
      <c r="AC3742">
        <v>1</v>
      </c>
      <c r="AE3742" t="s">
        <v>814</v>
      </c>
      <c r="AF3742">
        <v>20</v>
      </c>
      <c r="AG3742" s="1">
        <v>37258</v>
      </c>
      <c r="AH3742" s="1">
        <v>37258</v>
      </c>
      <c r="AI3742" s="1">
        <v>37258</v>
      </c>
      <c r="AJ3742" s="1">
        <v>44563</v>
      </c>
      <c r="AK3742" t="s">
        <v>51</v>
      </c>
      <c r="AN3742">
        <v>0</v>
      </c>
      <c r="AO3742" t="s">
        <v>54</v>
      </c>
      <c r="AP3742" t="s">
        <v>53</v>
      </c>
      <c r="AQ3742">
        <v>0</v>
      </c>
      <c r="AR3742" t="s">
        <v>53</v>
      </c>
      <c r="AS3742">
        <v>0</v>
      </c>
      <c r="AT3742">
        <v>0</v>
      </c>
      <c r="CC3742" t="s">
        <v>439</v>
      </c>
      <c r="CD3742">
        <v>85000</v>
      </c>
      <c r="CE3742" s="1">
        <v>42552</v>
      </c>
      <c r="CF3742" s="1">
        <v>42552</v>
      </c>
      <c r="CG3742" s="1">
        <v>42552</v>
      </c>
      <c r="CH3742" s="1">
        <v>49714</v>
      </c>
      <c r="CI3742" t="s">
        <v>51</v>
      </c>
      <c r="CK3742" t="s">
        <v>78</v>
      </c>
      <c r="CM3742" t="s">
        <v>54</v>
      </c>
      <c r="CN3742" t="s">
        <v>174</v>
      </c>
      <c r="CO3742" t="s">
        <v>86</v>
      </c>
      <c r="CR3742">
        <v>25</v>
      </c>
      <c r="CS3742">
        <v>0</v>
      </c>
      <c r="CT3742">
        <v>0</v>
      </c>
      <c r="CU3742">
        <v>0</v>
      </c>
    </row>
    <row r="3743" spans="1:99" x14ac:dyDescent="0.2">
      <c r="A3743" t="s">
        <v>367</v>
      </c>
      <c r="B3743" t="s">
        <v>368</v>
      </c>
      <c r="C3743" t="s">
        <v>1733</v>
      </c>
      <c r="D3743" t="s">
        <v>369</v>
      </c>
      <c r="F3743" t="str">
        <f>"165415"</f>
        <v>165415</v>
      </c>
      <c r="G3743" t="s">
        <v>49</v>
      </c>
      <c r="H3743" t="s">
        <v>1742</v>
      </c>
      <c r="K3743" t="s">
        <v>51</v>
      </c>
      <c r="L3743" t="s">
        <v>52</v>
      </c>
      <c r="M3743">
        <v>135354.64000000001</v>
      </c>
      <c r="N3743">
        <v>466733.01</v>
      </c>
      <c r="O3743" t="s">
        <v>53</v>
      </c>
      <c r="P3743" t="s">
        <v>54</v>
      </c>
      <c r="Q3743" t="s">
        <v>55</v>
      </c>
      <c r="T3743" t="s">
        <v>376</v>
      </c>
      <c r="U3743">
        <v>40</v>
      </c>
      <c r="V3743" s="1">
        <v>37257</v>
      </c>
      <c r="W3743" s="1">
        <v>37257</v>
      </c>
      <c r="X3743" s="1">
        <v>37257</v>
      </c>
      <c r="Y3743" s="1">
        <v>51867</v>
      </c>
      <c r="Z3743" t="s">
        <v>51</v>
      </c>
      <c r="AB3743" t="s">
        <v>54</v>
      </c>
      <c r="AC3743">
        <v>1</v>
      </c>
      <c r="AE3743" t="s">
        <v>814</v>
      </c>
      <c r="AF3743">
        <v>20</v>
      </c>
      <c r="AG3743" s="1">
        <v>37257</v>
      </c>
      <c r="AH3743" s="1">
        <v>37257</v>
      </c>
      <c r="AI3743" s="1">
        <v>37257</v>
      </c>
      <c r="AJ3743" s="1">
        <v>44562</v>
      </c>
      <c r="AK3743" t="s">
        <v>51</v>
      </c>
      <c r="AN3743">
        <v>0</v>
      </c>
      <c r="AO3743" t="s">
        <v>54</v>
      </c>
      <c r="AP3743" t="s">
        <v>53</v>
      </c>
      <c r="AQ3743">
        <v>0</v>
      </c>
      <c r="AR3743" t="s">
        <v>53</v>
      </c>
      <c r="AS3743">
        <v>0</v>
      </c>
      <c r="AT3743">
        <v>0</v>
      </c>
      <c r="CC3743" t="s">
        <v>439</v>
      </c>
      <c r="CD3743">
        <v>85000</v>
      </c>
      <c r="CE3743" s="1">
        <v>42552</v>
      </c>
      <c r="CF3743" s="1">
        <v>42552</v>
      </c>
      <c r="CG3743" s="1">
        <v>42552</v>
      </c>
      <c r="CH3743" s="1">
        <v>49714</v>
      </c>
      <c r="CI3743" t="s">
        <v>51</v>
      </c>
      <c r="CK3743" t="s">
        <v>78</v>
      </c>
      <c r="CM3743" t="s">
        <v>54</v>
      </c>
      <c r="CN3743" t="s">
        <v>174</v>
      </c>
      <c r="CO3743" t="s">
        <v>86</v>
      </c>
      <c r="CR3743">
        <v>25</v>
      </c>
      <c r="CS3743">
        <v>0</v>
      </c>
      <c r="CT3743">
        <v>0</v>
      </c>
      <c r="CU3743">
        <v>0</v>
      </c>
    </row>
    <row r="3744" spans="1:99" x14ac:dyDescent="0.2">
      <c r="A3744" t="s">
        <v>367</v>
      </c>
      <c r="B3744" t="s">
        <v>368</v>
      </c>
      <c r="C3744" t="s">
        <v>1733</v>
      </c>
      <c r="D3744" t="s">
        <v>369</v>
      </c>
      <c r="F3744" t="str">
        <f>"165416"</f>
        <v>165416</v>
      </c>
      <c r="G3744" t="s">
        <v>49</v>
      </c>
      <c r="H3744" t="s">
        <v>1743</v>
      </c>
      <c r="K3744" t="s">
        <v>51</v>
      </c>
      <c r="L3744" t="s">
        <v>52</v>
      </c>
      <c r="M3744">
        <v>135324.94</v>
      </c>
      <c r="N3744">
        <v>466727.37</v>
      </c>
      <c r="O3744" t="s">
        <v>53</v>
      </c>
      <c r="P3744" t="s">
        <v>54</v>
      </c>
      <c r="Q3744" t="s">
        <v>55</v>
      </c>
      <c r="T3744" t="s">
        <v>376</v>
      </c>
      <c r="U3744">
        <v>40</v>
      </c>
      <c r="V3744" s="1">
        <v>37258</v>
      </c>
      <c r="W3744" s="1">
        <v>37258</v>
      </c>
      <c r="X3744" s="1">
        <v>37258</v>
      </c>
      <c r="Y3744" s="1">
        <v>51868</v>
      </c>
      <c r="Z3744" t="s">
        <v>51</v>
      </c>
      <c r="AB3744" t="s">
        <v>54</v>
      </c>
      <c r="AC3744">
        <v>1</v>
      </c>
      <c r="AE3744" t="s">
        <v>814</v>
      </c>
      <c r="AF3744">
        <v>20</v>
      </c>
      <c r="AG3744" s="1">
        <v>37258</v>
      </c>
      <c r="AH3744" s="1">
        <v>37258</v>
      </c>
      <c r="AI3744" s="1">
        <v>37258</v>
      </c>
      <c r="AJ3744" s="1">
        <v>44563</v>
      </c>
      <c r="AK3744" t="s">
        <v>51</v>
      </c>
      <c r="AN3744">
        <v>0</v>
      </c>
      <c r="AO3744" t="s">
        <v>54</v>
      </c>
      <c r="AP3744" t="s">
        <v>53</v>
      </c>
      <c r="AQ3744">
        <v>0</v>
      </c>
      <c r="AR3744" t="s">
        <v>53</v>
      </c>
      <c r="AS3744">
        <v>0</v>
      </c>
      <c r="AT3744">
        <v>0</v>
      </c>
      <c r="CC3744" t="s">
        <v>439</v>
      </c>
      <c r="CD3744">
        <v>85000</v>
      </c>
      <c r="CE3744" s="1">
        <v>42552</v>
      </c>
      <c r="CF3744" s="1">
        <v>42552</v>
      </c>
      <c r="CG3744" s="1">
        <v>42552</v>
      </c>
      <c r="CH3744" s="1">
        <v>49714</v>
      </c>
      <c r="CI3744" t="s">
        <v>51</v>
      </c>
      <c r="CK3744" t="s">
        <v>78</v>
      </c>
      <c r="CM3744" t="s">
        <v>54</v>
      </c>
      <c r="CN3744" t="s">
        <v>174</v>
      </c>
      <c r="CO3744" t="s">
        <v>86</v>
      </c>
      <c r="CR3744">
        <v>25</v>
      </c>
      <c r="CS3744">
        <v>0</v>
      </c>
      <c r="CT3744">
        <v>0</v>
      </c>
      <c r="CU3744">
        <v>0</v>
      </c>
    </row>
    <row r="3745" spans="1:99" x14ac:dyDescent="0.2">
      <c r="A3745" t="s">
        <v>367</v>
      </c>
      <c r="B3745" t="s">
        <v>368</v>
      </c>
      <c r="C3745" t="s">
        <v>1733</v>
      </c>
      <c r="D3745" t="s">
        <v>369</v>
      </c>
      <c r="F3745" t="str">
        <f>"165417"</f>
        <v>165417</v>
      </c>
      <c r="G3745" t="s">
        <v>49</v>
      </c>
      <c r="H3745" t="s">
        <v>1744</v>
      </c>
      <c r="K3745" t="s">
        <v>51</v>
      </c>
      <c r="L3745" t="s">
        <v>52</v>
      </c>
      <c r="M3745">
        <v>135298.96</v>
      </c>
      <c r="N3745">
        <v>466723.04</v>
      </c>
      <c r="O3745" t="s">
        <v>53</v>
      </c>
      <c r="P3745" t="s">
        <v>54</v>
      </c>
      <c r="Q3745" t="s">
        <v>55</v>
      </c>
      <c r="T3745" t="s">
        <v>376</v>
      </c>
      <c r="U3745">
        <v>40</v>
      </c>
      <c r="V3745" s="1">
        <v>37258</v>
      </c>
      <c r="W3745" s="1">
        <v>37258</v>
      </c>
      <c r="X3745" s="1">
        <v>37258</v>
      </c>
      <c r="Y3745" s="1">
        <v>51868</v>
      </c>
      <c r="Z3745" t="s">
        <v>51</v>
      </c>
      <c r="AB3745" t="s">
        <v>54</v>
      </c>
      <c r="AC3745">
        <v>1</v>
      </c>
      <c r="AE3745" t="s">
        <v>814</v>
      </c>
      <c r="AF3745">
        <v>20</v>
      </c>
      <c r="AG3745" s="1">
        <v>37258</v>
      </c>
      <c r="AH3745" s="1">
        <v>37258</v>
      </c>
      <c r="AI3745" s="1">
        <v>37258</v>
      </c>
      <c r="AJ3745" s="1">
        <v>44563</v>
      </c>
      <c r="AK3745" t="s">
        <v>51</v>
      </c>
      <c r="AN3745">
        <v>0</v>
      </c>
      <c r="AO3745" t="s">
        <v>54</v>
      </c>
      <c r="AP3745" t="s">
        <v>53</v>
      </c>
      <c r="AQ3745">
        <v>0</v>
      </c>
      <c r="AR3745" t="s">
        <v>53</v>
      </c>
      <c r="AS3745">
        <v>0</v>
      </c>
      <c r="AT3745">
        <v>0</v>
      </c>
      <c r="CC3745" t="s">
        <v>439</v>
      </c>
      <c r="CD3745">
        <v>85000</v>
      </c>
      <c r="CE3745" s="1">
        <v>42552</v>
      </c>
      <c r="CF3745" s="1">
        <v>42552</v>
      </c>
      <c r="CG3745" s="1">
        <v>42552</v>
      </c>
      <c r="CH3745" s="1">
        <v>49714</v>
      </c>
      <c r="CI3745" t="s">
        <v>51</v>
      </c>
      <c r="CK3745" t="s">
        <v>78</v>
      </c>
      <c r="CM3745" t="s">
        <v>54</v>
      </c>
      <c r="CN3745" t="s">
        <v>174</v>
      </c>
      <c r="CO3745" t="s">
        <v>86</v>
      </c>
      <c r="CR3745">
        <v>25</v>
      </c>
      <c r="CS3745">
        <v>0</v>
      </c>
      <c r="CT3745">
        <v>0</v>
      </c>
      <c r="CU3745">
        <v>0</v>
      </c>
    </row>
    <row r="3746" spans="1:99" x14ac:dyDescent="0.2">
      <c r="A3746" t="s">
        <v>367</v>
      </c>
      <c r="B3746" t="s">
        <v>368</v>
      </c>
      <c r="C3746" t="s">
        <v>1733</v>
      </c>
      <c r="D3746" t="s">
        <v>369</v>
      </c>
      <c r="F3746" t="str">
        <f>"165418"</f>
        <v>165418</v>
      </c>
      <c r="G3746" t="s">
        <v>49</v>
      </c>
      <c r="H3746" t="s">
        <v>1744</v>
      </c>
      <c r="K3746" t="s">
        <v>51</v>
      </c>
      <c r="L3746" t="s">
        <v>52</v>
      </c>
      <c r="M3746">
        <v>135270.1</v>
      </c>
      <c r="N3746">
        <v>466716.35</v>
      </c>
      <c r="O3746" t="s">
        <v>53</v>
      </c>
      <c r="P3746" t="s">
        <v>54</v>
      </c>
      <c r="Q3746" t="s">
        <v>55</v>
      </c>
      <c r="T3746" t="s">
        <v>376</v>
      </c>
      <c r="U3746">
        <v>40</v>
      </c>
      <c r="V3746" s="1">
        <v>37257</v>
      </c>
      <c r="W3746" s="1">
        <v>37257</v>
      </c>
      <c r="X3746" s="1">
        <v>37257</v>
      </c>
      <c r="Y3746" s="1">
        <v>51867</v>
      </c>
      <c r="Z3746" t="s">
        <v>51</v>
      </c>
      <c r="AB3746" t="s">
        <v>54</v>
      </c>
      <c r="AC3746">
        <v>1</v>
      </c>
      <c r="AE3746" t="s">
        <v>814</v>
      </c>
      <c r="AF3746">
        <v>20</v>
      </c>
      <c r="AG3746" s="1">
        <v>37257</v>
      </c>
      <c r="AH3746" s="1">
        <v>37257</v>
      </c>
      <c r="AI3746" s="1">
        <v>37257</v>
      </c>
      <c r="AJ3746" s="1">
        <v>44562</v>
      </c>
      <c r="AK3746" t="s">
        <v>51</v>
      </c>
      <c r="AN3746">
        <v>0</v>
      </c>
      <c r="AO3746" t="s">
        <v>54</v>
      </c>
      <c r="AP3746" t="s">
        <v>53</v>
      </c>
      <c r="AQ3746">
        <v>0</v>
      </c>
      <c r="AR3746" t="s">
        <v>53</v>
      </c>
      <c r="AS3746">
        <v>0</v>
      </c>
      <c r="AT3746">
        <v>0</v>
      </c>
      <c r="CC3746" t="s">
        <v>439</v>
      </c>
      <c r="CD3746">
        <v>85000</v>
      </c>
      <c r="CE3746" s="1">
        <v>42552</v>
      </c>
      <c r="CF3746" s="1">
        <v>42552</v>
      </c>
      <c r="CG3746" s="1">
        <v>42552</v>
      </c>
      <c r="CH3746" s="1">
        <v>49714</v>
      </c>
      <c r="CI3746" t="s">
        <v>51</v>
      </c>
      <c r="CK3746" t="s">
        <v>78</v>
      </c>
      <c r="CM3746" t="s">
        <v>54</v>
      </c>
      <c r="CN3746" t="s">
        <v>174</v>
      </c>
      <c r="CO3746" t="s">
        <v>86</v>
      </c>
      <c r="CR3746">
        <v>25</v>
      </c>
      <c r="CS3746">
        <v>0</v>
      </c>
      <c r="CT3746">
        <v>0</v>
      </c>
      <c r="CU3746">
        <v>0</v>
      </c>
    </row>
    <row r="3747" spans="1:99" x14ac:dyDescent="0.2">
      <c r="A3747" t="s">
        <v>367</v>
      </c>
      <c r="B3747" t="s">
        <v>368</v>
      </c>
      <c r="C3747" t="s">
        <v>1733</v>
      </c>
      <c r="D3747" t="s">
        <v>369</v>
      </c>
      <c r="F3747" t="str">
        <f>"165419"</f>
        <v>165419</v>
      </c>
      <c r="G3747" t="s">
        <v>49</v>
      </c>
      <c r="H3747" t="s">
        <v>1744</v>
      </c>
      <c r="K3747" t="s">
        <v>51</v>
      </c>
      <c r="L3747" t="s">
        <v>52</v>
      </c>
      <c r="M3747">
        <v>135244.32</v>
      </c>
      <c r="N3747">
        <v>466713.19</v>
      </c>
      <c r="O3747" t="s">
        <v>53</v>
      </c>
      <c r="P3747" t="s">
        <v>54</v>
      </c>
      <c r="Q3747" t="s">
        <v>55</v>
      </c>
      <c r="T3747" t="s">
        <v>376</v>
      </c>
      <c r="U3747">
        <v>40</v>
      </c>
      <c r="V3747" s="1">
        <v>37258</v>
      </c>
      <c r="W3747" s="1">
        <v>37258</v>
      </c>
      <c r="X3747" s="1">
        <v>37258</v>
      </c>
      <c r="Y3747" s="1">
        <v>51868</v>
      </c>
      <c r="Z3747" t="s">
        <v>51</v>
      </c>
      <c r="AB3747" t="s">
        <v>54</v>
      </c>
      <c r="AC3747">
        <v>1</v>
      </c>
      <c r="AE3747" t="s">
        <v>814</v>
      </c>
      <c r="AF3747">
        <v>20</v>
      </c>
      <c r="AG3747" s="1">
        <v>37258</v>
      </c>
      <c r="AH3747" s="1">
        <v>37258</v>
      </c>
      <c r="AI3747" s="1">
        <v>37258</v>
      </c>
      <c r="AJ3747" s="1">
        <v>44563</v>
      </c>
      <c r="AK3747" t="s">
        <v>51</v>
      </c>
      <c r="AN3747">
        <v>0</v>
      </c>
      <c r="AO3747" t="s">
        <v>54</v>
      </c>
      <c r="AP3747" t="s">
        <v>53</v>
      </c>
      <c r="AQ3747">
        <v>0</v>
      </c>
      <c r="AR3747" t="s">
        <v>53</v>
      </c>
      <c r="AS3747">
        <v>0</v>
      </c>
      <c r="AT3747">
        <v>0</v>
      </c>
      <c r="CC3747" t="s">
        <v>439</v>
      </c>
      <c r="CD3747">
        <v>85000</v>
      </c>
      <c r="CE3747" s="1">
        <v>43885</v>
      </c>
      <c r="CF3747" s="1">
        <v>43885</v>
      </c>
      <c r="CG3747" s="1">
        <v>43885</v>
      </c>
      <c r="CH3747" s="1">
        <v>51099</v>
      </c>
      <c r="CI3747" t="s">
        <v>51</v>
      </c>
      <c r="CK3747" t="s">
        <v>78</v>
      </c>
      <c r="CM3747" t="s">
        <v>54</v>
      </c>
      <c r="CN3747" t="s">
        <v>174</v>
      </c>
      <c r="CO3747" t="s">
        <v>86</v>
      </c>
      <c r="CR3747">
        <v>25</v>
      </c>
      <c r="CS3747">
        <v>0</v>
      </c>
      <c r="CT3747">
        <v>0</v>
      </c>
      <c r="CU3747">
        <v>0</v>
      </c>
    </row>
    <row r="3748" spans="1:99" x14ac:dyDescent="0.2">
      <c r="A3748" t="s">
        <v>367</v>
      </c>
      <c r="B3748" t="s">
        <v>368</v>
      </c>
      <c r="C3748" t="s">
        <v>1733</v>
      </c>
      <c r="D3748" t="s">
        <v>369</v>
      </c>
      <c r="F3748" t="str">
        <f>"165420"</f>
        <v>165420</v>
      </c>
      <c r="G3748" t="s">
        <v>49</v>
      </c>
      <c r="H3748" t="s">
        <v>1745</v>
      </c>
      <c r="K3748" t="s">
        <v>51</v>
      </c>
      <c r="L3748" t="s">
        <v>52</v>
      </c>
      <c r="M3748">
        <v>135218.57</v>
      </c>
      <c r="N3748">
        <v>466707.85</v>
      </c>
      <c r="O3748" t="s">
        <v>53</v>
      </c>
      <c r="P3748" t="s">
        <v>54</v>
      </c>
      <c r="Q3748" t="s">
        <v>55</v>
      </c>
      <c r="T3748" t="s">
        <v>376</v>
      </c>
      <c r="U3748">
        <v>40</v>
      </c>
      <c r="V3748" s="1">
        <v>37258</v>
      </c>
      <c r="W3748" s="1">
        <v>37258</v>
      </c>
      <c r="X3748" s="1">
        <v>37258</v>
      </c>
      <c r="Y3748" s="1">
        <v>51868</v>
      </c>
      <c r="Z3748" t="s">
        <v>51</v>
      </c>
      <c r="AB3748" t="s">
        <v>54</v>
      </c>
      <c r="AC3748">
        <v>1</v>
      </c>
      <c r="AE3748" t="s">
        <v>814</v>
      </c>
      <c r="AF3748">
        <v>20</v>
      </c>
      <c r="AG3748" s="1">
        <v>37258</v>
      </c>
      <c r="AH3748" s="1">
        <v>37258</v>
      </c>
      <c r="AI3748" s="1">
        <v>37258</v>
      </c>
      <c r="AJ3748" s="1">
        <v>44563</v>
      </c>
      <c r="AK3748" t="s">
        <v>51</v>
      </c>
      <c r="AN3748">
        <v>0</v>
      </c>
      <c r="AO3748" t="s">
        <v>54</v>
      </c>
      <c r="AP3748" t="s">
        <v>53</v>
      </c>
      <c r="AQ3748">
        <v>0</v>
      </c>
      <c r="AR3748" t="s">
        <v>53</v>
      </c>
      <c r="AS3748">
        <v>0</v>
      </c>
      <c r="AT3748">
        <v>0</v>
      </c>
      <c r="CC3748" t="s">
        <v>439</v>
      </c>
      <c r="CD3748">
        <v>85000</v>
      </c>
      <c r="CE3748" s="1">
        <v>42552</v>
      </c>
      <c r="CF3748" s="1">
        <v>42552</v>
      </c>
      <c r="CG3748" s="1">
        <v>42552</v>
      </c>
      <c r="CH3748" s="1">
        <v>49714</v>
      </c>
      <c r="CI3748" t="s">
        <v>51</v>
      </c>
      <c r="CK3748" t="s">
        <v>78</v>
      </c>
      <c r="CM3748" t="s">
        <v>54</v>
      </c>
      <c r="CN3748" t="s">
        <v>174</v>
      </c>
      <c r="CO3748" t="s">
        <v>86</v>
      </c>
      <c r="CR3748">
        <v>25</v>
      </c>
      <c r="CS3748">
        <v>0</v>
      </c>
      <c r="CT3748">
        <v>0</v>
      </c>
      <c r="CU3748">
        <v>0</v>
      </c>
    </row>
    <row r="3749" spans="1:99" x14ac:dyDescent="0.2">
      <c r="A3749" t="s">
        <v>367</v>
      </c>
      <c r="B3749" t="s">
        <v>368</v>
      </c>
      <c r="C3749" t="s">
        <v>1733</v>
      </c>
      <c r="D3749" t="s">
        <v>369</v>
      </c>
      <c r="F3749" t="str">
        <f>"165421"</f>
        <v>165421</v>
      </c>
      <c r="G3749" t="s">
        <v>49</v>
      </c>
      <c r="H3749" t="s">
        <v>1745</v>
      </c>
      <c r="K3749" t="s">
        <v>51</v>
      </c>
      <c r="L3749" t="s">
        <v>52</v>
      </c>
      <c r="M3749">
        <v>135189.82</v>
      </c>
      <c r="N3749">
        <v>466700.31</v>
      </c>
      <c r="O3749" t="s">
        <v>53</v>
      </c>
      <c r="P3749" t="s">
        <v>54</v>
      </c>
      <c r="Q3749" t="s">
        <v>55</v>
      </c>
      <c r="T3749" t="s">
        <v>376</v>
      </c>
      <c r="U3749">
        <v>40</v>
      </c>
      <c r="V3749" s="1">
        <v>37257</v>
      </c>
      <c r="W3749" s="1">
        <v>37257</v>
      </c>
      <c r="X3749" s="1">
        <v>37257</v>
      </c>
      <c r="Y3749" s="1">
        <v>51867</v>
      </c>
      <c r="Z3749" t="s">
        <v>51</v>
      </c>
      <c r="AB3749" t="s">
        <v>54</v>
      </c>
      <c r="AC3749">
        <v>1</v>
      </c>
      <c r="AE3749" t="s">
        <v>814</v>
      </c>
      <c r="AF3749">
        <v>20</v>
      </c>
      <c r="AG3749" s="1">
        <v>37257</v>
      </c>
      <c r="AH3749" s="1">
        <v>37257</v>
      </c>
      <c r="AI3749" s="1">
        <v>37257</v>
      </c>
      <c r="AJ3749" s="1">
        <v>44562</v>
      </c>
      <c r="AK3749" t="s">
        <v>51</v>
      </c>
      <c r="AN3749">
        <v>0</v>
      </c>
      <c r="AO3749" t="s">
        <v>54</v>
      </c>
      <c r="AP3749" t="s">
        <v>53</v>
      </c>
      <c r="AQ3749">
        <v>0</v>
      </c>
      <c r="AR3749" t="s">
        <v>53</v>
      </c>
      <c r="AS3749">
        <v>0</v>
      </c>
      <c r="AT3749">
        <v>0</v>
      </c>
      <c r="CC3749" t="s">
        <v>439</v>
      </c>
      <c r="CD3749">
        <v>85000</v>
      </c>
      <c r="CE3749" s="1">
        <v>42552</v>
      </c>
      <c r="CF3749" s="1">
        <v>42552</v>
      </c>
      <c r="CG3749" s="1">
        <v>42552</v>
      </c>
      <c r="CH3749" s="1">
        <v>49714</v>
      </c>
      <c r="CI3749" t="s">
        <v>51</v>
      </c>
      <c r="CK3749" t="s">
        <v>78</v>
      </c>
      <c r="CM3749" t="s">
        <v>54</v>
      </c>
      <c r="CN3749" t="s">
        <v>174</v>
      </c>
      <c r="CO3749" t="s">
        <v>86</v>
      </c>
      <c r="CR3749">
        <v>25</v>
      </c>
      <c r="CS3749">
        <v>0</v>
      </c>
      <c r="CT3749">
        <v>0</v>
      </c>
      <c r="CU3749">
        <v>0</v>
      </c>
    </row>
    <row r="3750" spans="1:99" x14ac:dyDescent="0.2">
      <c r="A3750" t="s">
        <v>367</v>
      </c>
      <c r="B3750" t="s">
        <v>368</v>
      </c>
      <c r="C3750" t="s">
        <v>1733</v>
      </c>
      <c r="D3750" t="s">
        <v>369</v>
      </c>
      <c r="F3750" t="str">
        <f>"165422"</f>
        <v>165422</v>
      </c>
      <c r="G3750" t="s">
        <v>49</v>
      </c>
      <c r="H3750" t="s">
        <v>1746</v>
      </c>
      <c r="K3750" t="s">
        <v>51</v>
      </c>
      <c r="L3750" t="s">
        <v>52</v>
      </c>
      <c r="M3750">
        <v>135160.97</v>
      </c>
      <c r="N3750">
        <v>466694.46</v>
      </c>
      <c r="O3750" t="s">
        <v>53</v>
      </c>
      <c r="P3750" t="s">
        <v>54</v>
      </c>
      <c r="Q3750" t="s">
        <v>55</v>
      </c>
      <c r="T3750" t="s">
        <v>376</v>
      </c>
      <c r="U3750">
        <v>40</v>
      </c>
      <c r="V3750" s="1">
        <v>37258</v>
      </c>
      <c r="W3750" s="1">
        <v>37258</v>
      </c>
      <c r="X3750" s="1">
        <v>37258</v>
      </c>
      <c r="Y3750" s="1">
        <v>51868</v>
      </c>
      <c r="Z3750" t="s">
        <v>51</v>
      </c>
      <c r="AB3750" t="s">
        <v>54</v>
      </c>
      <c r="AC3750">
        <v>1</v>
      </c>
      <c r="AE3750" t="s">
        <v>814</v>
      </c>
      <c r="AF3750">
        <v>20</v>
      </c>
      <c r="AG3750" s="1">
        <v>37258</v>
      </c>
      <c r="AH3750" s="1">
        <v>37258</v>
      </c>
      <c r="AI3750" s="1">
        <v>37258</v>
      </c>
      <c r="AJ3750" s="1">
        <v>44563</v>
      </c>
      <c r="AK3750" t="s">
        <v>51</v>
      </c>
      <c r="AN3750">
        <v>0</v>
      </c>
      <c r="AO3750" t="s">
        <v>54</v>
      </c>
      <c r="AP3750" t="s">
        <v>53</v>
      </c>
      <c r="AQ3750">
        <v>0</v>
      </c>
      <c r="AR3750" t="s">
        <v>53</v>
      </c>
      <c r="AS3750">
        <v>0</v>
      </c>
      <c r="AT3750">
        <v>0</v>
      </c>
      <c r="CC3750" t="s">
        <v>439</v>
      </c>
      <c r="CD3750">
        <v>85000</v>
      </c>
      <c r="CE3750" s="1">
        <v>43500</v>
      </c>
      <c r="CF3750" s="1">
        <v>43500</v>
      </c>
      <c r="CG3750" s="1">
        <v>43500</v>
      </c>
      <c r="CH3750" s="1">
        <v>50716</v>
      </c>
      <c r="CI3750" t="s">
        <v>51</v>
      </c>
      <c r="CK3750" t="s">
        <v>78</v>
      </c>
      <c r="CM3750" t="s">
        <v>54</v>
      </c>
      <c r="CN3750" t="s">
        <v>174</v>
      </c>
      <c r="CO3750" t="s">
        <v>86</v>
      </c>
      <c r="CR3750">
        <v>25</v>
      </c>
      <c r="CS3750">
        <v>0</v>
      </c>
      <c r="CT3750">
        <v>0</v>
      </c>
      <c r="CU3750">
        <v>0</v>
      </c>
    </row>
    <row r="3751" spans="1:99" x14ac:dyDescent="0.2">
      <c r="A3751" t="s">
        <v>367</v>
      </c>
      <c r="B3751" t="s">
        <v>368</v>
      </c>
      <c r="C3751" t="s">
        <v>1733</v>
      </c>
      <c r="D3751" t="s">
        <v>369</v>
      </c>
      <c r="F3751" t="str">
        <f>"165423"</f>
        <v>165423</v>
      </c>
      <c r="G3751" t="s">
        <v>49</v>
      </c>
      <c r="H3751" t="s">
        <v>1747</v>
      </c>
      <c r="K3751" t="s">
        <v>51</v>
      </c>
      <c r="L3751" t="s">
        <v>52</v>
      </c>
      <c r="M3751">
        <v>135129.60000000001</v>
      </c>
      <c r="N3751">
        <v>466687.94</v>
      </c>
      <c r="O3751" t="s">
        <v>53</v>
      </c>
      <c r="P3751" t="s">
        <v>54</v>
      </c>
      <c r="Q3751" t="s">
        <v>55</v>
      </c>
      <c r="T3751" t="s">
        <v>376</v>
      </c>
      <c r="U3751">
        <v>40</v>
      </c>
      <c r="V3751" s="1">
        <v>37258</v>
      </c>
      <c r="W3751" s="1">
        <v>37258</v>
      </c>
      <c r="X3751" s="1">
        <v>37258</v>
      </c>
      <c r="Y3751" s="1">
        <v>51868</v>
      </c>
      <c r="Z3751" t="s">
        <v>51</v>
      </c>
      <c r="AB3751" t="s">
        <v>54</v>
      </c>
      <c r="AC3751">
        <v>1</v>
      </c>
      <c r="AE3751" t="s">
        <v>814</v>
      </c>
      <c r="AF3751">
        <v>20</v>
      </c>
      <c r="AG3751" s="1">
        <v>37258</v>
      </c>
      <c r="AH3751" s="1">
        <v>37258</v>
      </c>
      <c r="AI3751" s="1">
        <v>37258</v>
      </c>
      <c r="AJ3751" s="1">
        <v>44563</v>
      </c>
      <c r="AK3751" t="s">
        <v>51</v>
      </c>
      <c r="AN3751">
        <v>0</v>
      </c>
      <c r="AO3751" t="s">
        <v>54</v>
      </c>
      <c r="AP3751" t="s">
        <v>53</v>
      </c>
      <c r="AQ3751">
        <v>0</v>
      </c>
      <c r="AR3751" t="s">
        <v>53</v>
      </c>
      <c r="AS3751">
        <v>0</v>
      </c>
      <c r="AT3751">
        <v>0</v>
      </c>
      <c r="CC3751" t="s">
        <v>439</v>
      </c>
      <c r="CD3751">
        <v>85000</v>
      </c>
      <c r="CE3751" s="1">
        <v>42552</v>
      </c>
      <c r="CF3751" s="1">
        <v>42552</v>
      </c>
      <c r="CG3751" s="1">
        <v>42552</v>
      </c>
      <c r="CH3751" s="1">
        <v>49714</v>
      </c>
      <c r="CI3751" t="s">
        <v>51</v>
      </c>
      <c r="CK3751" t="s">
        <v>78</v>
      </c>
      <c r="CM3751" t="s">
        <v>54</v>
      </c>
      <c r="CN3751" t="s">
        <v>174</v>
      </c>
      <c r="CO3751" t="s">
        <v>86</v>
      </c>
      <c r="CR3751">
        <v>25</v>
      </c>
      <c r="CS3751">
        <v>0</v>
      </c>
      <c r="CT3751">
        <v>0</v>
      </c>
      <c r="CU3751">
        <v>0</v>
      </c>
    </row>
    <row r="3752" spans="1:99" x14ac:dyDescent="0.2">
      <c r="A3752" t="s">
        <v>367</v>
      </c>
      <c r="B3752" t="s">
        <v>368</v>
      </c>
      <c r="C3752" t="s">
        <v>1733</v>
      </c>
      <c r="D3752" t="s">
        <v>369</v>
      </c>
      <c r="F3752" t="str">
        <f>"165424"</f>
        <v>165424</v>
      </c>
      <c r="G3752" t="s">
        <v>49</v>
      </c>
      <c r="H3752" t="s">
        <v>1748</v>
      </c>
      <c r="K3752" t="s">
        <v>51</v>
      </c>
      <c r="L3752" t="s">
        <v>52</v>
      </c>
      <c r="M3752">
        <v>135104.15</v>
      </c>
      <c r="N3752">
        <v>466682.76</v>
      </c>
      <c r="O3752" t="s">
        <v>53</v>
      </c>
      <c r="P3752" t="s">
        <v>54</v>
      </c>
      <c r="Q3752" t="s">
        <v>55</v>
      </c>
      <c r="T3752" t="s">
        <v>376</v>
      </c>
      <c r="U3752">
        <v>40</v>
      </c>
      <c r="V3752" s="1">
        <v>37257</v>
      </c>
      <c r="W3752" s="1">
        <v>37257</v>
      </c>
      <c r="X3752" s="1">
        <v>37257</v>
      </c>
      <c r="Y3752" s="1">
        <v>51867</v>
      </c>
      <c r="Z3752" t="s">
        <v>51</v>
      </c>
      <c r="AB3752" t="s">
        <v>54</v>
      </c>
      <c r="AC3752">
        <v>1</v>
      </c>
      <c r="AE3752" t="s">
        <v>814</v>
      </c>
      <c r="AF3752">
        <v>20</v>
      </c>
      <c r="AG3752" s="1">
        <v>37257</v>
      </c>
      <c r="AH3752" s="1">
        <v>37257</v>
      </c>
      <c r="AI3752" s="1">
        <v>37257</v>
      </c>
      <c r="AJ3752" s="1">
        <v>44562</v>
      </c>
      <c r="AK3752" t="s">
        <v>51</v>
      </c>
      <c r="AN3752">
        <v>0</v>
      </c>
      <c r="AO3752" t="s">
        <v>54</v>
      </c>
      <c r="AP3752" t="s">
        <v>53</v>
      </c>
      <c r="AQ3752">
        <v>0</v>
      </c>
      <c r="AR3752" t="s">
        <v>53</v>
      </c>
      <c r="AS3752">
        <v>0</v>
      </c>
      <c r="AT3752">
        <v>0</v>
      </c>
      <c r="CC3752" t="s">
        <v>439</v>
      </c>
      <c r="CD3752">
        <v>85000</v>
      </c>
      <c r="CE3752" s="1">
        <v>42552</v>
      </c>
      <c r="CF3752" s="1">
        <v>42552</v>
      </c>
      <c r="CG3752" s="1">
        <v>42552</v>
      </c>
      <c r="CH3752" s="1">
        <v>49714</v>
      </c>
      <c r="CI3752" t="s">
        <v>51</v>
      </c>
      <c r="CK3752" t="s">
        <v>78</v>
      </c>
      <c r="CM3752" t="s">
        <v>54</v>
      </c>
      <c r="CN3752" t="s">
        <v>174</v>
      </c>
      <c r="CO3752" t="s">
        <v>86</v>
      </c>
      <c r="CR3752">
        <v>25</v>
      </c>
      <c r="CS3752">
        <v>0</v>
      </c>
      <c r="CT3752">
        <v>0</v>
      </c>
      <c r="CU3752">
        <v>0</v>
      </c>
    </row>
    <row r="3753" spans="1:99" x14ac:dyDescent="0.2">
      <c r="A3753" t="s">
        <v>367</v>
      </c>
      <c r="B3753" t="s">
        <v>368</v>
      </c>
      <c r="C3753" t="s">
        <v>1733</v>
      </c>
      <c r="D3753" t="s">
        <v>369</v>
      </c>
      <c r="F3753" t="str">
        <f>"165425"</f>
        <v>165425</v>
      </c>
      <c r="G3753" t="s">
        <v>49</v>
      </c>
      <c r="H3753" t="s">
        <v>1749</v>
      </c>
      <c r="K3753" t="s">
        <v>51</v>
      </c>
      <c r="L3753" t="s">
        <v>52</v>
      </c>
      <c r="M3753">
        <v>135076.14000000001</v>
      </c>
      <c r="N3753">
        <v>466677.01</v>
      </c>
      <c r="O3753" t="s">
        <v>53</v>
      </c>
      <c r="P3753" t="s">
        <v>54</v>
      </c>
      <c r="Q3753" t="s">
        <v>55</v>
      </c>
      <c r="T3753" t="s">
        <v>376</v>
      </c>
      <c r="U3753">
        <v>40</v>
      </c>
      <c r="V3753" s="1">
        <v>37257</v>
      </c>
      <c r="W3753" s="1">
        <v>37257</v>
      </c>
      <c r="X3753" s="1">
        <v>37257</v>
      </c>
      <c r="Y3753" s="1">
        <v>51867</v>
      </c>
      <c r="Z3753" t="s">
        <v>51</v>
      </c>
      <c r="AB3753" t="s">
        <v>54</v>
      </c>
      <c r="AC3753">
        <v>1</v>
      </c>
      <c r="AE3753" t="s">
        <v>814</v>
      </c>
      <c r="AF3753">
        <v>20</v>
      </c>
      <c r="AG3753" s="1">
        <v>37257</v>
      </c>
      <c r="AH3753" s="1">
        <v>37257</v>
      </c>
      <c r="AI3753" s="1">
        <v>37257</v>
      </c>
      <c r="AJ3753" s="1">
        <v>44562</v>
      </c>
      <c r="AK3753" t="s">
        <v>51</v>
      </c>
      <c r="AN3753">
        <v>0</v>
      </c>
      <c r="AO3753" t="s">
        <v>54</v>
      </c>
      <c r="AP3753" t="s">
        <v>53</v>
      </c>
      <c r="AQ3753">
        <v>0</v>
      </c>
      <c r="AR3753" t="s">
        <v>53</v>
      </c>
      <c r="AS3753">
        <v>0</v>
      </c>
      <c r="AT3753">
        <v>0</v>
      </c>
      <c r="CC3753" t="s">
        <v>439</v>
      </c>
      <c r="CD3753">
        <v>85000</v>
      </c>
      <c r="CE3753" s="1">
        <v>42552</v>
      </c>
      <c r="CF3753" s="1">
        <v>42552</v>
      </c>
      <c r="CG3753" s="1">
        <v>42552</v>
      </c>
      <c r="CH3753" s="1">
        <v>49714</v>
      </c>
      <c r="CI3753" t="s">
        <v>51</v>
      </c>
      <c r="CK3753" t="s">
        <v>78</v>
      </c>
      <c r="CM3753" t="s">
        <v>54</v>
      </c>
      <c r="CN3753" t="s">
        <v>174</v>
      </c>
      <c r="CO3753" t="s">
        <v>86</v>
      </c>
      <c r="CR3753">
        <v>25</v>
      </c>
      <c r="CS3753">
        <v>0</v>
      </c>
      <c r="CT3753">
        <v>0</v>
      </c>
      <c r="CU3753">
        <v>0</v>
      </c>
    </row>
    <row r="3754" spans="1:99" x14ac:dyDescent="0.2">
      <c r="A3754" t="s">
        <v>367</v>
      </c>
      <c r="B3754" t="s">
        <v>368</v>
      </c>
      <c r="C3754" t="s">
        <v>1733</v>
      </c>
      <c r="D3754" t="s">
        <v>369</v>
      </c>
      <c r="F3754" t="str">
        <f>"165426"</f>
        <v>165426</v>
      </c>
      <c r="G3754" t="s">
        <v>49</v>
      </c>
      <c r="H3754" t="s">
        <v>1750</v>
      </c>
      <c r="K3754" t="s">
        <v>51</v>
      </c>
      <c r="L3754" t="s">
        <v>52</v>
      </c>
      <c r="M3754">
        <v>135034.62</v>
      </c>
      <c r="N3754">
        <v>466669.21</v>
      </c>
      <c r="O3754" t="s">
        <v>53</v>
      </c>
      <c r="P3754" t="s">
        <v>54</v>
      </c>
      <c r="Q3754" t="s">
        <v>55</v>
      </c>
      <c r="T3754" t="s">
        <v>376</v>
      </c>
      <c r="U3754">
        <v>40</v>
      </c>
      <c r="V3754" s="1">
        <v>37257</v>
      </c>
      <c r="W3754" s="1">
        <v>37257</v>
      </c>
      <c r="X3754" s="1">
        <v>37257</v>
      </c>
      <c r="Y3754" s="1">
        <v>51867</v>
      </c>
      <c r="Z3754" t="s">
        <v>51</v>
      </c>
      <c r="AB3754" t="s">
        <v>54</v>
      </c>
      <c r="AC3754">
        <v>1</v>
      </c>
      <c r="AE3754" t="s">
        <v>814</v>
      </c>
      <c r="AF3754">
        <v>20</v>
      </c>
      <c r="AG3754" s="1">
        <v>37257</v>
      </c>
      <c r="AH3754" s="1">
        <v>37257</v>
      </c>
      <c r="AI3754" s="1">
        <v>37257</v>
      </c>
      <c r="AJ3754" s="1">
        <v>44562</v>
      </c>
      <c r="AK3754" t="s">
        <v>51</v>
      </c>
      <c r="AN3754">
        <v>0</v>
      </c>
      <c r="AO3754" t="s">
        <v>54</v>
      </c>
      <c r="AP3754" t="s">
        <v>53</v>
      </c>
      <c r="AQ3754">
        <v>0</v>
      </c>
      <c r="AR3754" t="s">
        <v>53</v>
      </c>
      <c r="AS3754">
        <v>0</v>
      </c>
      <c r="AT3754">
        <v>0</v>
      </c>
      <c r="CC3754" t="s">
        <v>439</v>
      </c>
      <c r="CD3754">
        <v>85000</v>
      </c>
      <c r="CE3754" s="1">
        <v>42552</v>
      </c>
      <c r="CF3754" s="1">
        <v>42552</v>
      </c>
      <c r="CG3754" s="1">
        <v>42552</v>
      </c>
      <c r="CH3754" s="1">
        <v>49714</v>
      </c>
      <c r="CI3754" t="s">
        <v>51</v>
      </c>
      <c r="CK3754" t="s">
        <v>78</v>
      </c>
      <c r="CM3754" t="s">
        <v>54</v>
      </c>
      <c r="CN3754" t="s">
        <v>174</v>
      </c>
      <c r="CO3754" t="s">
        <v>86</v>
      </c>
      <c r="CR3754">
        <v>25</v>
      </c>
      <c r="CS3754">
        <v>0</v>
      </c>
      <c r="CT3754">
        <v>0</v>
      </c>
      <c r="CU3754">
        <v>0</v>
      </c>
    </row>
    <row r="3755" spans="1:99" x14ac:dyDescent="0.2">
      <c r="A3755" t="s">
        <v>367</v>
      </c>
      <c r="B3755" t="s">
        <v>368</v>
      </c>
      <c r="C3755" t="s">
        <v>1733</v>
      </c>
      <c r="D3755" t="s">
        <v>369</v>
      </c>
      <c r="F3755" t="str">
        <f>"165427"</f>
        <v>165427</v>
      </c>
      <c r="G3755" t="s">
        <v>49</v>
      </c>
      <c r="H3755" t="s">
        <v>1751</v>
      </c>
      <c r="K3755" t="s">
        <v>51</v>
      </c>
      <c r="L3755" t="s">
        <v>52</v>
      </c>
      <c r="M3755">
        <v>134991.99</v>
      </c>
      <c r="N3755">
        <v>466659.82</v>
      </c>
      <c r="O3755" t="s">
        <v>53</v>
      </c>
      <c r="P3755" t="s">
        <v>54</v>
      </c>
      <c r="Q3755" t="s">
        <v>55</v>
      </c>
      <c r="T3755" t="s">
        <v>376</v>
      </c>
      <c r="U3755">
        <v>40</v>
      </c>
      <c r="V3755" s="1">
        <v>37258</v>
      </c>
      <c r="W3755" s="1">
        <v>37258</v>
      </c>
      <c r="X3755" s="1">
        <v>37258</v>
      </c>
      <c r="Y3755" s="1">
        <v>51868</v>
      </c>
      <c r="Z3755" t="s">
        <v>51</v>
      </c>
      <c r="AB3755" t="s">
        <v>54</v>
      </c>
      <c r="AC3755">
        <v>1</v>
      </c>
      <c r="AE3755" t="s">
        <v>814</v>
      </c>
      <c r="AF3755">
        <v>20</v>
      </c>
      <c r="AG3755" s="1">
        <v>37258</v>
      </c>
      <c r="AH3755" s="1">
        <v>37258</v>
      </c>
      <c r="AI3755" s="1">
        <v>37258</v>
      </c>
      <c r="AJ3755" s="1">
        <v>44563</v>
      </c>
      <c r="AK3755" t="s">
        <v>51</v>
      </c>
      <c r="AN3755">
        <v>0</v>
      </c>
      <c r="AO3755" t="s">
        <v>54</v>
      </c>
      <c r="AP3755" t="s">
        <v>53</v>
      </c>
      <c r="AQ3755">
        <v>0</v>
      </c>
      <c r="AR3755" t="s">
        <v>53</v>
      </c>
      <c r="AS3755">
        <v>0</v>
      </c>
      <c r="AT3755">
        <v>0</v>
      </c>
      <c r="CC3755" t="s">
        <v>439</v>
      </c>
      <c r="CD3755">
        <v>85000</v>
      </c>
      <c r="CE3755" s="1">
        <v>42552</v>
      </c>
      <c r="CF3755" s="1">
        <v>42552</v>
      </c>
      <c r="CG3755" s="1">
        <v>42552</v>
      </c>
      <c r="CH3755" s="1">
        <v>49714</v>
      </c>
      <c r="CI3755" t="s">
        <v>51</v>
      </c>
      <c r="CK3755" t="s">
        <v>78</v>
      </c>
      <c r="CM3755" t="s">
        <v>54</v>
      </c>
      <c r="CN3755" t="s">
        <v>174</v>
      </c>
      <c r="CO3755" t="s">
        <v>86</v>
      </c>
      <c r="CR3755">
        <v>25</v>
      </c>
      <c r="CS3755">
        <v>0</v>
      </c>
      <c r="CT3755">
        <v>0</v>
      </c>
      <c r="CU3755">
        <v>0</v>
      </c>
    </row>
    <row r="3756" spans="1:99" x14ac:dyDescent="0.2">
      <c r="A3756" t="s">
        <v>367</v>
      </c>
      <c r="B3756" t="s">
        <v>368</v>
      </c>
      <c r="C3756" t="s">
        <v>1733</v>
      </c>
      <c r="D3756" t="s">
        <v>369</v>
      </c>
      <c r="F3756" t="str">
        <f>"165428"</f>
        <v>165428</v>
      </c>
      <c r="G3756" t="s">
        <v>49</v>
      </c>
      <c r="H3756" t="s">
        <v>1752</v>
      </c>
      <c r="K3756" t="s">
        <v>51</v>
      </c>
      <c r="L3756" t="s">
        <v>52</v>
      </c>
      <c r="M3756">
        <v>134949.5</v>
      </c>
      <c r="N3756">
        <v>466651.56</v>
      </c>
      <c r="O3756" t="s">
        <v>53</v>
      </c>
      <c r="P3756" t="s">
        <v>54</v>
      </c>
      <c r="Q3756" t="s">
        <v>55</v>
      </c>
      <c r="T3756" t="s">
        <v>376</v>
      </c>
      <c r="U3756">
        <v>40</v>
      </c>
      <c r="V3756" s="1">
        <v>37257</v>
      </c>
      <c r="W3756" s="1">
        <v>37257</v>
      </c>
      <c r="X3756" s="1">
        <v>37257</v>
      </c>
      <c r="Y3756" s="1">
        <v>51867</v>
      </c>
      <c r="Z3756" t="s">
        <v>51</v>
      </c>
      <c r="AB3756" t="s">
        <v>54</v>
      </c>
      <c r="AC3756">
        <v>1</v>
      </c>
      <c r="AE3756" t="s">
        <v>814</v>
      </c>
      <c r="AF3756">
        <v>20</v>
      </c>
      <c r="AG3756" s="1">
        <v>37257</v>
      </c>
      <c r="AH3756" s="1">
        <v>37257</v>
      </c>
      <c r="AI3756" s="1">
        <v>37257</v>
      </c>
      <c r="AJ3756" s="1">
        <v>44562</v>
      </c>
      <c r="AK3756" t="s">
        <v>51</v>
      </c>
      <c r="AN3756">
        <v>0</v>
      </c>
      <c r="AO3756" t="s">
        <v>54</v>
      </c>
      <c r="AP3756" t="s">
        <v>53</v>
      </c>
      <c r="AQ3756">
        <v>0</v>
      </c>
      <c r="AR3756" t="s">
        <v>53</v>
      </c>
      <c r="AS3756">
        <v>0</v>
      </c>
      <c r="AT3756">
        <v>0</v>
      </c>
      <c r="CC3756" t="s">
        <v>439</v>
      </c>
      <c r="CD3756">
        <v>85000</v>
      </c>
      <c r="CE3756" s="1">
        <v>42552</v>
      </c>
      <c r="CF3756" s="1">
        <v>42552</v>
      </c>
      <c r="CG3756" s="1">
        <v>42552</v>
      </c>
      <c r="CH3756" s="1">
        <v>49714</v>
      </c>
      <c r="CI3756" t="s">
        <v>51</v>
      </c>
      <c r="CK3756" t="s">
        <v>78</v>
      </c>
      <c r="CM3756" t="s">
        <v>54</v>
      </c>
      <c r="CN3756" t="s">
        <v>174</v>
      </c>
      <c r="CO3756" t="s">
        <v>86</v>
      </c>
      <c r="CR3756">
        <v>25</v>
      </c>
      <c r="CS3756">
        <v>0</v>
      </c>
      <c r="CT3756">
        <v>0</v>
      </c>
      <c r="CU3756">
        <v>0</v>
      </c>
    </row>
    <row r="3757" spans="1:99" x14ac:dyDescent="0.2">
      <c r="A3757" t="s">
        <v>367</v>
      </c>
      <c r="B3757" t="s">
        <v>368</v>
      </c>
      <c r="C3757" t="s">
        <v>1733</v>
      </c>
      <c r="D3757" t="s">
        <v>369</v>
      </c>
      <c r="F3757" t="str">
        <f>"165429"</f>
        <v>165429</v>
      </c>
      <c r="G3757" t="s">
        <v>49</v>
      </c>
      <c r="H3757" t="s">
        <v>1753</v>
      </c>
      <c r="K3757" t="s">
        <v>51</v>
      </c>
      <c r="L3757" t="s">
        <v>52</v>
      </c>
      <c r="M3757">
        <v>134916.28</v>
      </c>
      <c r="N3757">
        <v>466645.5</v>
      </c>
      <c r="O3757" t="s">
        <v>53</v>
      </c>
      <c r="P3757" t="s">
        <v>54</v>
      </c>
      <c r="Q3757" t="s">
        <v>55</v>
      </c>
      <c r="T3757" t="s">
        <v>376</v>
      </c>
      <c r="U3757">
        <v>40</v>
      </c>
      <c r="V3757" s="1">
        <v>37258</v>
      </c>
      <c r="W3757" s="1">
        <v>37258</v>
      </c>
      <c r="X3757" s="1">
        <v>37258</v>
      </c>
      <c r="Y3757" s="1">
        <v>51868</v>
      </c>
      <c r="Z3757" t="s">
        <v>51</v>
      </c>
      <c r="AB3757" t="s">
        <v>54</v>
      </c>
      <c r="AC3757">
        <v>1</v>
      </c>
      <c r="AE3757" t="s">
        <v>814</v>
      </c>
      <c r="AF3757">
        <v>20</v>
      </c>
      <c r="AG3757" s="1">
        <v>37258</v>
      </c>
      <c r="AH3757" s="1">
        <v>37258</v>
      </c>
      <c r="AI3757" s="1">
        <v>37258</v>
      </c>
      <c r="AJ3757" s="1">
        <v>44563</v>
      </c>
      <c r="AK3757" t="s">
        <v>51</v>
      </c>
      <c r="AN3757">
        <v>0</v>
      </c>
      <c r="AO3757" t="s">
        <v>54</v>
      </c>
      <c r="AP3757" t="s">
        <v>53</v>
      </c>
      <c r="AQ3757">
        <v>0</v>
      </c>
      <c r="AR3757" t="s">
        <v>53</v>
      </c>
      <c r="AS3757">
        <v>0</v>
      </c>
      <c r="AT3757">
        <v>0</v>
      </c>
      <c r="CC3757" t="s">
        <v>439</v>
      </c>
      <c r="CD3757">
        <v>85000</v>
      </c>
      <c r="CE3757" s="1">
        <v>42552</v>
      </c>
      <c r="CF3757" s="1">
        <v>42552</v>
      </c>
      <c r="CG3757" s="1">
        <v>42552</v>
      </c>
      <c r="CH3757" s="1">
        <v>49714</v>
      </c>
      <c r="CI3757" t="s">
        <v>51</v>
      </c>
      <c r="CK3757" t="s">
        <v>78</v>
      </c>
      <c r="CM3757" t="s">
        <v>54</v>
      </c>
      <c r="CN3757" t="s">
        <v>174</v>
      </c>
      <c r="CO3757" t="s">
        <v>86</v>
      </c>
      <c r="CR3757">
        <v>25</v>
      </c>
      <c r="CS3757">
        <v>0</v>
      </c>
      <c r="CT3757">
        <v>0</v>
      </c>
      <c r="CU3757">
        <v>0</v>
      </c>
    </row>
    <row r="3758" spans="1:99" x14ac:dyDescent="0.2">
      <c r="A3758" t="s">
        <v>367</v>
      </c>
      <c r="B3758" t="s">
        <v>368</v>
      </c>
      <c r="C3758" t="s">
        <v>1733</v>
      </c>
      <c r="D3758" t="s">
        <v>369</v>
      </c>
      <c r="F3758" t="str">
        <f>"165430"</f>
        <v>165430</v>
      </c>
      <c r="G3758" t="s">
        <v>49</v>
      </c>
      <c r="H3758" t="s">
        <v>1754</v>
      </c>
      <c r="K3758" t="s">
        <v>51</v>
      </c>
      <c r="L3758" t="s">
        <v>52</v>
      </c>
      <c r="M3758">
        <v>134882.41</v>
      </c>
      <c r="N3758">
        <v>466638.93</v>
      </c>
      <c r="O3758" t="s">
        <v>53</v>
      </c>
      <c r="P3758" t="s">
        <v>54</v>
      </c>
      <c r="Q3758" t="s">
        <v>55</v>
      </c>
      <c r="T3758" t="s">
        <v>376</v>
      </c>
      <c r="U3758">
        <v>40</v>
      </c>
      <c r="V3758" s="1">
        <v>37257</v>
      </c>
      <c r="W3758" s="1">
        <v>37257</v>
      </c>
      <c r="X3758" s="1">
        <v>37257</v>
      </c>
      <c r="Y3758" s="1">
        <v>51867</v>
      </c>
      <c r="Z3758" t="s">
        <v>51</v>
      </c>
      <c r="AB3758" t="s">
        <v>54</v>
      </c>
      <c r="AC3758">
        <v>1</v>
      </c>
      <c r="AE3758" t="s">
        <v>814</v>
      </c>
      <c r="AF3758">
        <v>20</v>
      </c>
      <c r="AG3758" s="1">
        <v>37257</v>
      </c>
      <c r="AH3758" s="1">
        <v>37257</v>
      </c>
      <c r="AI3758" s="1">
        <v>37257</v>
      </c>
      <c r="AJ3758" s="1">
        <v>44562</v>
      </c>
      <c r="AK3758" t="s">
        <v>51</v>
      </c>
      <c r="AN3758">
        <v>0</v>
      </c>
      <c r="AO3758" t="s">
        <v>54</v>
      </c>
      <c r="AP3758" t="s">
        <v>53</v>
      </c>
      <c r="AQ3758">
        <v>0</v>
      </c>
      <c r="AR3758" t="s">
        <v>53</v>
      </c>
      <c r="AS3758">
        <v>0</v>
      </c>
      <c r="AT3758">
        <v>0</v>
      </c>
      <c r="CC3758" t="s">
        <v>439</v>
      </c>
      <c r="CD3758">
        <v>85000</v>
      </c>
      <c r="CE3758" s="1">
        <v>42552</v>
      </c>
      <c r="CF3758" s="1">
        <v>42552</v>
      </c>
      <c r="CG3758" s="1">
        <v>42552</v>
      </c>
      <c r="CH3758" s="1">
        <v>49714</v>
      </c>
      <c r="CI3758" t="s">
        <v>51</v>
      </c>
      <c r="CK3758" t="s">
        <v>78</v>
      </c>
      <c r="CM3758" t="s">
        <v>54</v>
      </c>
      <c r="CN3758" t="s">
        <v>174</v>
      </c>
      <c r="CO3758" t="s">
        <v>86</v>
      </c>
      <c r="CR3758">
        <v>25</v>
      </c>
      <c r="CS3758">
        <v>0</v>
      </c>
      <c r="CT3758">
        <v>0</v>
      </c>
      <c r="CU3758">
        <v>0</v>
      </c>
    </row>
    <row r="3759" spans="1:99" x14ac:dyDescent="0.2">
      <c r="A3759" t="s">
        <v>367</v>
      </c>
      <c r="B3759" t="s">
        <v>368</v>
      </c>
      <c r="C3759" t="s">
        <v>1733</v>
      </c>
      <c r="D3759" t="s">
        <v>369</v>
      </c>
      <c r="F3759" t="str">
        <f>"165432"</f>
        <v>165432</v>
      </c>
      <c r="G3759" t="s">
        <v>49</v>
      </c>
      <c r="H3759" t="s">
        <v>1755</v>
      </c>
      <c r="K3759" t="s">
        <v>51</v>
      </c>
      <c r="L3759" t="s">
        <v>52</v>
      </c>
      <c r="M3759">
        <v>134845.67000000001</v>
      </c>
      <c r="N3759">
        <v>466633.55</v>
      </c>
      <c r="O3759" t="s">
        <v>53</v>
      </c>
      <c r="P3759" t="s">
        <v>54</v>
      </c>
      <c r="Q3759" t="s">
        <v>55</v>
      </c>
      <c r="T3759" t="s">
        <v>376</v>
      </c>
      <c r="U3759">
        <v>40</v>
      </c>
      <c r="V3759" s="1">
        <v>37258</v>
      </c>
      <c r="W3759" s="1">
        <v>37258</v>
      </c>
      <c r="X3759" s="1">
        <v>37258</v>
      </c>
      <c r="Y3759" s="1">
        <v>51868</v>
      </c>
      <c r="Z3759" t="s">
        <v>51</v>
      </c>
      <c r="AB3759" t="s">
        <v>54</v>
      </c>
      <c r="AC3759">
        <v>1</v>
      </c>
      <c r="AE3759" t="s">
        <v>814</v>
      </c>
      <c r="AF3759">
        <v>20</v>
      </c>
      <c r="AG3759" s="1">
        <v>37258</v>
      </c>
      <c r="AH3759" s="1">
        <v>37258</v>
      </c>
      <c r="AI3759" s="1">
        <v>37258</v>
      </c>
      <c r="AJ3759" s="1">
        <v>44563</v>
      </c>
      <c r="AK3759" t="s">
        <v>51</v>
      </c>
      <c r="AN3759">
        <v>0</v>
      </c>
      <c r="AO3759" t="s">
        <v>54</v>
      </c>
      <c r="AP3759" t="s">
        <v>53</v>
      </c>
      <c r="AQ3759">
        <v>0</v>
      </c>
      <c r="AR3759" t="s">
        <v>53</v>
      </c>
      <c r="AS3759">
        <v>0</v>
      </c>
      <c r="AT3759">
        <v>0</v>
      </c>
      <c r="CC3759" t="s">
        <v>439</v>
      </c>
      <c r="CD3759">
        <v>85000</v>
      </c>
      <c r="CE3759" s="1">
        <v>44872</v>
      </c>
      <c r="CF3759" s="1">
        <v>44872</v>
      </c>
      <c r="CG3759" s="1">
        <v>44872</v>
      </c>
      <c r="CH3759" s="1">
        <v>52045</v>
      </c>
      <c r="CI3759" t="s">
        <v>51</v>
      </c>
      <c r="CK3759" t="s">
        <v>78</v>
      </c>
      <c r="CM3759" t="s">
        <v>54</v>
      </c>
      <c r="CN3759" t="s">
        <v>174</v>
      </c>
      <c r="CO3759" t="s">
        <v>86</v>
      </c>
      <c r="CR3759">
        <v>25</v>
      </c>
      <c r="CS3759">
        <v>0</v>
      </c>
      <c r="CT3759">
        <v>0</v>
      </c>
      <c r="CU3759">
        <v>0</v>
      </c>
    </row>
    <row r="3760" spans="1:99" x14ac:dyDescent="0.2">
      <c r="A3760" t="s">
        <v>367</v>
      </c>
      <c r="B3760" t="s">
        <v>368</v>
      </c>
      <c r="C3760" t="s">
        <v>1733</v>
      </c>
      <c r="D3760" t="s">
        <v>369</v>
      </c>
      <c r="F3760" t="str">
        <f>"165433"</f>
        <v>165433</v>
      </c>
      <c r="G3760" t="s">
        <v>49</v>
      </c>
      <c r="H3760" t="s">
        <v>1756</v>
      </c>
      <c r="K3760" t="s">
        <v>51</v>
      </c>
      <c r="L3760" t="s">
        <v>52</v>
      </c>
      <c r="M3760">
        <v>134738.71</v>
      </c>
      <c r="N3760">
        <v>466615.62</v>
      </c>
      <c r="O3760" t="s">
        <v>53</v>
      </c>
      <c r="P3760" t="s">
        <v>54</v>
      </c>
      <c r="Q3760" t="s">
        <v>55</v>
      </c>
      <c r="T3760" t="s">
        <v>376</v>
      </c>
      <c r="U3760">
        <v>40</v>
      </c>
      <c r="V3760" s="1">
        <v>37257</v>
      </c>
      <c r="W3760" s="1">
        <v>37257</v>
      </c>
      <c r="X3760" s="1">
        <v>37257</v>
      </c>
      <c r="Y3760" s="1">
        <v>51867</v>
      </c>
      <c r="Z3760" t="s">
        <v>51</v>
      </c>
      <c r="AB3760" t="s">
        <v>54</v>
      </c>
      <c r="AC3760">
        <v>1</v>
      </c>
      <c r="AE3760" t="s">
        <v>814</v>
      </c>
      <c r="AF3760">
        <v>20</v>
      </c>
      <c r="AG3760" s="1">
        <v>37257</v>
      </c>
      <c r="AH3760" s="1">
        <v>37257</v>
      </c>
      <c r="AI3760" s="1">
        <v>37257</v>
      </c>
      <c r="AJ3760" s="1">
        <v>44562</v>
      </c>
      <c r="AK3760" t="s">
        <v>51</v>
      </c>
      <c r="AN3760">
        <v>0</v>
      </c>
      <c r="AO3760" t="s">
        <v>54</v>
      </c>
      <c r="AP3760" t="s">
        <v>53</v>
      </c>
      <c r="AQ3760">
        <v>0</v>
      </c>
      <c r="AR3760" t="s">
        <v>53</v>
      </c>
      <c r="AS3760">
        <v>0</v>
      </c>
      <c r="AT3760">
        <v>0</v>
      </c>
      <c r="CC3760" t="s">
        <v>439</v>
      </c>
      <c r="CD3760">
        <v>85000</v>
      </c>
      <c r="CE3760" s="1">
        <v>42552</v>
      </c>
      <c r="CF3760" s="1">
        <v>42552</v>
      </c>
      <c r="CG3760" s="1">
        <v>42552</v>
      </c>
      <c r="CH3760" s="1">
        <v>49714</v>
      </c>
      <c r="CI3760" t="s">
        <v>51</v>
      </c>
      <c r="CK3760" t="s">
        <v>78</v>
      </c>
      <c r="CM3760" t="s">
        <v>54</v>
      </c>
      <c r="CN3760" t="s">
        <v>174</v>
      </c>
      <c r="CO3760" t="s">
        <v>86</v>
      </c>
      <c r="CR3760">
        <v>25</v>
      </c>
      <c r="CS3760">
        <v>0</v>
      </c>
      <c r="CT3760">
        <v>0</v>
      </c>
      <c r="CU3760">
        <v>0</v>
      </c>
    </row>
    <row r="3761" spans="1:99" x14ac:dyDescent="0.2">
      <c r="A3761" t="s">
        <v>367</v>
      </c>
      <c r="B3761" t="s">
        <v>368</v>
      </c>
      <c r="C3761" t="s">
        <v>1733</v>
      </c>
      <c r="D3761" t="s">
        <v>369</v>
      </c>
      <c r="F3761" t="str">
        <f>"165435"</f>
        <v>165435</v>
      </c>
      <c r="G3761" t="s">
        <v>49</v>
      </c>
      <c r="H3761" t="s">
        <v>1757</v>
      </c>
      <c r="K3761" t="s">
        <v>51</v>
      </c>
      <c r="L3761" t="s">
        <v>52</v>
      </c>
      <c r="M3761">
        <v>134774.57999999999</v>
      </c>
      <c r="N3761">
        <v>466621.51</v>
      </c>
      <c r="O3761" t="s">
        <v>53</v>
      </c>
      <c r="P3761" t="s">
        <v>54</v>
      </c>
      <c r="Q3761" t="s">
        <v>55</v>
      </c>
      <c r="T3761" t="s">
        <v>376</v>
      </c>
      <c r="U3761">
        <v>40</v>
      </c>
      <c r="V3761" s="1">
        <v>37257</v>
      </c>
      <c r="W3761" s="1">
        <v>37257</v>
      </c>
      <c r="X3761" s="1">
        <v>37257</v>
      </c>
      <c r="Y3761" s="1">
        <v>51867</v>
      </c>
      <c r="Z3761" t="s">
        <v>51</v>
      </c>
      <c r="AB3761" t="s">
        <v>54</v>
      </c>
      <c r="AC3761">
        <v>1</v>
      </c>
      <c r="AE3761" t="s">
        <v>814</v>
      </c>
      <c r="AF3761">
        <v>20</v>
      </c>
      <c r="AG3761" s="1">
        <v>37257</v>
      </c>
      <c r="AH3761" s="1">
        <v>37257</v>
      </c>
      <c r="AI3761" s="1">
        <v>37257</v>
      </c>
      <c r="AJ3761" s="1">
        <v>44562</v>
      </c>
      <c r="AK3761" t="s">
        <v>51</v>
      </c>
      <c r="AN3761">
        <v>0</v>
      </c>
      <c r="AO3761" t="s">
        <v>54</v>
      </c>
      <c r="AP3761" t="s">
        <v>53</v>
      </c>
      <c r="AQ3761">
        <v>0</v>
      </c>
      <c r="AR3761" t="s">
        <v>53</v>
      </c>
      <c r="AS3761">
        <v>0</v>
      </c>
      <c r="AT3761">
        <v>0</v>
      </c>
      <c r="CC3761" t="s">
        <v>439</v>
      </c>
      <c r="CD3761">
        <v>85000</v>
      </c>
      <c r="CE3761" s="1">
        <v>44872</v>
      </c>
      <c r="CF3761" s="1">
        <v>44872</v>
      </c>
      <c r="CG3761" s="1">
        <v>44872</v>
      </c>
      <c r="CH3761" s="1">
        <v>52045</v>
      </c>
      <c r="CI3761" t="s">
        <v>51</v>
      </c>
      <c r="CK3761" t="s">
        <v>78</v>
      </c>
      <c r="CM3761" t="s">
        <v>54</v>
      </c>
      <c r="CN3761" t="s">
        <v>174</v>
      </c>
      <c r="CO3761" t="s">
        <v>86</v>
      </c>
      <c r="CR3761">
        <v>25</v>
      </c>
      <c r="CS3761">
        <v>0</v>
      </c>
      <c r="CT3761">
        <v>0</v>
      </c>
      <c r="CU3761">
        <v>0</v>
      </c>
    </row>
    <row r="3762" spans="1:99" x14ac:dyDescent="0.2">
      <c r="A3762" t="s">
        <v>367</v>
      </c>
      <c r="B3762" t="s">
        <v>368</v>
      </c>
      <c r="C3762" t="s">
        <v>1733</v>
      </c>
      <c r="D3762" t="s">
        <v>369</v>
      </c>
      <c r="F3762" t="str">
        <f>"165436"</f>
        <v>165436</v>
      </c>
      <c r="G3762" t="s">
        <v>49</v>
      </c>
      <c r="H3762" t="s">
        <v>1758</v>
      </c>
      <c r="K3762" t="s">
        <v>51</v>
      </c>
      <c r="L3762" t="s">
        <v>52</v>
      </c>
      <c r="M3762">
        <v>134705.71</v>
      </c>
      <c r="N3762">
        <v>466610.83</v>
      </c>
      <c r="O3762" t="s">
        <v>53</v>
      </c>
      <c r="P3762" t="s">
        <v>54</v>
      </c>
      <c r="Q3762" t="s">
        <v>55</v>
      </c>
      <c r="T3762" t="s">
        <v>376</v>
      </c>
      <c r="U3762">
        <v>40</v>
      </c>
      <c r="V3762" s="1">
        <v>37258</v>
      </c>
      <c r="W3762" s="1">
        <v>37258</v>
      </c>
      <c r="X3762" s="1">
        <v>37258</v>
      </c>
      <c r="Y3762" s="1">
        <v>51868</v>
      </c>
      <c r="Z3762" t="s">
        <v>51</v>
      </c>
      <c r="AB3762" t="s">
        <v>54</v>
      </c>
      <c r="AC3762">
        <v>1</v>
      </c>
      <c r="AE3762" t="s">
        <v>814</v>
      </c>
      <c r="AF3762">
        <v>20</v>
      </c>
      <c r="AG3762" s="1">
        <v>37258</v>
      </c>
      <c r="AH3762" s="1">
        <v>37258</v>
      </c>
      <c r="AI3762" s="1">
        <v>37258</v>
      </c>
      <c r="AJ3762" s="1">
        <v>44563</v>
      </c>
      <c r="AK3762" t="s">
        <v>51</v>
      </c>
      <c r="AN3762">
        <v>0</v>
      </c>
      <c r="AO3762" t="s">
        <v>54</v>
      </c>
      <c r="AP3762" t="s">
        <v>53</v>
      </c>
      <c r="AQ3762">
        <v>0</v>
      </c>
      <c r="AR3762" t="s">
        <v>53</v>
      </c>
      <c r="AS3762">
        <v>0</v>
      </c>
      <c r="AT3762">
        <v>0</v>
      </c>
      <c r="CC3762" t="s">
        <v>439</v>
      </c>
      <c r="CD3762">
        <v>85000</v>
      </c>
      <c r="CE3762" s="1">
        <v>42552</v>
      </c>
      <c r="CF3762" s="1">
        <v>42552</v>
      </c>
      <c r="CG3762" s="1">
        <v>42552</v>
      </c>
      <c r="CH3762" s="1">
        <v>49714</v>
      </c>
      <c r="CI3762" t="s">
        <v>51</v>
      </c>
      <c r="CK3762" t="s">
        <v>78</v>
      </c>
      <c r="CM3762" t="s">
        <v>54</v>
      </c>
      <c r="CN3762" t="s">
        <v>174</v>
      </c>
      <c r="CO3762" t="s">
        <v>86</v>
      </c>
      <c r="CR3762">
        <v>25</v>
      </c>
      <c r="CS3762">
        <v>0</v>
      </c>
      <c r="CT3762">
        <v>0</v>
      </c>
      <c r="CU3762">
        <v>0</v>
      </c>
    </row>
    <row r="3763" spans="1:99" x14ac:dyDescent="0.2">
      <c r="A3763" t="s">
        <v>367</v>
      </c>
      <c r="B3763" t="s">
        <v>368</v>
      </c>
      <c r="C3763" t="s">
        <v>1733</v>
      </c>
      <c r="D3763" t="s">
        <v>369</v>
      </c>
      <c r="F3763" t="str">
        <f>"165437"</f>
        <v>165437</v>
      </c>
      <c r="G3763" t="s">
        <v>49</v>
      </c>
      <c r="H3763" t="s">
        <v>1759</v>
      </c>
      <c r="K3763" t="s">
        <v>51</v>
      </c>
      <c r="L3763" t="s">
        <v>52</v>
      </c>
      <c r="M3763">
        <v>134672.39000000001</v>
      </c>
      <c r="N3763">
        <v>466604.81</v>
      </c>
      <c r="O3763" t="s">
        <v>53</v>
      </c>
      <c r="P3763" t="s">
        <v>54</v>
      </c>
      <c r="Q3763" t="s">
        <v>55</v>
      </c>
      <c r="T3763" t="s">
        <v>376</v>
      </c>
      <c r="U3763">
        <v>40</v>
      </c>
      <c r="V3763" s="1">
        <v>37257</v>
      </c>
      <c r="W3763" s="1">
        <v>37257</v>
      </c>
      <c r="X3763" s="1">
        <v>37257</v>
      </c>
      <c r="Y3763" s="1">
        <v>51867</v>
      </c>
      <c r="Z3763" t="s">
        <v>51</v>
      </c>
      <c r="AB3763" t="s">
        <v>54</v>
      </c>
      <c r="AC3763">
        <v>1</v>
      </c>
      <c r="AE3763" t="s">
        <v>814</v>
      </c>
      <c r="AF3763">
        <v>20</v>
      </c>
      <c r="AG3763" s="1">
        <v>37257</v>
      </c>
      <c r="AH3763" s="1">
        <v>37257</v>
      </c>
      <c r="AI3763" s="1">
        <v>37257</v>
      </c>
      <c r="AJ3763" s="1">
        <v>44562</v>
      </c>
      <c r="AK3763" t="s">
        <v>51</v>
      </c>
      <c r="AN3763">
        <v>0</v>
      </c>
      <c r="AO3763" t="s">
        <v>54</v>
      </c>
      <c r="AP3763" t="s">
        <v>53</v>
      </c>
      <c r="AQ3763">
        <v>0</v>
      </c>
      <c r="AR3763" t="s">
        <v>53</v>
      </c>
      <c r="AS3763">
        <v>0</v>
      </c>
      <c r="AT3763">
        <v>0</v>
      </c>
      <c r="CC3763" t="s">
        <v>439</v>
      </c>
      <c r="CD3763">
        <v>85000</v>
      </c>
      <c r="CE3763" s="1">
        <v>42552</v>
      </c>
      <c r="CF3763" s="1">
        <v>42552</v>
      </c>
      <c r="CG3763" s="1">
        <v>42552</v>
      </c>
      <c r="CH3763" s="1">
        <v>49714</v>
      </c>
      <c r="CI3763" t="s">
        <v>51</v>
      </c>
      <c r="CK3763" t="s">
        <v>78</v>
      </c>
      <c r="CM3763" t="s">
        <v>54</v>
      </c>
      <c r="CN3763" t="s">
        <v>174</v>
      </c>
      <c r="CO3763" t="s">
        <v>86</v>
      </c>
      <c r="CR3763">
        <v>25</v>
      </c>
      <c r="CS3763">
        <v>0</v>
      </c>
      <c r="CT3763">
        <v>0</v>
      </c>
      <c r="CU3763">
        <v>0</v>
      </c>
    </row>
    <row r="3764" spans="1:99" x14ac:dyDescent="0.2">
      <c r="A3764" t="s">
        <v>367</v>
      </c>
      <c r="B3764" t="s">
        <v>368</v>
      </c>
      <c r="C3764" t="s">
        <v>1733</v>
      </c>
      <c r="D3764" t="s">
        <v>369</v>
      </c>
      <c r="F3764" t="str">
        <f>"165438"</f>
        <v>165438</v>
      </c>
      <c r="G3764" t="s">
        <v>49</v>
      </c>
      <c r="H3764" t="s">
        <v>1760</v>
      </c>
      <c r="K3764" t="s">
        <v>51</v>
      </c>
      <c r="L3764" t="s">
        <v>52</v>
      </c>
      <c r="M3764">
        <v>134645.74</v>
      </c>
      <c r="N3764">
        <v>466598.8</v>
      </c>
      <c r="O3764" t="s">
        <v>53</v>
      </c>
      <c r="P3764" t="s">
        <v>54</v>
      </c>
      <c r="Q3764" t="s">
        <v>55</v>
      </c>
      <c r="T3764" t="s">
        <v>376</v>
      </c>
      <c r="U3764">
        <v>40</v>
      </c>
      <c r="V3764" s="1">
        <v>37258</v>
      </c>
      <c r="W3764" s="1">
        <v>37258</v>
      </c>
      <c r="X3764" s="1">
        <v>37258</v>
      </c>
      <c r="Y3764" s="1">
        <v>51868</v>
      </c>
      <c r="Z3764" t="s">
        <v>51</v>
      </c>
      <c r="AB3764" t="s">
        <v>54</v>
      </c>
      <c r="AC3764">
        <v>1</v>
      </c>
      <c r="AE3764" t="s">
        <v>814</v>
      </c>
      <c r="AF3764">
        <v>20</v>
      </c>
      <c r="AG3764" s="1">
        <v>37258</v>
      </c>
      <c r="AH3764" s="1">
        <v>37258</v>
      </c>
      <c r="AI3764" s="1">
        <v>37258</v>
      </c>
      <c r="AJ3764" s="1">
        <v>44563</v>
      </c>
      <c r="AK3764" t="s">
        <v>51</v>
      </c>
      <c r="AN3764">
        <v>0</v>
      </c>
      <c r="AO3764" t="s">
        <v>54</v>
      </c>
      <c r="AP3764" t="s">
        <v>53</v>
      </c>
      <c r="AQ3764">
        <v>0</v>
      </c>
      <c r="AR3764" t="s">
        <v>53</v>
      </c>
      <c r="AS3764">
        <v>0</v>
      </c>
      <c r="AT3764">
        <v>0</v>
      </c>
      <c r="CC3764" t="s">
        <v>439</v>
      </c>
      <c r="CD3764">
        <v>85000</v>
      </c>
      <c r="CE3764" s="1">
        <v>42552</v>
      </c>
      <c r="CF3764" s="1">
        <v>42552</v>
      </c>
      <c r="CG3764" s="1">
        <v>42552</v>
      </c>
      <c r="CH3764" s="1">
        <v>49714</v>
      </c>
      <c r="CI3764" t="s">
        <v>51</v>
      </c>
      <c r="CK3764" t="s">
        <v>78</v>
      </c>
      <c r="CM3764" t="s">
        <v>54</v>
      </c>
      <c r="CN3764" t="s">
        <v>174</v>
      </c>
      <c r="CO3764" t="s">
        <v>86</v>
      </c>
      <c r="CR3764">
        <v>25</v>
      </c>
      <c r="CS3764">
        <v>0</v>
      </c>
      <c r="CT3764">
        <v>0</v>
      </c>
      <c r="CU3764">
        <v>0</v>
      </c>
    </row>
    <row r="3765" spans="1:99" x14ac:dyDescent="0.2">
      <c r="A3765" t="s">
        <v>367</v>
      </c>
      <c r="B3765" t="s">
        <v>368</v>
      </c>
      <c r="C3765" t="s">
        <v>1733</v>
      </c>
      <c r="D3765" t="s">
        <v>369</v>
      </c>
      <c r="F3765" t="str">
        <f>"165439"</f>
        <v>165439</v>
      </c>
      <c r="G3765" t="s">
        <v>49</v>
      </c>
      <c r="H3765" t="s">
        <v>1760</v>
      </c>
      <c r="K3765" t="s">
        <v>51</v>
      </c>
      <c r="L3765" t="s">
        <v>52</v>
      </c>
      <c r="M3765">
        <v>134614.99</v>
      </c>
      <c r="N3765">
        <v>466593.47</v>
      </c>
      <c r="O3765" t="s">
        <v>53</v>
      </c>
      <c r="P3765" t="s">
        <v>54</v>
      </c>
      <c r="Q3765" t="s">
        <v>55</v>
      </c>
      <c r="T3765" t="s">
        <v>376</v>
      </c>
      <c r="U3765">
        <v>40</v>
      </c>
      <c r="V3765" s="1">
        <v>37258</v>
      </c>
      <c r="W3765" s="1">
        <v>37258</v>
      </c>
      <c r="X3765" s="1">
        <v>37258</v>
      </c>
      <c r="Y3765" s="1">
        <v>51868</v>
      </c>
      <c r="Z3765" t="s">
        <v>51</v>
      </c>
      <c r="AB3765" t="s">
        <v>54</v>
      </c>
      <c r="AC3765">
        <v>1</v>
      </c>
      <c r="AE3765" t="s">
        <v>814</v>
      </c>
      <c r="AF3765">
        <v>20</v>
      </c>
      <c r="AG3765" s="1">
        <v>37258</v>
      </c>
      <c r="AH3765" s="1">
        <v>37258</v>
      </c>
      <c r="AI3765" s="1">
        <v>37258</v>
      </c>
      <c r="AJ3765" s="1">
        <v>44563</v>
      </c>
      <c r="AK3765" t="s">
        <v>51</v>
      </c>
      <c r="AN3765">
        <v>0</v>
      </c>
      <c r="AO3765" t="s">
        <v>54</v>
      </c>
      <c r="AP3765" t="s">
        <v>53</v>
      </c>
      <c r="AQ3765">
        <v>0</v>
      </c>
      <c r="AR3765" t="s">
        <v>53</v>
      </c>
      <c r="AS3765">
        <v>0</v>
      </c>
      <c r="AT3765">
        <v>0</v>
      </c>
      <c r="CC3765" t="s">
        <v>439</v>
      </c>
      <c r="CD3765">
        <v>85000</v>
      </c>
      <c r="CE3765" s="1">
        <v>42552</v>
      </c>
      <c r="CF3765" s="1">
        <v>42552</v>
      </c>
      <c r="CG3765" s="1">
        <v>42552</v>
      </c>
      <c r="CH3765" s="1">
        <v>49714</v>
      </c>
      <c r="CI3765" t="s">
        <v>51</v>
      </c>
      <c r="CK3765" t="s">
        <v>78</v>
      </c>
      <c r="CM3765" t="s">
        <v>54</v>
      </c>
      <c r="CN3765" t="s">
        <v>174</v>
      </c>
      <c r="CO3765" t="s">
        <v>86</v>
      </c>
      <c r="CR3765">
        <v>25</v>
      </c>
      <c r="CS3765">
        <v>0</v>
      </c>
      <c r="CT3765">
        <v>0</v>
      </c>
      <c r="CU3765">
        <v>0</v>
      </c>
    </row>
    <row r="3766" spans="1:99" x14ac:dyDescent="0.2">
      <c r="A3766" t="s">
        <v>367</v>
      </c>
      <c r="B3766" t="s">
        <v>368</v>
      </c>
      <c r="C3766" t="s">
        <v>1733</v>
      </c>
      <c r="D3766" t="s">
        <v>369</v>
      </c>
      <c r="F3766" t="str">
        <f>"165440"</f>
        <v>165440</v>
      </c>
      <c r="G3766" t="s">
        <v>49</v>
      </c>
      <c r="H3766" t="s">
        <v>1761</v>
      </c>
      <c r="K3766" t="s">
        <v>51</v>
      </c>
      <c r="L3766" t="s">
        <v>52</v>
      </c>
      <c r="M3766">
        <v>134597.53</v>
      </c>
      <c r="N3766">
        <v>466590.53</v>
      </c>
      <c r="O3766" t="s">
        <v>53</v>
      </c>
      <c r="P3766" t="s">
        <v>54</v>
      </c>
      <c r="Q3766" t="s">
        <v>55</v>
      </c>
      <c r="T3766" t="s">
        <v>376</v>
      </c>
      <c r="U3766">
        <v>40</v>
      </c>
      <c r="V3766" s="1">
        <v>37257</v>
      </c>
      <c r="W3766" s="1">
        <v>37257</v>
      </c>
      <c r="X3766" s="1">
        <v>37257</v>
      </c>
      <c r="Y3766" s="1">
        <v>51867</v>
      </c>
      <c r="Z3766" t="s">
        <v>51</v>
      </c>
      <c r="AB3766" t="s">
        <v>54</v>
      </c>
      <c r="AC3766">
        <v>1</v>
      </c>
      <c r="AE3766" t="s">
        <v>814</v>
      </c>
      <c r="AF3766">
        <v>20</v>
      </c>
      <c r="AG3766" s="1">
        <v>37257</v>
      </c>
      <c r="AH3766" s="1">
        <v>37257</v>
      </c>
      <c r="AI3766" s="1">
        <v>37257</v>
      </c>
      <c r="AJ3766" s="1">
        <v>44562</v>
      </c>
      <c r="AK3766" t="s">
        <v>51</v>
      </c>
      <c r="AN3766">
        <v>0</v>
      </c>
      <c r="AO3766" t="s">
        <v>54</v>
      </c>
      <c r="AP3766" t="s">
        <v>53</v>
      </c>
      <c r="AQ3766">
        <v>0</v>
      </c>
      <c r="AR3766" t="s">
        <v>53</v>
      </c>
      <c r="AS3766">
        <v>0</v>
      </c>
      <c r="AT3766">
        <v>0</v>
      </c>
      <c r="CC3766" t="s">
        <v>439</v>
      </c>
      <c r="CD3766">
        <v>85000</v>
      </c>
      <c r="CE3766" s="1">
        <v>42552</v>
      </c>
      <c r="CF3766" s="1">
        <v>42552</v>
      </c>
      <c r="CG3766" s="1">
        <v>42552</v>
      </c>
      <c r="CH3766" s="1">
        <v>49714</v>
      </c>
      <c r="CI3766" t="s">
        <v>51</v>
      </c>
      <c r="CK3766" t="s">
        <v>78</v>
      </c>
      <c r="CM3766" t="s">
        <v>54</v>
      </c>
      <c r="CN3766" t="s">
        <v>174</v>
      </c>
      <c r="CO3766" t="s">
        <v>86</v>
      </c>
      <c r="CR3766">
        <v>25</v>
      </c>
      <c r="CS3766">
        <v>0</v>
      </c>
      <c r="CT3766">
        <v>0</v>
      </c>
      <c r="CU3766">
        <v>0</v>
      </c>
    </row>
    <row r="3767" spans="1:99" x14ac:dyDescent="0.2">
      <c r="A3767" t="s">
        <v>367</v>
      </c>
      <c r="B3767" t="s">
        <v>368</v>
      </c>
      <c r="C3767" t="s">
        <v>1733</v>
      </c>
      <c r="D3767" t="s">
        <v>369</v>
      </c>
      <c r="F3767" t="str">
        <f>"165442"</f>
        <v>165442</v>
      </c>
      <c r="G3767" t="s">
        <v>49</v>
      </c>
      <c r="H3767" t="s">
        <v>1761</v>
      </c>
      <c r="K3767" t="s">
        <v>51</v>
      </c>
      <c r="L3767" t="s">
        <v>52</v>
      </c>
      <c r="M3767">
        <v>134528.75</v>
      </c>
      <c r="N3767">
        <v>466578.77</v>
      </c>
      <c r="O3767" t="s">
        <v>53</v>
      </c>
      <c r="P3767" t="s">
        <v>54</v>
      </c>
      <c r="Q3767" t="s">
        <v>55</v>
      </c>
      <c r="T3767" t="s">
        <v>376</v>
      </c>
      <c r="U3767">
        <v>40</v>
      </c>
      <c r="V3767" s="1">
        <v>37257</v>
      </c>
      <c r="W3767" s="1">
        <v>37257</v>
      </c>
      <c r="X3767" s="1">
        <v>37257</v>
      </c>
      <c r="Y3767" s="1">
        <v>51867</v>
      </c>
      <c r="Z3767" t="s">
        <v>51</v>
      </c>
      <c r="AB3767" t="s">
        <v>54</v>
      </c>
      <c r="AC3767">
        <v>1</v>
      </c>
      <c r="AE3767" t="s">
        <v>814</v>
      </c>
      <c r="AF3767">
        <v>20</v>
      </c>
      <c r="AG3767" s="1">
        <v>37257</v>
      </c>
      <c r="AH3767" s="1">
        <v>37257</v>
      </c>
      <c r="AI3767" s="1">
        <v>37257</v>
      </c>
      <c r="AJ3767" s="1">
        <v>44562</v>
      </c>
      <c r="AK3767" t="s">
        <v>51</v>
      </c>
      <c r="AN3767">
        <v>0</v>
      </c>
      <c r="AO3767" t="s">
        <v>54</v>
      </c>
      <c r="AP3767" t="s">
        <v>53</v>
      </c>
      <c r="AQ3767">
        <v>0</v>
      </c>
      <c r="AR3767" t="s">
        <v>53</v>
      </c>
      <c r="AS3767">
        <v>0</v>
      </c>
      <c r="AT3767">
        <v>0</v>
      </c>
      <c r="CC3767" t="s">
        <v>439</v>
      </c>
      <c r="CD3767">
        <v>85000</v>
      </c>
      <c r="CE3767" s="1">
        <v>42552</v>
      </c>
      <c r="CF3767" s="1">
        <v>42552</v>
      </c>
      <c r="CG3767" s="1">
        <v>42552</v>
      </c>
      <c r="CH3767" s="1">
        <v>49714</v>
      </c>
      <c r="CI3767" t="s">
        <v>51</v>
      </c>
      <c r="CK3767" t="s">
        <v>78</v>
      </c>
      <c r="CM3767" t="s">
        <v>54</v>
      </c>
      <c r="CN3767" t="s">
        <v>174</v>
      </c>
      <c r="CO3767" t="s">
        <v>86</v>
      </c>
      <c r="CR3767">
        <v>25</v>
      </c>
      <c r="CS3767">
        <v>0</v>
      </c>
      <c r="CT3767">
        <v>0</v>
      </c>
      <c r="CU3767">
        <v>0</v>
      </c>
    </row>
    <row r="3768" spans="1:99" x14ac:dyDescent="0.2">
      <c r="A3768" t="s">
        <v>367</v>
      </c>
      <c r="B3768" t="s">
        <v>368</v>
      </c>
      <c r="C3768" t="s">
        <v>1733</v>
      </c>
      <c r="D3768" t="s">
        <v>369</v>
      </c>
      <c r="F3768" t="str">
        <f>"165443"</f>
        <v>165443</v>
      </c>
      <c r="G3768" t="s">
        <v>49</v>
      </c>
      <c r="H3768" t="s">
        <v>1761</v>
      </c>
      <c r="K3768" t="s">
        <v>51</v>
      </c>
      <c r="L3768" t="s">
        <v>52</v>
      </c>
      <c r="M3768">
        <v>134507.47</v>
      </c>
      <c r="N3768">
        <v>466575.27</v>
      </c>
      <c r="O3768" t="s">
        <v>53</v>
      </c>
      <c r="P3768" t="s">
        <v>54</v>
      </c>
      <c r="Q3768" t="s">
        <v>55</v>
      </c>
      <c r="T3768" t="s">
        <v>376</v>
      </c>
      <c r="U3768">
        <v>40</v>
      </c>
      <c r="V3768" s="1">
        <v>37258</v>
      </c>
      <c r="W3768" s="1">
        <v>37258</v>
      </c>
      <c r="X3768" s="1">
        <v>37258</v>
      </c>
      <c r="Y3768" s="1">
        <v>51868</v>
      </c>
      <c r="Z3768" t="s">
        <v>51</v>
      </c>
      <c r="AB3768" t="s">
        <v>54</v>
      </c>
      <c r="AC3768">
        <v>1</v>
      </c>
      <c r="AE3768" t="s">
        <v>814</v>
      </c>
      <c r="AF3768">
        <v>20</v>
      </c>
      <c r="AG3768" s="1">
        <v>37258</v>
      </c>
      <c r="AH3768" s="1">
        <v>37258</v>
      </c>
      <c r="AI3768" s="1">
        <v>37258</v>
      </c>
      <c r="AJ3768" s="1">
        <v>44563</v>
      </c>
      <c r="AK3768" t="s">
        <v>51</v>
      </c>
      <c r="AN3768">
        <v>0</v>
      </c>
      <c r="AO3768" t="s">
        <v>54</v>
      </c>
      <c r="AP3768" t="s">
        <v>53</v>
      </c>
      <c r="AQ3768">
        <v>0</v>
      </c>
      <c r="AR3768" t="s">
        <v>53</v>
      </c>
      <c r="AS3768">
        <v>0</v>
      </c>
      <c r="AT3768">
        <v>0</v>
      </c>
      <c r="CC3768" t="s">
        <v>439</v>
      </c>
      <c r="CD3768">
        <v>85000</v>
      </c>
      <c r="CE3768" s="1">
        <v>42552</v>
      </c>
      <c r="CF3768" s="1">
        <v>42552</v>
      </c>
      <c r="CG3768" s="1">
        <v>42552</v>
      </c>
      <c r="CH3768" s="1">
        <v>49714</v>
      </c>
      <c r="CI3768" t="s">
        <v>51</v>
      </c>
      <c r="CK3768" t="s">
        <v>78</v>
      </c>
      <c r="CM3768" t="s">
        <v>54</v>
      </c>
      <c r="CN3768" t="s">
        <v>174</v>
      </c>
      <c r="CO3768" t="s">
        <v>86</v>
      </c>
      <c r="CR3768">
        <v>25</v>
      </c>
      <c r="CS3768">
        <v>0</v>
      </c>
      <c r="CT3768">
        <v>0</v>
      </c>
      <c r="CU3768">
        <v>0</v>
      </c>
    </row>
    <row r="3769" spans="1:99" x14ac:dyDescent="0.2">
      <c r="A3769" t="s">
        <v>367</v>
      </c>
      <c r="B3769" t="s">
        <v>368</v>
      </c>
      <c r="C3769" t="s">
        <v>1733</v>
      </c>
      <c r="D3769" t="s">
        <v>369</v>
      </c>
      <c r="F3769" t="str">
        <f>"165444"</f>
        <v>165444</v>
      </c>
      <c r="G3769" t="s">
        <v>49</v>
      </c>
      <c r="H3769" t="s">
        <v>1762</v>
      </c>
      <c r="K3769" t="s">
        <v>51</v>
      </c>
      <c r="L3769" t="s">
        <v>52</v>
      </c>
      <c r="M3769">
        <v>134484.01999999999</v>
      </c>
      <c r="N3769">
        <v>466571.51</v>
      </c>
      <c r="O3769" t="s">
        <v>53</v>
      </c>
      <c r="P3769" t="s">
        <v>54</v>
      </c>
      <c r="Q3769" t="s">
        <v>55</v>
      </c>
      <c r="T3769" t="s">
        <v>376</v>
      </c>
      <c r="U3769">
        <v>40</v>
      </c>
      <c r="V3769" s="1">
        <v>37258</v>
      </c>
      <c r="W3769" s="1">
        <v>37258</v>
      </c>
      <c r="X3769" s="1">
        <v>37258</v>
      </c>
      <c r="Y3769" s="1">
        <v>51868</v>
      </c>
      <c r="Z3769" t="s">
        <v>51</v>
      </c>
      <c r="AB3769" t="s">
        <v>54</v>
      </c>
      <c r="AC3769">
        <v>1</v>
      </c>
      <c r="AE3769" t="s">
        <v>814</v>
      </c>
      <c r="AF3769">
        <v>20</v>
      </c>
      <c r="AG3769" s="1">
        <v>37258</v>
      </c>
      <c r="AH3769" s="1">
        <v>37258</v>
      </c>
      <c r="AI3769" s="1">
        <v>37258</v>
      </c>
      <c r="AJ3769" s="1">
        <v>44563</v>
      </c>
      <c r="AK3769" t="s">
        <v>51</v>
      </c>
      <c r="AN3769">
        <v>0</v>
      </c>
      <c r="AO3769" t="s">
        <v>54</v>
      </c>
      <c r="AP3769" t="s">
        <v>53</v>
      </c>
      <c r="AQ3769">
        <v>0</v>
      </c>
      <c r="AR3769" t="s">
        <v>53</v>
      </c>
      <c r="AS3769">
        <v>0</v>
      </c>
      <c r="AT3769">
        <v>0</v>
      </c>
      <c r="CC3769" t="s">
        <v>439</v>
      </c>
      <c r="CD3769">
        <v>85000</v>
      </c>
      <c r="CE3769" s="1">
        <v>42552</v>
      </c>
      <c r="CF3769" s="1">
        <v>42552</v>
      </c>
      <c r="CG3769" s="1">
        <v>42552</v>
      </c>
      <c r="CH3769" s="1">
        <v>49714</v>
      </c>
      <c r="CI3769" t="s">
        <v>51</v>
      </c>
      <c r="CK3769" t="s">
        <v>78</v>
      </c>
      <c r="CM3769" t="s">
        <v>54</v>
      </c>
      <c r="CN3769" t="s">
        <v>174</v>
      </c>
      <c r="CO3769" t="s">
        <v>86</v>
      </c>
      <c r="CR3769">
        <v>25</v>
      </c>
      <c r="CS3769">
        <v>0</v>
      </c>
      <c r="CT3769">
        <v>0</v>
      </c>
      <c r="CU3769">
        <v>0</v>
      </c>
    </row>
    <row r="3770" spans="1:99" x14ac:dyDescent="0.2">
      <c r="A3770" t="s">
        <v>367</v>
      </c>
      <c r="B3770" t="s">
        <v>368</v>
      </c>
      <c r="C3770" t="s">
        <v>1733</v>
      </c>
      <c r="D3770" t="s">
        <v>369</v>
      </c>
      <c r="F3770" t="str">
        <f>"165445"</f>
        <v>165445</v>
      </c>
      <c r="G3770" t="s">
        <v>49</v>
      </c>
      <c r="H3770" t="s">
        <v>1763</v>
      </c>
      <c r="K3770" t="s">
        <v>51</v>
      </c>
      <c r="L3770" t="s">
        <v>52</v>
      </c>
      <c r="M3770">
        <v>134457.69</v>
      </c>
      <c r="N3770">
        <v>466568.11</v>
      </c>
      <c r="O3770" t="s">
        <v>53</v>
      </c>
      <c r="P3770" t="s">
        <v>54</v>
      </c>
      <c r="Q3770" t="s">
        <v>55</v>
      </c>
      <c r="T3770" t="s">
        <v>376</v>
      </c>
      <c r="U3770">
        <v>40</v>
      </c>
      <c r="V3770" s="1">
        <v>37287</v>
      </c>
      <c r="W3770" s="1">
        <v>37287</v>
      </c>
      <c r="X3770" s="1">
        <v>37287</v>
      </c>
      <c r="Y3770" s="1">
        <v>51897</v>
      </c>
      <c r="Z3770" t="s">
        <v>51</v>
      </c>
      <c r="AB3770" t="s">
        <v>54</v>
      </c>
      <c r="AC3770">
        <v>1</v>
      </c>
      <c r="AE3770" t="s">
        <v>814</v>
      </c>
      <c r="AF3770">
        <v>20</v>
      </c>
      <c r="AG3770" s="1">
        <v>37287</v>
      </c>
      <c r="AH3770" s="1">
        <v>37287</v>
      </c>
      <c r="AI3770" s="1">
        <v>37287</v>
      </c>
      <c r="AJ3770" s="1">
        <v>44592</v>
      </c>
      <c r="AK3770" t="s">
        <v>51</v>
      </c>
      <c r="AN3770">
        <v>0</v>
      </c>
      <c r="AO3770" t="s">
        <v>54</v>
      </c>
      <c r="AP3770" t="s">
        <v>53</v>
      </c>
      <c r="AQ3770">
        <v>0</v>
      </c>
      <c r="AR3770" t="s">
        <v>53</v>
      </c>
      <c r="AS3770">
        <v>0</v>
      </c>
      <c r="AT3770">
        <v>0</v>
      </c>
      <c r="CC3770" t="s">
        <v>439</v>
      </c>
      <c r="CD3770">
        <v>85000</v>
      </c>
      <c r="CE3770" s="1">
        <v>42552</v>
      </c>
      <c r="CF3770" s="1">
        <v>42552</v>
      </c>
      <c r="CG3770" s="1">
        <v>42552</v>
      </c>
      <c r="CH3770" s="1">
        <v>49714</v>
      </c>
      <c r="CI3770" t="s">
        <v>51</v>
      </c>
      <c r="CK3770" t="s">
        <v>78</v>
      </c>
      <c r="CM3770" t="s">
        <v>54</v>
      </c>
      <c r="CN3770" t="s">
        <v>174</v>
      </c>
      <c r="CO3770" t="s">
        <v>86</v>
      </c>
      <c r="CR3770">
        <v>25</v>
      </c>
      <c r="CS3770">
        <v>0</v>
      </c>
      <c r="CT3770">
        <v>0</v>
      </c>
      <c r="CU3770">
        <v>0</v>
      </c>
    </row>
    <row r="3771" spans="1:99" x14ac:dyDescent="0.2">
      <c r="A3771" t="s">
        <v>367</v>
      </c>
      <c r="B3771" t="s">
        <v>368</v>
      </c>
      <c r="C3771" t="s">
        <v>1733</v>
      </c>
      <c r="D3771" t="s">
        <v>369</v>
      </c>
      <c r="F3771" t="str">
        <f>"165446"</f>
        <v>165446</v>
      </c>
      <c r="G3771" t="s">
        <v>49</v>
      </c>
      <c r="H3771" t="s">
        <v>1764</v>
      </c>
      <c r="K3771" t="s">
        <v>51</v>
      </c>
      <c r="L3771" t="s">
        <v>52</v>
      </c>
      <c r="M3771">
        <v>134393.42000000001</v>
      </c>
      <c r="N3771">
        <v>466561</v>
      </c>
      <c r="O3771" t="s">
        <v>53</v>
      </c>
      <c r="P3771" t="s">
        <v>54</v>
      </c>
      <c r="Q3771" t="s">
        <v>55</v>
      </c>
      <c r="T3771" t="s">
        <v>376</v>
      </c>
      <c r="U3771">
        <v>40</v>
      </c>
      <c r="V3771" s="1">
        <v>37306</v>
      </c>
      <c r="W3771" s="1">
        <v>37306</v>
      </c>
      <c r="X3771" s="1">
        <v>37306</v>
      </c>
      <c r="Y3771" s="1">
        <v>51916</v>
      </c>
      <c r="Z3771" t="s">
        <v>51</v>
      </c>
      <c r="AB3771" t="s">
        <v>54</v>
      </c>
      <c r="AC3771">
        <v>1</v>
      </c>
      <c r="AE3771" t="s">
        <v>814</v>
      </c>
      <c r="AF3771">
        <v>20</v>
      </c>
      <c r="AG3771" s="1">
        <v>37306</v>
      </c>
      <c r="AH3771" s="1">
        <v>37306</v>
      </c>
      <c r="AI3771" s="1">
        <v>37306</v>
      </c>
      <c r="AJ3771" s="1">
        <v>44611</v>
      </c>
      <c r="AK3771" t="s">
        <v>51</v>
      </c>
      <c r="AN3771">
        <v>0</v>
      </c>
      <c r="AO3771" t="s">
        <v>54</v>
      </c>
      <c r="AP3771" t="s">
        <v>53</v>
      </c>
      <c r="AQ3771">
        <v>0</v>
      </c>
      <c r="AR3771" t="s">
        <v>53</v>
      </c>
      <c r="AS3771">
        <v>0</v>
      </c>
      <c r="AT3771">
        <v>0</v>
      </c>
      <c r="CC3771" t="s">
        <v>439</v>
      </c>
      <c r="CD3771">
        <v>85000</v>
      </c>
      <c r="CE3771" s="1">
        <v>42552</v>
      </c>
      <c r="CF3771" s="1">
        <v>42552</v>
      </c>
      <c r="CG3771" s="1">
        <v>42552</v>
      </c>
      <c r="CH3771" s="1">
        <v>49714</v>
      </c>
      <c r="CI3771" t="s">
        <v>51</v>
      </c>
      <c r="CK3771" t="s">
        <v>78</v>
      </c>
      <c r="CM3771" t="s">
        <v>54</v>
      </c>
      <c r="CN3771" t="s">
        <v>174</v>
      </c>
      <c r="CO3771" t="s">
        <v>86</v>
      </c>
      <c r="CR3771">
        <v>25</v>
      </c>
      <c r="CS3771">
        <v>0</v>
      </c>
      <c r="CT3771">
        <v>0</v>
      </c>
      <c r="CU3771">
        <v>0</v>
      </c>
    </row>
    <row r="3772" spans="1:99" x14ac:dyDescent="0.2">
      <c r="A3772" t="s">
        <v>367</v>
      </c>
      <c r="B3772" t="s">
        <v>368</v>
      </c>
      <c r="C3772" t="s">
        <v>1733</v>
      </c>
      <c r="D3772" t="s">
        <v>369</v>
      </c>
      <c r="F3772" t="str">
        <f>"165447"</f>
        <v>165447</v>
      </c>
      <c r="G3772" t="s">
        <v>49</v>
      </c>
      <c r="H3772" t="s">
        <v>1765</v>
      </c>
      <c r="K3772" t="s">
        <v>51</v>
      </c>
      <c r="L3772" t="s">
        <v>52</v>
      </c>
      <c r="M3772">
        <v>134363.09</v>
      </c>
      <c r="N3772">
        <v>466556.57</v>
      </c>
      <c r="O3772" t="s">
        <v>53</v>
      </c>
      <c r="P3772" t="s">
        <v>54</v>
      </c>
      <c r="Q3772" t="s">
        <v>55</v>
      </c>
      <c r="T3772" t="s">
        <v>376</v>
      </c>
      <c r="U3772">
        <v>40</v>
      </c>
      <c r="V3772" s="1">
        <v>37306</v>
      </c>
      <c r="W3772" s="1">
        <v>37306</v>
      </c>
      <c r="X3772" s="1">
        <v>37306</v>
      </c>
      <c r="Y3772" s="1">
        <v>51916</v>
      </c>
      <c r="Z3772" t="s">
        <v>51</v>
      </c>
      <c r="AB3772" t="s">
        <v>54</v>
      </c>
      <c r="AC3772">
        <v>1</v>
      </c>
      <c r="AE3772" t="s">
        <v>814</v>
      </c>
      <c r="AF3772">
        <v>20</v>
      </c>
      <c r="AG3772" s="1">
        <v>37306</v>
      </c>
      <c r="AH3772" s="1">
        <v>37306</v>
      </c>
      <c r="AI3772" s="1">
        <v>37306</v>
      </c>
      <c r="AJ3772" s="1">
        <v>44611</v>
      </c>
      <c r="AK3772" t="s">
        <v>51</v>
      </c>
      <c r="AN3772">
        <v>0</v>
      </c>
      <c r="AO3772" t="s">
        <v>54</v>
      </c>
      <c r="AP3772" t="s">
        <v>53</v>
      </c>
      <c r="AQ3772">
        <v>0</v>
      </c>
      <c r="AR3772" t="s">
        <v>53</v>
      </c>
      <c r="AS3772">
        <v>0</v>
      </c>
      <c r="AT3772">
        <v>0</v>
      </c>
      <c r="CC3772" t="s">
        <v>439</v>
      </c>
      <c r="CD3772">
        <v>85000</v>
      </c>
      <c r="CE3772" s="1">
        <v>42552</v>
      </c>
      <c r="CF3772" s="1">
        <v>42552</v>
      </c>
      <c r="CG3772" s="1">
        <v>42552</v>
      </c>
      <c r="CH3772" s="1">
        <v>49714</v>
      </c>
      <c r="CI3772" t="s">
        <v>51</v>
      </c>
      <c r="CK3772" t="s">
        <v>78</v>
      </c>
      <c r="CM3772" t="s">
        <v>54</v>
      </c>
      <c r="CN3772" t="s">
        <v>174</v>
      </c>
      <c r="CO3772" t="s">
        <v>86</v>
      </c>
      <c r="CR3772">
        <v>25</v>
      </c>
      <c r="CS3772">
        <v>0</v>
      </c>
      <c r="CT3772">
        <v>0</v>
      </c>
      <c r="CU3772">
        <v>0</v>
      </c>
    </row>
    <row r="3773" spans="1:99" x14ac:dyDescent="0.2">
      <c r="A3773" t="s">
        <v>367</v>
      </c>
      <c r="B3773" t="s">
        <v>368</v>
      </c>
      <c r="C3773" t="s">
        <v>381</v>
      </c>
      <c r="D3773" t="s">
        <v>369</v>
      </c>
      <c r="F3773" t="str">
        <f>"165448"</f>
        <v>165448</v>
      </c>
      <c r="G3773" t="s">
        <v>49</v>
      </c>
      <c r="H3773" t="s">
        <v>1766</v>
      </c>
      <c r="K3773" t="s">
        <v>51</v>
      </c>
      <c r="L3773" t="s">
        <v>52</v>
      </c>
      <c r="M3773">
        <v>134328.98000000001</v>
      </c>
      <c r="N3773">
        <v>466552.33</v>
      </c>
      <c r="O3773" t="s">
        <v>53</v>
      </c>
      <c r="P3773" t="s">
        <v>54</v>
      </c>
      <c r="Q3773" t="s">
        <v>55</v>
      </c>
      <c r="T3773" t="s">
        <v>376</v>
      </c>
      <c r="U3773">
        <v>40</v>
      </c>
      <c r="V3773" s="1">
        <v>37306</v>
      </c>
      <c r="W3773" s="1">
        <v>37306</v>
      </c>
      <c r="X3773" s="1">
        <v>37306</v>
      </c>
      <c r="Y3773" s="1">
        <v>51916</v>
      </c>
      <c r="Z3773" t="s">
        <v>51</v>
      </c>
      <c r="AB3773" t="s">
        <v>54</v>
      </c>
      <c r="AC3773">
        <v>1</v>
      </c>
      <c r="AE3773" t="s">
        <v>814</v>
      </c>
      <c r="AF3773">
        <v>20</v>
      </c>
      <c r="AG3773" s="1">
        <v>37306</v>
      </c>
      <c r="AH3773" s="1">
        <v>37306</v>
      </c>
      <c r="AI3773" s="1">
        <v>37306</v>
      </c>
      <c r="AJ3773" s="1">
        <v>44611</v>
      </c>
      <c r="AK3773" t="s">
        <v>51</v>
      </c>
      <c r="AN3773">
        <v>0</v>
      </c>
      <c r="AO3773" t="s">
        <v>54</v>
      </c>
      <c r="AP3773" t="s">
        <v>53</v>
      </c>
      <c r="AQ3773">
        <v>0</v>
      </c>
      <c r="AR3773" t="s">
        <v>53</v>
      </c>
      <c r="AS3773">
        <v>0</v>
      </c>
      <c r="AT3773">
        <v>0</v>
      </c>
      <c r="CC3773" t="s">
        <v>439</v>
      </c>
      <c r="CD3773">
        <v>85000</v>
      </c>
      <c r="CE3773" s="1">
        <v>43144</v>
      </c>
      <c r="CF3773" s="1">
        <v>43144</v>
      </c>
      <c r="CG3773" s="1">
        <v>43144</v>
      </c>
      <c r="CH3773" s="1">
        <v>50359</v>
      </c>
      <c r="CI3773" t="s">
        <v>51</v>
      </c>
      <c r="CK3773" t="s">
        <v>78</v>
      </c>
      <c r="CM3773" t="s">
        <v>54</v>
      </c>
      <c r="CN3773" t="s">
        <v>174</v>
      </c>
      <c r="CO3773" t="s">
        <v>86</v>
      </c>
      <c r="CR3773">
        <v>25</v>
      </c>
      <c r="CS3773">
        <v>0</v>
      </c>
      <c r="CT3773">
        <v>0</v>
      </c>
      <c r="CU3773">
        <v>0</v>
      </c>
    </row>
    <row r="3774" spans="1:99" x14ac:dyDescent="0.2">
      <c r="A3774" t="s">
        <v>367</v>
      </c>
      <c r="B3774" t="s">
        <v>368</v>
      </c>
      <c r="C3774" t="s">
        <v>381</v>
      </c>
      <c r="D3774" t="s">
        <v>369</v>
      </c>
      <c r="F3774" t="str">
        <f>"165449"</f>
        <v>165449</v>
      </c>
      <c r="G3774" t="s">
        <v>49</v>
      </c>
      <c r="H3774" t="s">
        <v>1767</v>
      </c>
      <c r="K3774" t="s">
        <v>51</v>
      </c>
      <c r="L3774" t="s">
        <v>52</v>
      </c>
      <c r="M3774">
        <v>134301.72</v>
      </c>
      <c r="N3774">
        <v>466549.28</v>
      </c>
      <c r="O3774" t="s">
        <v>53</v>
      </c>
      <c r="P3774" t="s">
        <v>54</v>
      </c>
      <c r="Q3774" t="s">
        <v>55</v>
      </c>
      <c r="T3774" t="s">
        <v>372</v>
      </c>
      <c r="U3774">
        <v>40</v>
      </c>
      <c r="V3774" s="1">
        <v>40918</v>
      </c>
      <c r="W3774" s="1">
        <v>40918</v>
      </c>
      <c r="X3774" s="1">
        <v>40918</v>
      </c>
      <c r="Y3774" s="1">
        <v>55528</v>
      </c>
      <c r="Z3774" t="s">
        <v>51</v>
      </c>
      <c r="AB3774" t="s">
        <v>54</v>
      </c>
      <c r="AC3774">
        <v>1</v>
      </c>
      <c r="AE3774" t="s">
        <v>814</v>
      </c>
      <c r="AF3774">
        <v>20</v>
      </c>
      <c r="AG3774" s="1">
        <v>40918</v>
      </c>
      <c r="AH3774" s="1">
        <v>40918</v>
      </c>
      <c r="AI3774" s="1">
        <v>40918</v>
      </c>
      <c r="AJ3774" s="1">
        <v>48223</v>
      </c>
      <c r="AK3774" t="s">
        <v>51</v>
      </c>
      <c r="AN3774">
        <v>0</v>
      </c>
      <c r="AO3774" t="s">
        <v>54</v>
      </c>
      <c r="AP3774" t="s">
        <v>53</v>
      </c>
      <c r="AQ3774">
        <v>0</v>
      </c>
      <c r="AR3774" t="s">
        <v>53</v>
      </c>
      <c r="AS3774">
        <v>0</v>
      </c>
      <c r="AT3774">
        <v>0</v>
      </c>
      <c r="CC3774" t="s">
        <v>439</v>
      </c>
      <c r="CD3774">
        <v>85000</v>
      </c>
      <c r="CE3774" s="1">
        <v>44837</v>
      </c>
      <c r="CF3774" s="1">
        <v>44837</v>
      </c>
      <c r="CG3774" s="1">
        <v>44837</v>
      </c>
      <c r="CH3774" s="1">
        <v>51981</v>
      </c>
      <c r="CI3774" t="s">
        <v>51</v>
      </c>
      <c r="CK3774" t="s">
        <v>78</v>
      </c>
      <c r="CM3774" t="s">
        <v>54</v>
      </c>
      <c r="CN3774" t="s">
        <v>174</v>
      </c>
      <c r="CO3774" t="s">
        <v>86</v>
      </c>
      <c r="CR3774">
        <v>25</v>
      </c>
      <c r="CS3774">
        <v>0</v>
      </c>
      <c r="CT3774">
        <v>0</v>
      </c>
      <c r="CU3774">
        <v>0</v>
      </c>
    </row>
    <row r="3775" spans="1:99" x14ac:dyDescent="0.2">
      <c r="A3775" t="s">
        <v>367</v>
      </c>
      <c r="B3775" t="s">
        <v>368</v>
      </c>
      <c r="C3775" t="s">
        <v>381</v>
      </c>
      <c r="D3775" t="s">
        <v>369</v>
      </c>
      <c r="F3775" t="str">
        <f>"165450"</f>
        <v>165450</v>
      </c>
      <c r="G3775" t="s">
        <v>49</v>
      </c>
      <c r="H3775" t="s">
        <v>1768</v>
      </c>
      <c r="K3775" t="s">
        <v>51</v>
      </c>
      <c r="L3775" t="s">
        <v>52</v>
      </c>
      <c r="M3775">
        <v>134275.37</v>
      </c>
      <c r="N3775">
        <v>466544.54</v>
      </c>
      <c r="O3775" t="s">
        <v>53</v>
      </c>
      <c r="P3775" t="s">
        <v>54</v>
      </c>
      <c r="Q3775" t="s">
        <v>55</v>
      </c>
      <c r="T3775" t="s">
        <v>376</v>
      </c>
      <c r="U3775">
        <v>40</v>
      </c>
      <c r="V3775" s="1">
        <v>37306</v>
      </c>
      <c r="W3775" s="1">
        <v>37306</v>
      </c>
      <c r="X3775" s="1">
        <v>37306</v>
      </c>
      <c r="Y3775" s="1">
        <v>51916</v>
      </c>
      <c r="Z3775" t="s">
        <v>51</v>
      </c>
      <c r="AB3775" t="s">
        <v>54</v>
      </c>
      <c r="AC3775">
        <v>1</v>
      </c>
      <c r="AE3775" t="s">
        <v>814</v>
      </c>
      <c r="AF3775">
        <v>20</v>
      </c>
      <c r="AG3775" s="1">
        <v>37306</v>
      </c>
      <c r="AH3775" s="1">
        <v>37306</v>
      </c>
      <c r="AI3775" s="1">
        <v>37306</v>
      </c>
      <c r="AJ3775" s="1">
        <v>44611</v>
      </c>
      <c r="AK3775" t="s">
        <v>51</v>
      </c>
      <c r="AN3775">
        <v>0</v>
      </c>
      <c r="AO3775" t="s">
        <v>54</v>
      </c>
      <c r="AP3775" t="s">
        <v>53</v>
      </c>
      <c r="AQ3775">
        <v>0</v>
      </c>
      <c r="AR3775" t="s">
        <v>53</v>
      </c>
      <c r="AS3775">
        <v>0</v>
      </c>
      <c r="AT3775">
        <v>0</v>
      </c>
      <c r="CC3775" t="s">
        <v>439</v>
      </c>
      <c r="CD3775">
        <v>85000</v>
      </c>
      <c r="CE3775" s="1">
        <v>42552</v>
      </c>
      <c r="CF3775" s="1">
        <v>42552</v>
      </c>
      <c r="CG3775" s="1">
        <v>42552</v>
      </c>
      <c r="CH3775" s="1">
        <v>49714</v>
      </c>
      <c r="CI3775" t="s">
        <v>51</v>
      </c>
      <c r="CK3775" t="s">
        <v>78</v>
      </c>
      <c r="CM3775" t="s">
        <v>54</v>
      </c>
      <c r="CN3775" t="s">
        <v>174</v>
      </c>
      <c r="CO3775" t="s">
        <v>86</v>
      </c>
      <c r="CR3775">
        <v>25</v>
      </c>
      <c r="CS3775">
        <v>0</v>
      </c>
      <c r="CT3775">
        <v>0</v>
      </c>
      <c r="CU3775">
        <v>0</v>
      </c>
    </row>
    <row r="3776" spans="1:99" x14ac:dyDescent="0.2">
      <c r="A3776" t="s">
        <v>367</v>
      </c>
      <c r="B3776" t="s">
        <v>368</v>
      </c>
      <c r="C3776" t="s">
        <v>369</v>
      </c>
      <c r="D3776" t="s">
        <v>369</v>
      </c>
      <c r="F3776" t="str">
        <f>"165451"</f>
        <v>165451</v>
      </c>
      <c r="G3776" t="s">
        <v>49</v>
      </c>
      <c r="H3776" t="s">
        <v>1769</v>
      </c>
      <c r="K3776" t="s">
        <v>51</v>
      </c>
      <c r="L3776" t="s">
        <v>52</v>
      </c>
      <c r="M3776">
        <v>137209.79999999999</v>
      </c>
      <c r="N3776">
        <v>467438.82</v>
      </c>
      <c r="O3776" t="s">
        <v>53</v>
      </c>
      <c r="P3776" t="s">
        <v>54</v>
      </c>
      <c r="Q3776" t="s">
        <v>55</v>
      </c>
      <c r="T3776" t="s">
        <v>376</v>
      </c>
      <c r="U3776">
        <v>40</v>
      </c>
      <c r="V3776" s="1">
        <v>37257</v>
      </c>
      <c r="W3776" s="1">
        <v>37257</v>
      </c>
      <c r="X3776" s="1">
        <v>37257</v>
      </c>
      <c r="Y3776" s="1">
        <v>51867</v>
      </c>
      <c r="Z3776" t="s">
        <v>51</v>
      </c>
      <c r="AB3776" t="s">
        <v>54</v>
      </c>
      <c r="AC3776">
        <v>1</v>
      </c>
      <c r="AE3776" t="s">
        <v>814</v>
      </c>
      <c r="AF3776">
        <v>20</v>
      </c>
      <c r="AG3776" s="1">
        <v>37257</v>
      </c>
      <c r="AH3776" s="1">
        <v>37257</v>
      </c>
      <c r="AI3776" s="1">
        <v>37257</v>
      </c>
      <c r="AJ3776" s="1">
        <v>44562</v>
      </c>
      <c r="AK3776" t="s">
        <v>51</v>
      </c>
      <c r="AN3776">
        <v>0</v>
      </c>
      <c r="AO3776" t="s">
        <v>54</v>
      </c>
      <c r="AP3776" t="s">
        <v>53</v>
      </c>
      <c r="AQ3776">
        <v>0</v>
      </c>
      <c r="AR3776" t="s">
        <v>53</v>
      </c>
      <c r="AS3776">
        <v>0</v>
      </c>
      <c r="AT3776">
        <v>0</v>
      </c>
      <c r="CC3776" t="s">
        <v>439</v>
      </c>
      <c r="CD3776">
        <v>85000</v>
      </c>
      <c r="CE3776" s="1">
        <v>44551</v>
      </c>
      <c r="CF3776" s="1">
        <v>44551</v>
      </c>
      <c r="CG3776" s="1">
        <v>44551</v>
      </c>
      <c r="CH3776" s="1">
        <v>51759</v>
      </c>
      <c r="CI3776" t="s">
        <v>51</v>
      </c>
      <c r="CK3776" t="s">
        <v>78</v>
      </c>
      <c r="CM3776" t="s">
        <v>54</v>
      </c>
      <c r="CN3776" t="s">
        <v>174</v>
      </c>
      <c r="CO3776" t="s">
        <v>86</v>
      </c>
      <c r="CR3776">
        <v>25</v>
      </c>
      <c r="CS3776">
        <v>0</v>
      </c>
      <c r="CT3776">
        <v>0</v>
      </c>
      <c r="CU3776">
        <v>0</v>
      </c>
    </row>
    <row r="3777" spans="1:99" x14ac:dyDescent="0.2">
      <c r="A3777" t="s">
        <v>367</v>
      </c>
      <c r="B3777" t="s">
        <v>368</v>
      </c>
      <c r="C3777" t="s">
        <v>369</v>
      </c>
      <c r="D3777" t="s">
        <v>369</v>
      </c>
      <c r="F3777" t="str">
        <f>"165452"</f>
        <v>165452</v>
      </c>
      <c r="G3777" t="s">
        <v>49</v>
      </c>
      <c r="H3777" t="s">
        <v>1770</v>
      </c>
      <c r="K3777" t="s">
        <v>51</v>
      </c>
      <c r="L3777" t="s">
        <v>52</v>
      </c>
      <c r="M3777">
        <v>137184.18</v>
      </c>
      <c r="N3777">
        <v>467433.64</v>
      </c>
      <c r="O3777" t="s">
        <v>53</v>
      </c>
      <c r="P3777" t="s">
        <v>54</v>
      </c>
      <c r="Q3777" t="s">
        <v>55</v>
      </c>
      <c r="T3777" t="s">
        <v>376</v>
      </c>
      <c r="U3777">
        <v>40</v>
      </c>
      <c r="V3777" s="1">
        <v>37257</v>
      </c>
      <c r="W3777" s="1">
        <v>37257</v>
      </c>
      <c r="X3777" s="1">
        <v>37257</v>
      </c>
      <c r="Y3777" s="1">
        <v>51867</v>
      </c>
      <c r="Z3777" t="s">
        <v>51</v>
      </c>
      <c r="AB3777" t="s">
        <v>54</v>
      </c>
      <c r="AC3777">
        <v>1</v>
      </c>
      <c r="AE3777" t="s">
        <v>814</v>
      </c>
      <c r="AF3777">
        <v>20</v>
      </c>
      <c r="AG3777" s="1">
        <v>37257</v>
      </c>
      <c r="AH3777" s="1">
        <v>37257</v>
      </c>
      <c r="AI3777" s="1">
        <v>37257</v>
      </c>
      <c r="AJ3777" s="1">
        <v>44562</v>
      </c>
      <c r="AK3777" t="s">
        <v>51</v>
      </c>
      <c r="AN3777">
        <v>0</v>
      </c>
      <c r="AO3777" t="s">
        <v>54</v>
      </c>
      <c r="AP3777" t="s">
        <v>53</v>
      </c>
      <c r="AQ3777">
        <v>0</v>
      </c>
      <c r="AR3777" t="s">
        <v>53</v>
      </c>
      <c r="AS3777">
        <v>0</v>
      </c>
      <c r="AT3777">
        <v>0</v>
      </c>
      <c r="CC3777" t="s">
        <v>439</v>
      </c>
      <c r="CD3777">
        <v>85000</v>
      </c>
      <c r="CE3777" s="1">
        <v>42552</v>
      </c>
      <c r="CF3777" s="1">
        <v>42552</v>
      </c>
      <c r="CG3777" s="1">
        <v>42552</v>
      </c>
      <c r="CH3777" s="1">
        <v>49714</v>
      </c>
      <c r="CI3777" t="s">
        <v>51</v>
      </c>
      <c r="CK3777" t="s">
        <v>78</v>
      </c>
      <c r="CM3777" t="s">
        <v>54</v>
      </c>
      <c r="CN3777" t="s">
        <v>174</v>
      </c>
      <c r="CO3777" t="s">
        <v>86</v>
      </c>
      <c r="CR3777">
        <v>25</v>
      </c>
      <c r="CS3777">
        <v>0</v>
      </c>
      <c r="CT3777">
        <v>0</v>
      </c>
      <c r="CU3777">
        <v>0</v>
      </c>
    </row>
    <row r="3778" spans="1:99" x14ac:dyDescent="0.2">
      <c r="A3778" t="s">
        <v>367</v>
      </c>
      <c r="B3778" t="s">
        <v>368</v>
      </c>
      <c r="C3778" t="s">
        <v>369</v>
      </c>
      <c r="D3778" t="s">
        <v>369</v>
      </c>
      <c r="F3778" t="str">
        <f>"165453"</f>
        <v>165453</v>
      </c>
      <c r="G3778" t="s">
        <v>49</v>
      </c>
      <c r="H3778" t="s">
        <v>1771</v>
      </c>
      <c r="K3778" t="s">
        <v>51</v>
      </c>
      <c r="L3778" t="s">
        <v>52</v>
      </c>
      <c r="M3778">
        <v>137163.64000000001</v>
      </c>
      <c r="N3778">
        <v>467403.5</v>
      </c>
      <c r="O3778" t="s">
        <v>53</v>
      </c>
      <c r="P3778" t="s">
        <v>54</v>
      </c>
      <c r="Q3778" t="s">
        <v>55</v>
      </c>
      <c r="T3778" t="s">
        <v>376</v>
      </c>
      <c r="U3778">
        <v>40</v>
      </c>
      <c r="V3778" s="1">
        <v>37257</v>
      </c>
      <c r="W3778" s="1">
        <v>37257</v>
      </c>
      <c r="X3778" s="1">
        <v>37257</v>
      </c>
      <c r="Y3778" s="1">
        <v>51867</v>
      </c>
      <c r="Z3778" t="s">
        <v>51</v>
      </c>
      <c r="AB3778" t="s">
        <v>54</v>
      </c>
      <c r="AC3778">
        <v>1</v>
      </c>
      <c r="AE3778" t="s">
        <v>814</v>
      </c>
      <c r="AF3778">
        <v>20</v>
      </c>
      <c r="AG3778" s="1">
        <v>37257</v>
      </c>
      <c r="AH3778" s="1">
        <v>37257</v>
      </c>
      <c r="AI3778" s="1">
        <v>37257</v>
      </c>
      <c r="AJ3778" s="1">
        <v>44562</v>
      </c>
      <c r="AK3778" t="s">
        <v>51</v>
      </c>
      <c r="AN3778">
        <v>0</v>
      </c>
      <c r="AO3778" t="s">
        <v>54</v>
      </c>
      <c r="AP3778" t="s">
        <v>53</v>
      </c>
      <c r="AQ3778">
        <v>0</v>
      </c>
      <c r="AR3778" t="s">
        <v>53</v>
      </c>
      <c r="AS3778">
        <v>0</v>
      </c>
      <c r="AT3778">
        <v>0</v>
      </c>
      <c r="CC3778" t="s">
        <v>439</v>
      </c>
      <c r="CD3778">
        <v>85000</v>
      </c>
      <c r="CE3778" s="1">
        <v>42552</v>
      </c>
      <c r="CF3778" s="1">
        <v>42552</v>
      </c>
      <c r="CG3778" s="1">
        <v>42552</v>
      </c>
      <c r="CH3778" s="1">
        <v>49714</v>
      </c>
      <c r="CI3778" t="s">
        <v>51</v>
      </c>
      <c r="CK3778" t="s">
        <v>78</v>
      </c>
      <c r="CM3778" t="s">
        <v>54</v>
      </c>
      <c r="CN3778" t="s">
        <v>174</v>
      </c>
      <c r="CO3778" t="s">
        <v>86</v>
      </c>
      <c r="CR3778">
        <v>25</v>
      </c>
      <c r="CS3778">
        <v>0</v>
      </c>
      <c r="CT3778">
        <v>0</v>
      </c>
      <c r="CU3778">
        <v>0</v>
      </c>
    </row>
    <row r="3779" spans="1:99" x14ac:dyDescent="0.2">
      <c r="A3779" t="s">
        <v>367</v>
      </c>
      <c r="B3779" t="s">
        <v>368</v>
      </c>
      <c r="C3779" t="s">
        <v>369</v>
      </c>
      <c r="D3779" t="s">
        <v>369</v>
      </c>
      <c r="F3779" t="str">
        <f>"165454"</f>
        <v>165454</v>
      </c>
      <c r="G3779" t="s">
        <v>49</v>
      </c>
      <c r="H3779" t="s">
        <v>1772</v>
      </c>
      <c r="K3779" t="s">
        <v>51</v>
      </c>
      <c r="L3779" t="s">
        <v>52</v>
      </c>
      <c r="M3779">
        <v>137131</v>
      </c>
      <c r="N3779">
        <v>467398.61</v>
      </c>
      <c r="O3779" t="s">
        <v>53</v>
      </c>
      <c r="P3779" t="s">
        <v>54</v>
      </c>
      <c r="Q3779" t="s">
        <v>55</v>
      </c>
      <c r="T3779" t="s">
        <v>376</v>
      </c>
      <c r="U3779">
        <v>40</v>
      </c>
      <c r="V3779" s="1">
        <v>37257</v>
      </c>
      <c r="W3779" s="1">
        <v>37257</v>
      </c>
      <c r="X3779" s="1">
        <v>37257</v>
      </c>
      <c r="Y3779" s="1">
        <v>51867</v>
      </c>
      <c r="Z3779" t="s">
        <v>51</v>
      </c>
      <c r="AB3779" t="s">
        <v>54</v>
      </c>
      <c r="AC3779">
        <v>1</v>
      </c>
      <c r="AE3779" t="s">
        <v>814</v>
      </c>
      <c r="AF3779">
        <v>20</v>
      </c>
      <c r="AG3779" s="1">
        <v>37257</v>
      </c>
      <c r="AH3779" s="1">
        <v>37257</v>
      </c>
      <c r="AI3779" s="1">
        <v>37257</v>
      </c>
      <c r="AJ3779" s="1">
        <v>44562</v>
      </c>
      <c r="AK3779" t="s">
        <v>51</v>
      </c>
      <c r="AN3779">
        <v>0</v>
      </c>
      <c r="AO3779" t="s">
        <v>54</v>
      </c>
      <c r="AP3779" t="s">
        <v>53</v>
      </c>
      <c r="AQ3779">
        <v>0</v>
      </c>
      <c r="AR3779" t="s">
        <v>53</v>
      </c>
      <c r="AS3779">
        <v>0</v>
      </c>
      <c r="AT3779">
        <v>0</v>
      </c>
      <c r="CC3779" t="s">
        <v>439</v>
      </c>
      <c r="CD3779">
        <v>85000</v>
      </c>
      <c r="CE3779" s="1">
        <v>42552</v>
      </c>
      <c r="CF3779" s="1">
        <v>42552</v>
      </c>
      <c r="CG3779" s="1">
        <v>42552</v>
      </c>
      <c r="CH3779" s="1">
        <v>49714</v>
      </c>
      <c r="CI3779" t="s">
        <v>51</v>
      </c>
      <c r="CK3779" t="s">
        <v>78</v>
      </c>
      <c r="CM3779" t="s">
        <v>54</v>
      </c>
      <c r="CN3779" t="s">
        <v>174</v>
      </c>
      <c r="CO3779" t="s">
        <v>86</v>
      </c>
      <c r="CR3779">
        <v>25</v>
      </c>
      <c r="CS3779">
        <v>0</v>
      </c>
      <c r="CT3779">
        <v>0</v>
      </c>
      <c r="CU3779">
        <v>0</v>
      </c>
    </row>
    <row r="3780" spans="1:99" x14ac:dyDescent="0.2">
      <c r="A3780" t="s">
        <v>367</v>
      </c>
      <c r="B3780" t="s">
        <v>368</v>
      </c>
      <c r="C3780" t="s">
        <v>369</v>
      </c>
      <c r="D3780" t="s">
        <v>369</v>
      </c>
      <c r="F3780" t="str">
        <f>"165457"</f>
        <v>165457</v>
      </c>
      <c r="G3780" t="s">
        <v>49</v>
      </c>
      <c r="H3780" t="s">
        <v>1773</v>
      </c>
      <c r="K3780" t="s">
        <v>51</v>
      </c>
      <c r="L3780" t="s">
        <v>52</v>
      </c>
      <c r="M3780">
        <v>137112.64000000001</v>
      </c>
      <c r="N3780">
        <v>467376.65</v>
      </c>
      <c r="O3780" t="s">
        <v>53</v>
      </c>
      <c r="P3780" t="s">
        <v>54</v>
      </c>
      <c r="Q3780" t="s">
        <v>55</v>
      </c>
      <c r="T3780" t="s">
        <v>376</v>
      </c>
      <c r="U3780">
        <v>40</v>
      </c>
      <c r="V3780" s="1">
        <v>37257</v>
      </c>
      <c r="W3780" s="1">
        <v>37257</v>
      </c>
      <c r="X3780" s="1">
        <v>37257</v>
      </c>
      <c r="Y3780" s="1">
        <v>51867</v>
      </c>
      <c r="Z3780" t="s">
        <v>51</v>
      </c>
      <c r="AB3780" t="s">
        <v>54</v>
      </c>
      <c r="AC3780">
        <v>1</v>
      </c>
      <c r="AE3780" t="s">
        <v>814</v>
      </c>
      <c r="AF3780">
        <v>20</v>
      </c>
      <c r="AG3780" s="1">
        <v>37257</v>
      </c>
      <c r="AH3780" s="1">
        <v>37257</v>
      </c>
      <c r="AI3780" s="1">
        <v>37257</v>
      </c>
      <c r="AJ3780" s="1">
        <v>44562</v>
      </c>
      <c r="AK3780" t="s">
        <v>51</v>
      </c>
      <c r="AN3780">
        <v>0</v>
      </c>
      <c r="AO3780" t="s">
        <v>54</v>
      </c>
      <c r="AP3780" t="s">
        <v>53</v>
      </c>
      <c r="AQ3780">
        <v>0</v>
      </c>
      <c r="AR3780" t="s">
        <v>53</v>
      </c>
      <c r="AS3780">
        <v>0</v>
      </c>
      <c r="AT3780">
        <v>0</v>
      </c>
      <c r="CC3780" t="s">
        <v>439</v>
      </c>
      <c r="CD3780">
        <v>85000</v>
      </c>
      <c r="CE3780" s="1">
        <v>42552</v>
      </c>
      <c r="CF3780" s="1">
        <v>42552</v>
      </c>
      <c r="CG3780" s="1">
        <v>42552</v>
      </c>
      <c r="CH3780" s="1">
        <v>49714</v>
      </c>
      <c r="CI3780" t="s">
        <v>51</v>
      </c>
      <c r="CK3780" t="s">
        <v>78</v>
      </c>
      <c r="CM3780" t="s">
        <v>54</v>
      </c>
      <c r="CN3780" t="s">
        <v>174</v>
      </c>
      <c r="CO3780" t="s">
        <v>86</v>
      </c>
      <c r="CR3780">
        <v>25</v>
      </c>
      <c r="CS3780">
        <v>0</v>
      </c>
      <c r="CT3780">
        <v>0</v>
      </c>
      <c r="CU3780">
        <v>0</v>
      </c>
    </row>
    <row r="3781" spans="1:99" x14ac:dyDescent="0.2">
      <c r="A3781" t="s">
        <v>367</v>
      </c>
      <c r="B3781" t="s">
        <v>368</v>
      </c>
      <c r="C3781" t="s">
        <v>369</v>
      </c>
      <c r="D3781" t="s">
        <v>369</v>
      </c>
      <c r="F3781" t="str">
        <f>"165458"</f>
        <v>165458</v>
      </c>
      <c r="G3781" t="s">
        <v>49</v>
      </c>
      <c r="H3781" t="s">
        <v>1774</v>
      </c>
      <c r="K3781" t="s">
        <v>51</v>
      </c>
      <c r="L3781" t="s">
        <v>52</v>
      </c>
      <c r="M3781">
        <v>137081.5</v>
      </c>
      <c r="N3781">
        <v>467369.81</v>
      </c>
      <c r="O3781" t="s">
        <v>53</v>
      </c>
      <c r="P3781" t="s">
        <v>54</v>
      </c>
      <c r="Q3781" t="s">
        <v>55</v>
      </c>
      <c r="T3781" t="s">
        <v>376</v>
      </c>
      <c r="U3781">
        <v>40</v>
      </c>
      <c r="V3781" s="1">
        <v>37258</v>
      </c>
      <c r="W3781" s="1">
        <v>37258</v>
      </c>
      <c r="X3781" s="1">
        <v>37258</v>
      </c>
      <c r="Y3781" s="1">
        <v>51868</v>
      </c>
      <c r="Z3781" t="s">
        <v>51</v>
      </c>
      <c r="AB3781" t="s">
        <v>54</v>
      </c>
      <c r="AC3781">
        <v>1</v>
      </c>
      <c r="AE3781" t="s">
        <v>814</v>
      </c>
      <c r="AF3781">
        <v>20</v>
      </c>
      <c r="AG3781" s="1">
        <v>37258</v>
      </c>
      <c r="AH3781" s="1">
        <v>37258</v>
      </c>
      <c r="AI3781" s="1">
        <v>37258</v>
      </c>
      <c r="AJ3781" s="1">
        <v>44563</v>
      </c>
      <c r="AK3781" t="s">
        <v>51</v>
      </c>
      <c r="AN3781">
        <v>0</v>
      </c>
      <c r="AO3781" t="s">
        <v>54</v>
      </c>
      <c r="AP3781" t="s">
        <v>53</v>
      </c>
      <c r="AQ3781">
        <v>0</v>
      </c>
      <c r="AR3781" t="s">
        <v>53</v>
      </c>
      <c r="AS3781">
        <v>0</v>
      </c>
      <c r="AT3781">
        <v>0</v>
      </c>
      <c r="CC3781" t="s">
        <v>439</v>
      </c>
      <c r="CD3781">
        <v>85000</v>
      </c>
      <c r="CE3781" s="1">
        <v>42552</v>
      </c>
      <c r="CF3781" s="1">
        <v>42552</v>
      </c>
      <c r="CG3781" s="1">
        <v>42552</v>
      </c>
      <c r="CH3781" s="1">
        <v>49714</v>
      </c>
      <c r="CI3781" t="s">
        <v>51</v>
      </c>
      <c r="CK3781" t="s">
        <v>78</v>
      </c>
      <c r="CM3781" t="s">
        <v>54</v>
      </c>
      <c r="CN3781" t="s">
        <v>174</v>
      </c>
      <c r="CO3781" t="s">
        <v>86</v>
      </c>
      <c r="CR3781">
        <v>25</v>
      </c>
      <c r="CS3781">
        <v>0</v>
      </c>
      <c r="CT3781">
        <v>0</v>
      </c>
      <c r="CU3781">
        <v>0</v>
      </c>
    </row>
    <row r="3782" spans="1:99" x14ac:dyDescent="0.2">
      <c r="A3782" t="s">
        <v>367</v>
      </c>
      <c r="B3782" t="s">
        <v>368</v>
      </c>
      <c r="C3782" t="s">
        <v>369</v>
      </c>
      <c r="D3782" t="s">
        <v>369</v>
      </c>
      <c r="F3782" t="str">
        <f>"165459"</f>
        <v>165459</v>
      </c>
      <c r="G3782" t="s">
        <v>49</v>
      </c>
      <c r="H3782" t="s">
        <v>1775</v>
      </c>
      <c r="K3782" t="s">
        <v>51</v>
      </c>
      <c r="L3782" t="s">
        <v>52</v>
      </c>
      <c r="M3782">
        <v>137055.4</v>
      </c>
      <c r="N3782">
        <v>467358.47</v>
      </c>
      <c r="O3782" t="s">
        <v>53</v>
      </c>
      <c r="P3782" t="s">
        <v>54</v>
      </c>
      <c r="Q3782" t="s">
        <v>55</v>
      </c>
      <c r="T3782" t="s">
        <v>376</v>
      </c>
      <c r="U3782">
        <v>40</v>
      </c>
      <c r="V3782" s="1">
        <v>37258</v>
      </c>
      <c r="W3782" s="1">
        <v>37258</v>
      </c>
      <c r="X3782" s="1">
        <v>37258</v>
      </c>
      <c r="Y3782" s="1">
        <v>51868</v>
      </c>
      <c r="Z3782" t="s">
        <v>51</v>
      </c>
      <c r="AB3782" t="s">
        <v>54</v>
      </c>
      <c r="AC3782">
        <v>1</v>
      </c>
      <c r="AE3782" t="s">
        <v>814</v>
      </c>
      <c r="AF3782">
        <v>20</v>
      </c>
      <c r="AG3782" s="1">
        <v>37258</v>
      </c>
      <c r="AH3782" s="1">
        <v>37258</v>
      </c>
      <c r="AI3782" s="1">
        <v>37258</v>
      </c>
      <c r="AJ3782" s="1">
        <v>44563</v>
      </c>
      <c r="AK3782" t="s">
        <v>51</v>
      </c>
      <c r="AN3782">
        <v>0</v>
      </c>
      <c r="AO3782" t="s">
        <v>54</v>
      </c>
      <c r="AP3782" t="s">
        <v>53</v>
      </c>
      <c r="AQ3782">
        <v>0</v>
      </c>
      <c r="AR3782" t="s">
        <v>53</v>
      </c>
      <c r="AS3782">
        <v>0</v>
      </c>
      <c r="AT3782">
        <v>0</v>
      </c>
      <c r="CC3782" t="s">
        <v>439</v>
      </c>
      <c r="CD3782">
        <v>85000</v>
      </c>
      <c r="CE3782" s="1">
        <v>44543</v>
      </c>
      <c r="CF3782" s="1">
        <v>44543</v>
      </c>
      <c r="CG3782" s="1">
        <v>44543</v>
      </c>
      <c r="CH3782" s="1">
        <v>51748</v>
      </c>
      <c r="CI3782" t="s">
        <v>51</v>
      </c>
      <c r="CK3782" t="s">
        <v>78</v>
      </c>
      <c r="CM3782" t="s">
        <v>54</v>
      </c>
      <c r="CN3782" t="s">
        <v>174</v>
      </c>
      <c r="CO3782" t="s">
        <v>86</v>
      </c>
      <c r="CR3782">
        <v>25</v>
      </c>
      <c r="CS3782">
        <v>0</v>
      </c>
      <c r="CT3782">
        <v>0</v>
      </c>
      <c r="CU3782">
        <v>0</v>
      </c>
    </row>
    <row r="3783" spans="1:99" x14ac:dyDescent="0.2">
      <c r="A3783" t="s">
        <v>367</v>
      </c>
      <c r="B3783" t="s">
        <v>368</v>
      </c>
      <c r="C3783" t="s">
        <v>369</v>
      </c>
      <c r="D3783" t="s">
        <v>369</v>
      </c>
      <c r="F3783" t="str">
        <f>"165460"</f>
        <v>165460</v>
      </c>
      <c r="G3783" t="s">
        <v>49</v>
      </c>
      <c r="H3783" t="s">
        <v>1776</v>
      </c>
      <c r="K3783" t="s">
        <v>51</v>
      </c>
      <c r="L3783" t="s">
        <v>52</v>
      </c>
      <c r="M3783">
        <v>137031.28</v>
      </c>
      <c r="N3783">
        <v>467342.81</v>
      </c>
      <c r="O3783" t="s">
        <v>53</v>
      </c>
      <c r="P3783" t="s">
        <v>54</v>
      </c>
      <c r="Q3783" t="s">
        <v>55</v>
      </c>
      <c r="T3783" t="s">
        <v>376</v>
      </c>
      <c r="U3783">
        <v>40</v>
      </c>
      <c r="V3783" s="1">
        <v>37258</v>
      </c>
      <c r="W3783" s="1">
        <v>37258</v>
      </c>
      <c r="X3783" s="1">
        <v>37258</v>
      </c>
      <c r="Y3783" s="1">
        <v>51868</v>
      </c>
      <c r="Z3783" t="s">
        <v>51</v>
      </c>
      <c r="AB3783" t="s">
        <v>54</v>
      </c>
      <c r="AC3783">
        <v>1</v>
      </c>
      <c r="AE3783" t="s">
        <v>814</v>
      </c>
      <c r="AF3783">
        <v>20</v>
      </c>
      <c r="AG3783" s="1">
        <v>37258</v>
      </c>
      <c r="AH3783" s="1">
        <v>37258</v>
      </c>
      <c r="AI3783" s="1">
        <v>37258</v>
      </c>
      <c r="AJ3783" s="1">
        <v>44563</v>
      </c>
      <c r="AK3783" t="s">
        <v>51</v>
      </c>
      <c r="AN3783">
        <v>0</v>
      </c>
      <c r="AO3783" t="s">
        <v>54</v>
      </c>
      <c r="AP3783" t="s">
        <v>53</v>
      </c>
      <c r="AQ3783">
        <v>0</v>
      </c>
      <c r="AR3783" t="s">
        <v>53</v>
      </c>
      <c r="AS3783">
        <v>0</v>
      </c>
      <c r="AT3783">
        <v>0</v>
      </c>
      <c r="CC3783" t="s">
        <v>439</v>
      </c>
      <c r="CD3783">
        <v>85000</v>
      </c>
      <c r="CE3783" s="1">
        <v>42552</v>
      </c>
      <c r="CF3783" s="1">
        <v>42552</v>
      </c>
      <c r="CG3783" s="1">
        <v>42552</v>
      </c>
      <c r="CH3783" s="1">
        <v>49714</v>
      </c>
      <c r="CI3783" t="s">
        <v>51</v>
      </c>
      <c r="CK3783" t="s">
        <v>78</v>
      </c>
      <c r="CM3783" t="s">
        <v>54</v>
      </c>
      <c r="CN3783" t="s">
        <v>174</v>
      </c>
      <c r="CO3783" t="s">
        <v>86</v>
      </c>
      <c r="CR3783">
        <v>25</v>
      </c>
      <c r="CS3783">
        <v>0</v>
      </c>
      <c r="CT3783">
        <v>0</v>
      </c>
      <c r="CU3783">
        <v>0</v>
      </c>
    </row>
    <row r="3784" spans="1:99" x14ac:dyDescent="0.2">
      <c r="A3784" t="s">
        <v>367</v>
      </c>
      <c r="B3784" t="s">
        <v>368</v>
      </c>
      <c r="C3784" t="s">
        <v>369</v>
      </c>
      <c r="D3784" t="s">
        <v>369</v>
      </c>
      <c r="F3784" t="str">
        <f>"165461"</f>
        <v>165461</v>
      </c>
      <c r="G3784" t="s">
        <v>49</v>
      </c>
      <c r="H3784" t="s">
        <v>1777</v>
      </c>
      <c r="K3784" t="s">
        <v>51</v>
      </c>
      <c r="L3784" t="s">
        <v>52</v>
      </c>
      <c r="M3784">
        <v>137014.18</v>
      </c>
      <c r="N3784">
        <v>467323.73</v>
      </c>
      <c r="O3784" t="s">
        <v>53</v>
      </c>
      <c r="P3784" t="s">
        <v>54</v>
      </c>
      <c r="Q3784" t="s">
        <v>55</v>
      </c>
      <c r="T3784" t="s">
        <v>376</v>
      </c>
      <c r="U3784">
        <v>40</v>
      </c>
      <c r="V3784" s="1">
        <v>37257</v>
      </c>
      <c r="W3784" s="1">
        <v>37257</v>
      </c>
      <c r="X3784" s="1">
        <v>37257</v>
      </c>
      <c r="Y3784" s="1">
        <v>51867</v>
      </c>
      <c r="Z3784" t="s">
        <v>51</v>
      </c>
      <c r="AB3784" t="s">
        <v>54</v>
      </c>
      <c r="AC3784">
        <v>1</v>
      </c>
      <c r="AE3784" t="s">
        <v>814</v>
      </c>
      <c r="AF3784">
        <v>20</v>
      </c>
      <c r="AG3784" s="1">
        <v>37257</v>
      </c>
      <c r="AH3784" s="1">
        <v>37257</v>
      </c>
      <c r="AI3784" s="1">
        <v>37257</v>
      </c>
      <c r="AJ3784" s="1">
        <v>44562</v>
      </c>
      <c r="AK3784" t="s">
        <v>51</v>
      </c>
      <c r="AN3784">
        <v>0</v>
      </c>
      <c r="AO3784" t="s">
        <v>54</v>
      </c>
      <c r="AP3784" t="s">
        <v>53</v>
      </c>
      <c r="AQ3784">
        <v>0</v>
      </c>
      <c r="AR3784" t="s">
        <v>53</v>
      </c>
      <c r="AS3784">
        <v>0</v>
      </c>
      <c r="AT3784">
        <v>0</v>
      </c>
      <c r="CC3784" t="s">
        <v>439</v>
      </c>
      <c r="CD3784">
        <v>85000</v>
      </c>
      <c r="CE3784" s="1">
        <v>42552</v>
      </c>
      <c r="CF3784" s="1">
        <v>42552</v>
      </c>
      <c r="CG3784" s="1">
        <v>42552</v>
      </c>
      <c r="CH3784" s="1">
        <v>49714</v>
      </c>
      <c r="CI3784" t="s">
        <v>51</v>
      </c>
      <c r="CK3784" t="s">
        <v>78</v>
      </c>
      <c r="CM3784" t="s">
        <v>54</v>
      </c>
      <c r="CN3784" t="s">
        <v>174</v>
      </c>
      <c r="CO3784" t="s">
        <v>86</v>
      </c>
      <c r="CR3784">
        <v>25</v>
      </c>
      <c r="CS3784">
        <v>0</v>
      </c>
      <c r="CT3784">
        <v>0</v>
      </c>
      <c r="CU3784">
        <v>0</v>
      </c>
    </row>
    <row r="3785" spans="1:99" x14ac:dyDescent="0.2">
      <c r="A3785" t="s">
        <v>367</v>
      </c>
      <c r="B3785" t="s">
        <v>368</v>
      </c>
      <c r="C3785" t="s">
        <v>369</v>
      </c>
      <c r="D3785" t="s">
        <v>369</v>
      </c>
      <c r="F3785" t="str">
        <f>"165462"</f>
        <v>165462</v>
      </c>
      <c r="G3785" t="s">
        <v>49</v>
      </c>
      <c r="H3785" t="s">
        <v>1778</v>
      </c>
      <c r="K3785" t="s">
        <v>51</v>
      </c>
      <c r="L3785" t="s">
        <v>52</v>
      </c>
      <c r="M3785">
        <v>136970.79999999999</v>
      </c>
      <c r="N3785">
        <v>467312.21</v>
      </c>
      <c r="O3785" t="s">
        <v>53</v>
      </c>
      <c r="P3785" t="s">
        <v>54</v>
      </c>
      <c r="Q3785" t="s">
        <v>55</v>
      </c>
      <c r="T3785" t="s">
        <v>376</v>
      </c>
      <c r="U3785">
        <v>40</v>
      </c>
      <c r="V3785" s="1">
        <v>37258</v>
      </c>
      <c r="W3785" s="1">
        <v>37258</v>
      </c>
      <c r="X3785" s="1">
        <v>37258</v>
      </c>
      <c r="Y3785" s="1">
        <v>51868</v>
      </c>
      <c r="Z3785" t="s">
        <v>51</v>
      </c>
      <c r="AB3785" t="s">
        <v>54</v>
      </c>
      <c r="AC3785">
        <v>1</v>
      </c>
      <c r="AE3785" t="s">
        <v>814</v>
      </c>
      <c r="AF3785">
        <v>20</v>
      </c>
      <c r="AG3785" s="1">
        <v>37258</v>
      </c>
      <c r="AH3785" s="1">
        <v>37258</v>
      </c>
      <c r="AI3785" s="1">
        <v>37258</v>
      </c>
      <c r="AJ3785" s="1">
        <v>44563</v>
      </c>
      <c r="AK3785" t="s">
        <v>51</v>
      </c>
      <c r="AN3785">
        <v>0</v>
      </c>
      <c r="AO3785" t="s">
        <v>54</v>
      </c>
      <c r="AP3785" t="s">
        <v>53</v>
      </c>
      <c r="AQ3785">
        <v>0</v>
      </c>
      <c r="AR3785" t="s">
        <v>53</v>
      </c>
      <c r="AS3785">
        <v>0</v>
      </c>
      <c r="AT3785">
        <v>0</v>
      </c>
      <c r="CC3785" t="s">
        <v>439</v>
      </c>
      <c r="CD3785">
        <v>85000</v>
      </c>
      <c r="CE3785" s="1">
        <v>42552</v>
      </c>
      <c r="CF3785" s="1">
        <v>42552</v>
      </c>
      <c r="CG3785" s="1">
        <v>42552</v>
      </c>
      <c r="CH3785" s="1">
        <v>49714</v>
      </c>
      <c r="CI3785" t="s">
        <v>51</v>
      </c>
      <c r="CK3785" t="s">
        <v>78</v>
      </c>
      <c r="CM3785" t="s">
        <v>54</v>
      </c>
      <c r="CN3785" t="s">
        <v>174</v>
      </c>
      <c r="CO3785" t="s">
        <v>86</v>
      </c>
      <c r="CR3785">
        <v>25</v>
      </c>
      <c r="CS3785">
        <v>0</v>
      </c>
      <c r="CT3785">
        <v>0</v>
      </c>
      <c r="CU3785">
        <v>0</v>
      </c>
    </row>
    <row r="3786" spans="1:99" x14ac:dyDescent="0.2">
      <c r="A3786" t="s">
        <v>367</v>
      </c>
      <c r="B3786" t="s">
        <v>368</v>
      </c>
      <c r="C3786" t="s">
        <v>369</v>
      </c>
      <c r="D3786" t="s">
        <v>369</v>
      </c>
      <c r="F3786" t="str">
        <f>"165463"</f>
        <v>165463</v>
      </c>
      <c r="G3786" t="s">
        <v>49</v>
      </c>
      <c r="H3786" t="s">
        <v>1779</v>
      </c>
      <c r="K3786" t="s">
        <v>51</v>
      </c>
      <c r="L3786" t="s">
        <v>52</v>
      </c>
      <c r="M3786">
        <v>136947.9</v>
      </c>
      <c r="N3786">
        <v>467290.93</v>
      </c>
      <c r="O3786" t="s">
        <v>53</v>
      </c>
      <c r="P3786" t="s">
        <v>54</v>
      </c>
      <c r="Q3786" t="s">
        <v>55</v>
      </c>
      <c r="T3786" t="s">
        <v>376</v>
      </c>
      <c r="U3786">
        <v>40</v>
      </c>
      <c r="V3786" s="1">
        <v>37257</v>
      </c>
      <c r="W3786" s="1">
        <v>37257</v>
      </c>
      <c r="X3786" s="1">
        <v>37257</v>
      </c>
      <c r="Y3786" s="1">
        <v>51867</v>
      </c>
      <c r="Z3786" t="s">
        <v>51</v>
      </c>
      <c r="AB3786" t="s">
        <v>54</v>
      </c>
      <c r="AC3786">
        <v>1</v>
      </c>
      <c r="AE3786" t="s">
        <v>814</v>
      </c>
      <c r="AF3786">
        <v>20</v>
      </c>
      <c r="AG3786" s="1">
        <v>37257</v>
      </c>
      <c r="AH3786" s="1">
        <v>37257</v>
      </c>
      <c r="AI3786" s="1">
        <v>37257</v>
      </c>
      <c r="AJ3786" s="1">
        <v>44562</v>
      </c>
      <c r="AK3786" t="s">
        <v>51</v>
      </c>
      <c r="AN3786">
        <v>0</v>
      </c>
      <c r="AO3786" t="s">
        <v>54</v>
      </c>
      <c r="AP3786" t="s">
        <v>53</v>
      </c>
      <c r="AQ3786">
        <v>0</v>
      </c>
      <c r="AR3786" t="s">
        <v>53</v>
      </c>
      <c r="AS3786">
        <v>0</v>
      </c>
      <c r="AT3786">
        <v>0</v>
      </c>
      <c r="CC3786" t="s">
        <v>439</v>
      </c>
      <c r="CD3786">
        <v>85000</v>
      </c>
      <c r="CE3786" s="1">
        <v>42552</v>
      </c>
      <c r="CF3786" s="1">
        <v>42552</v>
      </c>
      <c r="CG3786" s="1">
        <v>42552</v>
      </c>
      <c r="CH3786" s="1">
        <v>49714</v>
      </c>
      <c r="CI3786" t="s">
        <v>51</v>
      </c>
      <c r="CK3786" t="s">
        <v>78</v>
      </c>
      <c r="CM3786" t="s">
        <v>54</v>
      </c>
      <c r="CN3786" t="s">
        <v>174</v>
      </c>
      <c r="CO3786" t="s">
        <v>86</v>
      </c>
      <c r="CR3786">
        <v>25</v>
      </c>
      <c r="CS3786">
        <v>0</v>
      </c>
      <c r="CT3786">
        <v>0</v>
      </c>
      <c r="CU3786">
        <v>0</v>
      </c>
    </row>
    <row r="3787" spans="1:99" x14ac:dyDescent="0.2">
      <c r="A3787" t="s">
        <v>367</v>
      </c>
      <c r="B3787" t="s">
        <v>368</v>
      </c>
      <c r="C3787" t="s">
        <v>369</v>
      </c>
      <c r="D3787" t="s">
        <v>369</v>
      </c>
      <c r="F3787" t="str">
        <f>"165464"</f>
        <v>165464</v>
      </c>
      <c r="G3787" t="s">
        <v>49</v>
      </c>
      <c r="H3787" t="s">
        <v>1780</v>
      </c>
      <c r="K3787" t="s">
        <v>51</v>
      </c>
      <c r="L3787" t="s">
        <v>52</v>
      </c>
      <c r="M3787">
        <v>136915.56</v>
      </c>
      <c r="N3787">
        <v>467286.09</v>
      </c>
      <c r="O3787" t="s">
        <v>53</v>
      </c>
      <c r="P3787" t="s">
        <v>54</v>
      </c>
      <c r="Q3787" t="s">
        <v>55</v>
      </c>
      <c r="T3787" t="s">
        <v>376</v>
      </c>
      <c r="U3787">
        <v>40</v>
      </c>
      <c r="V3787" s="1">
        <v>37257</v>
      </c>
      <c r="W3787" s="1">
        <v>37257</v>
      </c>
      <c r="X3787" s="1">
        <v>37257</v>
      </c>
      <c r="Y3787" s="1">
        <v>51867</v>
      </c>
      <c r="Z3787" t="s">
        <v>51</v>
      </c>
      <c r="AB3787" t="s">
        <v>54</v>
      </c>
      <c r="AC3787">
        <v>1</v>
      </c>
      <c r="AE3787" t="s">
        <v>814</v>
      </c>
      <c r="AF3787">
        <v>20</v>
      </c>
      <c r="AG3787" s="1">
        <v>37257</v>
      </c>
      <c r="AH3787" s="1">
        <v>37257</v>
      </c>
      <c r="AI3787" s="1">
        <v>37257</v>
      </c>
      <c r="AJ3787" s="1">
        <v>44562</v>
      </c>
      <c r="AK3787" t="s">
        <v>51</v>
      </c>
      <c r="AN3787">
        <v>0</v>
      </c>
      <c r="AO3787" t="s">
        <v>54</v>
      </c>
      <c r="AP3787" t="s">
        <v>53</v>
      </c>
      <c r="AQ3787">
        <v>0</v>
      </c>
      <c r="AR3787" t="s">
        <v>53</v>
      </c>
      <c r="AS3787">
        <v>0</v>
      </c>
      <c r="AT3787">
        <v>0</v>
      </c>
      <c r="CC3787" t="s">
        <v>439</v>
      </c>
      <c r="CD3787">
        <v>85000</v>
      </c>
      <c r="CE3787" s="1">
        <v>42552</v>
      </c>
      <c r="CF3787" s="1">
        <v>42552</v>
      </c>
      <c r="CG3787" s="1">
        <v>42552</v>
      </c>
      <c r="CH3787" s="1">
        <v>49714</v>
      </c>
      <c r="CI3787" t="s">
        <v>51</v>
      </c>
      <c r="CK3787" t="s">
        <v>78</v>
      </c>
      <c r="CM3787" t="s">
        <v>54</v>
      </c>
      <c r="CN3787" t="s">
        <v>174</v>
      </c>
      <c r="CO3787" t="s">
        <v>86</v>
      </c>
      <c r="CR3787">
        <v>25</v>
      </c>
      <c r="CS3787">
        <v>0</v>
      </c>
      <c r="CT3787">
        <v>0</v>
      </c>
      <c r="CU3787">
        <v>0</v>
      </c>
    </row>
    <row r="3788" spans="1:99" x14ac:dyDescent="0.2">
      <c r="A3788" t="s">
        <v>367</v>
      </c>
      <c r="B3788" t="s">
        <v>368</v>
      </c>
      <c r="C3788" t="s">
        <v>369</v>
      </c>
      <c r="D3788" t="s">
        <v>369</v>
      </c>
      <c r="F3788" t="str">
        <f>"165465"</f>
        <v>165465</v>
      </c>
      <c r="G3788" t="s">
        <v>49</v>
      </c>
      <c r="H3788" t="s">
        <v>1781</v>
      </c>
      <c r="K3788" t="s">
        <v>51</v>
      </c>
      <c r="L3788" t="s">
        <v>52</v>
      </c>
      <c r="M3788">
        <v>136894.22</v>
      </c>
      <c r="N3788">
        <v>467265.63</v>
      </c>
      <c r="O3788" t="s">
        <v>53</v>
      </c>
      <c r="P3788" t="s">
        <v>54</v>
      </c>
      <c r="Q3788" t="s">
        <v>55</v>
      </c>
      <c r="T3788" t="s">
        <v>376</v>
      </c>
      <c r="U3788">
        <v>40</v>
      </c>
      <c r="V3788" s="1">
        <v>37257</v>
      </c>
      <c r="W3788" s="1">
        <v>37257</v>
      </c>
      <c r="X3788" s="1">
        <v>37257</v>
      </c>
      <c r="Y3788" s="1">
        <v>51867</v>
      </c>
      <c r="Z3788" t="s">
        <v>51</v>
      </c>
      <c r="AB3788" t="s">
        <v>54</v>
      </c>
      <c r="AC3788">
        <v>1</v>
      </c>
      <c r="AE3788" t="s">
        <v>814</v>
      </c>
      <c r="AF3788">
        <v>20</v>
      </c>
      <c r="AG3788" s="1">
        <v>37257</v>
      </c>
      <c r="AH3788" s="1">
        <v>37257</v>
      </c>
      <c r="AI3788" s="1">
        <v>37257</v>
      </c>
      <c r="AJ3788" s="1">
        <v>44562</v>
      </c>
      <c r="AK3788" t="s">
        <v>51</v>
      </c>
      <c r="AN3788">
        <v>0</v>
      </c>
      <c r="AO3788" t="s">
        <v>54</v>
      </c>
      <c r="AP3788" t="s">
        <v>53</v>
      </c>
      <c r="AQ3788">
        <v>0</v>
      </c>
      <c r="AR3788" t="s">
        <v>53</v>
      </c>
      <c r="AS3788">
        <v>0</v>
      </c>
      <c r="AT3788">
        <v>0</v>
      </c>
      <c r="CC3788" t="s">
        <v>439</v>
      </c>
      <c r="CD3788">
        <v>85000</v>
      </c>
      <c r="CE3788" s="1">
        <v>44522</v>
      </c>
      <c r="CF3788" s="1">
        <v>44522</v>
      </c>
      <c r="CG3788" s="1">
        <v>44522</v>
      </c>
      <c r="CH3788" s="1">
        <v>51710</v>
      </c>
      <c r="CI3788" t="s">
        <v>51</v>
      </c>
      <c r="CK3788" t="s">
        <v>78</v>
      </c>
      <c r="CM3788" t="s">
        <v>54</v>
      </c>
      <c r="CN3788" t="s">
        <v>174</v>
      </c>
      <c r="CO3788" t="s">
        <v>86</v>
      </c>
      <c r="CR3788">
        <v>25</v>
      </c>
      <c r="CS3788">
        <v>0</v>
      </c>
      <c r="CT3788">
        <v>0</v>
      </c>
      <c r="CU3788">
        <v>0</v>
      </c>
    </row>
    <row r="3789" spans="1:99" x14ac:dyDescent="0.2">
      <c r="A3789" t="s">
        <v>367</v>
      </c>
      <c r="B3789" t="s">
        <v>368</v>
      </c>
      <c r="C3789" t="s">
        <v>369</v>
      </c>
      <c r="D3789" t="s">
        <v>369</v>
      </c>
      <c r="F3789" t="str">
        <f>"165467"</f>
        <v>165467</v>
      </c>
      <c r="G3789" t="s">
        <v>49</v>
      </c>
      <c r="H3789" t="s">
        <v>1782</v>
      </c>
      <c r="K3789" t="s">
        <v>51</v>
      </c>
      <c r="L3789" t="s">
        <v>52</v>
      </c>
      <c r="M3789">
        <v>136859.46</v>
      </c>
      <c r="N3789">
        <v>467260.79</v>
      </c>
      <c r="O3789" t="s">
        <v>53</v>
      </c>
      <c r="P3789" t="s">
        <v>54</v>
      </c>
      <c r="Q3789" t="s">
        <v>55</v>
      </c>
      <c r="T3789" t="s">
        <v>376</v>
      </c>
      <c r="U3789">
        <v>40</v>
      </c>
      <c r="V3789" s="1">
        <v>37257</v>
      </c>
      <c r="W3789" s="1">
        <v>37257</v>
      </c>
      <c r="X3789" s="1">
        <v>37257</v>
      </c>
      <c r="Y3789" s="1">
        <v>51867</v>
      </c>
      <c r="Z3789" t="s">
        <v>51</v>
      </c>
      <c r="AB3789" t="s">
        <v>54</v>
      </c>
      <c r="AC3789">
        <v>1</v>
      </c>
      <c r="AE3789" t="s">
        <v>814</v>
      </c>
      <c r="AF3789">
        <v>20</v>
      </c>
      <c r="AG3789" s="1">
        <v>37257</v>
      </c>
      <c r="AH3789" s="1">
        <v>37257</v>
      </c>
      <c r="AI3789" s="1">
        <v>37257</v>
      </c>
      <c r="AJ3789" s="1">
        <v>44562</v>
      </c>
      <c r="AK3789" t="s">
        <v>51</v>
      </c>
      <c r="AN3789">
        <v>0</v>
      </c>
      <c r="AO3789" t="s">
        <v>54</v>
      </c>
      <c r="AP3789" t="s">
        <v>53</v>
      </c>
      <c r="AQ3789">
        <v>0</v>
      </c>
      <c r="AR3789" t="s">
        <v>53</v>
      </c>
      <c r="AS3789">
        <v>0</v>
      </c>
      <c r="AT3789">
        <v>0</v>
      </c>
      <c r="CC3789" t="s">
        <v>439</v>
      </c>
      <c r="CD3789">
        <v>85000</v>
      </c>
      <c r="CE3789" s="1">
        <v>42552</v>
      </c>
      <c r="CF3789" s="1">
        <v>42552</v>
      </c>
      <c r="CG3789" s="1">
        <v>42552</v>
      </c>
      <c r="CH3789" s="1">
        <v>49714</v>
      </c>
      <c r="CI3789" t="s">
        <v>51</v>
      </c>
      <c r="CK3789" t="s">
        <v>78</v>
      </c>
      <c r="CM3789" t="s">
        <v>54</v>
      </c>
      <c r="CN3789" t="s">
        <v>174</v>
      </c>
      <c r="CO3789" t="s">
        <v>86</v>
      </c>
      <c r="CR3789">
        <v>25</v>
      </c>
      <c r="CS3789">
        <v>0</v>
      </c>
      <c r="CT3789">
        <v>0</v>
      </c>
      <c r="CU3789">
        <v>0</v>
      </c>
    </row>
    <row r="3790" spans="1:99" x14ac:dyDescent="0.2">
      <c r="A3790" t="s">
        <v>367</v>
      </c>
      <c r="B3790" t="s">
        <v>368</v>
      </c>
      <c r="C3790" t="s">
        <v>369</v>
      </c>
      <c r="D3790" t="s">
        <v>369</v>
      </c>
      <c r="F3790" t="str">
        <f>"165468"</f>
        <v>165468</v>
      </c>
      <c r="G3790" t="s">
        <v>49</v>
      </c>
      <c r="H3790" t="s">
        <v>1783</v>
      </c>
      <c r="K3790" t="s">
        <v>51</v>
      </c>
      <c r="L3790" t="s">
        <v>52</v>
      </c>
      <c r="M3790">
        <v>136827.48199999999</v>
      </c>
      <c r="N3790">
        <v>467250.19099999999</v>
      </c>
      <c r="O3790" t="s">
        <v>53</v>
      </c>
      <c r="P3790" t="s">
        <v>54</v>
      </c>
      <c r="Q3790" t="s">
        <v>55</v>
      </c>
      <c r="T3790" t="s">
        <v>376</v>
      </c>
      <c r="U3790">
        <v>40</v>
      </c>
      <c r="V3790" s="1">
        <v>37257</v>
      </c>
      <c r="W3790" s="1">
        <v>37257</v>
      </c>
      <c r="X3790" s="1">
        <v>37257</v>
      </c>
      <c r="Y3790" s="1">
        <v>51867</v>
      </c>
      <c r="Z3790" t="s">
        <v>51</v>
      </c>
      <c r="AB3790" t="s">
        <v>54</v>
      </c>
      <c r="AC3790">
        <v>1</v>
      </c>
      <c r="AE3790" t="s">
        <v>814</v>
      </c>
      <c r="AF3790">
        <v>20</v>
      </c>
      <c r="AG3790" s="1">
        <v>37257</v>
      </c>
      <c r="AH3790" s="1">
        <v>37257</v>
      </c>
      <c r="AI3790" s="1">
        <v>37257</v>
      </c>
      <c r="AJ3790" s="1">
        <v>44562</v>
      </c>
      <c r="AK3790" t="s">
        <v>51</v>
      </c>
      <c r="AN3790">
        <v>0</v>
      </c>
      <c r="AO3790" t="s">
        <v>54</v>
      </c>
      <c r="AP3790" t="s">
        <v>53</v>
      </c>
      <c r="AQ3790">
        <v>0</v>
      </c>
      <c r="AR3790" t="s">
        <v>53</v>
      </c>
      <c r="AS3790">
        <v>0</v>
      </c>
      <c r="AT3790">
        <v>0</v>
      </c>
      <c r="CC3790" t="s">
        <v>439</v>
      </c>
      <c r="CD3790">
        <v>85000</v>
      </c>
      <c r="CE3790" s="1">
        <v>42552</v>
      </c>
      <c r="CF3790" s="1">
        <v>42552</v>
      </c>
      <c r="CG3790" s="1">
        <v>42552</v>
      </c>
      <c r="CH3790" s="1">
        <v>49714</v>
      </c>
      <c r="CI3790" t="s">
        <v>51</v>
      </c>
      <c r="CK3790" t="s">
        <v>78</v>
      </c>
      <c r="CM3790" t="s">
        <v>54</v>
      </c>
      <c r="CN3790" t="s">
        <v>174</v>
      </c>
      <c r="CO3790" t="s">
        <v>86</v>
      </c>
      <c r="CR3790">
        <v>25</v>
      </c>
      <c r="CS3790">
        <v>0</v>
      </c>
      <c r="CT3790">
        <v>0</v>
      </c>
      <c r="CU3790">
        <v>0</v>
      </c>
    </row>
    <row r="3791" spans="1:99" x14ac:dyDescent="0.2">
      <c r="A3791" t="s">
        <v>367</v>
      </c>
      <c r="B3791" t="s">
        <v>368</v>
      </c>
      <c r="C3791" t="s">
        <v>369</v>
      </c>
      <c r="D3791" t="s">
        <v>369</v>
      </c>
      <c r="F3791" t="str">
        <f>"165469"</f>
        <v>165469</v>
      </c>
      <c r="G3791" t="s">
        <v>49</v>
      </c>
      <c r="H3791" t="s">
        <v>1784</v>
      </c>
      <c r="K3791" t="s">
        <v>51</v>
      </c>
      <c r="L3791" t="s">
        <v>52</v>
      </c>
      <c r="M3791">
        <v>136798</v>
      </c>
      <c r="N3791">
        <v>467237.33</v>
      </c>
      <c r="O3791" t="s">
        <v>53</v>
      </c>
      <c r="P3791" t="s">
        <v>54</v>
      </c>
      <c r="Q3791" t="s">
        <v>55</v>
      </c>
      <c r="T3791" t="s">
        <v>376</v>
      </c>
      <c r="U3791">
        <v>40</v>
      </c>
      <c r="V3791" s="1">
        <v>37257</v>
      </c>
      <c r="W3791" s="1">
        <v>37257</v>
      </c>
      <c r="X3791" s="1">
        <v>37257</v>
      </c>
      <c r="Y3791" s="1">
        <v>51867</v>
      </c>
      <c r="Z3791" t="s">
        <v>51</v>
      </c>
      <c r="AB3791" t="s">
        <v>54</v>
      </c>
      <c r="AC3791">
        <v>1</v>
      </c>
      <c r="AE3791" t="s">
        <v>814</v>
      </c>
      <c r="AF3791">
        <v>20</v>
      </c>
      <c r="AG3791" s="1">
        <v>37257</v>
      </c>
      <c r="AH3791" s="1">
        <v>37257</v>
      </c>
      <c r="AI3791" s="1">
        <v>37257</v>
      </c>
      <c r="AJ3791" s="1">
        <v>44562</v>
      </c>
      <c r="AK3791" t="s">
        <v>51</v>
      </c>
      <c r="AN3791">
        <v>0</v>
      </c>
      <c r="AO3791" t="s">
        <v>54</v>
      </c>
      <c r="AP3791" t="s">
        <v>53</v>
      </c>
      <c r="AQ3791">
        <v>0</v>
      </c>
      <c r="AR3791" t="s">
        <v>53</v>
      </c>
      <c r="AS3791">
        <v>0</v>
      </c>
      <c r="AT3791">
        <v>0</v>
      </c>
      <c r="CC3791" t="s">
        <v>439</v>
      </c>
      <c r="CD3791">
        <v>85000</v>
      </c>
      <c r="CE3791" s="1">
        <v>42552</v>
      </c>
      <c r="CF3791" s="1">
        <v>42552</v>
      </c>
      <c r="CG3791" s="1">
        <v>42552</v>
      </c>
      <c r="CH3791" s="1">
        <v>49714</v>
      </c>
      <c r="CI3791" t="s">
        <v>51</v>
      </c>
      <c r="CK3791" t="s">
        <v>78</v>
      </c>
      <c r="CM3791" t="s">
        <v>54</v>
      </c>
      <c r="CN3791" t="s">
        <v>174</v>
      </c>
      <c r="CO3791" t="s">
        <v>86</v>
      </c>
      <c r="CR3791">
        <v>25</v>
      </c>
      <c r="CS3791">
        <v>0</v>
      </c>
      <c r="CT3791">
        <v>0</v>
      </c>
      <c r="CU3791">
        <v>0</v>
      </c>
    </row>
    <row r="3792" spans="1:99" x14ac:dyDescent="0.2">
      <c r="A3792" t="s">
        <v>367</v>
      </c>
      <c r="B3792" t="s">
        <v>368</v>
      </c>
      <c r="C3792" t="s">
        <v>369</v>
      </c>
      <c r="D3792" t="s">
        <v>369</v>
      </c>
      <c r="F3792" t="str">
        <f>"165470"</f>
        <v>165470</v>
      </c>
      <c r="G3792" t="s">
        <v>49</v>
      </c>
      <c r="H3792" t="s">
        <v>1785</v>
      </c>
      <c r="K3792" t="s">
        <v>51</v>
      </c>
      <c r="L3792" t="s">
        <v>52</v>
      </c>
      <c r="M3792">
        <v>136776.76</v>
      </c>
      <c r="N3792">
        <v>467218.07</v>
      </c>
      <c r="O3792" t="s">
        <v>53</v>
      </c>
      <c r="P3792" t="s">
        <v>54</v>
      </c>
      <c r="Q3792" t="s">
        <v>55</v>
      </c>
      <c r="T3792" t="s">
        <v>376</v>
      </c>
      <c r="U3792">
        <v>40</v>
      </c>
      <c r="V3792" s="1">
        <v>37257</v>
      </c>
      <c r="W3792" s="1">
        <v>37257</v>
      </c>
      <c r="X3792" s="1">
        <v>37257</v>
      </c>
      <c r="Y3792" s="1">
        <v>51867</v>
      </c>
      <c r="Z3792" t="s">
        <v>51</v>
      </c>
      <c r="AB3792" t="s">
        <v>54</v>
      </c>
      <c r="AC3792">
        <v>1</v>
      </c>
      <c r="AE3792" t="s">
        <v>814</v>
      </c>
      <c r="AF3792">
        <v>20</v>
      </c>
      <c r="AG3792" s="1">
        <v>37257</v>
      </c>
      <c r="AH3792" s="1">
        <v>37257</v>
      </c>
      <c r="AI3792" s="1">
        <v>37257</v>
      </c>
      <c r="AJ3792" s="1">
        <v>44562</v>
      </c>
      <c r="AK3792" t="s">
        <v>51</v>
      </c>
      <c r="AN3792">
        <v>0</v>
      </c>
      <c r="AO3792" t="s">
        <v>54</v>
      </c>
      <c r="AP3792" t="s">
        <v>53</v>
      </c>
      <c r="AQ3792">
        <v>0</v>
      </c>
      <c r="AR3792" t="s">
        <v>53</v>
      </c>
      <c r="AS3792">
        <v>0</v>
      </c>
      <c r="AT3792">
        <v>0</v>
      </c>
      <c r="CC3792" t="s">
        <v>439</v>
      </c>
      <c r="CD3792">
        <v>85000</v>
      </c>
      <c r="CE3792" s="1">
        <v>43879</v>
      </c>
      <c r="CF3792" s="1">
        <v>43879</v>
      </c>
      <c r="CG3792" s="1">
        <v>43879</v>
      </c>
      <c r="CH3792" s="1">
        <v>51094</v>
      </c>
      <c r="CI3792" t="s">
        <v>51</v>
      </c>
      <c r="CK3792" t="s">
        <v>78</v>
      </c>
      <c r="CM3792" t="s">
        <v>54</v>
      </c>
      <c r="CN3792" t="s">
        <v>174</v>
      </c>
      <c r="CO3792" t="s">
        <v>86</v>
      </c>
      <c r="CR3792">
        <v>25</v>
      </c>
      <c r="CS3792">
        <v>0</v>
      </c>
      <c r="CT3792">
        <v>0</v>
      </c>
      <c r="CU3792">
        <v>0</v>
      </c>
    </row>
    <row r="3793" spans="1:99" x14ac:dyDescent="0.2">
      <c r="A3793" t="s">
        <v>367</v>
      </c>
      <c r="B3793" t="s">
        <v>368</v>
      </c>
      <c r="C3793" t="s">
        <v>369</v>
      </c>
      <c r="D3793" t="s">
        <v>369</v>
      </c>
      <c r="F3793" t="str">
        <f>"165471"</f>
        <v>165471</v>
      </c>
      <c r="G3793" t="s">
        <v>49</v>
      </c>
      <c r="H3793" t="s">
        <v>1786</v>
      </c>
      <c r="K3793" t="s">
        <v>51</v>
      </c>
      <c r="L3793" t="s">
        <v>52</v>
      </c>
      <c r="M3793">
        <v>136743.82</v>
      </c>
      <c r="N3793">
        <v>467214.65</v>
      </c>
      <c r="O3793" t="s">
        <v>53</v>
      </c>
      <c r="P3793" t="s">
        <v>54</v>
      </c>
      <c r="Q3793" t="s">
        <v>55</v>
      </c>
      <c r="T3793" t="s">
        <v>376</v>
      </c>
      <c r="U3793">
        <v>40</v>
      </c>
      <c r="V3793" s="1">
        <v>37257</v>
      </c>
      <c r="W3793" s="1">
        <v>37257</v>
      </c>
      <c r="X3793" s="1">
        <v>37257</v>
      </c>
      <c r="Y3793" s="1">
        <v>51867</v>
      </c>
      <c r="Z3793" t="s">
        <v>51</v>
      </c>
      <c r="AB3793" t="s">
        <v>54</v>
      </c>
      <c r="AC3793">
        <v>1</v>
      </c>
      <c r="AE3793" t="s">
        <v>814</v>
      </c>
      <c r="AF3793">
        <v>20</v>
      </c>
      <c r="AG3793" s="1">
        <v>37257</v>
      </c>
      <c r="AH3793" s="1">
        <v>37257</v>
      </c>
      <c r="AI3793" s="1">
        <v>37257</v>
      </c>
      <c r="AJ3793" s="1">
        <v>44562</v>
      </c>
      <c r="AK3793" t="s">
        <v>51</v>
      </c>
      <c r="AN3793">
        <v>0</v>
      </c>
      <c r="AO3793" t="s">
        <v>54</v>
      </c>
      <c r="AP3793" t="s">
        <v>53</v>
      </c>
      <c r="AQ3793">
        <v>0</v>
      </c>
      <c r="AR3793" t="s">
        <v>53</v>
      </c>
      <c r="AS3793">
        <v>0</v>
      </c>
      <c r="AT3793">
        <v>0</v>
      </c>
      <c r="CC3793" t="s">
        <v>439</v>
      </c>
      <c r="CD3793">
        <v>85000</v>
      </c>
      <c r="CE3793" s="1">
        <v>42552</v>
      </c>
      <c r="CF3793" s="1">
        <v>42552</v>
      </c>
      <c r="CG3793" s="1">
        <v>42552</v>
      </c>
      <c r="CH3793" s="1">
        <v>49714</v>
      </c>
      <c r="CI3793" t="s">
        <v>51</v>
      </c>
      <c r="CK3793" t="s">
        <v>78</v>
      </c>
      <c r="CM3793" t="s">
        <v>54</v>
      </c>
      <c r="CN3793" t="s">
        <v>174</v>
      </c>
      <c r="CO3793" t="s">
        <v>86</v>
      </c>
      <c r="CR3793">
        <v>25</v>
      </c>
      <c r="CS3793">
        <v>0</v>
      </c>
      <c r="CT3793">
        <v>0</v>
      </c>
      <c r="CU3793">
        <v>0</v>
      </c>
    </row>
    <row r="3794" spans="1:99" x14ac:dyDescent="0.2">
      <c r="A3794" t="s">
        <v>367</v>
      </c>
      <c r="B3794" t="s">
        <v>368</v>
      </c>
      <c r="C3794" t="s">
        <v>369</v>
      </c>
      <c r="D3794" t="s">
        <v>369</v>
      </c>
      <c r="F3794" t="str">
        <f>"165472"</f>
        <v>165472</v>
      </c>
      <c r="G3794" t="s">
        <v>49</v>
      </c>
      <c r="H3794" t="s">
        <v>1787</v>
      </c>
      <c r="K3794" t="s">
        <v>51</v>
      </c>
      <c r="L3794" t="s">
        <v>52</v>
      </c>
      <c r="M3794">
        <v>136724.20000000001</v>
      </c>
      <c r="N3794">
        <v>467196.29</v>
      </c>
      <c r="O3794" t="s">
        <v>53</v>
      </c>
      <c r="P3794" t="s">
        <v>54</v>
      </c>
      <c r="Q3794" t="s">
        <v>55</v>
      </c>
      <c r="T3794" t="s">
        <v>376</v>
      </c>
      <c r="U3794">
        <v>40</v>
      </c>
      <c r="V3794" s="1">
        <v>37258</v>
      </c>
      <c r="W3794" s="1">
        <v>37258</v>
      </c>
      <c r="X3794" s="1">
        <v>37258</v>
      </c>
      <c r="Y3794" s="1">
        <v>51868</v>
      </c>
      <c r="Z3794" t="s">
        <v>51</v>
      </c>
      <c r="AB3794" t="s">
        <v>54</v>
      </c>
      <c r="AC3794">
        <v>1</v>
      </c>
      <c r="AE3794" t="s">
        <v>814</v>
      </c>
      <c r="AF3794">
        <v>20</v>
      </c>
      <c r="AG3794" s="1">
        <v>37258</v>
      </c>
      <c r="AH3794" s="1">
        <v>37258</v>
      </c>
      <c r="AI3794" s="1">
        <v>37258</v>
      </c>
      <c r="AJ3794" s="1">
        <v>44563</v>
      </c>
      <c r="AK3794" t="s">
        <v>51</v>
      </c>
      <c r="AN3794">
        <v>0</v>
      </c>
      <c r="AO3794" t="s">
        <v>54</v>
      </c>
      <c r="AP3794" t="s">
        <v>53</v>
      </c>
      <c r="AQ3794">
        <v>0</v>
      </c>
      <c r="AR3794" t="s">
        <v>53</v>
      </c>
      <c r="AS3794">
        <v>0</v>
      </c>
      <c r="AT3794">
        <v>0</v>
      </c>
      <c r="CC3794" t="s">
        <v>439</v>
      </c>
      <c r="CD3794">
        <v>85000</v>
      </c>
      <c r="CE3794" s="1">
        <v>42552</v>
      </c>
      <c r="CF3794" s="1">
        <v>42552</v>
      </c>
      <c r="CG3794" s="1">
        <v>42552</v>
      </c>
      <c r="CH3794" s="1">
        <v>50139</v>
      </c>
      <c r="CI3794" t="s">
        <v>51</v>
      </c>
      <c r="CK3794" t="s">
        <v>78</v>
      </c>
      <c r="CM3794" t="s">
        <v>54</v>
      </c>
      <c r="CN3794" t="s">
        <v>174</v>
      </c>
      <c r="CO3794" t="s">
        <v>86</v>
      </c>
      <c r="CR3794">
        <v>25</v>
      </c>
      <c r="CS3794">
        <v>0</v>
      </c>
      <c r="CT3794">
        <v>0</v>
      </c>
      <c r="CU3794">
        <v>0</v>
      </c>
    </row>
    <row r="3795" spans="1:99" x14ac:dyDescent="0.2">
      <c r="A3795" t="s">
        <v>367</v>
      </c>
      <c r="B3795" t="s">
        <v>368</v>
      </c>
      <c r="C3795" t="s">
        <v>369</v>
      </c>
      <c r="D3795" t="s">
        <v>369</v>
      </c>
      <c r="F3795" t="str">
        <f>"165473"</f>
        <v>165473</v>
      </c>
      <c r="G3795" t="s">
        <v>49</v>
      </c>
      <c r="H3795" t="s">
        <v>1788</v>
      </c>
      <c r="K3795" t="s">
        <v>51</v>
      </c>
      <c r="L3795" t="s">
        <v>52</v>
      </c>
      <c r="M3795">
        <v>136691.82</v>
      </c>
      <c r="N3795">
        <v>467193.47</v>
      </c>
      <c r="O3795" t="s">
        <v>53</v>
      </c>
      <c r="P3795" t="s">
        <v>54</v>
      </c>
      <c r="Q3795" t="s">
        <v>55</v>
      </c>
      <c r="T3795" t="s">
        <v>376</v>
      </c>
      <c r="U3795">
        <v>40</v>
      </c>
      <c r="V3795" s="1">
        <v>37257</v>
      </c>
      <c r="W3795" s="1">
        <v>37257</v>
      </c>
      <c r="X3795" s="1">
        <v>37257</v>
      </c>
      <c r="Y3795" s="1">
        <v>51867</v>
      </c>
      <c r="Z3795" t="s">
        <v>51</v>
      </c>
      <c r="AB3795" t="s">
        <v>54</v>
      </c>
      <c r="AC3795">
        <v>1</v>
      </c>
      <c r="AE3795" t="s">
        <v>814</v>
      </c>
      <c r="AF3795">
        <v>20</v>
      </c>
      <c r="AG3795" s="1">
        <v>37257</v>
      </c>
      <c r="AH3795" s="1">
        <v>37257</v>
      </c>
      <c r="AI3795" s="1">
        <v>37257</v>
      </c>
      <c r="AJ3795" s="1">
        <v>44562</v>
      </c>
      <c r="AK3795" t="s">
        <v>51</v>
      </c>
      <c r="AN3795">
        <v>0</v>
      </c>
      <c r="AO3795" t="s">
        <v>54</v>
      </c>
      <c r="AP3795" t="s">
        <v>53</v>
      </c>
      <c r="AQ3795">
        <v>0</v>
      </c>
      <c r="AR3795" t="s">
        <v>53</v>
      </c>
      <c r="AS3795">
        <v>0</v>
      </c>
      <c r="AT3795">
        <v>0</v>
      </c>
      <c r="CC3795" t="s">
        <v>439</v>
      </c>
      <c r="CD3795">
        <v>85000</v>
      </c>
      <c r="CE3795" s="1">
        <v>42552</v>
      </c>
      <c r="CF3795" s="1">
        <v>42552</v>
      </c>
      <c r="CG3795" s="1">
        <v>42552</v>
      </c>
      <c r="CH3795" s="1">
        <v>49714</v>
      </c>
      <c r="CI3795" t="s">
        <v>51</v>
      </c>
      <c r="CK3795" t="s">
        <v>78</v>
      </c>
      <c r="CM3795" t="s">
        <v>54</v>
      </c>
      <c r="CN3795" t="s">
        <v>174</v>
      </c>
      <c r="CO3795" t="s">
        <v>86</v>
      </c>
      <c r="CR3795">
        <v>25</v>
      </c>
      <c r="CS3795">
        <v>0</v>
      </c>
      <c r="CT3795">
        <v>0</v>
      </c>
      <c r="CU3795">
        <v>0</v>
      </c>
    </row>
    <row r="3796" spans="1:99" x14ac:dyDescent="0.2">
      <c r="A3796" t="s">
        <v>367</v>
      </c>
      <c r="B3796" t="s">
        <v>368</v>
      </c>
      <c r="C3796" t="s">
        <v>369</v>
      </c>
      <c r="D3796" t="s">
        <v>369</v>
      </c>
      <c r="F3796" t="str">
        <f>"165474"</f>
        <v>165474</v>
      </c>
      <c r="G3796" t="s">
        <v>49</v>
      </c>
      <c r="H3796" t="s">
        <v>1789</v>
      </c>
      <c r="K3796" t="s">
        <v>51</v>
      </c>
      <c r="L3796" t="s">
        <v>52</v>
      </c>
      <c r="M3796">
        <v>136669.48000000001</v>
      </c>
      <c r="N3796">
        <v>467172.89</v>
      </c>
      <c r="O3796" t="s">
        <v>53</v>
      </c>
      <c r="P3796" t="s">
        <v>54</v>
      </c>
      <c r="Q3796" t="s">
        <v>55</v>
      </c>
      <c r="T3796" t="s">
        <v>376</v>
      </c>
      <c r="U3796">
        <v>40</v>
      </c>
      <c r="V3796" s="1">
        <v>37257</v>
      </c>
      <c r="W3796" s="1">
        <v>37257</v>
      </c>
      <c r="X3796" s="1">
        <v>37257</v>
      </c>
      <c r="Y3796" s="1">
        <v>51867</v>
      </c>
      <c r="Z3796" t="s">
        <v>51</v>
      </c>
      <c r="AB3796" t="s">
        <v>54</v>
      </c>
      <c r="AC3796">
        <v>1</v>
      </c>
      <c r="AE3796" t="s">
        <v>814</v>
      </c>
      <c r="AF3796">
        <v>20</v>
      </c>
      <c r="AG3796" s="1">
        <v>37257</v>
      </c>
      <c r="AH3796" s="1">
        <v>37257</v>
      </c>
      <c r="AI3796" s="1">
        <v>37257</v>
      </c>
      <c r="AJ3796" s="1">
        <v>44562</v>
      </c>
      <c r="AK3796" t="s">
        <v>51</v>
      </c>
      <c r="AN3796">
        <v>0</v>
      </c>
      <c r="AO3796" t="s">
        <v>54</v>
      </c>
      <c r="AP3796" t="s">
        <v>53</v>
      </c>
      <c r="AQ3796">
        <v>0</v>
      </c>
      <c r="AR3796" t="s">
        <v>53</v>
      </c>
      <c r="AS3796">
        <v>0</v>
      </c>
      <c r="AT3796">
        <v>0</v>
      </c>
      <c r="CC3796" t="s">
        <v>439</v>
      </c>
      <c r="CD3796">
        <v>85000</v>
      </c>
      <c r="CE3796" s="1">
        <v>44851</v>
      </c>
      <c r="CF3796" s="1">
        <v>44851</v>
      </c>
      <c r="CG3796" s="1">
        <v>44851</v>
      </c>
      <c r="CH3796" s="1">
        <v>52004</v>
      </c>
      <c r="CI3796" t="s">
        <v>51</v>
      </c>
      <c r="CK3796" t="s">
        <v>78</v>
      </c>
      <c r="CM3796" t="s">
        <v>54</v>
      </c>
      <c r="CN3796" t="s">
        <v>174</v>
      </c>
      <c r="CO3796" t="s">
        <v>86</v>
      </c>
      <c r="CR3796">
        <v>25</v>
      </c>
      <c r="CS3796">
        <v>0</v>
      </c>
      <c r="CT3796">
        <v>0</v>
      </c>
      <c r="CU3796">
        <v>0</v>
      </c>
    </row>
    <row r="3797" spans="1:99" x14ac:dyDescent="0.2">
      <c r="A3797" t="s">
        <v>367</v>
      </c>
      <c r="B3797" t="s">
        <v>368</v>
      </c>
      <c r="C3797" t="s">
        <v>369</v>
      </c>
      <c r="D3797" t="s">
        <v>369</v>
      </c>
      <c r="F3797" t="str">
        <f>"165475"</f>
        <v>165475</v>
      </c>
      <c r="G3797" t="s">
        <v>49</v>
      </c>
      <c r="H3797" t="s">
        <v>1790</v>
      </c>
      <c r="K3797" t="s">
        <v>51</v>
      </c>
      <c r="L3797" t="s">
        <v>52</v>
      </c>
      <c r="M3797">
        <v>136639.67999999999</v>
      </c>
      <c r="N3797">
        <v>467171.91</v>
      </c>
      <c r="O3797" t="s">
        <v>53</v>
      </c>
      <c r="P3797" t="s">
        <v>54</v>
      </c>
      <c r="Q3797" t="s">
        <v>55</v>
      </c>
      <c r="T3797" t="s">
        <v>376</v>
      </c>
      <c r="U3797">
        <v>40</v>
      </c>
      <c r="V3797" s="1">
        <v>37257</v>
      </c>
      <c r="W3797" s="1">
        <v>37257</v>
      </c>
      <c r="X3797" s="1">
        <v>37257</v>
      </c>
      <c r="Y3797" s="1">
        <v>51867</v>
      </c>
      <c r="Z3797" t="s">
        <v>51</v>
      </c>
      <c r="AB3797" t="s">
        <v>54</v>
      </c>
      <c r="AC3797">
        <v>1</v>
      </c>
      <c r="AE3797" t="s">
        <v>814</v>
      </c>
      <c r="AF3797">
        <v>20</v>
      </c>
      <c r="AG3797" s="1">
        <v>37257</v>
      </c>
      <c r="AH3797" s="1">
        <v>37257</v>
      </c>
      <c r="AI3797" s="1">
        <v>37257</v>
      </c>
      <c r="AJ3797" s="1">
        <v>44562</v>
      </c>
      <c r="AK3797" t="s">
        <v>51</v>
      </c>
      <c r="AN3797">
        <v>0</v>
      </c>
      <c r="AO3797" t="s">
        <v>54</v>
      </c>
      <c r="AP3797" t="s">
        <v>53</v>
      </c>
      <c r="AQ3797">
        <v>0</v>
      </c>
      <c r="AR3797" t="s">
        <v>53</v>
      </c>
      <c r="AS3797">
        <v>0</v>
      </c>
      <c r="AT3797">
        <v>0</v>
      </c>
      <c r="CC3797" t="s">
        <v>439</v>
      </c>
      <c r="CD3797">
        <v>85000</v>
      </c>
      <c r="CE3797" s="1">
        <v>42552</v>
      </c>
      <c r="CF3797" s="1">
        <v>42552</v>
      </c>
      <c r="CG3797" s="1">
        <v>42552</v>
      </c>
      <c r="CH3797" s="1">
        <v>49714</v>
      </c>
      <c r="CI3797" t="s">
        <v>51</v>
      </c>
      <c r="CK3797" t="s">
        <v>78</v>
      </c>
      <c r="CM3797" t="s">
        <v>54</v>
      </c>
      <c r="CN3797" t="s">
        <v>174</v>
      </c>
      <c r="CO3797" t="s">
        <v>86</v>
      </c>
      <c r="CR3797">
        <v>25</v>
      </c>
      <c r="CS3797">
        <v>0</v>
      </c>
      <c r="CT3797">
        <v>0</v>
      </c>
      <c r="CU3797">
        <v>0</v>
      </c>
    </row>
    <row r="3798" spans="1:99" x14ac:dyDescent="0.2">
      <c r="A3798" t="s">
        <v>367</v>
      </c>
      <c r="B3798" t="s">
        <v>368</v>
      </c>
      <c r="C3798" t="s">
        <v>369</v>
      </c>
      <c r="D3798" t="s">
        <v>369</v>
      </c>
      <c r="F3798" t="str">
        <f>"165476"</f>
        <v>165476</v>
      </c>
      <c r="G3798" t="s">
        <v>49</v>
      </c>
      <c r="H3798" t="s">
        <v>1790</v>
      </c>
      <c r="K3798" t="s">
        <v>51</v>
      </c>
      <c r="L3798" t="s">
        <v>52</v>
      </c>
      <c r="M3798">
        <v>136616.74</v>
      </c>
      <c r="N3798">
        <v>467152.19</v>
      </c>
      <c r="O3798" t="s">
        <v>53</v>
      </c>
      <c r="P3798" t="s">
        <v>54</v>
      </c>
      <c r="Q3798" t="s">
        <v>55</v>
      </c>
      <c r="T3798" t="s">
        <v>376</v>
      </c>
      <c r="U3798">
        <v>40</v>
      </c>
      <c r="V3798" s="1">
        <v>37257</v>
      </c>
      <c r="W3798" s="1">
        <v>37257</v>
      </c>
      <c r="X3798" s="1">
        <v>37257</v>
      </c>
      <c r="Y3798" s="1">
        <v>51867</v>
      </c>
      <c r="Z3798" t="s">
        <v>51</v>
      </c>
      <c r="AB3798" t="s">
        <v>54</v>
      </c>
      <c r="AC3798">
        <v>1</v>
      </c>
      <c r="AE3798" t="s">
        <v>814</v>
      </c>
      <c r="AF3798">
        <v>20</v>
      </c>
      <c r="AG3798" s="1">
        <v>37257</v>
      </c>
      <c r="AH3798" s="1">
        <v>37257</v>
      </c>
      <c r="AI3798" s="1">
        <v>37257</v>
      </c>
      <c r="AJ3798" s="1">
        <v>44562</v>
      </c>
      <c r="AK3798" t="s">
        <v>51</v>
      </c>
      <c r="AN3798">
        <v>0</v>
      </c>
      <c r="AO3798" t="s">
        <v>54</v>
      </c>
      <c r="AP3798" t="s">
        <v>53</v>
      </c>
      <c r="AQ3798">
        <v>0</v>
      </c>
      <c r="AR3798" t="s">
        <v>53</v>
      </c>
      <c r="AS3798">
        <v>0</v>
      </c>
      <c r="AT3798">
        <v>0</v>
      </c>
      <c r="CC3798" t="s">
        <v>439</v>
      </c>
      <c r="CD3798">
        <v>85000</v>
      </c>
      <c r="CE3798" s="1">
        <v>44172</v>
      </c>
      <c r="CF3798" s="1">
        <v>44172</v>
      </c>
      <c r="CG3798" s="1">
        <v>44172</v>
      </c>
      <c r="CH3798" s="1">
        <v>51373</v>
      </c>
      <c r="CI3798" t="s">
        <v>51</v>
      </c>
      <c r="CK3798" t="s">
        <v>78</v>
      </c>
      <c r="CM3798" t="s">
        <v>54</v>
      </c>
      <c r="CN3798" t="s">
        <v>174</v>
      </c>
      <c r="CO3798" t="s">
        <v>86</v>
      </c>
      <c r="CR3798">
        <v>25</v>
      </c>
      <c r="CS3798">
        <v>0</v>
      </c>
      <c r="CT3798">
        <v>0</v>
      </c>
      <c r="CU3798">
        <v>0</v>
      </c>
    </row>
    <row r="3799" spans="1:99" x14ac:dyDescent="0.2">
      <c r="A3799" t="s">
        <v>367</v>
      </c>
      <c r="B3799" t="s">
        <v>368</v>
      </c>
      <c r="C3799" t="s">
        <v>369</v>
      </c>
      <c r="D3799" t="s">
        <v>369</v>
      </c>
      <c r="F3799" t="str">
        <f>"165477"</f>
        <v>165477</v>
      </c>
      <c r="G3799" t="s">
        <v>49</v>
      </c>
      <c r="H3799" t="s">
        <v>1791</v>
      </c>
      <c r="K3799" t="s">
        <v>51</v>
      </c>
      <c r="L3799" t="s">
        <v>52</v>
      </c>
      <c r="M3799">
        <v>136584.88</v>
      </c>
      <c r="N3799">
        <v>467149.31</v>
      </c>
      <c r="O3799" t="s">
        <v>53</v>
      </c>
      <c r="P3799" t="s">
        <v>54</v>
      </c>
      <c r="Q3799" t="s">
        <v>55</v>
      </c>
      <c r="T3799" t="s">
        <v>376</v>
      </c>
      <c r="U3799">
        <v>40</v>
      </c>
      <c r="V3799" s="1">
        <v>37257</v>
      </c>
      <c r="W3799" s="1">
        <v>37257</v>
      </c>
      <c r="X3799" s="1">
        <v>37257</v>
      </c>
      <c r="Y3799" s="1">
        <v>51867</v>
      </c>
      <c r="Z3799" t="s">
        <v>51</v>
      </c>
      <c r="AB3799" t="s">
        <v>54</v>
      </c>
      <c r="AC3799">
        <v>1</v>
      </c>
      <c r="AE3799" t="s">
        <v>814</v>
      </c>
      <c r="AF3799">
        <v>20</v>
      </c>
      <c r="AG3799" s="1">
        <v>37257</v>
      </c>
      <c r="AH3799" s="1">
        <v>37257</v>
      </c>
      <c r="AI3799" s="1">
        <v>37257</v>
      </c>
      <c r="AJ3799" s="1">
        <v>44562</v>
      </c>
      <c r="AK3799" t="s">
        <v>51</v>
      </c>
      <c r="AN3799">
        <v>0</v>
      </c>
      <c r="AO3799" t="s">
        <v>54</v>
      </c>
      <c r="AP3799" t="s">
        <v>53</v>
      </c>
      <c r="AQ3799">
        <v>0</v>
      </c>
      <c r="AR3799" t="s">
        <v>53</v>
      </c>
      <c r="AS3799">
        <v>0</v>
      </c>
      <c r="AT3799">
        <v>0</v>
      </c>
      <c r="CC3799" t="s">
        <v>439</v>
      </c>
      <c r="CD3799">
        <v>85000</v>
      </c>
      <c r="CE3799" s="1">
        <v>42552</v>
      </c>
      <c r="CF3799" s="1">
        <v>42552</v>
      </c>
      <c r="CG3799" s="1">
        <v>42552</v>
      </c>
      <c r="CH3799" s="1">
        <v>49714</v>
      </c>
      <c r="CI3799" t="s">
        <v>51</v>
      </c>
      <c r="CK3799" t="s">
        <v>78</v>
      </c>
      <c r="CM3799" t="s">
        <v>54</v>
      </c>
      <c r="CN3799" t="s">
        <v>174</v>
      </c>
      <c r="CO3799" t="s">
        <v>86</v>
      </c>
      <c r="CR3799">
        <v>25</v>
      </c>
      <c r="CS3799">
        <v>0</v>
      </c>
      <c r="CT3799">
        <v>0</v>
      </c>
      <c r="CU3799">
        <v>0</v>
      </c>
    </row>
    <row r="3800" spans="1:99" x14ac:dyDescent="0.2">
      <c r="A3800" t="s">
        <v>367</v>
      </c>
      <c r="B3800" t="s">
        <v>368</v>
      </c>
      <c r="C3800" t="s">
        <v>369</v>
      </c>
      <c r="D3800" t="s">
        <v>369</v>
      </c>
      <c r="F3800" t="str">
        <f>"165478"</f>
        <v>165478</v>
      </c>
      <c r="G3800" t="s">
        <v>49</v>
      </c>
      <c r="H3800" t="s">
        <v>1792</v>
      </c>
      <c r="K3800" t="s">
        <v>51</v>
      </c>
      <c r="L3800" t="s">
        <v>52</v>
      </c>
      <c r="M3800">
        <v>136527.29999999999</v>
      </c>
      <c r="N3800">
        <v>467126.59</v>
      </c>
      <c r="O3800" t="s">
        <v>53</v>
      </c>
      <c r="P3800" t="s">
        <v>54</v>
      </c>
      <c r="Q3800" t="s">
        <v>55</v>
      </c>
      <c r="T3800" t="s">
        <v>376</v>
      </c>
      <c r="U3800">
        <v>40</v>
      </c>
      <c r="V3800" s="1">
        <v>37257</v>
      </c>
      <c r="W3800" s="1">
        <v>37257</v>
      </c>
      <c r="X3800" s="1">
        <v>37257</v>
      </c>
      <c r="Y3800" s="1">
        <v>51867</v>
      </c>
      <c r="Z3800" t="s">
        <v>51</v>
      </c>
      <c r="AB3800" t="s">
        <v>54</v>
      </c>
      <c r="AC3800">
        <v>1</v>
      </c>
      <c r="AE3800" t="s">
        <v>814</v>
      </c>
      <c r="AF3800">
        <v>20</v>
      </c>
      <c r="AG3800" s="1">
        <v>37257</v>
      </c>
      <c r="AH3800" s="1">
        <v>37257</v>
      </c>
      <c r="AI3800" s="1">
        <v>37257</v>
      </c>
      <c r="AJ3800" s="1">
        <v>44562</v>
      </c>
      <c r="AK3800" t="s">
        <v>51</v>
      </c>
      <c r="AN3800">
        <v>0</v>
      </c>
      <c r="AO3800" t="s">
        <v>54</v>
      </c>
      <c r="AP3800" t="s">
        <v>53</v>
      </c>
      <c r="AQ3800">
        <v>0</v>
      </c>
      <c r="AR3800" t="s">
        <v>53</v>
      </c>
      <c r="AS3800">
        <v>0</v>
      </c>
      <c r="AT3800">
        <v>0</v>
      </c>
      <c r="CC3800" t="s">
        <v>439</v>
      </c>
      <c r="CD3800">
        <v>85000</v>
      </c>
      <c r="CE3800" s="1">
        <v>42552</v>
      </c>
      <c r="CF3800" s="1">
        <v>42552</v>
      </c>
      <c r="CG3800" s="1">
        <v>42552</v>
      </c>
      <c r="CH3800" s="1">
        <v>49714</v>
      </c>
      <c r="CI3800" t="s">
        <v>51</v>
      </c>
      <c r="CK3800" t="s">
        <v>78</v>
      </c>
      <c r="CM3800" t="s">
        <v>54</v>
      </c>
      <c r="CN3800" t="s">
        <v>174</v>
      </c>
      <c r="CO3800" t="s">
        <v>86</v>
      </c>
      <c r="CR3800">
        <v>25</v>
      </c>
      <c r="CS3800">
        <v>0</v>
      </c>
      <c r="CT3800">
        <v>0</v>
      </c>
      <c r="CU3800">
        <v>0</v>
      </c>
    </row>
    <row r="3801" spans="1:99" x14ac:dyDescent="0.2">
      <c r="A3801" t="s">
        <v>367</v>
      </c>
      <c r="B3801" t="s">
        <v>368</v>
      </c>
      <c r="C3801" t="s">
        <v>369</v>
      </c>
      <c r="D3801" t="s">
        <v>369</v>
      </c>
      <c r="F3801" t="str">
        <f>"165479"</f>
        <v>165479</v>
      </c>
      <c r="G3801" t="s">
        <v>49</v>
      </c>
      <c r="H3801" t="s">
        <v>1793</v>
      </c>
      <c r="K3801" t="s">
        <v>51</v>
      </c>
      <c r="L3801" t="s">
        <v>52</v>
      </c>
      <c r="M3801">
        <v>136493.62</v>
      </c>
      <c r="N3801">
        <v>467113.67</v>
      </c>
      <c r="O3801" t="s">
        <v>53</v>
      </c>
      <c r="P3801" t="s">
        <v>54</v>
      </c>
      <c r="Q3801" t="s">
        <v>55</v>
      </c>
      <c r="T3801" t="s">
        <v>376</v>
      </c>
      <c r="U3801">
        <v>40</v>
      </c>
      <c r="V3801" s="1">
        <v>37257</v>
      </c>
      <c r="W3801" s="1">
        <v>37257</v>
      </c>
      <c r="X3801" s="1">
        <v>37257</v>
      </c>
      <c r="Y3801" s="1">
        <v>51867</v>
      </c>
      <c r="Z3801" t="s">
        <v>51</v>
      </c>
      <c r="AB3801" t="s">
        <v>54</v>
      </c>
      <c r="AC3801">
        <v>1</v>
      </c>
      <c r="AE3801" t="s">
        <v>814</v>
      </c>
      <c r="AF3801">
        <v>20</v>
      </c>
      <c r="AG3801" s="1">
        <v>37257</v>
      </c>
      <c r="AH3801" s="1">
        <v>37257</v>
      </c>
      <c r="AI3801" s="1">
        <v>37257</v>
      </c>
      <c r="AJ3801" s="1">
        <v>44562</v>
      </c>
      <c r="AK3801" t="s">
        <v>51</v>
      </c>
      <c r="AN3801">
        <v>0</v>
      </c>
      <c r="AO3801" t="s">
        <v>54</v>
      </c>
      <c r="AP3801" t="s">
        <v>53</v>
      </c>
      <c r="AQ3801">
        <v>0</v>
      </c>
      <c r="AR3801" t="s">
        <v>53</v>
      </c>
      <c r="AS3801">
        <v>0</v>
      </c>
      <c r="AT3801">
        <v>0</v>
      </c>
      <c r="CC3801" t="s">
        <v>439</v>
      </c>
      <c r="CD3801">
        <v>85000</v>
      </c>
      <c r="CE3801" s="1">
        <v>42552</v>
      </c>
      <c r="CF3801" s="1">
        <v>42552</v>
      </c>
      <c r="CG3801" s="1">
        <v>42552</v>
      </c>
      <c r="CH3801" s="1">
        <v>49714</v>
      </c>
      <c r="CI3801" t="s">
        <v>51</v>
      </c>
      <c r="CK3801" t="s">
        <v>78</v>
      </c>
      <c r="CM3801" t="s">
        <v>54</v>
      </c>
      <c r="CN3801" t="s">
        <v>174</v>
      </c>
      <c r="CO3801" t="s">
        <v>86</v>
      </c>
      <c r="CR3801">
        <v>25</v>
      </c>
      <c r="CS3801">
        <v>0</v>
      </c>
      <c r="CT3801">
        <v>0</v>
      </c>
      <c r="CU3801">
        <v>0</v>
      </c>
    </row>
    <row r="3802" spans="1:99" x14ac:dyDescent="0.2">
      <c r="A3802" t="s">
        <v>367</v>
      </c>
      <c r="B3802" t="s">
        <v>368</v>
      </c>
      <c r="C3802" t="s">
        <v>369</v>
      </c>
      <c r="D3802" t="s">
        <v>369</v>
      </c>
      <c r="F3802" t="str">
        <f>"165480"</f>
        <v>165480</v>
      </c>
      <c r="G3802" t="s">
        <v>49</v>
      </c>
      <c r="H3802" t="s">
        <v>1794</v>
      </c>
      <c r="K3802" t="s">
        <v>51</v>
      </c>
      <c r="L3802" t="s">
        <v>52</v>
      </c>
      <c r="M3802">
        <v>136459.78</v>
      </c>
      <c r="N3802">
        <v>467102.33</v>
      </c>
      <c r="O3802" t="s">
        <v>53</v>
      </c>
      <c r="P3802" t="s">
        <v>54</v>
      </c>
      <c r="Q3802" t="s">
        <v>55</v>
      </c>
      <c r="T3802" t="s">
        <v>376</v>
      </c>
      <c r="U3802">
        <v>40</v>
      </c>
      <c r="V3802" s="1">
        <v>37258</v>
      </c>
      <c r="W3802" s="1">
        <v>37258</v>
      </c>
      <c r="X3802" s="1">
        <v>37258</v>
      </c>
      <c r="Y3802" s="1">
        <v>51868</v>
      </c>
      <c r="Z3802" t="s">
        <v>51</v>
      </c>
      <c r="AB3802" t="s">
        <v>54</v>
      </c>
      <c r="AC3802">
        <v>1</v>
      </c>
      <c r="AE3802" t="s">
        <v>814</v>
      </c>
      <c r="AF3802">
        <v>20</v>
      </c>
      <c r="AG3802" s="1">
        <v>37258</v>
      </c>
      <c r="AH3802" s="1">
        <v>37258</v>
      </c>
      <c r="AI3802" s="1">
        <v>37258</v>
      </c>
      <c r="AJ3802" s="1">
        <v>44563</v>
      </c>
      <c r="AK3802" t="s">
        <v>51</v>
      </c>
      <c r="AN3802">
        <v>0</v>
      </c>
      <c r="AO3802" t="s">
        <v>54</v>
      </c>
      <c r="AP3802" t="s">
        <v>53</v>
      </c>
      <c r="AQ3802">
        <v>0</v>
      </c>
      <c r="AR3802" t="s">
        <v>53</v>
      </c>
      <c r="AS3802">
        <v>0</v>
      </c>
      <c r="AT3802">
        <v>0</v>
      </c>
      <c r="CC3802" t="s">
        <v>439</v>
      </c>
      <c r="CD3802">
        <v>85000</v>
      </c>
      <c r="CE3802" s="1">
        <v>42552</v>
      </c>
      <c r="CF3802" s="1">
        <v>42552</v>
      </c>
      <c r="CG3802" s="1">
        <v>42552</v>
      </c>
      <c r="CH3802" s="1">
        <v>49714</v>
      </c>
      <c r="CI3802" t="s">
        <v>51</v>
      </c>
      <c r="CK3802" t="s">
        <v>78</v>
      </c>
      <c r="CM3802" t="s">
        <v>54</v>
      </c>
      <c r="CN3802" t="s">
        <v>174</v>
      </c>
      <c r="CO3802" t="s">
        <v>86</v>
      </c>
      <c r="CR3802">
        <v>25</v>
      </c>
      <c r="CS3802">
        <v>0</v>
      </c>
      <c r="CT3802">
        <v>0</v>
      </c>
      <c r="CU3802">
        <v>0</v>
      </c>
    </row>
    <row r="3803" spans="1:99" x14ac:dyDescent="0.2">
      <c r="A3803" t="s">
        <v>367</v>
      </c>
      <c r="B3803" t="s">
        <v>368</v>
      </c>
      <c r="C3803" t="s">
        <v>369</v>
      </c>
      <c r="D3803" t="s">
        <v>369</v>
      </c>
      <c r="F3803" t="str">
        <f>"165481"</f>
        <v>165481</v>
      </c>
      <c r="G3803" t="s">
        <v>49</v>
      </c>
      <c r="H3803" t="s">
        <v>1795</v>
      </c>
      <c r="K3803" t="s">
        <v>51</v>
      </c>
      <c r="L3803" t="s">
        <v>52</v>
      </c>
      <c r="M3803">
        <v>136431.88</v>
      </c>
      <c r="N3803">
        <v>467090.09</v>
      </c>
      <c r="O3803" t="s">
        <v>53</v>
      </c>
      <c r="P3803" t="s">
        <v>54</v>
      </c>
      <c r="Q3803" t="s">
        <v>55</v>
      </c>
      <c r="T3803" t="s">
        <v>376</v>
      </c>
      <c r="U3803">
        <v>40</v>
      </c>
      <c r="V3803" s="1">
        <v>37258</v>
      </c>
      <c r="W3803" s="1">
        <v>37258</v>
      </c>
      <c r="X3803" s="1">
        <v>37258</v>
      </c>
      <c r="Y3803" s="1">
        <v>51868</v>
      </c>
      <c r="Z3803" t="s">
        <v>51</v>
      </c>
      <c r="AB3803" t="s">
        <v>54</v>
      </c>
      <c r="AC3803">
        <v>1</v>
      </c>
      <c r="AE3803" t="s">
        <v>814</v>
      </c>
      <c r="AF3803">
        <v>20</v>
      </c>
      <c r="AG3803" s="1">
        <v>37258</v>
      </c>
      <c r="AH3803" s="1">
        <v>37258</v>
      </c>
      <c r="AI3803" s="1">
        <v>37258</v>
      </c>
      <c r="AJ3803" s="1">
        <v>44563</v>
      </c>
      <c r="AK3803" t="s">
        <v>51</v>
      </c>
      <c r="AN3803">
        <v>0</v>
      </c>
      <c r="AO3803" t="s">
        <v>54</v>
      </c>
      <c r="AP3803" t="s">
        <v>53</v>
      </c>
      <c r="AQ3803">
        <v>0</v>
      </c>
      <c r="AR3803" t="s">
        <v>53</v>
      </c>
      <c r="AS3803">
        <v>0</v>
      </c>
      <c r="AT3803">
        <v>0</v>
      </c>
      <c r="CC3803" t="s">
        <v>439</v>
      </c>
      <c r="CD3803">
        <v>85000</v>
      </c>
      <c r="CE3803" s="1">
        <v>42552</v>
      </c>
      <c r="CF3803" s="1">
        <v>42552</v>
      </c>
      <c r="CG3803" s="1">
        <v>42552</v>
      </c>
      <c r="CH3803" s="1">
        <v>49714</v>
      </c>
      <c r="CI3803" t="s">
        <v>51</v>
      </c>
      <c r="CK3803" t="s">
        <v>78</v>
      </c>
      <c r="CM3803" t="s">
        <v>54</v>
      </c>
      <c r="CN3803" t="s">
        <v>174</v>
      </c>
      <c r="CO3803" t="s">
        <v>86</v>
      </c>
      <c r="CR3803">
        <v>25</v>
      </c>
      <c r="CS3803">
        <v>0</v>
      </c>
      <c r="CT3803">
        <v>0</v>
      </c>
      <c r="CU3803">
        <v>0</v>
      </c>
    </row>
    <row r="3804" spans="1:99" x14ac:dyDescent="0.2">
      <c r="A3804" t="s">
        <v>367</v>
      </c>
      <c r="B3804" t="s">
        <v>368</v>
      </c>
      <c r="C3804" t="s">
        <v>369</v>
      </c>
      <c r="D3804" t="s">
        <v>369</v>
      </c>
      <c r="F3804" t="str">
        <f>"165482"</f>
        <v>165482</v>
      </c>
      <c r="G3804" t="s">
        <v>49</v>
      </c>
      <c r="H3804" t="s">
        <v>1795</v>
      </c>
      <c r="K3804" t="s">
        <v>51</v>
      </c>
      <c r="L3804" t="s">
        <v>52</v>
      </c>
      <c r="M3804">
        <v>136403.44</v>
      </c>
      <c r="N3804">
        <v>467078.75</v>
      </c>
      <c r="O3804" t="s">
        <v>53</v>
      </c>
      <c r="P3804" t="s">
        <v>54</v>
      </c>
      <c r="Q3804" t="s">
        <v>55</v>
      </c>
      <c r="T3804" t="s">
        <v>376</v>
      </c>
      <c r="U3804">
        <v>40</v>
      </c>
      <c r="V3804" s="1">
        <v>37257</v>
      </c>
      <c r="W3804" s="1">
        <v>37257</v>
      </c>
      <c r="X3804" s="1">
        <v>37257</v>
      </c>
      <c r="Y3804" s="1">
        <v>51867</v>
      </c>
      <c r="Z3804" t="s">
        <v>51</v>
      </c>
      <c r="AB3804" t="s">
        <v>54</v>
      </c>
      <c r="AC3804">
        <v>1</v>
      </c>
      <c r="AE3804" t="s">
        <v>814</v>
      </c>
      <c r="AF3804">
        <v>20</v>
      </c>
      <c r="AG3804" s="1">
        <v>37257</v>
      </c>
      <c r="AH3804" s="1">
        <v>37257</v>
      </c>
      <c r="AI3804" s="1">
        <v>37257</v>
      </c>
      <c r="AJ3804" s="1">
        <v>44562</v>
      </c>
      <c r="AK3804" t="s">
        <v>51</v>
      </c>
      <c r="AN3804">
        <v>0</v>
      </c>
      <c r="AO3804" t="s">
        <v>54</v>
      </c>
      <c r="AP3804" t="s">
        <v>53</v>
      </c>
      <c r="AQ3804">
        <v>0</v>
      </c>
      <c r="AR3804" t="s">
        <v>53</v>
      </c>
      <c r="AS3804">
        <v>0</v>
      </c>
      <c r="AT3804">
        <v>0</v>
      </c>
      <c r="CC3804" t="s">
        <v>439</v>
      </c>
      <c r="CD3804">
        <v>85000</v>
      </c>
      <c r="CE3804" s="1">
        <v>42552</v>
      </c>
      <c r="CF3804" s="1">
        <v>42552</v>
      </c>
      <c r="CG3804" s="1">
        <v>42552</v>
      </c>
      <c r="CH3804" s="1">
        <v>49714</v>
      </c>
      <c r="CI3804" t="s">
        <v>51</v>
      </c>
      <c r="CK3804" t="s">
        <v>78</v>
      </c>
      <c r="CM3804" t="s">
        <v>54</v>
      </c>
      <c r="CN3804" t="s">
        <v>174</v>
      </c>
      <c r="CO3804" t="s">
        <v>86</v>
      </c>
      <c r="CR3804">
        <v>25</v>
      </c>
      <c r="CS3804">
        <v>0</v>
      </c>
      <c r="CT3804">
        <v>0</v>
      </c>
      <c r="CU3804">
        <v>0</v>
      </c>
    </row>
    <row r="3805" spans="1:99" x14ac:dyDescent="0.2">
      <c r="A3805" t="s">
        <v>367</v>
      </c>
      <c r="B3805" t="s">
        <v>368</v>
      </c>
      <c r="C3805" t="s">
        <v>369</v>
      </c>
      <c r="D3805" t="s">
        <v>369</v>
      </c>
      <c r="F3805" t="str">
        <f>"165483"</f>
        <v>165483</v>
      </c>
      <c r="G3805" t="s">
        <v>49</v>
      </c>
      <c r="H3805" t="s">
        <v>1796</v>
      </c>
      <c r="K3805" t="s">
        <v>51</v>
      </c>
      <c r="L3805" t="s">
        <v>52</v>
      </c>
      <c r="M3805">
        <v>136376.24</v>
      </c>
      <c r="N3805">
        <v>467068.35</v>
      </c>
      <c r="O3805" t="s">
        <v>53</v>
      </c>
      <c r="P3805" t="s">
        <v>54</v>
      </c>
      <c r="Q3805" t="s">
        <v>55</v>
      </c>
      <c r="T3805" t="s">
        <v>376</v>
      </c>
      <c r="U3805">
        <v>40</v>
      </c>
      <c r="V3805" s="1">
        <v>37257</v>
      </c>
      <c r="W3805" s="1">
        <v>37257</v>
      </c>
      <c r="X3805" s="1">
        <v>37257</v>
      </c>
      <c r="Y3805" s="1">
        <v>51867</v>
      </c>
      <c r="Z3805" t="s">
        <v>51</v>
      </c>
      <c r="AB3805" t="s">
        <v>54</v>
      </c>
      <c r="AC3805">
        <v>1</v>
      </c>
      <c r="AE3805" t="s">
        <v>814</v>
      </c>
      <c r="AF3805">
        <v>20</v>
      </c>
      <c r="AG3805" s="1">
        <v>37257</v>
      </c>
      <c r="AH3805" s="1">
        <v>37257</v>
      </c>
      <c r="AI3805" s="1">
        <v>37257</v>
      </c>
      <c r="AJ3805" s="1">
        <v>44562</v>
      </c>
      <c r="AK3805" t="s">
        <v>51</v>
      </c>
      <c r="AN3805">
        <v>0</v>
      </c>
      <c r="AO3805" t="s">
        <v>54</v>
      </c>
      <c r="AP3805" t="s">
        <v>53</v>
      </c>
      <c r="AQ3805">
        <v>0</v>
      </c>
      <c r="AR3805" t="s">
        <v>53</v>
      </c>
      <c r="AS3805">
        <v>0</v>
      </c>
      <c r="AT3805">
        <v>0</v>
      </c>
      <c r="CC3805" t="s">
        <v>439</v>
      </c>
      <c r="CD3805">
        <v>85000</v>
      </c>
      <c r="CE3805" s="1">
        <v>42552</v>
      </c>
      <c r="CF3805" s="1">
        <v>42552</v>
      </c>
      <c r="CG3805" s="1">
        <v>42552</v>
      </c>
      <c r="CH3805" s="1">
        <v>49714</v>
      </c>
      <c r="CI3805" t="s">
        <v>51</v>
      </c>
      <c r="CK3805" t="s">
        <v>78</v>
      </c>
      <c r="CM3805" t="s">
        <v>54</v>
      </c>
      <c r="CN3805" t="s">
        <v>174</v>
      </c>
      <c r="CO3805" t="s">
        <v>86</v>
      </c>
      <c r="CR3805">
        <v>25</v>
      </c>
      <c r="CS3805">
        <v>0</v>
      </c>
      <c r="CT3805">
        <v>0</v>
      </c>
      <c r="CU3805">
        <v>0</v>
      </c>
    </row>
    <row r="3806" spans="1:99" x14ac:dyDescent="0.2">
      <c r="A3806" t="s">
        <v>367</v>
      </c>
      <c r="B3806" t="s">
        <v>368</v>
      </c>
      <c r="C3806" t="s">
        <v>369</v>
      </c>
      <c r="D3806" t="s">
        <v>369</v>
      </c>
      <c r="F3806" t="str">
        <f>"165484"</f>
        <v>165484</v>
      </c>
      <c r="G3806" t="s">
        <v>49</v>
      </c>
      <c r="H3806" t="s">
        <v>1796</v>
      </c>
      <c r="K3806" t="s">
        <v>51</v>
      </c>
      <c r="L3806" t="s">
        <v>52</v>
      </c>
      <c r="M3806">
        <v>136349.5</v>
      </c>
      <c r="N3806">
        <v>467057.71</v>
      </c>
      <c r="O3806" t="s">
        <v>53</v>
      </c>
      <c r="P3806" t="s">
        <v>54</v>
      </c>
      <c r="Q3806" t="s">
        <v>55</v>
      </c>
      <c r="T3806" t="s">
        <v>376</v>
      </c>
      <c r="U3806">
        <v>40</v>
      </c>
      <c r="V3806" s="1">
        <v>37257</v>
      </c>
      <c r="W3806" s="1">
        <v>37257</v>
      </c>
      <c r="X3806" s="1">
        <v>37257</v>
      </c>
      <c r="Y3806" s="1">
        <v>51867</v>
      </c>
      <c r="Z3806" t="s">
        <v>51</v>
      </c>
      <c r="AB3806" t="s">
        <v>54</v>
      </c>
      <c r="AC3806">
        <v>1</v>
      </c>
      <c r="AE3806" t="s">
        <v>814</v>
      </c>
      <c r="AF3806">
        <v>20</v>
      </c>
      <c r="AG3806" s="1">
        <v>37257</v>
      </c>
      <c r="AH3806" s="1">
        <v>37257</v>
      </c>
      <c r="AI3806" s="1">
        <v>37257</v>
      </c>
      <c r="AJ3806" s="1">
        <v>44562</v>
      </c>
      <c r="AK3806" t="s">
        <v>51</v>
      </c>
      <c r="AN3806">
        <v>0</v>
      </c>
      <c r="AO3806" t="s">
        <v>54</v>
      </c>
      <c r="AP3806" t="s">
        <v>53</v>
      </c>
      <c r="AQ3806">
        <v>0</v>
      </c>
      <c r="AR3806" t="s">
        <v>53</v>
      </c>
      <c r="AS3806">
        <v>0</v>
      </c>
      <c r="AT3806">
        <v>0</v>
      </c>
      <c r="CC3806" t="s">
        <v>439</v>
      </c>
      <c r="CD3806">
        <v>85000</v>
      </c>
      <c r="CE3806" s="1">
        <v>42552</v>
      </c>
      <c r="CF3806" s="1">
        <v>42552</v>
      </c>
      <c r="CG3806" s="1">
        <v>42552</v>
      </c>
      <c r="CH3806" s="1">
        <v>49714</v>
      </c>
      <c r="CI3806" t="s">
        <v>51</v>
      </c>
      <c r="CK3806" t="s">
        <v>78</v>
      </c>
      <c r="CM3806" t="s">
        <v>54</v>
      </c>
      <c r="CN3806" t="s">
        <v>174</v>
      </c>
      <c r="CO3806" t="s">
        <v>86</v>
      </c>
      <c r="CR3806">
        <v>25</v>
      </c>
      <c r="CS3806">
        <v>0</v>
      </c>
      <c r="CT3806">
        <v>0</v>
      </c>
      <c r="CU3806">
        <v>0</v>
      </c>
    </row>
    <row r="3807" spans="1:99" x14ac:dyDescent="0.2">
      <c r="A3807" t="s">
        <v>367</v>
      </c>
      <c r="B3807" t="s">
        <v>368</v>
      </c>
      <c r="C3807" t="s">
        <v>369</v>
      </c>
      <c r="D3807" t="s">
        <v>369</v>
      </c>
      <c r="F3807" t="str">
        <f>"165485"</f>
        <v>165485</v>
      </c>
      <c r="G3807" t="s">
        <v>49</v>
      </c>
      <c r="H3807" t="s">
        <v>959</v>
      </c>
      <c r="K3807" t="s">
        <v>51</v>
      </c>
      <c r="L3807" t="s">
        <v>52</v>
      </c>
      <c r="M3807">
        <v>136308.48000000001</v>
      </c>
      <c r="N3807">
        <v>467042.59</v>
      </c>
      <c r="O3807" t="s">
        <v>53</v>
      </c>
      <c r="P3807" t="s">
        <v>54</v>
      </c>
      <c r="Q3807" t="s">
        <v>55</v>
      </c>
      <c r="T3807" t="s">
        <v>376</v>
      </c>
      <c r="U3807">
        <v>40</v>
      </c>
      <c r="V3807" s="1">
        <v>37257</v>
      </c>
      <c r="W3807" s="1">
        <v>37257</v>
      </c>
      <c r="X3807" s="1">
        <v>37257</v>
      </c>
      <c r="Y3807" s="1">
        <v>51867</v>
      </c>
      <c r="Z3807" t="s">
        <v>51</v>
      </c>
      <c r="AB3807" t="s">
        <v>54</v>
      </c>
      <c r="AC3807">
        <v>1</v>
      </c>
      <c r="AE3807" t="s">
        <v>814</v>
      </c>
      <c r="AF3807">
        <v>20</v>
      </c>
      <c r="AG3807" s="1">
        <v>37257</v>
      </c>
      <c r="AH3807" s="1">
        <v>37257</v>
      </c>
      <c r="AI3807" s="1">
        <v>37257</v>
      </c>
      <c r="AJ3807" s="1">
        <v>44562</v>
      </c>
      <c r="AK3807" t="s">
        <v>51</v>
      </c>
      <c r="AN3807">
        <v>0</v>
      </c>
      <c r="AO3807" t="s">
        <v>54</v>
      </c>
      <c r="AP3807" t="s">
        <v>53</v>
      </c>
      <c r="AQ3807">
        <v>0</v>
      </c>
      <c r="AR3807" t="s">
        <v>53</v>
      </c>
      <c r="AS3807">
        <v>0</v>
      </c>
      <c r="AT3807">
        <v>0</v>
      </c>
      <c r="CC3807" t="s">
        <v>439</v>
      </c>
      <c r="CD3807">
        <v>85000</v>
      </c>
      <c r="CE3807" s="1">
        <v>42552</v>
      </c>
      <c r="CF3807" s="1">
        <v>42552</v>
      </c>
      <c r="CG3807" s="1">
        <v>42552</v>
      </c>
      <c r="CH3807" s="1">
        <v>49714</v>
      </c>
      <c r="CI3807" t="s">
        <v>51</v>
      </c>
      <c r="CK3807" t="s">
        <v>78</v>
      </c>
      <c r="CM3807" t="s">
        <v>54</v>
      </c>
      <c r="CN3807" t="s">
        <v>174</v>
      </c>
      <c r="CO3807" t="s">
        <v>86</v>
      </c>
      <c r="CR3807">
        <v>25</v>
      </c>
      <c r="CS3807">
        <v>0</v>
      </c>
      <c r="CT3807">
        <v>0</v>
      </c>
      <c r="CU3807">
        <v>0</v>
      </c>
    </row>
    <row r="3808" spans="1:99" x14ac:dyDescent="0.2">
      <c r="A3808" t="s">
        <v>367</v>
      </c>
      <c r="B3808" t="s">
        <v>368</v>
      </c>
      <c r="C3808" t="s">
        <v>1733</v>
      </c>
      <c r="D3808" t="s">
        <v>369</v>
      </c>
      <c r="F3808" t="str">
        <f>"165486"</f>
        <v>165486</v>
      </c>
      <c r="G3808" t="s">
        <v>49</v>
      </c>
      <c r="H3808" t="s">
        <v>1797</v>
      </c>
      <c r="K3808" t="s">
        <v>51</v>
      </c>
      <c r="L3808" t="s">
        <v>52</v>
      </c>
      <c r="M3808">
        <v>136286.26</v>
      </c>
      <c r="N3808">
        <v>467033.03</v>
      </c>
      <c r="O3808" t="s">
        <v>53</v>
      </c>
      <c r="P3808" t="s">
        <v>54</v>
      </c>
      <c r="Q3808" t="s">
        <v>55</v>
      </c>
      <c r="T3808" t="s">
        <v>376</v>
      </c>
      <c r="U3808">
        <v>40</v>
      </c>
      <c r="V3808" s="1">
        <v>37258</v>
      </c>
      <c r="W3808" s="1">
        <v>37258</v>
      </c>
      <c r="X3808" s="1">
        <v>37258</v>
      </c>
      <c r="Y3808" s="1">
        <v>51868</v>
      </c>
      <c r="Z3808" t="s">
        <v>51</v>
      </c>
      <c r="AB3808" t="s">
        <v>54</v>
      </c>
      <c r="AC3808">
        <v>1</v>
      </c>
      <c r="AE3808" t="s">
        <v>814</v>
      </c>
      <c r="AF3808">
        <v>20</v>
      </c>
      <c r="AG3808" s="1">
        <v>37258</v>
      </c>
      <c r="AH3808" s="1">
        <v>37258</v>
      </c>
      <c r="AI3808" s="1">
        <v>37258</v>
      </c>
      <c r="AJ3808" s="1">
        <v>44563</v>
      </c>
      <c r="AK3808" t="s">
        <v>51</v>
      </c>
      <c r="AN3808">
        <v>0</v>
      </c>
      <c r="AO3808" t="s">
        <v>54</v>
      </c>
      <c r="AP3808" t="s">
        <v>53</v>
      </c>
      <c r="AQ3808">
        <v>0</v>
      </c>
      <c r="AR3808" t="s">
        <v>53</v>
      </c>
      <c r="AS3808">
        <v>0</v>
      </c>
      <c r="AT3808">
        <v>0</v>
      </c>
      <c r="CC3808" t="s">
        <v>439</v>
      </c>
      <c r="CD3808">
        <v>85000</v>
      </c>
      <c r="CE3808" s="1">
        <v>44851</v>
      </c>
      <c r="CF3808" s="1">
        <v>44851</v>
      </c>
      <c r="CG3808" s="1">
        <v>44851</v>
      </c>
      <c r="CH3808" s="1">
        <v>52004</v>
      </c>
      <c r="CI3808" t="s">
        <v>51</v>
      </c>
      <c r="CK3808" t="s">
        <v>78</v>
      </c>
      <c r="CM3808" t="s">
        <v>54</v>
      </c>
      <c r="CN3808" t="s">
        <v>174</v>
      </c>
      <c r="CO3808" t="s">
        <v>86</v>
      </c>
      <c r="CR3808">
        <v>25</v>
      </c>
      <c r="CS3808">
        <v>0</v>
      </c>
      <c r="CT3808">
        <v>0</v>
      </c>
      <c r="CU3808">
        <v>0</v>
      </c>
    </row>
    <row r="3809" spans="1:99" x14ac:dyDescent="0.2">
      <c r="A3809" t="s">
        <v>367</v>
      </c>
      <c r="B3809" t="s">
        <v>368</v>
      </c>
      <c r="C3809" t="s">
        <v>1733</v>
      </c>
      <c r="D3809" t="s">
        <v>369</v>
      </c>
      <c r="F3809" t="str">
        <f>"165487"</f>
        <v>165487</v>
      </c>
      <c r="G3809" t="s">
        <v>49</v>
      </c>
      <c r="H3809" t="s">
        <v>1798</v>
      </c>
      <c r="K3809" t="s">
        <v>51</v>
      </c>
      <c r="L3809" t="s">
        <v>52</v>
      </c>
      <c r="M3809">
        <v>136261.57999999999</v>
      </c>
      <c r="N3809">
        <v>467023.27</v>
      </c>
      <c r="O3809" t="s">
        <v>53</v>
      </c>
      <c r="P3809" t="s">
        <v>54</v>
      </c>
      <c r="Q3809" t="s">
        <v>55</v>
      </c>
      <c r="T3809" t="s">
        <v>376</v>
      </c>
      <c r="U3809">
        <v>40</v>
      </c>
      <c r="V3809" s="1">
        <v>37258</v>
      </c>
      <c r="W3809" s="1">
        <v>37258</v>
      </c>
      <c r="X3809" s="1">
        <v>37258</v>
      </c>
      <c r="Y3809" s="1">
        <v>51868</v>
      </c>
      <c r="Z3809" t="s">
        <v>51</v>
      </c>
      <c r="AB3809" t="s">
        <v>54</v>
      </c>
      <c r="AC3809">
        <v>1</v>
      </c>
      <c r="AE3809" t="s">
        <v>814</v>
      </c>
      <c r="AF3809">
        <v>20</v>
      </c>
      <c r="AG3809" s="1">
        <v>37258</v>
      </c>
      <c r="AH3809" s="1">
        <v>37258</v>
      </c>
      <c r="AI3809" s="1">
        <v>37258</v>
      </c>
      <c r="AJ3809" s="1">
        <v>44563</v>
      </c>
      <c r="AK3809" t="s">
        <v>51</v>
      </c>
      <c r="AN3809">
        <v>0</v>
      </c>
      <c r="AO3809" t="s">
        <v>54</v>
      </c>
      <c r="AP3809" t="s">
        <v>53</v>
      </c>
      <c r="AQ3809">
        <v>0</v>
      </c>
      <c r="AR3809" t="s">
        <v>53</v>
      </c>
      <c r="AS3809">
        <v>0</v>
      </c>
      <c r="AT3809">
        <v>0</v>
      </c>
      <c r="CC3809" t="s">
        <v>439</v>
      </c>
      <c r="CD3809">
        <v>85000</v>
      </c>
      <c r="CE3809" s="1">
        <v>42552</v>
      </c>
      <c r="CF3809" s="1">
        <v>42552</v>
      </c>
      <c r="CG3809" s="1">
        <v>42552</v>
      </c>
      <c r="CH3809" s="1">
        <v>49714</v>
      </c>
      <c r="CI3809" t="s">
        <v>51</v>
      </c>
      <c r="CK3809" t="s">
        <v>78</v>
      </c>
      <c r="CM3809" t="s">
        <v>54</v>
      </c>
      <c r="CN3809" t="s">
        <v>174</v>
      </c>
      <c r="CO3809" t="s">
        <v>86</v>
      </c>
      <c r="CR3809">
        <v>25</v>
      </c>
      <c r="CS3809">
        <v>0</v>
      </c>
      <c r="CT3809">
        <v>0</v>
      </c>
      <c r="CU3809">
        <v>0</v>
      </c>
    </row>
    <row r="3810" spans="1:99" x14ac:dyDescent="0.2">
      <c r="A3810" t="s">
        <v>367</v>
      </c>
      <c r="B3810" t="s">
        <v>368</v>
      </c>
      <c r="C3810" t="s">
        <v>1733</v>
      </c>
      <c r="D3810" t="s">
        <v>369</v>
      </c>
      <c r="F3810" t="str">
        <f>"165488"</f>
        <v>165488</v>
      </c>
      <c r="G3810" t="s">
        <v>49</v>
      </c>
      <c r="H3810" t="s">
        <v>1799</v>
      </c>
      <c r="K3810" t="s">
        <v>51</v>
      </c>
      <c r="L3810" t="s">
        <v>52</v>
      </c>
      <c r="M3810">
        <v>136243.51999999999</v>
      </c>
      <c r="N3810">
        <v>467015.99</v>
      </c>
      <c r="O3810" t="s">
        <v>53</v>
      </c>
      <c r="P3810" t="s">
        <v>54</v>
      </c>
      <c r="Q3810" t="s">
        <v>55</v>
      </c>
      <c r="T3810" t="s">
        <v>376</v>
      </c>
      <c r="U3810">
        <v>40</v>
      </c>
      <c r="V3810" s="1">
        <v>37287</v>
      </c>
      <c r="W3810" s="1">
        <v>37287</v>
      </c>
      <c r="X3810" s="1">
        <v>37287</v>
      </c>
      <c r="Y3810" s="1">
        <v>51897</v>
      </c>
      <c r="Z3810" t="s">
        <v>51</v>
      </c>
      <c r="AB3810" t="s">
        <v>54</v>
      </c>
      <c r="AC3810">
        <v>1</v>
      </c>
      <c r="AE3810" t="s">
        <v>814</v>
      </c>
      <c r="AF3810">
        <v>20</v>
      </c>
      <c r="AG3810" s="1">
        <v>37287</v>
      </c>
      <c r="AH3810" s="1">
        <v>37287</v>
      </c>
      <c r="AI3810" s="1">
        <v>37287</v>
      </c>
      <c r="AJ3810" s="1">
        <v>44592</v>
      </c>
      <c r="AK3810" t="s">
        <v>51</v>
      </c>
      <c r="AN3810">
        <v>0</v>
      </c>
      <c r="AO3810" t="s">
        <v>54</v>
      </c>
      <c r="AP3810" t="s">
        <v>53</v>
      </c>
      <c r="AQ3810">
        <v>0</v>
      </c>
      <c r="AR3810" t="s">
        <v>53</v>
      </c>
      <c r="AS3810">
        <v>0</v>
      </c>
      <c r="AT3810">
        <v>0</v>
      </c>
      <c r="CC3810" t="s">
        <v>439</v>
      </c>
      <c r="CD3810">
        <v>85000</v>
      </c>
      <c r="CE3810" s="1">
        <v>42552</v>
      </c>
      <c r="CF3810" s="1">
        <v>42552</v>
      </c>
      <c r="CG3810" s="1">
        <v>42552</v>
      </c>
      <c r="CH3810" s="1">
        <v>49714</v>
      </c>
      <c r="CI3810" t="s">
        <v>51</v>
      </c>
      <c r="CK3810" t="s">
        <v>78</v>
      </c>
      <c r="CM3810" t="s">
        <v>54</v>
      </c>
      <c r="CN3810" t="s">
        <v>174</v>
      </c>
      <c r="CO3810" t="s">
        <v>86</v>
      </c>
      <c r="CR3810">
        <v>25</v>
      </c>
      <c r="CS3810">
        <v>0</v>
      </c>
      <c r="CT3810">
        <v>0</v>
      </c>
      <c r="CU3810">
        <v>0</v>
      </c>
    </row>
    <row r="3811" spans="1:99" x14ac:dyDescent="0.2">
      <c r="A3811" t="s">
        <v>367</v>
      </c>
      <c r="B3811" t="s">
        <v>368</v>
      </c>
      <c r="C3811" t="s">
        <v>1733</v>
      </c>
      <c r="D3811" t="s">
        <v>369</v>
      </c>
      <c r="F3811" t="str">
        <f>"165489"</f>
        <v>165489</v>
      </c>
      <c r="G3811" t="s">
        <v>49</v>
      </c>
      <c r="H3811" t="s">
        <v>1800</v>
      </c>
      <c r="K3811" t="s">
        <v>51</v>
      </c>
      <c r="L3811" t="s">
        <v>52</v>
      </c>
      <c r="M3811">
        <v>136216.78</v>
      </c>
      <c r="N3811">
        <v>467004.65</v>
      </c>
      <c r="O3811" t="s">
        <v>53</v>
      </c>
      <c r="P3811" t="s">
        <v>54</v>
      </c>
      <c r="Q3811" t="s">
        <v>55</v>
      </c>
      <c r="T3811" t="s">
        <v>376</v>
      </c>
      <c r="U3811">
        <v>40</v>
      </c>
      <c r="V3811" s="1">
        <v>37258</v>
      </c>
      <c r="W3811" s="1">
        <v>37258</v>
      </c>
      <c r="X3811" s="1">
        <v>37258</v>
      </c>
      <c r="Y3811" s="1">
        <v>51868</v>
      </c>
      <c r="Z3811" t="s">
        <v>51</v>
      </c>
      <c r="AB3811" t="s">
        <v>54</v>
      </c>
      <c r="AC3811">
        <v>1</v>
      </c>
      <c r="AE3811" t="s">
        <v>814</v>
      </c>
      <c r="AF3811">
        <v>20</v>
      </c>
      <c r="AG3811" s="1">
        <v>37258</v>
      </c>
      <c r="AH3811" s="1">
        <v>37258</v>
      </c>
      <c r="AI3811" s="1">
        <v>37258</v>
      </c>
      <c r="AJ3811" s="1">
        <v>44563</v>
      </c>
      <c r="AK3811" t="s">
        <v>51</v>
      </c>
      <c r="AN3811">
        <v>0</v>
      </c>
      <c r="AO3811" t="s">
        <v>54</v>
      </c>
      <c r="AP3811" t="s">
        <v>53</v>
      </c>
      <c r="AQ3811">
        <v>0</v>
      </c>
      <c r="AR3811" t="s">
        <v>53</v>
      </c>
      <c r="AS3811">
        <v>0</v>
      </c>
      <c r="AT3811">
        <v>0</v>
      </c>
      <c r="CC3811" t="s">
        <v>439</v>
      </c>
      <c r="CD3811">
        <v>85000</v>
      </c>
      <c r="CE3811" s="1">
        <v>42552</v>
      </c>
      <c r="CF3811" s="1">
        <v>42552</v>
      </c>
      <c r="CG3811" s="1">
        <v>42552</v>
      </c>
      <c r="CH3811" s="1">
        <v>49714</v>
      </c>
      <c r="CI3811" t="s">
        <v>51</v>
      </c>
      <c r="CK3811" t="s">
        <v>78</v>
      </c>
      <c r="CM3811" t="s">
        <v>54</v>
      </c>
      <c r="CN3811" t="s">
        <v>174</v>
      </c>
      <c r="CO3811" t="s">
        <v>86</v>
      </c>
      <c r="CR3811">
        <v>25</v>
      </c>
      <c r="CS3811">
        <v>0</v>
      </c>
      <c r="CT3811">
        <v>0</v>
      </c>
      <c r="CU3811">
        <v>0</v>
      </c>
    </row>
    <row r="3812" spans="1:99" x14ac:dyDescent="0.2">
      <c r="A3812" t="s">
        <v>367</v>
      </c>
      <c r="B3812" t="s">
        <v>368</v>
      </c>
      <c r="C3812" t="s">
        <v>1733</v>
      </c>
      <c r="D3812" t="s">
        <v>369</v>
      </c>
      <c r="F3812" t="str">
        <f>"165490"</f>
        <v>165490</v>
      </c>
      <c r="G3812" t="s">
        <v>49</v>
      </c>
      <c r="H3812" t="s">
        <v>1801</v>
      </c>
      <c r="K3812" t="s">
        <v>51</v>
      </c>
      <c r="L3812" t="s">
        <v>52</v>
      </c>
      <c r="M3812">
        <v>136184.57999999999</v>
      </c>
      <c r="N3812">
        <v>466990.79</v>
      </c>
      <c r="O3812" t="s">
        <v>53</v>
      </c>
      <c r="P3812" t="s">
        <v>54</v>
      </c>
      <c r="Q3812" t="s">
        <v>55</v>
      </c>
      <c r="T3812" t="s">
        <v>376</v>
      </c>
      <c r="U3812">
        <v>40</v>
      </c>
      <c r="V3812" s="1">
        <v>37257</v>
      </c>
      <c r="W3812" s="1">
        <v>37257</v>
      </c>
      <c r="X3812" s="1">
        <v>37257</v>
      </c>
      <c r="Y3812" s="1">
        <v>51867</v>
      </c>
      <c r="Z3812" t="s">
        <v>51</v>
      </c>
      <c r="AB3812" t="s">
        <v>54</v>
      </c>
      <c r="AC3812">
        <v>1</v>
      </c>
      <c r="AE3812" t="s">
        <v>814</v>
      </c>
      <c r="AF3812">
        <v>20</v>
      </c>
      <c r="AG3812" s="1">
        <v>37257</v>
      </c>
      <c r="AH3812" s="1">
        <v>37257</v>
      </c>
      <c r="AI3812" s="1">
        <v>37257</v>
      </c>
      <c r="AJ3812" s="1">
        <v>44562</v>
      </c>
      <c r="AK3812" t="s">
        <v>51</v>
      </c>
      <c r="AN3812">
        <v>0</v>
      </c>
      <c r="AO3812" t="s">
        <v>54</v>
      </c>
      <c r="AP3812" t="s">
        <v>53</v>
      </c>
      <c r="AQ3812">
        <v>0</v>
      </c>
      <c r="AR3812" t="s">
        <v>53</v>
      </c>
      <c r="AS3812">
        <v>0</v>
      </c>
      <c r="AT3812">
        <v>0</v>
      </c>
      <c r="CC3812" t="s">
        <v>439</v>
      </c>
      <c r="CD3812">
        <v>85000</v>
      </c>
      <c r="CE3812" s="1">
        <v>42552</v>
      </c>
      <c r="CF3812" s="1">
        <v>42552</v>
      </c>
      <c r="CG3812" s="1">
        <v>42552</v>
      </c>
      <c r="CH3812" s="1">
        <v>49714</v>
      </c>
      <c r="CI3812" t="s">
        <v>51</v>
      </c>
      <c r="CK3812" t="s">
        <v>78</v>
      </c>
      <c r="CM3812" t="s">
        <v>54</v>
      </c>
      <c r="CN3812" t="s">
        <v>174</v>
      </c>
      <c r="CO3812" t="s">
        <v>86</v>
      </c>
      <c r="CR3812">
        <v>25</v>
      </c>
      <c r="CS3812">
        <v>0</v>
      </c>
      <c r="CT3812">
        <v>0</v>
      </c>
      <c r="CU3812">
        <v>0</v>
      </c>
    </row>
    <row r="3813" spans="1:99" x14ac:dyDescent="0.2">
      <c r="A3813" t="s">
        <v>367</v>
      </c>
      <c r="B3813" t="s">
        <v>368</v>
      </c>
      <c r="C3813" t="s">
        <v>1733</v>
      </c>
      <c r="D3813" t="s">
        <v>369</v>
      </c>
      <c r="F3813" t="str">
        <f>"165491"</f>
        <v>165491</v>
      </c>
      <c r="G3813" t="s">
        <v>49</v>
      </c>
      <c r="H3813" t="s">
        <v>1802</v>
      </c>
      <c r="K3813" t="s">
        <v>51</v>
      </c>
      <c r="L3813" t="s">
        <v>52</v>
      </c>
      <c r="M3813">
        <v>136152.51999999999</v>
      </c>
      <c r="N3813">
        <v>466977.77</v>
      </c>
      <c r="O3813" t="s">
        <v>53</v>
      </c>
      <c r="P3813" t="s">
        <v>54</v>
      </c>
      <c r="Q3813" t="s">
        <v>55</v>
      </c>
      <c r="T3813" t="s">
        <v>376</v>
      </c>
      <c r="U3813">
        <v>40</v>
      </c>
      <c r="V3813" s="1">
        <v>37258</v>
      </c>
      <c r="W3813" s="1">
        <v>37258</v>
      </c>
      <c r="X3813" s="1">
        <v>37258</v>
      </c>
      <c r="Y3813" s="1">
        <v>51868</v>
      </c>
      <c r="Z3813" t="s">
        <v>51</v>
      </c>
      <c r="AB3813" t="s">
        <v>54</v>
      </c>
      <c r="AC3813">
        <v>1</v>
      </c>
      <c r="AE3813" t="s">
        <v>814</v>
      </c>
      <c r="AF3813">
        <v>20</v>
      </c>
      <c r="AG3813" s="1">
        <v>37258</v>
      </c>
      <c r="AH3813" s="1">
        <v>37258</v>
      </c>
      <c r="AI3813" s="1">
        <v>37258</v>
      </c>
      <c r="AJ3813" s="1">
        <v>44563</v>
      </c>
      <c r="AK3813" t="s">
        <v>51</v>
      </c>
      <c r="AN3813">
        <v>0</v>
      </c>
      <c r="AO3813" t="s">
        <v>54</v>
      </c>
      <c r="AP3813" t="s">
        <v>53</v>
      </c>
      <c r="AQ3813">
        <v>0</v>
      </c>
      <c r="AR3813" t="s">
        <v>53</v>
      </c>
      <c r="AS3813">
        <v>0</v>
      </c>
      <c r="AT3813">
        <v>0</v>
      </c>
      <c r="CC3813" t="s">
        <v>439</v>
      </c>
      <c r="CD3813">
        <v>85000</v>
      </c>
      <c r="CE3813" s="1">
        <v>44851</v>
      </c>
      <c r="CF3813" s="1">
        <v>44851</v>
      </c>
      <c r="CG3813" s="1">
        <v>44851</v>
      </c>
      <c r="CH3813" s="1">
        <v>52004</v>
      </c>
      <c r="CI3813" t="s">
        <v>51</v>
      </c>
      <c r="CK3813" t="s">
        <v>78</v>
      </c>
      <c r="CM3813" t="s">
        <v>54</v>
      </c>
      <c r="CN3813" t="s">
        <v>174</v>
      </c>
      <c r="CO3813" t="s">
        <v>86</v>
      </c>
      <c r="CR3813">
        <v>25</v>
      </c>
      <c r="CS3813">
        <v>0</v>
      </c>
      <c r="CT3813">
        <v>0</v>
      </c>
      <c r="CU3813">
        <v>0</v>
      </c>
    </row>
    <row r="3814" spans="1:99" x14ac:dyDescent="0.2">
      <c r="A3814" t="s">
        <v>367</v>
      </c>
      <c r="B3814" t="s">
        <v>368</v>
      </c>
      <c r="C3814" t="s">
        <v>1733</v>
      </c>
      <c r="D3814" t="s">
        <v>369</v>
      </c>
      <c r="F3814" t="str">
        <f>"165492"</f>
        <v>165492</v>
      </c>
      <c r="G3814" t="s">
        <v>49</v>
      </c>
      <c r="H3814" t="s">
        <v>1803</v>
      </c>
      <c r="K3814" t="s">
        <v>51</v>
      </c>
      <c r="L3814" t="s">
        <v>52</v>
      </c>
      <c r="M3814">
        <v>136124.51999999999</v>
      </c>
      <c r="N3814">
        <v>466964.89</v>
      </c>
      <c r="O3814" t="s">
        <v>53</v>
      </c>
      <c r="P3814" t="s">
        <v>54</v>
      </c>
      <c r="Q3814" t="s">
        <v>55</v>
      </c>
      <c r="T3814" t="s">
        <v>376</v>
      </c>
      <c r="U3814">
        <v>40</v>
      </c>
      <c r="V3814" s="1">
        <v>37257</v>
      </c>
      <c r="W3814" s="1">
        <v>37257</v>
      </c>
      <c r="X3814" s="1">
        <v>37257</v>
      </c>
      <c r="Y3814" s="1">
        <v>51867</v>
      </c>
      <c r="Z3814" t="s">
        <v>51</v>
      </c>
      <c r="AB3814" t="s">
        <v>54</v>
      </c>
      <c r="AC3814">
        <v>1</v>
      </c>
      <c r="AE3814" t="s">
        <v>814</v>
      </c>
      <c r="AF3814">
        <v>20</v>
      </c>
      <c r="AG3814" s="1">
        <v>37257</v>
      </c>
      <c r="AH3814" s="1">
        <v>37257</v>
      </c>
      <c r="AI3814" s="1">
        <v>37257</v>
      </c>
      <c r="AJ3814" s="1">
        <v>44562</v>
      </c>
      <c r="AK3814" t="s">
        <v>51</v>
      </c>
      <c r="AN3814">
        <v>0</v>
      </c>
      <c r="AO3814" t="s">
        <v>54</v>
      </c>
      <c r="AP3814" t="s">
        <v>53</v>
      </c>
      <c r="AQ3814">
        <v>0</v>
      </c>
      <c r="AR3814" t="s">
        <v>53</v>
      </c>
      <c r="AS3814">
        <v>0</v>
      </c>
      <c r="AT3814">
        <v>0</v>
      </c>
      <c r="CC3814" t="s">
        <v>439</v>
      </c>
      <c r="CD3814">
        <v>85000</v>
      </c>
      <c r="CE3814" s="1">
        <v>43809</v>
      </c>
      <c r="CF3814" s="1">
        <v>43809</v>
      </c>
      <c r="CG3814" s="1">
        <v>43809</v>
      </c>
      <c r="CH3814" s="1">
        <v>51012</v>
      </c>
      <c r="CI3814" t="s">
        <v>51</v>
      </c>
      <c r="CK3814" t="s">
        <v>78</v>
      </c>
      <c r="CM3814" t="s">
        <v>54</v>
      </c>
      <c r="CN3814" t="s">
        <v>174</v>
      </c>
      <c r="CO3814" t="s">
        <v>86</v>
      </c>
      <c r="CR3814">
        <v>25</v>
      </c>
      <c r="CS3814">
        <v>0</v>
      </c>
      <c r="CT3814">
        <v>0</v>
      </c>
      <c r="CU3814">
        <v>0</v>
      </c>
    </row>
    <row r="3815" spans="1:99" x14ac:dyDescent="0.2">
      <c r="A3815" t="s">
        <v>367</v>
      </c>
      <c r="B3815" t="s">
        <v>368</v>
      </c>
      <c r="C3815" t="s">
        <v>1733</v>
      </c>
      <c r="D3815" t="s">
        <v>369</v>
      </c>
      <c r="F3815" t="str">
        <f>"165493"</f>
        <v>165493</v>
      </c>
      <c r="G3815" t="s">
        <v>49</v>
      </c>
      <c r="H3815" t="s">
        <v>1804</v>
      </c>
      <c r="K3815" t="s">
        <v>51</v>
      </c>
      <c r="L3815" t="s">
        <v>52</v>
      </c>
      <c r="M3815">
        <v>136105.06</v>
      </c>
      <c r="N3815">
        <v>466956.21</v>
      </c>
      <c r="O3815" t="s">
        <v>53</v>
      </c>
      <c r="P3815" t="s">
        <v>54</v>
      </c>
      <c r="Q3815" t="s">
        <v>55</v>
      </c>
      <c r="T3815" t="s">
        <v>376</v>
      </c>
      <c r="U3815">
        <v>40</v>
      </c>
      <c r="V3815" s="1">
        <v>37258</v>
      </c>
      <c r="W3815" s="1">
        <v>37258</v>
      </c>
      <c r="X3815" s="1">
        <v>37258</v>
      </c>
      <c r="Y3815" s="1">
        <v>51868</v>
      </c>
      <c r="Z3815" t="s">
        <v>51</v>
      </c>
      <c r="AB3815" t="s">
        <v>54</v>
      </c>
      <c r="AC3815">
        <v>1</v>
      </c>
      <c r="AE3815" t="s">
        <v>814</v>
      </c>
      <c r="AF3815">
        <v>20</v>
      </c>
      <c r="AG3815" s="1">
        <v>37258</v>
      </c>
      <c r="AH3815" s="1">
        <v>37258</v>
      </c>
      <c r="AI3815" s="1">
        <v>37258</v>
      </c>
      <c r="AJ3815" s="1">
        <v>44563</v>
      </c>
      <c r="AK3815" t="s">
        <v>51</v>
      </c>
      <c r="AN3815">
        <v>0</v>
      </c>
      <c r="AO3815" t="s">
        <v>54</v>
      </c>
      <c r="AP3815" t="s">
        <v>53</v>
      </c>
      <c r="AQ3815">
        <v>0</v>
      </c>
      <c r="AR3815" t="s">
        <v>53</v>
      </c>
      <c r="AS3815">
        <v>0</v>
      </c>
      <c r="AT3815">
        <v>0</v>
      </c>
      <c r="CC3815" t="s">
        <v>439</v>
      </c>
      <c r="CD3815">
        <v>85000</v>
      </c>
      <c r="CE3815" s="1">
        <v>42552</v>
      </c>
      <c r="CF3815" s="1">
        <v>42552</v>
      </c>
      <c r="CG3815" s="1">
        <v>42552</v>
      </c>
      <c r="CH3815" s="1">
        <v>49714</v>
      </c>
      <c r="CI3815" t="s">
        <v>51</v>
      </c>
      <c r="CK3815" t="s">
        <v>78</v>
      </c>
      <c r="CM3815" t="s">
        <v>54</v>
      </c>
      <c r="CN3815" t="s">
        <v>174</v>
      </c>
      <c r="CO3815" t="s">
        <v>86</v>
      </c>
      <c r="CR3815">
        <v>25</v>
      </c>
      <c r="CS3815">
        <v>0</v>
      </c>
      <c r="CT3815">
        <v>0</v>
      </c>
      <c r="CU3815">
        <v>0</v>
      </c>
    </row>
    <row r="3816" spans="1:99" x14ac:dyDescent="0.2">
      <c r="A3816" t="s">
        <v>367</v>
      </c>
      <c r="B3816" t="s">
        <v>368</v>
      </c>
      <c r="C3816" t="s">
        <v>1733</v>
      </c>
      <c r="D3816" t="s">
        <v>369</v>
      </c>
      <c r="F3816" t="str">
        <f>"165494"</f>
        <v>165494</v>
      </c>
      <c r="G3816" t="s">
        <v>49</v>
      </c>
      <c r="H3816" t="s">
        <v>1804</v>
      </c>
      <c r="K3816" t="s">
        <v>51</v>
      </c>
      <c r="L3816" t="s">
        <v>52</v>
      </c>
      <c r="M3816">
        <v>136081.54</v>
      </c>
      <c r="N3816">
        <v>466945.71</v>
      </c>
      <c r="O3816" t="s">
        <v>53</v>
      </c>
      <c r="P3816" t="s">
        <v>54</v>
      </c>
      <c r="Q3816" t="s">
        <v>55</v>
      </c>
      <c r="T3816" t="s">
        <v>376</v>
      </c>
      <c r="U3816">
        <v>40</v>
      </c>
      <c r="V3816" s="1">
        <v>37258</v>
      </c>
      <c r="W3816" s="1">
        <v>37258</v>
      </c>
      <c r="X3816" s="1">
        <v>37258</v>
      </c>
      <c r="Y3816" s="1">
        <v>51868</v>
      </c>
      <c r="Z3816" t="s">
        <v>51</v>
      </c>
      <c r="AB3816" t="s">
        <v>54</v>
      </c>
      <c r="AC3816">
        <v>1</v>
      </c>
      <c r="AE3816" t="s">
        <v>814</v>
      </c>
      <c r="AF3816">
        <v>20</v>
      </c>
      <c r="AG3816" s="1">
        <v>37258</v>
      </c>
      <c r="AH3816" s="1">
        <v>37258</v>
      </c>
      <c r="AI3816" s="1">
        <v>37258</v>
      </c>
      <c r="AJ3816" s="1">
        <v>44563</v>
      </c>
      <c r="AK3816" t="s">
        <v>51</v>
      </c>
      <c r="AN3816">
        <v>0</v>
      </c>
      <c r="AO3816" t="s">
        <v>54</v>
      </c>
      <c r="AP3816" t="s">
        <v>53</v>
      </c>
      <c r="AQ3816">
        <v>0</v>
      </c>
      <c r="AR3816" t="s">
        <v>53</v>
      </c>
      <c r="AS3816">
        <v>0</v>
      </c>
      <c r="AT3816">
        <v>0</v>
      </c>
      <c r="CC3816" t="s">
        <v>439</v>
      </c>
      <c r="CD3816">
        <v>85000</v>
      </c>
      <c r="CE3816" s="1">
        <v>44851</v>
      </c>
      <c r="CF3816" s="1">
        <v>44851</v>
      </c>
      <c r="CG3816" s="1">
        <v>44851</v>
      </c>
      <c r="CH3816" s="1">
        <v>52004</v>
      </c>
      <c r="CI3816" t="s">
        <v>51</v>
      </c>
      <c r="CK3816" t="s">
        <v>78</v>
      </c>
      <c r="CM3816" t="s">
        <v>54</v>
      </c>
      <c r="CN3816" t="s">
        <v>174</v>
      </c>
      <c r="CO3816" t="s">
        <v>86</v>
      </c>
      <c r="CR3816">
        <v>25</v>
      </c>
      <c r="CS3816">
        <v>0</v>
      </c>
      <c r="CT3816">
        <v>0</v>
      </c>
      <c r="CU3816">
        <v>0</v>
      </c>
    </row>
    <row r="3817" spans="1:99" x14ac:dyDescent="0.2">
      <c r="A3817" t="s">
        <v>367</v>
      </c>
      <c r="B3817" t="s">
        <v>368</v>
      </c>
      <c r="C3817" t="s">
        <v>1733</v>
      </c>
      <c r="D3817" t="s">
        <v>369</v>
      </c>
      <c r="F3817" t="str">
        <f>"165495"</f>
        <v>165495</v>
      </c>
      <c r="G3817" t="s">
        <v>49</v>
      </c>
      <c r="H3817" t="s">
        <v>1805</v>
      </c>
      <c r="K3817" t="s">
        <v>51</v>
      </c>
      <c r="L3817" t="s">
        <v>52</v>
      </c>
      <c r="M3817">
        <v>136059.28</v>
      </c>
      <c r="N3817">
        <v>466936.09</v>
      </c>
      <c r="O3817" t="s">
        <v>53</v>
      </c>
      <c r="P3817" t="s">
        <v>54</v>
      </c>
      <c r="Q3817" t="s">
        <v>55</v>
      </c>
      <c r="T3817" t="s">
        <v>376</v>
      </c>
      <c r="U3817">
        <v>40</v>
      </c>
      <c r="V3817" s="1">
        <v>37257</v>
      </c>
      <c r="W3817" s="1">
        <v>37257</v>
      </c>
      <c r="X3817" s="1">
        <v>37257</v>
      </c>
      <c r="Y3817" s="1">
        <v>51867</v>
      </c>
      <c r="Z3817" t="s">
        <v>51</v>
      </c>
      <c r="AB3817" t="s">
        <v>54</v>
      </c>
      <c r="AC3817">
        <v>1</v>
      </c>
      <c r="AE3817" t="s">
        <v>814</v>
      </c>
      <c r="AF3817">
        <v>20</v>
      </c>
      <c r="AG3817" s="1">
        <v>37257</v>
      </c>
      <c r="AH3817" s="1">
        <v>37257</v>
      </c>
      <c r="AI3817" s="1">
        <v>37257</v>
      </c>
      <c r="AJ3817" s="1">
        <v>44562</v>
      </c>
      <c r="AK3817" t="s">
        <v>51</v>
      </c>
      <c r="AN3817">
        <v>0</v>
      </c>
      <c r="AO3817" t="s">
        <v>54</v>
      </c>
      <c r="AP3817" t="s">
        <v>53</v>
      </c>
      <c r="AQ3817">
        <v>0</v>
      </c>
      <c r="AR3817" t="s">
        <v>53</v>
      </c>
      <c r="AS3817">
        <v>0</v>
      </c>
      <c r="AT3817">
        <v>0</v>
      </c>
      <c r="CC3817" t="s">
        <v>439</v>
      </c>
      <c r="CD3817">
        <v>85000</v>
      </c>
      <c r="CE3817" s="1">
        <v>42552</v>
      </c>
      <c r="CF3817" s="1">
        <v>42552</v>
      </c>
      <c r="CG3817" s="1">
        <v>42552</v>
      </c>
      <c r="CH3817" s="1">
        <v>49714</v>
      </c>
      <c r="CI3817" t="s">
        <v>51</v>
      </c>
      <c r="CK3817" t="s">
        <v>78</v>
      </c>
      <c r="CM3817" t="s">
        <v>54</v>
      </c>
      <c r="CN3817" t="s">
        <v>174</v>
      </c>
      <c r="CO3817" t="s">
        <v>86</v>
      </c>
      <c r="CR3817">
        <v>25</v>
      </c>
      <c r="CS3817">
        <v>0</v>
      </c>
      <c r="CT3817">
        <v>0</v>
      </c>
      <c r="CU3817">
        <v>0</v>
      </c>
    </row>
    <row r="3818" spans="1:99" x14ac:dyDescent="0.2">
      <c r="A3818" t="s">
        <v>367</v>
      </c>
      <c r="B3818" t="s">
        <v>368</v>
      </c>
      <c r="C3818" t="s">
        <v>1733</v>
      </c>
      <c r="D3818" t="s">
        <v>369</v>
      </c>
      <c r="F3818" t="str">
        <f>"165496"</f>
        <v>165496</v>
      </c>
      <c r="G3818" t="s">
        <v>49</v>
      </c>
      <c r="H3818" t="s">
        <v>1804</v>
      </c>
      <c r="K3818" t="s">
        <v>51</v>
      </c>
      <c r="L3818" t="s">
        <v>52</v>
      </c>
      <c r="M3818">
        <v>136027.35</v>
      </c>
      <c r="N3818">
        <v>466922.19</v>
      </c>
      <c r="O3818" t="s">
        <v>53</v>
      </c>
      <c r="P3818" t="s">
        <v>54</v>
      </c>
      <c r="Q3818" t="s">
        <v>55</v>
      </c>
      <c r="T3818" t="s">
        <v>376</v>
      </c>
      <c r="U3818">
        <v>40</v>
      </c>
      <c r="V3818" s="1">
        <v>37258</v>
      </c>
      <c r="W3818" s="1">
        <v>37258</v>
      </c>
      <c r="X3818" s="1">
        <v>37258</v>
      </c>
      <c r="Y3818" s="1">
        <v>51868</v>
      </c>
      <c r="Z3818" t="s">
        <v>51</v>
      </c>
      <c r="AB3818" t="s">
        <v>54</v>
      </c>
      <c r="AC3818">
        <v>1</v>
      </c>
      <c r="AE3818" t="s">
        <v>814</v>
      </c>
      <c r="AF3818">
        <v>20</v>
      </c>
      <c r="AG3818" s="1">
        <v>37258</v>
      </c>
      <c r="AH3818" s="1">
        <v>37258</v>
      </c>
      <c r="AI3818" s="1">
        <v>37258</v>
      </c>
      <c r="AJ3818" s="1">
        <v>44563</v>
      </c>
      <c r="AK3818" t="s">
        <v>51</v>
      </c>
      <c r="AN3818">
        <v>0</v>
      </c>
      <c r="AO3818" t="s">
        <v>54</v>
      </c>
      <c r="AP3818" t="s">
        <v>53</v>
      </c>
      <c r="AQ3818">
        <v>0</v>
      </c>
      <c r="AR3818" t="s">
        <v>53</v>
      </c>
      <c r="AS3818">
        <v>0</v>
      </c>
      <c r="AT3818">
        <v>0</v>
      </c>
      <c r="CC3818" t="s">
        <v>439</v>
      </c>
      <c r="CD3818">
        <v>85000</v>
      </c>
      <c r="CE3818" s="1">
        <v>42552</v>
      </c>
      <c r="CF3818" s="1">
        <v>42552</v>
      </c>
      <c r="CG3818" s="1">
        <v>42552</v>
      </c>
      <c r="CH3818" s="1">
        <v>49714</v>
      </c>
      <c r="CI3818" t="s">
        <v>51</v>
      </c>
      <c r="CK3818" t="s">
        <v>78</v>
      </c>
      <c r="CM3818" t="s">
        <v>54</v>
      </c>
      <c r="CN3818" t="s">
        <v>174</v>
      </c>
      <c r="CO3818" t="s">
        <v>86</v>
      </c>
      <c r="CR3818">
        <v>25</v>
      </c>
      <c r="CS3818">
        <v>0</v>
      </c>
      <c r="CT3818">
        <v>0</v>
      </c>
      <c r="CU3818">
        <v>0</v>
      </c>
    </row>
    <row r="3819" spans="1:99" x14ac:dyDescent="0.2">
      <c r="A3819" t="s">
        <v>367</v>
      </c>
      <c r="B3819" t="s">
        <v>368</v>
      </c>
      <c r="C3819" t="s">
        <v>1733</v>
      </c>
      <c r="D3819" t="s">
        <v>369</v>
      </c>
      <c r="F3819" t="str">
        <f>"165497"</f>
        <v>165497</v>
      </c>
      <c r="G3819" t="s">
        <v>49</v>
      </c>
      <c r="H3819" t="s">
        <v>1805</v>
      </c>
      <c r="K3819" t="s">
        <v>51</v>
      </c>
      <c r="L3819" t="s">
        <v>52</v>
      </c>
      <c r="M3819">
        <v>135998.66</v>
      </c>
      <c r="N3819">
        <v>466910.47</v>
      </c>
      <c r="O3819" t="s">
        <v>53</v>
      </c>
      <c r="P3819" t="s">
        <v>54</v>
      </c>
      <c r="Q3819" t="s">
        <v>55</v>
      </c>
      <c r="T3819" t="s">
        <v>376</v>
      </c>
      <c r="U3819">
        <v>40</v>
      </c>
      <c r="V3819" s="1">
        <v>37257</v>
      </c>
      <c r="W3819" s="1">
        <v>37257</v>
      </c>
      <c r="X3819" s="1">
        <v>37257</v>
      </c>
      <c r="Y3819" s="1">
        <v>51867</v>
      </c>
      <c r="Z3819" t="s">
        <v>51</v>
      </c>
      <c r="AB3819" t="s">
        <v>54</v>
      </c>
      <c r="AC3819">
        <v>1</v>
      </c>
      <c r="AE3819" t="s">
        <v>814</v>
      </c>
      <c r="AF3819">
        <v>20</v>
      </c>
      <c r="AG3819" s="1">
        <v>37257</v>
      </c>
      <c r="AH3819" s="1">
        <v>37257</v>
      </c>
      <c r="AI3819" s="1">
        <v>37257</v>
      </c>
      <c r="AJ3819" s="1">
        <v>44562</v>
      </c>
      <c r="AK3819" t="s">
        <v>51</v>
      </c>
      <c r="AN3819">
        <v>0</v>
      </c>
      <c r="AO3819" t="s">
        <v>54</v>
      </c>
      <c r="AP3819" t="s">
        <v>53</v>
      </c>
      <c r="AQ3819">
        <v>0</v>
      </c>
      <c r="AR3819" t="s">
        <v>53</v>
      </c>
      <c r="AS3819">
        <v>0</v>
      </c>
      <c r="AT3819">
        <v>0</v>
      </c>
      <c r="CC3819" t="s">
        <v>439</v>
      </c>
      <c r="CD3819">
        <v>85000</v>
      </c>
      <c r="CE3819" s="1">
        <v>42552</v>
      </c>
      <c r="CF3819" s="1">
        <v>42552</v>
      </c>
      <c r="CG3819" s="1">
        <v>42552</v>
      </c>
      <c r="CH3819" s="1">
        <v>49714</v>
      </c>
      <c r="CI3819" t="s">
        <v>51</v>
      </c>
      <c r="CK3819" t="s">
        <v>78</v>
      </c>
      <c r="CM3819" t="s">
        <v>54</v>
      </c>
      <c r="CN3819" t="s">
        <v>174</v>
      </c>
      <c r="CO3819" t="s">
        <v>86</v>
      </c>
      <c r="CR3819">
        <v>25</v>
      </c>
      <c r="CS3819">
        <v>0</v>
      </c>
      <c r="CT3819">
        <v>0</v>
      </c>
      <c r="CU3819">
        <v>0</v>
      </c>
    </row>
    <row r="3820" spans="1:99" x14ac:dyDescent="0.2">
      <c r="A3820" t="s">
        <v>367</v>
      </c>
      <c r="B3820" t="s">
        <v>368</v>
      </c>
      <c r="C3820" t="s">
        <v>1733</v>
      </c>
      <c r="D3820" t="s">
        <v>369</v>
      </c>
      <c r="F3820" t="str">
        <f>"165498"</f>
        <v>165498</v>
      </c>
      <c r="G3820" t="s">
        <v>49</v>
      </c>
      <c r="H3820" t="s">
        <v>1805</v>
      </c>
      <c r="K3820" t="s">
        <v>51</v>
      </c>
      <c r="L3820" t="s">
        <v>52</v>
      </c>
      <c r="M3820">
        <v>135971.35999999999</v>
      </c>
      <c r="N3820">
        <v>466899.79</v>
      </c>
      <c r="O3820" t="s">
        <v>53</v>
      </c>
      <c r="P3820" t="s">
        <v>54</v>
      </c>
      <c r="Q3820" t="s">
        <v>55</v>
      </c>
      <c r="T3820" t="s">
        <v>376</v>
      </c>
      <c r="U3820">
        <v>40</v>
      </c>
      <c r="V3820" s="1">
        <v>37258</v>
      </c>
      <c r="W3820" s="1">
        <v>37258</v>
      </c>
      <c r="X3820" s="1">
        <v>37258</v>
      </c>
      <c r="Y3820" s="1">
        <v>51868</v>
      </c>
      <c r="Z3820" t="s">
        <v>51</v>
      </c>
      <c r="AB3820" t="s">
        <v>54</v>
      </c>
      <c r="AC3820">
        <v>1</v>
      </c>
      <c r="AE3820" t="s">
        <v>814</v>
      </c>
      <c r="AF3820">
        <v>20</v>
      </c>
      <c r="AG3820" s="1">
        <v>37258</v>
      </c>
      <c r="AH3820" s="1">
        <v>37258</v>
      </c>
      <c r="AI3820" s="1">
        <v>37258</v>
      </c>
      <c r="AJ3820" s="1">
        <v>44563</v>
      </c>
      <c r="AK3820" t="s">
        <v>51</v>
      </c>
      <c r="AN3820">
        <v>0</v>
      </c>
      <c r="AO3820" t="s">
        <v>54</v>
      </c>
      <c r="AP3820" t="s">
        <v>53</v>
      </c>
      <c r="AQ3820">
        <v>0</v>
      </c>
      <c r="AR3820" t="s">
        <v>53</v>
      </c>
      <c r="AS3820">
        <v>0</v>
      </c>
      <c r="AT3820">
        <v>0</v>
      </c>
      <c r="CC3820" t="s">
        <v>439</v>
      </c>
      <c r="CD3820">
        <v>85000</v>
      </c>
      <c r="CE3820" s="1">
        <v>42552</v>
      </c>
      <c r="CF3820" s="1">
        <v>42552</v>
      </c>
      <c r="CG3820" s="1">
        <v>42552</v>
      </c>
      <c r="CH3820" s="1">
        <v>49714</v>
      </c>
      <c r="CI3820" t="s">
        <v>51</v>
      </c>
      <c r="CK3820" t="s">
        <v>78</v>
      </c>
      <c r="CM3820" t="s">
        <v>54</v>
      </c>
      <c r="CN3820" t="s">
        <v>174</v>
      </c>
      <c r="CO3820" t="s">
        <v>86</v>
      </c>
      <c r="CR3820">
        <v>25</v>
      </c>
      <c r="CS3820">
        <v>0</v>
      </c>
      <c r="CT3820">
        <v>0</v>
      </c>
      <c r="CU3820">
        <v>0</v>
      </c>
    </row>
    <row r="3821" spans="1:99" x14ac:dyDescent="0.2">
      <c r="A3821" t="s">
        <v>367</v>
      </c>
      <c r="B3821" t="s">
        <v>368</v>
      </c>
      <c r="C3821" t="s">
        <v>1733</v>
      </c>
      <c r="D3821" t="s">
        <v>369</v>
      </c>
      <c r="F3821" t="str">
        <f>"165499"</f>
        <v>165499</v>
      </c>
      <c r="G3821" t="s">
        <v>49</v>
      </c>
      <c r="H3821" t="s">
        <v>1806</v>
      </c>
      <c r="K3821" t="s">
        <v>51</v>
      </c>
      <c r="L3821" t="s">
        <v>52</v>
      </c>
      <c r="M3821">
        <v>135947</v>
      </c>
      <c r="N3821">
        <v>466891.25</v>
      </c>
      <c r="O3821" t="s">
        <v>53</v>
      </c>
      <c r="P3821" t="s">
        <v>54</v>
      </c>
      <c r="Q3821" t="s">
        <v>55</v>
      </c>
      <c r="T3821" t="s">
        <v>376</v>
      </c>
      <c r="U3821">
        <v>40</v>
      </c>
      <c r="V3821" s="1">
        <v>37257</v>
      </c>
      <c r="W3821" s="1">
        <v>37257</v>
      </c>
      <c r="X3821" s="1">
        <v>37257</v>
      </c>
      <c r="Y3821" s="1">
        <v>51867</v>
      </c>
      <c r="Z3821" t="s">
        <v>51</v>
      </c>
      <c r="AB3821" t="s">
        <v>54</v>
      </c>
      <c r="AC3821">
        <v>1</v>
      </c>
      <c r="AE3821" t="s">
        <v>814</v>
      </c>
      <c r="AF3821">
        <v>20</v>
      </c>
      <c r="AG3821" s="1">
        <v>37257</v>
      </c>
      <c r="AH3821" s="1">
        <v>37257</v>
      </c>
      <c r="AI3821" s="1">
        <v>37257</v>
      </c>
      <c r="AJ3821" s="1">
        <v>44562</v>
      </c>
      <c r="AK3821" t="s">
        <v>51</v>
      </c>
      <c r="AN3821">
        <v>0</v>
      </c>
      <c r="AO3821" t="s">
        <v>54</v>
      </c>
      <c r="AP3821" t="s">
        <v>53</v>
      </c>
      <c r="AQ3821">
        <v>0</v>
      </c>
      <c r="AR3821" t="s">
        <v>53</v>
      </c>
      <c r="AS3821">
        <v>0</v>
      </c>
      <c r="AT3821">
        <v>0</v>
      </c>
      <c r="CC3821" t="s">
        <v>439</v>
      </c>
      <c r="CD3821">
        <v>85000</v>
      </c>
      <c r="CE3821" s="1">
        <v>42552</v>
      </c>
      <c r="CF3821" s="1">
        <v>42552</v>
      </c>
      <c r="CG3821" s="1">
        <v>42552</v>
      </c>
      <c r="CH3821" s="1">
        <v>49714</v>
      </c>
      <c r="CI3821" t="s">
        <v>51</v>
      </c>
      <c r="CK3821" t="s">
        <v>78</v>
      </c>
      <c r="CM3821" t="s">
        <v>54</v>
      </c>
      <c r="CN3821" t="s">
        <v>174</v>
      </c>
      <c r="CO3821" t="s">
        <v>86</v>
      </c>
      <c r="CR3821">
        <v>25</v>
      </c>
      <c r="CS3821">
        <v>0</v>
      </c>
      <c r="CT3821">
        <v>0</v>
      </c>
      <c r="CU3821">
        <v>0</v>
      </c>
    </row>
    <row r="3822" spans="1:99" x14ac:dyDescent="0.2">
      <c r="A3822" t="s">
        <v>367</v>
      </c>
      <c r="B3822" t="s">
        <v>368</v>
      </c>
      <c r="C3822" t="s">
        <v>1733</v>
      </c>
      <c r="D3822" t="s">
        <v>369</v>
      </c>
      <c r="F3822" t="str">
        <f>"165500"</f>
        <v>165500</v>
      </c>
      <c r="G3822" t="s">
        <v>49</v>
      </c>
      <c r="H3822" t="s">
        <v>1807</v>
      </c>
      <c r="K3822" t="s">
        <v>51</v>
      </c>
      <c r="L3822" t="s">
        <v>52</v>
      </c>
      <c r="M3822">
        <v>135916.65</v>
      </c>
      <c r="N3822">
        <v>466878.77</v>
      </c>
      <c r="O3822" t="s">
        <v>53</v>
      </c>
      <c r="P3822" t="s">
        <v>54</v>
      </c>
      <c r="Q3822" t="s">
        <v>55</v>
      </c>
      <c r="T3822" t="s">
        <v>376</v>
      </c>
      <c r="U3822">
        <v>40</v>
      </c>
      <c r="V3822" s="1">
        <v>37258</v>
      </c>
      <c r="W3822" s="1">
        <v>37258</v>
      </c>
      <c r="X3822" s="1">
        <v>37258</v>
      </c>
      <c r="Y3822" s="1">
        <v>51868</v>
      </c>
      <c r="Z3822" t="s">
        <v>51</v>
      </c>
      <c r="AB3822" t="s">
        <v>54</v>
      </c>
      <c r="AC3822">
        <v>1</v>
      </c>
      <c r="AE3822" t="s">
        <v>814</v>
      </c>
      <c r="AF3822">
        <v>20</v>
      </c>
      <c r="AG3822" s="1">
        <v>37258</v>
      </c>
      <c r="AH3822" s="1">
        <v>37258</v>
      </c>
      <c r="AI3822" s="1">
        <v>37258</v>
      </c>
      <c r="AJ3822" s="1">
        <v>44563</v>
      </c>
      <c r="AK3822" t="s">
        <v>51</v>
      </c>
      <c r="AN3822">
        <v>0</v>
      </c>
      <c r="AO3822" t="s">
        <v>54</v>
      </c>
      <c r="AP3822" t="s">
        <v>53</v>
      </c>
      <c r="AQ3822">
        <v>0</v>
      </c>
      <c r="AR3822" t="s">
        <v>53</v>
      </c>
      <c r="AS3822">
        <v>0</v>
      </c>
      <c r="AT3822">
        <v>0</v>
      </c>
      <c r="CC3822" t="s">
        <v>439</v>
      </c>
      <c r="CD3822">
        <v>85000</v>
      </c>
      <c r="CE3822" s="1">
        <v>44851</v>
      </c>
      <c r="CF3822" s="1">
        <v>44851</v>
      </c>
      <c r="CG3822" s="1">
        <v>44851</v>
      </c>
      <c r="CH3822" s="1">
        <v>52004</v>
      </c>
      <c r="CI3822" t="s">
        <v>51</v>
      </c>
      <c r="CK3822" t="s">
        <v>78</v>
      </c>
      <c r="CM3822" t="s">
        <v>54</v>
      </c>
      <c r="CN3822" t="s">
        <v>174</v>
      </c>
      <c r="CO3822" t="s">
        <v>86</v>
      </c>
      <c r="CR3822">
        <v>25</v>
      </c>
      <c r="CS3822">
        <v>0</v>
      </c>
      <c r="CT3822">
        <v>0</v>
      </c>
      <c r="CU3822">
        <v>0</v>
      </c>
    </row>
    <row r="3823" spans="1:99" x14ac:dyDescent="0.2">
      <c r="A3823" t="s">
        <v>367</v>
      </c>
      <c r="B3823" t="s">
        <v>368</v>
      </c>
      <c r="C3823" t="s">
        <v>369</v>
      </c>
      <c r="D3823" t="s">
        <v>369</v>
      </c>
      <c r="F3823" t="str">
        <f>"165505"</f>
        <v>165505</v>
      </c>
      <c r="G3823" t="s">
        <v>49</v>
      </c>
      <c r="H3823" t="s">
        <v>1808</v>
      </c>
      <c r="K3823" t="s">
        <v>51</v>
      </c>
      <c r="L3823" t="s">
        <v>52</v>
      </c>
      <c r="M3823">
        <v>137535.12</v>
      </c>
      <c r="N3823">
        <v>468307.64</v>
      </c>
      <c r="O3823" t="s">
        <v>53</v>
      </c>
      <c r="P3823" t="s">
        <v>54</v>
      </c>
      <c r="Q3823" t="s">
        <v>55</v>
      </c>
      <c r="T3823" t="s">
        <v>376</v>
      </c>
      <c r="U3823">
        <v>40</v>
      </c>
      <c r="V3823" s="1">
        <v>37257</v>
      </c>
      <c r="W3823" s="1">
        <v>37257</v>
      </c>
      <c r="X3823" s="1">
        <v>37257</v>
      </c>
      <c r="Y3823" s="1">
        <v>51867</v>
      </c>
      <c r="Z3823" t="s">
        <v>51</v>
      </c>
      <c r="AB3823" t="s">
        <v>54</v>
      </c>
      <c r="AC3823">
        <v>1</v>
      </c>
      <c r="AE3823" t="s">
        <v>814</v>
      </c>
      <c r="AF3823">
        <v>20</v>
      </c>
      <c r="AG3823" s="1">
        <v>37257</v>
      </c>
      <c r="AH3823" s="1">
        <v>37257</v>
      </c>
      <c r="AI3823" s="1">
        <v>37257</v>
      </c>
      <c r="AJ3823" s="1">
        <v>44562</v>
      </c>
      <c r="AK3823" t="s">
        <v>51</v>
      </c>
      <c r="AN3823">
        <v>0</v>
      </c>
      <c r="AO3823" t="s">
        <v>54</v>
      </c>
      <c r="AP3823" t="s">
        <v>53</v>
      </c>
      <c r="AQ3823">
        <v>0</v>
      </c>
      <c r="AR3823" t="s">
        <v>53</v>
      </c>
      <c r="AS3823">
        <v>0</v>
      </c>
      <c r="AT3823">
        <v>0</v>
      </c>
      <c r="CC3823" t="s">
        <v>439</v>
      </c>
      <c r="CD3823">
        <v>85000</v>
      </c>
      <c r="CE3823" s="1">
        <v>42552</v>
      </c>
      <c r="CF3823" s="1">
        <v>42552</v>
      </c>
      <c r="CG3823" s="1">
        <v>42552</v>
      </c>
      <c r="CH3823" s="1">
        <v>49714</v>
      </c>
      <c r="CI3823" t="s">
        <v>51</v>
      </c>
      <c r="CK3823" t="s">
        <v>78</v>
      </c>
      <c r="CM3823" t="s">
        <v>54</v>
      </c>
      <c r="CN3823" t="s">
        <v>174</v>
      </c>
      <c r="CO3823" t="s">
        <v>86</v>
      </c>
      <c r="CR3823">
        <v>25</v>
      </c>
      <c r="CS3823">
        <v>0</v>
      </c>
      <c r="CT3823">
        <v>0</v>
      </c>
      <c r="CU3823">
        <v>0</v>
      </c>
    </row>
    <row r="3824" spans="1:99" x14ac:dyDescent="0.2">
      <c r="A3824" t="s">
        <v>367</v>
      </c>
      <c r="B3824" t="s">
        <v>368</v>
      </c>
      <c r="C3824" t="s">
        <v>369</v>
      </c>
      <c r="D3824" t="s">
        <v>369</v>
      </c>
      <c r="F3824" t="str">
        <f>"165506"</f>
        <v>165506</v>
      </c>
      <c r="G3824" t="s">
        <v>49</v>
      </c>
      <c r="H3824" t="s">
        <v>863</v>
      </c>
      <c r="K3824" t="s">
        <v>51</v>
      </c>
      <c r="L3824" t="s">
        <v>52</v>
      </c>
      <c r="M3824">
        <v>137538.78</v>
      </c>
      <c r="N3824">
        <v>468289.42</v>
      </c>
      <c r="O3824" t="s">
        <v>53</v>
      </c>
      <c r="P3824" t="s">
        <v>54</v>
      </c>
      <c r="Q3824" t="s">
        <v>55</v>
      </c>
      <c r="T3824" t="s">
        <v>376</v>
      </c>
      <c r="U3824">
        <v>40</v>
      </c>
      <c r="V3824" s="1">
        <v>37257</v>
      </c>
      <c r="W3824" s="1">
        <v>37257</v>
      </c>
      <c r="X3824" s="1">
        <v>37257</v>
      </c>
      <c r="Y3824" s="1">
        <v>51867</v>
      </c>
      <c r="Z3824" t="s">
        <v>51</v>
      </c>
      <c r="AB3824" t="s">
        <v>54</v>
      </c>
      <c r="AC3824">
        <v>1</v>
      </c>
      <c r="AE3824" t="s">
        <v>814</v>
      </c>
      <c r="AF3824">
        <v>20</v>
      </c>
      <c r="AG3824" s="1">
        <v>37257</v>
      </c>
      <c r="AH3824" s="1">
        <v>37257</v>
      </c>
      <c r="AI3824" s="1">
        <v>37257</v>
      </c>
      <c r="AJ3824" s="1">
        <v>44562</v>
      </c>
      <c r="AK3824" t="s">
        <v>51</v>
      </c>
      <c r="AN3824">
        <v>0</v>
      </c>
      <c r="AO3824" t="s">
        <v>54</v>
      </c>
      <c r="AP3824" t="s">
        <v>53</v>
      </c>
      <c r="AQ3824">
        <v>0</v>
      </c>
      <c r="AR3824" t="s">
        <v>53</v>
      </c>
      <c r="AS3824">
        <v>0</v>
      </c>
      <c r="AT3824">
        <v>0</v>
      </c>
      <c r="CC3824" t="s">
        <v>439</v>
      </c>
      <c r="CD3824">
        <v>85000</v>
      </c>
      <c r="CE3824" s="1">
        <v>42552</v>
      </c>
      <c r="CF3824" s="1">
        <v>42552</v>
      </c>
      <c r="CG3824" s="1">
        <v>42552</v>
      </c>
      <c r="CH3824" s="1">
        <v>49714</v>
      </c>
      <c r="CI3824" t="s">
        <v>51</v>
      </c>
      <c r="CK3824" t="s">
        <v>78</v>
      </c>
      <c r="CM3824" t="s">
        <v>54</v>
      </c>
      <c r="CN3824" t="s">
        <v>174</v>
      </c>
      <c r="CO3824" t="s">
        <v>86</v>
      </c>
      <c r="CR3824">
        <v>25</v>
      </c>
      <c r="CS3824">
        <v>0</v>
      </c>
      <c r="CT3824">
        <v>0</v>
      </c>
      <c r="CU3824">
        <v>0</v>
      </c>
    </row>
    <row r="3825" spans="1:99" x14ac:dyDescent="0.2">
      <c r="A3825" t="s">
        <v>367</v>
      </c>
      <c r="B3825" t="s">
        <v>368</v>
      </c>
      <c r="C3825" t="s">
        <v>369</v>
      </c>
      <c r="D3825" t="s">
        <v>369</v>
      </c>
      <c r="F3825" t="str">
        <f>"165507"</f>
        <v>165507</v>
      </c>
      <c r="G3825" t="s">
        <v>49</v>
      </c>
      <c r="H3825" t="s">
        <v>865</v>
      </c>
      <c r="K3825" t="s">
        <v>51</v>
      </c>
      <c r="L3825" t="s">
        <v>52</v>
      </c>
      <c r="M3825">
        <v>137563.29999999999</v>
      </c>
      <c r="N3825">
        <v>468270.53</v>
      </c>
      <c r="O3825" t="s">
        <v>53</v>
      </c>
      <c r="P3825" t="s">
        <v>54</v>
      </c>
      <c r="Q3825" t="s">
        <v>55</v>
      </c>
      <c r="T3825" t="s">
        <v>376</v>
      </c>
      <c r="U3825">
        <v>40</v>
      </c>
      <c r="V3825" s="1">
        <v>37257</v>
      </c>
      <c r="W3825" s="1">
        <v>37257</v>
      </c>
      <c r="X3825" s="1">
        <v>37257</v>
      </c>
      <c r="Y3825" s="1">
        <v>51867</v>
      </c>
      <c r="Z3825" t="s">
        <v>51</v>
      </c>
      <c r="AB3825" t="s">
        <v>54</v>
      </c>
      <c r="AC3825">
        <v>1</v>
      </c>
      <c r="AE3825" t="s">
        <v>814</v>
      </c>
      <c r="AF3825">
        <v>20</v>
      </c>
      <c r="AG3825" s="1">
        <v>37257</v>
      </c>
      <c r="AH3825" s="1">
        <v>37257</v>
      </c>
      <c r="AI3825" s="1">
        <v>37257</v>
      </c>
      <c r="AJ3825" s="1">
        <v>44562</v>
      </c>
      <c r="AK3825" t="s">
        <v>51</v>
      </c>
      <c r="AN3825">
        <v>0</v>
      </c>
      <c r="AO3825" t="s">
        <v>54</v>
      </c>
      <c r="AP3825" t="s">
        <v>53</v>
      </c>
      <c r="AQ3825">
        <v>0</v>
      </c>
      <c r="AR3825" t="s">
        <v>53</v>
      </c>
      <c r="AS3825">
        <v>0</v>
      </c>
      <c r="AT3825">
        <v>0</v>
      </c>
      <c r="CC3825" t="s">
        <v>439</v>
      </c>
      <c r="CD3825">
        <v>85000</v>
      </c>
      <c r="CE3825" s="1">
        <v>42552</v>
      </c>
      <c r="CF3825" s="1">
        <v>42552</v>
      </c>
      <c r="CG3825" s="1">
        <v>42552</v>
      </c>
      <c r="CH3825" s="1">
        <v>49714</v>
      </c>
      <c r="CI3825" t="s">
        <v>51</v>
      </c>
      <c r="CK3825" t="s">
        <v>78</v>
      </c>
      <c r="CM3825" t="s">
        <v>54</v>
      </c>
      <c r="CN3825" t="s">
        <v>174</v>
      </c>
      <c r="CO3825" t="s">
        <v>86</v>
      </c>
      <c r="CR3825">
        <v>25</v>
      </c>
      <c r="CS3825">
        <v>0</v>
      </c>
      <c r="CT3825">
        <v>0</v>
      </c>
      <c r="CU3825">
        <v>0</v>
      </c>
    </row>
    <row r="3826" spans="1:99" x14ac:dyDescent="0.2">
      <c r="A3826" t="s">
        <v>367</v>
      </c>
      <c r="B3826" t="s">
        <v>368</v>
      </c>
      <c r="C3826" t="s">
        <v>369</v>
      </c>
      <c r="D3826" t="s">
        <v>369</v>
      </c>
      <c r="F3826" t="str">
        <f>"165508"</f>
        <v>165508</v>
      </c>
      <c r="G3826" t="s">
        <v>49</v>
      </c>
      <c r="H3826" t="s">
        <v>870</v>
      </c>
      <c r="K3826" t="s">
        <v>51</v>
      </c>
      <c r="L3826" t="s">
        <v>52</v>
      </c>
      <c r="M3826">
        <v>137572.29999999999</v>
      </c>
      <c r="N3826">
        <v>468241.42</v>
      </c>
      <c r="O3826" t="s">
        <v>53</v>
      </c>
      <c r="P3826" t="s">
        <v>54</v>
      </c>
      <c r="Q3826" t="s">
        <v>55</v>
      </c>
      <c r="T3826" t="s">
        <v>376</v>
      </c>
      <c r="U3826">
        <v>40</v>
      </c>
      <c r="V3826" s="1">
        <v>37257</v>
      </c>
      <c r="W3826" s="1">
        <v>37257</v>
      </c>
      <c r="X3826" s="1">
        <v>37257</v>
      </c>
      <c r="Y3826" s="1">
        <v>51867</v>
      </c>
      <c r="Z3826" t="s">
        <v>51</v>
      </c>
      <c r="AB3826" t="s">
        <v>54</v>
      </c>
      <c r="AC3826">
        <v>1</v>
      </c>
      <c r="AE3826" t="s">
        <v>814</v>
      </c>
      <c r="AF3826">
        <v>20</v>
      </c>
      <c r="AG3826" s="1">
        <v>37257</v>
      </c>
      <c r="AH3826" s="1">
        <v>37257</v>
      </c>
      <c r="AI3826" s="1">
        <v>37257</v>
      </c>
      <c r="AJ3826" s="1">
        <v>44562</v>
      </c>
      <c r="AK3826" t="s">
        <v>51</v>
      </c>
      <c r="AN3826">
        <v>0</v>
      </c>
      <c r="AO3826" t="s">
        <v>54</v>
      </c>
      <c r="AP3826" t="s">
        <v>53</v>
      </c>
      <c r="AQ3826">
        <v>0</v>
      </c>
      <c r="AR3826" t="s">
        <v>53</v>
      </c>
      <c r="AS3826">
        <v>0</v>
      </c>
      <c r="AT3826">
        <v>0</v>
      </c>
      <c r="CC3826" t="s">
        <v>439</v>
      </c>
      <c r="CD3826">
        <v>85000</v>
      </c>
      <c r="CE3826" s="1">
        <v>42552</v>
      </c>
      <c r="CF3826" s="1">
        <v>42552</v>
      </c>
      <c r="CG3826" s="1">
        <v>42552</v>
      </c>
      <c r="CH3826" s="1">
        <v>49714</v>
      </c>
      <c r="CI3826" t="s">
        <v>51</v>
      </c>
      <c r="CK3826" t="s">
        <v>78</v>
      </c>
      <c r="CM3826" t="s">
        <v>54</v>
      </c>
      <c r="CN3826" t="s">
        <v>174</v>
      </c>
      <c r="CO3826" t="s">
        <v>86</v>
      </c>
      <c r="CR3826">
        <v>25</v>
      </c>
      <c r="CS3826">
        <v>0</v>
      </c>
      <c r="CT3826">
        <v>0</v>
      </c>
      <c r="CU3826">
        <v>0</v>
      </c>
    </row>
    <row r="3827" spans="1:99" x14ac:dyDescent="0.2">
      <c r="A3827" t="s">
        <v>367</v>
      </c>
      <c r="B3827" t="s">
        <v>368</v>
      </c>
      <c r="C3827" t="s">
        <v>369</v>
      </c>
      <c r="D3827" t="s">
        <v>369</v>
      </c>
      <c r="F3827" t="str">
        <f>"165509"</f>
        <v>165509</v>
      </c>
      <c r="G3827" t="s">
        <v>49</v>
      </c>
      <c r="H3827" t="s">
        <v>880</v>
      </c>
      <c r="K3827" t="s">
        <v>51</v>
      </c>
      <c r="L3827" t="s">
        <v>52</v>
      </c>
      <c r="M3827">
        <v>137590.07999999999</v>
      </c>
      <c r="N3827">
        <v>468214.26</v>
      </c>
      <c r="O3827" t="s">
        <v>53</v>
      </c>
      <c r="P3827" t="s">
        <v>54</v>
      </c>
      <c r="Q3827" t="s">
        <v>55</v>
      </c>
      <c r="T3827" t="s">
        <v>376</v>
      </c>
      <c r="U3827">
        <v>40</v>
      </c>
      <c r="V3827" s="1">
        <v>37257</v>
      </c>
      <c r="W3827" s="1">
        <v>37257</v>
      </c>
      <c r="X3827" s="1">
        <v>37257</v>
      </c>
      <c r="Y3827" s="1">
        <v>51867</v>
      </c>
      <c r="Z3827" t="s">
        <v>51</v>
      </c>
      <c r="AB3827" t="s">
        <v>54</v>
      </c>
      <c r="AC3827">
        <v>1</v>
      </c>
      <c r="AE3827" t="s">
        <v>814</v>
      </c>
      <c r="AF3827">
        <v>20</v>
      </c>
      <c r="AG3827" s="1">
        <v>37257</v>
      </c>
      <c r="AH3827" s="1">
        <v>37257</v>
      </c>
      <c r="AI3827" s="1">
        <v>37257</v>
      </c>
      <c r="AJ3827" s="1">
        <v>44562</v>
      </c>
      <c r="AK3827" t="s">
        <v>51</v>
      </c>
      <c r="AN3827">
        <v>0</v>
      </c>
      <c r="AO3827" t="s">
        <v>54</v>
      </c>
      <c r="AP3827" t="s">
        <v>53</v>
      </c>
      <c r="AQ3827">
        <v>0</v>
      </c>
      <c r="AR3827" t="s">
        <v>53</v>
      </c>
      <c r="AS3827">
        <v>0</v>
      </c>
      <c r="AT3827">
        <v>0</v>
      </c>
      <c r="CC3827" t="s">
        <v>439</v>
      </c>
      <c r="CD3827">
        <v>85000</v>
      </c>
      <c r="CE3827" s="1">
        <v>42552</v>
      </c>
      <c r="CF3827" s="1">
        <v>42552</v>
      </c>
      <c r="CG3827" s="1">
        <v>42552</v>
      </c>
      <c r="CH3827" s="1">
        <v>49714</v>
      </c>
      <c r="CI3827" t="s">
        <v>51</v>
      </c>
      <c r="CK3827" t="s">
        <v>78</v>
      </c>
      <c r="CM3827" t="s">
        <v>54</v>
      </c>
      <c r="CN3827" t="s">
        <v>174</v>
      </c>
      <c r="CO3827" t="s">
        <v>86</v>
      </c>
      <c r="CR3827">
        <v>25</v>
      </c>
      <c r="CS3827">
        <v>0</v>
      </c>
      <c r="CT3827">
        <v>0</v>
      </c>
      <c r="CU3827">
        <v>0</v>
      </c>
    </row>
    <row r="3828" spans="1:99" x14ac:dyDescent="0.2">
      <c r="A3828" t="s">
        <v>367</v>
      </c>
      <c r="B3828" t="s">
        <v>368</v>
      </c>
      <c r="C3828" t="s">
        <v>369</v>
      </c>
      <c r="D3828" t="s">
        <v>369</v>
      </c>
      <c r="F3828" t="str">
        <f>"165511"</f>
        <v>165511</v>
      </c>
      <c r="G3828" t="s">
        <v>49</v>
      </c>
      <c r="H3828" t="s">
        <v>1809</v>
      </c>
      <c r="K3828" t="s">
        <v>51</v>
      </c>
      <c r="L3828" t="s">
        <v>52</v>
      </c>
      <c r="M3828">
        <v>137603.38</v>
      </c>
      <c r="N3828">
        <v>468191.58</v>
      </c>
      <c r="O3828" t="s">
        <v>53</v>
      </c>
      <c r="P3828" t="s">
        <v>54</v>
      </c>
      <c r="Q3828" t="s">
        <v>55</v>
      </c>
      <c r="T3828" t="s">
        <v>376</v>
      </c>
      <c r="U3828">
        <v>40</v>
      </c>
      <c r="V3828" s="1">
        <v>37257</v>
      </c>
      <c r="W3828" s="1">
        <v>37257</v>
      </c>
      <c r="X3828" s="1">
        <v>37257</v>
      </c>
      <c r="Y3828" s="1">
        <v>51867</v>
      </c>
      <c r="Z3828" t="s">
        <v>51</v>
      </c>
      <c r="AB3828" t="s">
        <v>54</v>
      </c>
      <c r="AC3828">
        <v>1</v>
      </c>
      <c r="AE3828" t="s">
        <v>814</v>
      </c>
      <c r="AF3828">
        <v>20</v>
      </c>
      <c r="AG3828" s="1">
        <v>37257</v>
      </c>
      <c r="AH3828" s="1">
        <v>37257</v>
      </c>
      <c r="AI3828" s="1">
        <v>37257</v>
      </c>
      <c r="AJ3828" s="1">
        <v>44562</v>
      </c>
      <c r="AK3828" t="s">
        <v>51</v>
      </c>
      <c r="AN3828">
        <v>0</v>
      </c>
      <c r="AO3828" t="s">
        <v>54</v>
      </c>
      <c r="AP3828" t="s">
        <v>53</v>
      </c>
      <c r="AQ3828">
        <v>0</v>
      </c>
      <c r="AR3828" t="s">
        <v>53</v>
      </c>
      <c r="AS3828">
        <v>0</v>
      </c>
      <c r="AT3828">
        <v>0</v>
      </c>
      <c r="CC3828" t="s">
        <v>439</v>
      </c>
      <c r="CD3828">
        <v>85000</v>
      </c>
      <c r="CE3828" s="1">
        <v>42552</v>
      </c>
      <c r="CF3828" s="1">
        <v>42552</v>
      </c>
      <c r="CG3828" s="1">
        <v>42552</v>
      </c>
      <c r="CH3828" s="1">
        <v>49714</v>
      </c>
      <c r="CI3828" t="s">
        <v>51</v>
      </c>
      <c r="CK3828" t="s">
        <v>78</v>
      </c>
      <c r="CM3828" t="s">
        <v>54</v>
      </c>
      <c r="CN3828" t="s">
        <v>174</v>
      </c>
      <c r="CO3828" t="s">
        <v>86</v>
      </c>
      <c r="CR3828">
        <v>25</v>
      </c>
      <c r="CS3828">
        <v>0</v>
      </c>
      <c r="CT3828">
        <v>0</v>
      </c>
      <c r="CU3828">
        <v>0</v>
      </c>
    </row>
    <row r="3829" spans="1:99" x14ac:dyDescent="0.2">
      <c r="A3829" t="s">
        <v>367</v>
      </c>
      <c r="B3829" t="s">
        <v>368</v>
      </c>
      <c r="C3829" t="s">
        <v>369</v>
      </c>
      <c r="D3829" t="s">
        <v>369</v>
      </c>
      <c r="F3829" t="str">
        <f>"165513"</f>
        <v>165513</v>
      </c>
      <c r="G3829" t="s">
        <v>49</v>
      </c>
      <c r="H3829" t="s">
        <v>1810</v>
      </c>
      <c r="K3829" t="s">
        <v>51</v>
      </c>
      <c r="L3829" t="s">
        <v>52</v>
      </c>
      <c r="M3829">
        <v>137625.92000000001</v>
      </c>
      <c r="N3829">
        <v>468169.32</v>
      </c>
      <c r="O3829" t="s">
        <v>53</v>
      </c>
      <c r="P3829" t="s">
        <v>54</v>
      </c>
      <c r="Q3829" t="s">
        <v>55</v>
      </c>
      <c r="T3829" t="s">
        <v>376</v>
      </c>
      <c r="U3829">
        <v>40</v>
      </c>
      <c r="V3829" s="1">
        <v>37257</v>
      </c>
      <c r="W3829" s="1">
        <v>37257</v>
      </c>
      <c r="X3829" s="1">
        <v>37257</v>
      </c>
      <c r="Y3829" s="1">
        <v>51867</v>
      </c>
      <c r="Z3829" t="s">
        <v>51</v>
      </c>
      <c r="AB3829" t="s">
        <v>54</v>
      </c>
      <c r="AC3829">
        <v>1</v>
      </c>
      <c r="AE3829" t="s">
        <v>814</v>
      </c>
      <c r="AF3829">
        <v>20</v>
      </c>
      <c r="AG3829" s="1">
        <v>37257</v>
      </c>
      <c r="AH3829" s="1">
        <v>37257</v>
      </c>
      <c r="AI3829" s="1">
        <v>37257</v>
      </c>
      <c r="AJ3829" s="1">
        <v>44562</v>
      </c>
      <c r="AK3829" t="s">
        <v>51</v>
      </c>
      <c r="AN3829">
        <v>0</v>
      </c>
      <c r="AO3829" t="s">
        <v>54</v>
      </c>
      <c r="AP3829" t="s">
        <v>53</v>
      </c>
      <c r="AQ3829">
        <v>0</v>
      </c>
      <c r="AR3829" t="s">
        <v>53</v>
      </c>
      <c r="AS3829">
        <v>0</v>
      </c>
      <c r="AT3829">
        <v>0</v>
      </c>
      <c r="CC3829" t="s">
        <v>439</v>
      </c>
      <c r="CD3829">
        <v>85000</v>
      </c>
      <c r="CE3829" s="1">
        <v>42552</v>
      </c>
      <c r="CF3829" s="1">
        <v>42552</v>
      </c>
      <c r="CG3829" s="1">
        <v>42552</v>
      </c>
      <c r="CH3829" s="1">
        <v>49714</v>
      </c>
      <c r="CI3829" t="s">
        <v>51</v>
      </c>
      <c r="CK3829" t="s">
        <v>78</v>
      </c>
      <c r="CM3829" t="s">
        <v>54</v>
      </c>
      <c r="CN3829" t="s">
        <v>174</v>
      </c>
      <c r="CO3829" t="s">
        <v>86</v>
      </c>
      <c r="CR3829">
        <v>25</v>
      </c>
      <c r="CS3829">
        <v>0</v>
      </c>
      <c r="CT3829">
        <v>0</v>
      </c>
      <c r="CU3829">
        <v>0</v>
      </c>
    </row>
    <row r="3830" spans="1:99" x14ac:dyDescent="0.2">
      <c r="A3830" t="s">
        <v>367</v>
      </c>
      <c r="B3830" t="s">
        <v>368</v>
      </c>
      <c r="C3830" t="s">
        <v>369</v>
      </c>
      <c r="D3830" t="s">
        <v>369</v>
      </c>
      <c r="F3830" t="str">
        <f>"165514"</f>
        <v>165514</v>
      </c>
      <c r="G3830" t="s">
        <v>49</v>
      </c>
      <c r="H3830" t="s">
        <v>1810</v>
      </c>
      <c r="K3830" t="s">
        <v>51</v>
      </c>
      <c r="L3830" t="s">
        <v>52</v>
      </c>
      <c r="M3830">
        <v>137625.5</v>
      </c>
      <c r="N3830">
        <v>468150.56</v>
      </c>
      <c r="O3830" t="s">
        <v>53</v>
      </c>
      <c r="P3830" t="s">
        <v>54</v>
      </c>
      <c r="Q3830" t="s">
        <v>55</v>
      </c>
      <c r="T3830" t="s">
        <v>376</v>
      </c>
      <c r="U3830">
        <v>40</v>
      </c>
      <c r="V3830" s="1">
        <v>37257</v>
      </c>
      <c r="W3830" s="1">
        <v>37257</v>
      </c>
      <c r="X3830" s="1">
        <v>37257</v>
      </c>
      <c r="Y3830" s="1">
        <v>51867</v>
      </c>
      <c r="Z3830" t="s">
        <v>51</v>
      </c>
      <c r="AB3830" t="s">
        <v>54</v>
      </c>
      <c r="AC3830">
        <v>1</v>
      </c>
      <c r="AE3830" t="s">
        <v>356</v>
      </c>
      <c r="AF3830">
        <v>20</v>
      </c>
      <c r="AG3830" s="1">
        <v>44908</v>
      </c>
      <c r="AH3830" s="1">
        <v>44908</v>
      </c>
      <c r="AI3830" s="1">
        <v>44908</v>
      </c>
      <c r="AJ3830" s="1">
        <v>52213</v>
      </c>
      <c r="AK3830" t="s">
        <v>51</v>
      </c>
      <c r="AN3830">
        <v>0</v>
      </c>
      <c r="AO3830" t="s">
        <v>54</v>
      </c>
      <c r="AP3830" t="s">
        <v>53</v>
      </c>
      <c r="AQ3830">
        <v>0</v>
      </c>
      <c r="AR3830" t="s">
        <v>145</v>
      </c>
      <c r="AS3830">
        <v>0</v>
      </c>
      <c r="AT3830">
        <v>0</v>
      </c>
      <c r="BH3830" t="s">
        <v>53</v>
      </c>
    </row>
    <row r="3831" spans="1:99" x14ac:dyDescent="0.2">
      <c r="A3831" t="s">
        <v>367</v>
      </c>
      <c r="B3831" t="s">
        <v>368</v>
      </c>
      <c r="C3831" t="s">
        <v>369</v>
      </c>
      <c r="D3831" t="s">
        <v>369</v>
      </c>
      <c r="F3831" t="str">
        <f>"165515"</f>
        <v>165515</v>
      </c>
      <c r="G3831" t="s">
        <v>49</v>
      </c>
      <c r="H3831" t="s">
        <v>867</v>
      </c>
      <c r="K3831" t="s">
        <v>51</v>
      </c>
      <c r="L3831" t="s">
        <v>52</v>
      </c>
      <c r="M3831">
        <v>137655.18</v>
      </c>
      <c r="N3831">
        <v>468115.42</v>
      </c>
      <c r="O3831" t="s">
        <v>53</v>
      </c>
      <c r="P3831" t="s">
        <v>54</v>
      </c>
      <c r="Q3831" t="s">
        <v>55</v>
      </c>
      <c r="T3831" t="s">
        <v>376</v>
      </c>
      <c r="U3831">
        <v>40</v>
      </c>
      <c r="V3831" s="1">
        <v>37257</v>
      </c>
      <c r="W3831" s="1">
        <v>37257</v>
      </c>
      <c r="X3831" s="1">
        <v>37257</v>
      </c>
      <c r="Y3831" s="1">
        <v>51867</v>
      </c>
      <c r="Z3831" t="s">
        <v>51</v>
      </c>
      <c r="AB3831" t="s">
        <v>54</v>
      </c>
      <c r="AC3831">
        <v>1</v>
      </c>
      <c r="AE3831" t="s">
        <v>814</v>
      </c>
      <c r="AF3831">
        <v>20</v>
      </c>
      <c r="AG3831" s="1">
        <v>37257</v>
      </c>
      <c r="AH3831" s="1">
        <v>37257</v>
      </c>
      <c r="AI3831" s="1">
        <v>37257</v>
      </c>
      <c r="AJ3831" s="1">
        <v>44562</v>
      </c>
      <c r="AK3831" t="s">
        <v>51</v>
      </c>
      <c r="AN3831">
        <v>0</v>
      </c>
      <c r="AO3831" t="s">
        <v>54</v>
      </c>
      <c r="AP3831" t="s">
        <v>53</v>
      </c>
      <c r="AQ3831">
        <v>0</v>
      </c>
      <c r="AR3831" t="s">
        <v>53</v>
      </c>
      <c r="AS3831">
        <v>0</v>
      </c>
      <c r="AT3831">
        <v>0</v>
      </c>
      <c r="CC3831" t="s">
        <v>439</v>
      </c>
      <c r="CD3831">
        <v>85000</v>
      </c>
      <c r="CE3831" s="1">
        <v>42552</v>
      </c>
      <c r="CF3831" s="1">
        <v>42552</v>
      </c>
      <c r="CG3831" s="1">
        <v>42552</v>
      </c>
      <c r="CH3831" s="1">
        <v>49714</v>
      </c>
      <c r="CI3831" t="s">
        <v>51</v>
      </c>
      <c r="CK3831" t="s">
        <v>78</v>
      </c>
      <c r="CM3831" t="s">
        <v>54</v>
      </c>
      <c r="CN3831" t="s">
        <v>174</v>
      </c>
      <c r="CO3831" t="s">
        <v>86</v>
      </c>
      <c r="CR3831">
        <v>25</v>
      </c>
      <c r="CS3831">
        <v>0</v>
      </c>
      <c r="CT3831">
        <v>0</v>
      </c>
      <c r="CU3831">
        <v>0</v>
      </c>
    </row>
    <row r="3832" spans="1:99" x14ac:dyDescent="0.2">
      <c r="A3832" t="s">
        <v>367</v>
      </c>
      <c r="B3832" t="s">
        <v>368</v>
      </c>
      <c r="C3832" t="s">
        <v>369</v>
      </c>
      <c r="D3832" t="s">
        <v>369</v>
      </c>
      <c r="F3832" t="str">
        <f>"165516"</f>
        <v>165516</v>
      </c>
      <c r="G3832" t="s">
        <v>49</v>
      </c>
      <c r="H3832" t="s">
        <v>1811</v>
      </c>
      <c r="K3832" t="s">
        <v>51</v>
      </c>
      <c r="L3832" t="s">
        <v>52</v>
      </c>
      <c r="M3832">
        <v>137677.51999999999</v>
      </c>
      <c r="N3832">
        <v>468067.52</v>
      </c>
      <c r="O3832" t="s">
        <v>53</v>
      </c>
      <c r="P3832" t="s">
        <v>54</v>
      </c>
      <c r="Q3832" t="s">
        <v>55</v>
      </c>
      <c r="T3832" t="s">
        <v>376</v>
      </c>
      <c r="U3832">
        <v>40</v>
      </c>
      <c r="V3832" s="1">
        <v>37257</v>
      </c>
      <c r="W3832" s="1">
        <v>37257</v>
      </c>
      <c r="X3832" s="1">
        <v>37257</v>
      </c>
      <c r="Y3832" s="1">
        <v>51867</v>
      </c>
      <c r="Z3832" t="s">
        <v>51</v>
      </c>
      <c r="AB3832" t="s">
        <v>54</v>
      </c>
      <c r="AC3832">
        <v>1</v>
      </c>
      <c r="AE3832" t="s">
        <v>814</v>
      </c>
      <c r="AF3832">
        <v>20</v>
      </c>
      <c r="AG3832" s="1">
        <v>37257</v>
      </c>
      <c r="AH3832" s="1">
        <v>37257</v>
      </c>
      <c r="AI3832" s="1">
        <v>37257</v>
      </c>
      <c r="AJ3832" s="1">
        <v>44562</v>
      </c>
      <c r="AK3832" t="s">
        <v>51</v>
      </c>
      <c r="AN3832">
        <v>0</v>
      </c>
      <c r="AO3832" t="s">
        <v>54</v>
      </c>
      <c r="AP3832" t="s">
        <v>53</v>
      </c>
      <c r="AQ3832">
        <v>0</v>
      </c>
      <c r="AR3832" t="s">
        <v>53</v>
      </c>
      <c r="AS3832">
        <v>0</v>
      </c>
      <c r="AT3832">
        <v>0</v>
      </c>
      <c r="CC3832" t="s">
        <v>439</v>
      </c>
      <c r="CD3832">
        <v>85000</v>
      </c>
      <c r="CE3832" s="1">
        <v>42552</v>
      </c>
      <c r="CF3832" s="1">
        <v>42552</v>
      </c>
      <c r="CG3832" s="1">
        <v>42552</v>
      </c>
      <c r="CH3832" s="1">
        <v>49714</v>
      </c>
      <c r="CI3832" t="s">
        <v>51</v>
      </c>
      <c r="CK3832" t="s">
        <v>78</v>
      </c>
      <c r="CM3832" t="s">
        <v>54</v>
      </c>
      <c r="CN3832" t="s">
        <v>174</v>
      </c>
      <c r="CO3832" t="s">
        <v>86</v>
      </c>
      <c r="CR3832">
        <v>25</v>
      </c>
      <c r="CS3832">
        <v>0</v>
      </c>
      <c r="CT3832">
        <v>0</v>
      </c>
      <c r="CU3832">
        <v>0</v>
      </c>
    </row>
    <row r="3833" spans="1:99" x14ac:dyDescent="0.2">
      <c r="A3833" t="s">
        <v>367</v>
      </c>
      <c r="B3833" t="s">
        <v>368</v>
      </c>
      <c r="C3833" t="s">
        <v>369</v>
      </c>
      <c r="D3833" t="s">
        <v>369</v>
      </c>
      <c r="F3833" t="str">
        <f>"165517"</f>
        <v>165517</v>
      </c>
      <c r="G3833" t="s">
        <v>49</v>
      </c>
      <c r="H3833" t="s">
        <v>1812</v>
      </c>
      <c r="K3833" t="s">
        <v>51</v>
      </c>
      <c r="L3833" t="s">
        <v>52</v>
      </c>
      <c r="M3833">
        <v>137691.1</v>
      </c>
      <c r="N3833">
        <v>468040.92</v>
      </c>
      <c r="O3833" t="s">
        <v>53</v>
      </c>
      <c r="P3833" t="s">
        <v>54</v>
      </c>
      <c r="Q3833" t="s">
        <v>55</v>
      </c>
      <c r="T3833" t="s">
        <v>376</v>
      </c>
      <c r="U3833">
        <v>40</v>
      </c>
      <c r="V3833" s="1">
        <v>37257</v>
      </c>
      <c r="W3833" s="1">
        <v>37257</v>
      </c>
      <c r="X3833" s="1">
        <v>37257</v>
      </c>
      <c r="Y3833" s="1">
        <v>51867</v>
      </c>
      <c r="Z3833" t="s">
        <v>51</v>
      </c>
      <c r="AB3833" t="s">
        <v>54</v>
      </c>
      <c r="AC3833">
        <v>1</v>
      </c>
      <c r="AE3833" t="s">
        <v>814</v>
      </c>
      <c r="AF3833">
        <v>20</v>
      </c>
      <c r="AG3833" s="1">
        <v>37257</v>
      </c>
      <c r="AH3833" s="1">
        <v>37257</v>
      </c>
      <c r="AI3833" s="1">
        <v>37257</v>
      </c>
      <c r="AJ3833" s="1">
        <v>44562</v>
      </c>
      <c r="AK3833" t="s">
        <v>51</v>
      </c>
      <c r="AN3833">
        <v>0</v>
      </c>
      <c r="AO3833" t="s">
        <v>54</v>
      </c>
      <c r="AP3833" t="s">
        <v>53</v>
      </c>
      <c r="AQ3833">
        <v>0</v>
      </c>
      <c r="AR3833" t="s">
        <v>53</v>
      </c>
      <c r="AS3833">
        <v>0</v>
      </c>
      <c r="AT3833">
        <v>0</v>
      </c>
      <c r="CC3833" t="s">
        <v>439</v>
      </c>
      <c r="CD3833">
        <v>85000</v>
      </c>
      <c r="CE3833" s="1">
        <v>42552</v>
      </c>
      <c r="CF3833" s="1">
        <v>42552</v>
      </c>
      <c r="CG3833" s="1">
        <v>42552</v>
      </c>
      <c r="CH3833" s="1">
        <v>49714</v>
      </c>
      <c r="CI3833" t="s">
        <v>51</v>
      </c>
      <c r="CK3833" t="s">
        <v>78</v>
      </c>
      <c r="CM3833" t="s">
        <v>54</v>
      </c>
      <c r="CN3833" t="s">
        <v>174</v>
      </c>
      <c r="CO3833" t="s">
        <v>86</v>
      </c>
      <c r="CR3833">
        <v>25</v>
      </c>
      <c r="CS3833">
        <v>0</v>
      </c>
      <c r="CT3833">
        <v>0</v>
      </c>
      <c r="CU3833">
        <v>0</v>
      </c>
    </row>
    <row r="3834" spans="1:99" x14ac:dyDescent="0.2">
      <c r="A3834" t="s">
        <v>367</v>
      </c>
      <c r="B3834" t="s">
        <v>368</v>
      </c>
      <c r="C3834" t="s">
        <v>369</v>
      </c>
      <c r="D3834" t="s">
        <v>369</v>
      </c>
      <c r="F3834" t="str">
        <f>"165518"</f>
        <v>165518</v>
      </c>
      <c r="G3834" t="s">
        <v>49</v>
      </c>
      <c r="H3834" t="s">
        <v>1813</v>
      </c>
      <c r="K3834" t="s">
        <v>51</v>
      </c>
      <c r="L3834" t="s">
        <v>52</v>
      </c>
      <c r="M3834">
        <v>137716.38</v>
      </c>
      <c r="N3834">
        <v>467985.98</v>
      </c>
      <c r="O3834" t="s">
        <v>53</v>
      </c>
      <c r="P3834" t="s">
        <v>54</v>
      </c>
      <c r="Q3834" t="s">
        <v>55</v>
      </c>
      <c r="T3834" t="s">
        <v>376</v>
      </c>
      <c r="U3834">
        <v>40</v>
      </c>
      <c r="V3834" s="1">
        <v>37257</v>
      </c>
      <c r="W3834" s="1">
        <v>37257</v>
      </c>
      <c r="X3834" s="1">
        <v>37257</v>
      </c>
      <c r="Y3834" s="1">
        <v>51867</v>
      </c>
      <c r="Z3834" t="s">
        <v>51</v>
      </c>
      <c r="AB3834" t="s">
        <v>54</v>
      </c>
      <c r="AC3834">
        <v>1</v>
      </c>
      <c r="AE3834" t="s">
        <v>814</v>
      </c>
      <c r="AF3834">
        <v>20</v>
      </c>
      <c r="AG3834" s="1">
        <v>37257</v>
      </c>
      <c r="AH3834" s="1">
        <v>37257</v>
      </c>
      <c r="AI3834" s="1">
        <v>37257</v>
      </c>
      <c r="AJ3834" s="1">
        <v>44562</v>
      </c>
      <c r="AK3834" t="s">
        <v>51</v>
      </c>
      <c r="AN3834">
        <v>0</v>
      </c>
      <c r="AO3834" t="s">
        <v>54</v>
      </c>
      <c r="AP3834" t="s">
        <v>53</v>
      </c>
      <c r="AQ3834">
        <v>0</v>
      </c>
      <c r="AR3834" t="s">
        <v>53</v>
      </c>
      <c r="AS3834">
        <v>0</v>
      </c>
      <c r="AT3834">
        <v>0</v>
      </c>
      <c r="CC3834" t="s">
        <v>439</v>
      </c>
      <c r="CD3834">
        <v>85000</v>
      </c>
      <c r="CE3834" s="1">
        <v>42552</v>
      </c>
      <c r="CF3834" s="1">
        <v>42552</v>
      </c>
      <c r="CG3834" s="1">
        <v>42552</v>
      </c>
      <c r="CH3834" s="1">
        <v>49714</v>
      </c>
      <c r="CI3834" t="s">
        <v>51</v>
      </c>
      <c r="CK3834" t="s">
        <v>78</v>
      </c>
      <c r="CM3834" t="s">
        <v>54</v>
      </c>
      <c r="CN3834" t="s">
        <v>174</v>
      </c>
      <c r="CO3834" t="s">
        <v>86</v>
      </c>
      <c r="CR3834">
        <v>25</v>
      </c>
      <c r="CS3834">
        <v>0</v>
      </c>
      <c r="CT3834">
        <v>0</v>
      </c>
      <c r="CU3834">
        <v>0</v>
      </c>
    </row>
    <row r="3835" spans="1:99" x14ac:dyDescent="0.2">
      <c r="A3835" t="s">
        <v>367</v>
      </c>
      <c r="B3835" t="s">
        <v>368</v>
      </c>
      <c r="C3835" t="s">
        <v>369</v>
      </c>
      <c r="D3835" t="s">
        <v>369</v>
      </c>
      <c r="F3835" t="str">
        <f>"165519"</f>
        <v>165519</v>
      </c>
      <c r="G3835" t="s">
        <v>49</v>
      </c>
      <c r="H3835" t="s">
        <v>1814</v>
      </c>
      <c r="K3835" t="s">
        <v>51</v>
      </c>
      <c r="L3835" t="s">
        <v>52</v>
      </c>
      <c r="M3835">
        <v>137723.82</v>
      </c>
      <c r="N3835">
        <v>467959</v>
      </c>
      <c r="O3835" t="s">
        <v>53</v>
      </c>
      <c r="P3835" t="s">
        <v>54</v>
      </c>
      <c r="Q3835" t="s">
        <v>55</v>
      </c>
      <c r="T3835" t="s">
        <v>376</v>
      </c>
      <c r="U3835">
        <v>40</v>
      </c>
      <c r="V3835" s="1">
        <v>37257</v>
      </c>
      <c r="W3835" s="1">
        <v>37257</v>
      </c>
      <c r="X3835" s="1">
        <v>37257</v>
      </c>
      <c r="Y3835" s="1">
        <v>51867</v>
      </c>
      <c r="Z3835" t="s">
        <v>51</v>
      </c>
      <c r="AB3835" t="s">
        <v>54</v>
      </c>
      <c r="AC3835">
        <v>1</v>
      </c>
      <c r="AE3835" t="s">
        <v>814</v>
      </c>
      <c r="AF3835">
        <v>20</v>
      </c>
      <c r="AG3835" s="1">
        <v>37257</v>
      </c>
      <c r="AH3835" s="1">
        <v>37257</v>
      </c>
      <c r="AI3835" s="1">
        <v>37257</v>
      </c>
      <c r="AJ3835" s="1">
        <v>44562</v>
      </c>
      <c r="AK3835" t="s">
        <v>51</v>
      </c>
      <c r="AN3835">
        <v>0</v>
      </c>
      <c r="AO3835" t="s">
        <v>54</v>
      </c>
      <c r="AP3835" t="s">
        <v>53</v>
      </c>
      <c r="AQ3835">
        <v>0</v>
      </c>
      <c r="AR3835" t="s">
        <v>53</v>
      </c>
      <c r="AS3835">
        <v>0</v>
      </c>
      <c r="AT3835">
        <v>0</v>
      </c>
      <c r="CC3835" t="s">
        <v>439</v>
      </c>
      <c r="CD3835">
        <v>85000</v>
      </c>
      <c r="CE3835" s="1">
        <v>42552</v>
      </c>
      <c r="CF3835" s="1">
        <v>42552</v>
      </c>
      <c r="CG3835" s="1">
        <v>42552</v>
      </c>
      <c r="CH3835" s="1">
        <v>49714</v>
      </c>
      <c r="CI3835" t="s">
        <v>51</v>
      </c>
      <c r="CK3835" t="s">
        <v>78</v>
      </c>
      <c r="CM3835" t="s">
        <v>54</v>
      </c>
      <c r="CN3835" t="s">
        <v>174</v>
      </c>
      <c r="CO3835" t="s">
        <v>86</v>
      </c>
      <c r="CR3835">
        <v>25</v>
      </c>
      <c r="CS3835">
        <v>0</v>
      </c>
      <c r="CT3835">
        <v>0</v>
      </c>
      <c r="CU3835">
        <v>0</v>
      </c>
    </row>
    <row r="3836" spans="1:99" x14ac:dyDescent="0.2">
      <c r="A3836" t="s">
        <v>367</v>
      </c>
      <c r="B3836" t="s">
        <v>368</v>
      </c>
      <c r="C3836" t="s">
        <v>369</v>
      </c>
      <c r="D3836" t="s">
        <v>369</v>
      </c>
      <c r="F3836" t="str">
        <f>"165520"</f>
        <v>165520</v>
      </c>
      <c r="G3836" t="s">
        <v>49</v>
      </c>
      <c r="H3836" t="s">
        <v>1815</v>
      </c>
      <c r="K3836" t="s">
        <v>51</v>
      </c>
      <c r="L3836" t="s">
        <v>52</v>
      </c>
      <c r="M3836">
        <v>137724.29999999999</v>
      </c>
      <c r="N3836">
        <v>467928.82</v>
      </c>
      <c r="O3836" t="s">
        <v>53</v>
      </c>
      <c r="P3836" t="s">
        <v>54</v>
      </c>
      <c r="Q3836" t="s">
        <v>55</v>
      </c>
      <c r="T3836" t="s">
        <v>372</v>
      </c>
      <c r="U3836">
        <v>40</v>
      </c>
      <c r="V3836" s="1">
        <v>39678</v>
      </c>
      <c r="W3836" s="1">
        <v>39678</v>
      </c>
      <c r="X3836" s="1">
        <v>39678</v>
      </c>
      <c r="Y3836" s="1">
        <v>54288</v>
      </c>
      <c r="Z3836" t="s">
        <v>51</v>
      </c>
      <c r="AB3836" t="s">
        <v>54</v>
      </c>
      <c r="AC3836">
        <v>1</v>
      </c>
      <c r="AE3836" t="s">
        <v>814</v>
      </c>
      <c r="AF3836">
        <v>20</v>
      </c>
      <c r="AG3836" s="1">
        <v>37257</v>
      </c>
      <c r="AH3836" s="1">
        <v>37257</v>
      </c>
      <c r="AI3836" s="1">
        <v>39678</v>
      </c>
      <c r="AJ3836" s="1">
        <v>44562</v>
      </c>
      <c r="AK3836" t="s">
        <v>51</v>
      </c>
      <c r="AN3836">
        <v>0</v>
      </c>
      <c r="AO3836" t="s">
        <v>54</v>
      </c>
      <c r="AP3836" t="s">
        <v>53</v>
      </c>
      <c r="AQ3836">
        <v>0</v>
      </c>
      <c r="AR3836" t="s">
        <v>53</v>
      </c>
      <c r="AS3836">
        <v>0</v>
      </c>
      <c r="AT3836">
        <v>0</v>
      </c>
      <c r="CC3836" t="s">
        <v>439</v>
      </c>
      <c r="CD3836">
        <v>85000</v>
      </c>
      <c r="CE3836" s="1">
        <v>42552</v>
      </c>
      <c r="CF3836" s="1">
        <v>42552</v>
      </c>
      <c r="CG3836" s="1">
        <v>42552</v>
      </c>
      <c r="CH3836" s="1">
        <v>49714</v>
      </c>
      <c r="CI3836" t="s">
        <v>51</v>
      </c>
      <c r="CK3836" t="s">
        <v>78</v>
      </c>
      <c r="CM3836" t="s">
        <v>54</v>
      </c>
      <c r="CN3836" t="s">
        <v>174</v>
      </c>
      <c r="CO3836" t="s">
        <v>86</v>
      </c>
      <c r="CR3836">
        <v>25</v>
      </c>
      <c r="CS3836">
        <v>0</v>
      </c>
      <c r="CT3836">
        <v>0</v>
      </c>
      <c r="CU3836">
        <v>0</v>
      </c>
    </row>
    <row r="3837" spans="1:99" x14ac:dyDescent="0.2">
      <c r="A3837" t="s">
        <v>367</v>
      </c>
      <c r="B3837" t="s">
        <v>368</v>
      </c>
      <c r="C3837" t="s">
        <v>369</v>
      </c>
      <c r="D3837" t="s">
        <v>369</v>
      </c>
      <c r="F3837" t="str">
        <f>"165521"</f>
        <v>165521</v>
      </c>
      <c r="G3837" t="s">
        <v>49</v>
      </c>
      <c r="H3837" t="s">
        <v>1816</v>
      </c>
      <c r="K3837" t="s">
        <v>51</v>
      </c>
      <c r="L3837" t="s">
        <v>52</v>
      </c>
      <c r="M3837">
        <v>137716.18</v>
      </c>
      <c r="N3837">
        <v>467898.58</v>
      </c>
      <c r="O3837" t="s">
        <v>53</v>
      </c>
      <c r="P3837" t="s">
        <v>54</v>
      </c>
      <c r="Q3837" t="s">
        <v>55</v>
      </c>
      <c r="T3837" t="s">
        <v>376</v>
      </c>
      <c r="U3837">
        <v>40</v>
      </c>
      <c r="V3837" s="1">
        <v>37257</v>
      </c>
      <c r="W3837" s="1">
        <v>37257</v>
      </c>
      <c r="X3837" s="1">
        <v>37257</v>
      </c>
      <c r="Y3837" s="1">
        <v>51867</v>
      </c>
      <c r="Z3837" t="s">
        <v>51</v>
      </c>
      <c r="AB3837" t="s">
        <v>54</v>
      </c>
      <c r="AC3837">
        <v>1</v>
      </c>
      <c r="AE3837" t="s">
        <v>814</v>
      </c>
      <c r="AF3837">
        <v>20</v>
      </c>
      <c r="AG3837" s="1">
        <v>37257</v>
      </c>
      <c r="AH3837" s="1">
        <v>37257</v>
      </c>
      <c r="AI3837" s="1">
        <v>37257</v>
      </c>
      <c r="AJ3837" s="1">
        <v>44562</v>
      </c>
      <c r="AK3837" t="s">
        <v>51</v>
      </c>
      <c r="AN3837">
        <v>0</v>
      </c>
      <c r="AO3837" t="s">
        <v>54</v>
      </c>
      <c r="AP3837" t="s">
        <v>53</v>
      </c>
      <c r="AQ3837">
        <v>0</v>
      </c>
      <c r="AR3837" t="s">
        <v>53</v>
      </c>
      <c r="AS3837">
        <v>0</v>
      </c>
      <c r="AT3837">
        <v>0</v>
      </c>
      <c r="CC3837" t="s">
        <v>439</v>
      </c>
      <c r="CD3837">
        <v>85000</v>
      </c>
      <c r="CE3837" s="1">
        <v>42552</v>
      </c>
      <c r="CF3837" s="1">
        <v>42552</v>
      </c>
      <c r="CG3837" s="1">
        <v>42552</v>
      </c>
      <c r="CH3837" s="1">
        <v>49714</v>
      </c>
      <c r="CI3837" t="s">
        <v>51</v>
      </c>
      <c r="CK3837" t="s">
        <v>78</v>
      </c>
      <c r="CM3837" t="s">
        <v>54</v>
      </c>
      <c r="CN3837" t="s">
        <v>174</v>
      </c>
      <c r="CO3837" t="s">
        <v>86</v>
      </c>
      <c r="CR3837">
        <v>25</v>
      </c>
      <c r="CS3837">
        <v>0</v>
      </c>
      <c r="CT3837">
        <v>0</v>
      </c>
      <c r="CU3837">
        <v>0</v>
      </c>
    </row>
    <row r="3838" spans="1:99" x14ac:dyDescent="0.2">
      <c r="A3838" t="s">
        <v>367</v>
      </c>
      <c r="B3838" t="s">
        <v>368</v>
      </c>
      <c r="C3838" t="s">
        <v>369</v>
      </c>
      <c r="D3838" t="s">
        <v>369</v>
      </c>
      <c r="F3838" t="str">
        <f>"165522"</f>
        <v>165522</v>
      </c>
      <c r="G3838" t="s">
        <v>49</v>
      </c>
      <c r="H3838" t="s">
        <v>1817</v>
      </c>
      <c r="K3838" t="s">
        <v>51</v>
      </c>
      <c r="L3838" t="s">
        <v>52</v>
      </c>
      <c r="M3838">
        <v>137704.28</v>
      </c>
      <c r="N3838">
        <v>467873.24</v>
      </c>
      <c r="O3838" t="s">
        <v>53</v>
      </c>
      <c r="P3838" t="s">
        <v>54</v>
      </c>
      <c r="Q3838" t="s">
        <v>55</v>
      </c>
      <c r="T3838" t="s">
        <v>376</v>
      </c>
      <c r="U3838">
        <v>40</v>
      </c>
      <c r="V3838" s="1">
        <v>37257</v>
      </c>
      <c r="W3838" s="1">
        <v>37257</v>
      </c>
      <c r="X3838" s="1">
        <v>37257</v>
      </c>
      <c r="Y3838" s="1">
        <v>51867</v>
      </c>
      <c r="Z3838" t="s">
        <v>51</v>
      </c>
      <c r="AB3838" t="s">
        <v>54</v>
      </c>
      <c r="AC3838">
        <v>1</v>
      </c>
      <c r="AE3838" t="s">
        <v>814</v>
      </c>
      <c r="AF3838">
        <v>20</v>
      </c>
      <c r="AG3838" s="1">
        <v>37257</v>
      </c>
      <c r="AH3838" s="1">
        <v>37257</v>
      </c>
      <c r="AI3838" s="1">
        <v>37257</v>
      </c>
      <c r="AJ3838" s="1">
        <v>44562</v>
      </c>
      <c r="AK3838" t="s">
        <v>51</v>
      </c>
      <c r="AN3838">
        <v>0</v>
      </c>
      <c r="AO3838" t="s">
        <v>54</v>
      </c>
      <c r="AP3838" t="s">
        <v>53</v>
      </c>
      <c r="AQ3838">
        <v>0</v>
      </c>
      <c r="AR3838" t="s">
        <v>53</v>
      </c>
      <c r="AS3838">
        <v>0</v>
      </c>
      <c r="AT3838">
        <v>0</v>
      </c>
      <c r="CC3838" t="s">
        <v>439</v>
      </c>
      <c r="CD3838">
        <v>85000</v>
      </c>
      <c r="CE3838" s="1">
        <v>42552</v>
      </c>
      <c r="CF3838" s="1">
        <v>42552</v>
      </c>
      <c r="CG3838" s="1">
        <v>42552</v>
      </c>
      <c r="CH3838" s="1">
        <v>49714</v>
      </c>
      <c r="CI3838" t="s">
        <v>51</v>
      </c>
      <c r="CK3838" t="s">
        <v>78</v>
      </c>
      <c r="CM3838" t="s">
        <v>54</v>
      </c>
      <c r="CN3838" t="s">
        <v>174</v>
      </c>
      <c r="CO3838" t="s">
        <v>86</v>
      </c>
      <c r="CR3838">
        <v>25</v>
      </c>
      <c r="CS3838">
        <v>0</v>
      </c>
      <c r="CT3838">
        <v>0</v>
      </c>
      <c r="CU3838">
        <v>0</v>
      </c>
    </row>
    <row r="3839" spans="1:99" x14ac:dyDescent="0.2">
      <c r="A3839" t="s">
        <v>367</v>
      </c>
      <c r="B3839" t="s">
        <v>368</v>
      </c>
      <c r="C3839" t="s">
        <v>369</v>
      </c>
      <c r="D3839" t="s">
        <v>369</v>
      </c>
      <c r="F3839" t="str">
        <f>"165523"</f>
        <v>165523</v>
      </c>
      <c r="G3839" t="s">
        <v>49</v>
      </c>
      <c r="H3839" t="s">
        <v>1818</v>
      </c>
      <c r="K3839" t="s">
        <v>51</v>
      </c>
      <c r="L3839" t="s">
        <v>52</v>
      </c>
      <c r="M3839">
        <v>137684.12</v>
      </c>
      <c r="N3839">
        <v>467849.58</v>
      </c>
      <c r="O3839" t="s">
        <v>53</v>
      </c>
      <c r="P3839" t="s">
        <v>54</v>
      </c>
      <c r="Q3839" t="s">
        <v>55</v>
      </c>
      <c r="T3839" t="s">
        <v>376</v>
      </c>
      <c r="U3839">
        <v>40</v>
      </c>
      <c r="V3839" s="1">
        <v>37257</v>
      </c>
      <c r="W3839" s="1">
        <v>37257</v>
      </c>
      <c r="X3839" s="1">
        <v>37257</v>
      </c>
      <c r="Y3839" s="1">
        <v>51867</v>
      </c>
      <c r="Z3839" t="s">
        <v>51</v>
      </c>
      <c r="AB3839" t="s">
        <v>54</v>
      </c>
      <c r="AC3839">
        <v>1</v>
      </c>
      <c r="AE3839" t="s">
        <v>814</v>
      </c>
      <c r="AF3839">
        <v>20</v>
      </c>
      <c r="AG3839" s="1">
        <v>37257</v>
      </c>
      <c r="AH3839" s="1">
        <v>37257</v>
      </c>
      <c r="AI3839" s="1">
        <v>37257</v>
      </c>
      <c r="AJ3839" s="1">
        <v>44562</v>
      </c>
      <c r="AK3839" t="s">
        <v>51</v>
      </c>
      <c r="AN3839">
        <v>0</v>
      </c>
      <c r="AO3839" t="s">
        <v>54</v>
      </c>
      <c r="AP3839" t="s">
        <v>53</v>
      </c>
      <c r="AQ3839">
        <v>0</v>
      </c>
      <c r="AR3839" t="s">
        <v>53</v>
      </c>
      <c r="AS3839">
        <v>0</v>
      </c>
      <c r="AT3839">
        <v>0</v>
      </c>
      <c r="CC3839" t="s">
        <v>439</v>
      </c>
      <c r="CD3839">
        <v>85000</v>
      </c>
      <c r="CE3839" s="1">
        <v>42552</v>
      </c>
      <c r="CF3839" s="1">
        <v>42552</v>
      </c>
      <c r="CG3839" s="1">
        <v>42552</v>
      </c>
      <c r="CH3839" s="1">
        <v>49714</v>
      </c>
      <c r="CI3839" t="s">
        <v>51</v>
      </c>
      <c r="CK3839" t="s">
        <v>78</v>
      </c>
      <c r="CM3839" t="s">
        <v>54</v>
      </c>
      <c r="CN3839" t="s">
        <v>174</v>
      </c>
      <c r="CO3839" t="s">
        <v>86</v>
      </c>
      <c r="CR3839">
        <v>25</v>
      </c>
      <c r="CS3839">
        <v>0</v>
      </c>
      <c r="CT3839">
        <v>0</v>
      </c>
      <c r="CU3839">
        <v>0</v>
      </c>
    </row>
    <row r="3840" spans="1:99" x14ac:dyDescent="0.2">
      <c r="A3840" t="s">
        <v>367</v>
      </c>
      <c r="B3840" t="s">
        <v>368</v>
      </c>
      <c r="C3840" t="s">
        <v>369</v>
      </c>
      <c r="D3840" t="s">
        <v>369</v>
      </c>
      <c r="F3840" t="str">
        <f>"165524"</f>
        <v>165524</v>
      </c>
      <c r="G3840" t="s">
        <v>49</v>
      </c>
      <c r="H3840" t="s">
        <v>1819</v>
      </c>
      <c r="K3840" t="s">
        <v>51</v>
      </c>
      <c r="L3840" t="s">
        <v>52</v>
      </c>
      <c r="M3840">
        <v>137664.51999999999</v>
      </c>
      <c r="N3840">
        <v>467827.88</v>
      </c>
      <c r="O3840" t="s">
        <v>53</v>
      </c>
      <c r="P3840" t="s">
        <v>54</v>
      </c>
      <c r="Q3840" t="s">
        <v>55</v>
      </c>
      <c r="T3840" t="s">
        <v>376</v>
      </c>
      <c r="U3840">
        <v>40</v>
      </c>
      <c r="V3840" s="1">
        <v>37257</v>
      </c>
      <c r="W3840" s="1">
        <v>37257</v>
      </c>
      <c r="X3840" s="1">
        <v>37257</v>
      </c>
      <c r="Y3840" s="1">
        <v>51867</v>
      </c>
      <c r="Z3840" t="s">
        <v>51</v>
      </c>
      <c r="AB3840" t="s">
        <v>54</v>
      </c>
      <c r="AC3840">
        <v>1</v>
      </c>
      <c r="AE3840" t="s">
        <v>814</v>
      </c>
      <c r="AF3840">
        <v>20</v>
      </c>
      <c r="AG3840" s="1">
        <v>39561</v>
      </c>
      <c r="AH3840" s="1">
        <v>39561</v>
      </c>
      <c r="AI3840" s="1">
        <v>39561</v>
      </c>
      <c r="AJ3840" s="1">
        <v>46866</v>
      </c>
      <c r="AK3840" t="s">
        <v>51</v>
      </c>
      <c r="AN3840">
        <v>0</v>
      </c>
      <c r="AO3840" t="s">
        <v>54</v>
      </c>
      <c r="AP3840" t="s">
        <v>53</v>
      </c>
      <c r="AQ3840">
        <v>0</v>
      </c>
      <c r="AR3840" t="s">
        <v>53</v>
      </c>
      <c r="AS3840">
        <v>0</v>
      </c>
      <c r="AT3840">
        <v>0</v>
      </c>
      <c r="CC3840" t="s">
        <v>439</v>
      </c>
      <c r="CD3840">
        <v>85000</v>
      </c>
      <c r="CE3840" s="1">
        <v>42552</v>
      </c>
      <c r="CF3840" s="1">
        <v>42552</v>
      </c>
      <c r="CG3840" s="1">
        <v>42552</v>
      </c>
      <c r="CH3840" s="1">
        <v>49714</v>
      </c>
      <c r="CI3840" t="s">
        <v>51</v>
      </c>
      <c r="CK3840" t="s">
        <v>78</v>
      </c>
      <c r="CM3840" t="s">
        <v>54</v>
      </c>
      <c r="CN3840" t="s">
        <v>174</v>
      </c>
      <c r="CO3840" t="s">
        <v>86</v>
      </c>
      <c r="CR3840">
        <v>25</v>
      </c>
      <c r="CS3840">
        <v>0</v>
      </c>
      <c r="CT3840">
        <v>0</v>
      </c>
      <c r="CU3840">
        <v>0</v>
      </c>
    </row>
    <row r="3841" spans="1:99" x14ac:dyDescent="0.2">
      <c r="A3841" t="s">
        <v>367</v>
      </c>
      <c r="B3841" t="s">
        <v>368</v>
      </c>
      <c r="C3841" t="s">
        <v>369</v>
      </c>
      <c r="D3841" t="s">
        <v>369</v>
      </c>
      <c r="F3841" t="str">
        <f>"165525"</f>
        <v>165525</v>
      </c>
      <c r="G3841" t="s">
        <v>49</v>
      </c>
      <c r="H3841" t="s">
        <v>1820</v>
      </c>
      <c r="K3841" t="s">
        <v>51</v>
      </c>
      <c r="L3841" t="s">
        <v>52</v>
      </c>
      <c r="M3841">
        <v>137636.94</v>
      </c>
      <c r="N3841">
        <v>467818.92</v>
      </c>
      <c r="O3841" t="s">
        <v>53</v>
      </c>
      <c r="P3841" t="s">
        <v>54</v>
      </c>
      <c r="Q3841" t="s">
        <v>55</v>
      </c>
      <c r="T3841" t="s">
        <v>376</v>
      </c>
      <c r="U3841">
        <v>40</v>
      </c>
      <c r="V3841" s="1">
        <v>37257</v>
      </c>
      <c r="W3841" s="1">
        <v>37257</v>
      </c>
      <c r="X3841" s="1">
        <v>37257</v>
      </c>
      <c r="Y3841" s="1">
        <v>51867</v>
      </c>
      <c r="Z3841" t="s">
        <v>51</v>
      </c>
      <c r="AB3841" t="s">
        <v>54</v>
      </c>
      <c r="AC3841">
        <v>1</v>
      </c>
      <c r="AE3841" t="s">
        <v>814</v>
      </c>
      <c r="AF3841">
        <v>20</v>
      </c>
      <c r="AG3841" s="1">
        <v>39561</v>
      </c>
      <c r="AH3841" s="1">
        <v>39561</v>
      </c>
      <c r="AI3841" s="1">
        <v>39561</v>
      </c>
      <c r="AJ3841" s="1">
        <v>46866</v>
      </c>
      <c r="AK3841" t="s">
        <v>51</v>
      </c>
      <c r="AN3841">
        <v>0</v>
      </c>
      <c r="AO3841" t="s">
        <v>54</v>
      </c>
      <c r="AP3841" t="s">
        <v>53</v>
      </c>
      <c r="AQ3841">
        <v>0</v>
      </c>
      <c r="AR3841" t="s">
        <v>53</v>
      </c>
      <c r="AS3841">
        <v>0</v>
      </c>
      <c r="AT3841">
        <v>0</v>
      </c>
      <c r="CC3841" t="s">
        <v>439</v>
      </c>
      <c r="CD3841">
        <v>85000</v>
      </c>
      <c r="CE3841" s="1">
        <v>42552</v>
      </c>
      <c r="CF3841" s="1">
        <v>42552</v>
      </c>
      <c r="CG3841" s="1">
        <v>42552</v>
      </c>
      <c r="CH3841" s="1">
        <v>49714</v>
      </c>
      <c r="CI3841" t="s">
        <v>51</v>
      </c>
      <c r="CK3841" t="s">
        <v>78</v>
      </c>
      <c r="CM3841" t="s">
        <v>54</v>
      </c>
      <c r="CN3841" t="s">
        <v>174</v>
      </c>
      <c r="CO3841" t="s">
        <v>86</v>
      </c>
      <c r="CR3841">
        <v>25</v>
      </c>
      <c r="CS3841">
        <v>0</v>
      </c>
      <c r="CT3841">
        <v>0</v>
      </c>
      <c r="CU3841">
        <v>0</v>
      </c>
    </row>
    <row r="3842" spans="1:99" x14ac:dyDescent="0.2">
      <c r="A3842" t="s">
        <v>367</v>
      </c>
      <c r="B3842" t="s">
        <v>368</v>
      </c>
      <c r="C3842" t="s">
        <v>369</v>
      </c>
      <c r="D3842" t="s">
        <v>369</v>
      </c>
      <c r="F3842" t="str">
        <f>"165526"</f>
        <v>165526</v>
      </c>
      <c r="G3842" t="s">
        <v>49</v>
      </c>
      <c r="H3842" t="s">
        <v>1821</v>
      </c>
      <c r="K3842" t="s">
        <v>51</v>
      </c>
      <c r="L3842" t="s">
        <v>52</v>
      </c>
      <c r="M3842">
        <v>137617.06</v>
      </c>
      <c r="N3842">
        <v>467786.16</v>
      </c>
      <c r="O3842" t="s">
        <v>53</v>
      </c>
      <c r="P3842" t="s">
        <v>54</v>
      </c>
      <c r="Q3842" t="s">
        <v>55</v>
      </c>
      <c r="T3842" t="s">
        <v>376</v>
      </c>
      <c r="U3842">
        <v>40</v>
      </c>
      <c r="V3842" s="1">
        <v>37257</v>
      </c>
      <c r="W3842" s="1">
        <v>37257</v>
      </c>
      <c r="X3842" s="1">
        <v>37257</v>
      </c>
      <c r="Y3842" s="1">
        <v>51867</v>
      </c>
      <c r="Z3842" t="s">
        <v>51</v>
      </c>
      <c r="AB3842" t="s">
        <v>54</v>
      </c>
      <c r="AC3842">
        <v>1</v>
      </c>
      <c r="AE3842" t="s">
        <v>814</v>
      </c>
      <c r="AF3842">
        <v>20</v>
      </c>
      <c r="AG3842" s="1">
        <v>37257</v>
      </c>
      <c r="AH3842" s="1">
        <v>37257</v>
      </c>
      <c r="AI3842" s="1">
        <v>37257</v>
      </c>
      <c r="AJ3842" s="1">
        <v>44562</v>
      </c>
      <c r="AK3842" t="s">
        <v>51</v>
      </c>
      <c r="AN3842">
        <v>0</v>
      </c>
      <c r="AO3842" t="s">
        <v>54</v>
      </c>
      <c r="AP3842" t="s">
        <v>53</v>
      </c>
      <c r="AQ3842">
        <v>0</v>
      </c>
      <c r="AR3842" t="s">
        <v>53</v>
      </c>
      <c r="AS3842">
        <v>0</v>
      </c>
      <c r="AT3842">
        <v>0</v>
      </c>
      <c r="CC3842" t="s">
        <v>439</v>
      </c>
      <c r="CD3842">
        <v>85000</v>
      </c>
      <c r="CE3842" s="1">
        <v>42552</v>
      </c>
      <c r="CF3842" s="1">
        <v>42552</v>
      </c>
      <c r="CG3842" s="1">
        <v>42552</v>
      </c>
      <c r="CH3842" s="1">
        <v>49714</v>
      </c>
      <c r="CI3842" t="s">
        <v>51</v>
      </c>
      <c r="CK3842" t="s">
        <v>78</v>
      </c>
      <c r="CM3842" t="s">
        <v>54</v>
      </c>
      <c r="CN3842" t="s">
        <v>174</v>
      </c>
      <c r="CO3842" t="s">
        <v>86</v>
      </c>
      <c r="CR3842">
        <v>25</v>
      </c>
      <c r="CS3842">
        <v>0</v>
      </c>
      <c r="CT3842">
        <v>0</v>
      </c>
      <c r="CU3842">
        <v>0</v>
      </c>
    </row>
    <row r="3843" spans="1:99" x14ac:dyDescent="0.2">
      <c r="A3843" t="s">
        <v>367</v>
      </c>
      <c r="B3843" t="s">
        <v>368</v>
      </c>
      <c r="C3843" t="s">
        <v>369</v>
      </c>
      <c r="D3843" t="s">
        <v>369</v>
      </c>
      <c r="F3843" t="str">
        <f>"165527"</f>
        <v>165527</v>
      </c>
      <c r="G3843" t="s">
        <v>49</v>
      </c>
      <c r="H3843" t="s">
        <v>1822</v>
      </c>
      <c r="K3843" t="s">
        <v>51</v>
      </c>
      <c r="L3843" t="s">
        <v>52</v>
      </c>
      <c r="M3843">
        <v>137587.24</v>
      </c>
      <c r="N3843">
        <v>467771.88</v>
      </c>
      <c r="O3843" t="s">
        <v>53</v>
      </c>
      <c r="P3843" t="s">
        <v>54</v>
      </c>
      <c r="Q3843" t="s">
        <v>55</v>
      </c>
      <c r="T3843" t="s">
        <v>376</v>
      </c>
      <c r="U3843">
        <v>40</v>
      </c>
      <c r="V3843" s="1">
        <v>37257</v>
      </c>
      <c r="W3843" s="1">
        <v>37257</v>
      </c>
      <c r="X3843" s="1">
        <v>37257</v>
      </c>
      <c r="Y3843" s="1">
        <v>51867</v>
      </c>
      <c r="Z3843" t="s">
        <v>51</v>
      </c>
      <c r="AB3843" t="s">
        <v>54</v>
      </c>
      <c r="AC3843">
        <v>1</v>
      </c>
      <c r="AE3843" t="s">
        <v>814</v>
      </c>
      <c r="AF3843">
        <v>20</v>
      </c>
      <c r="AG3843" s="1">
        <v>37257</v>
      </c>
      <c r="AH3843" s="1">
        <v>37257</v>
      </c>
      <c r="AI3843" s="1">
        <v>37257</v>
      </c>
      <c r="AJ3843" s="1">
        <v>44562</v>
      </c>
      <c r="AK3843" t="s">
        <v>51</v>
      </c>
      <c r="AN3843">
        <v>0</v>
      </c>
      <c r="AO3843" t="s">
        <v>54</v>
      </c>
      <c r="AP3843" t="s">
        <v>53</v>
      </c>
      <c r="AQ3843">
        <v>0</v>
      </c>
      <c r="AR3843" t="s">
        <v>53</v>
      </c>
      <c r="AS3843">
        <v>0</v>
      </c>
      <c r="AT3843">
        <v>0</v>
      </c>
      <c r="CC3843" t="s">
        <v>439</v>
      </c>
      <c r="CD3843">
        <v>85000</v>
      </c>
      <c r="CE3843" s="1">
        <v>42552</v>
      </c>
      <c r="CF3843" s="1">
        <v>42552</v>
      </c>
      <c r="CG3843" s="1">
        <v>42552</v>
      </c>
      <c r="CH3843" s="1">
        <v>49714</v>
      </c>
      <c r="CI3843" t="s">
        <v>51</v>
      </c>
      <c r="CK3843" t="s">
        <v>78</v>
      </c>
      <c r="CM3843" t="s">
        <v>54</v>
      </c>
      <c r="CN3843" t="s">
        <v>174</v>
      </c>
      <c r="CO3843" t="s">
        <v>86</v>
      </c>
      <c r="CR3843">
        <v>25</v>
      </c>
      <c r="CS3843">
        <v>0</v>
      </c>
      <c r="CT3843">
        <v>0</v>
      </c>
      <c r="CU3843">
        <v>0</v>
      </c>
    </row>
    <row r="3844" spans="1:99" x14ac:dyDescent="0.2">
      <c r="A3844" t="s">
        <v>367</v>
      </c>
      <c r="B3844" t="s">
        <v>368</v>
      </c>
      <c r="C3844" t="s">
        <v>369</v>
      </c>
      <c r="D3844" t="s">
        <v>369</v>
      </c>
      <c r="F3844" t="str">
        <f>"165528"</f>
        <v>165528</v>
      </c>
      <c r="G3844" t="s">
        <v>49</v>
      </c>
      <c r="H3844" t="s">
        <v>1345</v>
      </c>
      <c r="K3844" t="s">
        <v>51</v>
      </c>
      <c r="L3844" t="s">
        <v>52</v>
      </c>
      <c r="M3844">
        <v>137573.1</v>
      </c>
      <c r="N3844">
        <v>467743.6</v>
      </c>
      <c r="O3844" t="s">
        <v>53</v>
      </c>
      <c r="P3844" t="s">
        <v>54</v>
      </c>
      <c r="Q3844" t="s">
        <v>55</v>
      </c>
      <c r="T3844" t="s">
        <v>376</v>
      </c>
      <c r="U3844">
        <v>40</v>
      </c>
      <c r="V3844" s="1">
        <v>37257</v>
      </c>
      <c r="W3844" s="1">
        <v>37257</v>
      </c>
      <c r="X3844" s="1">
        <v>37257</v>
      </c>
      <c r="Y3844" s="1">
        <v>51867</v>
      </c>
      <c r="Z3844" t="s">
        <v>51</v>
      </c>
      <c r="AB3844" t="s">
        <v>54</v>
      </c>
      <c r="AC3844">
        <v>1</v>
      </c>
      <c r="AE3844" t="s">
        <v>814</v>
      </c>
      <c r="AF3844">
        <v>20</v>
      </c>
      <c r="AG3844" s="1">
        <v>37257</v>
      </c>
      <c r="AH3844" s="1">
        <v>37257</v>
      </c>
      <c r="AI3844" s="1">
        <v>37257</v>
      </c>
      <c r="AJ3844" s="1">
        <v>44562</v>
      </c>
      <c r="AK3844" t="s">
        <v>51</v>
      </c>
      <c r="AN3844">
        <v>0</v>
      </c>
      <c r="AO3844" t="s">
        <v>54</v>
      </c>
      <c r="AP3844" t="s">
        <v>53</v>
      </c>
      <c r="AQ3844">
        <v>0</v>
      </c>
      <c r="AR3844" t="s">
        <v>53</v>
      </c>
      <c r="AS3844">
        <v>0</v>
      </c>
      <c r="AT3844">
        <v>0</v>
      </c>
      <c r="CC3844" t="s">
        <v>439</v>
      </c>
      <c r="CD3844">
        <v>85000</v>
      </c>
      <c r="CE3844" s="1">
        <v>42552</v>
      </c>
      <c r="CF3844" s="1">
        <v>42552</v>
      </c>
      <c r="CG3844" s="1">
        <v>42552</v>
      </c>
      <c r="CH3844" s="1">
        <v>49714</v>
      </c>
      <c r="CI3844" t="s">
        <v>51</v>
      </c>
      <c r="CK3844" t="s">
        <v>78</v>
      </c>
      <c r="CM3844" t="s">
        <v>54</v>
      </c>
      <c r="CN3844" t="s">
        <v>174</v>
      </c>
      <c r="CO3844" t="s">
        <v>86</v>
      </c>
      <c r="CR3844">
        <v>25</v>
      </c>
      <c r="CS3844">
        <v>0</v>
      </c>
      <c r="CT3844">
        <v>0</v>
      </c>
      <c r="CU3844">
        <v>0</v>
      </c>
    </row>
    <row r="3845" spans="1:99" x14ac:dyDescent="0.2">
      <c r="A3845" t="s">
        <v>367</v>
      </c>
      <c r="B3845" t="s">
        <v>368</v>
      </c>
      <c r="C3845" t="s">
        <v>369</v>
      </c>
      <c r="D3845" t="s">
        <v>369</v>
      </c>
      <c r="F3845" t="str">
        <f>"165529"</f>
        <v>165529</v>
      </c>
      <c r="G3845" t="s">
        <v>49</v>
      </c>
      <c r="H3845" t="s">
        <v>1823</v>
      </c>
      <c r="K3845" t="s">
        <v>51</v>
      </c>
      <c r="L3845" t="s">
        <v>52</v>
      </c>
      <c r="M3845">
        <v>137546.5</v>
      </c>
      <c r="N3845">
        <v>467732.54</v>
      </c>
      <c r="O3845" t="s">
        <v>53</v>
      </c>
      <c r="P3845" t="s">
        <v>54</v>
      </c>
      <c r="Q3845" t="s">
        <v>55</v>
      </c>
      <c r="T3845" t="s">
        <v>376</v>
      </c>
      <c r="U3845">
        <v>40</v>
      </c>
      <c r="V3845" s="1">
        <v>37257</v>
      </c>
      <c r="W3845" s="1">
        <v>37257</v>
      </c>
      <c r="X3845" s="1">
        <v>37257</v>
      </c>
      <c r="Y3845" s="1">
        <v>51867</v>
      </c>
      <c r="Z3845" t="s">
        <v>51</v>
      </c>
      <c r="AB3845" t="s">
        <v>54</v>
      </c>
      <c r="AC3845">
        <v>1</v>
      </c>
      <c r="AE3845" t="s">
        <v>814</v>
      </c>
      <c r="AF3845">
        <v>20</v>
      </c>
      <c r="AG3845" s="1">
        <v>37257</v>
      </c>
      <c r="AH3845" s="1">
        <v>37257</v>
      </c>
      <c r="AI3845" s="1">
        <v>37257</v>
      </c>
      <c r="AJ3845" s="1">
        <v>44562</v>
      </c>
      <c r="AK3845" t="s">
        <v>51</v>
      </c>
      <c r="AN3845">
        <v>0</v>
      </c>
      <c r="AO3845" t="s">
        <v>54</v>
      </c>
      <c r="AP3845" t="s">
        <v>53</v>
      </c>
      <c r="AQ3845">
        <v>0</v>
      </c>
      <c r="AR3845" t="s">
        <v>53</v>
      </c>
      <c r="AS3845">
        <v>0</v>
      </c>
      <c r="AT3845">
        <v>0</v>
      </c>
      <c r="CC3845" t="s">
        <v>439</v>
      </c>
      <c r="CD3845">
        <v>85000</v>
      </c>
      <c r="CE3845" s="1">
        <v>42552</v>
      </c>
      <c r="CF3845" s="1">
        <v>42552</v>
      </c>
      <c r="CG3845" s="1">
        <v>42552</v>
      </c>
      <c r="CH3845" s="1">
        <v>49714</v>
      </c>
      <c r="CI3845" t="s">
        <v>51</v>
      </c>
      <c r="CK3845" t="s">
        <v>78</v>
      </c>
      <c r="CM3845" t="s">
        <v>54</v>
      </c>
      <c r="CN3845" t="s">
        <v>174</v>
      </c>
      <c r="CO3845" t="s">
        <v>86</v>
      </c>
      <c r="CR3845">
        <v>25</v>
      </c>
      <c r="CS3845">
        <v>0</v>
      </c>
      <c r="CT3845">
        <v>0</v>
      </c>
      <c r="CU3845">
        <v>0</v>
      </c>
    </row>
    <row r="3846" spans="1:99" x14ac:dyDescent="0.2">
      <c r="A3846" t="s">
        <v>367</v>
      </c>
      <c r="B3846" t="s">
        <v>368</v>
      </c>
      <c r="C3846" t="s">
        <v>369</v>
      </c>
      <c r="D3846" t="s">
        <v>369</v>
      </c>
      <c r="F3846" t="str">
        <f>"165530"</f>
        <v>165530</v>
      </c>
      <c r="G3846" t="s">
        <v>49</v>
      </c>
      <c r="H3846" t="s">
        <v>1824</v>
      </c>
      <c r="K3846" t="s">
        <v>51</v>
      </c>
      <c r="L3846" t="s">
        <v>52</v>
      </c>
      <c r="M3846">
        <v>137533.34</v>
      </c>
      <c r="N3846">
        <v>467704.96</v>
      </c>
      <c r="O3846" t="s">
        <v>53</v>
      </c>
      <c r="P3846" t="s">
        <v>54</v>
      </c>
      <c r="Q3846" t="s">
        <v>55</v>
      </c>
      <c r="T3846" t="s">
        <v>376</v>
      </c>
      <c r="U3846">
        <v>40</v>
      </c>
      <c r="V3846" s="1">
        <v>37257</v>
      </c>
      <c r="W3846" s="1">
        <v>37257</v>
      </c>
      <c r="X3846" s="1">
        <v>37257</v>
      </c>
      <c r="Y3846" s="1">
        <v>51867</v>
      </c>
      <c r="Z3846" t="s">
        <v>51</v>
      </c>
      <c r="AB3846" t="s">
        <v>54</v>
      </c>
      <c r="AC3846">
        <v>1</v>
      </c>
      <c r="AE3846" t="s">
        <v>814</v>
      </c>
      <c r="AF3846">
        <v>20</v>
      </c>
      <c r="AG3846" s="1">
        <v>37257</v>
      </c>
      <c r="AH3846" s="1">
        <v>37257</v>
      </c>
      <c r="AI3846" s="1">
        <v>37257</v>
      </c>
      <c r="AJ3846" s="1">
        <v>44562</v>
      </c>
      <c r="AK3846" t="s">
        <v>51</v>
      </c>
      <c r="AN3846">
        <v>0</v>
      </c>
      <c r="AO3846" t="s">
        <v>54</v>
      </c>
      <c r="AP3846" t="s">
        <v>53</v>
      </c>
      <c r="AQ3846">
        <v>0</v>
      </c>
      <c r="AR3846" t="s">
        <v>53</v>
      </c>
      <c r="AS3846">
        <v>0</v>
      </c>
      <c r="AT3846">
        <v>0</v>
      </c>
      <c r="CC3846" t="s">
        <v>439</v>
      </c>
      <c r="CD3846">
        <v>85000</v>
      </c>
      <c r="CE3846" s="1">
        <v>42552</v>
      </c>
      <c r="CF3846" s="1">
        <v>42552</v>
      </c>
      <c r="CG3846" s="1">
        <v>42552</v>
      </c>
      <c r="CH3846" s="1">
        <v>49714</v>
      </c>
      <c r="CI3846" t="s">
        <v>51</v>
      </c>
      <c r="CK3846" t="s">
        <v>78</v>
      </c>
      <c r="CM3846" t="s">
        <v>54</v>
      </c>
      <c r="CN3846" t="s">
        <v>174</v>
      </c>
      <c r="CO3846" t="s">
        <v>86</v>
      </c>
      <c r="CR3846">
        <v>25</v>
      </c>
      <c r="CS3846">
        <v>0</v>
      </c>
      <c r="CT3846">
        <v>0</v>
      </c>
      <c r="CU3846">
        <v>0</v>
      </c>
    </row>
    <row r="3847" spans="1:99" x14ac:dyDescent="0.2">
      <c r="A3847" t="s">
        <v>367</v>
      </c>
      <c r="B3847" t="s">
        <v>368</v>
      </c>
      <c r="C3847" t="s">
        <v>369</v>
      </c>
      <c r="D3847" t="s">
        <v>369</v>
      </c>
      <c r="F3847" t="str">
        <f>"165531"</f>
        <v>165531</v>
      </c>
      <c r="G3847" t="s">
        <v>49</v>
      </c>
      <c r="H3847" t="s">
        <v>1825</v>
      </c>
      <c r="K3847" t="s">
        <v>51</v>
      </c>
      <c r="L3847" t="s">
        <v>52</v>
      </c>
      <c r="M3847">
        <v>137506.32</v>
      </c>
      <c r="N3847">
        <v>467693.76</v>
      </c>
      <c r="O3847" t="s">
        <v>53</v>
      </c>
      <c r="P3847" t="s">
        <v>54</v>
      </c>
      <c r="Q3847" t="s">
        <v>55</v>
      </c>
      <c r="T3847" t="s">
        <v>376</v>
      </c>
      <c r="U3847">
        <v>40</v>
      </c>
      <c r="V3847" s="1">
        <v>37257</v>
      </c>
      <c r="W3847" s="1">
        <v>37257</v>
      </c>
      <c r="X3847" s="1">
        <v>37257</v>
      </c>
      <c r="Y3847" s="1">
        <v>51867</v>
      </c>
      <c r="Z3847" t="s">
        <v>51</v>
      </c>
      <c r="AB3847" t="s">
        <v>54</v>
      </c>
      <c r="AC3847">
        <v>1</v>
      </c>
      <c r="AE3847" t="s">
        <v>814</v>
      </c>
      <c r="AF3847">
        <v>20</v>
      </c>
      <c r="AG3847" s="1">
        <v>37257</v>
      </c>
      <c r="AH3847" s="1">
        <v>37257</v>
      </c>
      <c r="AI3847" s="1">
        <v>37257</v>
      </c>
      <c r="AJ3847" s="1">
        <v>44562</v>
      </c>
      <c r="AK3847" t="s">
        <v>51</v>
      </c>
      <c r="AN3847">
        <v>0</v>
      </c>
      <c r="AO3847" t="s">
        <v>54</v>
      </c>
      <c r="AP3847" t="s">
        <v>53</v>
      </c>
      <c r="AQ3847">
        <v>0</v>
      </c>
      <c r="AR3847" t="s">
        <v>53</v>
      </c>
      <c r="AS3847">
        <v>0</v>
      </c>
      <c r="AT3847">
        <v>0</v>
      </c>
      <c r="CC3847" t="s">
        <v>439</v>
      </c>
      <c r="CD3847">
        <v>85000</v>
      </c>
      <c r="CE3847" s="1">
        <v>42552</v>
      </c>
      <c r="CF3847" s="1">
        <v>42552</v>
      </c>
      <c r="CG3847" s="1">
        <v>42552</v>
      </c>
      <c r="CH3847" s="1">
        <v>49714</v>
      </c>
      <c r="CI3847" t="s">
        <v>51</v>
      </c>
      <c r="CK3847" t="s">
        <v>78</v>
      </c>
      <c r="CM3847" t="s">
        <v>54</v>
      </c>
      <c r="CN3847" t="s">
        <v>174</v>
      </c>
      <c r="CO3847" t="s">
        <v>86</v>
      </c>
      <c r="CR3847">
        <v>25</v>
      </c>
      <c r="CS3847">
        <v>0</v>
      </c>
      <c r="CT3847">
        <v>0</v>
      </c>
      <c r="CU3847">
        <v>0</v>
      </c>
    </row>
    <row r="3848" spans="1:99" x14ac:dyDescent="0.2">
      <c r="A3848" t="s">
        <v>367</v>
      </c>
      <c r="B3848" t="s">
        <v>368</v>
      </c>
      <c r="C3848" t="s">
        <v>369</v>
      </c>
      <c r="D3848" t="s">
        <v>369</v>
      </c>
      <c r="F3848" t="str">
        <f>"165532"</f>
        <v>165532</v>
      </c>
      <c r="G3848" t="s">
        <v>49</v>
      </c>
      <c r="H3848" t="s">
        <v>1826</v>
      </c>
      <c r="K3848" t="s">
        <v>51</v>
      </c>
      <c r="L3848" t="s">
        <v>52</v>
      </c>
      <c r="M3848">
        <v>137488.53</v>
      </c>
      <c r="N3848">
        <v>467666.21</v>
      </c>
      <c r="O3848" t="s">
        <v>53</v>
      </c>
      <c r="P3848" t="s">
        <v>54</v>
      </c>
      <c r="Q3848" t="s">
        <v>55</v>
      </c>
      <c r="T3848" t="s">
        <v>376</v>
      </c>
      <c r="U3848">
        <v>40</v>
      </c>
      <c r="V3848" s="1">
        <v>37257</v>
      </c>
      <c r="W3848" s="1">
        <v>37257</v>
      </c>
      <c r="X3848" s="1">
        <v>37257</v>
      </c>
      <c r="Y3848" s="1">
        <v>51867</v>
      </c>
      <c r="Z3848" t="s">
        <v>51</v>
      </c>
      <c r="AB3848" t="s">
        <v>54</v>
      </c>
      <c r="AC3848">
        <v>1</v>
      </c>
      <c r="AE3848" t="s">
        <v>814</v>
      </c>
      <c r="AF3848">
        <v>20</v>
      </c>
      <c r="AG3848" s="1">
        <v>37257</v>
      </c>
      <c r="AH3848" s="1">
        <v>37257</v>
      </c>
      <c r="AI3848" s="1">
        <v>37257</v>
      </c>
      <c r="AJ3848" s="1">
        <v>44562</v>
      </c>
      <c r="AK3848" t="s">
        <v>51</v>
      </c>
      <c r="AN3848">
        <v>0</v>
      </c>
      <c r="AO3848" t="s">
        <v>54</v>
      </c>
      <c r="AP3848" t="s">
        <v>53</v>
      </c>
      <c r="AQ3848">
        <v>0</v>
      </c>
      <c r="AR3848" t="s">
        <v>53</v>
      </c>
      <c r="AS3848">
        <v>0</v>
      </c>
      <c r="AT3848">
        <v>0</v>
      </c>
      <c r="CC3848" t="s">
        <v>439</v>
      </c>
      <c r="CD3848">
        <v>85000</v>
      </c>
      <c r="CE3848" s="1">
        <v>42552</v>
      </c>
      <c r="CF3848" s="1">
        <v>42552</v>
      </c>
      <c r="CG3848" s="1">
        <v>42552</v>
      </c>
      <c r="CH3848" s="1">
        <v>49714</v>
      </c>
      <c r="CI3848" t="s">
        <v>51</v>
      </c>
      <c r="CK3848" t="s">
        <v>78</v>
      </c>
      <c r="CM3848" t="s">
        <v>54</v>
      </c>
      <c r="CN3848" t="s">
        <v>174</v>
      </c>
      <c r="CO3848" t="s">
        <v>86</v>
      </c>
      <c r="CR3848">
        <v>25</v>
      </c>
      <c r="CS3848">
        <v>0</v>
      </c>
      <c r="CT3848">
        <v>0</v>
      </c>
      <c r="CU3848">
        <v>0</v>
      </c>
    </row>
    <row r="3849" spans="1:99" x14ac:dyDescent="0.2">
      <c r="A3849" t="s">
        <v>367</v>
      </c>
      <c r="B3849" t="s">
        <v>368</v>
      </c>
      <c r="C3849" t="s">
        <v>369</v>
      </c>
      <c r="D3849" t="s">
        <v>369</v>
      </c>
      <c r="F3849" t="str">
        <f>"165533"</f>
        <v>165533</v>
      </c>
      <c r="G3849" t="s">
        <v>49</v>
      </c>
      <c r="H3849" t="s">
        <v>1827</v>
      </c>
      <c r="K3849" t="s">
        <v>51</v>
      </c>
      <c r="L3849" t="s">
        <v>52</v>
      </c>
      <c r="M3849">
        <v>137458.72</v>
      </c>
      <c r="N3849">
        <v>467654.98</v>
      </c>
      <c r="O3849" t="s">
        <v>53</v>
      </c>
      <c r="P3849" t="s">
        <v>54</v>
      </c>
      <c r="Q3849" t="s">
        <v>55</v>
      </c>
      <c r="T3849" t="s">
        <v>376</v>
      </c>
      <c r="U3849">
        <v>40</v>
      </c>
      <c r="V3849" s="1">
        <v>37257</v>
      </c>
      <c r="W3849" s="1">
        <v>37257</v>
      </c>
      <c r="X3849" s="1">
        <v>37257</v>
      </c>
      <c r="Y3849" s="1">
        <v>51867</v>
      </c>
      <c r="Z3849" t="s">
        <v>51</v>
      </c>
      <c r="AB3849" t="s">
        <v>54</v>
      </c>
      <c r="AC3849">
        <v>1</v>
      </c>
      <c r="AE3849" t="s">
        <v>814</v>
      </c>
      <c r="AF3849">
        <v>20</v>
      </c>
      <c r="AG3849" s="1">
        <v>37257</v>
      </c>
      <c r="AH3849" s="1">
        <v>37257</v>
      </c>
      <c r="AI3849" s="1">
        <v>37257</v>
      </c>
      <c r="AJ3849" s="1">
        <v>44562</v>
      </c>
      <c r="AK3849" t="s">
        <v>51</v>
      </c>
      <c r="AN3849">
        <v>0</v>
      </c>
      <c r="AO3849" t="s">
        <v>54</v>
      </c>
      <c r="AP3849" t="s">
        <v>53</v>
      </c>
      <c r="AQ3849">
        <v>0</v>
      </c>
      <c r="AR3849" t="s">
        <v>53</v>
      </c>
      <c r="AS3849">
        <v>0</v>
      </c>
      <c r="AT3849">
        <v>0</v>
      </c>
      <c r="CC3849" t="s">
        <v>439</v>
      </c>
      <c r="CD3849">
        <v>85000</v>
      </c>
      <c r="CE3849" s="1">
        <v>42552</v>
      </c>
      <c r="CF3849" s="1">
        <v>42552</v>
      </c>
      <c r="CG3849" s="1">
        <v>42552</v>
      </c>
      <c r="CH3849" s="1">
        <v>49714</v>
      </c>
      <c r="CI3849" t="s">
        <v>51</v>
      </c>
      <c r="CK3849" t="s">
        <v>78</v>
      </c>
      <c r="CM3849" t="s">
        <v>54</v>
      </c>
      <c r="CN3849" t="s">
        <v>174</v>
      </c>
      <c r="CO3849" t="s">
        <v>86</v>
      </c>
      <c r="CR3849">
        <v>25</v>
      </c>
      <c r="CS3849">
        <v>0</v>
      </c>
      <c r="CT3849">
        <v>0</v>
      </c>
      <c r="CU3849">
        <v>0</v>
      </c>
    </row>
    <row r="3850" spans="1:99" x14ac:dyDescent="0.2">
      <c r="A3850" t="s">
        <v>367</v>
      </c>
      <c r="B3850" t="s">
        <v>368</v>
      </c>
      <c r="C3850" t="s">
        <v>369</v>
      </c>
      <c r="D3850" t="s">
        <v>369</v>
      </c>
      <c r="F3850" t="str">
        <f>"165534"</f>
        <v>165534</v>
      </c>
      <c r="G3850" t="s">
        <v>49</v>
      </c>
      <c r="H3850" t="s">
        <v>1828</v>
      </c>
      <c r="K3850" t="s">
        <v>51</v>
      </c>
      <c r="L3850" t="s">
        <v>52</v>
      </c>
      <c r="M3850">
        <v>137442.74</v>
      </c>
      <c r="N3850">
        <v>467627.07</v>
      </c>
      <c r="O3850" t="s">
        <v>53</v>
      </c>
      <c r="P3850" t="s">
        <v>54</v>
      </c>
      <c r="Q3850" t="s">
        <v>55</v>
      </c>
      <c r="T3850" t="s">
        <v>376</v>
      </c>
      <c r="U3850">
        <v>40</v>
      </c>
      <c r="V3850" s="1">
        <v>37257</v>
      </c>
      <c r="W3850" s="1">
        <v>37257</v>
      </c>
      <c r="X3850" s="1">
        <v>37257</v>
      </c>
      <c r="Y3850" s="1">
        <v>51867</v>
      </c>
      <c r="Z3850" t="s">
        <v>51</v>
      </c>
      <c r="AB3850" t="s">
        <v>54</v>
      </c>
      <c r="AC3850">
        <v>1</v>
      </c>
      <c r="AE3850" t="s">
        <v>814</v>
      </c>
      <c r="AF3850">
        <v>20</v>
      </c>
      <c r="AG3850" s="1">
        <v>37257</v>
      </c>
      <c r="AH3850" s="1">
        <v>37257</v>
      </c>
      <c r="AI3850" s="1">
        <v>37257</v>
      </c>
      <c r="AJ3850" s="1">
        <v>44562</v>
      </c>
      <c r="AK3850" t="s">
        <v>51</v>
      </c>
      <c r="AN3850">
        <v>0</v>
      </c>
      <c r="AO3850" t="s">
        <v>54</v>
      </c>
      <c r="AP3850" t="s">
        <v>53</v>
      </c>
      <c r="AQ3850">
        <v>0</v>
      </c>
      <c r="AR3850" t="s">
        <v>53</v>
      </c>
      <c r="AS3850">
        <v>0</v>
      </c>
      <c r="AT3850">
        <v>0</v>
      </c>
      <c r="CC3850" t="s">
        <v>439</v>
      </c>
      <c r="CD3850">
        <v>85000</v>
      </c>
      <c r="CE3850" s="1">
        <v>42552</v>
      </c>
      <c r="CF3850" s="1">
        <v>42552</v>
      </c>
      <c r="CG3850" s="1">
        <v>42552</v>
      </c>
      <c r="CH3850" s="1">
        <v>49714</v>
      </c>
      <c r="CI3850" t="s">
        <v>51</v>
      </c>
      <c r="CK3850" t="s">
        <v>78</v>
      </c>
      <c r="CM3850" t="s">
        <v>54</v>
      </c>
      <c r="CN3850" t="s">
        <v>174</v>
      </c>
      <c r="CO3850" t="s">
        <v>86</v>
      </c>
      <c r="CR3850">
        <v>25</v>
      </c>
      <c r="CS3850">
        <v>0</v>
      </c>
      <c r="CT3850">
        <v>0</v>
      </c>
      <c r="CU3850">
        <v>0</v>
      </c>
    </row>
    <row r="3851" spans="1:99" x14ac:dyDescent="0.2">
      <c r="A3851" t="s">
        <v>367</v>
      </c>
      <c r="B3851" t="s">
        <v>368</v>
      </c>
      <c r="C3851" t="s">
        <v>369</v>
      </c>
      <c r="D3851" t="s">
        <v>369</v>
      </c>
      <c r="F3851" t="str">
        <f>"165535"</f>
        <v>165535</v>
      </c>
      <c r="G3851" t="s">
        <v>49</v>
      </c>
      <c r="H3851" t="s">
        <v>1829</v>
      </c>
      <c r="K3851" t="s">
        <v>51</v>
      </c>
      <c r="L3851" t="s">
        <v>52</v>
      </c>
      <c r="M3851">
        <v>137415.74</v>
      </c>
      <c r="N3851">
        <v>467618.86</v>
      </c>
      <c r="O3851" t="s">
        <v>53</v>
      </c>
      <c r="P3851" t="s">
        <v>54</v>
      </c>
      <c r="Q3851" t="s">
        <v>55</v>
      </c>
      <c r="T3851" t="s">
        <v>376</v>
      </c>
      <c r="U3851">
        <v>40</v>
      </c>
      <c r="V3851" s="1">
        <v>37257</v>
      </c>
      <c r="W3851" s="1">
        <v>37257</v>
      </c>
      <c r="X3851" s="1">
        <v>37257</v>
      </c>
      <c r="Y3851" s="1">
        <v>51867</v>
      </c>
      <c r="Z3851" t="s">
        <v>51</v>
      </c>
      <c r="AB3851" t="s">
        <v>54</v>
      </c>
      <c r="AC3851">
        <v>1</v>
      </c>
      <c r="AE3851" t="s">
        <v>814</v>
      </c>
      <c r="AF3851">
        <v>20</v>
      </c>
      <c r="AG3851" s="1">
        <v>37257</v>
      </c>
      <c r="AH3851" s="1">
        <v>37257</v>
      </c>
      <c r="AI3851" s="1">
        <v>37257</v>
      </c>
      <c r="AJ3851" s="1">
        <v>44562</v>
      </c>
      <c r="AK3851" t="s">
        <v>51</v>
      </c>
      <c r="AN3851">
        <v>0</v>
      </c>
      <c r="AO3851" t="s">
        <v>54</v>
      </c>
      <c r="AP3851" t="s">
        <v>53</v>
      </c>
      <c r="AQ3851">
        <v>0</v>
      </c>
      <c r="AR3851" t="s">
        <v>53</v>
      </c>
      <c r="AS3851">
        <v>0</v>
      </c>
      <c r="AT3851">
        <v>0</v>
      </c>
      <c r="CC3851" t="s">
        <v>439</v>
      </c>
      <c r="CD3851">
        <v>85000</v>
      </c>
      <c r="CE3851" s="1">
        <v>42552</v>
      </c>
      <c r="CF3851" s="1">
        <v>42552</v>
      </c>
      <c r="CG3851" s="1">
        <v>42552</v>
      </c>
      <c r="CH3851" s="1">
        <v>49714</v>
      </c>
      <c r="CI3851" t="s">
        <v>51</v>
      </c>
      <c r="CK3851" t="s">
        <v>78</v>
      </c>
      <c r="CM3851" t="s">
        <v>54</v>
      </c>
      <c r="CN3851" t="s">
        <v>174</v>
      </c>
      <c r="CO3851" t="s">
        <v>86</v>
      </c>
      <c r="CR3851">
        <v>25</v>
      </c>
      <c r="CS3851">
        <v>0</v>
      </c>
      <c r="CT3851">
        <v>0</v>
      </c>
      <c r="CU3851">
        <v>0</v>
      </c>
    </row>
    <row r="3852" spans="1:99" x14ac:dyDescent="0.2">
      <c r="A3852" t="s">
        <v>367</v>
      </c>
      <c r="B3852" t="s">
        <v>368</v>
      </c>
      <c r="C3852" t="s">
        <v>369</v>
      </c>
      <c r="D3852" t="s">
        <v>369</v>
      </c>
      <c r="F3852" t="str">
        <f>"165536"</f>
        <v>165536</v>
      </c>
      <c r="G3852" t="s">
        <v>49</v>
      </c>
      <c r="H3852" t="s">
        <v>1830</v>
      </c>
      <c r="K3852" t="s">
        <v>51</v>
      </c>
      <c r="L3852" t="s">
        <v>52</v>
      </c>
      <c r="M3852">
        <v>137396.44</v>
      </c>
      <c r="N3852">
        <v>467589.02</v>
      </c>
      <c r="O3852" t="s">
        <v>53</v>
      </c>
      <c r="P3852" t="s">
        <v>54</v>
      </c>
      <c r="Q3852" t="s">
        <v>55</v>
      </c>
      <c r="T3852" t="s">
        <v>376</v>
      </c>
      <c r="U3852">
        <v>40</v>
      </c>
      <c r="V3852" s="1">
        <v>37257</v>
      </c>
      <c r="W3852" s="1">
        <v>37257</v>
      </c>
      <c r="X3852" s="1">
        <v>37257</v>
      </c>
      <c r="Y3852" s="1">
        <v>51867</v>
      </c>
      <c r="Z3852" t="s">
        <v>51</v>
      </c>
      <c r="AB3852" t="s">
        <v>54</v>
      </c>
      <c r="AC3852">
        <v>1</v>
      </c>
      <c r="AE3852" t="s">
        <v>814</v>
      </c>
      <c r="AF3852">
        <v>20</v>
      </c>
      <c r="AG3852" s="1">
        <v>37257</v>
      </c>
      <c r="AH3852" s="1">
        <v>37257</v>
      </c>
      <c r="AI3852" s="1">
        <v>37257</v>
      </c>
      <c r="AJ3852" s="1">
        <v>44562</v>
      </c>
      <c r="AK3852" t="s">
        <v>51</v>
      </c>
      <c r="AN3852">
        <v>0</v>
      </c>
      <c r="AO3852" t="s">
        <v>54</v>
      </c>
      <c r="AP3852" t="s">
        <v>53</v>
      </c>
      <c r="AQ3852">
        <v>0</v>
      </c>
      <c r="AR3852" t="s">
        <v>53</v>
      </c>
      <c r="AS3852">
        <v>0</v>
      </c>
      <c r="AT3852">
        <v>0</v>
      </c>
      <c r="CC3852" t="s">
        <v>439</v>
      </c>
      <c r="CD3852">
        <v>85000</v>
      </c>
      <c r="CE3852" s="1">
        <v>42552</v>
      </c>
      <c r="CF3852" s="1">
        <v>42552</v>
      </c>
      <c r="CG3852" s="1">
        <v>42552</v>
      </c>
      <c r="CH3852" s="1">
        <v>49714</v>
      </c>
      <c r="CI3852" t="s">
        <v>51</v>
      </c>
      <c r="CK3852" t="s">
        <v>78</v>
      </c>
      <c r="CM3852" t="s">
        <v>54</v>
      </c>
      <c r="CN3852" t="s">
        <v>174</v>
      </c>
      <c r="CO3852" t="s">
        <v>86</v>
      </c>
      <c r="CR3852">
        <v>25</v>
      </c>
      <c r="CS3852">
        <v>0</v>
      </c>
      <c r="CT3852">
        <v>0</v>
      </c>
      <c r="CU3852">
        <v>0</v>
      </c>
    </row>
    <row r="3853" spans="1:99" x14ac:dyDescent="0.2">
      <c r="A3853" t="s">
        <v>367</v>
      </c>
      <c r="B3853" t="s">
        <v>368</v>
      </c>
      <c r="C3853" t="s">
        <v>369</v>
      </c>
      <c r="D3853" t="s">
        <v>369</v>
      </c>
      <c r="F3853" t="str">
        <f>"165537"</f>
        <v>165537</v>
      </c>
      <c r="G3853" t="s">
        <v>49</v>
      </c>
      <c r="H3853" t="s">
        <v>1831</v>
      </c>
      <c r="K3853" t="s">
        <v>51</v>
      </c>
      <c r="L3853" t="s">
        <v>52</v>
      </c>
      <c r="M3853">
        <v>137370.76</v>
      </c>
      <c r="N3853">
        <v>467578.66</v>
      </c>
      <c r="O3853" t="s">
        <v>53</v>
      </c>
      <c r="P3853" t="s">
        <v>54</v>
      </c>
      <c r="Q3853" t="s">
        <v>55</v>
      </c>
      <c r="T3853" t="s">
        <v>376</v>
      </c>
      <c r="U3853">
        <v>40</v>
      </c>
      <c r="V3853" s="1">
        <v>37257</v>
      </c>
      <c r="W3853" s="1">
        <v>37257</v>
      </c>
      <c r="X3853" s="1">
        <v>37257</v>
      </c>
      <c r="Y3853" s="1">
        <v>51867</v>
      </c>
      <c r="Z3853" t="s">
        <v>51</v>
      </c>
      <c r="AB3853" t="s">
        <v>54</v>
      </c>
      <c r="AC3853">
        <v>1</v>
      </c>
      <c r="AE3853" t="s">
        <v>814</v>
      </c>
      <c r="AF3853">
        <v>20</v>
      </c>
      <c r="AG3853" s="1">
        <v>37257</v>
      </c>
      <c r="AH3853" s="1">
        <v>37257</v>
      </c>
      <c r="AI3853" s="1">
        <v>37257</v>
      </c>
      <c r="AJ3853" s="1">
        <v>44562</v>
      </c>
      <c r="AK3853" t="s">
        <v>51</v>
      </c>
      <c r="AN3853">
        <v>0</v>
      </c>
      <c r="AO3853" t="s">
        <v>54</v>
      </c>
      <c r="AP3853" t="s">
        <v>53</v>
      </c>
      <c r="AQ3853">
        <v>0</v>
      </c>
      <c r="AR3853" t="s">
        <v>53</v>
      </c>
      <c r="AS3853">
        <v>0</v>
      </c>
      <c r="AT3853">
        <v>0</v>
      </c>
      <c r="CC3853" t="s">
        <v>439</v>
      </c>
      <c r="CD3853">
        <v>85000</v>
      </c>
      <c r="CE3853" s="1">
        <v>42552</v>
      </c>
      <c r="CF3853" s="1">
        <v>42552</v>
      </c>
      <c r="CG3853" s="1">
        <v>42552</v>
      </c>
      <c r="CH3853" s="1">
        <v>49714</v>
      </c>
      <c r="CI3853" t="s">
        <v>51</v>
      </c>
      <c r="CK3853" t="s">
        <v>78</v>
      </c>
      <c r="CM3853" t="s">
        <v>54</v>
      </c>
      <c r="CN3853" t="s">
        <v>174</v>
      </c>
      <c r="CO3853" t="s">
        <v>86</v>
      </c>
      <c r="CR3853">
        <v>25</v>
      </c>
      <c r="CS3853">
        <v>0</v>
      </c>
      <c r="CT3853">
        <v>0</v>
      </c>
      <c r="CU3853">
        <v>0</v>
      </c>
    </row>
    <row r="3854" spans="1:99" x14ac:dyDescent="0.2">
      <c r="A3854" t="s">
        <v>367</v>
      </c>
      <c r="B3854" t="s">
        <v>368</v>
      </c>
      <c r="C3854" t="s">
        <v>369</v>
      </c>
      <c r="D3854" t="s">
        <v>369</v>
      </c>
      <c r="F3854" t="str">
        <f>"165538"</f>
        <v>165538</v>
      </c>
      <c r="G3854" t="s">
        <v>49</v>
      </c>
      <c r="H3854" t="s">
        <v>1832</v>
      </c>
      <c r="K3854" t="s">
        <v>51</v>
      </c>
      <c r="L3854" t="s">
        <v>52</v>
      </c>
      <c r="M3854">
        <v>137355.56</v>
      </c>
      <c r="N3854">
        <v>467565.66</v>
      </c>
      <c r="O3854" t="s">
        <v>53</v>
      </c>
      <c r="P3854" t="s">
        <v>54</v>
      </c>
      <c r="Q3854" t="s">
        <v>55</v>
      </c>
      <c r="T3854" t="s">
        <v>376</v>
      </c>
      <c r="U3854">
        <v>40</v>
      </c>
      <c r="V3854" s="1">
        <v>37257</v>
      </c>
      <c r="W3854" s="1">
        <v>37257</v>
      </c>
      <c r="X3854" s="1">
        <v>37257</v>
      </c>
      <c r="Y3854" s="1">
        <v>51867</v>
      </c>
      <c r="Z3854" t="s">
        <v>51</v>
      </c>
      <c r="AB3854" t="s">
        <v>54</v>
      </c>
      <c r="AC3854">
        <v>1</v>
      </c>
      <c r="AE3854" t="s">
        <v>814</v>
      </c>
      <c r="AF3854">
        <v>20</v>
      </c>
      <c r="AG3854" s="1">
        <v>37257</v>
      </c>
      <c r="AH3854" s="1">
        <v>37257</v>
      </c>
      <c r="AI3854" s="1">
        <v>37257</v>
      </c>
      <c r="AJ3854" s="1">
        <v>44562</v>
      </c>
      <c r="AK3854" t="s">
        <v>51</v>
      </c>
      <c r="AN3854">
        <v>0</v>
      </c>
      <c r="AO3854" t="s">
        <v>54</v>
      </c>
      <c r="AP3854" t="s">
        <v>53</v>
      </c>
      <c r="AQ3854">
        <v>0</v>
      </c>
      <c r="AR3854" t="s">
        <v>53</v>
      </c>
      <c r="AS3854">
        <v>0</v>
      </c>
      <c r="AT3854">
        <v>0</v>
      </c>
      <c r="CC3854" t="s">
        <v>439</v>
      </c>
      <c r="CD3854">
        <v>85000</v>
      </c>
      <c r="CE3854" s="1">
        <v>42552</v>
      </c>
      <c r="CF3854" s="1">
        <v>42552</v>
      </c>
      <c r="CG3854" s="1">
        <v>42552</v>
      </c>
      <c r="CH3854" s="1">
        <v>49714</v>
      </c>
      <c r="CI3854" t="s">
        <v>51</v>
      </c>
      <c r="CK3854" t="s">
        <v>78</v>
      </c>
      <c r="CM3854" t="s">
        <v>54</v>
      </c>
      <c r="CN3854" t="s">
        <v>174</v>
      </c>
      <c r="CO3854" t="s">
        <v>86</v>
      </c>
      <c r="CR3854">
        <v>25</v>
      </c>
      <c r="CS3854">
        <v>0</v>
      </c>
      <c r="CT3854">
        <v>0</v>
      </c>
      <c r="CU3854">
        <v>0</v>
      </c>
    </row>
    <row r="3855" spans="1:99" x14ac:dyDescent="0.2">
      <c r="A3855" t="s">
        <v>367</v>
      </c>
      <c r="B3855" t="s">
        <v>368</v>
      </c>
      <c r="C3855" t="s">
        <v>369</v>
      </c>
      <c r="D3855" t="s">
        <v>369</v>
      </c>
      <c r="F3855" t="str">
        <f>"165539"</f>
        <v>165539</v>
      </c>
      <c r="G3855" t="s">
        <v>49</v>
      </c>
      <c r="H3855" t="s">
        <v>1832</v>
      </c>
      <c r="K3855" t="s">
        <v>51</v>
      </c>
      <c r="L3855" t="s">
        <v>52</v>
      </c>
      <c r="M3855">
        <v>137342.1</v>
      </c>
      <c r="N3855">
        <v>467541.86</v>
      </c>
      <c r="O3855" t="s">
        <v>53</v>
      </c>
      <c r="P3855" t="s">
        <v>54</v>
      </c>
      <c r="Q3855" t="s">
        <v>55</v>
      </c>
      <c r="T3855" t="s">
        <v>376</v>
      </c>
      <c r="U3855">
        <v>40</v>
      </c>
      <c r="V3855" s="1">
        <v>37257</v>
      </c>
      <c r="W3855" s="1">
        <v>37257</v>
      </c>
      <c r="X3855" s="1">
        <v>37257</v>
      </c>
      <c r="Y3855" s="1">
        <v>51867</v>
      </c>
      <c r="Z3855" t="s">
        <v>51</v>
      </c>
      <c r="AB3855" t="s">
        <v>54</v>
      </c>
      <c r="AC3855">
        <v>1</v>
      </c>
      <c r="AE3855" t="s">
        <v>814</v>
      </c>
      <c r="AF3855">
        <v>20</v>
      </c>
      <c r="AG3855" s="1">
        <v>37257</v>
      </c>
      <c r="AH3855" s="1">
        <v>37257</v>
      </c>
      <c r="AI3855" s="1">
        <v>37257</v>
      </c>
      <c r="AJ3855" s="1">
        <v>44562</v>
      </c>
      <c r="AK3855" t="s">
        <v>51</v>
      </c>
      <c r="AN3855">
        <v>0</v>
      </c>
      <c r="AO3855" t="s">
        <v>54</v>
      </c>
      <c r="AP3855" t="s">
        <v>53</v>
      </c>
      <c r="AQ3855">
        <v>0</v>
      </c>
      <c r="AR3855" t="s">
        <v>53</v>
      </c>
      <c r="AS3855">
        <v>0</v>
      </c>
      <c r="AT3855">
        <v>0</v>
      </c>
      <c r="CC3855" t="s">
        <v>439</v>
      </c>
      <c r="CD3855">
        <v>85000</v>
      </c>
      <c r="CE3855" s="1">
        <v>42552</v>
      </c>
      <c r="CF3855" s="1">
        <v>42552</v>
      </c>
      <c r="CG3855" s="1">
        <v>42552</v>
      </c>
      <c r="CH3855" s="1">
        <v>49714</v>
      </c>
      <c r="CI3855" t="s">
        <v>51</v>
      </c>
      <c r="CK3855" t="s">
        <v>78</v>
      </c>
      <c r="CM3855" t="s">
        <v>54</v>
      </c>
      <c r="CN3855" t="s">
        <v>174</v>
      </c>
      <c r="CO3855" t="s">
        <v>86</v>
      </c>
      <c r="CR3855">
        <v>25</v>
      </c>
      <c r="CS3855">
        <v>0</v>
      </c>
      <c r="CT3855">
        <v>0</v>
      </c>
      <c r="CU3855">
        <v>0</v>
      </c>
    </row>
    <row r="3856" spans="1:99" x14ac:dyDescent="0.2">
      <c r="A3856" t="s">
        <v>367</v>
      </c>
      <c r="B3856" t="s">
        <v>368</v>
      </c>
      <c r="C3856" t="s">
        <v>369</v>
      </c>
      <c r="D3856" t="s">
        <v>369</v>
      </c>
      <c r="F3856" t="str">
        <f>"165540"</f>
        <v>165540</v>
      </c>
      <c r="G3856" t="s">
        <v>49</v>
      </c>
      <c r="H3856" t="s">
        <v>1833</v>
      </c>
      <c r="K3856" t="s">
        <v>51</v>
      </c>
      <c r="L3856" t="s">
        <v>52</v>
      </c>
      <c r="M3856">
        <v>137320.4</v>
      </c>
      <c r="N3856">
        <v>467537.1</v>
      </c>
      <c r="O3856" t="s">
        <v>53</v>
      </c>
      <c r="P3856" t="s">
        <v>54</v>
      </c>
      <c r="Q3856" t="s">
        <v>55</v>
      </c>
      <c r="T3856" t="s">
        <v>376</v>
      </c>
      <c r="U3856">
        <v>40</v>
      </c>
      <c r="V3856" s="1">
        <v>37257</v>
      </c>
      <c r="W3856" s="1">
        <v>37257</v>
      </c>
      <c r="X3856" s="1">
        <v>37257</v>
      </c>
      <c r="Y3856" s="1">
        <v>51867</v>
      </c>
      <c r="Z3856" t="s">
        <v>51</v>
      </c>
      <c r="AB3856" t="s">
        <v>54</v>
      </c>
      <c r="AC3856">
        <v>1</v>
      </c>
      <c r="AE3856" t="s">
        <v>814</v>
      </c>
      <c r="AF3856">
        <v>20</v>
      </c>
      <c r="AG3856" s="1">
        <v>37257</v>
      </c>
      <c r="AH3856" s="1">
        <v>37257</v>
      </c>
      <c r="AI3856" s="1">
        <v>37257</v>
      </c>
      <c r="AJ3856" s="1">
        <v>44562</v>
      </c>
      <c r="AK3856" t="s">
        <v>51</v>
      </c>
      <c r="AN3856">
        <v>0</v>
      </c>
      <c r="AO3856" t="s">
        <v>54</v>
      </c>
      <c r="AP3856" t="s">
        <v>53</v>
      </c>
      <c r="AQ3856">
        <v>0</v>
      </c>
      <c r="AR3856" t="s">
        <v>53</v>
      </c>
      <c r="AS3856">
        <v>0</v>
      </c>
      <c r="AT3856">
        <v>0</v>
      </c>
      <c r="CC3856" t="s">
        <v>439</v>
      </c>
      <c r="CD3856">
        <v>85000</v>
      </c>
      <c r="CE3856" s="1">
        <v>42552</v>
      </c>
      <c r="CF3856" s="1">
        <v>42552</v>
      </c>
      <c r="CG3856" s="1">
        <v>42552</v>
      </c>
      <c r="CH3856" s="1">
        <v>49714</v>
      </c>
      <c r="CI3856" t="s">
        <v>51</v>
      </c>
      <c r="CK3856" t="s">
        <v>78</v>
      </c>
      <c r="CM3856" t="s">
        <v>54</v>
      </c>
      <c r="CN3856" t="s">
        <v>174</v>
      </c>
      <c r="CO3856" t="s">
        <v>86</v>
      </c>
      <c r="CR3856">
        <v>25</v>
      </c>
      <c r="CS3856">
        <v>0</v>
      </c>
      <c r="CT3856">
        <v>0</v>
      </c>
      <c r="CU3856">
        <v>0</v>
      </c>
    </row>
    <row r="3857" spans="1:99" x14ac:dyDescent="0.2">
      <c r="A3857" t="s">
        <v>367</v>
      </c>
      <c r="B3857" t="s">
        <v>368</v>
      </c>
      <c r="C3857" t="s">
        <v>369</v>
      </c>
      <c r="D3857" t="s">
        <v>369</v>
      </c>
      <c r="F3857" t="str">
        <f>"165541"</f>
        <v>165541</v>
      </c>
      <c r="G3857" t="s">
        <v>49</v>
      </c>
      <c r="H3857" t="s">
        <v>1834</v>
      </c>
      <c r="K3857" t="s">
        <v>51</v>
      </c>
      <c r="L3857" t="s">
        <v>52</v>
      </c>
      <c r="M3857">
        <v>137306.26</v>
      </c>
      <c r="N3857">
        <v>467512.88</v>
      </c>
      <c r="O3857" t="s">
        <v>53</v>
      </c>
      <c r="P3857" t="s">
        <v>54</v>
      </c>
      <c r="Q3857" t="s">
        <v>55</v>
      </c>
      <c r="T3857" t="s">
        <v>376</v>
      </c>
      <c r="U3857">
        <v>40</v>
      </c>
      <c r="V3857" s="1">
        <v>37257</v>
      </c>
      <c r="W3857" s="1">
        <v>37257</v>
      </c>
      <c r="X3857" s="1">
        <v>37257</v>
      </c>
      <c r="Y3857" s="1">
        <v>51867</v>
      </c>
      <c r="Z3857" t="s">
        <v>51</v>
      </c>
      <c r="AB3857" t="s">
        <v>54</v>
      </c>
      <c r="AC3857">
        <v>1</v>
      </c>
      <c r="AE3857" t="s">
        <v>814</v>
      </c>
      <c r="AF3857">
        <v>20</v>
      </c>
      <c r="AG3857" s="1">
        <v>37257</v>
      </c>
      <c r="AH3857" s="1">
        <v>37257</v>
      </c>
      <c r="AI3857" s="1">
        <v>37257</v>
      </c>
      <c r="AJ3857" s="1">
        <v>44562</v>
      </c>
      <c r="AK3857" t="s">
        <v>51</v>
      </c>
      <c r="AN3857">
        <v>0</v>
      </c>
      <c r="AO3857" t="s">
        <v>54</v>
      </c>
      <c r="AP3857" t="s">
        <v>53</v>
      </c>
      <c r="AQ3857">
        <v>0</v>
      </c>
      <c r="AR3857" t="s">
        <v>53</v>
      </c>
      <c r="AS3857">
        <v>0</v>
      </c>
      <c r="AT3857">
        <v>0</v>
      </c>
      <c r="CC3857" t="s">
        <v>439</v>
      </c>
      <c r="CD3857">
        <v>85000</v>
      </c>
      <c r="CE3857" s="1">
        <v>42552</v>
      </c>
      <c r="CF3857" s="1">
        <v>42552</v>
      </c>
      <c r="CG3857" s="1">
        <v>42552</v>
      </c>
      <c r="CH3857" s="1">
        <v>49714</v>
      </c>
      <c r="CI3857" t="s">
        <v>51</v>
      </c>
      <c r="CK3857" t="s">
        <v>78</v>
      </c>
      <c r="CM3857" t="s">
        <v>54</v>
      </c>
      <c r="CN3857" t="s">
        <v>174</v>
      </c>
      <c r="CO3857" t="s">
        <v>86</v>
      </c>
      <c r="CR3857">
        <v>25</v>
      </c>
      <c r="CS3857">
        <v>0</v>
      </c>
      <c r="CT3857">
        <v>0</v>
      </c>
      <c r="CU3857">
        <v>0</v>
      </c>
    </row>
    <row r="3858" spans="1:99" x14ac:dyDescent="0.2">
      <c r="A3858" t="s">
        <v>367</v>
      </c>
      <c r="B3858" t="s">
        <v>368</v>
      </c>
      <c r="C3858" t="s">
        <v>369</v>
      </c>
      <c r="D3858" t="s">
        <v>369</v>
      </c>
      <c r="F3858" t="str">
        <f>"165542"</f>
        <v>165542</v>
      </c>
      <c r="G3858" t="s">
        <v>49</v>
      </c>
      <c r="H3858" t="s">
        <v>1835</v>
      </c>
      <c r="K3858" t="s">
        <v>51</v>
      </c>
      <c r="L3858" t="s">
        <v>52</v>
      </c>
      <c r="M3858">
        <v>137278.82</v>
      </c>
      <c r="N3858">
        <v>467503.92</v>
      </c>
      <c r="O3858" t="s">
        <v>53</v>
      </c>
      <c r="P3858" t="s">
        <v>54</v>
      </c>
      <c r="Q3858" t="s">
        <v>55</v>
      </c>
      <c r="T3858" t="s">
        <v>376</v>
      </c>
      <c r="U3858">
        <v>40</v>
      </c>
      <c r="V3858" s="1">
        <v>37257</v>
      </c>
      <c r="W3858" s="1">
        <v>37257</v>
      </c>
      <c r="X3858" s="1">
        <v>37257</v>
      </c>
      <c r="Y3858" s="1">
        <v>51867</v>
      </c>
      <c r="Z3858" t="s">
        <v>51</v>
      </c>
      <c r="AB3858" t="s">
        <v>54</v>
      </c>
      <c r="AC3858">
        <v>1</v>
      </c>
      <c r="AE3858" t="s">
        <v>814</v>
      </c>
      <c r="AF3858">
        <v>20</v>
      </c>
      <c r="AG3858" s="1">
        <v>37257</v>
      </c>
      <c r="AH3858" s="1">
        <v>37257</v>
      </c>
      <c r="AI3858" s="1">
        <v>37257</v>
      </c>
      <c r="AJ3858" s="1">
        <v>44562</v>
      </c>
      <c r="AK3858" t="s">
        <v>51</v>
      </c>
      <c r="AN3858">
        <v>0</v>
      </c>
      <c r="AO3858" t="s">
        <v>54</v>
      </c>
      <c r="AP3858" t="s">
        <v>53</v>
      </c>
      <c r="AQ3858">
        <v>0</v>
      </c>
      <c r="AR3858" t="s">
        <v>53</v>
      </c>
      <c r="AS3858">
        <v>0</v>
      </c>
      <c r="AT3858">
        <v>0</v>
      </c>
      <c r="CC3858" t="s">
        <v>439</v>
      </c>
      <c r="CD3858">
        <v>85000</v>
      </c>
      <c r="CE3858" s="1">
        <v>42552</v>
      </c>
      <c r="CF3858" s="1">
        <v>42552</v>
      </c>
      <c r="CG3858" s="1">
        <v>42552</v>
      </c>
      <c r="CH3858" s="1">
        <v>49714</v>
      </c>
      <c r="CI3858" t="s">
        <v>51</v>
      </c>
      <c r="CK3858" t="s">
        <v>78</v>
      </c>
      <c r="CM3858" t="s">
        <v>54</v>
      </c>
      <c r="CN3858" t="s">
        <v>174</v>
      </c>
      <c r="CO3858" t="s">
        <v>86</v>
      </c>
      <c r="CR3858">
        <v>25</v>
      </c>
      <c r="CS3858">
        <v>0</v>
      </c>
      <c r="CT3858">
        <v>0</v>
      </c>
      <c r="CU3858">
        <v>0</v>
      </c>
    </row>
    <row r="3859" spans="1:99" x14ac:dyDescent="0.2">
      <c r="A3859" t="s">
        <v>367</v>
      </c>
      <c r="B3859" t="s">
        <v>368</v>
      </c>
      <c r="C3859" t="s">
        <v>369</v>
      </c>
      <c r="D3859" t="s">
        <v>369</v>
      </c>
      <c r="F3859" t="str">
        <f>"165543"</f>
        <v>165543</v>
      </c>
      <c r="G3859" t="s">
        <v>49</v>
      </c>
      <c r="H3859" t="s">
        <v>1836</v>
      </c>
      <c r="K3859" t="s">
        <v>51</v>
      </c>
      <c r="L3859" t="s">
        <v>52</v>
      </c>
      <c r="M3859">
        <v>137263.84</v>
      </c>
      <c r="N3859">
        <v>467479.7</v>
      </c>
      <c r="O3859" t="s">
        <v>53</v>
      </c>
      <c r="P3859" t="s">
        <v>54</v>
      </c>
      <c r="Q3859" t="s">
        <v>55</v>
      </c>
      <c r="T3859" t="s">
        <v>376</v>
      </c>
      <c r="U3859">
        <v>40</v>
      </c>
      <c r="V3859" s="1">
        <v>37257</v>
      </c>
      <c r="W3859" s="1">
        <v>37257</v>
      </c>
      <c r="X3859" s="1">
        <v>37257</v>
      </c>
      <c r="Y3859" s="1">
        <v>51867</v>
      </c>
      <c r="Z3859" t="s">
        <v>51</v>
      </c>
      <c r="AB3859" t="s">
        <v>54</v>
      </c>
      <c r="AC3859">
        <v>1</v>
      </c>
      <c r="AE3859" t="s">
        <v>814</v>
      </c>
      <c r="AF3859">
        <v>20</v>
      </c>
      <c r="AG3859" s="1">
        <v>37257</v>
      </c>
      <c r="AH3859" s="1">
        <v>37257</v>
      </c>
      <c r="AI3859" s="1">
        <v>37257</v>
      </c>
      <c r="AJ3859" s="1">
        <v>44562</v>
      </c>
      <c r="AK3859" t="s">
        <v>51</v>
      </c>
      <c r="AN3859">
        <v>0</v>
      </c>
      <c r="AO3859" t="s">
        <v>54</v>
      </c>
      <c r="AP3859" t="s">
        <v>53</v>
      </c>
      <c r="AQ3859">
        <v>0</v>
      </c>
      <c r="AR3859" t="s">
        <v>53</v>
      </c>
      <c r="AS3859">
        <v>0</v>
      </c>
      <c r="AT3859">
        <v>0</v>
      </c>
      <c r="CC3859" t="s">
        <v>439</v>
      </c>
      <c r="CD3859">
        <v>85000</v>
      </c>
      <c r="CE3859" s="1">
        <v>42552</v>
      </c>
      <c r="CF3859" s="1">
        <v>42552</v>
      </c>
      <c r="CG3859" s="1">
        <v>42552</v>
      </c>
      <c r="CH3859" s="1">
        <v>49714</v>
      </c>
      <c r="CI3859" t="s">
        <v>51</v>
      </c>
      <c r="CK3859" t="s">
        <v>78</v>
      </c>
      <c r="CM3859" t="s">
        <v>54</v>
      </c>
      <c r="CN3859" t="s">
        <v>174</v>
      </c>
      <c r="CO3859" t="s">
        <v>86</v>
      </c>
      <c r="CR3859">
        <v>25</v>
      </c>
      <c r="CS3859">
        <v>0</v>
      </c>
      <c r="CT3859">
        <v>0</v>
      </c>
      <c r="CU3859">
        <v>0</v>
      </c>
    </row>
    <row r="3860" spans="1:99" x14ac:dyDescent="0.2">
      <c r="A3860" t="s">
        <v>367</v>
      </c>
      <c r="B3860" t="s">
        <v>368</v>
      </c>
      <c r="C3860" t="s">
        <v>369</v>
      </c>
      <c r="D3860" t="s">
        <v>369</v>
      </c>
      <c r="F3860" t="str">
        <f>"165544"</f>
        <v>165544</v>
      </c>
      <c r="G3860" t="s">
        <v>49</v>
      </c>
      <c r="H3860" t="s">
        <v>1837</v>
      </c>
      <c r="K3860" t="s">
        <v>51</v>
      </c>
      <c r="L3860" t="s">
        <v>52</v>
      </c>
      <c r="M3860">
        <v>137233.60000000001</v>
      </c>
      <c r="N3860">
        <v>467469.48</v>
      </c>
      <c r="O3860" t="s">
        <v>53</v>
      </c>
      <c r="P3860" t="s">
        <v>54</v>
      </c>
      <c r="Q3860" t="s">
        <v>55</v>
      </c>
      <c r="T3860" t="s">
        <v>376</v>
      </c>
      <c r="U3860">
        <v>40</v>
      </c>
      <c r="V3860" s="1">
        <v>37257</v>
      </c>
      <c r="W3860" s="1">
        <v>37257</v>
      </c>
      <c r="X3860" s="1">
        <v>37257</v>
      </c>
      <c r="Y3860" s="1">
        <v>51867</v>
      </c>
      <c r="Z3860" t="s">
        <v>51</v>
      </c>
      <c r="AB3860" t="s">
        <v>54</v>
      </c>
      <c r="AC3860">
        <v>1</v>
      </c>
      <c r="AE3860" t="s">
        <v>814</v>
      </c>
      <c r="AF3860">
        <v>20</v>
      </c>
      <c r="AG3860" s="1">
        <v>37257</v>
      </c>
      <c r="AH3860" s="1">
        <v>37257</v>
      </c>
      <c r="AI3860" s="1">
        <v>37257</v>
      </c>
      <c r="AJ3860" s="1">
        <v>44562</v>
      </c>
      <c r="AK3860" t="s">
        <v>51</v>
      </c>
      <c r="AN3860">
        <v>0</v>
      </c>
      <c r="AO3860" t="s">
        <v>54</v>
      </c>
      <c r="AP3860" t="s">
        <v>53</v>
      </c>
      <c r="AQ3860">
        <v>0</v>
      </c>
      <c r="AR3860" t="s">
        <v>53</v>
      </c>
      <c r="AS3860">
        <v>0</v>
      </c>
      <c r="AT3860">
        <v>0</v>
      </c>
      <c r="CC3860" t="s">
        <v>439</v>
      </c>
      <c r="CD3860">
        <v>85000</v>
      </c>
      <c r="CE3860" s="1">
        <v>42552</v>
      </c>
      <c r="CF3860" s="1">
        <v>42552</v>
      </c>
      <c r="CG3860" s="1">
        <v>42552</v>
      </c>
      <c r="CH3860" s="1">
        <v>49714</v>
      </c>
      <c r="CI3860" t="s">
        <v>51</v>
      </c>
      <c r="CK3860" t="s">
        <v>78</v>
      </c>
      <c r="CM3860" t="s">
        <v>54</v>
      </c>
      <c r="CN3860" t="s">
        <v>174</v>
      </c>
      <c r="CO3860" t="s">
        <v>86</v>
      </c>
      <c r="CR3860">
        <v>25</v>
      </c>
      <c r="CS3860">
        <v>0</v>
      </c>
      <c r="CT3860">
        <v>0</v>
      </c>
      <c r="CU3860">
        <v>0</v>
      </c>
    </row>
    <row r="3861" spans="1:99" x14ac:dyDescent="0.2">
      <c r="A3861" t="s">
        <v>367</v>
      </c>
      <c r="B3861" t="s">
        <v>368</v>
      </c>
      <c r="C3861" t="s">
        <v>1733</v>
      </c>
      <c r="D3861" t="s">
        <v>369</v>
      </c>
      <c r="F3861" t="str">
        <f>"165545"</f>
        <v>165545</v>
      </c>
      <c r="G3861" t="s">
        <v>49</v>
      </c>
      <c r="H3861" t="s">
        <v>1838</v>
      </c>
      <c r="K3861" t="s">
        <v>51</v>
      </c>
      <c r="L3861" t="s">
        <v>52</v>
      </c>
      <c r="M3861">
        <v>135888.21</v>
      </c>
      <c r="N3861">
        <v>466868.69</v>
      </c>
      <c r="O3861" t="s">
        <v>53</v>
      </c>
      <c r="P3861" t="s">
        <v>54</v>
      </c>
      <c r="Q3861" t="s">
        <v>55</v>
      </c>
      <c r="T3861" t="s">
        <v>376</v>
      </c>
      <c r="U3861">
        <v>40</v>
      </c>
      <c r="V3861" s="1">
        <v>37257</v>
      </c>
      <c r="W3861" s="1">
        <v>37257</v>
      </c>
      <c r="X3861" s="1">
        <v>37257</v>
      </c>
      <c r="Y3861" s="1">
        <v>51867</v>
      </c>
      <c r="Z3861" t="s">
        <v>51</v>
      </c>
      <c r="AB3861" t="s">
        <v>54</v>
      </c>
      <c r="AC3861">
        <v>1</v>
      </c>
      <c r="AE3861" t="s">
        <v>814</v>
      </c>
      <c r="AF3861">
        <v>20</v>
      </c>
      <c r="AG3861" s="1">
        <v>37257</v>
      </c>
      <c r="AH3861" s="1">
        <v>37257</v>
      </c>
      <c r="AI3861" s="1">
        <v>37257</v>
      </c>
      <c r="AJ3861" s="1">
        <v>44562</v>
      </c>
      <c r="AK3861" t="s">
        <v>51</v>
      </c>
      <c r="AN3861">
        <v>0</v>
      </c>
      <c r="AO3861" t="s">
        <v>54</v>
      </c>
      <c r="AP3861" t="s">
        <v>53</v>
      </c>
      <c r="AQ3861">
        <v>0</v>
      </c>
      <c r="AR3861" t="s">
        <v>53</v>
      </c>
      <c r="AS3861">
        <v>0</v>
      </c>
      <c r="AT3861">
        <v>0</v>
      </c>
      <c r="CC3861" t="s">
        <v>439</v>
      </c>
      <c r="CD3861">
        <v>85000</v>
      </c>
      <c r="CE3861" s="1">
        <v>42552</v>
      </c>
      <c r="CF3861" s="1">
        <v>42552</v>
      </c>
      <c r="CG3861" s="1">
        <v>42552</v>
      </c>
      <c r="CH3861" s="1">
        <v>49714</v>
      </c>
      <c r="CI3861" t="s">
        <v>51</v>
      </c>
      <c r="CK3861" t="s">
        <v>78</v>
      </c>
      <c r="CM3861" t="s">
        <v>54</v>
      </c>
      <c r="CN3861" t="s">
        <v>174</v>
      </c>
      <c r="CO3861" t="s">
        <v>86</v>
      </c>
      <c r="CR3861">
        <v>25</v>
      </c>
      <c r="CS3861">
        <v>0</v>
      </c>
      <c r="CT3861">
        <v>0</v>
      </c>
      <c r="CU3861">
        <v>0</v>
      </c>
    </row>
    <row r="3862" spans="1:99" x14ac:dyDescent="0.2">
      <c r="A3862" t="s">
        <v>367</v>
      </c>
      <c r="B3862" t="s">
        <v>368</v>
      </c>
      <c r="C3862" t="s">
        <v>1733</v>
      </c>
      <c r="D3862" t="s">
        <v>369</v>
      </c>
      <c r="F3862" t="str">
        <f>"165546"</f>
        <v>165546</v>
      </c>
      <c r="G3862" t="s">
        <v>49</v>
      </c>
      <c r="H3862" t="s">
        <v>1807</v>
      </c>
      <c r="K3862" t="s">
        <v>51</v>
      </c>
      <c r="L3862" t="s">
        <v>52</v>
      </c>
      <c r="M3862">
        <v>135861.87</v>
      </c>
      <c r="N3862">
        <v>466859.29</v>
      </c>
      <c r="O3862" t="s">
        <v>53</v>
      </c>
      <c r="P3862" t="s">
        <v>54</v>
      </c>
      <c r="Q3862" t="s">
        <v>55</v>
      </c>
      <c r="T3862" t="s">
        <v>376</v>
      </c>
      <c r="U3862">
        <v>40</v>
      </c>
      <c r="V3862" s="1">
        <v>37258</v>
      </c>
      <c r="W3862" s="1">
        <v>37258</v>
      </c>
      <c r="X3862" s="1">
        <v>37258</v>
      </c>
      <c r="Y3862" s="1">
        <v>51868</v>
      </c>
      <c r="Z3862" t="s">
        <v>51</v>
      </c>
      <c r="AB3862" t="s">
        <v>54</v>
      </c>
      <c r="AC3862">
        <v>1</v>
      </c>
      <c r="AE3862" t="s">
        <v>814</v>
      </c>
      <c r="AF3862">
        <v>20</v>
      </c>
      <c r="AG3862" s="1">
        <v>37258</v>
      </c>
      <c r="AH3862" s="1">
        <v>37258</v>
      </c>
      <c r="AI3862" s="1">
        <v>37258</v>
      </c>
      <c r="AJ3862" s="1">
        <v>44563</v>
      </c>
      <c r="AK3862" t="s">
        <v>51</v>
      </c>
      <c r="AN3862">
        <v>0</v>
      </c>
      <c r="AO3862" t="s">
        <v>54</v>
      </c>
      <c r="AP3862" t="s">
        <v>53</v>
      </c>
      <c r="AQ3862">
        <v>0</v>
      </c>
      <c r="AR3862" t="s">
        <v>53</v>
      </c>
      <c r="AS3862">
        <v>0</v>
      </c>
      <c r="AT3862">
        <v>0</v>
      </c>
      <c r="CC3862" t="s">
        <v>439</v>
      </c>
      <c r="CD3862">
        <v>85000</v>
      </c>
      <c r="CE3862" s="1">
        <v>42552</v>
      </c>
      <c r="CF3862" s="1">
        <v>42552</v>
      </c>
      <c r="CG3862" s="1">
        <v>42552</v>
      </c>
      <c r="CH3862" s="1">
        <v>49714</v>
      </c>
      <c r="CI3862" t="s">
        <v>51</v>
      </c>
      <c r="CK3862" t="s">
        <v>78</v>
      </c>
      <c r="CM3862" t="s">
        <v>54</v>
      </c>
      <c r="CN3862" t="s">
        <v>174</v>
      </c>
      <c r="CO3862" t="s">
        <v>86</v>
      </c>
      <c r="CR3862">
        <v>25</v>
      </c>
      <c r="CS3862">
        <v>0</v>
      </c>
      <c r="CT3862">
        <v>0</v>
      </c>
      <c r="CU3862">
        <v>0</v>
      </c>
    </row>
    <row r="3863" spans="1:99" x14ac:dyDescent="0.2">
      <c r="A3863" t="s">
        <v>367</v>
      </c>
      <c r="B3863" t="s">
        <v>368</v>
      </c>
      <c r="C3863" t="s">
        <v>1733</v>
      </c>
      <c r="D3863" t="s">
        <v>369</v>
      </c>
      <c r="F3863" t="str">
        <f>"165547"</f>
        <v>165547</v>
      </c>
      <c r="G3863" t="s">
        <v>49</v>
      </c>
      <c r="H3863" t="s">
        <v>1839</v>
      </c>
      <c r="K3863" t="s">
        <v>51</v>
      </c>
      <c r="L3863" t="s">
        <v>52</v>
      </c>
      <c r="M3863">
        <v>135840.03</v>
      </c>
      <c r="N3863">
        <v>466851.03</v>
      </c>
      <c r="O3863" t="s">
        <v>53</v>
      </c>
      <c r="P3863" t="s">
        <v>54</v>
      </c>
      <c r="Q3863" t="s">
        <v>55</v>
      </c>
      <c r="T3863" t="s">
        <v>376</v>
      </c>
      <c r="U3863">
        <v>40</v>
      </c>
      <c r="V3863" s="1">
        <v>37258</v>
      </c>
      <c r="W3863" s="1">
        <v>37258</v>
      </c>
      <c r="X3863" s="1">
        <v>37258</v>
      </c>
      <c r="Y3863" s="1">
        <v>51868</v>
      </c>
      <c r="Z3863" t="s">
        <v>51</v>
      </c>
      <c r="AB3863" t="s">
        <v>54</v>
      </c>
      <c r="AC3863">
        <v>1</v>
      </c>
      <c r="AE3863" t="s">
        <v>814</v>
      </c>
      <c r="AF3863">
        <v>20</v>
      </c>
      <c r="AG3863" s="1">
        <v>37258</v>
      </c>
      <c r="AH3863" s="1">
        <v>37258</v>
      </c>
      <c r="AI3863" s="1">
        <v>37258</v>
      </c>
      <c r="AJ3863" s="1">
        <v>44563</v>
      </c>
      <c r="AK3863" t="s">
        <v>51</v>
      </c>
      <c r="AN3863">
        <v>0</v>
      </c>
      <c r="AO3863" t="s">
        <v>54</v>
      </c>
      <c r="AP3863" t="s">
        <v>53</v>
      </c>
      <c r="AQ3863">
        <v>0</v>
      </c>
      <c r="AR3863" t="s">
        <v>53</v>
      </c>
      <c r="AS3863">
        <v>0</v>
      </c>
      <c r="AT3863">
        <v>0</v>
      </c>
      <c r="CC3863" t="s">
        <v>439</v>
      </c>
      <c r="CD3863">
        <v>85000</v>
      </c>
      <c r="CE3863" s="1">
        <v>42552</v>
      </c>
      <c r="CF3863" s="1">
        <v>42552</v>
      </c>
      <c r="CG3863" s="1">
        <v>42552</v>
      </c>
      <c r="CH3863" s="1">
        <v>49714</v>
      </c>
      <c r="CI3863" t="s">
        <v>51</v>
      </c>
      <c r="CK3863" t="s">
        <v>78</v>
      </c>
      <c r="CM3863" t="s">
        <v>54</v>
      </c>
      <c r="CN3863" t="s">
        <v>174</v>
      </c>
      <c r="CO3863" t="s">
        <v>86</v>
      </c>
      <c r="CR3863">
        <v>25</v>
      </c>
      <c r="CS3863">
        <v>0</v>
      </c>
      <c r="CT3863">
        <v>0</v>
      </c>
      <c r="CU3863">
        <v>0</v>
      </c>
    </row>
    <row r="3864" spans="1:99" x14ac:dyDescent="0.2">
      <c r="A3864" t="s">
        <v>367</v>
      </c>
      <c r="B3864" t="s">
        <v>368</v>
      </c>
      <c r="C3864" t="s">
        <v>1733</v>
      </c>
      <c r="D3864" t="s">
        <v>369</v>
      </c>
      <c r="F3864" t="str">
        <f>"165548"</f>
        <v>165548</v>
      </c>
      <c r="G3864" t="s">
        <v>49</v>
      </c>
      <c r="H3864" t="s">
        <v>1839</v>
      </c>
      <c r="K3864" t="s">
        <v>51</v>
      </c>
      <c r="L3864" t="s">
        <v>52</v>
      </c>
      <c r="M3864">
        <v>135814.14000000001</v>
      </c>
      <c r="N3864">
        <v>466840.29</v>
      </c>
      <c r="O3864" t="s">
        <v>53</v>
      </c>
      <c r="P3864" t="s">
        <v>54</v>
      </c>
      <c r="Q3864" t="s">
        <v>55</v>
      </c>
      <c r="T3864" t="s">
        <v>376</v>
      </c>
      <c r="U3864">
        <v>40</v>
      </c>
      <c r="V3864" s="1">
        <v>37258</v>
      </c>
      <c r="W3864" s="1">
        <v>37258</v>
      </c>
      <c r="X3864" s="1">
        <v>37258</v>
      </c>
      <c r="Y3864" s="1">
        <v>51868</v>
      </c>
      <c r="Z3864" t="s">
        <v>51</v>
      </c>
      <c r="AB3864" t="s">
        <v>54</v>
      </c>
      <c r="AC3864">
        <v>1</v>
      </c>
      <c r="AE3864" t="s">
        <v>814</v>
      </c>
      <c r="AF3864">
        <v>20</v>
      </c>
      <c r="AG3864" s="1">
        <v>37258</v>
      </c>
      <c r="AH3864" s="1">
        <v>37258</v>
      </c>
      <c r="AI3864" s="1">
        <v>37258</v>
      </c>
      <c r="AJ3864" s="1">
        <v>44563</v>
      </c>
      <c r="AK3864" t="s">
        <v>51</v>
      </c>
      <c r="AN3864">
        <v>0</v>
      </c>
      <c r="AO3864" t="s">
        <v>54</v>
      </c>
      <c r="AP3864" t="s">
        <v>53</v>
      </c>
      <c r="AQ3864">
        <v>0</v>
      </c>
      <c r="AR3864" t="s">
        <v>53</v>
      </c>
      <c r="AS3864">
        <v>0</v>
      </c>
      <c r="AT3864">
        <v>0</v>
      </c>
      <c r="CC3864" t="s">
        <v>439</v>
      </c>
      <c r="CD3864">
        <v>85000</v>
      </c>
      <c r="CE3864" s="1">
        <v>42552</v>
      </c>
      <c r="CF3864" s="1">
        <v>42552</v>
      </c>
      <c r="CG3864" s="1">
        <v>42552</v>
      </c>
      <c r="CH3864" s="1">
        <v>49714</v>
      </c>
      <c r="CI3864" t="s">
        <v>51</v>
      </c>
      <c r="CK3864" t="s">
        <v>78</v>
      </c>
      <c r="CM3864" t="s">
        <v>54</v>
      </c>
      <c r="CN3864" t="s">
        <v>174</v>
      </c>
      <c r="CO3864" t="s">
        <v>86</v>
      </c>
      <c r="CR3864">
        <v>25</v>
      </c>
      <c r="CS3864">
        <v>0</v>
      </c>
      <c r="CT3864">
        <v>0</v>
      </c>
      <c r="CU3864">
        <v>0</v>
      </c>
    </row>
    <row r="3865" spans="1:99" x14ac:dyDescent="0.2">
      <c r="A3865" t="s">
        <v>367</v>
      </c>
      <c r="B3865" t="s">
        <v>368</v>
      </c>
      <c r="C3865" t="s">
        <v>1733</v>
      </c>
      <c r="D3865" t="s">
        <v>369</v>
      </c>
      <c r="F3865" t="str">
        <f>"165549"</f>
        <v>165549</v>
      </c>
      <c r="G3865" t="s">
        <v>49</v>
      </c>
      <c r="H3865" t="s">
        <v>1840</v>
      </c>
      <c r="K3865" t="s">
        <v>51</v>
      </c>
      <c r="L3865" t="s">
        <v>52</v>
      </c>
      <c r="M3865">
        <v>135795.71</v>
      </c>
      <c r="N3865">
        <v>466833.39</v>
      </c>
      <c r="O3865" t="s">
        <v>53</v>
      </c>
      <c r="P3865" t="s">
        <v>54</v>
      </c>
      <c r="Q3865" t="s">
        <v>55</v>
      </c>
      <c r="T3865" t="s">
        <v>376</v>
      </c>
      <c r="U3865">
        <v>40</v>
      </c>
      <c r="V3865" s="1">
        <v>37258</v>
      </c>
      <c r="W3865" s="1">
        <v>37258</v>
      </c>
      <c r="X3865" s="1">
        <v>37258</v>
      </c>
      <c r="Y3865" s="1">
        <v>51868</v>
      </c>
      <c r="Z3865" t="s">
        <v>51</v>
      </c>
      <c r="AB3865" t="s">
        <v>54</v>
      </c>
      <c r="AC3865">
        <v>1</v>
      </c>
      <c r="AE3865" t="s">
        <v>814</v>
      </c>
      <c r="AF3865">
        <v>20</v>
      </c>
      <c r="AG3865" s="1">
        <v>37258</v>
      </c>
      <c r="AH3865" s="1">
        <v>37258</v>
      </c>
      <c r="AI3865" s="1">
        <v>37258</v>
      </c>
      <c r="AJ3865" s="1">
        <v>44563</v>
      </c>
      <c r="AK3865" t="s">
        <v>51</v>
      </c>
      <c r="AN3865">
        <v>0</v>
      </c>
      <c r="AO3865" t="s">
        <v>54</v>
      </c>
      <c r="AP3865" t="s">
        <v>53</v>
      </c>
      <c r="AQ3865">
        <v>0</v>
      </c>
      <c r="AR3865" t="s">
        <v>53</v>
      </c>
      <c r="AS3865">
        <v>0</v>
      </c>
      <c r="AT3865">
        <v>0</v>
      </c>
      <c r="CC3865" t="s">
        <v>439</v>
      </c>
      <c r="CD3865">
        <v>85000</v>
      </c>
      <c r="CE3865" s="1">
        <v>42552</v>
      </c>
      <c r="CF3865" s="1">
        <v>42552</v>
      </c>
      <c r="CG3865" s="1">
        <v>42552</v>
      </c>
      <c r="CH3865" s="1">
        <v>49714</v>
      </c>
      <c r="CI3865" t="s">
        <v>51</v>
      </c>
      <c r="CK3865" t="s">
        <v>78</v>
      </c>
      <c r="CM3865" t="s">
        <v>54</v>
      </c>
      <c r="CN3865" t="s">
        <v>174</v>
      </c>
      <c r="CO3865" t="s">
        <v>86</v>
      </c>
      <c r="CR3865">
        <v>25</v>
      </c>
      <c r="CS3865">
        <v>0</v>
      </c>
      <c r="CT3865">
        <v>0</v>
      </c>
      <c r="CU3865">
        <v>0</v>
      </c>
    </row>
    <row r="3866" spans="1:99" x14ac:dyDescent="0.2">
      <c r="A3866" t="s">
        <v>367</v>
      </c>
      <c r="B3866" t="s">
        <v>368</v>
      </c>
      <c r="C3866" t="s">
        <v>1733</v>
      </c>
      <c r="D3866" t="s">
        <v>369</v>
      </c>
      <c r="F3866" t="str">
        <f>"165550"</f>
        <v>165550</v>
      </c>
      <c r="G3866" t="s">
        <v>49</v>
      </c>
      <c r="H3866" t="s">
        <v>1839</v>
      </c>
      <c r="K3866" t="s">
        <v>51</v>
      </c>
      <c r="L3866" t="s">
        <v>52</v>
      </c>
      <c r="M3866">
        <v>135777.79999999999</v>
      </c>
      <c r="N3866">
        <v>466828.48</v>
      </c>
      <c r="O3866" t="s">
        <v>53</v>
      </c>
      <c r="P3866" t="s">
        <v>54</v>
      </c>
      <c r="Q3866" t="s">
        <v>55</v>
      </c>
      <c r="T3866" t="s">
        <v>376</v>
      </c>
      <c r="U3866">
        <v>40</v>
      </c>
      <c r="V3866" s="1">
        <v>37258</v>
      </c>
      <c r="W3866" s="1">
        <v>37258</v>
      </c>
      <c r="X3866" s="1">
        <v>37258</v>
      </c>
      <c r="Y3866" s="1">
        <v>51868</v>
      </c>
      <c r="Z3866" t="s">
        <v>51</v>
      </c>
      <c r="AB3866" t="s">
        <v>54</v>
      </c>
      <c r="AC3866">
        <v>1</v>
      </c>
      <c r="AE3866" t="s">
        <v>814</v>
      </c>
      <c r="AF3866">
        <v>20</v>
      </c>
      <c r="AG3866" s="1">
        <v>37258</v>
      </c>
      <c r="AH3866" s="1">
        <v>37258</v>
      </c>
      <c r="AI3866" s="1">
        <v>37258</v>
      </c>
      <c r="AJ3866" s="1">
        <v>44563</v>
      </c>
      <c r="AK3866" t="s">
        <v>51</v>
      </c>
      <c r="AN3866">
        <v>0</v>
      </c>
      <c r="AO3866" t="s">
        <v>54</v>
      </c>
      <c r="AP3866" t="s">
        <v>53</v>
      </c>
      <c r="AQ3866">
        <v>0</v>
      </c>
      <c r="AR3866" t="s">
        <v>53</v>
      </c>
      <c r="AS3866">
        <v>0</v>
      </c>
      <c r="AT3866">
        <v>0</v>
      </c>
      <c r="CC3866" t="s">
        <v>439</v>
      </c>
      <c r="CD3866">
        <v>85000</v>
      </c>
      <c r="CE3866" s="1">
        <v>42552</v>
      </c>
      <c r="CF3866" s="1">
        <v>42552</v>
      </c>
      <c r="CG3866" s="1">
        <v>42552</v>
      </c>
      <c r="CH3866" s="1">
        <v>49714</v>
      </c>
      <c r="CI3866" t="s">
        <v>51</v>
      </c>
      <c r="CK3866" t="s">
        <v>78</v>
      </c>
      <c r="CM3866" t="s">
        <v>54</v>
      </c>
      <c r="CN3866" t="s">
        <v>174</v>
      </c>
      <c r="CO3866" t="s">
        <v>86</v>
      </c>
      <c r="CR3866">
        <v>25</v>
      </c>
      <c r="CS3866">
        <v>0</v>
      </c>
      <c r="CT3866">
        <v>0</v>
      </c>
      <c r="CU3866">
        <v>0</v>
      </c>
    </row>
    <row r="3867" spans="1:99" x14ac:dyDescent="0.2">
      <c r="A3867" t="s">
        <v>367</v>
      </c>
      <c r="B3867" t="s">
        <v>368</v>
      </c>
      <c r="C3867" t="s">
        <v>381</v>
      </c>
      <c r="D3867" t="s">
        <v>369</v>
      </c>
      <c r="F3867" t="str">
        <f>"165551"</f>
        <v>165551</v>
      </c>
      <c r="G3867" t="s">
        <v>49</v>
      </c>
      <c r="H3867" t="s">
        <v>1841</v>
      </c>
      <c r="K3867" t="s">
        <v>51</v>
      </c>
      <c r="L3867" t="s">
        <v>52</v>
      </c>
      <c r="M3867">
        <v>134252.82</v>
      </c>
      <c r="N3867">
        <v>466541.69</v>
      </c>
      <c r="O3867" t="s">
        <v>53</v>
      </c>
      <c r="P3867" t="s">
        <v>54</v>
      </c>
      <c r="Q3867" t="s">
        <v>55</v>
      </c>
      <c r="T3867" t="s">
        <v>376</v>
      </c>
      <c r="U3867">
        <v>40</v>
      </c>
      <c r="V3867" s="1">
        <v>37306</v>
      </c>
      <c r="W3867" s="1">
        <v>37306</v>
      </c>
      <c r="X3867" s="1">
        <v>37306</v>
      </c>
      <c r="Y3867" s="1">
        <v>51916</v>
      </c>
      <c r="Z3867" t="s">
        <v>51</v>
      </c>
      <c r="AB3867" t="s">
        <v>54</v>
      </c>
      <c r="AC3867">
        <v>1</v>
      </c>
      <c r="AE3867" t="s">
        <v>814</v>
      </c>
      <c r="AF3867">
        <v>20</v>
      </c>
      <c r="AG3867" s="1">
        <v>37306</v>
      </c>
      <c r="AH3867" s="1">
        <v>37306</v>
      </c>
      <c r="AI3867" s="1">
        <v>37306</v>
      </c>
      <c r="AJ3867" s="1">
        <v>44611</v>
      </c>
      <c r="AK3867" t="s">
        <v>51</v>
      </c>
      <c r="AN3867">
        <v>0</v>
      </c>
      <c r="AO3867" t="s">
        <v>54</v>
      </c>
      <c r="AP3867" t="s">
        <v>53</v>
      </c>
      <c r="AQ3867">
        <v>0</v>
      </c>
      <c r="AR3867" t="s">
        <v>53</v>
      </c>
      <c r="AS3867">
        <v>0</v>
      </c>
      <c r="AT3867">
        <v>0</v>
      </c>
      <c r="CC3867" t="s">
        <v>439</v>
      </c>
      <c r="CD3867">
        <v>85000</v>
      </c>
      <c r="CE3867" s="1">
        <v>43130</v>
      </c>
      <c r="CF3867" s="1">
        <v>43130</v>
      </c>
      <c r="CG3867" s="1">
        <v>43130</v>
      </c>
      <c r="CH3867" s="1">
        <v>50346</v>
      </c>
      <c r="CI3867" t="s">
        <v>51</v>
      </c>
      <c r="CK3867" t="s">
        <v>78</v>
      </c>
      <c r="CM3867" t="s">
        <v>54</v>
      </c>
      <c r="CN3867" t="s">
        <v>174</v>
      </c>
      <c r="CO3867" t="s">
        <v>86</v>
      </c>
      <c r="CR3867">
        <v>25</v>
      </c>
      <c r="CS3867">
        <v>0</v>
      </c>
      <c r="CT3867">
        <v>0</v>
      </c>
      <c r="CU3867">
        <v>0</v>
      </c>
    </row>
    <row r="3868" spans="1:99" x14ac:dyDescent="0.2">
      <c r="A3868" t="s">
        <v>367</v>
      </c>
      <c r="B3868" t="s">
        <v>368</v>
      </c>
      <c r="C3868" t="s">
        <v>381</v>
      </c>
      <c r="D3868" t="s">
        <v>369</v>
      </c>
      <c r="F3868" t="str">
        <f>"165552"</f>
        <v>165552</v>
      </c>
      <c r="G3868" t="s">
        <v>49</v>
      </c>
      <c r="H3868" t="s">
        <v>1841</v>
      </c>
      <c r="K3868" t="s">
        <v>51</v>
      </c>
      <c r="L3868" t="s">
        <v>52</v>
      </c>
      <c r="M3868">
        <v>134227.9</v>
      </c>
      <c r="N3868">
        <v>466538.33</v>
      </c>
      <c r="O3868" t="s">
        <v>53</v>
      </c>
      <c r="P3868" t="s">
        <v>54</v>
      </c>
      <c r="Q3868" t="s">
        <v>55</v>
      </c>
      <c r="T3868" t="s">
        <v>376</v>
      </c>
      <c r="U3868">
        <v>40</v>
      </c>
      <c r="V3868" s="1">
        <v>37306</v>
      </c>
      <c r="W3868" s="1">
        <v>37306</v>
      </c>
      <c r="X3868" s="1">
        <v>37306</v>
      </c>
      <c r="Y3868" s="1">
        <v>51916</v>
      </c>
      <c r="Z3868" t="s">
        <v>51</v>
      </c>
      <c r="AB3868" t="s">
        <v>54</v>
      </c>
      <c r="AC3868">
        <v>1</v>
      </c>
      <c r="AE3868" t="s">
        <v>814</v>
      </c>
      <c r="AF3868">
        <v>20</v>
      </c>
      <c r="AG3868" s="1">
        <v>37306</v>
      </c>
      <c r="AH3868" s="1">
        <v>37306</v>
      </c>
      <c r="AI3868" s="1">
        <v>37306</v>
      </c>
      <c r="AJ3868" s="1">
        <v>44611</v>
      </c>
      <c r="AK3868" t="s">
        <v>51</v>
      </c>
      <c r="AN3868">
        <v>0</v>
      </c>
      <c r="AO3868" t="s">
        <v>54</v>
      </c>
      <c r="AP3868" t="s">
        <v>53</v>
      </c>
      <c r="AQ3868">
        <v>0</v>
      </c>
      <c r="AR3868" t="s">
        <v>53</v>
      </c>
      <c r="AS3868">
        <v>0</v>
      </c>
      <c r="AT3868">
        <v>0</v>
      </c>
      <c r="CC3868" t="s">
        <v>439</v>
      </c>
      <c r="CD3868">
        <v>85000</v>
      </c>
      <c r="CE3868" s="1">
        <v>42552</v>
      </c>
      <c r="CF3868" s="1">
        <v>42552</v>
      </c>
      <c r="CG3868" s="1">
        <v>42552</v>
      </c>
      <c r="CH3868" s="1">
        <v>49714</v>
      </c>
      <c r="CI3868" t="s">
        <v>51</v>
      </c>
      <c r="CK3868" t="s">
        <v>78</v>
      </c>
      <c r="CM3868" t="s">
        <v>54</v>
      </c>
      <c r="CN3868" t="s">
        <v>174</v>
      </c>
      <c r="CO3868" t="s">
        <v>86</v>
      </c>
      <c r="CR3868">
        <v>25</v>
      </c>
      <c r="CS3868">
        <v>0</v>
      </c>
      <c r="CT3868">
        <v>0</v>
      </c>
      <c r="CU3868">
        <v>0</v>
      </c>
    </row>
    <row r="3869" spans="1:99" x14ac:dyDescent="0.2">
      <c r="A3869" t="s">
        <v>367</v>
      </c>
      <c r="B3869" t="s">
        <v>368</v>
      </c>
      <c r="C3869" t="s">
        <v>381</v>
      </c>
      <c r="D3869" t="s">
        <v>369</v>
      </c>
      <c r="F3869" t="str">
        <f>"165553"</f>
        <v>165553</v>
      </c>
      <c r="G3869" t="s">
        <v>49</v>
      </c>
      <c r="H3869" t="s">
        <v>1842</v>
      </c>
      <c r="K3869" t="s">
        <v>51</v>
      </c>
      <c r="L3869" t="s">
        <v>52</v>
      </c>
      <c r="M3869">
        <v>134202</v>
      </c>
      <c r="N3869">
        <v>466534.87</v>
      </c>
      <c r="O3869" t="s">
        <v>53</v>
      </c>
      <c r="P3869" t="s">
        <v>54</v>
      </c>
      <c r="Q3869" t="s">
        <v>55</v>
      </c>
      <c r="T3869" t="s">
        <v>376</v>
      </c>
      <c r="U3869">
        <v>40</v>
      </c>
      <c r="V3869" s="1">
        <v>37306</v>
      </c>
      <c r="W3869" s="1">
        <v>37306</v>
      </c>
      <c r="X3869" s="1">
        <v>37306</v>
      </c>
      <c r="Y3869" s="1">
        <v>51916</v>
      </c>
      <c r="Z3869" t="s">
        <v>51</v>
      </c>
      <c r="AB3869" t="s">
        <v>54</v>
      </c>
      <c r="AC3869">
        <v>1</v>
      </c>
      <c r="AE3869" t="s">
        <v>814</v>
      </c>
      <c r="AF3869">
        <v>20</v>
      </c>
      <c r="AG3869" s="1">
        <v>37306</v>
      </c>
      <c r="AH3869" s="1">
        <v>37306</v>
      </c>
      <c r="AI3869" s="1">
        <v>37306</v>
      </c>
      <c r="AJ3869" s="1">
        <v>44611</v>
      </c>
      <c r="AK3869" t="s">
        <v>51</v>
      </c>
      <c r="AN3869">
        <v>0</v>
      </c>
      <c r="AO3869" t="s">
        <v>54</v>
      </c>
      <c r="AP3869" t="s">
        <v>53</v>
      </c>
      <c r="AQ3869">
        <v>0</v>
      </c>
      <c r="AR3869" t="s">
        <v>53</v>
      </c>
      <c r="AS3869">
        <v>0</v>
      </c>
      <c r="AT3869">
        <v>0</v>
      </c>
      <c r="CC3869" t="s">
        <v>439</v>
      </c>
      <c r="CD3869">
        <v>85000</v>
      </c>
      <c r="CE3869" s="1">
        <v>42552</v>
      </c>
      <c r="CF3869" s="1">
        <v>42552</v>
      </c>
      <c r="CG3869" s="1">
        <v>42552</v>
      </c>
      <c r="CH3869" s="1">
        <v>49714</v>
      </c>
      <c r="CI3869" t="s">
        <v>51</v>
      </c>
      <c r="CK3869" t="s">
        <v>78</v>
      </c>
      <c r="CM3869" t="s">
        <v>54</v>
      </c>
      <c r="CN3869" t="s">
        <v>174</v>
      </c>
      <c r="CO3869" t="s">
        <v>86</v>
      </c>
      <c r="CR3869">
        <v>25</v>
      </c>
      <c r="CS3869">
        <v>0</v>
      </c>
      <c r="CT3869">
        <v>0</v>
      </c>
      <c r="CU3869">
        <v>0</v>
      </c>
    </row>
    <row r="3870" spans="1:99" x14ac:dyDescent="0.2">
      <c r="A3870" t="s">
        <v>367</v>
      </c>
      <c r="B3870" t="s">
        <v>368</v>
      </c>
      <c r="C3870" t="s">
        <v>381</v>
      </c>
      <c r="D3870" t="s">
        <v>369</v>
      </c>
      <c r="F3870" t="str">
        <f>"165555"</f>
        <v>165555</v>
      </c>
      <c r="G3870" t="s">
        <v>49</v>
      </c>
      <c r="H3870" t="s">
        <v>1843</v>
      </c>
      <c r="K3870" t="s">
        <v>51</v>
      </c>
      <c r="L3870" t="s">
        <v>52</v>
      </c>
      <c r="M3870">
        <v>134151.20000000001</v>
      </c>
      <c r="N3870">
        <v>466527.39</v>
      </c>
      <c r="O3870" t="s">
        <v>53</v>
      </c>
      <c r="P3870" t="s">
        <v>54</v>
      </c>
      <c r="Q3870" t="s">
        <v>55</v>
      </c>
      <c r="T3870" t="s">
        <v>376</v>
      </c>
      <c r="U3870">
        <v>40</v>
      </c>
      <c r="V3870" s="1">
        <v>37306</v>
      </c>
      <c r="W3870" s="1">
        <v>37306</v>
      </c>
      <c r="X3870" s="1">
        <v>37306</v>
      </c>
      <c r="Y3870" s="1">
        <v>51916</v>
      </c>
      <c r="Z3870" t="s">
        <v>51</v>
      </c>
      <c r="AB3870" t="s">
        <v>54</v>
      </c>
      <c r="AC3870">
        <v>1</v>
      </c>
      <c r="AE3870" t="s">
        <v>814</v>
      </c>
      <c r="AF3870">
        <v>20</v>
      </c>
      <c r="AG3870" s="1">
        <v>37306</v>
      </c>
      <c r="AH3870" s="1">
        <v>37306</v>
      </c>
      <c r="AI3870" s="1">
        <v>37306</v>
      </c>
      <c r="AJ3870" s="1">
        <v>44611</v>
      </c>
      <c r="AK3870" t="s">
        <v>51</v>
      </c>
      <c r="AN3870">
        <v>0</v>
      </c>
      <c r="AO3870" t="s">
        <v>54</v>
      </c>
      <c r="AP3870" t="s">
        <v>53</v>
      </c>
      <c r="AQ3870">
        <v>0</v>
      </c>
      <c r="AR3870" t="s">
        <v>53</v>
      </c>
      <c r="AS3870">
        <v>0</v>
      </c>
      <c r="AT3870">
        <v>0</v>
      </c>
      <c r="CC3870" t="s">
        <v>439</v>
      </c>
      <c r="CD3870">
        <v>85000</v>
      </c>
      <c r="CE3870" s="1">
        <v>42552</v>
      </c>
      <c r="CF3870" s="1">
        <v>42552</v>
      </c>
      <c r="CG3870" s="1">
        <v>42552</v>
      </c>
      <c r="CH3870" s="1">
        <v>49714</v>
      </c>
      <c r="CI3870" t="s">
        <v>51</v>
      </c>
      <c r="CK3870" t="s">
        <v>78</v>
      </c>
      <c r="CM3870" t="s">
        <v>54</v>
      </c>
      <c r="CN3870" t="s">
        <v>174</v>
      </c>
      <c r="CO3870" t="s">
        <v>86</v>
      </c>
      <c r="CR3870">
        <v>25</v>
      </c>
      <c r="CS3870">
        <v>0</v>
      </c>
      <c r="CT3870">
        <v>0</v>
      </c>
      <c r="CU3870">
        <v>0</v>
      </c>
    </row>
    <row r="3871" spans="1:99" x14ac:dyDescent="0.2">
      <c r="A3871" t="s">
        <v>367</v>
      </c>
      <c r="B3871" t="s">
        <v>368</v>
      </c>
      <c r="C3871" t="s">
        <v>381</v>
      </c>
      <c r="D3871" t="s">
        <v>369</v>
      </c>
      <c r="F3871" t="str">
        <f>"165557"</f>
        <v>165557</v>
      </c>
      <c r="G3871" t="s">
        <v>49</v>
      </c>
      <c r="H3871" t="s">
        <v>1843</v>
      </c>
      <c r="K3871" t="s">
        <v>51</v>
      </c>
      <c r="L3871" t="s">
        <v>52</v>
      </c>
      <c r="M3871">
        <v>134126.62</v>
      </c>
      <c r="N3871">
        <v>466524.8</v>
      </c>
      <c r="O3871" t="s">
        <v>53</v>
      </c>
      <c r="P3871" t="s">
        <v>54</v>
      </c>
      <c r="Q3871" t="s">
        <v>55</v>
      </c>
      <c r="T3871" t="s">
        <v>376</v>
      </c>
      <c r="U3871">
        <v>40</v>
      </c>
      <c r="V3871" s="1">
        <v>37306</v>
      </c>
      <c r="W3871" s="1">
        <v>37306</v>
      </c>
      <c r="X3871" s="1">
        <v>37306</v>
      </c>
      <c r="Y3871" s="1">
        <v>51916</v>
      </c>
      <c r="Z3871" t="s">
        <v>51</v>
      </c>
      <c r="AB3871" t="s">
        <v>54</v>
      </c>
      <c r="AC3871">
        <v>1</v>
      </c>
      <c r="AE3871" t="s">
        <v>814</v>
      </c>
      <c r="AF3871">
        <v>20</v>
      </c>
      <c r="AG3871" s="1">
        <v>37306</v>
      </c>
      <c r="AH3871" s="1">
        <v>37306</v>
      </c>
      <c r="AI3871" s="1">
        <v>37306</v>
      </c>
      <c r="AJ3871" s="1">
        <v>44611</v>
      </c>
      <c r="AK3871" t="s">
        <v>51</v>
      </c>
      <c r="AN3871">
        <v>0</v>
      </c>
      <c r="AO3871" t="s">
        <v>54</v>
      </c>
      <c r="AP3871" t="s">
        <v>53</v>
      </c>
      <c r="AQ3871">
        <v>0</v>
      </c>
      <c r="AR3871" t="s">
        <v>53</v>
      </c>
      <c r="AS3871">
        <v>0</v>
      </c>
      <c r="AT3871">
        <v>0</v>
      </c>
      <c r="CC3871" t="s">
        <v>439</v>
      </c>
      <c r="CD3871">
        <v>85000</v>
      </c>
      <c r="CE3871" s="1">
        <v>43150</v>
      </c>
      <c r="CF3871" s="1">
        <v>43150</v>
      </c>
      <c r="CG3871" s="1">
        <v>43150</v>
      </c>
      <c r="CH3871" s="1">
        <v>50365</v>
      </c>
      <c r="CI3871" t="s">
        <v>51</v>
      </c>
      <c r="CK3871" t="s">
        <v>78</v>
      </c>
      <c r="CM3871" t="s">
        <v>54</v>
      </c>
      <c r="CN3871" t="s">
        <v>174</v>
      </c>
      <c r="CO3871" t="s">
        <v>86</v>
      </c>
      <c r="CR3871">
        <v>25</v>
      </c>
      <c r="CS3871">
        <v>0</v>
      </c>
      <c r="CT3871">
        <v>0</v>
      </c>
      <c r="CU3871">
        <v>0</v>
      </c>
    </row>
    <row r="3872" spans="1:99" x14ac:dyDescent="0.2">
      <c r="A3872" t="s">
        <v>367</v>
      </c>
      <c r="B3872" t="s">
        <v>368</v>
      </c>
      <c r="C3872" t="s">
        <v>381</v>
      </c>
      <c r="D3872" t="s">
        <v>369</v>
      </c>
      <c r="F3872" t="str">
        <f>"165559"</f>
        <v>165559</v>
      </c>
      <c r="G3872" t="s">
        <v>49</v>
      </c>
      <c r="H3872" t="s">
        <v>1844</v>
      </c>
      <c r="K3872" t="s">
        <v>51</v>
      </c>
      <c r="L3872" t="s">
        <v>52</v>
      </c>
      <c r="M3872">
        <v>134102.62</v>
      </c>
      <c r="N3872">
        <v>466522.2</v>
      </c>
      <c r="O3872" t="s">
        <v>53</v>
      </c>
      <c r="P3872" t="s">
        <v>54</v>
      </c>
      <c r="Q3872" t="s">
        <v>55</v>
      </c>
      <c r="T3872" t="s">
        <v>376</v>
      </c>
      <c r="U3872">
        <v>40</v>
      </c>
      <c r="V3872" s="1">
        <v>37306</v>
      </c>
      <c r="W3872" s="1">
        <v>37306</v>
      </c>
      <c r="X3872" s="1">
        <v>37306</v>
      </c>
      <c r="Y3872" s="1">
        <v>51916</v>
      </c>
      <c r="Z3872" t="s">
        <v>51</v>
      </c>
      <c r="AB3872" t="s">
        <v>54</v>
      </c>
      <c r="AC3872">
        <v>1</v>
      </c>
      <c r="AE3872" t="s">
        <v>814</v>
      </c>
      <c r="AF3872">
        <v>20</v>
      </c>
      <c r="AG3872" s="1">
        <v>37306</v>
      </c>
      <c r="AH3872" s="1">
        <v>37306</v>
      </c>
      <c r="AI3872" s="1">
        <v>37306</v>
      </c>
      <c r="AJ3872" s="1">
        <v>44611</v>
      </c>
      <c r="AK3872" t="s">
        <v>51</v>
      </c>
      <c r="AN3872">
        <v>0</v>
      </c>
      <c r="AO3872" t="s">
        <v>54</v>
      </c>
      <c r="AP3872" t="s">
        <v>53</v>
      </c>
      <c r="AQ3872">
        <v>0</v>
      </c>
      <c r="AR3872" t="s">
        <v>53</v>
      </c>
      <c r="AS3872">
        <v>0</v>
      </c>
      <c r="AT3872">
        <v>0</v>
      </c>
      <c r="CC3872" t="s">
        <v>439</v>
      </c>
      <c r="CD3872">
        <v>85000</v>
      </c>
      <c r="CE3872" s="1">
        <v>43150</v>
      </c>
      <c r="CF3872" s="1">
        <v>43150</v>
      </c>
      <c r="CG3872" s="1">
        <v>43150</v>
      </c>
      <c r="CH3872" s="1">
        <v>50365</v>
      </c>
      <c r="CI3872" t="s">
        <v>51</v>
      </c>
      <c r="CK3872" t="s">
        <v>78</v>
      </c>
      <c r="CM3872" t="s">
        <v>54</v>
      </c>
      <c r="CN3872" t="s">
        <v>174</v>
      </c>
      <c r="CO3872" t="s">
        <v>86</v>
      </c>
      <c r="CR3872">
        <v>25</v>
      </c>
      <c r="CS3872">
        <v>0</v>
      </c>
      <c r="CT3872">
        <v>0</v>
      </c>
      <c r="CU3872">
        <v>0</v>
      </c>
    </row>
    <row r="3873" spans="1:99" x14ac:dyDescent="0.2">
      <c r="A3873" t="s">
        <v>367</v>
      </c>
      <c r="B3873" t="s">
        <v>368</v>
      </c>
      <c r="C3873" t="s">
        <v>381</v>
      </c>
      <c r="D3873" t="s">
        <v>369</v>
      </c>
      <c r="F3873" t="str">
        <f>"165560"</f>
        <v>165560</v>
      </c>
      <c r="G3873" t="s">
        <v>49</v>
      </c>
      <c r="H3873" t="s">
        <v>1844</v>
      </c>
      <c r="K3873" t="s">
        <v>51</v>
      </c>
      <c r="L3873" t="s">
        <v>52</v>
      </c>
      <c r="M3873">
        <v>134067.75</v>
      </c>
      <c r="N3873">
        <v>466519.79</v>
      </c>
      <c r="O3873" t="s">
        <v>53</v>
      </c>
      <c r="P3873" t="s">
        <v>54</v>
      </c>
      <c r="Q3873" t="s">
        <v>55</v>
      </c>
      <c r="T3873" t="s">
        <v>376</v>
      </c>
      <c r="U3873">
        <v>40</v>
      </c>
      <c r="V3873" s="1">
        <v>37306</v>
      </c>
      <c r="W3873" s="1">
        <v>37306</v>
      </c>
      <c r="X3873" s="1">
        <v>37306</v>
      </c>
      <c r="Y3873" s="1">
        <v>51916</v>
      </c>
      <c r="Z3873" t="s">
        <v>51</v>
      </c>
      <c r="AB3873" t="s">
        <v>54</v>
      </c>
      <c r="AC3873">
        <v>1</v>
      </c>
      <c r="AE3873" t="s">
        <v>814</v>
      </c>
      <c r="AF3873">
        <v>20</v>
      </c>
      <c r="AG3873" s="1">
        <v>37306</v>
      </c>
      <c r="AH3873" s="1">
        <v>37306</v>
      </c>
      <c r="AI3873" s="1">
        <v>37306</v>
      </c>
      <c r="AJ3873" s="1">
        <v>44611</v>
      </c>
      <c r="AK3873" t="s">
        <v>51</v>
      </c>
      <c r="AN3873">
        <v>0</v>
      </c>
      <c r="AO3873" t="s">
        <v>54</v>
      </c>
      <c r="AP3873" t="s">
        <v>53</v>
      </c>
      <c r="AQ3873">
        <v>0</v>
      </c>
      <c r="AR3873" t="s">
        <v>53</v>
      </c>
      <c r="AS3873">
        <v>0</v>
      </c>
      <c r="AT3873">
        <v>0</v>
      </c>
      <c r="CC3873" t="s">
        <v>439</v>
      </c>
      <c r="CD3873">
        <v>85000</v>
      </c>
      <c r="CE3873" s="1">
        <v>42552</v>
      </c>
      <c r="CF3873" s="1">
        <v>42552</v>
      </c>
      <c r="CG3873" s="1">
        <v>42552</v>
      </c>
      <c r="CH3873" s="1">
        <v>49714</v>
      </c>
      <c r="CI3873" t="s">
        <v>51</v>
      </c>
      <c r="CK3873" t="s">
        <v>78</v>
      </c>
      <c r="CM3873" t="s">
        <v>54</v>
      </c>
      <c r="CN3873" t="s">
        <v>174</v>
      </c>
      <c r="CO3873" t="s">
        <v>86</v>
      </c>
      <c r="CR3873">
        <v>25</v>
      </c>
      <c r="CS3873">
        <v>0</v>
      </c>
      <c r="CT3873">
        <v>0</v>
      </c>
      <c r="CU3873">
        <v>0</v>
      </c>
    </row>
    <row r="3874" spans="1:99" x14ac:dyDescent="0.2">
      <c r="A3874" t="s">
        <v>367</v>
      </c>
      <c r="B3874" t="s">
        <v>368</v>
      </c>
      <c r="C3874" t="s">
        <v>381</v>
      </c>
      <c r="D3874" t="s">
        <v>369</v>
      </c>
      <c r="F3874" t="str">
        <f>"165561"</f>
        <v>165561</v>
      </c>
      <c r="G3874" t="s">
        <v>49</v>
      </c>
      <c r="H3874" t="s">
        <v>1845</v>
      </c>
      <c r="K3874" t="s">
        <v>51</v>
      </c>
      <c r="L3874" t="s">
        <v>52</v>
      </c>
      <c r="M3874">
        <v>134040.75</v>
      </c>
      <c r="N3874">
        <v>466518.99</v>
      </c>
      <c r="O3874" t="s">
        <v>53</v>
      </c>
      <c r="P3874" t="s">
        <v>54</v>
      </c>
      <c r="Q3874" t="s">
        <v>55</v>
      </c>
      <c r="T3874" t="s">
        <v>376</v>
      </c>
      <c r="U3874">
        <v>40</v>
      </c>
      <c r="V3874" s="1">
        <v>37306</v>
      </c>
      <c r="W3874" s="1">
        <v>37306</v>
      </c>
      <c r="X3874" s="1">
        <v>37306</v>
      </c>
      <c r="Y3874" s="1">
        <v>51916</v>
      </c>
      <c r="Z3874" t="s">
        <v>51</v>
      </c>
      <c r="AB3874" t="s">
        <v>54</v>
      </c>
      <c r="AC3874">
        <v>1</v>
      </c>
      <c r="AE3874" t="s">
        <v>814</v>
      </c>
      <c r="AF3874">
        <v>20</v>
      </c>
      <c r="AG3874" s="1">
        <v>37306</v>
      </c>
      <c r="AH3874" s="1">
        <v>37306</v>
      </c>
      <c r="AI3874" s="1">
        <v>37306</v>
      </c>
      <c r="AJ3874" s="1">
        <v>44611</v>
      </c>
      <c r="AK3874" t="s">
        <v>51</v>
      </c>
      <c r="AN3874">
        <v>0</v>
      </c>
      <c r="AO3874" t="s">
        <v>54</v>
      </c>
      <c r="AP3874" t="s">
        <v>53</v>
      </c>
      <c r="AQ3874">
        <v>0</v>
      </c>
      <c r="AR3874" t="s">
        <v>53</v>
      </c>
      <c r="AS3874">
        <v>0</v>
      </c>
      <c r="AT3874">
        <v>0</v>
      </c>
      <c r="CC3874" t="s">
        <v>439</v>
      </c>
      <c r="CD3874">
        <v>85000</v>
      </c>
      <c r="CE3874" s="1">
        <v>42552</v>
      </c>
      <c r="CF3874" s="1">
        <v>42552</v>
      </c>
      <c r="CG3874" s="1">
        <v>42552</v>
      </c>
      <c r="CH3874" s="1">
        <v>49714</v>
      </c>
      <c r="CI3874" t="s">
        <v>51</v>
      </c>
      <c r="CK3874" t="s">
        <v>78</v>
      </c>
      <c r="CM3874" t="s">
        <v>54</v>
      </c>
      <c r="CN3874" t="s">
        <v>174</v>
      </c>
      <c r="CO3874" t="s">
        <v>86</v>
      </c>
      <c r="CR3874">
        <v>25</v>
      </c>
      <c r="CS3874">
        <v>0</v>
      </c>
      <c r="CT3874">
        <v>0</v>
      </c>
      <c r="CU3874">
        <v>0</v>
      </c>
    </row>
    <row r="3875" spans="1:99" x14ac:dyDescent="0.2">
      <c r="A3875" t="s">
        <v>367</v>
      </c>
      <c r="B3875" t="s">
        <v>368</v>
      </c>
      <c r="C3875" t="s">
        <v>381</v>
      </c>
      <c r="D3875" t="s">
        <v>369</v>
      </c>
      <c r="F3875" t="str">
        <f>"165562"</f>
        <v>165562</v>
      </c>
      <c r="G3875" t="s">
        <v>49</v>
      </c>
      <c r="H3875" t="s">
        <v>1846</v>
      </c>
      <c r="K3875" t="s">
        <v>51</v>
      </c>
      <c r="L3875" t="s">
        <v>52</v>
      </c>
      <c r="M3875">
        <v>134014.66</v>
      </c>
      <c r="N3875">
        <v>466519.39</v>
      </c>
      <c r="O3875" t="s">
        <v>53</v>
      </c>
      <c r="P3875" t="s">
        <v>54</v>
      </c>
      <c r="Q3875" t="s">
        <v>55</v>
      </c>
      <c r="T3875" t="s">
        <v>376</v>
      </c>
      <c r="U3875">
        <v>40</v>
      </c>
      <c r="V3875" s="1">
        <v>37306</v>
      </c>
      <c r="W3875" s="1">
        <v>37306</v>
      </c>
      <c r="X3875" s="1">
        <v>37306</v>
      </c>
      <c r="Y3875" s="1">
        <v>51916</v>
      </c>
      <c r="Z3875" t="s">
        <v>51</v>
      </c>
      <c r="AB3875" t="s">
        <v>54</v>
      </c>
      <c r="AC3875">
        <v>1</v>
      </c>
      <c r="AE3875" t="s">
        <v>814</v>
      </c>
      <c r="AF3875">
        <v>20</v>
      </c>
      <c r="AG3875" s="1">
        <v>37306</v>
      </c>
      <c r="AH3875" s="1">
        <v>37306</v>
      </c>
      <c r="AI3875" s="1">
        <v>37306</v>
      </c>
      <c r="AJ3875" s="1">
        <v>44611</v>
      </c>
      <c r="AK3875" t="s">
        <v>51</v>
      </c>
      <c r="AN3875">
        <v>0</v>
      </c>
      <c r="AO3875" t="s">
        <v>54</v>
      </c>
      <c r="AP3875" t="s">
        <v>53</v>
      </c>
      <c r="AQ3875">
        <v>0</v>
      </c>
      <c r="AR3875" t="s">
        <v>53</v>
      </c>
      <c r="AS3875">
        <v>0</v>
      </c>
      <c r="AT3875">
        <v>0</v>
      </c>
      <c r="CC3875" t="s">
        <v>439</v>
      </c>
      <c r="CD3875">
        <v>85000</v>
      </c>
      <c r="CE3875" s="1">
        <v>42552</v>
      </c>
      <c r="CF3875" s="1">
        <v>42552</v>
      </c>
      <c r="CG3875" s="1">
        <v>42552</v>
      </c>
      <c r="CH3875" s="1">
        <v>49714</v>
      </c>
      <c r="CI3875" t="s">
        <v>51</v>
      </c>
      <c r="CK3875" t="s">
        <v>78</v>
      </c>
      <c r="CM3875" t="s">
        <v>54</v>
      </c>
      <c r="CN3875" t="s">
        <v>174</v>
      </c>
      <c r="CO3875" t="s">
        <v>86</v>
      </c>
      <c r="CR3875">
        <v>25</v>
      </c>
      <c r="CS3875">
        <v>0</v>
      </c>
      <c r="CT3875">
        <v>0</v>
      </c>
      <c r="CU3875">
        <v>0</v>
      </c>
    </row>
    <row r="3876" spans="1:99" x14ac:dyDescent="0.2">
      <c r="A3876" t="s">
        <v>367</v>
      </c>
      <c r="B3876" t="s">
        <v>368</v>
      </c>
      <c r="C3876" t="s">
        <v>381</v>
      </c>
      <c r="D3876" t="s">
        <v>369</v>
      </c>
      <c r="F3876" t="str">
        <f>"165563"</f>
        <v>165563</v>
      </c>
      <c r="G3876" t="s">
        <v>49</v>
      </c>
      <c r="H3876" t="s">
        <v>1847</v>
      </c>
      <c r="K3876" t="s">
        <v>51</v>
      </c>
      <c r="L3876" t="s">
        <v>52</v>
      </c>
      <c r="M3876">
        <v>133992.65</v>
      </c>
      <c r="N3876">
        <v>466519.68</v>
      </c>
      <c r="O3876" t="s">
        <v>53</v>
      </c>
      <c r="P3876" t="s">
        <v>54</v>
      </c>
      <c r="Q3876" t="s">
        <v>55</v>
      </c>
      <c r="T3876" t="s">
        <v>376</v>
      </c>
      <c r="U3876">
        <v>40</v>
      </c>
      <c r="V3876" s="1">
        <v>37306</v>
      </c>
      <c r="W3876" s="1">
        <v>37306</v>
      </c>
      <c r="X3876" s="1">
        <v>37306</v>
      </c>
      <c r="Y3876" s="1">
        <v>51916</v>
      </c>
      <c r="Z3876" t="s">
        <v>51</v>
      </c>
      <c r="AB3876" t="s">
        <v>54</v>
      </c>
      <c r="AC3876">
        <v>1</v>
      </c>
      <c r="AE3876" t="s">
        <v>814</v>
      </c>
      <c r="AF3876">
        <v>20</v>
      </c>
      <c r="AG3876" s="1">
        <v>37306</v>
      </c>
      <c r="AH3876" s="1">
        <v>37306</v>
      </c>
      <c r="AI3876" s="1">
        <v>37306</v>
      </c>
      <c r="AJ3876" s="1">
        <v>44611</v>
      </c>
      <c r="AK3876" t="s">
        <v>51</v>
      </c>
      <c r="AN3876">
        <v>0</v>
      </c>
      <c r="AO3876" t="s">
        <v>54</v>
      </c>
      <c r="AP3876" t="s">
        <v>53</v>
      </c>
      <c r="AQ3876">
        <v>0</v>
      </c>
      <c r="AR3876" t="s">
        <v>53</v>
      </c>
      <c r="AS3876">
        <v>0</v>
      </c>
      <c r="AT3876">
        <v>0</v>
      </c>
      <c r="CC3876" t="s">
        <v>439</v>
      </c>
      <c r="CD3876">
        <v>85000</v>
      </c>
      <c r="CE3876" s="1">
        <v>42552</v>
      </c>
      <c r="CF3876" s="1">
        <v>42552</v>
      </c>
      <c r="CG3876" s="1">
        <v>42552</v>
      </c>
      <c r="CH3876" s="1">
        <v>49714</v>
      </c>
      <c r="CI3876" t="s">
        <v>51</v>
      </c>
      <c r="CK3876" t="s">
        <v>78</v>
      </c>
      <c r="CM3876" t="s">
        <v>54</v>
      </c>
      <c r="CN3876" t="s">
        <v>174</v>
      </c>
      <c r="CO3876" t="s">
        <v>86</v>
      </c>
      <c r="CR3876">
        <v>25</v>
      </c>
      <c r="CS3876">
        <v>0</v>
      </c>
      <c r="CT3876">
        <v>0</v>
      </c>
      <c r="CU3876">
        <v>0</v>
      </c>
    </row>
    <row r="3877" spans="1:99" x14ac:dyDescent="0.2">
      <c r="A3877" t="s">
        <v>367</v>
      </c>
      <c r="B3877" t="s">
        <v>368</v>
      </c>
      <c r="C3877" t="s">
        <v>381</v>
      </c>
      <c r="D3877" t="s">
        <v>369</v>
      </c>
      <c r="F3877" t="str">
        <f>"165564"</f>
        <v>165564</v>
      </c>
      <c r="G3877" t="s">
        <v>49</v>
      </c>
      <c r="H3877" t="s">
        <v>1848</v>
      </c>
      <c r="K3877" t="s">
        <v>51</v>
      </c>
      <c r="L3877" t="s">
        <v>52</v>
      </c>
      <c r="M3877">
        <v>133966.26</v>
      </c>
      <c r="N3877">
        <v>466520.79</v>
      </c>
      <c r="O3877" t="s">
        <v>53</v>
      </c>
      <c r="P3877" t="s">
        <v>54</v>
      </c>
      <c r="Q3877" t="s">
        <v>55</v>
      </c>
      <c r="T3877" t="s">
        <v>372</v>
      </c>
      <c r="U3877">
        <v>40</v>
      </c>
      <c r="V3877" s="1">
        <v>38749</v>
      </c>
      <c r="W3877" s="1">
        <v>38749</v>
      </c>
      <c r="X3877" s="1">
        <v>38749</v>
      </c>
      <c r="Y3877" s="1">
        <v>53359</v>
      </c>
      <c r="Z3877" t="s">
        <v>51</v>
      </c>
      <c r="AB3877" t="s">
        <v>54</v>
      </c>
      <c r="AC3877">
        <v>1</v>
      </c>
      <c r="AE3877" t="s">
        <v>814</v>
      </c>
      <c r="AF3877">
        <v>20</v>
      </c>
      <c r="AG3877" s="1">
        <v>37257</v>
      </c>
      <c r="AH3877" s="1">
        <v>37257</v>
      </c>
      <c r="AI3877" s="1">
        <v>38749</v>
      </c>
      <c r="AJ3877" s="1">
        <v>44562</v>
      </c>
      <c r="AK3877" t="s">
        <v>51</v>
      </c>
      <c r="AN3877">
        <v>0</v>
      </c>
      <c r="AO3877" t="s">
        <v>54</v>
      </c>
      <c r="AP3877" t="s">
        <v>53</v>
      </c>
      <c r="AQ3877">
        <v>0</v>
      </c>
      <c r="AR3877" t="s">
        <v>53</v>
      </c>
      <c r="AS3877">
        <v>0</v>
      </c>
      <c r="AT3877">
        <v>0</v>
      </c>
      <c r="CC3877" t="s">
        <v>439</v>
      </c>
      <c r="CD3877">
        <v>85000</v>
      </c>
      <c r="CE3877" s="1">
        <v>42552</v>
      </c>
      <c r="CF3877" s="1">
        <v>42552</v>
      </c>
      <c r="CG3877" s="1">
        <v>42552</v>
      </c>
      <c r="CH3877" s="1">
        <v>49714</v>
      </c>
      <c r="CI3877" t="s">
        <v>51</v>
      </c>
      <c r="CK3877" t="s">
        <v>78</v>
      </c>
      <c r="CM3877" t="s">
        <v>54</v>
      </c>
      <c r="CN3877" t="s">
        <v>174</v>
      </c>
      <c r="CO3877" t="s">
        <v>86</v>
      </c>
      <c r="CR3877">
        <v>25</v>
      </c>
      <c r="CS3877">
        <v>0</v>
      </c>
      <c r="CT3877">
        <v>0</v>
      </c>
      <c r="CU3877">
        <v>0</v>
      </c>
    </row>
    <row r="3878" spans="1:99" x14ac:dyDescent="0.2">
      <c r="A3878" t="s">
        <v>367</v>
      </c>
      <c r="B3878" t="s">
        <v>368</v>
      </c>
      <c r="C3878" t="s">
        <v>381</v>
      </c>
      <c r="D3878" t="s">
        <v>369</v>
      </c>
      <c r="F3878" t="str">
        <f>"165565"</f>
        <v>165565</v>
      </c>
      <c r="G3878" t="s">
        <v>49</v>
      </c>
      <c r="H3878" t="s">
        <v>1849</v>
      </c>
      <c r="K3878" t="s">
        <v>51</v>
      </c>
      <c r="L3878" t="s">
        <v>52</v>
      </c>
      <c r="M3878">
        <v>133940.56</v>
      </c>
      <c r="N3878">
        <v>466522.17</v>
      </c>
      <c r="O3878" t="s">
        <v>53</v>
      </c>
      <c r="P3878" t="s">
        <v>54</v>
      </c>
      <c r="Q3878" t="s">
        <v>55</v>
      </c>
      <c r="T3878" t="s">
        <v>376</v>
      </c>
      <c r="U3878">
        <v>40</v>
      </c>
      <c r="V3878" s="1">
        <v>37306</v>
      </c>
      <c r="W3878" s="1">
        <v>37306</v>
      </c>
      <c r="X3878" s="1">
        <v>37306</v>
      </c>
      <c r="Y3878" s="1">
        <v>51916</v>
      </c>
      <c r="Z3878" t="s">
        <v>51</v>
      </c>
      <c r="AB3878" t="s">
        <v>54</v>
      </c>
      <c r="AC3878">
        <v>1</v>
      </c>
      <c r="AE3878" t="s">
        <v>814</v>
      </c>
      <c r="AF3878">
        <v>20</v>
      </c>
      <c r="AG3878" s="1">
        <v>37306</v>
      </c>
      <c r="AH3878" s="1">
        <v>37306</v>
      </c>
      <c r="AI3878" s="1">
        <v>37306</v>
      </c>
      <c r="AJ3878" s="1">
        <v>44611</v>
      </c>
      <c r="AK3878" t="s">
        <v>51</v>
      </c>
      <c r="AN3878">
        <v>0</v>
      </c>
      <c r="AO3878" t="s">
        <v>54</v>
      </c>
      <c r="AP3878" t="s">
        <v>53</v>
      </c>
      <c r="AQ3878">
        <v>0</v>
      </c>
      <c r="AR3878" t="s">
        <v>53</v>
      </c>
      <c r="AS3878">
        <v>0</v>
      </c>
      <c r="AT3878">
        <v>0</v>
      </c>
      <c r="CC3878" t="s">
        <v>439</v>
      </c>
      <c r="CD3878">
        <v>85000</v>
      </c>
      <c r="CE3878" s="1">
        <v>43514</v>
      </c>
      <c r="CF3878" s="1">
        <v>43514</v>
      </c>
      <c r="CG3878" s="1">
        <v>43514</v>
      </c>
      <c r="CH3878" s="1">
        <v>50729</v>
      </c>
      <c r="CI3878" t="s">
        <v>51</v>
      </c>
      <c r="CK3878" t="s">
        <v>78</v>
      </c>
      <c r="CM3878" t="s">
        <v>54</v>
      </c>
      <c r="CN3878" t="s">
        <v>174</v>
      </c>
      <c r="CO3878" t="s">
        <v>86</v>
      </c>
      <c r="CR3878">
        <v>25</v>
      </c>
      <c r="CS3878">
        <v>0</v>
      </c>
      <c r="CT3878">
        <v>0</v>
      </c>
      <c r="CU3878">
        <v>0</v>
      </c>
    </row>
    <row r="3879" spans="1:99" x14ac:dyDescent="0.2">
      <c r="A3879" t="s">
        <v>367</v>
      </c>
      <c r="B3879" t="s">
        <v>368</v>
      </c>
      <c r="C3879" t="s">
        <v>381</v>
      </c>
      <c r="D3879" t="s">
        <v>369</v>
      </c>
      <c r="F3879" t="str">
        <f>"165566"</f>
        <v>165566</v>
      </c>
      <c r="G3879" t="s">
        <v>49</v>
      </c>
      <c r="H3879" t="s">
        <v>1850</v>
      </c>
      <c r="K3879" t="s">
        <v>51</v>
      </c>
      <c r="L3879" t="s">
        <v>52</v>
      </c>
      <c r="M3879">
        <v>133915.76</v>
      </c>
      <c r="N3879">
        <v>466523.57</v>
      </c>
      <c r="O3879" t="s">
        <v>53</v>
      </c>
      <c r="P3879" t="s">
        <v>54</v>
      </c>
      <c r="Q3879" t="s">
        <v>55</v>
      </c>
      <c r="T3879" t="s">
        <v>376</v>
      </c>
      <c r="U3879">
        <v>40</v>
      </c>
      <c r="V3879" s="1">
        <v>37258</v>
      </c>
      <c r="W3879" s="1">
        <v>37258</v>
      </c>
      <c r="X3879" s="1">
        <v>37258</v>
      </c>
      <c r="Y3879" s="1">
        <v>51868</v>
      </c>
      <c r="Z3879" t="s">
        <v>51</v>
      </c>
      <c r="AB3879" t="s">
        <v>54</v>
      </c>
      <c r="AC3879">
        <v>1</v>
      </c>
      <c r="AE3879" t="s">
        <v>814</v>
      </c>
      <c r="AF3879">
        <v>20</v>
      </c>
      <c r="AG3879" s="1">
        <v>37258</v>
      </c>
      <c r="AH3879" s="1">
        <v>37258</v>
      </c>
      <c r="AI3879" s="1">
        <v>37258</v>
      </c>
      <c r="AJ3879" s="1">
        <v>44563</v>
      </c>
      <c r="AK3879" t="s">
        <v>51</v>
      </c>
      <c r="AN3879">
        <v>0</v>
      </c>
      <c r="AO3879" t="s">
        <v>54</v>
      </c>
      <c r="AP3879" t="s">
        <v>53</v>
      </c>
      <c r="AQ3879">
        <v>0</v>
      </c>
      <c r="AR3879" t="s">
        <v>53</v>
      </c>
      <c r="AS3879">
        <v>0</v>
      </c>
      <c r="AT3879">
        <v>0</v>
      </c>
      <c r="CC3879" t="s">
        <v>439</v>
      </c>
      <c r="CD3879">
        <v>85000</v>
      </c>
      <c r="CE3879" s="1">
        <v>43598</v>
      </c>
      <c r="CF3879" s="1">
        <v>43598</v>
      </c>
      <c r="CG3879" s="1">
        <v>43598</v>
      </c>
      <c r="CH3879" s="1">
        <v>50787</v>
      </c>
      <c r="CI3879" t="s">
        <v>51</v>
      </c>
      <c r="CK3879" t="s">
        <v>78</v>
      </c>
      <c r="CM3879" t="s">
        <v>54</v>
      </c>
      <c r="CN3879" t="s">
        <v>174</v>
      </c>
      <c r="CO3879" t="s">
        <v>86</v>
      </c>
      <c r="CR3879">
        <v>25</v>
      </c>
      <c r="CS3879">
        <v>0</v>
      </c>
      <c r="CT3879">
        <v>0</v>
      </c>
      <c r="CU3879">
        <v>0</v>
      </c>
    </row>
    <row r="3880" spans="1:99" x14ac:dyDescent="0.2">
      <c r="A3880" t="s">
        <v>367</v>
      </c>
      <c r="B3880" t="s">
        <v>368</v>
      </c>
      <c r="C3880" t="s">
        <v>381</v>
      </c>
      <c r="D3880" t="s">
        <v>369</v>
      </c>
      <c r="F3880" t="str">
        <f>"165567"</f>
        <v>165567</v>
      </c>
      <c r="G3880" t="s">
        <v>49</v>
      </c>
      <c r="H3880" t="s">
        <v>1850</v>
      </c>
      <c r="K3880" t="s">
        <v>51</v>
      </c>
      <c r="L3880" t="s">
        <v>52</v>
      </c>
      <c r="M3880">
        <v>133891.16</v>
      </c>
      <c r="N3880">
        <v>466523.97</v>
      </c>
      <c r="O3880" t="s">
        <v>53</v>
      </c>
      <c r="P3880" t="s">
        <v>54</v>
      </c>
      <c r="Q3880" t="s">
        <v>55</v>
      </c>
      <c r="T3880" t="s">
        <v>376</v>
      </c>
      <c r="U3880">
        <v>40</v>
      </c>
      <c r="V3880" s="1">
        <v>37257</v>
      </c>
      <c r="W3880" s="1">
        <v>37257</v>
      </c>
      <c r="X3880" s="1">
        <v>37257</v>
      </c>
      <c r="Y3880" s="1">
        <v>51867</v>
      </c>
      <c r="Z3880" t="s">
        <v>51</v>
      </c>
      <c r="AB3880" t="s">
        <v>54</v>
      </c>
      <c r="AC3880">
        <v>1</v>
      </c>
      <c r="AE3880" t="s">
        <v>814</v>
      </c>
      <c r="AF3880">
        <v>20</v>
      </c>
      <c r="AG3880" s="1">
        <v>37257</v>
      </c>
      <c r="AH3880" s="1">
        <v>37257</v>
      </c>
      <c r="AI3880" s="1">
        <v>37257</v>
      </c>
      <c r="AJ3880" s="1">
        <v>44562</v>
      </c>
      <c r="AK3880" t="s">
        <v>51</v>
      </c>
      <c r="AN3880">
        <v>0</v>
      </c>
      <c r="AO3880" t="s">
        <v>54</v>
      </c>
      <c r="AP3880" t="s">
        <v>53</v>
      </c>
      <c r="AQ3880">
        <v>0</v>
      </c>
      <c r="AR3880" t="s">
        <v>53</v>
      </c>
      <c r="AS3880">
        <v>0</v>
      </c>
      <c r="AT3880">
        <v>0</v>
      </c>
      <c r="CC3880" t="s">
        <v>439</v>
      </c>
      <c r="CD3880">
        <v>85000</v>
      </c>
      <c r="CE3880" s="1">
        <v>42552</v>
      </c>
      <c r="CF3880" s="1">
        <v>42552</v>
      </c>
      <c r="CG3880" s="1">
        <v>42552</v>
      </c>
      <c r="CH3880" s="1">
        <v>49714</v>
      </c>
      <c r="CI3880" t="s">
        <v>51</v>
      </c>
      <c r="CK3880" t="s">
        <v>78</v>
      </c>
      <c r="CM3880" t="s">
        <v>54</v>
      </c>
      <c r="CN3880" t="s">
        <v>174</v>
      </c>
      <c r="CO3880" t="s">
        <v>86</v>
      </c>
      <c r="CR3880">
        <v>25</v>
      </c>
      <c r="CS3880">
        <v>0</v>
      </c>
      <c r="CT3880">
        <v>0</v>
      </c>
      <c r="CU3880">
        <v>0</v>
      </c>
    </row>
    <row r="3881" spans="1:99" x14ac:dyDescent="0.2">
      <c r="A3881" t="s">
        <v>367</v>
      </c>
      <c r="B3881" t="s">
        <v>368</v>
      </c>
      <c r="C3881" t="s">
        <v>381</v>
      </c>
      <c r="D3881" t="s">
        <v>369</v>
      </c>
      <c r="F3881" t="str">
        <f>"165568"</f>
        <v>165568</v>
      </c>
      <c r="G3881" t="s">
        <v>49</v>
      </c>
      <c r="H3881" t="s">
        <v>1851</v>
      </c>
      <c r="K3881" t="s">
        <v>51</v>
      </c>
      <c r="L3881" t="s">
        <v>52</v>
      </c>
      <c r="M3881">
        <v>133867.94</v>
      </c>
      <c r="N3881">
        <v>466525</v>
      </c>
      <c r="O3881" t="s">
        <v>53</v>
      </c>
      <c r="P3881" t="s">
        <v>54</v>
      </c>
      <c r="Q3881" t="s">
        <v>55</v>
      </c>
      <c r="T3881" t="s">
        <v>376</v>
      </c>
      <c r="U3881">
        <v>40</v>
      </c>
      <c r="V3881" s="1">
        <v>37306</v>
      </c>
      <c r="W3881" s="1">
        <v>37306</v>
      </c>
      <c r="X3881" s="1">
        <v>37306</v>
      </c>
      <c r="Y3881" s="1">
        <v>51916</v>
      </c>
      <c r="Z3881" t="s">
        <v>51</v>
      </c>
      <c r="AB3881" t="s">
        <v>54</v>
      </c>
      <c r="AC3881">
        <v>1</v>
      </c>
      <c r="AE3881" t="s">
        <v>814</v>
      </c>
      <c r="AF3881">
        <v>20</v>
      </c>
      <c r="AG3881" s="1">
        <v>37306</v>
      </c>
      <c r="AH3881" s="1">
        <v>37306</v>
      </c>
      <c r="AI3881" s="1">
        <v>37306</v>
      </c>
      <c r="AJ3881" s="1">
        <v>44611</v>
      </c>
      <c r="AK3881" t="s">
        <v>51</v>
      </c>
      <c r="AN3881">
        <v>0</v>
      </c>
      <c r="AO3881" t="s">
        <v>54</v>
      </c>
      <c r="AP3881" t="s">
        <v>53</v>
      </c>
      <c r="AQ3881">
        <v>0</v>
      </c>
      <c r="AR3881" t="s">
        <v>53</v>
      </c>
      <c r="AS3881">
        <v>0</v>
      </c>
      <c r="AT3881">
        <v>0</v>
      </c>
      <c r="CC3881" t="s">
        <v>439</v>
      </c>
      <c r="CD3881">
        <v>85000</v>
      </c>
      <c r="CE3881" s="1">
        <v>42552</v>
      </c>
      <c r="CF3881" s="1">
        <v>42552</v>
      </c>
      <c r="CG3881" s="1">
        <v>42552</v>
      </c>
      <c r="CH3881" s="1">
        <v>49714</v>
      </c>
      <c r="CI3881" t="s">
        <v>51</v>
      </c>
      <c r="CK3881" t="s">
        <v>78</v>
      </c>
      <c r="CM3881" t="s">
        <v>54</v>
      </c>
      <c r="CN3881" t="s">
        <v>174</v>
      </c>
      <c r="CO3881" t="s">
        <v>86</v>
      </c>
      <c r="CR3881">
        <v>25</v>
      </c>
      <c r="CS3881">
        <v>0</v>
      </c>
      <c r="CT3881">
        <v>0</v>
      </c>
      <c r="CU3881">
        <v>0</v>
      </c>
    </row>
    <row r="3882" spans="1:99" x14ac:dyDescent="0.2">
      <c r="A3882" t="s">
        <v>367</v>
      </c>
      <c r="B3882" t="s">
        <v>368</v>
      </c>
      <c r="C3882" t="s">
        <v>381</v>
      </c>
      <c r="D3882" t="s">
        <v>369</v>
      </c>
      <c r="F3882" t="str">
        <f>"165569"</f>
        <v>165569</v>
      </c>
      <c r="G3882" t="s">
        <v>49</v>
      </c>
      <c r="H3882" t="s">
        <v>1851</v>
      </c>
      <c r="K3882" t="s">
        <v>51</v>
      </c>
      <c r="L3882" t="s">
        <v>52</v>
      </c>
      <c r="M3882">
        <v>133839.5</v>
      </c>
      <c r="N3882">
        <v>466525.83</v>
      </c>
      <c r="O3882" t="s">
        <v>53</v>
      </c>
      <c r="P3882" t="s">
        <v>54</v>
      </c>
      <c r="Q3882" t="s">
        <v>55</v>
      </c>
      <c r="T3882" t="s">
        <v>376</v>
      </c>
      <c r="U3882">
        <v>40</v>
      </c>
      <c r="V3882" s="1">
        <v>37306</v>
      </c>
      <c r="W3882" s="1">
        <v>37306</v>
      </c>
      <c r="X3882" s="1">
        <v>37306</v>
      </c>
      <c r="Y3882" s="1">
        <v>51916</v>
      </c>
      <c r="Z3882" t="s">
        <v>51</v>
      </c>
      <c r="AB3882" t="s">
        <v>54</v>
      </c>
      <c r="AC3882">
        <v>1</v>
      </c>
      <c r="AE3882" t="s">
        <v>814</v>
      </c>
      <c r="AF3882">
        <v>20</v>
      </c>
      <c r="AG3882" s="1">
        <v>37306</v>
      </c>
      <c r="AH3882" s="1">
        <v>37306</v>
      </c>
      <c r="AI3882" s="1">
        <v>37306</v>
      </c>
      <c r="AJ3882" s="1">
        <v>44611</v>
      </c>
      <c r="AK3882" t="s">
        <v>51</v>
      </c>
      <c r="AN3882">
        <v>0</v>
      </c>
      <c r="AO3882" t="s">
        <v>54</v>
      </c>
      <c r="AP3882" t="s">
        <v>53</v>
      </c>
      <c r="AQ3882">
        <v>0</v>
      </c>
      <c r="AR3882" t="s">
        <v>53</v>
      </c>
      <c r="AS3882">
        <v>0</v>
      </c>
      <c r="AT3882">
        <v>0</v>
      </c>
      <c r="CC3882" t="s">
        <v>439</v>
      </c>
      <c r="CD3882">
        <v>85000</v>
      </c>
      <c r="CE3882" s="1">
        <v>42552</v>
      </c>
      <c r="CF3882" s="1">
        <v>42552</v>
      </c>
      <c r="CG3882" s="1">
        <v>42552</v>
      </c>
      <c r="CH3882" s="1">
        <v>49714</v>
      </c>
      <c r="CI3882" t="s">
        <v>51</v>
      </c>
      <c r="CK3882" t="s">
        <v>78</v>
      </c>
      <c r="CM3882" t="s">
        <v>54</v>
      </c>
      <c r="CN3882" t="s">
        <v>174</v>
      </c>
      <c r="CO3882" t="s">
        <v>86</v>
      </c>
      <c r="CR3882">
        <v>25</v>
      </c>
      <c r="CS3882">
        <v>0</v>
      </c>
      <c r="CT3882">
        <v>0</v>
      </c>
      <c r="CU3882">
        <v>0</v>
      </c>
    </row>
    <row r="3883" spans="1:99" x14ac:dyDescent="0.2">
      <c r="A3883" t="s">
        <v>367</v>
      </c>
      <c r="B3883" t="s">
        <v>368</v>
      </c>
      <c r="C3883" t="s">
        <v>381</v>
      </c>
      <c r="D3883" t="s">
        <v>369</v>
      </c>
      <c r="F3883" t="str">
        <f>"165570"</f>
        <v>165570</v>
      </c>
      <c r="G3883" t="s">
        <v>49</v>
      </c>
      <c r="H3883" t="s">
        <v>1852</v>
      </c>
      <c r="K3883" t="s">
        <v>51</v>
      </c>
      <c r="L3883" t="s">
        <v>52</v>
      </c>
      <c r="M3883">
        <v>133815.6</v>
      </c>
      <c r="N3883">
        <v>466527.53</v>
      </c>
      <c r="O3883" t="s">
        <v>53</v>
      </c>
      <c r="P3883" t="s">
        <v>54</v>
      </c>
      <c r="Q3883" t="s">
        <v>55</v>
      </c>
      <c r="T3883" t="s">
        <v>376</v>
      </c>
      <c r="U3883">
        <v>40</v>
      </c>
      <c r="V3883" s="1">
        <v>37306</v>
      </c>
      <c r="W3883" s="1">
        <v>37306</v>
      </c>
      <c r="X3883" s="1">
        <v>37306</v>
      </c>
      <c r="Y3883" s="1">
        <v>51916</v>
      </c>
      <c r="Z3883" t="s">
        <v>51</v>
      </c>
      <c r="AB3883" t="s">
        <v>54</v>
      </c>
      <c r="AC3883">
        <v>1</v>
      </c>
      <c r="AE3883" t="s">
        <v>814</v>
      </c>
      <c r="AF3883">
        <v>20</v>
      </c>
      <c r="AG3883" s="1">
        <v>37306</v>
      </c>
      <c r="AH3883" s="1">
        <v>37306</v>
      </c>
      <c r="AI3883" s="1">
        <v>37306</v>
      </c>
      <c r="AJ3883" s="1">
        <v>44611</v>
      </c>
      <c r="AK3883" t="s">
        <v>51</v>
      </c>
      <c r="AN3883">
        <v>0</v>
      </c>
      <c r="AO3883" t="s">
        <v>54</v>
      </c>
      <c r="AP3883" t="s">
        <v>53</v>
      </c>
      <c r="AQ3883">
        <v>0</v>
      </c>
      <c r="AR3883" t="s">
        <v>53</v>
      </c>
      <c r="AS3883">
        <v>0</v>
      </c>
      <c r="AT3883">
        <v>0</v>
      </c>
      <c r="CC3883" t="s">
        <v>439</v>
      </c>
      <c r="CD3883">
        <v>85000</v>
      </c>
      <c r="CE3883" s="1">
        <v>42552</v>
      </c>
      <c r="CF3883" s="1">
        <v>42552</v>
      </c>
      <c r="CG3883" s="1">
        <v>42552</v>
      </c>
      <c r="CH3883" s="1">
        <v>49714</v>
      </c>
      <c r="CI3883" t="s">
        <v>51</v>
      </c>
      <c r="CK3883" t="s">
        <v>78</v>
      </c>
      <c r="CM3883" t="s">
        <v>54</v>
      </c>
      <c r="CN3883" t="s">
        <v>174</v>
      </c>
      <c r="CO3883" t="s">
        <v>86</v>
      </c>
      <c r="CR3883">
        <v>25</v>
      </c>
      <c r="CS3883">
        <v>0</v>
      </c>
      <c r="CT3883">
        <v>0</v>
      </c>
      <c r="CU3883">
        <v>0</v>
      </c>
    </row>
    <row r="3884" spans="1:99" x14ac:dyDescent="0.2">
      <c r="A3884" t="s">
        <v>367</v>
      </c>
      <c r="B3884" t="s">
        <v>368</v>
      </c>
      <c r="C3884" t="s">
        <v>381</v>
      </c>
      <c r="D3884" t="s">
        <v>369</v>
      </c>
      <c r="F3884" t="str">
        <f>"165571"</f>
        <v>165571</v>
      </c>
      <c r="G3884" t="s">
        <v>49</v>
      </c>
      <c r="H3884" t="s">
        <v>1851</v>
      </c>
      <c r="K3884" t="s">
        <v>51</v>
      </c>
      <c r="L3884" t="s">
        <v>52</v>
      </c>
      <c r="M3884">
        <v>133789.6</v>
      </c>
      <c r="N3884">
        <v>466529.8</v>
      </c>
      <c r="O3884" t="s">
        <v>53</v>
      </c>
      <c r="P3884" t="s">
        <v>54</v>
      </c>
      <c r="Q3884" t="s">
        <v>55</v>
      </c>
      <c r="T3884" t="s">
        <v>376</v>
      </c>
      <c r="U3884">
        <v>40</v>
      </c>
      <c r="V3884" s="1">
        <v>37306</v>
      </c>
      <c r="W3884" s="1">
        <v>37306</v>
      </c>
      <c r="X3884" s="1">
        <v>37306</v>
      </c>
      <c r="Y3884" s="1">
        <v>51916</v>
      </c>
      <c r="Z3884" t="s">
        <v>51</v>
      </c>
      <c r="AB3884" t="s">
        <v>54</v>
      </c>
      <c r="AC3884">
        <v>1</v>
      </c>
      <c r="AE3884" t="s">
        <v>814</v>
      </c>
      <c r="AF3884">
        <v>20</v>
      </c>
      <c r="AG3884" s="1">
        <v>37306</v>
      </c>
      <c r="AH3884" s="1">
        <v>37306</v>
      </c>
      <c r="AI3884" s="1">
        <v>37306</v>
      </c>
      <c r="AJ3884" s="1">
        <v>44611</v>
      </c>
      <c r="AK3884" t="s">
        <v>51</v>
      </c>
      <c r="AN3884">
        <v>0</v>
      </c>
      <c r="AO3884" t="s">
        <v>54</v>
      </c>
      <c r="AP3884" t="s">
        <v>53</v>
      </c>
      <c r="AQ3884">
        <v>0</v>
      </c>
      <c r="AR3884" t="s">
        <v>53</v>
      </c>
      <c r="AS3884">
        <v>0</v>
      </c>
      <c r="AT3884">
        <v>0</v>
      </c>
      <c r="CC3884" t="s">
        <v>439</v>
      </c>
      <c r="CD3884">
        <v>85000</v>
      </c>
      <c r="CE3884" s="1">
        <v>42552</v>
      </c>
      <c r="CF3884" s="1">
        <v>42552</v>
      </c>
      <c r="CG3884" s="1">
        <v>42552</v>
      </c>
      <c r="CH3884" s="1">
        <v>49714</v>
      </c>
      <c r="CI3884" t="s">
        <v>51</v>
      </c>
      <c r="CK3884" t="s">
        <v>78</v>
      </c>
      <c r="CM3884" t="s">
        <v>54</v>
      </c>
      <c r="CN3884" t="s">
        <v>174</v>
      </c>
      <c r="CO3884" t="s">
        <v>86</v>
      </c>
      <c r="CR3884">
        <v>25</v>
      </c>
      <c r="CS3884">
        <v>0</v>
      </c>
      <c r="CT3884">
        <v>0</v>
      </c>
      <c r="CU3884">
        <v>0</v>
      </c>
    </row>
    <row r="3885" spans="1:99" x14ac:dyDescent="0.2">
      <c r="A3885" t="s">
        <v>367</v>
      </c>
      <c r="B3885" t="s">
        <v>368</v>
      </c>
      <c r="C3885" t="s">
        <v>381</v>
      </c>
      <c r="D3885" t="s">
        <v>369</v>
      </c>
      <c r="F3885" t="str">
        <f>"165572"</f>
        <v>165572</v>
      </c>
      <c r="G3885" t="s">
        <v>49</v>
      </c>
      <c r="H3885" t="s">
        <v>1853</v>
      </c>
      <c r="K3885" t="s">
        <v>51</v>
      </c>
      <c r="L3885" t="s">
        <v>52</v>
      </c>
      <c r="M3885">
        <v>133757.99</v>
      </c>
      <c r="N3885">
        <v>466530.35</v>
      </c>
      <c r="O3885" t="s">
        <v>53</v>
      </c>
      <c r="P3885" t="s">
        <v>54</v>
      </c>
      <c r="Q3885" t="s">
        <v>55</v>
      </c>
      <c r="T3885" t="s">
        <v>376</v>
      </c>
      <c r="U3885">
        <v>40</v>
      </c>
      <c r="V3885" s="1">
        <v>37306</v>
      </c>
      <c r="W3885" s="1">
        <v>37306</v>
      </c>
      <c r="X3885" s="1">
        <v>37306</v>
      </c>
      <c r="Y3885" s="1">
        <v>51916</v>
      </c>
      <c r="Z3885" t="s">
        <v>51</v>
      </c>
      <c r="AB3885" t="s">
        <v>54</v>
      </c>
      <c r="AC3885">
        <v>1</v>
      </c>
      <c r="AE3885" t="s">
        <v>814</v>
      </c>
      <c r="AF3885">
        <v>20</v>
      </c>
      <c r="AG3885" s="1">
        <v>37306</v>
      </c>
      <c r="AH3885" s="1">
        <v>37306</v>
      </c>
      <c r="AI3885" s="1">
        <v>37306</v>
      </c>
      <c r="AJ3885" s="1">
        <v>44611</v>
      </c>
      <c r="AK3885" t="s">
        <v>51</v>
      </c>
      <c r="AN3885">
        <v>0</v>
      </c>
      <c r="AO3885" t="s">
        <v>54</v>
      </c>
      <c r="AP3885" t="s">
        <v>53</v>
      </c>
      <c r="AQ3885">
        <v>0</v>
      </c>
      <c r="AR3885" t="s">
        <v>53</v>
      </c>
      <c r="AS3885">
        <v>0</v>
      </c>
      <c r="AT3885">
        <v>0</v>
      </c>
      <c r="CC3885" t="s">
        <v>439</v>
      </c>
      <c r="CD3885">
        <v>85000</v>
      </c>
      <c r="CE3885" s="1">
        <v>42552</v>
      </c>
      <c r="CF3885" s="1">
        <v>42552</v>
      </c>
      <c r="CG3885" s="1">
        <v>42552</v>
      </c>
      <c r="CH3885" s="1">
        <v>49714</v>
      </c>
      <c r="CI3885" t="s">
        <v>51</v>
      </c>
      <c r="CK3885" t="s">
        <v>78</v>
      </c>
      <c r="CM3885" t="s">
        <v>54</v>
      </c>
      <c r="CN3885" t="s">
        <v>174</v>
      </c>
      <c r="CO3885" t="s">
        <v>86</v>
      </c>
      <c r="CR3885">
        <v>25</v>
      </c>
      <c r="CS3885">
        <v>0</v>
      </c>
      <c r="CT3885">
        <v>0</v>
      </c>
      <c r="CU3885">
        <v>0</v>
      </c>
    </row>
    <row r="3886" spans="1:99" x14ac:dyDescent="0.2">
      <c r="A3886" t="s">
        <v>367</v>
      </c>
      <c r="B3886" t="s">
        <v>368</v>
      </c>
      <c r="C3886" t="s">
        <v>381</v>
      </c>
      <c r="D3886" t="s">
        <v>369</v>
      </c>
      <c r="F3886" t="str">
        <f>"165573"</f>
        <v>165573</v>
      </c>
      <c r="G3886" t="s">
        <v>49</v>
      </c>
      <c r="H3886" t="s">
        <v>1853</v>
      </c>
      <c r="K3886" t="s">
        <v>51</v>
      </c>
      <c r="L3886" t="s">
        <v>52</v>
      </c>
      <c r="M3886">
        <v>133725.26</v>
      </c>
      <c r="N3886">
        <v>466532.84</v>
      </c>
      <c r="O3886" t="s">
        <v>53</v>
      </c>
      <c r="P3886" t="s">
        <v>54</v>
      </c>
      <c r="Q3886" t="s">
        <v>55</v>
      </c>
      <c r="T3886" t="s">
        <v>376</v>
      </c>
      <c r="U3886">
        <v>40</v>
      </c>
      <c r="V3886" s="1">
        <v>37306</v>
      </c>
      <c r="W3886" s="1">
        <v>37306</v>
      </c>
      <c r="X3886" s="1">
        <v>37306</v>
      </c>
      <c r="Y3886" s="1">
        <v>51916</v>
      </c>
      <c r="Z3886" t="s">
        <v>51</v>
      </c>
      <c r="AB3886" t="s">
        <v>54</v>
      </c>
      <c r="AC3886">
        <v>1</v>
      </c>
      <c r="AE3886" t="s">
        <v>814</v>
      </c>
      <c r="AF3886">
        <v>20</v>
      </c>
      <c r="AG3886" s="1">
        <v>37306</v>
      </c>
      <c r="AH3886" s="1">
        <v>37306</v>
      </c>
      <c r="AI3886" s="1">
        <v>37306</v>
      </c>
      <c r="AJ3886" s="1">
        <v>44611</v>
      </c>
      <c r="AK3886" t="s">
        <v>51</v>
      </c>
      <c r="AN3886">
        <v>0</v>
      </c>
      <c r="AO3886" t="s">
        <v>54</v>
      </c>
      <c r="AP3886" t="s">
        <v>53</v>
      </c>
      <c r="AQ3886">
        <v>0</v>
      </c>
      <c r="AR3886" t="s">
        <v>53</v>
      </c>
      <c r="AS3886">
        <v>0</v>
      </c>
      <c r="AT3886">
        <v>0</v>
      </c>
      <c r="CC3886" t="s">
        <v>439</v>
      </c>
      <c r="CD3886">
        <v>85000</v>
      </c>
      <c r="CE3886" s="1">
        <v>42552</v>
      </c>
      <c r="CF3886" s="1">
        <v>42552</v>
      </c>
      <c r="CG3886" s="1">
        <v>42552</v>
      </c>
      <c r="CH3886" s="1">
        <v>49714</v>
      </c>
      <c r="CI3886" t="s">
        <v>51</v>
      </c>
      <c r="CK3886" t="s">
        <v>78</v>
      </c>
      <c r="CM3886" t="s">
        <v>54</v>
      </c>
      <c r="CN3886" t="s">
        <v>174</v>
      </c>
      <c r="CO3886" t="s">
        <v>86</v>
      </c>
      <c r="CR3886">
        <v>25</v>
      </c>
      <c r="CS3886">
        <v>0</v>
      </c>
      <c r="CT3886">
        <v>0</v>
      </c>
      <c r="CU3886">
        <v>0</v>
      </c>
    </row>
    <row r="3887" spans="1:99" x14ac:dyDescent="0.2">
      <c r="A3887" t="s">
        <v>367</v>
      </c>
      <c r="B3887" t="s">
        <v>368</v>
      </c>
      <c r="C3887" t="s">
        <v>381</v>
      </c>
      <c r="D3887" t="s">
        <v>369</v>
      </c>
      <c r="F3887" t="str">
        <f>"165574"</f>
        <v>165574</v>
      </c>
      <c r="G3887" t="s">
        <v>49</v>
      </c>
      <c r="H3887" t="s">
        <v>1854</v>
      </c>
      <c r="K3887" t="s">
        <v>51</v>
      </c>
      <c r="L3887" t="s">
        <v>52</v>
      </c>
      <c r="M3887">
        <v>133696.10999999999</v>
      </c>
      <c r="N3887">
        <v>466534.37</v>
      </c>
      <c r="O3887" t="s">
        <v>53</v>
      </c>
      <c r="P3887" t="s">
        <v>54</v>
      </c>
      <c r="Q3887" t="s">
        <v>55</v>
      </c>
      <c r="T3887" t="s">
        <v>376</v>
      </c>
      <c r="U3887">
        <v>40</v>
      </c>
      <c r="V3887" s="1">
        <v>37306</v>
      </c>
      <c r="W3887" s="1">
        <v>37306</v>
      </c>
      <c r="X3887" s="1">
        <v>37306</v>
      </c>
      <c r="Y3887" s="1">
        <v>51916</v>
      </c>
      <c r="Z3887" t="s">
        <v>51</v>
      </c>
      <c r="AB3887" t="s">
        <v>54</v>
      </c>
      <c r="AC3887">
        <v>1</v>
      </c>
      <c r="AE3887" t="s">
        <v>814</v>
      </c>
      <c r="AF3887">
        <v>20</v>
      </c>
      <c r="AG3887" s="1">
        <v>37306</v>
      </c>
      <c r="AH3887" s="1">
        <v>37306</v>
      </c>
      <c r="AI3887" s="1">
        <v>37306</v>
      </c>
      <c r="AJ3887" s="1">
        <v>44611</v>
      </c>
      <c r="AK3887" t="s">
        <v>51</v>
      </c>
      <c r="AN3887">
        <v>0</v>
      </c>
      <c r="AO3887" t="s">
        <v>54</v>
      </c>
      <c r="AP3887" t="s">
        <v>53</v>
      </c>
      <c r="AQ3887">
        <v>0</v>
      </c>
      <c r="AR3887" t="s">
        <v>53</v>
      </c>
      <c r="AS3887">
        <v>0</v>
      </c>
      <c r="AT3887">
        <v>0</v>
      </c>
      <c r="CC3887" t="s">
        <v>439</v>
      </c>
      <c r="CD3887">
        <v>85000</v>
      </c>
      <c r="CE3887" s="1">
        <v>42552</v>
      </c>
      <c r="CF3887" s="1">
        <v>42552</v>
      </c>
      <c r="CG3887" s="1">
        <v>42552</v>
      </c>
      <c r="CH3887" s="1">
        <v>49714</v>
      </c>
      <c r="CI3887" t="s">
        <v>51</v>
      </c>
      <c r="CK3887" t="s">
        <v>78</v>
      </c>
      <c r="CM3887" t="s">
        <v>54</v>
      </c>
      <c r="CN3887" t="s">
        <v>174</v>
      </c>
      <c r="CO3887" t="s">
        <v>86</v>
      </c>
      <c r="CR3887">
        <v>25</v>
      </c>
      <c r="CS3887">
        <v>0</v>
      </c>
      <c r="CT3887">
        <v>0</v>
      </c>
      <c r="CU3887">
        <v>0</v>
      </c>
    </row>
    <row r="3888" spans="1:99" x14ac:dyDescent="0.2">
      <c r="A3888" t="s">
        <v>367</v>
      </c>
      <c r="B3888" t="s">
        <v>368</v>
      </c>
      <c r="C3888" t="s">
        <v>381</v>
      </c>
      <c r="D3888" t="s">
        <v>369</v>
      </c>
      <c r="F3888" t="str">
        <f>"165575"</f>
        <v>165575</v>
      </c>
      <c r="G3888" t="s">
        <v>49</v>
      </c>
      <c r="H3888" t="s">
        <v>1855</v>
      </c>
      <c r="K3888" t="s">
        <v>51</v>
      </c>
      <c r="L3888" t="s">
        <v>52</v>
      </c>
      <c r="M3888">
        <v>133671.51</v>
      </c>
      <c r="N3888">
        <v>466536.69</v>
      </c>
      <c r="O3888" t="s">
        <v>53</v>
      </c>
      <c r="P3888" t="s">
        <v>54</v>
      </c>
      <c r="Q3888" t="s">
        <v>55</v>
      </c>
      <c r="T3888" t="s">
        <v>376</v>
      </c>
      <c r="U3888">
        <v>40</v>
      </c>
      <c r="V3888" s="1">
        <v>37306</v>
      </c>
      <c r="W3888" s="1">
        <v>37306</v>
      </c>
      <c r="X3888" s="1">
        <v>37306</v>
      </c>
      <c r="Y3888" s="1">
        <v>51916</v>
      </c>
      <c r="Z3888" t="s">
        <v>51</v>
      </c>
      <c r="AB3888" t="s">
        <v>54</v>
      </c>
      <c r="AC3888">
        <v>1</v>
      </c>
      <c r="AE3888" t="s">
        <v>814</v>
      </c>
      <c r="AF3888">
        <v>20</v>
      </c>
      <c r="AG3888" s="1">
        <v>37306</v>
      </c>
      <c r="AH3888" s="1">
        <v>37306</v>
      </c>
      <c r="AI3888" s="1">
        <v>37306</v>
      </c>
      <c r="AJ3888" s="1">
        <v>44611</v>
      </c>
      <c r="AK3888" t="s">
        <v>51</v>
      </c>
      <c r="AN3888">
        <v>0</v>
      </c>
      <c r="AO3888" t="s">
        <v>54</v>
      </c>
      <c r="AP3888" t="s">
        <v>53</v>
      </c>
      <c r="AQ3888">
        <v>0</v>
      </c>
      <c r="AR3888" t="s">
        <v>53</v>
      </c>
      <c r="AS3888">
        <v>0</v>
      </c>
      <c r="AT3888">
        <v>0</v>
      </c>
      <c r="CC3888" t="s">
        <v>439</v>
      </c>
      <c r="CD3888">
        <v>85000</v>
      </c>
      <c r="CE3888" s="1">
        <v>42552</v>
      </c>
      <c r="CF3888" s="1">
        <v>42552</v>
      </c>
      <c r="CG3888" s="1">
        <v>42552</v>
      </c>
      <c r="CH3888" s="1">
        <v>49714</v>
      </c>
      <c r="CI3888" t="s">
        <v>51</v>
      </c>
      <c r="CK3888" t="s">
        <v>78</v>
      </c>
      <c r="CM3888" t="s">
        <v>54</v>
      </c>
      <c r="CN3888" t="s">
        <v>174</v>
      </c>
      <c r="CO3888" t="s">
        <v>86</v>
      </c>
      <c r="CR3888">
        <v>25</v>
      </c>
      <c r="CS3888">
        <v>0</v>
      </c>
      <c r="CT3888">
        <v>0</v>
      </c>
      <c r="CU3888">
        <v>0</v>
      </c>
    </row>
    <row r="3889" spans="1:99" x14ac:dyDescent="0.2">
      <c r="A3889" t="s">
        <v>367</v>
      </c>
      <c r="B3889" t="s">
        <v>368</v>
      </c>
      <c r="C3889" t="s">
        <v>381</v>
      </c>
      <c r="D3889" t="s">
        <v>369</v>
      </c>
      <c r="F3889" t="str">
        <f>"165576"</f>
        <v>165576</v>
      </c>
      <c r="G3889" t="s">
        <v>49</v>
      </c>
      <c r="H3889" t="s">
        <v>1856</v>
      </c>
      <c r="K3889" t="s">
        <v>51</v>
      </c>
      <c r="L3889" t="s">
        <v>52</v>
      </c>
      <c r="M3889">
        <v>133647.45000000001</v>
      </c>
      <c r="N3889">
        <v>466537.88</v>
      </c>
      <c r="O3889" t="s">
        <v>53</v>
      </c>
      <c r="P3889" t="s">
        <v>54</v>
      </c>
      <c r="Q3889" t="s">
        <v>55</v>
      </c>
      <c r="T3889" t="s">
        <v>376</v>
      </c>
      <c r="U3889">
        <v>40</v>
      </c>
      <c r="V3889" s="1">
        <v>37306</v>
      </c>
      <c r="W3889" s="1">
        <v>37306</v>
      </c>
      <c r="X3889" s="1">
        <v>37306</v>
      </c>
      <c r="Y3889" s="1">
        <v>51916</v>
      </c>
      <c r="Z3889" t="s">
        <v>51</v>
      </c>
      <c r="AB3889" t="s">
        <v>54</v>
      </c>
      <c r="AC3889">
        <v>1</v>
      </c>
      <c r="AE3889" t="s">
        <v>814</v>
      </c>
      <c r="AF3889">
        <v>20</v>
      </c>
      <c r="AG3889" s="1">
        <v>37306</v>
      </c>
      <c r="AH3889" s="1">
        <v>37306</v>
      </c>
      <c r="AI3889" s="1">
        <v>37306</v>
      </c>
      <c r="AJ3889" s="1">
        <v>44611</v>
      </c>
      <c r="AK3889" t="s">
        <v>51</v>
      </c>
      <c r="AN3889">
        <v>0</v>
      </c>
      <c r="AO3889" t="s">
        <v>54</v>
      </c>
      <c r="AP3889" t="s">
        <v>53</v>
      </c>
      <c r="AQ3889">
        <v>0</v>
      </c>
      <c r="AR3889" t="s">
        <v>53</v>
      </c>
      <c r="AS3889">
        <v>0</v>
      </c>
      <c r="AT3889">
        <v>0</v>
      </c>
      <c r="CC3889" t="s">
        <v>439</v>
      </c>
      <c r="CD3889">
        <v>85000</v>
      </c>
      <c r="CE3889" s="1">
        <v>42552</v>
      </c>
      <c r="CF3889" s="1">
        <v>42552</v>
      </c>
      <c r="CG3889" s="1">
        <v>42552</v>
      </c>
      <c r="CH3889" s="1">
        <v>49714</v>
      </c>
      <c r="CI3889" t="s">
        <v>51</v>
      </c>
      <c r="CK3889" t="s">
        <v>78</v>
      </c>
      <c r="CM3889" t="s">
        <v>54</v>
      </c>
      <c r="CN3889" t="s">
        <v>174</v>
      </c>
      <c r="CO3889" t="s">
        <v>86</v>
      </c>
      <c r="CR3889">
        <v>25</v>
      </c>
      <c r="CS3889">
        <v>0</v>
      </c>
      <c r="CT3889">
        <v>0</v>
      </c>
      <c r="CU3889">
        <v>0</v>
      </c>
    </row>
    <row r="3890" spans="1:99" x14ac:dyDescent="0.2">
      <c r="A3890" t="s">
        <v>367</v>
      </c>
      <c r="B3890" t="s">
        <v>368</v>
      </c>
      <c r="C3890" t="s">
        <v>381</v>
      </c>
      <c r="D3890" t="s">
        <v>369</v>
      </c>
      <c r="F3890" t="str">
        <f>"165577"</f>
        <v>165577</v>
      </c>
      <c r="G3890" t="s">
        <v>49</v>
      </c>
      <c r="H3890" t="s">
        <v>1857</v>
      </c>
      <c r="K3890" t="s">
        <v>51</v>
      </c>
      <c r="L3890" t="s">
        <v>52</v>
      </c>
      <c r="M3890">
        <v>133619.68</v>
      </c>
      <c r="N3890">
        <v>466538.89</v>
      </c>
      <c r="O3890" t="s">
        <v>53</v>
      </c>
      <c r="P3890" t="s">
        <v>54</v>
      </c>
      <c r="Q3890" t="s">
        <v>55</v>
      </c>
      <c r="T3890" t="s">
        <v>376</v>
      </c>
      <c r="U3890">
        <v>40</v>
      </c>
      <c r="V3890" s="1">
        <v>37306</v>
      </c>
      <c r="W3890" s="1">
        <v>37306</v>
      </c>
      <c r="X3890" s="1">
        <v>37306</v>
      </c>
      <c r="Y3890" s="1">
        <v>51916</v>
      </c>
      <c r="Z3890" t="s">
        <v>51</v>
      </c>
      <c r="AB3890" t="s">
        <v>54</v>
      </c>
      <c r="AC3890">
        <v>1</v>
      </c>
      <c r="AE3890" t="s">
        <v>814</v>
      </c>
      <c r="AF3890">
        <v>20</v>
      </c>
      <c r="AG3890" s="1">
        <v>37306</v>
      </c>
      <c r="AH3890" s="1">
        <v>37306</v>
      </c>
      <c r="AI3890" s="1">
        <v>37306</v>
      </c>
      <c r="AJ3890" s="1">
        <v>44611</v>
      </c>
      <c r="AK3890" t="s">
        <v>51</v>
      </c>
      <c r="AN3890">
        <v>0</v>
      </c>
      <c r="AO3890" t="s">
        <v>54</v>
      </c>
      <c r="AP3890" t="s">
        <v>53</v>
      </c>
      <c r="AQ3890">
        <v>0</v>
      </c>
      <c r="AR3890" t="s">
        <v>53</v>
      </c>
      <c r="AS3890">
        <v>0</v>
      </c>
      <c r="AT3890">
        <v>0</v>
      </c>
      <c r="CC3890" t="s">
        <v>439</v>
      </c>
      <c r="CD3890">
        <v>85000</v>
      </c>
      <c r="CE3890" s="1">
        <v>42552</v>
      </c>
      <c r="CF3890" s="1">
        <v>42552</v>
      </c>
      <c r="CG3890" s="1">
        <v>42552</v>
      </c>
      <c r="CH3890" s="1">
        <v>49714</v>
      </c>
      <c r="CI3890" t="s">
        <v>51</v>
      </c>
      <c r="CK3890" t="s">
        <v>78</v>
      </c>
      <c r="CM3890" t="s">
        <v>54</v>
      </c>
      <c r="CN3890" t="s">
        <v>174</v>
      </c>
      <c r="CO3890" t="s">
        <v>86</v>
      </c>
      <c r="CR3890">
        <v>25</v>
      </c>
      <c r="CS3890">
        <v>0</v>
      </c>
      <c r="CT3890">
        <v>0</v>
      </c>
      <c r="CU3890">
        <v>0</v>
      </c>
    </row>
    <row r="3891" spans="1:99" x14ac:dyDescent="0.2">
      <c r="A3891" t="s">
        <v>367</v>
      </c>
      <c r="B3891" t="s">
        <v>368</v>
      </c>
      <c r="C3891" t="s">
        <v>381</v>
      </c>
      <c r="D3891" t="s">
        <v>369</v>
      </c>
      <c r="F3891" t="str">
        <f>"165578"</f>
        <v>165578</v>
      </c>
      <c r="G3891" t="s">
        <v>49</v>
      </c>
      <c r="H3891" t="s">
        <v>1857</v>
      </c>
      <c r="K3891" t="s">
        <v>51</v>
      </c>
      <c r="L3891" t="s">
        <v>52</v>
      </c>
      <c r="M3891">
        <v>133598.29999999999</v>
      </c>
      <c r="N3891">
        <v>466539.45</v>
      </c>
      <c r="O3891" t="s">
        <v>53</v>
      </c>
      <c r="P3891" t="s">
        <v>54</v>
      </c>
      <c r="Q3891" t="s">
        <v>55</v>
      </c>
      <c r="T3891" t="s">
        <v>376</v>
      </c>
      <c r="U3891">
        <v>40</v>
      </c>
      <c r="V3891" s="1">
        <v>37306</v>
      </c>
      <c r="W3891" s="1">
        <v>37306</v>
      </c>
      <c r="X3891" s="1">
        <v>37306</v>
      </c>
      <c r="Y3891" s="1">
        <v>51916</v>
      </c>
      <c r="Z3891" t="s">
        <v>51</v>
      </c>
      <c r="AB3891" t="s">
        <v>54</v>
      </c>
      <c r="AC3891">
        <v>1</v>
      </c>
      <c r="AE3891" t="s">
        <v>814</v>
      </c>
      <c r="AF3891">
        <v>20</v>
      </c>
      <c r="AG3891" s="1">
        <v>37306</v>
      </c>
      <c r="AH3891" s="1">
        <v>37306</v>
      </c>
      <c r="AI3891" s="1">
        <v>37306</v>
      </c>
      <c r="AJ3891" s="1">
        <v>44611</v>
      </c>
      <c r="AK3891" t="s">
        <v>51</v>
      </c>
      <c r="AN3891">
        <v>0</v>
      </c>
      <c r="AO3891" t="s">
        <v>54</v>
      </c>
      <c r="AP3891" t="s">
        <v>53</v>
      </c>
      <c r="AQ3891">
        <v>0</v>
      </c>
      <c r="AR3891" t="s">
        <v>53</v>
      </c>
      <c r="AS3891">
        <v>0</v>
      </c>
      <c r="AT3891">
        <v>0</v>
      </c>
      <c r="CC3891" t="s">
        <v>439</v>
      </c>
      <c r="CD3891">
        <v>85000</v>
      </c>
      <c r="CE3891" s="1">
        <v>42552</v>
      </c>
      <c r="CF3891" s="1">
        <v>42552</v>
      </c>
      <c r="CG3891" s="1">
        <v>42552</v>
      </c>
      <c r="CH3891" s="1">
        <v>49714</v>
      </c>
      <c r="CI3891" t="s">
        <v>51</v>
      </c>
      <c r="CK3891" t="s">
        <v>78</v>
      </c>
      <c r="CM3891" t="s">
        <v>54</v>
      </c>
      <c r="CN3891" t="s">
        <v>174</v>
      </c>
      <c r="CO3891" t="s">
        <v>86</v>
      </c>
      <c r="CR3891">
        <v>25</v>
      </c>
      <c r="CS3891">
        <v>0</v>
      </c>
      <c r="CT3891">
        <v>0</v>
      </c>
      <c r="CU3891">
        <v>0</v>
      </c>
    </row>
    <row r="3892" spans="1:99" x14ac:dyDescent="0.2">
      <c r="A3892" t="s">
        <v>367</v>
      </c>
      <c r="B3892" t="s">
        <v>368</v>
      </c>
      <c r="C3892" t="s">
        <v>381</v>
      </c>
      <c r="D3892" t="s">
        <v>369</v>
      </c>
      <c r="F3892" t="str">
        <f>"165579"</f>
        <v>165579</v>
      </c>
      <c r="G3892" t="s">
        <v>49</v>
      </c>
      <c r="H3892" t="s">
        <v>1858</v>
      </c>
      <c r="K3892" t="s">
        <v>51</v>
      </c>
      <c r="L3892" t="s">
        <v>52</v>
      </c>
      <c r="M3892">
        <v>133559.37</v>
      </c>
      <c r="N3892">
        <v>466539.3</v>
      </c>
      <c r="O3892" t="s">
        <v>53</v>
      </c>
      <c r="P3892" t="s">
        <v>54</v>
      </c>
      <c r="Q3892" t="s">
        <v>55</v>
      </c>
      <c r="T3892" t="s">
        <v>376</v>
      </c>
      <c r="U3892">
        <v>40</v>
      </c>
      <c r="V3892" s="1">
        <v>37306</v>
      </c>
      <c r="W3892" s="1">
        <v>37306</v>
      </c>
      <c r="X3892" s="1">
        <v>37306</v>
      </c>
      <c r="Y3892" s="1">
        <v>51916</v>
      </c>
      <c r="Z3892" t="s">
        <v>51</v>
      </c>
      <c r="AB3892" t="s">
        <v>54</v>
      </c>
      <c r="AC3892">
        <v>1</v>
      </c>
      <c r="AE3892" t="s">
        <v>814</v>
      </c>
      <c r="AF3892">
        <v>20</v>
      </c>
      <c r="AG3892" s="1">
        <v>37306</v>
      </c>
      <c r="AH3892" s="1">
        <v>37306</v>
      </c>
      <c r="AI3892" s="1">
        <v>37306</v>
      </c>
      <c r="AJ3892" s="1">
        <v>44611</v>
      </c>
      <c r="AK3892" t="s">
        <v>51</v>
      </c>
      <c r="AN3892">
        <v>0</v>
      </c>
      <c r="AO3892" t="s">
        <v>54</v>
      </c>
      <c r="AP3892" t="s">
        <v>53</v>
      </c>
      <c r="AQ3892">
        <v>0</v>
      </c>
      <c r="AR3892" t="s">
        <v>53</v>
      </c>
      <c r="AS3892">
        <v>0</v>
      </c>
      <c r="AT3892">
        <v>0</v>
      </c>
      <c r="CC3892" t="s">
        <v>439</v>
      </c>
      <c r="CD3892">
        <v>85000</v>
      </c>
      <c r="CE3892" s="1">
        <v>42552</v>
      </c>
      <c r="CF3892" s="1">
        <v>42552</v>
      </c>
      <c r="CG3892" s="1">
        <v>42552</v>
      </c>
      <c r="CH3892" s="1">
        <v>49714</v>
      </c>
      <c r="CI3892" t="s">
        <v>51</v>
      </c>
      <c r="CK3892" t="s">
        <v>78</v>
      </c>
      <c r="CM3892" t="s">
        <v>54</v>
      </c>
      <c r="CN3892" t="s">
        <v>174</v>
      </c>
      <c r="CO3892" t="s">
        <v>86</v>
      </c>
      <c r="CR3892">
        <v>25</v>
      </c>
      <c r="CS3892">
        <v>0</v>
      </c>
      <c r="CT3892">
        <v>0</v>
      </c>
      <c r="CU3892">
        <v>0</v>
      </c>
    </row>
    <row r="3893" spans="1:99" x14ac:dyDescent="0.2">
      <c r="A3893" t="s">
        <v>367</v>
      </c>
      <c r="B3893" t="s">
        <v>368</v>
      </c>
      <c r="C3893" t="s">
        <v>381</v>
      </c>
      <c r="D3893" t="s">
        <v>369</v>
      </c>
      <c r="F3893" t="str">
        <f>"165580"</f>
        <v>165580</v>
      </c>
      <c r="G3893" t="s">
        <v>49</v>
      </c>
      <c r="H3893" t="s">
        <v>1859</v>
      </c>
      <c r="K3893" t="s">
        <v>51</v>
      </c>
      <c r="L3893" t="s">
        <v>52</v>
      </c>
      <c r="M3893">
        <v>133530.57</v>
      </c>
      <c r="N3893">
        <v>466539.9</v>
      </c>
      <c r="O3893" t="s">
        <v>53</v>
      </c>
      <c r="P3893" t="s">
        <v>54</v>
      </c>
      <c r="Q3893" t="s">
        <v>55</v>
      </c>
      <c r="T3893" t="s">
        <v>376</v>
      </c>
      <c r="U3893">
        <v>40</v>
      </c>
      <c r="V3893" s="1">
        <v>37306</v>
      </c>
      <c r="W3893" s="1">
        <v>37306</v>
      </c>
      <c r="X3893" s="1">
        <v>37306</v>
      </c>
      <c r="Y3893" s="1">
        <v>51916</v>
      </c>
      <c r="Z3893" t="s">
        <v>51</v>
      </c>
      <c r="AB3893" t="s">
        <v>54</v>
      </c>
      <c r="AC3893">
        <v>1</v>
      </c>
      <c r="AE3893" t="s">
        <v>814</v>
      </c>
      <c r="AF3893">
        <v>20</v>
      </c>
      <c r="AG3893" s="1">
        <v>37306</v>
      </c>
      <c r="AH3893" s="1">
        <v>37306</v>
      </c>
      <c r="AI3893" s="1">
        <v>37306</v>
      </c>
      <c r="AJ3893" s="1">
        <v>44611</v>
      </c>
      <c r="AK3893" t="s">
        <v>51</v>
      </c>
      <c r="AN3893">
        <v>0</v>
      </c>
      <c r="AO3893" t="s">
        <v>54</v>
      </c>
      <c r="AP3893" t="s">
        <v>53</v>
      </c>
      <c r="AQ3893">
        <v>0</v>
      </c>
      <c r="AR3893" t="s">
        <v>53</v>
      </c>
      <c r="AS3893">
        <v>0</v>
      </c>
      <c r="AT3893">
        <v>0</v>
      </c>
      <c r="CC3893" t="s">
        <v>439</v>
      </c>
      <c r="CD3893">
        <v>85000</v>
      </c>
      <c r="CE3893" s="1">
        <v>42552</v>
      </c>
      <c r="CF3893" s="1">
        <v>42552</v>
      </c>
      <c r="CG3893" s="1">
        <v>42552</v>
      </c>
      <c r="CH3893" s="1">
        <v>49714</v>
      </c>
      <c r="CI3893" t="s">
        <v>51</v>
      </c>
      <c r="CK3893" t="s">
        <v>78</v>
      </c>
      <c r="CM3893" t="s">
        <v>54</v>
      </c>
      <c r="CN3893" t="s">
        <v>174</v>
      </c>
      <c r="CO3893" t="s">
        <v>86</v>
      </c>
      <c r="CR3893">
        <v>25</v>
      </c>
      <c r="CS3893">
        <v>0</v>
      </c>
      <c r="CT3893">
        <v>0</v>
      </c>
      <c r="CU3893">
        <v>0</v>
      </c>
    </row>
    <row r="3894" spans="1:99" x14ac:dyDescent="0.2">
      <c r="A3894" t="s">
        <v>367</v>
      </c>
      <c r="B3894" t="s">
        <v>368</v>
      </c>
      <c r="C3894" t="s">
        <v>381</v>
      </c>
      <c r="D3894" t="s">
        <v>369</v>
      </c>
      <c r="F3894" t="str">
        <f>"165581"</f>
        <v>165581</v>
      </c>
      <c r="G3894" t="s">
        <v>49</v>
      </c>
      <c r="H3894" t="s">
        <v>1860</v>
      </c>
      <c r="K3894" t="s">
        <v>51</v>
      </c>
      <c r="L3894" t="s">
        <v>52</v>
      </c>
      <c r="M3894">
        <v>133499.63</v>
      </c>
      <c r="N3894">
        <v>466541.27</v>
      </c>
      <c r="O3894" t="s">
        <v>53</v>
      </c>
      <c r="P3894" t="s">
        <v>54</v>
      </c>
      <c r="Q3894" t="s">
        <v>55</v>
      </c>
      <c r="T3894" t="s">
        <v>376</v>
      </c>
      <c r="U3894">
        <v>40</v>
      </c>
      <c r="V3894" s="1">
        <v>37306</v>
      </c>
      <c r="W3894" s="1">
        <v>37306</v>
      </c>
      <c r="X3894" s="1">
        <v>37306</v>
      </c>
      <c r="Y3894" s="1">
        <v>51916</v>
      </c>
      <c r="Z3894" t="s">
        <v>51</v>
      </c>
      <c r="AB3894" t="s">
        <v>54</v>
      </c>
      <c r="AC3894">
        <v>1</v>
      </c>
      <c r="AE3894" t="s">
        <v>814</v>
      </c>
      <c r="AF3894">
        <v>20</v>
      </c>
      <c r="AG3894" s="1">
        <v>37306</v>
      </c>
      <c r="AH3894" s="1">
        <v>37306</v>
      </c>
      <c r="AI3894" s="1">
        <v>37306</v>
      </c>
      <c r="AJ3894" s="1">
        <v>44611</v>
      </c>
      <c r="AK3894" t="s">
        <v>51</v>
      </c>
      <c r="AN3894">
        <v>0</v>
      </c>
      <c r="AO3894" t="s">
        <v>54</v>
      </c>
      <c r="AP3894" t="s">
        <v>53</v>
      </c>
      <c r="AQ3894">
        <v>0</v>
      </c>
      <c r="AR3894" t="s">
        <v>53</v>
      </c>
      <c r="AS3894">
        <v>0</v>
      </c>
      <c r="AT3894">
        <v>0</v>
      </c>
      <c r="CC3894" t="s">
        <v>439</v>
      </c>
      <c r="CD3894">
        <v>85000</v>
      </c>
      <c r="CE3894" s="1">
        <v>42552</v>
      </c>
      <c r="CF3894" s="1">
        <v>42552</v>
      </c>
      <c r="CG3894" s="1">
        <v>42552</v>
      </c>
      <c r="CH3894" s="1">
        <v>49714</v>
      </c>
      <c r="CI3894" t="s">
        <v>51</v>
      </c>
      <c r="CK3894" t="s">
        <v>78</v>
      </c>
      <c r="CM3894" t="s">
        <v>54</v>
      </c>
      <c r="CN3894" t="s">
        <v>174</v>
      </c>
      <c r="CO3894" t="s">
        <v>86</v>
      </c>
      <c r="CR3894">
        <v>25</v>
      </c>
      <c r="CS3894">
        <v>0</v>
      </c>
      <c r="CT3894">
        <v>0</v>
      </c>
      <c r="CU3894">
        <v>0</v>
      </c>
    </row>
    <row r="3895" spans="1:99" x14ac:dyDescent="0.2">
      <c r="A3895" t="s">
        <v>367</v>
      </c>
      <c r="B3895" t="s">
        <v>368</v>
      </c>
      <c r="C3895" t="s">
        <v>381</v>
      </c>
      <c r="D3895" t="s">
        <v>369</v>
      </c>
      <c r="F3895" t="str">
        <f>"165582"</f>
        <v>165582</v>
      </c>
      <c r="G3895" t="s">
        <v>49</v>
      </c>
      <c r="H3895" t="s">
        <v>1861</v>
      </c>
      <c r="K3895" t="s">
        <v>51</v>
      </c>
      <c r="L3895" t="s">
        <v>52</v>
      </c>
      <c r="M3895">
        <v>133472.557</v>
      </c>
      <c r="N3895">
        <v>466533.12099999998</v>
      </c>
      <c r="O3895" t="s">
        <v>53</v>
      </c>
      <c r="P3895" t="s">
        <v>54</v>
      </c>
      <c r="Q3895" t="s">
        <v>55</v>
      </c>
      <c r="T3895" t="s">
        <v>372</v>
      </c>
      <c r="U3895">
        <v>40</v>
      </c>
      <c r="V3895" s="1">
        <v>37756</v>
      </c>
      <c r="W3895" s="1">
        <v>37756</v>
      </c>
      <c r="X3895" s="1">
        <v>37756</v>
      </c>
      <c r="Y3895" s="1">
        <v>52366</v>
      </c>
      <c r="Z3895" t="s">
        <v>51</v>
      </c>
      <c r="AB3895" t="s">
        <v>54</v>
      </c>
      <c r="AC3895">
        <v>1</v>
      </c>
      <c r="AE3895" t="s">
        <v>814</v>
      </c>
      <c r="AF3895">
        <v>20</v>
      </c>
      <c r="AG3895" s="1">
        <v>37756</v>
      </c>
      <c r="AH3895" s="1">
        <v>37756</v>
      </c>
      <c r="AI3895" s="1">
        <v>37756</v>
      </c>
      <c r="AJ3895" s="1">
        <v>45061</v>
      </c>
      <c r="AK3895" t="s">
        <v>51</v>
      </c>
      <c r="AN3895">
        <v>0</v>
      </c>
      <c r="AO3895" t="s">
        <v>54</v>
      </c>
      <c r="AP3895" t="s">
        <v>53</v>
      </c>
      <c r="AQ3895">
        <v>0</v>
      </c>
      <c r="AR3895" t="s">
        <v>53</v>
      </c>
      <c r="AS3895">
        <v>0</v>
      </c>
      <c r="AT3895">
        <v>0</v>
      </c>
      <c r="CC3895" t="s">
        <v>439</v>
      </c>
      <c r="CD3895">
        <v>85000</v>
      </c>
      <c r="CE3895" s="1">
        <v>44872</v>
      </c>
      <c r="CF3895" s="1">
        <v>44872</v>
      </c>
      <c r="CG3895" s="1">
        <v>44872</v>
      </c>
      <c r="CH3895" s="1">
        <v>52045</v>
      </c>
      <c r="CI3895" t="s">
        <v>51</v>
      </c>
      <c r="CK3895" t="s">
        <v>78</v>
      </c>
      <c r="CM3895" t="s">
        <v>54</v>
      </c>
      <c r="CN3895" t="s">
        <v>174</v>
      </c>
      <c r="CO3895" t="s">
        <v>86</v>
      </c>
      <c r="CR3895">
        <v>25</v>
      </c>
      <c r="CS3895">
        <v>0</v>
      </c>
      <c r="CT3895">
        <v>0</v>
      </c>
      <c r="CU3895">
        <v>0</v>
      </c>
    </row>
    <row r="3896" spans="1:99" x14ac:dyDescent="0.2">
      <c r="A3896" t="s">
        <v>367</v>
      </c>
      <c r="B3896" t="s">
        <v>368</v>
      </c>
      <c r="C3896" t="s">
        <v>381</v>
      </c>
      <c r="D3896" t="s">
        <v>369</v>
      </c>
      <c r="F3896" t="str">
        <f>"165583"</f>
        <v>165583</v>
      </c>
      <c r="G3896" t="s">
        <v>49</v>
      </c>
      <c r="H3896" t="s">
        <v>1862</v>
      </c>
      <c r="K3896" t="s">
        <v>51</v>
      </c>
      <c r="L3896" t="s">
        <v>52</v>
      </c>
      <c r="M3896">
        <v>133441.93</v>
      </c>
      <c r="N3896">
        <v>466542.43</v>
      </c>
      <c r="O3896" t="s">
        <v>53</v>
      </c>
      <c r="P3896" t="s">
        <v>54</v>
      </c>
      <c r="Q3896" t="s">
        <v>55</v>
      </c>
      <c r="T3896" t="s">
        <v>376</v>
      </c>
      <c r="U3896">
        <v>40</v>
      </c>
      <c r="V3896" s="1">
        <v>37306</v>
      </c>
      <c r="W3896" s="1">
        <v>37306</v>
      </c>
      <c r="X3896" s="1">
        <v>37306</v>
      </c>
      <c r="Y3896" s="1">
        <v>51916</v>
      </c>
      <c r="Z3896" t="s">
        <v>51</v>
      </c>
      <c r="AB3896" t="s">
        <v>54</v>
      </c>
      <c r="AC3896">
        <v>1</v>
      </c>
      <c r="AE3896" t="s">
        <v>814</v>
      </c>
      <c r="AF3896">
        <v>20</v>
      </c>
      <c r="AG3896" s="1">
        <v>37306</v>
      </c>
      <c r="AH3896" s="1">
        <v>37306</v>
      </c>
      <c r="AI3896" s="1">
        <v>37306</v>
      </c>
      <c r="AJ3896" s="1">
        <v>44611</v>
      </c>
      <c r="AK3896" t="s">
        <v>51</v>
      </c>
      <c r="AN3896">
        <v>0</v>
      </c>
      <c r="AO3896" t="s">
        <v>54</v>
      </c>
      <c r="AP3896" t="s">
        <v>53</v>
      </c>
      <c r="AQ3896">
        <v>0</v>
      </c>
      <c r="AR3896" t="s">
        <v>53</v>
      </c>
      <c r="AS3896">
        <v>0</v>
      </c>
      <c r="AT3896">
        <v>0</v>
      </c>
      <c r="CC3896" t="s">
        <v>439</v>
      </c>
      <c r="CD3896">
        <v>85000</v>
      </c>
      <c r="CE3896" s="1">
        <v>42552</v>
      </c>
      <c r="CF3896" s="1">
        <v>42552</v>
      </c>
      <c r="CG3896" s="1">
        <v>42552</v>
      </c>
      <c r="CH3896" s="1">
        <v>49714</v>
      </c>
      <c r="CI3896" t="s">
        <v>51</v>
      </c>
      <c r="CK3896" t="s">
        <v>78</v>
      </c>
      <c r="CM3896" t="s">
        <v>54</v>
      </c>
      <c r="CN3896" t="s">
        <v>174</v>
      </c>
      <c r="CO3896" t="s">
        <v>86</v>
      </c>
      <c r="CR3896">
        <v>25</v>
      </c>
      <c r="CS3896">
        <v>0</v>
      </c>
      <c r="CT3896">
        <v>0</v>
      </c>
      <c r="CU3896">
        <v>0</v>
      </c>
    </row>
    <row r="3897" spans="1:99" x14ac:dyDescent="0.2">
      <c r="A3897" t="s">
        <v>367</v>
      </c>
      <c r="B3897" t="s">
        <v>368</v>
      </c>
      <c r="C3897" t="s">
        <v>381</v>
      </c>
      <c r="D3897" t="s">
        <v>369</v>
      </c>
      <c r="F3897" t="str">
        <f>"165584"</f>
        <v>165584</v>
      </c>
      <c r="G3897" t="s">
        <v>49</v>
      </c>
      <c r="H3897" t="s">
        <v>1863</v>
      </c>
      <c r="K3897" t="s">
        <v>51</v>
      </c>
      <c r="L3897" t="s">
        <v>52</v>
      </c>
      <c r="M3897">
        <v>133414.34</v>
      </c>
      <c r="N3897">
        <v>466544.03</v>
      </c>
      <c r="O3897" t="s">
        <v>53</v>
      </c>
      <c r="P3897" t="s">
        <v>54</v>
      </c>
      <c r="Q3897" t="s">
        <v>55</v>
      </c>
      <c r="T3897" t="s">
        <v>376</v>
      </c>
      <c r="U3897">
        <v>40</v>
      </c>
      <c r="V3897" s="1">
        <v>37306</v>
      </c>
      <c r="W3897" s="1">
        <v>37306</v>
      </c>
      <c r="X3897" s="1">
        <v>37306</v>
      </c>
      <c r="Y3897" s="1">
        <v>51916</v>
      </c>
      <c r="Z3897" t="s">
        <v>51</v>
      </c>
      <c r="AB3897" t="s">
        <v>54</v>
      </c>
      <c r="AC3897">
        <v>1</v>
      </c>
      <c r="AE3897" t="s">
        <v>814</v>
      </c>
      <c r="AF3897">
        <v>20</v>
      </c>
      <c r="AG3897" s="1">
        <v>37306</v>
      </c>
      <c r="AH3897" s="1">
        <v>37306</v>
      </c>
      <c r="AI3897" s="1">
        <v>37306</v>
      </c>
      <c r="AJ3897" s="1">
        <v>44611</v>
      </c>
      <c r="AK3897" t="s">
        <v>51</v>
      </c>
      <c r="AN3897">
        <v>0</v>
      </c>
      <c r="AO3897" t="s">
        <v>54</v>
      </c>
      <c r="AP3897" t="s">
        <v>53</v>
      </c>
      <c r="AQ3897">
        <v>0</v>
      </c>
      <c r="AR3897" t="s">
        <v>53</v>
      </c>
      <c r="AS3897">
        <v>0</v>
      </c>
      <c r="AT3897">
        <v>0</v>
      </c>
      <c r="CC3897" t="s">
        <v>439</v>
      </c>
      <c r="CD3897">
        <v>85000</v>
      </c>
      <c r="CE3897" s="1">
        <v>42552</v>
      </c>
      <c r="CF3897" s="1">
        <v>42552</v>
      </c>
      <c r="CG3897" s="1">
        <v>42552</v>
      </c>
      <c r="CH3897" s="1">
        <v>49714</v>
      </c>
      <c r="CI3897" t="s">
        <v>51</v>
      </c>
      <c r="CK3897" t="s">
        <v>78</v>
      </c>
      <c r="CM3897" t="s">
        <v>54</v>
      </c>
      <c r="CN3897" t="s">
        <v>174</v>
      </c>
      <c r="CO3897" t="s">
        <v>86</v>
      </c>
      <c r="CR3897">
        <v>25</v>
      </c>
      <c r="CS3897">
        <v>0</v>
      </c>
      <c r="CT3897">
        <v>0</v>
      </c>
      <c r="CU3897">
        <v>0</v>
      </c>
    </row>
    <row r="3898" spans="1:99" x14ac:dyDescent="0.2">
      <c r="A3898" t="s">
        <v>367</v>
      </c>
      <c r="B3898" t="s">
        <v>368</v>
      </c>
      <c r="C3898" t="s">
        <v>381</v>
      </c>
      <c r="D3898" t="s">
        <v>369</v>
      </c>
      <c r="F3898" t="str">
        <f>"165585"</f>
        <v>165585</v>
      </c>
      <c r="G3898" t="s">
        <v>49</v>
      </c>
      <c r="H3898" t="s">
        <v>1864</v>
      </c>
      <c r="K3898" t="s">
        <v>51</v>
      </c>
      <c r="L3898" t="s">
        <v>52</v>
      </c>
      <c r="M3898">
        <v>133382</v>
      </c>
      <c r="N3898">
        <v>466543.7</v>
      </c>
      <c r="O3898" t="s">
        <v>53</v>
      </c>
      <c r="P3898" t="s">
        <v>54</v>
      </c>
      <c r="Q3898" t="s">
        <v>55</v>
      </c>
      <c r="T3898" t="s">
        <v>376</v>
      </c>
      <c r="U3898">
        <v>40</v>
      </c>
      <c r="V3898" s="1">
        <v>37306</v>
      </c>
      <c r="W3898" s="1">
        <v>37306</v>
      </c>
      <c r="X3898" s="1">
        <v>37306</v>
      </c>
      <c r="Y3898" s="1">
        <v>51916</v>
      </c>
      <c r="Z3898" t="s">
        <v>51</v>
      </c>
      <c r="AB3898" t="s">
        <v>54</v>
      </c>
      <c r="AC3898">
        <v>1</v>
      </c>
      <c r="AE3898" t="s">
        <v>814</v>
      </c>
      <c r="AF3898">
        <v>20</v>
      </c>
      <c r="AG3898" s="1">
        <v>37306</v>
      </c>
      <c r="AH3898" s="1">
        <v>37306</v>
      </c>
      <c r="AI3898" s="1">
        <v>37306</v>
      </c>
      <c r="AJ3898" s="1">
        <v>44611</v>
      </c>
      <c r="AK3898" t="s">
        <v>51</v>
      </c>
      <c r="AN3898">
        <v>0</v>
      </c>
      <c r="AO3898" t="s">
        <v>54</v>
      </c>
      <c r="AP3898" t="s">
        <v>53</v>
      </c>
      <c r="AQ3898">
        <v>0</v>
      </c>
      <c r="AR3898" t="s">
        <v>53</v>
      </c>
      <c r="AS3898">
        <v>0</v>
      </c>
      <c r="AT3898">
        <v>0</v>
      </c>
      <c r="CC3898" t="s">
        <v>439</v>
      </c>
      <c r="CD3898">
        <v>85000</v>
      </c>
      <c r="CE3898" s="1">
        <v>42552</v>
      </c>
      <c r="CF3898" s="1">
        <v>42552</v>
      </c>
      <c r="CG3898" s="1">
        <v>42552</v>
      </c>
      <c r="CH3898" s="1">
        <v>49714</v>
      </c>
      <c r="CI3898" t="s">
        <v>51</v>
      </c>
      <c r="CK3898" t="s">
        <v>78</v>
      </c>
      <c r="CM3898" t="s">
        <v>54</v>
      </c>
      <c r="CN3898" t="s">
        <v>174</v>
      </c>
      <c r="CO3898" t="s">
        <v>86</v>
      </c>
      <c r="CR3898">
        <v>25</v>
      </c>
      <c r="CS3898">
        <v>0</v>
      </c>
      <c r="CT3898">
        <v>0</v>
      </c>
      <c r="CU3898">
        <v>0</v>
      </c>
    </row>
    <row r="3899" spans="1:99" x14ac:dyDescent="0.2">
      <c r="A3899" t="s">
        <v>367</v>
      </c>
      <c r="B3899" t="s">
        <v>368</v>
      </c>
      <c r="C3899" t="s">
        <v>381</v>
      </c>
      <c r="D3899" t="s">
        <v>369</v>
      </c>
      <c r="F3899" t="str">
        <f>"165586"</f>
        <v>165586</v>
      </c>
      <c r="G3899" t="s">
        <v>49</v>
      </c>
      <c r="H3899" t="s">
        <v>1864</v>
      </c>
      <c r="K3899" t="s">
        <v>51</v>
      </c>
      <c r="L3899" t="s">
        <v>52</v>
      </c>
      <c r="M3899">
        <v>133341.57</v>
      </c>
      <c r="N3899">
        <v>466544.7</v>
      </c>
      <c r="O3899" t="s">
        <v>53</v>
      </c>
      <c r="P3899" t="s">
        <v>54</v>
      </c>
      <c r="Q3899" t="s">
        <v>55</v>
      </c>
      <c r="T3899" t="s">
        <v>376</v>
      </c>
      <c r="U3899">
        <v>40</v>
      </c>
      <c r="V3899" s="1">
        <v>37306</v>
      </c>
      <c r="W3899" s="1">
        <v>37306</v>
      </c>
      <c r="X3899" s="1">
        <v>37306</v>
      </c>
      <c r="Y3899" s="1">
        <v>51916</v>
      </c>
      <c r="Z3899" t="s">
        <v>51</v>
      </c>
      <c r="AB3899" t="s">
        <v>54</v>
      </c>
      <c r="AC3899">
        <v>1</v>
      </c>
      <c r="AE3899" t="s">
        <v>814</v>
      </c>
      <c r="AF3899">
        <v>20</v>
      </c>
      <c r="AG3899" s="1">
        <v>37306</v>
      </c>
      <c r="AH3899" s="1">
        <v>37306</v>
      </c>
      <c r="AI3899" s="1">
        <v>37306</v>
      </c>
      <c r="AJ3899" s="1">
        <v>44611</v>
      </c>
      <c r="AK3899" t="s">
        <v>51</v>
      </c>
      <c r="AN3899">
        <v>0</v>
      </c>
      <c r="AO3899" t="s">
        <v>54</v>
      </c>
      <c r="AP3899" t="s">
        <v>53</v>
      </c>
      <c r="AQ3899">
        <v>0</v>
      </c>
      <c r="AR3899" t="s">
        <v>53</v>
      </c>
      <c r="AS3899">
        <v>0</v>
      </c>
      <c r="AT3899">
        <v>0</v>
      </c>
      <c r="CC3899" t="s">
        <v>439</v>
      </c>
      <c r="CD3899">
        <v>85000</v>
      </c>
      <c r="CE3899" s="1">
        <v>42552</v>
      </c>
      <c r="CF3899" s="1">
        <v>42552</v>
      </c>
      <c r="CG3899" s="1">
        <v>42552</v>
      </c>
      <c r="CH3899" s="1">
        <v>49714</v>
      </c>
      <c r="CI3899" t="s">
        <v>51</v>
      </c>
      <c r="CK3899" t="s">
        <v>78</v>
      </c>
      <c r="CM3899" t="s">
        <v>54</v>
      </c>
      <c r="CN3899" t="s">
        <v>174</v>
      </c>
      <c r="CO3899" t="s">
        <v>86</v>
      </c>
      <c r="CR3899">
        <v>25</v>
      </c>
      <c r="CS3899">
        <v>0</v>
      </c>
      <c r="CT3899">
        <v>0</v>
      </c>
      <c r="CU3899">
        <v>0</v>
      </c>
    </row>
    <row r="3900" spans="1:99" x14ac:dyDescent="0.2">
      <c r="A3900" t="s">
        <v>367</v>
      </c>
      <c r="B3900" t="s">
        <v>368</v>
      </c>
      <c r="C3900" t="s">
        <v>381</v>
      </c>
      <c r="D3900" t="s">
        <v>369</v>
      </c>
      <c r="F3900" t="str">
        <f>"165587"</f>
        <v>165587</v>
      </c>
      <c r="G3900" t="s">
        <v>49</v>
      </c>
      <c r="H3900" t="s">
        <v>1865</v>
      </c>
      <c r="K3900" t="s">
        <v>51</v>
      </c>
      <c r="L3900" t="s">
        <v>52</v>
      </c>
      <c r="M3900">
        <v>133308.13</v>
      </c>
      <c r="N3900">
        <v>466544.45</v>
      </c>
      <c r="O3900" t="s">
        <v>53</v>
      </c>
      <c r="P3900" t="s">
        <v>54</v>
      </c>
      <c r="Q3900" t="s">
        <v>55</v>
      </c>
      <c r="T3900" t="s">
        <v>376</v>
      </c>
      <c r="U3900">
        <v>40</v>
      </c>
      <c r="V3900" s="1">
        <v>37306</v>
      </c>
      <c r="W3900" s="1">
        <v>37306</v>
      </c>
      <c r="X3900" s="1">
        <v>37306</v>
      </c>
      <c r="Y3900" s="1">
        <v>51916</v>
      </c>
      <c r="Z3900" t="s">
        <v>51</v>
      </c>
      <c r="AB3900" t="s">
        <v>54</v>
      </c>
      <c r="AC3900">
        <v>1</v>
      </c>
      <c r="AE3900" t="s">
        <v>373</v>
      </c>
      <c r="AF3900">
        <v>20</v>
      </c>
      <c r="AG3900" s="1">
        <v>40437</v>
      </c>
      <c r="AH3900" s="1">
        <v>40437</v>
      </c>
      <c r="AI3900" s="1">
        <v>40437</v>
      </c>
      <c r="AJ3900" s="1">
        <v>47742</v>
      </c>
      <c r="AK3900" t="s">
        <v>51</v>
      </c>
      <c r="AN3900">
        <v>0</v>
      </c>
      <c r="AO3900" t="s">
        <v>54</v>
      </c>
      <c r="AP3900" t="s">
        <v>53</v>
      </c>
      <c r="AQ3900">
        <v>0</v>
      </c>
      <c r="AR3900" t="s">
        <v>53</v>
      </c>
      <c r="AS3900">
        <v>0</v>
      </c>
      <c r="AT3900">
        <v>0</v>
      </c>
      <c r="BK3900" t="s">
        <v>374</v>
      </c>
      <c r="BL3900">
        <v>50000</v>
      </c>
      <c r="BM3900" s="1">
        <v>44369</v>
      </c>
      <c r="BN3900" s="1">
        <v>44369</v>
      </c>
      <c r="BO3900" s="1">
        <v>44369</v>
      </c>
      <c r="BP3900" s="1">
        <v>48587</v>
      </c>
      <c r="BQ3900" t="s">
        <v>51</v>
      </c>
      <c r="BS3900" t="s">
        <v>60</v>
      </c>
      <c r="BT3900" t="s">
        <v>54</v>
      </c>
      <c r="BU3900" t="s">
        <v>61</v>
      </c>
      <c r="BV3900" t="s">
        <v>62</v>
      </c>
      <c r="BX3900">
        <v>26</v>
      </c>
      <c r="BY3900">
        <v>2860</v>
      </c>
      <c r="BZ3900">
        <v>0</v>
      </c>
    </row>
    <row r="3901" spans="1:99" x14ac:dyDescent="0.2">
      <c r="A3901" t="s">
        <v>367</v>
      </c>
      <c r="B3901" t="s">
        <v>368</v>
      </c>
      <c r="C3901" t="s">
        <v>369</v>
      </c>
      <c r="D3901" t="s">
        <v>369</v>
      </c>
      <c r="F3901" t="str">
        <f>"165588"</f>
        <v>165588</v>
      </c>
      <c r="G3901" t="s">
        <v>49</v>
      </c>
      <c r="H3901" t="s">
        <v>1866</v>
      </c>
      <c r="K3901" t="s">
        <v>51</v>
      </c>
      <c r="L3901" t="s">
        <v>52</v>
      </c>
      <c r="M3901">
        <v>133279.56</v>
      </c>
      <c r="N3901">
        <v>466538.91</v>
      </c>
      <c r="O3901" t="s">
        <v>53</v>
      </c>
      <c r="P3901" t="s">
        <v>54</v>
      </c>
      <c r="Q3901" t="s">
        <v>55</v>
      </c>
      <c r="T3901" t="s">
        <v>372</v>
      </c>
      <c r="U3901">
        <v>40</v>
      </c>
      <c r="V3901" s="1">
        <v>41109</v>
      </c>
      <c r="W3901" s="1">
        <v>41109</v>
      </c>
      <c r="X3901" s="1">
        <v>41109</v>
      </c>
      <c r="Y3901" s="1">
        <v>55719</v>
      </c>
      <c r="Z3901" t="s">
        <v>51</v>
      </c>
      <c r="AB3901" t="s">
        <v>54</v>
      </c>
      <c r="AC3901">
        <v>1</v>
      </c>
      <c r="AE3901" t="s">
        <v>373</v>
      </c>
      <c r="AF3901">
        <v>20</v>
      </c>
      <c r="AG3901" s="1">
        <v>40437</v>
      </c>
      <c r="AH3901" s="1">
        <v>40437</v>
      </c>
      <c r="AI3901" s="1">
        <v>41109</v>
      </c>
      <c r="AJ3901" s="1">
        <v>47742</v>
      </c>
      <c r="AK3901" t="s">
        <v>51</v>
      </c>
      <c r="AN3901">
        <v>0</v>
      </c>
      <c r="AO3901" t="s">
        <v>54</v>
      </c>
      <c r="AP3901" t="s">
        <v>53</v>
      </c>
      <c r="AQ3901">
        <v>0</v>
      </c>
      <c r="AR3901" t="s">
        <v>53</v>
      </c>
      <c r="AS3901">
        <v>0</v>
      </c>
      <c r="AT3901">
        <v>0</v>
      </c>
      <c r="AW3901" t="s">
        <v>58</v>
      </c>
      <c r="AX3901">
        <v>20</v>
      </c>
      <c r="AY3901" s="1">
        <v>40437</v>
      </c>
      <c r="AZ3901" s="1">
        <v>40437</v>
      </c>
      <c r="BA3901" s="1">
        <v>41109</v>
      </c>
      <c r="BB3901" s="1">
        <v>47742</v>
      </c>
      <c r="BC3901" t="s">
        <v>51</v>
      </c>
      <c r="BE3901" t="s">
        <v>54</v>
      </c>
      <c r="BF3901">
        <v>2</v>
      </c>
      <c r="BG3901">
        <v>0</v>
      </c>
      <c r="BH3901" t="s">
        <v>53</v>
      </c>
      <c r="BK3901" t="s">
        <v>92</v>
      </c>
      <c r="BL3901">
        <v>14000</v>
      </c>
      <c r="BM3901" s="1">
        <v>40437</v>
      </c>
      <c r="BN3901" s="1">
        <v>40437</v>
      </c>
      <c r="BO3901" s="1">
        <v>41109</v>
      </c>
      <c r="BP3901" s="1">
        <v>41606</v>
      </c>
      <c r="BQ3901" t="s">
        <v>51</v>
      </c>
      <c r="BS3901" t="s">
        <v>60</v>
      </c>
      <c r="BT3901" t="s">
        <v>54</v>
      </c>
      <c r="BU3901" t="s">
        <v>61</v>
      </c>
      <c r="BV3901" t="s">
        <v>62</v>
      </c>
      <c r="BX3901">
        <v>55</v>
      </c>
      <c r="BY3901">
        <v>0</v>
      </c>
      <c r="BZ3901">
        <v>0</v>
      </c>
    </row>
    <row r="3902" spans="1:99" x14ac:dyDescent="0.2">
      <c r="A3902" t="s">
        <v>367</v>
      </c>
      <c r="B3902" t="s">
        <v>440</v>
      </c>
      <c r="C3902" t="s">
        <v>441</v>
      </c>
      <c r="D3902" t="s">
        <v>1867</v>
      </c>
      <c r="F3902" t="str">
        <f>"165652"</f>
        <v>165652</v>
      </c>
      <c r="G3902" t="s">
        <v>49</v>
      </c>
      <c r="H3902" t="s">
        <v>1868</v>
      </c>
      <c r="K3902" t="s">
        <v>51</v>
      </c>
      <c r="L3902" t="s">
        <v>52</v>
      </c>
      <c r="M3902">
        <v>137396.96</v>
      </c>
      <c r="N3902">
        <v>468611.57</v>
      </c>
      <c r="O3902" t="s">
        <v>53</v>
      </c>
      <c r="P3902" t="s">
        <v>54</v>
      </c>
      <c r="Q3902" t="s">
        <v>55</v>
      </c>
      <c r="T3902" t="s">
        <v>241</v>
      </c>
      <c r="U3902">
        <v>40</v>
      </c>
      <c r="V3902" s="1">
        <v>37334</v>
      </c>
      <c r="W3902" s="1">
        <v>37334</v>
      </c>
      <c r="X3902" s="1">
        <v>37334</v>
      </c>
      <c r="Y3902" s="1">
        <v>51944</v>
      </c>
      <c r="Z3902" t="s">
        <v>51</v>
      </c>
      <c r="AB3902" t="s">
        <v>54</v>
      </c>
      <c r="AC3902">
        <v>1</v>
      </c>
      <c r="AE3902" t="s">
        <v>825</v>
      </c>
      <c r="AF3902">
        <v>20</v>
      </c>
      <c r="AG3902" s="1">
        <v>37334</v>
      </c>
      <c r="AH3902" s="1">
        <v>37334</v>
      </c>
      <c r="AI3902" s="1">
        <v>37334</v>
      </c>
      <c r="AJ3902" s="1">
        <v>44639</v>
      </c>
      <c r="AK3902" t="s">
        <v>51</v>
      </c>
      <c r="AN3902">
        <v>0</v>
      </c>
      <c r="AO3902" t="s">
        <v>54</v>
      </c>
      <c r="AP3902" t="s">
        <v>53</v>
      </c>
      <c r="AQ3902">
        <v>0</v>
      </c>
      <c r="AR3902" t="s">
        <v>53</v>
      </c>
      <c r="AS3902">
        <v>0</v>
      </c>
      <c r="AT3902">
        <v>0</v>
      </c>
      <c r="CC3902" t="s">
        <v>555</v>
      </c>
      <c r="CD3902">
        <v>85000</v>
      </c>
      <c r="CE3902" s="1">
        <v>42552</v>
      </c>
      <c r="CF3902" s="1">
        <v>42552</v>
      </c>
      <c r="CG3902" s="1">
        <v>42552</v>
      </c>
      <c r="CH3902" s="1">
        <v>49714</v>
      </c>
      <c r="CI3902" t="s">
        <v>51</v>
      </c>
      <c r="CK3902" t="s">
        <v>78</v>
      </c>
      <c r="CM3902" t="s">
        <v>54</v>
      </c>
      <c r="CN3902" t="s">
        <v>174</v>
      </c>
      <c r="CO3902" t="s">
        <v>86</v>
      </c>
      <c r="CR3902">
        <v>20</v>
      </c>
      <c r="CS3902">
        <v>0</v>
      </c>
      <c r="CT3902">
        <v>0</v>
      </c>
      <c r="CU3902">
        <v>0</v>
      </c>
    </row>
    <row r="3903" spans="1:99" x14ac:dyDescent="0.2">
      <c r="A3903" t="s">
        <v>367</v>
      </c>
      <c r="B3903" t="s">
        <v>440</v>
      </c>
      <c r="C3903" t="s">
        <v>441</v>
      </c>
      <c r="D3903" t="s">
        <v>1867</v>
      </c>
      <c r="F3903" t="str">
        <f>"165653"</f>
        <v>165653</v>
      </c>
      <c r="G3903" t="s">
        <v>49</v>
      </c>
      <c r="H3903" t="s">
        <v>1869</v>
      </c>
      <c r="K3903" t="s">
        <v>51</v>
      </c>
      <c r="L3903" t="s">
        <v>52</v>
      </c>
      <c r="M3903">
        <v>137385.41</v>
      </c>
      <c r="N3903">
        <v>468604.89</v>
      </c>
      <c r="O3903" t="s">
        <v>53</v>
      </c>
      <c r="P3903" t="s">
        <v>54</v>
      </c>
      <c r="Q3903" t="s">
        <v>55</v>
      </c>
      <c r="T3903" t="s">
        <v>241</v>
      </c>
      <c r="U3903">
        <v>40</v>
      </c>
      <c r="V3903" s="1">
        <v>37334</v>
      </c>
      <c r="W3903" s="1">
        <v>37334</v>
      </c>
      <c r="X3903" s="1">
        <v>37334</v>
      </c>
      <c r="Y3903" s="1">
        <v>51944</v>
      </c>
      <c r="Z3903" t="s">
        <v>51</v>
      </c>
      <c r="AB3903" t="s">
        <v>54</v>
      </c>
      <c r="AC3903">
        <v>1</v>
      </c>
      <c r="AD3903" t="s">
        <v>809</v>
      </c>
      <c r="AE3903" t="s">
        <v>810</v>
      </c>
      <c r="AF3903">
        <v>20</v>
      </c>
      <c r="AG3903" s="1">
        <v>43282</v>
      </c>
      <c r="AH3903" s="1">
        <v>43282</v>
      </c>
      <c r="AI3903" s="1">
        <v>43282</v>
      </c>
      <c r="AJ3903" s="1">
        <v>50587</v>
      </c>
      <c r="AK3903" t="s">
        <v>51</v>
      </c>
      <c r="AN3903">
        <v>0</v>
      </c>
      <c r="AO3903" t="s">
        <v>54</v>
      </c>
      <c r="AP3903" t="s">
        <v>53</v>
      </c>
      <c r="AQ3903">
        <v>0</v>
      </c>
      <c r="AR3903" t="s">
        <v>53</v>
      </c>
      <c r="AS3903">
        <v>0</v>
      </c>
      <c r="AT3903">
        <v>0</v>
      </c>
      <c r="CC3903" t="s">
        <v>669</v>
      </c>
      <c r="CD3903">
        <v>85000</v>
      </c>
      <c r="CE3903" s="1">
        <v>43282</v>
      </c>
      <c r="CF3903" s="1">
        <v>43282</v>
      </c>
      <c r="CG3903" s="1">
        <v>43282</v>
      </c>
      <c r="CH3903" s="1">
        <v>50869</v>
      </c>
      <c r="CI3903" t="s">
        <v>51</v>
      </c>
      <c r="CK3903" t="s">
        <v>78</v>
      </c>
      <c r="CM3903" t="s">
        <v>54</v>
      </c>
      <c r="CN3903" t="s">
        <v>174</v>
      </c>
      <c r="CO3903" t="s">
        <v>86</v>
      </c>
      <c r="CR3903">
        <v>50</v>
      </c>
      <c r="CS3903">
        <v>0</v>
      </c>
      <c r="CT3903">
        <v>0</v>
      </c>
      <c r="CU3903">
        <v>0</v>
      </c>
    </row>
    <row r="3904" spans="1:99" x14ac:dyDescent="0.2">
      <c r="A3904" t="s">
        <v>367</v>
      </c>
      <c r="B3904" t="s">
        <v>368</v>
      </c>
      <c r="C3904" t="s">
        <v>369</v>
      </c>
      <c r="D3904" t="s">
        <v>1867</v>
      </c>
      <c r="F3904" t="str">
        <f>"165654"</f>
        <v>165654</v>
      </c>
      <c r="G3904" t="s">
        <v>49</v>
      </c>
      <c r="H3904" t="s">
        <v>1870</v>
      </c>
      <c r="K3904" t="s">
        <v>51</v>
      </c>
      <c r="L3904" t="s">
        <v>52</v>
      </c>
      <c r="M3904">
        <v>137401.60000000001</v>
      </c>
      <c r="N3904">
        <v>468589.64</v>
      </c>
      <c r="O3904" t="s">
        <v>53</v>
      </c>
      <c r="P3904" t="s">
        <v>54</v>
      </c>
      <c r="Q3904" t="s">
        <v>55</v>
      </c>
      <c r="T3904" t="s">
        <v>241</v>
      </c>
      <c r="U3904">
        <v>40</v>
      </c>
      <c r="V3904" s="1">
        <v>37334</v>
      </c>
      <c r="W3904" s="1">
        <v>37334</v>
      </c>
      <c r="X3904" s="1">
        <v>37334</v>
      </c>
      <c r="Y3904" s="1">
        <v>51944</v>
      </c>
      <c r="Z3904" t="s">
        <v>51</v>
      </c>
      <c r="AB3904" t="s">
        <v>54</v>
      </c>
      <c r="AC3904">
        <v>1</v>
      </c>
      <c r="AE3904" t="s">
        <v>825</v>
      </c>
      <c r="AF3904">
        <v>20</v>
      </c>
      <c r="AG3904" s="1">
        <v>43486</v>
      </c>
      <c r="AH3904" s="1">
        <v>43486</v>
      </c>
      <c r="AI3904" s="1">
        <v>43486</v>
      </c>
      <c r="AJ3904" s="1">
        <v>50791</v>
      </c>
      <c r="AK3904" t="s">
        <v>51</v>
      </c>
      <c r="AN3904">
        <v>0</v>
      </c>
      <c r="AO3904" t="s">
        <v>54</v>
      </c>
      <c r="AP3904" t="s">
        <v>53</v>
      </c>
      <c r="AQ3904">
        <v>0</v>
      </c>
      <c r="AR3904" t="s">
        <v>53</v>
      </c>
      <c r="AS3904">
        <v>0</v>
      </c>
      <c r="AT3904">
        <v>0</v>
      </c>
      <c r="CC3904" t="s">
        <v>555</v>
      </c>
      <c r="CD3904">
        <v>85000</v>
      </c>
      <c r="CE3904" s="1">
        <v>42552</v>
      </c>
      <c r="CF3904" s="1">
        <v>42552</v>
      </c>
      <c r="CG3904" s="1">
        <v>43486</v>
      </c>
      <c r="CH3904" s="1">
        <v>49714</v>
      </c>
      <c r="CI3904" t="s">
        <v>51</v>
      </c>
      <c r="CK3904" t="s">
        <v>78</v>
      </c>
      <c r="CM3904" t="s">
        <v>54</v>
      </c>
      <c r="CN3904" t="s">
        <v>174</v>
      </c>
      <c r="CO3904" t="s">
        <v>86</v>
      </c>
      <c r="CR3904">
        <v>20</v>
      </c>
      <c r="CS3904">
        <v>0</v>
      </c>
      <c r="CT3904">
        <v>0</v>
      </c>
      <c r="CU3904">
        <v>0</v>
      </c>
    </row>
    <row r="3905" spans="1:99" x14ac:dyDescent="0.2">
      <c r="A3905" t="s">
        <v>367</v>
      </c>
      <c r="B3905" t="s">
        <v>368</v>
      </c>
      <c r="C3905" t="s">
        <v>369</v>
      </c>
      <c r="D3905" t="s">
        <v>1867</v>
      </c>
      <c r="F3905" t="str">
        <f>"165655"</f>
        <v>165655</v>
      </c>
      <c r="G3905" t="s">
        <v>49</v>
      </c>
      <c r="H3905" t="s">
        <v>1871</v>
      </c>
      <c r="K3905" t="s">
        <v>51</v>
      </c>
      <c r="L3905" t="s">
        <v>52</v>
      </c>
      <c r="M3905">
        <v>137412.56</v>
      </c>
      <c r="N3905">
        <v>468590.97</v>
      </c>
      <c r="O3905" t="s">
        <v>53</v>
      </c>
      <c r="P3905" t="s">
        <v>54</v>
      </c>
      <c r="Q3905" t="s">
        <v>55</v>
      </c>
      <c r="T3905" t="s">
        <v>241</v>
      </c>
      <c r="U3905">
        <v>40</v>
      </c>
      <c r="V3905" s="1">
        <v>37334</v>
      </c>
      <c r="W3905" s="1">
        <v>37334</v>
      </c>
      <c r="X3905" s="1">
        <v>37334</v>
      </c>
      <c r="Y3905" s="1">
        <v>51944</v>
      </c>
      <c r="Z3905" t="s">
        <v>51</v>
      </c>
      <c r="AB3905" t="s">
        <v>54</v>
      </c>
      <c r="AC3905">
        <v>1</v>
      </c>
      <c r="AE3905" t="s">
        <v>825</v>
      </c>
      <c r="AF3905">
        <v>20</v>
      </c>
      <c r="AG3905" s="1">
        <v>37334</v>
      </c>
      <c r="AH3905" s="1">
        <v>37334</v>
      </c>
      <c r="AI3905" s="1">
        <v>37334</v>
      </c>
      <c r="AJ3905" s="1">
        <v>44639</v>
      </c>
      <c r="AK3905" t="s">
        <v>51</v>
      </c>
      <c r="AN3905">
        <v>0</v>
      </c>
      <c r="AO3905" t="s">
        <v>54</v>
      </c>
      <c r="AP3905" t="s">
        <v>53</v>
      </c>
      <c r="AQ3905">
        <v>0</v>
      </c>
      <c r="AR3905" t="s">
        <v>53</v>
      </c>
      <c r="AS3905">
        <v>0</v>
      </c>
      <c r="AT3905">
        <v>0</v>
      </c>
      <c r="CC3905" t="s">
        <v>555</v>
      </c>
      <c r="CD3905">
        <v>85000</v>
      </c>
      <c r="CE3905" s="1">
        <v>42552</v>
      </c>
      <c r="CF3905" s="1">
        <v>42552</v>
      </c>
      <c r="CG3905" s="1">
        <v>42552</v>
      </c>
      <c r="CH3905" s="1">
        <v>49714</v>
      </c>
      <c r="CI3905" t="s">
        <v>51</v>
      </c>
      <c r="CK3905" t="s">
        <v>78</v>
      </c>
      <c r="CM3905" t="s">
        <v>54</v>
      </c>
      <c r="CN3905" t="s">
        <v>174</v>
      </c>
      <c r="CO3905" t="s">
        <v>86</v>
      </c>
      <c r="CR3905">
        <v>20</v>
      </c>
      <c r="CS3905">
        <v>0</v>
      </c>
      <c r="CT3905">
        <v>0</v>
      </c>
      <c r="CU3905">
        <v>0</v>
      </c>
    </row>
    <row r="3906" spans="1:99" x14ac:dyDescent="0.2">
      <c r="A3906" t="s">
        <v>367</v>
      </c>
      <c r="B3906" t="s">
        <v>368</v>
      </c>
      <c r="C3906" t="s">
        <v>369</v>
      </c>
      <c r="D3906" t="s">
        <v>1867</v>
      </c>
      <c r="F3906" t="str">
        <f>"165656"</f>
        <v>165656</v>
      </c>
      <c r="G3906" t="s">
        <v>49</v>
      </c>
      <c r="H3906" t="s">
        <v>1872</v>
      </c>
      <c r="K3906" t="s">
        <v>51</v>
      </c>
      <c r="L3906" t="s">
        <v>52</v>
      </c>
      <c r="M3906">
        <v>137419.73000000001</v>
      </c>
      <c r="N3906">
        <v>468577.78</v>
      </c>
      <c r="O3906" t="s">
        <v>53</v>
      </c>
      <c r="P3906" t="s">
        <v>54</v>
      </c>
      <c r="Q3906" t="s">
        <v>55</v>
      </c>
      <c r="T3906" t="s">
        <v>241</v>
      </c>
      <c r="U3906">
        <v>40</v>
      </c>
      <c r="V3906" s="1">
        <v>37334</v>
      </c>
      <c r="W3906" s="1">
        <v>37334</v>
      </c>
      <c r="X3906" s="1">
        <v>37334</v>
      </c>
      <c r="Y3906" s="1">
        <v>51944</v>
      </c>
      <c r="Z3906" t="s">
        <v>51</v>
      </c>
      <c r="AB3906" t="s">
        <v>54</v>
      </c>
      <c r="AC3906">
        <v>1</v>
      </c>
      <c r="AE3906" t="s">
        <v>825</v>
      </c>
      <c r="AF3906">
        <v>20</v>
      </c>
      <c r="AG3906" s="1">
        <v>37334</v>
      </c>
      <c r="AH3906" s="1">
        <v>37334</v>
      </c>
      <c r="AI3906" s="1">
        <v>37334</v>
      </c>
      <c r="AJ3906" s="1">
        <v>44639</v>
      </c>
      <c r="AK3906" t="s">
        <v>51</v>
      </c>
      <c r="AN3906">
        <v>0</v>
      </c>
      <c r="AO3906" t="s">
        <v>54</v>
      </c>
      <c r="AP3906" t="s">
        <v>53</v>
      </c>
      <c r="AQ3906">
        <v>0</v>
      </c>
      <c r="AR3906" t="s">
        <v>53</v>
      </c>
      <c r="AS3906">
        <v>0</v>
      </c>
      <c r="AT3906">
        <v>0</v>
      </c>
      <c r="CC3906" t="s">
        <v>555</v>
      </c>
      <c r="CD3906">
        <v>85000</v>
      </c>
      <c r="CE3906" s="1">
        <v>42552</v>
      </c>
      <c r="CF3906" s="1">
        <v>42552</v>
      </c>
      <c r="CG3906" s="1">
        <v>42552</v>
      </c>
      <c r="CH3906" s="1">
        <v>49714</v>
      </c>
      <c r="CI3906" t="s">
        <v>51</v>
      </c>
      <c r="CK3906" t="s">
        <v>78</v>
      </c>
      <c r="CM3906" t="s">
        <v>54</v>
      </c>
      <c r="CN3906" t="s">
        <v>174</v>
      </c>
      <c r="CO3906" t="s">
        <v>86</v>
      </c>
      <c r="CR3906">
        <v>20</v>
      </c>
      <c r="CS3906">
        <v>0</v>
      </c>
      <c r="CT3906">
        <v>0</v>
      </c>
      <c r="CU3906">
        <v>0</v>
      </c>
    </row>
    <row r="3907" spans="1:99" x14ac:dyDescent="0.2">
      <c r="A3907" t="s">
        <v>367</v>
      </c>
      <c r="B3907" t="s">
        <v>368</v>
      </c>
      <c r="C3907" t="s">
        <v>369</v>
      </c>
      <c r="D3907" t="s">
        <v>1867</v>
      </c>
      <c r="F3907" t="str">
        <f>"165657"</f>
        <v>165657</v>
      </c>
      <c r="G3907" t="s">
        <v>49</v>
      </c>
      <c r="H3907" t="s">
        <v>1873</v>
      </c>
      <c r="K3907" t="s">
        <v>51</v>
      </c>
      <c r="L3907" t="s">
        <v>52</v>
      </c>
      <c r="M3907">
        <v>137435.62</v>
      </c>
      <c r="N3907">
        <v>468559.05</v>
      </c>
      <c r="O3907" t="s">
        <v>53</v>
      </c>
      <c r="P3907" t="s">
        <v>54</v>
      </c>
      <c r="Q3907" t="s">
        <v>55</v>
      </c>
      <c r="T3907" t="s">
        <v>241</v>
      </c>
      <c r="U3907">
        <v>40</v>
      </c>
      <c r="V3907" s="1">
        <v>37334</v>
      </c>
      <c r="W3907" s="1">
        <v>37334</v>
      </c>
      <c r="X3907" s="1">
        <v>37334</v>
      </c>
      <c r="Y3907" s="1">
        <v>51944</v>
      </c>
      <c r="Z3907" t="s">
        <v>51</v>
      </c>
      <c r="AB3907" t="s">
        <v>54</v>
      </c>
      <c r="AC3907">
        <v>1</v>
      </c>
      <c r="AE3907" t="s">
        <v>825</v>
      </c>
      <c r="AF3907">
        <v>20</v>
      </c>
      <c r="AG3907" s="1">
        <v>37334</v>
      </c>
      <c r="AH3907" s="1">
        <v>37334</v>
      </c>
      <c r="AI3907" s="1">
        <v>37334</v>
      </c>
      <c r="AJ3907" s="1">
        <v>44639</v>
      </c>
      <c r="AK3907" t="s">
        <v>51</v>
      </c>
      <c r="AN3907">
        <v>0</v>
      </c>
      <c r="AO3907" t="s">
        <v>54</v>
      </c>
      <c r="AP3907" t="s">
        <v>53</v>
      </c>
      <c r="AQ3907">
        <v>0</v>
      </c>
      <c r="AR3907" t="s">
        <v>53</v>
      </c>
      <c r="AS3907">
        <v>0</v>
      </c>
      <c r="AT3907">
        <v>0</v>
      </c>
      <c r="CC3907" t="s">
        <v>555</v>
      </c>
      <c r="CD3907">
        <v>85000</v>
      </c>
      <c r="CE3907" s="1">
        <v>42552</v>
      </c>
      <c r="CF3907" s="1">
        <v>42552</v>
      </c>
      <c r="CG3907" s="1">
        <v>42552</v>
      </c>
      <c r="CH3907" s="1">
        <v>49714</v>
      </c>
      <c r="CI3907" t="s">
        <v>51</v>
      </c>
      <c r="CK3907" t="s">
        <v>78</v>
      </c>
      <c r="CM3907" t="s">
        <v>54</v>
      </c>
      <c r="CN3907" t="s">
        <v>174</v>
      </c>
      <c r="CO3907" t="s">
        <v>86</v>
      </c>
      <c r="CR3907">
        <v>20</v>
      </c>
      <c r="CS3907">
        <v>0</v>
      </c>
      <c r="CT3907">
        <v>0</v>
      </c>
      <c r="CU3907">
        <v>0</v>
      </c>
    </row>
    <row r="3908" spans="1:99" x14ac:dyDescent="0.2">
      <c r="A3908" t="s">
        <v>367</v>
      </c>
      <c r="B3908" t="s">
        <v>368</v>
      </c>
      <c r="C3908" t="s">
        <v>369</v>
      </c>
      <c r="D3908" t="s">
        <v>1867</v>
      </c>
      <c r="F3908" t="str">
        <f>"165658"</f>
        <v>165658</v>
      </c>
      <c r="G3908" t="s">
        <v>49</v>
      </c>
      <c r="H3908" t="s">
        <v>1874</v>
      </c>
      <c r="K3908" t="s">
        <v>51</v>
      </c>
      <c r="L3908" t="s">
        <v>52</v>
      </c>
      <c r="M3908">
        <v>137455</v>
      </c>
      <c r="N3908">
        <v>468550.17</v>
      </c>
      <c r="O3908" t="s">
        <v>53</v>
      </c>
      <c r="P3908" t="s">
        <v>54</v>
      </c>
      <c r="Q3908" t="s">
        <v>55</v>
      </c>
      <c r="T3908" t="s">
        <v>241</v>
      </c>
      <c r="U3908">
        <v>40</v>
      </c>
      <c r="V3908" s="1">
        <v>37334</v>
      </c>
      <c r="W3908" s="1">
        <v>37334</v>
      </c>
      <c r="X3908" s="1">
        <v>37334</v>
      </c>
      <c r="Y3908" s="1">
        <v>51944</v>
      </c>
      <c r="Z3908" t="s">
        <v>51</v>
      </c>
      <c r="AB3908" t="s">
        <v>54</v>
      </c>
      <c r="AC3908">
        <v>1</v>
      </c>
      <c r="AE3908" t="s">
        <v>825</v>
      </c>
      <c r="AF3908">
        <v>20</v>
      </c>
      <c r="AG3908" s="1">
        <v>37334</v>
      </c>
      <c r="AH3908" s="1">
        <v>37334</v>
      </c>
      <c r="AI3908" s="1">
        <v>37334</v>
      </c>
      <c r="AJ3908" s="1">
        <v>44639</v>
      </c>
      <c r="AK3908" t="s">
        <v>51</v>
      </c>
      <c r="AN3908">
        <v>0</v>
      </c>
      <c r="AO3908" t="s">
        <v>54</v>
      </c>
      <c r="AP3908" t="s">
        <v>53</v>
      </c>
      <c r="AQ3908">
        <v>0</v>
      </c>
      <c r="AR3908" t="s">
        <v>53</v>
      </c>
      <c r="AS3908">
        <v>0</v>
      </c>
      <c r="AT3908">
        <v>0</v>
      </c>
      <c r="CC3908" t="s">
        <v>555</v>
      </c>
      <c r="CD3908">
        <v>85000</v>
      </c>
      <c r="CE3908" s="1">
        <v>42552</v>
      </c>
      <c r="CF3908" s="1">
        <v>42552</v>
      </c>
      <c r="CG3908" s="1">
        <v>42552</v>
      </c>
      <c r="CH3908" s="1">
        <v>49714</v>
      </c>
      <c r="CI3908" t="s">
        <v>51</v>
      </c>
      <c r="CK3908" t="s">
        <v>78</v>
      </c>
      <c r="CM3908" t="s">
        <v>54</v>
      </c>
      <c r="CN3908" t="s">
        <v>174</v>
      </c>
      <c r="CO3908" t="s">
        <v>86</v>
      </c>
      <c r="CR3908">
        <v>20</v>
      </c>
      <c r="CS3908">
        <v>0</v>
      </c>
      <c r="CT3908">
        <v>0</v>
      </c>
      <c r="CU3908">
        <v>0</v>
      </c>
    </row>
    <row r="3909" spans="1:99" x14ac:dyDescent="0.2">
      <c r="A3909" t="s">
        <v>367</v>
      </c>
      <c r="B3909" t="s">
        <v>368</v>
      </c>
      <c r="C3909" t="s">
        <v>369</v>
      </c>
      <c r="D3909" t="s">
        <v>1867</v>
      </c>
      <c r="F3909" t="str">
        <f>"165659"</f>
        <v>165659</v>
      </c>
      <c r="G3909" t="s">
        <v>49</v>
      </c>
      <c r="H3909" t="s">
        <v>1875</v>
      </c>
      <c r="K3909" t="s">
        <v>51</v>
      </c>
      <c r="L3909" t="s">
        <v>52</v>
      </c>
      <c r="M3909">
        <v>137464.09</v>
      </c>
      <c r="N3909">
        <v>468530.55</v>
      </c>
      <c r="O3909" t="s">
        <v>53</v>
      </c>
      <c r="P3909" t="s">
        <v>54</v>
      </c>
      <c r="Q3909" t="s">
        <v>55</v>
      </c>
      <c r="T3909" t="s">
        <v>241</v>
      </c>
      <c r="U3909">
        <v>40</v>
      </c>
      <c r="V3909" s="1">
        <v>37334</v>
      </c>
      <c r="W3909" s="1">
        <v>37334</v>
      </c>
      <c r="X3909" s="1">
        <v>37334</v>
      </c>
      <c r="Y3909" s="1">
        <v>51944</v>
      </c>
      <c r="Z3909" t="s">
        <v>51</v>
      </c>
      <c r="AB3909" t="s">
        <v>54</v>
      </c>
      <c r="AC3909">
        <v>1</v>
      </c>
      <c r="AE3909" t="s">
        <v>825</v>
      </c>
      <c r="AF3909">
        <v>20</v>
      </c>
      <c r="AG3909" s="1">
        <v>37334</v>
      </c>
      <c r="AH3909" s="1">
        <v>37334</v>
      </c>
      <c r="AI3909" s="1">
        <v>37334</v>
      </c>
      <c r="AJ3909" s="1">
        <v>44639</v>
      </c>
      <c r="AK3909" t="s">
        <v>51</v>
      </c>
      <c r="AN3909">
        <v>0</v>
      </c>
      <c r="AO3909" t="s">
        <v>54</v>
      </c>
      <c r="AP3909" t="s">
        <v>53</v>
      </c>
      <c r="AQ3909">
        <v>0</v>
      </c>
      <c r="AR3909" t="s">
        <v>53</v>
      </c>
      <c r="AS3909">
        <v>0</v>
      </c>
      <c r="AT3909">
        <v>0</v>
      </c>
      <c r="CC3909" t="s">
        <v>555</v>
      </c>
      <c r="CD3909">
        <v>85000</v>
      </c>
      <c r="CE3909" s="1">
        <v>42552</v>
      </c>
      <c r="CF3909" s="1">
        <v>42552</v>
      </c>
      <c r="CG3909" s="1">
        <v>42552</v>
      </c>
      <c r="CH3909" s="1">
        <v>49714</v>
      </c>
      <c r="CI3909" t="s">
        <v>51</v>
      </c>
      <c r="CK3909" t="s">
        <v>78</v>
      </c>
      <c r="CM3909" t="s">
        <v>54</v>
      </c>
      <c r="CN3909" t="s">
        <v>174</v>
      </c>
      <c r="CO3909" t="s">
        <v>86</v>
      </c>
      <c r="CR3909">
        <v>20</v>
      </c>
      <c r="CS3909">
        <v>0</v>
      </c>
      <c r="CT3909">
        <v>0</v>
      </c>
      <c r="CU3909">
        <v>0</v>
      </c>
    </row>
    <row r="3910" spans="1:99" x14ac:dyDescent="0.2">
      <c r="A3910" t="s">
        <v>367</v>
      </c>
      <c r="B3910" t="s">
        <v>368</v>
      </c>
      <c r="C3910" t="s">
        <v>369</v>
      </c>
      <c r="D3910" t="s">
        <v>1867</v>
      </c>
      <c r="F3910" t="str">
        <f>"165660"</f>
        <v>165660</v>
      </c>
      <c r="G3910" t="s">
        <v>49</v>
      </c>
      <c r="H3910" t="s">
        <v>1876</v>
      </c>
      <c r="K3910" t="s">
        <v>51</v>
      </c>
      <c r="L3910" t="s">
        <v>52</v>
      </c>
      <c r="M3910">
        <v>137485.65</v>
      </c>
      <c r="N3910">
        <v>468518.93</v>
      </c>
      <c r="O3910" t="s">
        <v>53</v>
      </c>
      <c r="P3910" t="s">
        <v>54</v>
      </c>
      <c r="Q3910" t="s">
        <v>55</v>
      </c>
      <c r="T3910" t="s">
        <v>241</v>
      </c>
      <c r="U3910">
        <v>40</v>
      </c>
      <c r="V3910" s="1">
        <v>37334</v>
      </c>
      <c r="W3910" s="1">
        <v>37334</v>
      </c>
      <c r="X3910" s="1">
        <v>37334</v>
      </c>
      <c r="Y3910" s="1">
        <v>51944</v>
      </c>
      <c r="Z3910" t="s">
        <v>51</v>
      </c>
      <c r="AB3910" t="s">
        <v>54</v>
      </c>
      <c r="AC3910">
        <v>1</v>
      </c>
      <c r="AE3910" t="s">
        <v>825</v>
      </c>
      <c r="AF3910">
        <v>20</v>
      </c>
      <c r="AG3910" s="1">
        <v>37334</v>
      </c>
      <c r="AH3910" s="1">
        <v>37334</v>
      </c>
      <c r="AI3910" s="1">
        <v>37334</v>
      </c>
      <c r="AJ3910" s="1">
        <v>44639</v>
      </c>
      <c r="AK3910" t="s">
        <v>51</v>
      </c>
      <c r="AN3910">
        <v>0</v>
      </c>
      <c r="AO3910" t="s">
        <v>54</v>
      </c>
      <c r="AP3910" t="s">
        <v>53</v>
      </c>
      <c r="AQ3910">
        <v>0</v>
      </c>
      <c r="AR3910" t="s">
        <v>53</v>
      </c>
      <c r="AS3910">
        <v>0</v>
      </c>
      <c r="AT3910">
        <v>0</v>
      </c>
      <c r="CC3910" t="s">
        <v>555</v>
      </c>
      <c r="CD3910">
        <v>85000</v>
      </c>
      <c r="CE3910" s="1">
        <v>42552</v>
      </c>
      <c r="CF3910" s="1">
        <v>42552</v>
      </c>
      <c r="CG3910" s="1">
        <v>42552</v>
      </c>
      <c r="CH3910" s="1">
        <v>49714</v>
      </c>
      <c r="CI3910" t="s">
        <v>51</v>
      </c>
      <c r="CK3910" t="s">
        <v>78</v>
      </c>
      <c r="CM3910" t="s">
        <v>54</v>
      </c>
      <c r="CN3910" t="s">
        <v>174</v>
      </c>
      <c r="CO3910" t="s">
        <v>86</v>
      </c>
      <c r="CR3910">
        <v>20</v>
      </c>
      <c r="CS3910">
        <v>0</v>
      </c>
      <c r="CT3910">
        <v>0</v>
      </c>
      <c r="CU3910">
        <v>0</v>
      </c>
    </row>
    <row r="3911" spans="1:99" x14ac:dyDescent="0.2">
      <c r="A3911" t="s">
        <v>367</v>
      </c>
      <c r="B3911" t="s">
        <v>368</v>
      </c>
      <c r="C3911" t="s">
        <v>369</v>
      </c>
      <c r="D3911" t="s">
        <v>1867</v>
      </c>
      <c r="F3911" t="str">
        <f>"165661"</f>
        <v>165661</v>
      </c>
      <c r="G3911" t="s">
        <v>49</v>
      </c>
      <c r="H3911" t="s">
        <v>1877</v>
      </c>
      <c r="K3911" t="s">
        <v>51</v>
      </c>
      <c r="L3911" t="s">
        <v>52</v>
      </c>
      <c r="M3911">
        <v>137495.38</v>
      </c>
      <c r="N3911">
        <v>468496.98</v>
      </c>
      <c r="O3911" t="s">
        <v>53</v>
      </c>
      <c r="P3911" t="s">
        <v>54</v>
      </c>
      <c r="Q3911" t="s">
        <v>55</v>
      </c>
      <c r="T3911" t="s">
        <v>241</v>
      </c>
      <c r="U3911">
        <v>40</v>
      </c>
      <c r="V3911" s="1">
        <v>37334</v>
      </c>
      <c r="W3911" s="1">
        <v>37334</v>
      </c>
      <c r="X3911" s="1">
        <v>37334</v>
      </c>
      <c r="Y3911" s="1">
        <v>51944</v>
      </c>
      <c r="Z3911" t="s">
        <v>51</v>
      </c>
      <c r="AB3911" t="s">
        <v>54</v>
      </c>
      <c r="AC3911">
        <v>1</v>
      </c>
      <c r="AE3911" t="s">
        <v>825</v>
      </c>
      <c r="AF3911">
        <v>20</v>
      </c>
      <c r="AG3911" s="1">
        <v>37334</v>
      </c>
      <c r="AH3911" s="1">
        <v>37334</v>
      </c>
      <c r="AI3911" s="1">
        <v>37334</v>
      </c>
      <c r="AJ3911" s="1">
        <v>44639</v>
      </c>
      <c r="AK3911" t="s">
        <v>51</v>
      </c>
      <c r="AN3911">
        <v>0</v>
      </c>
      <c r="AO3911" t="s">
        <v>54</v>
      </c>
      <c r="AP3911" t="s">
        <v>53</v>
      </c>
      <c r="AQ3911">
        <v>0</v>
      </c>
      <c r="AR3911" t="s">
        <v>53</v>
      </c>
      <c r="AS3911">
        <v>0</v>
      </c>
      <c r="AT3911">
        <v>0</v>
      </c>
      <c r="CC3911" t="s">
        <v>555</v>
      </c>
      <c r="CD3911">
        <v>85000</v>
      </c>
      <c r="CE3911" s="1">
        <v>42552</v>
      </c>
      <c r="CF3911" s="1">
        <v>42552</v>
      </c>
      <c r="CG3911" s="1">
        <v>42552</v>
      </c>
      <c r="CH3911" s="1">
        <v>49714</v>
      </c>
      <c r="CI3911" t="s">
        <v>51</v>
      </c>
      <c r="CK3911" t="s">
        <v>78</v>
      </c>
      <c r="CM3911" t="s">
        <v>54</v>
      </c>
      <c r="CN3911" t="s">
        <v>174</v>
      </c>
      <c r="CO3911" t="s">
        <v>86</v>
      </c>
      <c r="CR3911">
        <v>20</v>
      </c>
      <c r="CS3911">
        <v>0</v>
      </c>
      <c r="CT3911">
        <v>0</v>
      </c>
      <c r="CU3911">
        <v>0</v>
      </c>
    </row>
    <row r="3912" spans="1:99" x14ac:dyDescent="0.2">
      <c r="A3912" t="s">
        <v>367</v>
      </c>
      <c r="B3912" t="s">
        <v>368</v>
      </c>
      <c r="C3912" t="s">
        <v>369</v>
      </c>
      <c r="D3912" t="s">
        <v>1867</v>
      </c>
      <c r="F3912" t="str">
        <f>"165662"</f>
        <v>165662</v>
      </c>
      <c r="G3912" t="s">
        <v>49</v>
      </c>
      <c r="H3912" t="s">
        <v>1878</v>
      </c>
      <c r="K3912" t="s">
        <v>51</v>
      </c>
      <c r="L3912" t="s">
        <v>52</v>
      </c>
      <c r="M3912">
        <v>137509.01999999999</v>
      </c>
      <c r="N3912">
        <v>468481.87</v>
      </c>
      <c r="O3912" t="s">
        <v>53</v>
      </c>
      <c r="P3912" t="s">
        <v>54</v>
      </c>
      <c r="Q3912" t="s">
        <v>55</v>
      </c>
      <c r="T3912" t="s">
        <v>241</v>
      </c>
      <c r="U3912">
        <v>40</v>
      </c>
      <c r="V3912" s="1">
        <v>37334</v>
      </c>
      <c r="W3912" s="1">
        <v>37334</v>
      </c>
      <c r="X3912" s="1">
        <v>37334</v>
      </c>
      <c r="Y3912" s="1">
        <v>51944</v>
      </c>
      <c r="Z3912" t="s">
        <v>51</v>
      </c>
      <c r="AB3912" t="s">
        <v>54</v>
      </c>
      <c r="AC3912">
        <v>1</v>
      </c>
      <c r="AE3912" t="s">
        <v>825</v>
      </c>
      <c r="AF3912">
        <v>20</v>
      </c>
      <c r="AG3912" s="1">
        <v>37334</v>
      </c>
      <c r="AH3912" s="1">
        <v>37334</v>
      </c>
      <c r="AI3912" s="1">
        <v>37334</v>
      </c>
      <c r="AJ3912" s="1">
        <v>44639</v>
      </c>
      <c r="AK3912" t="s">
        <v>51</v>
      </c>
      <c r="AN3912">
        <v>0</v>
      </c>
      <c r="AO3912" t="s">
        <v>54</v>
      </c>
      <c r="AP3912" t="s">
        <v>53</v>
      </c>
      <c r="AQ3912">
        <v>0</v>
      </c>
      <c r="AR3912" t="s">
        <v>53</v>
      </c>
      <c r="AS3912">
        <v>0</v>
      </c>
      <c r="AT3912">
        <v>0</v>
      </c>
      <c r="CC3912" t="s">
        <v>555</v>
      </c>
      <c r="CD3912">
        <v>85000</v>
      </c>
      <c r="CE3912" s="1">
        <v>42552</v>
      </c>
      <c r="CF3912" s="1">
        <v>42552</v>
      </c>
      <c r="CG3912" s="1">
        <v>42552</v>
      </c>
      <c r="CH3912" s="1">
        <v>49714</v>
      </c>
      <c r="CI3912" t="s">
        <v>51</v>
      </c>
      <c r="CK3912" t="s">
        <v>78</v>
      </c>
      <c r="CM3912" t="s">
        <v>54</v>
      </c>
      <c r="CN3912" t="s">
        <v>174</v>
      </c>
      <c r="CO3912" t="s">
        <v>86</v>
      </c>
      <c r="CR3912">
        <v>20</v>
      </c>
      <c r="CS3912">
        <v>0</v>
      </c>
      <c r="CT3912">
        <v>0</v>
      </c>
      <c r="CU3912">
        <v>0</v>
      </c>
    </row>
    <row r="3913" spans="1:99" x14ac:dyDescent="0.2">
      <c r="A3913" t="s">
        <v>367</v>
      </c>
      <c r="B3913" t="s">
        <v>368</v>
      </c>
      <c r="C3913" t="s">
        <v>1733</v>
      </c>
      <c r="D3913" t="s">
        <v>369</v>
      </c>
      <c r="F3913" t="str">
        <f>"165666"</f>
        <v>165666</v>
      </c>
      <c r="G3913" t="s">
        <v>49</v>
      </c>
      <c r="H3913" t="s">
        <v>1750</v>
      </c>
      <c r="K3913" t="s">
        <v>51</v>
      </c>
      <c r="L3913" t="s">
        <v>52</v>
      </c>
      <c r="M3913">
        <v>135056.45000000001</v>
      </c>
      <c r="N3913">
        <v>466673.27</v>
      </c>
      <c r="O3913" t="s">
        <v>53</v>
      </c>
      <c r="P3913" t="s">
        <v>54</v>
      </c>
      <c r="Q3913" t="s">
        <v>55</v>
      </c>
      <c r="T3913" t="s">
        <v>376</v>
      </c>
      <c r="U3913">
        <v>40</v>
      </c>
      <c r="V3913" s="1">
        <v>37258</v>
      </c>
      <c r="W3913" s="1">
        <v>37258</v>
      </c>
      <c r="X3913" s="1">
        <v>37258</v>
      </c>
      <c r="Y3913" s="1">
        <v>51868</v>
      </c>
      <c r="Z3913" t="s">
        <v>51</v>
      </c>
      <c r="AB3913" t="s">
        <v>54</v>
      </c>
      <c r="AC3913">
        <v>1</v>
      </c>
      <c r="AE3913" t="s">
        <v>814</v>
      </c>
      <c r="AF3913">
        <v>20</v>
      </c>
      <c r="AG3913" s="1">
        <v>37258</v>
      </c>
      <c r="AH3913" s="1">
        <v>37258</v>
      </c>
      <c r="AI3913" s="1">
        <v>37258</v>
      </c>
      <c r="AJ3913" s="1">
        <v>44563</v>
      </c>
      <c r="AK3913" t="s">
        <v>51</v>
      </c>
      <c r="AN3913">
        <v>0</v>
      </c>
      <c r="AO3913" t="s">
        <v>54</v>
      </c>
      <c r="AP3913" t="s">
        <v>53</v>
      </c>
      <c r="AQ3913">
        <v>0</v>
      </c>
      <c r="AR3913" t="s">
        <v>53</v>
      </c>
      <c r="AS3913">
        <v>0</v>
      </c>
      <c r="AT3913">
        <v>0</v>
      </c>
      <c r="CC3913" t="s">
        <v>439</v>
      </c>
      <c r="CD3913">
        <v>85000</v>
      </c>
      <c r="CE3913" s="1">
        <v>42552</v>
      </c>
      <c r="CF3913" s="1">
        <v>42552</v>
      </c>
      <c r="CG3913" s="1">
        <v>42552</v>
      </c>
      <c r="CH3913" s="1">
        <v>49714</v>
      </c>
      <c r="CI3913" t="s">
        <v>51</v>
      </c>
      <c r="CK3913" t="s">
        <v>78</v>
      </c>
      <c r="CM3913" t="s">
        <v>54</v>
      </c>
      <c r="CN3913" t="s">
        <v>174</v>
      </c>
      <c r="CO3913" t="s">
        <v>86</v>
      </c>
      <c r="CR3913">
        <v>25</v>
      </c>
      <c r="CS3913">
        <v>0</v>
      </c>
      <c r="CT3913">
        <v>0</v>
      </c>
      <c r="CU3913">
        <v>0</v>
      </c>
    </row>
    <row r="3914" spans="1:99" x14ac:dyDescent="0.2">
      <c r="A3914" t="s">
        <v>367</v>
      </c>
      <c r="B3914" t="s">
        <v>368</v>
      </c>
      <c r="C3914" t="s">
        <v>369</v>
      </c>
      <c r="D3914" t="s">
        <v>369</v>
      </c>
      <c r="F3914" t="str">
        <f>"165667"</f>
        <v>165667</v>
      </c>
      <c r="G3914" t="s">
        <v>49</v>
      </c>
      <c r="H3914" t="s">
        <v>1808</v>
      </c>
      <c r="K3914" t="s">
        <v>51</v>
      </c>
      <c r="L3914" t="s">
        <v>52</v>
      </c>
      <c r="M3914">
        <v>137495.07999999999</v>
      </c>
      <c r="N3914">
        <v>468361.54</v>
      </c>
      <c r="O3914" t="s">
        <v>53</v>
      </c>
      <c r="P3914" t="s">
        <v>54</v>
      </c>
      <c r="Q3914" t="s">
        <v>55</v>
      </c>
      <c r="T3914" t="s">
        <v>376</v>
      </c>
      <c r="U3914">
        <v>40</v>
      </c>
      <c r="V3914" s="1">
        <v>37257</v>
      </c>
      <c r="W3914" s="1">
        <v>37257</v>
      </c>
      <c r="X3914" s="1">
        <v>37257</v>
      </c>
      <c r="Y3914" s="1">
        <v>51867</v>
      </c>
      <c r="Z3914" t="s">
        <v>51</v>
      </c>
      <c r="AB3914" t="s">
        <v>54</v>
      </c>
      <c r="AC3914">
        <v>1</v>
      </c>
      <c r="AE3914" t="s">
        <v>814</v>
      </c>
      <c r="AF3914">
        <v>20</v>
      </c>
      <c r="AG3914" s="1">
        <v>37257</v>
      </c>
      <c r="AH3914" s="1">
        <v>37257</v>
      </c>
      <c r="AI3914" s="1">
        <v>37257</v>
      </c>
      <c r="AJ3914" s="1">
        <v>44562</v>
      </c>
      <c r="AK3914" t="s">
        <v>51</v>
      </c>
      <c r="AN3914">
        <v>0</v>
      </c>
      <c r="AO3914" t="s">
        <v>54</v>
      </c>
      <c r="AP3914" t="s">
        <v>53</v>
      </c>
      <c r="AQ3914">
        <v>0</v>
      </c>
      <c r="AR3914" t="s">
        <v>53</v>
      </c>
      <c r="AS3914">
        <v>0</v>
      </c>
      <c r="AT3914">
        <v>0</v>
      </c>
      <c r="CC3914" t="s">
        <v>439</v>
      </c>
      <c r="CD3914">
        <v>85000</v>
      </c>
      <c r="CE3914" s="1">
        <v>42552</v>
      </c>
      <c r="CF3914" s="1">
        <v>42552</v>
      </c>
      <c r="CG3914" s="1">
        <v>42552</v>
      </c>
      <c r="CH3914" s="1">
        <v>49714</v>
      </c>
      <c r="CI3914" t="s">
        <v>51</v>
      </c>
      <c r="CK3914" t="s">
        <v>78</v>
      </c>
      <c r="CM3914" t="s">
        <v>54</v>
      </c>
      <c r="CN3914" t="s">
        <v>174</v>
      </c>
      <c r="CO3914" t="s">
        <v>86</v>
      </c>
      <c r="CR3914">
        <v>25</v>
      </c>
      <c r="CS3914">
        <v>0</v>
      </c>
      <c r="CT3914">
        <v>0</v>
      </c>
      <c r="CU3914">
        <v>0</v>
      </c>
    </row>
    <row r="3915" spans="1:99" x14ac:dyDescent="0.2">
      <c r="A3915" t="s">
        <v>367</v>
      </c>
      <c r="B3915" t="s">
        <v>368</v>
      </c>
      <c r="C3915" t="s">
        <v>369</v>
      </c>
      <c r="D3915" t="s">
        <v>369</v>
      </c>
      <c r="F3915" t="str">
        <f>"165668"</f>
        <v>165668</v>
      </c>
      <c r="G3915" t="s">
        <v>49</v>
      </c>
      <c r="H3915" t="s">
        <v>1879</v>
      </c>
      <c r="K3915" t="s">
        <v>51</v>
      </c>
      <c r="L3915" t="s">
        <v>52</v>
      </c>
      <c r="M3915">
        <v>137456.6</v>
      </c>
      <c r="N3915">
        <v>468412.15999999997</v>
      </c>
      <c r="O3915" t="s">
        <v>53</v>
      </c>
      <c r="P3915" t="s">
        <v>54</v>
      </c>
      <c r="Q3915" t="s">
        <v>55</v>
      </c>
      <c r="T3915" t="s">
        <v>376</v>
      </c>
      <c r="U3915">
        <v>40</v>
      </c>
      <c r="V3915" s="1">
        <v>37257</v>
      </c>
      <c r="W3915" s="1">
        <v>37257</v>
      </c>
      <c r="X3915" s="1">
        <v>37257</v>
      </c>
      <c r="Y3915" s="1">
        <v>51867</v>
      </c>
      <c r="Z3915" t="s">
        <v>51</v>
      </c>
      <c r="AB3915" t="s">
        <v>54</v>
      </c>
      <c r="AC3915">
        <v>1</v>
      </c>
      <c r="AE3915" t="s">
        <v>814</v>
      </c>
      <c r="AF3915">
        <v>20</v>
      </c>
      <c r="AG3915" s="1">
        <v>37257</v>
      </c>
      <c r="AH3915" s="1">
        <v>37257</v>
      </c>
      <c r="AI3915" s="1">
        <v>37257</v>
      </c>
      <c r="AJ3915" s="1">
        <v>44562</v>
      </c>
      <c r="AK3915" t="s">
        <v>51</v>
      </c>
      <c r="AN3915">
        <v>0</v>
      </c>
      <c r="AO3915" t="s">
        <v>54</v>
      </c>
      <c r="AP3915" t="s">
        <v>53</v>
      </c>
      <c r="AQ3915">
        <v>0</v>
      </c>
      <c r="AR3915" t="s">
        <v>53</v>
      </c>
      <c r="AS3915">
        <v>0</v>
      </c>
      <c r="AT3915">
        <v>0</v>
      </c>
      <c r="CC3915" t="s">
        <v>439</v>
      </c>
      <c r="CD3915">
        <v>85000</v>
      </c>
      <c r="CE3915" s="1">
        <v>42552</v>
      </c>
      <c r="CF3915" s="1">
        <v>42552</v>
      </c>
      <c r="CG3915" s="1">
        <v>42552</v>
      </c>
      <c r="CH3915" s="1">
        <v>49714</v>
      </c>
      <c r="CI3915" t="s">
        <v>51</v>
      </c>
      <c r="CK3915" t="s">
        <v>78</v>
      </c>
      <c r="CM3915" t="s">
        <v>54</v>
      </c>
      <c r="CN3915" t="s">
        <v>174</v>
      </c>
      <c r="CO3915" t="s">
        <v>86</v>
      </c>
      <c r="CR3915">
        <v>25</v>
      </c>
      <c r="CS3915">
        <v>0</v>
      </c>
      <c r="CT3915">
        <v>0</v>
      </c>
      <c r="CU3915">
        <v>0</v>
      </c>
    </row>
    <row r="3916" spans="1:99" x14ac:dyDescent="0.2">
      <c r="A3916" t="s">
        <v>367</v>
      </c>
      <c r="B3916" t="s">
        <v>368</v>
      </c>
      <c r="C3916" t="s">
        <v>369</v>
      </c>
      <c r="D3916" t="s">
        <v>369</v>
      </c>
      <c r="F3916" t="str">
        <f>"165669"</f>
        <v>165669</v>
      </c>
      <c r="G3916" t="s">
        <v>49</v>
      </c>
      <c r="H3916" t="s">
        <v>1880</v>
      </c>
      <c r="K3916" t="s">
        <v>51</v>
      </c>
      <c r="L3916" t="s">
        <v>52</v>
      </c>
      <c r="M3916">
        <v>137373.10999999999</v>
      </c>
      <c r="N3916">
        <v>468501.88</v>
      </c>
      <c r="O3916" t="s">
        <v>53</v>
      </c>
      <c r="P3916" t="s">
        <v>54</v>
      </c>
      <c r="Q3916" t="s">
        <v>55</v>
      </c>
      <c r="T3916" t="s">
        <v>376</v>
      </c>
      <c r="U3916">
        <v>40</v>
      </c>
      <c r="V3916" s="1">
        <v>37257</v>
      </c>
      <c r="W3916" s="1">
        <v>37257</v>
      </c>
      <c r="X3916" s="1">
        <v>37257</v>
      </c>
      <c r="Y3916" s="1">
        <v>51867</v>
      </c>
      <c r="Z3916" t="s">
        <v>51</v>
      </c>
      <c r="AB3916" t="s">
        <v>54</v>
      </c>
      <c r="AC3916">
        <v>1</v>
      </c>
      <c r="AE3916" t="s">
        <v>814</v>
      </c>
      <c r="AF3916">
        <v>20</v>
      </c>
      <c r="AG3916" s="1">
        <v>37257</v>
      </c>
      <c r="AH3916" s="1">
        <v>37257</v>
      </c>
      <c r="AI3916" s="1">
        <v>37257</v>
      </c>
      <c r="AJ3916" s="1">
        <v>44562</v>
      </c>
      <c r="AK3916" t="s">
        <v>51</v>
      </c>
      <c r="AN3916">
        <v>0</v>
      </c>
      <c r="AO3916" t="s">
        <v>54</v>
      </c>
      <c r="AP3916" t="s">
        <v>53</v>
      </c>
      <c r="AQ3916">
        <v>0</v>
      </c>
      <c r="AR3916" t="s">
        <v>53</v>
      </c>
      <c r="AS3916">
        <v>0</v>
      </c>
      <c r="AT3916">
        <v>0</v>
      </c>
      <c r="CC3916" t="s">
        <v>439</v>
      </c>
      <c r="CD3916">
        <v>85000</v>
      </c>
      <c r="CE3916" s="1">
        <v>42552</v>
      </c>
      <c r="CF3916" s="1">
        <v>42552</v>
      </c>
      <c r="CG3916" s="1">
        <v>42552</v>
      </c>
      <c r="CH3916" s="1">
        <v>49714</v>
      </c>
      <c r="CI3916" t="s">
        <v>51</v>
      </c>
      <c r="CK3916" t="s">
        <v>78</v>
      </c>
      <c r="CM3916" t="s">
        <v>54</v>
      </c>
      <c r="CN3916" t="s">
        <v>174</v>
      </c>
      <c r="CO3916" t="s">
        <v>86</v>
      </c>
      <c r="CR3916">
        <v>25</v>
      </c>
      <c r="CS3916">
        <v>0</v>
      </c>
      <c r="CT3916">
        <v>0</v>
      </c>
      <c r="CU3916">
        <v>0</v>
      </c>
    </row>
    <row r="3917" spans="1:99" x14ac:dyDescent="0.2">
      <c r="A3917" t="s">
        <v>367</v>
      </c>
      <c r="B3917" t="s">
        <v>368</v>
      </c>
      <c r="C3917" t="s">
        <v>369</v>
      </c>
      <c r="D3917" t="s">
        <v>369</v>
      </c>
      <c r="F3917" t="str">
        <f>"165670"</f>
        <v>165670</v>
      </c>
      <c r="G3917" t="s">
        <v>49</v>
      </c>
      <c r="H3917" t="s">
        <v>1881</v>
      </c>
      <c r="K3917" t="s">
        <v>51</v>
      </c>
      <c r="L3917" t="s">
        <v>52</v>
      </c>
      <c r="M3917">
        <v>137393.60000000001</v>
      </c>
      <c r="N3917">
        <v>468481.6</v>
      </c>
      <c r="O3917" t="s">
        <v>53</v>
      </c>
      <c r="P3917" t="s">
        <v>54</v>
      </c>
      <c r="Q3917" t="s">
        <v>55</v>
      </c>
      <c r="T3917" t="s">
        <v>376</v>
      </c>
      <c r="U3917">
        <v>40</v>
      </c>
      <c r="V3917" s="1">
        <v>37257</v>
      </c>
      <c r="W3917" s="1">
        <v>37257</v>
      </c>
      <c r="X3917" s="1">
        <v>37257</v>
      </c>
      <c r="Y3917" s="1">
        <v>51867</v>
      </c>
      <c r="Z3917" t="s">
        <v>51</v>
      </c>
      <c r="AB3917" t="s">
        <v>54</v>
      </c>
      <c r="AC3917">
        <v>1</v>
      </c>
      <c r="AE3917" t="s">
        <v>814</v>
      </c>
      <c r="AF3917">
        <v>20</v>
      </c>
      <c r="AG3917" s="1">
        <v>37257</v>
      </c>
      <c r="AH3917" s="1">
        <v>37257</v>
      </c>
      <c r="AI3917" s="1">
        <v>37257</v>
      </c>
      <c r="AJ3917" s="1">
        <v>44562</v>
      </c>
      <c r="AK3917" t="s">
        <v>51</v>
      </c>
      <c r="AN3917">
        <v>0</v>
      </c>
      <c r="AO3917" t="s">
        <v>54</v>
      </c>
      <c r="AP3917" t="s">
        <v>53</v>
      </c>
      <c r="AQ3917">
        <v>0</v>
      </c>
      <c r="AR3917" t="s">
        <v>53</v>
      </c>
      <c r="AS3917">
        <v>0</v>
      </c>
      <c r="AT3917">
        <v>0</v>
      </c>
      <c r="CC3917" t="s">
        <v>439</v>
      </c>
      <c r="CD3917">
        <v>85000</v>
      </c>
      <c r="CE3917" s="1">
        <v>42552</v>
      </c>
      <c r="CF3917" s="1">
        <v>42552</v>
      </c>
      <c r="CG3917" s="1">
        <v>42552</v>
      </c>
      <c r="CH3917" s="1">
        <v>49714</v>
      </c>
      <c r="CI3917" t="s">
        <v>51</v>
      </c>
      <c r="CK3917" t="s">
        <v>78</v>
      </c>
      <c r="CM3917" t="s">
        <v>54</v>
      </c>
      <c r="CN3917" t="s">
        <v>174</v>
      </c>
      <c r="CO3917" t="s">
        <v>86</v>
      </c>
      <c r="CR3917">
        <v>25</v>
      </c>
      <c r="CS3917">
        <v>0</v>
      </c>
      <c r="CT3917">
        <v>0</v>
      </c>
      <c r="CU3917">
        <v>0</v>
      </c>
    </row>
    <row r="3918" spans="1:99" x14ac:dyDescent="0.2">
      <c r="A3918" t="s">
        <v>367</v>
      </c>
      <c r="B3918" t="s">
        <v>368</v>
      </c>
      <c r="C3918" t="s">
        <v>369</v>
      </c>
      <c r="D3918" t="s">
        <v>369</v>
      </c>
      <c r="F3918" t="str">
        <f>"165671"</f>
        <v>165671</v>
      </c>
      <c r="G3918" t="s">
        <v>49</v>
      </c>
      <c r="H3918" t="s">
        <v>1882</v>
      </c>
      <c r="K3918" t="s">
        <v>51</v>
      </c>
      <c r="L3918" t="s">
        <v>52</v>
      </c>
      <c r="M3918">
        <v>137415.32</v>
      </c>
      <c r="N3918">
        <v>468460.02</v>
      </c>
      <c r="O3918" t="s">
        <v>53</v>
      </c>
      <c r="P3918" t="s">
        <v>54</v>
      </c>
      <c r="Q3918" t="s">
        <v>55</v>
      </c>
      <c r="T3918" t="s">
        <v>376</v>
      </c>
      <c r="U3918">
        <v>40</v>
      </c>
      <c r="V3918" s="1">
        <v>37257</v>
      </c>
      <c r="W3918" s="1">
        <v>37257</v>
      </c>
      <c r="X3918" s="1">
        <v>37257</v>
      </c>
      <c r="Y3918" s="1">
        <v>51867</v>
      </c>
      <c r="Z3918" t="s">
        <v>51</v>
      </c>
      <c r="AB3918" t="s">
        <v>54</v>
      </c>
      <c r="AC3918">
        <v>1</v>
      </c>
      <c r="AE3918" t="s">
        <v>814</v>
      </c>
      <c r="AF3918">
        <v>20</v>
      </c>
      <c r="AG3918" s="1">
        <v>37257</v>
      </c>
      <c r="AH3918" s="1">
        <v>37257</v>
      </c>
      <c r="AI3918" s="1">
        <v>37257</v>
      </c>
      <c r="AJ3918" s="1">
        <v>44562</v>
      </c>
      <c r="AK3918" t="s">
        <v>51</v>
      </c>
      <c r="AN3918">
        <v>0</v>
      </c>
      <c r="AO3918" t="s">
        <v>54</v>
      </c>
      <c r="AP3918" t="s">
        <v>53</v>
      </c>
      <c r="AQ3918">
        <v>0</v>
      </c>
      <c r="AR3918" t="s">
        <v>53</v>
      </c>
      <c r="AS3918">
        <v>0</v>
      </c>
      <c r="AT3918">
        <v>0</v>
      </c>
      <c r="CC3918" t="s">
        <v>439</v>
      </c>
      <c r="CD3918">
        <v>85000</v>
      </c>
      <c r="CE3918" s="1">
        <v>42552</v>
      </c>
      <c r="CF3918" s="1">
        <v>42552</v>
      </c>
      <c r="CG3918" s="1">
        <v>42552</v>
      </c>
      <c r="CH3918" s="1">
        <v>49714</v>
      </c>
      <c r="CI3918" t="s">
        <v>51</v>
      </c>
      <c r="CK3918" t="s">
        <v>78</v>
      </c>
      <c r="CM3918" t="s">
        <v>54</v>
      </c>
      <c r="CN3918" t="s">
        <v>174</v>
      </c>
      <c r="CO3918" t="s">
        <v>86</v>
      </c>
      <c r="CR3918">
        <v>25</v>
      </c>
      <c r="CS3918">
        <v>0</v>
      </c>
      <c r="CT3918">
        <v>0</v>
      </c>
      <c r="CU3918">
        <v>0</v>
      </c>
    </row>
    <row r="3919" spans="1:99" x14ac:dyDescent="0.2">
      <c r="A3919" t="s">
        <v>367</v>
      </c>
      <c r="B3919" t="s">
        <v>368</v>
      </c>
      <c r="C3919" t="s">
        <v>369</v>
      </c>
      <c r="D3919" t="s">
        <v>369</v>
      </c>
      <c r="F3919" t="str">
        <f>"165672"</f>
        <v>165672</v>
      </c>
      <c r="G3919" t="s">
        <v>49</v>
      </c>
      <c r="H3919" t="s">
        <v>1879</v>
      </c>
      <c r="K3919" t="s">
        <v>51</v>
      </c>
      <c r="L3919" t="s">
        <v>52</v>
      </c>
      <c r="M3919">
        <v>137427.76</v>
      </c>
      <c r="N3919">
        <v>468433.72</v>
      </c>
      <c r="O3919" t="s">
        <v>53</v>
      </c>
      <c r="P3919" t="s">
        <v>54</v>
      </c>
      <c r="Q3919" t="s">
        <v>55</v>
      </c>
      <c r="T3919" t="s">
        <v>376</v>
      </c>
      <c r="U3919">
        <v>40</v>
      </c>
      <c r="V3919" s="1">
        <v>37257</v>
      </c>
      <c r="W3919" s="1">
        <v>37257</v>
      </c>
      <c r="X3919" s="1">
        <v>37257</v>
      </c>
      <c r="Y3919" s="1">
        <v>51867</v>
      </c>
      <c r="Z3919" t="s">
        <v>51</v>
      </c>
      <c r="AB3919" t="s">
        <v>54</v>
      </c>
      <c r="AC3919">
        <v>1</v>
      </c>
      <c r="AE3919" t="s">
        <v>814</v>
      </c>
      <c r="AF3919">
        <v>20</v>
      </c>
      <c r="AG3919" s="1">
        <v>37257</v>
      </c>
      <c r="AH3919" s="1">
        <v>37257</v>
      </c>
      <c r="AI3919" s="1">
        <v>37257</v>
      </c>
      <c r="AJ3919" s="1">
        <v>44562</v>
      </c>
      <c r="AK3919" t="s">
        <v>51</v>
      </c>
      <c r="AN3919">
        <v>0</v>
      </c>
      <c r="AO3919" t="s">
        <v>54</v>
      </c>
      <c r="AP3919" t="s">
        <v>53</v>
      </c>
      <c r="AQ3919">
        <v>0</v>
      </c>
      <c r="AR3919" t="s">
        <v>53</v>
      </c>
      <c r="AS3919">
        <v>0</v>
      </c>
      <c r="AT3919">
        <v>0</v>
      </c>
      <c r="CC3919" t="s">
        <v>439</v>
      </c>
      <c r="CD3919">
        <v>85000</v>
      </c>
      <c r="CE3919" s="1">
        <v>42552</v>
      </c>
      <c r="CF3919" s="1">
        <v>42552</v>
      </c>
      <c r="CG3919" s="1">
        <v>42552</v>
      </c>
      <c r="CH3919" s="1">
        <v>49714</v>
      </c>
      <c r="CI3919" t="s">
        <v>51</v>
      </c>
      <c r="CK3919" t="s">
        <v>78</v>
      </c>
      <c r="CM3919" t="s">
        <v>54</v>
      </c>
      <c r="CN3919" t="s">
        <v>174</v>
      </c>
      <c r="CO3919" t="s">
        <v>86</v>
      </c>
      <c r="CR3919">
        <v>25</v>
      </c>
      <c r="CS3919">
        <v>0</v>
      </c>
      <c r="CT3919">
        <v>0</v>
      </c>
      <c r="CU3919">
        <v>0</v>
      </c>
    </row>
    <row r="3920" spans="1:99" x14ac:dyDescent="0.2">
      <c r="A3920" t="s">
        <v>367</v>
      </c>
      <c r="B3920" t="s">
        <v>368</v>
      </c>
      <c r="C3920" t="s">
        <v>369</v>
      </c>
      <c r="D3920" t="s">
        <v>369</v>
      </c>
      <c r="F3920" t="str">
        <f>"165673"</f>
        <v>165673</v>
      </c>
      <c r="G3920" t="s">
        <v>49</v>
      </c>
      <c r="H3920" t="s">
        <v>1879</v>
      </c>
      <c r="K3920" t="s">
        <v>51</v>
      </c>
      <c r="L3920" t="s">
        <v>52</v>
      </c>
      <c r="M3920">
        <v>137468.82999999999</v>
      </c>
      <c r="N3920">
        <v>468382.42</v>
      </c>
      <c r="O3920" t="s">
        <v>53</v>
      </c>
      <c r="P3920" t="s">
        <v>54</v>
      </c>
      <c r="Q3920" t="s">
        <v>55</v>
      </c>
      <c r="T3920" t="s">
        <v>376</v>
      </c>
      <c r="U3920">
        <v>40</v>
      </c>
      <c r="V3920" s="1">
        <v>37257</v>
      </c>
      <c r="W3920" s="1">
        <v>37257</v>
      </c>
      <c r="X3920" s="1">
        <v>37257</v>
      </c>
      <c r="Y3920" s="1">
        <v>51867</v>
      </c>
      <c r="Z3920" t="s">
        <v>51</v>
      </c>
      <c r="AB3920" t="s">
        <v>54</v>
      </c>
      <c r="AC3920">
        <v>1</v>
      </c>
      <c r="AE3920" t="s">
        <v>814</v>
      </c>
      <c r="AF3920">
        <v>20</v>
      </c>
      <c r="AG3920" s="1">
        <v>37257</v>
      </c>
      <c r="AH3920" s="1">
        <v>37257</v>
      </c>
      <c r="AI3920" s="1">
        <v>37257</v>
      </c>
      <c r="AJ3920" s="1">
        <v>44562</v>
      </c>
      <c r="AK3920" t="s">
        <v>51</v>
      </c>
      <c r="AN3920">
        <v>0</v>
      </c>
      <c r="AO3920" t="s">
        <v>54</v>
      </c>
      <c r="AP3920" t="s">
        <v>53</v>
      </c>
      <c r="AQ3920">
        <v>0</v>
      </c>
      <c r="AR3920" t="s">
        <v>53</v>
      </c>
      <c r="AS3920">
        <v>0</v>
      </c>
      <c r="AT3920">
        <v>0</v>
      </c>
      <c r="CC3920" t="s">
        <v>439</v>
      </c>
      <c r="CD3920">
        <v>85000</v>
      </c>
      <c r="CE3920" s="1">
        <v>42552</v>
      </c>
      <c r="CF3920" s="1">
        <v>42552</v>
      </c>
      <c r="CG3920" s="1">
        <v>42552</v>
      </c>
      <c r="CH3920" s="1">
        <v>49714</v>
      </c>
      <c r="CI3920" t="s">
        <v>51</v>
      </c>
      <c r="CK3920" t="s">
        <v>78</v>
      </c>
      <c r="CM3920" t="s">
        <v>54</v>
      </c>
      <c r="CN3920" t="s">
        <v>174</v>
      </c>
      <c r="CO3920" t="s">
        <v>86</v>
      </c>
      <c r="CR3920">
        <v>25</v>
      </c>
      <c r="CS3920">
        <v>0</v>
      </c>
      <c r="CT3920">
        <v>0</v>
      </c>
      <c r="CU3920">
        <v>0</v>
      </c>
    </row>
    <row r="3921" spans="1:99" x14ac:dyDescent="0.2">
      <c r="A3921" t="s">
        <v>367</v>
      </c>
      <c r="B3921" t="s">
        <v>368</v>
      </c>
      <c r="C3921" t="s">
        <v>369</v>
      </c>
      <c r="D3921" t="s">
        <v>369</v>
      </c>
      <c r="F3921" t="str">
        <f>"165674"</f>
        <v>165674</v>
      </c>
      <c r="G3921" t="s">
        <v>49</v>
      </c>
      <c r="H3921" t="s">
        <v>1808</v>
      </c>
      <c r="K3921" t="s">
        <v>51</v>
      </c>
      <c r="L3921" t="s">
        <v>52</v>
      </c>
      <c r="M3921">
        <v>137506.95000000001</v>
      </c>
      <c r="N3921">
        <v>468332.96</v>
      </c>
      <c r="O3921" t="s">
        <v>53</v>
      </c>
      <c r="P3921" t="s">
        <v>54</v>
      </c>
      <c r="Q3921" t="s">
        <v>55</v>
      </c>
      <c r="T3921" t="s">
        <v>376</v>
      </c>
      <c r="U3921">
        <v>40</v>
      </c>
      <c r="V3921" s="1">
        <v>37257</v>
      </c>
      <c r="W3921" s="1">
        <v>37257</v>
      </c>
      <c r="X3921" s="1">
        <v>37257</v>
      </c>
      <c r="Y3921" s="1">
        <v>51867</v>
      </c>
      <c r="Z3921" t="s">
        <v>51</v>
      </c>
      <c r="AB3921" t="s">
        <v>54</v>
      </c>
      <c r="AC3921">
        <v>1</v>
      </c>
      <c r="AE3921" t="s">
        <v>814</v>
      </c>
      <c r="AF3921">
        <v>20</v>
      </c>
      <c r="AG3921" s="1">
        <v>37257</v>
      </c>
      <c r="AH3921" s="1">
        <v>37257</v>
      </c>
      <c r="AI3921" s="1">
        <v>37257</v>
      </c>
      <c r="AJ3921" s="1">
        <v>44562</v>
      </c>
      <c r="AK3921" t="s">
        <v>51</v>
      </c>
      <c r="AN3921">
        <v>0</v>
      </c>
      <c r="AO3921" t="s">
        <v>54</v>
      </c>
      <c r="AP3921" t="s">
        <v>53</v>
      </c>
      <c r="AQ3921">
        <v>0</v>
      </c>
      <c r="AR3921" t="s">
        <v>53</v>
      </c>
      <c r="AS3921">
        <v>0</v>
      </c>
      <c r="AT3921">
        <v>0</v>
      </c>
      <c r="CC3921" t="s">
        <v>439</v>
      </c>
      <c r="CD3921">
        <v>85000</v>
      </c>
      <c r="CE3921" s="1">
        <v>42552</v>
      </c>
      <c r="CF3921" s="1">
        <v>42552</v>
      </c>
      <c r="CG3921" s="1">
        <v>42552</v>
      </c>
      <c r="CH3921" s="1">
        <v>49714</v>
      </c>
      <c r="CI3921" t="s">
        <v>51</v>
      </c>
      <c r="CK3921" t="s">
        <v>78</v>
      </c>
      <c r="CM3921" t="s">
        <v>54</v>
      </c>
      <c r="CN3921" t="s">
        <v>174</v>
      </c>
      <c r="CO3921" t="s">
        <v>86</v>
      </c>
      <c r="CR3921">
        <v>25</v>
      </c>
      <c r="CS3921">
        <v>0</v>
      </c>
      <c r="CT3921">
        <v>0</v>
      </c>
      <c r="CU3921">
        <v>0</v>
      </c>
    </row>
    <row r="3922" spans="1:99" x14ac:dyDescent="0.2">
      <c r="A3922" t="s">
        <v>367</v>
      </c>
      <c r="B3922" t="s">
        <v>368</v>
      </c>
      <c r="C3922" t="s">
        <v>1733</v>
      </c>
      <c r="D3922" t="s">
        <v>369</v>
      </c>
      <c r="F3922" t="str">
        <f>"165675"</f>
        <v>165675</v>
      </c>
      <c r="G3922" t="s">
        <v>49</v>
      </c>
      <c r="H3922" t="s">
        <v>1764</v>
      </c>
      <c r="K3922" t="s">
        <v>51</v>
      </c>
      <c r="L3922" t="s">
        <v>52</v>
      </c>
      <c r="M3922">
        <v>134424.21</v>
      </c>
      <c r="N3922">
        <v>466565.22</v>
      </c>
      <c r="O3922" t="s">
        <v>53</v>
      </c>
      <c r="P3922" t="s">
        <v>54</v>
      </c>
      <c r="Q3922" t="s">
        <v>55</v>
      </c>
      <c r="T3922" t="s">
        <v>376</v>
      </c>
      <c r="U3922">
        <v>40</v>
      </c>
      <c r="V3922" s="1">
        <v>37258</v>
      </c>
      <c r="W3922" s="1">
        <v>37258</v>
      </c>
      <c r="X3922" s="1">
        <v>37258</v>
      </c>
      <c r="Y3922" s="1">
        <v>51868</v>
      </c>
      <c r="Z3922" t="s">
        <v>51</v>
      </c>
      <c r="AB3922" t="s">
        <v>54</v>
      </c>
      <c r="AC3922">
        <v>1</v>
      </c>
      <c r="AE3922" t="s">
        <v>814</v>
      </c>
      <c r="AF3922">
        <v>20</v>
      </c>
      <c r="AG3922" s="1">
        <v>37258</v>
      </c>
      <c r="AH3922" s="1">
        <v>37258</v>
      </c>
      <c r="AI3922" s="1">
        <v>37258</v>
      </c>
      <c r="AJ3922" s="1">
        <v>44563</v>
      </c>
      <c r="AK3922" t="s">
        <v>51</v>
      </c>
      <c r="AN3922">
        <v>0</v>
      </c>
      <c r="AO3922" t="s">
        <v>54</v>
      </c>
      <c r="AP3922" t="s">
        <v>53</v>
      </c>
      <c r="AQ3922">
        <v>0</v>
      </c>
      <c r="AR3922" t="s">
        <v>53</v>
      </c>
      <c r="AS3922">
        <v>0</v>
      </c>
      <c r="AT3922">
        <v>0</v>
      </c>
      <c r="CC3922" t="s">
        <v>439</v>
      </c>
      <c r="CD3922">
        <v>85000</v>
      </c>
      <c r="CE3922" s="1">
        <v>42552</v>
      </c>
      <c r="CF3922" s="1">
        <v>42552</v>
      </c>
      <c r="CG3922" s="1">
        <v>42552</v>
      </c>
      <c r="CH3922" s="1">
        <v>49714</v>
      </c>
      <c r="CI3922" t="s">
        <v>51</v>
      </c>
      <c r="CK3922" t="s">
        <v>78</v>
      </c>
      <c r="CM3922" t="s">
        <v>54</v>
      </c>
      <c r="CN3922" t="s">
        <v>174</v>
      </c>
      <c r="CO3922" t="s">
        <v>86</v>
      </c>
      <c r="CR3922">
        <v>25</v>
      </c>
      <c r="CS3922">
        <v>0</v>
      </c>
      <c r="CT3922">
        <v>0</v>
      </c>
      <c r="CU3922">
        <v>0</v>
      </c>
    </row>
    <row r="3923" spans="1:99" x14ac:dyDescent="0.2">
      <c r="A3923" t="s">
        <v>367</v>
      </c>
      <c r="B3923" t="s">
        <v>368</v>
      </c>
      <c r="C3923" t="s">
        <v>369</v>
      </c>
      <c r="D3923" t="s">
        <v>1883</v>
      </c>
      <c r="F3923" t="str">
        <f>"165681"</f>
        <v>165681</v>
      </c>
      <c r="G3923" t="s">
        <v>49</v>
      </c>
      <c r="H3923" t="s">
        <v>1884</v>
      </c>
      <c r="K3923" t="s">
        <v>51</v>
      </c>
      <c r="L3923" t="s">
        <v>52</v>
      </c>
      <c r="M3923">
        <v>137695.82999999999</v>
      </c>
      <c r="N3923">
        <v>468533.13</v>
      </c>
      <c r="O3923" t="s">
        <v>53</v>
      </c>
      <c r="P3923" t="s">
        <v>54</v>
      </c>
      <c r="Q3923" t="s">
        <v>55</v>
      </c>
      <c r="T3923" t="s">
        <v>241</v>
      </c>
      <c r="U3923">
        <v>40</v>
      </c>
      <c r="V3923" s="1">
        <v>37322</v>
      </c>
      <c r="W3923" s="1">
        <v>37322</v>
      </c>
      <c r="X3923" s="1">
        <v>37322</v>
      </c>
      <c r="Y3923" s="1">
        <v>51932</v>
      </c>
      <c r="Z3923" t="s">
        <v>51</v>
      </c>
      <c r="AB3923" t="s">
        <v>54</v>
      </c>
      <c r="AC3923">
        <v>1</v>
      </c>
      <c r="AE3923" t="s">
        <v>825</v>
      </c>
      <c r="AF3923">
        <v>20</v>
      </c>
      <c r="AG3923" s="1">
        <v>37322</v>
      </c>
      <c r="AH3923" s="1">
        <v>37322</v>
      </c>
      <c r="AI3923" s="1">
        <v>37322</v>
      </c>
      <c r="AJ3923" s="1">
        <v>44627</v>
      </c>
      <c r="AK3923" t="s">
        <v>51</v>
      </c>
      <c r="AN3923">
        <v>0</v>
      </c>
      <c r="AO3923" t="s">
        <v>54</v>
      </c>
      <c r="AP3923" t="s">
        <v>53</v>
      </c>
      <c r="AQ3923">
        <v>0</v>
      </c>
      <c r="AR3923" t="s">
        <v>53</v>
      </c>
      <c r="AS3923">
        <v>0</v>
      </c>
      <c r="AT3923">
        <v>0</v>
      </c>
      <c r="CC3923" t="s">
        <v>555</v>
      </c>
      <c r="CD3923">
        <v>85000</v>
      </c>
      <c r="CE3923" s="1">
        <v>42552</v>
      </c>
      <c r="CF3923" s="1">
        <v>42552</v>
      </c>
      <c r="CG3923" s="1">
        <v>42552</v>
      </c>
      <c r="CH3923" s="1">
        <v>49714</v>
      </c>
      <c r="CI3923" t="s">
        <v>51</v>
      </c>
      <c r="CK3923" t="s">
        <v>78</v>
      </c>
      <c r="CM3923" t="s">
        <v>54</v>
      </c>
      <c r="CN3923" t="s">
        <v>174</v>
      </c>
      <c r="CO3923" t="s">
        <v>86</v>
      </c>
      <c r="CR3923">
        <v>20</v>
      </c>
      <c r="CS3923">
        <v>0</v>
      </c>
      <c r="CT3923">
        <v>0</v>
      </c>
      <c r="CU3923">
        <v>0</v>
      </c>
    </row>
    <row r="3924" spans="1:99" x14ac:dyDescent="0.2">
      <c r="A3924" t="s">
        <v>367</v>
      </c>
      <c r="B3924" t="s">
        <v>368</v>
      </c>
      <c r="C3924" t="s">
        <v>369</v>
      </c>
      <c r="D3924" t="s">
        <v>1883</v>
      </c>
      <c r="F3924" t="str">
        <f>"165682"</f>
        <v>165682</v>
      </c>
      <c r="G3924" t="s">
        <v>49</v>
      </c>
      <c r="H3924" t="s">
        <v>1885</v>
      </c>
      <c r="K3924" t="s">
        <v>51</v>
      </c>
      <c r="L3924" t="s">
        <v>52</v>
      </c>
      <c r="M3924">
        <v>137694.57999999999</v>
      </c>
      <c r="N3924">
        <v>468555.63</v>
      </c>
      <c r="O3924" t="s">
        <v>53</v>
      </c>
      <c r="P3924" t="s">
        <v>54</v>
      </c>
      <c r="Q3924" t="s">
        <v>55</v>
      </c>
      <c r="T3924" t="s">
        <v>241</v>
      </c>
      <c r="U3924">
        <v>40</v>
      </c>
      <c r="V3924" s="1">
        <v>37322</v>
      </c>
      <c r="W3924" s="1">
        <v>37322</v>
      </c>
      <c r="X3924" s="1">
        <v>37322</v>
      </c>
      <c r="Y3924" s="1">
        <v>51932</v>
      </c>
      <c r="Z3924" t="s">
        <v>51</v>
      </c>
      <c r="AB3924" t="s">
        <v>54</v>
      </c>
      <c r="AC3924">
        <v>1</v>
      </c>
      <c r="AE3924" t="s">
        <v>825</v>
      </c>
      <c r="AF3924">
        <v>20</v>
      </c>
      <c r="AG3924" s="1">
        <v>37322</v>
      </c>
      <c r="AH3924" s="1">
        <v>37322</v>
      </c>
      <c r="AI3924" s="1">
        <v>37322</v>
      </c>
      <c r="AJ3924" s="1">
        <v>44627</v>
      </c>
      <c r="AK3924" t="s">
        <v>51</v>
      </c>
      <c r="AN3924">
        <v>0</v>
      </c>
      <c r="AO3924" t="s">
        <v>54</v>
      </c>
      <c r="AP3924" t="s">
        <v>53</v>
      </c>
      <c r="AQ3924">
        <v>0</v>
      </c>
      <c r="AR3924" t="s">
        <v>53</v>
      </c>
      <c r="AS3924">
        <v>0</v>
      </c>
      <c r="AT3924">
        <v>0</v>
      </c>
      <c r="CC3924" t="s">
        <v>555</v>
      </c>
      <c r="CD3924">
        <v>85000</v>
      </c>
      <c r="CE3924" s="1">
        <v>42552</v>
      </c>
      <c r="CF3924" s="1">
        <v>42552</v>
      </c>
      <c r="CG3924" s="1">
        <v>42552</v>
      </c>
      <c r="CH3924" s="1">
        <v>49714</v>
      </c>
      <c r="CI3924" t="s">
        <v>51</v>
      </c>
      <c r="CK3924" t="s">
        <v>78</v>
      </c>
      <c r="CM3924" t="s">
        <v>54</v>
      </c>
      <c r="CN3924" t="s">
        <v>174</v>
      </c>
      <c r="CO3924" t="s">
        <v>86</v>
      </c>
      <c r="CR3924">
        <v>20</v>
      </c>
      <c r="CS3924">
        <v>0</v>
      </c>
      <c r="CT3924">
        <v>0</v>
      </c>
      <c r="CU3924">
        <v>0</v>
      </c>
    </row>
    <row r="3925" spans="1:99" x14ac:dyDescent="0.2">
      <c r="A3925" t="s">
        <v>367</v>
      </c>
      <c r="B3925" t="s">
        <v>368</v>
      </c>
      <c r="C3925" t="s">
        <v>369</v>
      </c>
      <c r="D3925" t="s">
        <v>1883</v>
      </c>
      <c r="F3925" t="str">
        <f>"165683"</f>
        <v>165683</v>
      </c>
      <c r="G3925" t="s">
        <v>49</v>
      </c>
      <c r="H3925" t="s">
        <v>1886</v>
      </c>
      <c r="K3925" t="s">
        <v>51</v>
      </c>
      <c r="L3925" t="s">
        <v>52</v>
      </c>
      <c r="M3925">
        <v>137676.23000000001</v>
      </c>
      <c r="N3925">
        <v>468570.17</v>
      </c>
      <c r="O3925" t="s">
        <v>53</v>
      </c>
      <c r="P3925" t="s">
        <v>54</v>
      </c>
      <c r="Q3925" t="s">
        <v>55</v>
      </c>
      <c r="T3925" t="s">
        <v>241</v>
      </c>
      <c r="U3925">
        <v>40</v>
      </c>
      <c r="V3925" s="1">
        <v>37322</v>
      </c>
      <c r="W3925" s="1">
        <v>37322</v>
      </c>
      <c r="X3925" s="1">
        <v>37322</v>
      </c>
      <c r="Y3925" s="1">
        <v>51932</v>
      </c>
      <c r="Z3925" t="s">
        <v>51</v>
      </c>
      <c r="AB3925" t="s">
        <v>54</v>
      </c>
      <c r="AC3925">
        <v>1</v>
      </c>
      <c r="AE3925" t="s">
        <v>825</v>
      </c>
      <c r="AF3925">
        <v>20</v>
      </c>
      <c r="AG3925" s="1">
        <v>37322</v>
      </c>
      <c r="AH3925" s="1">
        <v>37322</v>
      </c>
      <c r="AI3925" s="1">
        <v>37322</v>
      </c>
      <c r="AJ3925" s="1">
        <v>44627</v>
      </c>
      <c r="AK3925" t="s">
        <v>51</v>
      </c>
      <c r="AN3925">
        <v>0</v>
      </c>
      <c r="AO3925" t="s">
        <v>54</v>
      </c>
      <c r="AP3925" t="s">
        <v>53</v>
      </c>
      <c r="AQ3925">
        <v>0</v>
      </c>
      <c r="AR3925" t="s">
        <v>53</v>
      </c>
      <c r="AS3925">
        <v>0</v>
      </c>
      <c r="AT3925">
        <v>0</v>
      </c>
      <c r="CC3925" t="s">
        <v>555</v>
      </c>
      <c r="CD3925">
        <v>85000</v>
      </c>
      <c r="CE3925" s="1">
        <v>43158</v>
      </c>
      <c r="CF3925" s="1">
        <v>43158</v>
      </c>
      <c r="CG3925" s="1">
        <v>43158</v>
      </c>
      <c r="CH3925" s="1">
        <v>50373</v>
      </c>
      <c r="CI3925" t="s">
        <v>51</v>
      </c>
      <c r="CK3925" t="s">
        <v>78</v>
      </c>
      <c r="CM3925" t="s">
        <v>54</v>
      </c>
      <c r="CN3925" t="s">
        <v>174</v>
      </c>
      <c r="CO3925" t="s">
        <v>86</v>
      </c>
      <c r="CR3925">
        <v>20</v>
      </c>
      <c r="CS3925">
        <v>0</v>
      </c>
      <c r="CT3925">
        <v>0</v>
      </c>
      <c r="CU3925">
        <v>0</v>
      </c>
    </row>
    <row r="3926" spans="1:99" x14ac:dyDescent="0.2">
      <c r="A3926" t="s">
        <v>367</v>
      </c>
      <c r="B3926" t="s">
        <v>368</v>
      </c>
      <c r="C3926" t="s">
        <v>369</v>
      </c>
      <c r="D3926" t="s">
        <v>1883</v>
      </c>
      <c r="F3926" t="str">
        <f>"165684"</f>
        <v>165684</v>
      </c>
      <c r="G3926" t="s">
        <v>49</v>
      </c>
      <c r="H3926" t="s">
        <v>1688</v>
      </c>
      <c r="K3926" t="s">
        <v>51</v>
      </c>
      <c r="L3926" t="s">
        <v>52</v>
      </c>
      <c r="M3926">
        <v>137669.22</v>
      </c>
      <c r="N3926">
        <v>468592.73</v>
      </c>
      <c r="O3926" t="s">
        <v>53</v>
      </c>
      <c r="P3926" t="s">
        <v>54</v>
      </c>
      <c r="Q3926" t="s">
        <v>55</v>
      </c>
      <c r="T3926" t="s">
        <v>241</v>
      </c>
      <c r="U3926">
        <v>40</v>
      </c>
      <c r="V3926" s="1">
        <v>37322</v>
      </c>
      <c r="W3926" s="1">
        <v>37322</v>
      </c>
      <c r="X3926" s="1">
        <v>37322</v>
      </c>
      <c r="Y3926" s="1">
        <v>51932</v>
      </c>
      <c r="Z3926" t="s">
        <v>51</v>
      </c>
      <c r="AB3926" t="s">
        <v>54</v>
      </c>
      <c r="AC3926">
        <v>1</v>
      </c>
      <c r="AE3926" t="s">
        <v>825</v>
      </c>
      <c r="AF3926">
        <v>20</v>
      </c>
      <c r="AG3926" s="1">
        <v>37322</v>
      </c>
      <c r="AH3926" s="1">
        <v>37322</v>
      </c>
      <c r="AI3926" s="1">
        <v>37322</v>
      </c>
      <c r="AJ3926" s="1">
        <v>44627</v>
      </c>
      <c r="AK3926" t="s">
        <v>51</v>
      </c>
      <c r="AN3926">
        <v>0</v>
      </c>
      <c r="AO3926" t="s">
        <v>54</v>
      </c>
      <c r="AP3926" t="s">
        <v>53</v>
      </c>
      <c r="AQ3926">
        <v>0</v>
      </c>
      <c r="AR3926" t="s">
        <v>53</v>
      </c>
      <c r="AS3926">
        <v>0</v>
      </c>
      <c r="AT3926">
        <v>0</v>
      </c>
      <c r="CC3926" t="s">
        <v>555</v>
      </c>
      <c r="CD3926">
        <v>85000</v>
      </c>
      <c r="CE3926" s="1">
        <v>42552</v>
      </c>
      <c r="CF3926" s="1">
        <v>42552</v>
      </c>
      <c r="CG3926" s="1">
        <v>42552</v>
      </c>
      <c r="CH3926" s="1">
        <v>49714</v>
      </c>
      <c r="CI3926" t="s">
        <v>51</v>
      </c>
      <c r="CK3926" t="s">
        <v>78</v>
      </c>
      <c r="CM3926" t="s">
        <v>54</v>
      </c>
      <c r="CN3926" t="s">
        <v>174</v>
      </c>
      <c r="CO3926" t="s">
        <v>86</v>
      </c>
      <c r="CR3926">
        <v>20</v>
      </c>
      <c r="CS3926">
        <v>0</v>
      </c>
      <c r="CT3926">
        <v>0</v>
      </c>
      <c r="CU3926">
        <v>0</v>
      </c>
    </row>
    <row r="3927" spans="1:99" x14ac:dyDescent="0.2">
      <c r="A3927" t="s">
        <v>367</v>
      </c>
      <c r="B3927" t="s">
        <v>368</v>
      </c>
      <c r="C3927" t="s">
        <v>369</v>
      </c>
      <c r="D3927" t="s">
        <v>1883</v>
      </c>
      <c r="F3927" t="str">
        <f>"165685"</f>
        <v>165685</v>
      </c>
      <c r="G3927" t="s">
        <v>49</v>
      </c>
      <c r="H3927" t="s">
        <v>1887</v>
      </c>
      <c r="K3927" t="s">
        <v>51</v>
      </c>
      <c r="L3927" t="s">
        <v>52</v>
      </c>
      <c r="M3927">
        <v>137657.29</v>
      </c>
      <c r="N3927">
        <v>468611.05</v>
      </c>
      <c r="O3927" t="s">
        <v>53</v>
      </c>
      <c r="P3927" t="s">
        <v>54</v>
      </c>
      <c r="Q3927" t="s">
        <v>55</v>
      </c>
      <c r="T3927" t="s">
        <v>241</v>
      </c>
      <c r="U3927">
        <v>40</v>
      </c>
      <c r="V3927" s="1">
        <v>37322</v>
      </c>
      <c r="W3927" s="1">
        <v>37322</v>
      </c>
      <c r="X3927" s="1">
        <v>37322</v>
      </c>
      <c r="Y3927" s="1">
        <v>51932</v>
      </c>
      <c r="Z3927" t="s">
        <v>51</v>
      </c>
      <c r="AB3927" t="s">
        <v>54</v>
      </c>
      <c r="AC3927">
        <v>1</v>
      </c>
      <c r="AE3927" t="s">
        <v>825</v>
      </c>
      <c r="AF3927">
        <v>20</v>
      </c>
      <c r="AG3927" s="1">
        <v>37322</v>
      </c>
      <c r="AH3927" s="1">
        <v>37322</v>
      </c>
      <c r="AI3927" s="1">
        <v>37322</v>
      </c>
      <c r="AJ3927" s="1">
        <v>44627</v>
      </c>
      <c r="AK3927" t="s">
        <v>51</v>
      </c>
      <c r="AN3927">
        <v>0</v>
      </c>
      <c r="AO3927" t="s">
        <v>54</v>
      </c>
      <c r="AP3927" t="s">
        <v>53</v>
      </c>
      <c r="AQ3927">
        <v>0</v>
      </c>
      <c r="AR3927" t="s">
        <v>53</v>
      </c>
      <c r="AS3927">
        <v>0</v>
      </c>
      <c r="AT3927">
        <v>0</v>
      </c>
      <c r="CC3927" t="s">
        <v>555</v>
      </c>
      <c r="CD3927">
        <v>85000</v>
      </c>
      <c r="CE3927" s="1">
        <v>42552</v>
      </c>
      <c r="CF3927" s="1">
        <v>42552</v>
      </c>
      <c r="CG3927" s="1">
        <v>42552</v>
      </c>
      <c r="CH3927" s="1">
        <v>49714</v>
      </c>
      <c r="CI3927" t="s">
        <v>51</v>
      </c>
      <c r="CK3927" t="s">
        <v>78</v>
      </c>
      <c r="CM3927" t="s">
        <v>54</v>
      </c>
      <c r="CN3927" t="s">
        <v>174</v>
      </c>
      <c r="CO3927" t="s">
        <v>86</v>
      </c>
      <c r="CR3927">
        <v>20</v>
      </c>
      <c r="CS3927">
        <v>0</v>
      </c>
      <c r="CT3927">
        <v>0</v>
      </c>
      <c r="CU3927">
        <v>0</v>
      </c>
    </row>
    <row r="3928" spans="1:99" x14ac:dyDescent="0.2">
      <c r="A3928" t="s">
        <v>367</v>
      </c>
      <c r="B3928" t="s">
        <v>368</v>
      </c>
      <c r="C3928" t="s">
        <v>369</v>
      </c>
      <c r="D3928" t="s">
        <v>1883</v>
      </c>
      <c r="F3928" t="str">
        <f>"165686"</f>
        <v>165686</v>
      </c>
      <c r="G3928" t="s">
        <v>49</v>
      </c>
      <c r="H3928" t="s">
        <v>1880</v>
      </c>
      <c r="K3928" t="s">
        <v>51</v>
      </c>
      <c r="L3928" t="s">
        <v>52</v>
      </c>
      <c r="M3928">
        <v>137644.70000000001</v>
      </c>
      <c r="N3928">
        <v>468628.82</v>
      </c>
      <c r="O3928" t="s">
        <v>53</v>
      </c>
      <c r="P3928" t="s">
        <v>54</v>
      </c>
      <c r="Q3928" t="s">
        <v>55</v>
      </c>
      <c r="T3928" t="s">
        <v>241</v>
      </c>
      <c r="U3928">
        <v>40</v>
      </c>
      <c r="V3928" s="1">
        <v>37322</v>
      </c>
      <c r="W3928" s="1">
        <v>37322</v>
      </c>
      <c r="X3928" s="1">
        <v>37322</v>
      </c>
      <c r="Y3928" s="1">
        <v>51932</v>
      </c>
      <c r="Z3928" t="s">
        <v>51</v>
      </c>
      <c r="AB3928" t="s">
        <v>54</v>
      </c>
      <c r="AC3928">
        <v>1</v>
      </c>
      <c r="AE3928" t="s">
        <v>825</v>
      </c>
      <c r="AF3928">
        <v>20</v>
      </c>
      <c r="AG3928" s="1">
        <v>37322</v>
      </c>
      <c r="AH3928" s="1">
        <v>37322</v>
      </c>
      <c r="AI3928" s="1">
        <v>37322</v>
      </c>
      <c r="AJ3928" s="1">
        <v>44627</v>
      </c>
      <c r="AK3928" t="s">
        <v>51</v>
      </c>
      <c r="AN3928">
        <v>0</v>
      </c>
      <c r="AO3928" t="s">
        <v>54</v>
      </c>
      <c r="AP3928" t="s">
        <v>53</v>
      </c>
      <c r="AQ3928">
        <v>0</v>
      </c>
      <c r="AR3928" t="s">
        <v>53</v>
      </c>
      <c r="AS3928">
        <v>0</v>
      </c>
      <c r="AT3928">
        <v>0</v>
      </c>
      <c r="CC3928" t="s">
        <v>555</v>
      </c>
      <c r="CD3928">
        <v>85000</v>
      </c>
      <c r="CE3928" s="1">
        <v>42552</v>
      </c>
      <c r="CF3928" s="1">
        <v>42552</v>
      </c>
      <c r="CG3928" s="1">
        <v>42552</v>
      </c>
      <c r="CH3928" s="1">
        <v>49714</v>
      </c>
      <c r="CI3928" t="s">
        <v>51</v>
      </c>
      <c r="CK3928" t="s">
        <v>78</v>
      </c>
      <c r="CM3928" t="s">
        <v>54</v>
      </c>
      <c r="CN3928" t="s">
        <v>174</v>
      </c>
      <c r="CO3928" t="s">
        <v>86</v>
      </c>
      <c r="CR3928">
        <v>20</v>
      </c>
      <c r="CS3928">
        <v>0</v>
      </c>
      <c r="CT3928">
        <v>0</v>
      </c>
      <c r="CU3928">
        <v>0</v>
      </c>
    </row>
    <row r="3929" spans="1:99" x14ac:dyDescent="0.2">
      <c r="A3929" t="s">
        <v>367</v>
      </c>
      <c r="B3929" t="s">
        <v>368</v>
      </c>
      <c r="C3929" t="s">
        <v>369</v>
      </c>
      <c r="D3929" t="s">
        <v>1883</v>
      </c>
      <c r="F3929" t="str">
        <f>"165687"</f>
        <v>165687</v>
      </c>
      <c r="G3929" t="s">
        <v>49</v>
      </c>
      <c r="H3929" t="s">
        <v>1888</v>
      </c>
      <c r="K3929" t="s">
        <v>51</v>
      </c>
      <c r="L3929" t="s">
        <v>52</v>
      </c>
      <c r="M3929">
        <v>137624.12</v>
      </c>
      <c r="N3929">
        <v>468649.52</v>
      </c>
      <c r="O3929" t="s">
        <v>53</v>
      </c>
      <c r="P3929" t="s">
        <v>54</v>
      </c>
      <c r="Q3929" t="s">
        <v>55</v>
      </c>
      <c r="T3929" t="s">
        <v>241</v>
      </c>
      <c r="U3929">
        <v>40</v>
      </c>
      <c r="V3929" s="1">
        <v>37322</v>
      </c>
      <c r="W3929" s="1">
        <v>37322</v>
      </c>
      <c r="X3929" s="1">
        <v>37322</v>
      </c>
      <c r="Y3929" s="1">
        <v>51932</v>
      </c>
      <c r="Z3929" t="s">
        <v>51</v>
      </c>
      <c r="AB3929" t="s">
        <v>54</v>
      </c>
      <c r="AC3929">
        <v>1</v>
      </c>
      <c r="AE3929" t="s">
        <v>825</v>
      </c>
      <c r="AF3929">
        <v>20</v>
      </c>
      <c r="AG3929" s="1">
        <v>37322</v>
      </c>
      <c r="AH3929" s="1">
        <v>37322</v>
      </c>
      <c r="AI3929" s="1">
        <v>37322</v>
      </c>
      <c r="AJ3929" s="1">
        <v>44627</v>
      </c>
      <c r="AK3929" t="s">
        <v>51</v>
      </c>
      <c r="AN3929">
        <v>0</v>
      </c>
      <c r="AO3929" t="s">
        <v>54</v>
      </c>
      <c r="AP3929" t="s">
        <v>53</v>
      </c>
      <c r="AQ3929">
        <v>0</v>
      </c>
      <c r="AR3929" t="s">
        <v>53</v>
      </c>
      <c r="AS3929">
        <v>0</v>
      </c>
      <c r="AT3929">
        <v>0</v>
      </c>
      <c r="CC3929" t="s">
        <v>555</v>
      </c>
      <c r="CD3929">
        <v>85000</v>
      </c>
      <c r="CE3929" s="1">
        <v>42552</v>
      </c>
      <c r="CF3929" s="1">
        <v>42552</v>
      </c>
      <c r="CG3929" s="1">
        <v>42552</v>
      </c>
      <c r="CH3929" s="1">
        <v>49714</v>
      </c>
      <c r="CI3929" t="s">
        <v>51</v>
      </c>
      <c r="CK3929" t="s">
        <v>78</v>
      </c>
      <c r="CM3929" t="s">
        <v>54</v>
      </c>
      <c r="CN3929" t="s">
        <v>174</v>
      </c>
      <c r="CO3929" t="s">
        <v>86</v>
      </c>
      <c r="CR3929">
        <v>20</v>
      </c>
      <c r="CS3929">
        <v>0</v>
      </c>
      <c r="CT3929">
        <v>0</v>
      </c>
      <c r="CU3929">
        <v>0</v>
      </c>
    </row>
    <row r="3930" spans="1:99" x14ac:dyDescent="0.2">
      <c r="A3930" t="s">
        <v>367</v>
      </c>
      <c r="B3930" t="s">
        <v>368</v>
      </c>
      <c r="C3930" t="s">
        <v>369</v>
      </c>
      <c r="D3930" t="s">
        <v>1159</v>
      </c>
      <c r="F3930" t="str">
        <f>"165688"</f>
        <v>165688</v>
      </c>
      <c r="G3930" t="s">
        <v>49</v>
      </c>
      <c r="H3930" t="s">
        <v>1686</v>
      </c>
      <c r="K3930" t="s">
        <v>51</v>
      </c>
      <c r="L3930" t="s">
        <v>52</v>
      </c>
      <c r="M3930">
        <v>137565.57999999999</v>
      </c>
      <c r="N3930">
        <v>468507.61</v>
      </c>
      <c r="O3930" t="s">
        <v>53</v>
      </c>
      <c r="P3930" t="s">
        <v>54</v>
      </c>
      <c r="Q3930" t="s">
        <v>55</v>
      </c>
      <c r="T3930" t="s">
        <v>241</v>
      </c>
      <c r="U3930">
        <v>40</v>
      </c>
      <c r="V3930" s="1">
        <v>37322</v>
      </c>
      <c r="W3930" s="1">
        <v>37322</v>
      </c>
      <c r="X3930" s="1">
        <v>37322</v>
      </c>
      <c r="Y3930" s="1">
        <v>51932</v>
      </c>
      <c r="Z3930" t="s">
        <v>51</v>
      </c>
      <c r="AB3930" t="s">
        <v>54</v>
      </c>
      <c r="AC3930">
        <v>1</v>
      </c>
      <c r="AE3930" t="s">
        <v>825</v>
      </c>
      <c r="AF3930">
        <v>20</v>
      </c>
      <c r="AG3930" s="1">
        <v>37322</v>
      </c>
      <c r="AH3930" s="1">
        <v>37322</v>
      </c>
      <c r="AI3930" s="1">
        <v>37322</v>
      </c>
      <c r="AJ3930" s="1">
        <v>44627</v>
      </c>
      <c r="AK3930" t="s">
        <v>51</v>
      </c>
      <c r="AN3930">
        <v>0</v>
      </c>
      <c r="AO3930" t="s">
        <v>54</v>
      </c>
      <c r="AP3930" t="s">
        <v>53</v>
      </c>
      <c r="AQ3930">
        <v>0</v>
      </c>
      <c r="AR3930" t="s">
        <v>53</v>
      </c>
      <c r="AS3930">
        <v>0</v>
      </c>
      <c r="AT3930">
        <v>0</v>
      </c>
      <c r="CC3930" t="s">
        <v>555</v>
      </c>
      <c r="CD3930">
        <v>85000</v>
      </c>
      <c r="CE3930" s="1">
        <v>42552</v>
      </c>
      <c r="CF3930" s="1">
        <v>42552</v>
      </c>
      <c r="CG3930" s="1">
        <v>42552</v>
      </c>
      <c r="CH3930" s="1">
        <v>49714</v>
      </c>
      <c r="CI3930" t="s">
        <v>51</v>
      </c>
      <c r="CK3930" t="s">
        <v>78</v>
      </c>
      <c r="CM3930" t="s">
        <v>54</v>
      </c>
      <c r="CN3930" t="s">
        <v>174</v>
      </c>
      <c r="CO3930" t="s">
        <v>86</v>
      </c>
      <c r="CR3930">
        <v>20</v>
      </c>
      <c r="CS3930">
        <v>0</v>
      </c>
      <c r="CT3930">
        <v>0</v>
      </c>
      <c r="CU3930">
        <v>0</v>
      </c>
    </row>
    <row r="3931" spans="1:99" x14ac:dyDescent="0.2">
      <c r="A3931" t="s">
        <v>367</v>
      </c>
      <c r="B3931" t="s">
        <v>368</v>
      </c>
      <c r="C3931" t="s">
        <v>369</v>
      </c>
      <c r="D3931" t="s">
        <v>1159</v>
      </c>
      <c r="F3931" t="str">
        <f>"165689"</f>
        <v>165689</v>
      </c>
      <c r="G3931" t="s">
        <v>49</v>
      </c>
      <c r="H3931" t="s">
        <v>1889</v>
      </c>
      <c r="K3931" t="s">
        <v>51</v>
      </c>
      <c r="L3931" t="s">
        <v>52</v>
      </c>
      <c r="M3931">
        <v>137562.78</v>
      </c>
      <c r="N3931">
        <v>468525.27</v>
      </c>
      <c r="O3931" t="s">
        <v>53</v>
      </c>
      <c r="P3931" t="s">
        <v>54</v>
      </c>
      <c r="Q3931" t="s">
        <v>55</v>
      </c>
      <c r="T3931" t="s">
        <v>241</v>
      </c>
      <c r="U3931">
        <v>40</v>
      </c>
      <c r="V3931" s="1">
        <v>37322</v>
      </c>
      <c r="W3931" s="1">
        <v>37322</v>
      </c>
      <c r="X3931" s="1">
        <v>37322</v>
      </c>
      <c r="Y3931" s="1">
        <v>51932</v>
      </c>
      <c r="Z3931" t="s">
        <v>51</v>
      </c>
      <c r="AB3931" t="s">
        <v>54</v>
      </c>
      <c r="AC3931">
        <v>1</v>
      </c>
      <c r="AE3931" t="s">
        <v>825</v>
      </c>
      <c r="AF3931">
        <v>20</v>
      </c>
      <c r="AG3931" s="1">
        <v>37322</v>
      </c>
      <c r="AH3931" s="1">
        <v>37322</v>
      </c>
      <c r="AI3931" s="1">
        <v>37322</v>
      </c>
      <c r="AJ3931" s="1">
        <v>44627</v>
      </c>
      <c r="AK3931" t="s">
        <v>51</v>
      </c>
      <c r="AN3931">
        <v>0</v>
      </c>
      <c r="AO3931" t="s">
        <v>54</v>
      </c>
      <c r="AP3931" t="s">
        <v>53</v>
      </c>
      <c r="AQ3931">
        <v>0</v>
      </c>
      <c r="AR3931" t="s">
        <v>53</v>
      </c>
      <c r="AS3931">
        <v>0</v>
      </c>
      <c r="AT3931">
        <v>0</v>
      </c>
      <c r="CC3931" t="s">
        <v>555</v>
      </c>
      <c r="CD3931">
        <v>85000</v>
      </c>
      <c r="CE3931" s="1">
        <v>42552</v>
      </c>
      <c r="CF3931" s="1">
        <v>42552</v>
      </c>
      <c r="CG3931" s="1">
        <v>42552</v>
      </c>
      <c r="CH3931" s="1">
        <v>49714</v>
      </c>
      <c r="CI3931" t="s">
        <v>51</v>
      </c>
      <c r="CK3931" t="s">
        <v>78</v>
      </c>
      <c r="CM3931" t="s">
        <v>54</v>
      </c>
      <c r="CN3931" t="s">
        <v>174</v>
      </c>
      <c r="CO3931" t="s">
        <v>86</v>
      </c>
      <c r="CR3931">
        <v>20</v>
      </c>
      <c r="CS3931">
        <v>0</v>
      </c>
      <c r="CT3931">
        <v>0</v>
      </c>
      <c r="CU3931">
        <v>0</v>
      </c>
    </row>
    <row r="3932" spans="1:99" x14ac:dyDescent="0.2">
      <c r="A3932" t="s">
        <v>367</v>
      </c>
      <c r="B3932" t="s">
        <v>368</v>
      </c>
      <c r="C3932" t="s">
        <v>369</v>
      </c>
      <c r="D3932" t="s">
        <v>1159</v>
      </c>
      <c r="F3932" t="str">
        <f>"165690"</f>
        <v>165690</v>
      </c>
      <c r="G3932" t="s">
        <v>49</v>
      </c>
      <c r="H3932" t="s">
        <v>1890</v>
      </c>
      <c r="K3932" t="s">
        <v>51</v>
      </c>
      <c r="L3932" t="s">
        <v>52</v>
      </c>
      <c r="M3932">
        <v>137545.4</v>
      </c>
      <c r="N3932">
        <v>468544.94</v>
      </c>
      <c r="O3932" t="s">
        <v>53</v>
      </c>
      <c r="P3932" t="s">
        <v>54</v>
      </c>
      <c r="Q3932" t="s">
        <v>55</v>
      </c>
      <c r="T3932" t="s">
        <v>241</v>
      </c>
      <c r="U3932">
        <v>40</v>
      </c>
      <c r="V3932" s="1">
        <v>37322</v>
      </c>
      <c r="W3932" s="1">
        <v>37322</v>
      </c>
      <c r="X3932" s="1">
        <v>37322</v>
      </c>
      <c r="Y3932" s="1">
        <v>51932</v>
      </c>
      <c r="Z3932" t="s">
        <v>51</v>
      </c>
      <c r="AB3932" t="s">
        <v>54</v>
      </c>
      <c r="AC3932">
        <v>1</v>
      </c>
      <c r="AE3932" t="s">
        <v>825</v>
      </c>
      <c r="AF3932">
        <v>20</v>
      </c>
      <c r="AG3932" s="1">
        <v>37322</v>
      </c>
      <c r="AH3932" s="1">
        <v>37322</v>
      </c>
      <c r="AI3932" s="1">
        <v>37322</v>
      </c>
      <c r="AJ3932" s="1">
        <v>44627</v>
      </c>
      <c r="AK3932" t="s">
        <v>51</v>
      </c>
      <c r="AN3932">
        <v>0</v>
      </c>
      <c r="AO3932" t="s">
        <v>54</v>
      </c>
      <c r="AP3932" t="s">
        <v>53</v>
      </c>
      <c r="AQ3932">
        <v>0</v>
      </c>
      <c r="AR3932" t="s">
        <v>53</v>
      </c>
      <c r="AS3932">
        <v>0</v>
      </c>
      <c r="AT3932">
        <v>0</v>
      </c>
      <c r="CC3932" t="s">
        <v>555</v>
      </c>
      <c r="CD3932">
        <v>85000</v>
      </c>
      <c r="CE3932" s="1">
        <v>42552</v>
      </c>
      <c r="CF3932" s="1">
        <v>42552</v>
      </c>
      <c r="CG3932" s="1">
        <v>42552</v>
      </c>
      <c r="CH3932" s="1">
        <v>49714</v>
      </c>
      <c r="CI3932" t="s">
        <v>51</v>
      </c>
      <c r="CK3932" t="s">
        <v>78</v>
      </c>
      <c r="CM3932" t="s">
        <v>54</v>
      </c>
      <c r="CN3932" t="s">
        <v>174</v>
      </c>
      <c r="CO3932" t="s">
        <v>86</v>
      </c>
      <c r="CR3932">
        <v>20</v>
      </c>
      <c r="CS3932">
        <v>0</v>
      </c>
      <c r="CT3932">
        <v>0</v>
      </c>
      <c r="CU3932">
        <v>0</v>
      </c>
    </row>
    <row r="3933" spans="1:99" x14ac:dyDescent="0.2">
      <c r="A3933" t="s">
        <v>367</v>
      </c>
      <c r="B3933" t="s">
        <v>368</v>
      </c>
      <c r="C3933" t="s">
        <v>369</v>
      </c>
      <c r="D3933" t="s">
        <v>1159</v>
      </c>
      <c r="F3933" t="str">
        <f>"165691"</f>
        <v>165691</v>
      </c>
      <c r="G3933" t="s">
        <v>49</v>
      </c>
      <c r="H3933" t="s">
        <v>1891</v>
      </c>
      <c r="K3933" t="s">
        <v>51</v>
      </c>
      <c r="L3933" t="s">
        <v>52</v>
      </c>
      <c r="M3933">
        <v>137531.15</v>
      </c>
      <c r="N3933">
        <v>468561.35</v>
      </c>
      <c r="O3933" t="s">
        <v>53</v>
      </c>
      <c r="P3933" t="s">
        <v>54</v>
      </c>
      <c r="Q3933" t="s">
        <v>55</v>
      </c>
      <c r="T3933" t="s">
        <v>241</v>
      </c>
      <c r="U3933">
        <v>40</v>
      </c>
      <c r="V3933" s="1">
        <v>37348</v>
      </c>
      <c r="W3933" s="1">
        <v>37348</v>
      </c>
      <c r="X3933" s="1">
        <v>37348</v>
      </c>
      <c r="Y3933" s="1">
        <v>51958</v>
      </c>
      <c r="Z3933" t="s">
        <v>51</v>
      </c>
      <c r="AB3933" t="s">
        <v>54</v>
      </c>
      <c r="AC3933">
        <v>1</v>
      </c>
      <c r="AE3933" t="s">
        <v>825</v>
      </c>
      <c r="AF3933">
        <v>20</v>
      </c>
      <c r="AG3933" s="1">
        <v>37322</v>
      </c>
      <c r="AH3933" s="1">
        <v>37322</v>
      </c>
      <c r="AI3933" s="1">
        <v>37348</v>
      </c>
      <c r="AJ3933" s="1">
        <v>44627</v>
      </c>
      <c r="AK3933" t="s">
        <v>51</v>
      </c>
      <c r="AN3933">
        <v>0</v>
      </c>
      <c r="AO3933" t="s">
        <v>54</v>
      </c>
      <c r="AP3933" t="s">
        <v>53</v>
      </c>
      <c r="AQ3933">
        <v>0</v>
      </c>
      <c r="AR3933" t="s">
        <v>53</v>
      </c>
      <c r="AS3933">
        <v>0</v>
      </c>
      <c r="AT3933">
        <v>0</v>
      </c>
      <c r="CC3933" t="s">
        <v>555</v>
      </c>
      <c r="CD3933">
        <v>85000</v>
      </c>
      <c r="CE3933" s="1">
        <v>42552</v>
      </c>
      <c r="CF3933" s="1">
        <v>42552</v>
      </c>
      <c r="CG3933" s="1">
        <v>42552</v>
      </c>
      <c r="CH3933" s="1">
        <v>49714</v>
      </c>
      <c r="CI3933" t="s">
        <v>51</v>
      </c>
      <c r="CK3933" t="s">
        <v>78</v>
      </c>
      <c r="CM3933" t="s">
        <v>54</v>
      </c>
      <c r="CN3933" t="s">
        <v>174</v>
      </c>
      <c r="CO3933" t="s">
        <v>86</v>
      </c>
      <c r="CR3933">
        <v>20</v>
      </c>
      <c r="CS3933">
        <v>0</v>
      </c>
      <c r="CT3933">
        <v>0</v>
      </c>
      <c r="CU3933">
        <v>0</v>
      </c>
    </row>
    <row r="3934" spans="1:99" x14ac:dyDescent="0.2">
      <c r="A3934" t="s">
        <v>367</v>
      </c>
      <c r="B3934" t="s">
        <v>368</v>
      </c>
      <c r="C3934" t="s">
        <v>369</v>
      </c>
      <c r="D3934" t="s">
        <v>1159</v>
      </c>
      <c r="F3934" t="str">
        <f>"165692"</f>
        <v>165692</v>
      </c>
      <c r="G3934" t="s">
        <v>49</v>
      </c>
      <c r="H3934" t="s">
        <v>1892</v>
      </c>
      <c r="K3934" t="s">
        <v>51</v>
      </c>
      <c r="L3934" t="s">
        <v>52</v>
      </c>
      <c r="M3934">
        <v>137512.39000000001</v>
      </c>
      <c r="N3934">
        <v>468583.33</v>
      </c>
      <c r="O3934" t="s">
        <v>53</v>
      </c>
      <c r="P3934" t="s">
        <v>54</v>
      </c>
      <c r="Q3934" t="s">
        <v>55</v>
      </c>
      <c r="T3934" t="s">
        <v>241</v>
      </c>
      <c r="U3934">
        <v>40</v>
      </c>
      <c r="V3934" s="1">
        <v>37322</v>
      </c>
      <c r="W3934" s="1">
        <v>37322</v>
      </c>
      <c r="X3934" s="1">
        <v>37322</v>
      </c>
      <c r="Y3934" s="1">
        <v>51932</v>
      </c>
      <c r="Z3934" t="s">
        <v>51</v>
      </c>
      <c r="AB3934" t="s">
        <v>54</v>
      </c>
      <c r="AC3934">
        <v>1</v>
      </c>
      <c r="AE3934" t="s">
        <v>825</v>
      </c>
      <c r="AF3934">
        <v>20</v>
      </c>
      <c r="AG3934" s="1">
        <v>37322</v>
      </c>
      <c r="AH3934" s="1">
        <v>37322</v>
      </c>
      <c r="AI3934" s="1">
        <v>37322</v>
      </c>
      <c r="AJ3934" s="1">
        <v>44627</v>
      </c>
      <c r="AK3934" t="s">
        <v>51</v>
      </c>
      <c r="AN3934">
        <v>0</v>
      </c>
      <c r="AO3934" t="s">
        <v>54</v>
      </c>
      <c r="AP3934" t="s">
        <v>53</v>
      </c>
      <c r="AQ3934">
        <v>0</v>
      </c>
      <c r="AR3934" t="s">
        <v>53</v>
      </c>
      <c r="AS3934">
        <v>0</v>
      </c>
      <c r="AT3934">
        <v>0</v>
      </c>
      <c r="CC3934" t="s">
        <v>555</v>
      </c>
      <c r="CD3934">
        <v>85000</v>
      </c>
      <c r="CE3934" s="1">
        <v>42552</v>
      </c>
      <c r="CF3934" s="1">
        <v>42552</v>
      </c>
      <c r="CG3934" s="1">
        <v>42552</v>
      </c>
      <c r="CH3934" s="1">
        <v>49714</v>
      </c>
      <c r="CI3934" t="s">
        <v>51</v>
      </c>
      <c r="CK3934" t="s">
        <v>78</v>
      </c>
      <c r="CM3934" t="s">
        <v>54</v>
      </c>
      <c r="CN3934" t="s">
        <v>174</v>
      </c>
      <c r="CO3934" t="s">
        <v>86</v>
      </c>
      <c r="CR3934">
        <v>20</v>
      </c>
      <c r="CS3934">
        <v>0</v>
      </c>
      <c r="CT3934">
        <v>0</v>
      </c>
      <c r="CU3934">
        <v>0</v>
      </c>
    </row>
    <row r="3935" spans="1:99" x14ac:dyDescent="0.2">
      <c r="A3935" t="s">
        <v>367</v>
      </c>
      <c r="B3935" t="s">
        <v>368</v>
      </c>
      <c r="C3935" t="s">
        <v>369</v>
      </c>
      <c r="D3935" t="s">
        <v>1159</v>
      </c>
      <c r="F3935" t="str">
        <f>"165693"</f>
        <v>165693</v>
      </c>
      <c r="G3935" t="s">
        <v>49</v>
      </c>
      <c r="H3935" t="s">
        <v>1893</v>
      </c>
      <c r="K3935" t="s">
        <v>51</v>
      </c>
      <c r="L3935" t="s">
        <v>52</v>
      </c>
      <c r="M3935">
        <v>137497.54999999999</v>
      </c>
      <c r="N3935">
        <v>468596.07</v>
      </c>
      <c r="O3935" t="s">
        <v>53</v>
      </c>
      <c r="P3935" t="s">
        <v>54</v>
      </c>
      <c r="Q3935" t="s">
        <v>55</v>
      </c>
      <c r="T3935" t="s">
        <v>1894</v>
      </c>
      <c r="U3935">
        <v>40</v>
      </c>
      <c r="V3935" s="1">
        <v>37322</v>
      </c>
      <c r="W3935" s="1">
        <v>37322</v>
      </c>
      <c r="X3935" s="1">
        <v>37322</v>
      </c>
      <c r="Y3935" s="1">
        <v>51932</v>
      </c>
      <c r="Z3935" t="s">
        <v>51</v>
      </c>
      <c r="AB3935" t="s">
        <v>54</v>
      </c>
      <c r="AC3935">
        <v>1</v>
      </c>
      <c r="AE3935" t="s">
        <v>825</v>
      </c>
      <c r="AF3935">
        <v>20</v>
      </c>
      <c r="AG3935" s="1">
        <v>37322</v>
      </c>
      <c r="AH3935" s="1">
        <v>37322</v>
      </c>
      <c r="AI3935" s="1">
        <v>37322</v>
      </c>
      <c r="AJ3935" s="1">
        <v>44627</v>
      </c>
      <c r="AK3935" t="s">
        <v>51</v>
      </c>
      <c r="AN3935">
        <v>0</v>
      </c>
      <c r="AO3935" t="s">
        <v>54</v>
      </c>
      <c r="AP3935" t="s">
        <v>53</v>
      </c>
      <c r="AQ3935">
        <v>0</v>
      </c>
      <c r="AR3935" t="s">
        <v>53</v>
      </c>
      <c r="AS3935">
        <v>0</v>
      </c>
      <c r="AT3935">
        <v>0</v>
      </c>
      <c r="CC3935" t="s">
        <v>555</v>
      </c>
      <c r="CD3935">
        <v>85000</v>
      </c>
      <c r="CE3935" s="1">
        <v>42552</v>
      </c>
      <c r="CF3935" s="1">
        <v>42552</v>
      </c>
      <c r="CG3935" s="1">
        <v>42552</v>
      </c>
      <c r="CH3935" s="1">
        <v>49714</v>
      </c>
      <c r="CI3935" t="s">
        <v>51</v>
      </c>
      <c r="CK3935" t="s">
        <v>78</v>
      </c>
      <c r="CM3935" t="s">
        <v>54</v>
      </c>
      <c r="CN3935" t="s">
        <v>174</v>
      </c>
      <c r="CO3935" t="s">
        <v>86</v>
      </c>
      <c r="CR3935">
        <v>20</v>
      </c>
      <c r="CS3935">
        <v>0</v>
      </c>
      <c r="CT3935">
        <v>0</v>
      </c>
      <c r="CU3935">
        <v>0</v>
      </c>
    </row>
    <row r="3936" spans="1:99" x14ac:dyDescent="0.2">
      <c r="A3936" t="s">
        <v>367</v>
      </c>
      <c r="B3936" t="s">
        <v>368</v>
      </c>
      <c r="C3936" t="s">
        <v>369</v>
      </c>
      <c r="D3936" t="s">
        <v>1895</v>
      </c>
      <c r="F3936" t="str">
        <f>"165695"</f>
        <v>165695</v>
      </c>
      <c r="G3936" t="s">
        <v>49</v>
      </c>
      <c r="H3936" t="s">
        <v>1896</v>
      </c>
      <c r="K3936" t="s">
        <v>51</v>
      </c>
      <c r="L3936" t="s">
        <v>52</v>
      </c>
      <c r="M3936">
        <v>137575.94</v>
      </c>
      <c r="N3936">
        <v>468610.64</v>
      </c>
      <c r="O3936" t="s">
        <v>53</v>
      </c>
      <c r="P3936" t="s">
        <v>54</v>
      </c>
      <c r="Q3936" t="s">
        <v>55</v>
      </c>
      <c r="T3936" t="s">
        <v>241</v>
      </c>
      <c r="U3936">
        <v>40</v>
      </c>
      <c r="V3936" s="1">
        <v>37322</v>
      </c>
      <c r="W3936" s="1">
        <v>37322</v>
      </c>
      <c r="X3936" s="1">
        <v>37322</v>
      </c>
      <c r="Y3936" s="1">
        <v>51932</v>
      </c>
      <c r="Z3936" t="s">
        <v>51</v>
      </c>
      <c r="AB3936" t="s">
        <v>54</v>
      </c>
      <c r="AC3936">
        <v>1</v>
      </c>
      <c r="AE3936" t="s">
        <v>825</v>
      </c>
      <c r="AF3936">
        <v>20</v>
      </c>
      <c r="AG3936" s="1">
        <v>37322</v>
      </c>
      <c r="AH3936" s="1">
        <v>37322</v>
      </c>
      <c r="AI3936" s="1">
        <v>37322</v>
      </c>
      <c r="AJ3936" s="1">
        <v>44627</v>
      </c>
      <c r="AK3936" t="s">
        <v>51</v>
      </c>
      <c r="AN3936">
        <v>0</v>
      </c>
      <c r="AO3936" t="s">
        <v>54</v>
      </c>
      <c r="AP3936" t="s">
        <v>53</v>
      </c>
      <c r="AQ3936">
        <v>0</v>
      </c>
      <c r="AR3936" t="s">
        <v>53</v>
      </c>
      <c r="AS3936">
        <v>0</v>
      </c>
      <c r="AT3936">
        <v>0</v>
      </c>
      <c r="CC3936" t="s">
        <v>555</v>
      </c>
      <c r="CD3936">
        <v>85000</v>
      </c>
      <c r="CE3936" s="1">
        <v>42552</v>
      </c>
      <c r="CF3936" s="1">
        <v>42552</v>
      </c>
      <c r="CG3936" s="1">
        <v>42552</v>
      </c>
      <c r="CH3936" s="1">
        <v>50139</v>
      </c>
      <c r="CI3936" t="s">
        <v>51</v>
      </c>
      <c r="CK3936" t="s">
        <v>78</v>
      </c>
      <c r="CM3936" t="s">
        <v>54</v>
      </c>
      <c r="CN3936" t="s">
        <v>174</v>
      </c>
      <c r="CO3936" t="s">
        <v>86</v>
      </c>
      <c r="CR3936">
        <v>20</v>
      </c>
      <c r="CS3936">
        <v>0</v>
      </c>
      <c r="CT3936">
        <v>0</v>
      </c>
      <c r="CU3936">
        <v>0</v>
      </c>
    </row>
    <row r="3937" spans="1:99" x14ac:dyDescent="0.2">
      <c r="A3937" t="s">
        <v>367</v>
      </c>
      <c r="B3937" t="s">
        <v>368</v>
      </c>
      <c r="C3937" t="s">
        <v>369</v>
      </c>
      <c r="D3937" t="s">
        <v>1895</v>
      </c>
      <c r="F3937" t="str">
        <f>"165696"</f>
        <v>165696</v>
      </c>
      <c r="G3937" t="s">
        <v>49</v>
      </c>
      <c r="H3937" t="s">
        <v>1897</v>
      </c>
      <c r="K3937" t="s">
        <v>51</v>
      </c>
      <c r="L3937" t="s">
        <v>52</v>
      </c>
      <c r="M3937">
        <v>137588.09</v>
      </c>
      <c r="N3937">
        <v>468594.92</v>
      </c>
      <c r="O3937" t="s">
        <v>53</v>
      </c>
      <c r="P3937" t="s">
        <v>54</v>
      </c>
      <c r="Q3937" t="s">
        <v>55</v>
      </c>
      <c r="T3937" t="s">
        <v>241</v>
      </c>
      <c r="U3937">
        <v>40</v>
      </c>
      <c r="V3937" s="1">
        <v>37322</v>
      </c>
      <c r="W3937" s="1">
        <v>37322</v>
      </c>
      <c r="X3937" s="1">
        <v>37322</v>
      </c>
      <c r="Y3937" s="1">
        <v>51932</v>
      </c>
      <c r="Z3937" t="s">
        <v>51</v>
      </c>
      <c r="AB3937" t="s">
        <v>54</v>
      </c>
      <c r="AC3937">
        <v>1</v>
      </c>
      <c r="AE3937" t="s">
        <v>825</v>
      </c>
      <c r="AF3937">
        <v>20</v>
      </c>
      <c r="AG3937" s="1">
        <v>37322</v>
      </c>
      <c r="AH3937" s="1">
        <v>37322</v>
      </c>
      <c r="AI3937" s="1">
        <v>37322</v>
      </c>
      <c r="AJ3937" s="1">
        <v>44627</v>
      </c>
      <c r="AK3937" t="s">
        <v>51</v>
      </c>
      <c r="AN3937">
        <v>0</v>
      </c>
      <c r="AO3937" t="s">
        <v>54</v>
      </c>
      <c r="AP3937" t="s">
        <v>53</v>
      </c>
      <c r="AQ3937">
        <v>0</v>
      </c>
      <c r="AR3937" t="s">
        <v>53</v>
      </c>
      <c r="AS3937">
        <v>0</v>
      </c>
      <c r="AT3937">
        <v>0</v>
      </c>
      <c r="CC3937" t="s">
        <v>555</v>
      </c>
      <c r="CD3937">
        <v>85000</v>
      </c>
      <c r="CE3937" s="1">
        <v>42552</v>
      </c>
      <c r="CF3937" s="1">
        <v>42552</v>
      </c>
      <c r="CG3937" s="1">
        <v>42552</v>
      </c>
      <c r="CH3937" s="1">
        <v>49714</v>
      </c>
      <c r="CI3937" t="s">
        <v>51</v>
      </c>
      <c r="CK3937" t="s">
        <v>78</v>
      </c>
      <c r="CM3937" t="s">
        <v>54</v>
      </c>
      <c r="CN3937" t="s">
        <v>174</v>
      </c>
      <c r="CO3937" t="s">
        <v>86</v>
      </c>
      <c r="CR3937">
        <v>20</v>
      </c>
      <c r="CS3937">
        <v>0</v>
      </c>
      <c r="CT3937">
        <v>0</v>
      </c>
      <c r="CU3937">
        <v>0</v>
      </c>
    </row>
    <row r="3938" spans="1:99" x14ac:dyDescent="0.2">
      <c r="A3938" t="s">
        <v>367</v>
      </c>
      <c r="B3938" t="s">
        <v>368</v>
      </c>
      <c r="C3938" t="s">
        <v>369</v>
      </c>
      <c r="D3938" t="s">
        <v>1895</v>
      </c>
      <c r="F3938" t="str">
        <f>"165697"</f>
        <v>165697</v>
      </c>
      <c r="G3938" t="s">
        <v>49</v>
      </c>
      <c r="H3938" t="s">
        <v>1898</v>
      </c>
      <c r="K3938" t="s">
        <v>51</v>
      </c>
      <c r="L3938" t="s">
        <v>52</v>
      </c>
      <c r="M3938">
        <v>137602.53</v>
      </c>
      <c r="N3938">
        <v>468576.21</v>
      </c>
      <c r="O3938" t="s">
        <v>53</v>
      </c>
      <c r="P3938" t="s">
        <v>54</v>
      </c>
      <c r="Q3938" t="s">
        <v>55</v>
      </c>
      <c r="T3938" t="s">
        <v>241</v>
      </c>
      <c r="U3938">
        <v>40</v>
      </c>
      <c r="V3938" s="1">
        <v>37322</v>
      </c>
      <c r="W3938" s="1">
        <v>37322</v>
      </c>
      <c r="X3938" s="1">
        <v>37322</v>
      </c>
      <c r="Y3938" s="1">
        <v>51932</v>
      </c>
      <c r="Z3938" t="s">
        <v>51</v>
      </c>
      <c r="AB3938" t="s">
        <v>54</v>
      </c>
      <c r="AC3938">
        <v>1</v>
      </c>
      <c r="AE3938" t="s">
        <v>825</v>
      </c>
      <c r="AF3938">
        <v>20</v>
      </c>
      <c r="AG3938" s="1">
        <v>37322</v>
      </c>
      <c r="AH3938" s="1">
        <v>37322</v>
      </c>
      <c r="AI3938" s="1">
        <v>37322</v>
      </c>
      <c r="AJ3938" s="1">
        <v>44627</v>
      </c>
      <c r="AK3938" t="s">
        <v>51</v>
      </c>
      <c r="AN3938">
        <v>0</v>
      </c>
      <c r="AO3938" t="s">
        <v>54</v>
      </c>
      <c r="AP3938" t="s">
        <v>53</v>
      </c>
      <c r="AQ3938">
        <v>0</v>
      </c>
      <c r="AR3938" t="s">
        <v>53</v>
      </c>
      <c r="AS3938">
        <v>0</v>
      </c>
      <c r="AT3938">
        <v>0</v>
      </c>
      <c r="CC3938" t="s">
        <v>555</v>
      </c>
      <c r="CD3938">
        <v>85000</v>
      </c>
      <c r="CE3938" s="1">
        <v>42552</v>
      </c>
      <c r="CF3938" s="1">
        <v>42552</v>
      </c>
      <c r="CG3938" s="1">
        <v>42552</v>
      </c>
      <c r="CH3938" s="1">
        <v>49714</v>
      </c>
      <c r="CI3938" t="s">
        <v>51</v>
      </c>
      <c r="CK3938" t="s">
        <v>78</v>
      </c>
      <c r="CM3938" t="s">
        <v>54</v>
      </c>
      <c r="CN3938" t="s">
        <v>174</v>
      </c>
      <c r="CO3938" t="s">
        <v>86</v>
      </c>
      <c r="CR3938">
        <v>20</v>
      </c>
      <c r="CS3938">
        <v>0</v>
      </c>
      <c r="CT3938">
        <v>0</v>
      </c>
      <c r="CU3938">
        <v>0</v>
      </c>
    </row>
    <row r="3939" spans="1:99" x14ac:dyDescent="0.2">
      <c r="A3939" t="s">
        <v>367</v>
      </c>
      <c r="B3939" t="s">
        <v>368</v>
      </c>
      <c r="C3939" t="s">
        <v>369</v>
      </c>
      <c r="D3939" t="s">
        <v>1895</v>
      </c>
      <c r="F3939" t="str">
        <f>"165698"</f>
        <v>165698</v>
      </c>
      <c r="G3939" t="s">
        <v>49</v>
      </c>
      <c r="H3939" t="s">
        <v>1899</v>
      </c>
      <c r="K3939" t="s">
        <v>51</v>
      </c>
      <c r="L3939" t="s">
        <v>52</v>
      </c>
      <c r="M3939">
        <v>137617.65</v>
      </c>
      <c r="N3939">
        <v>468556.69</v>
      </c>
      <c r="O3939" t="s">
        <v>53</v>
      </c>
      <c r="P3939" t="s">
        <v>54</v>
      </c>
      <c r="Q3939" t="s">
        <v>55</v>
      </c>
      <c r="T3939" t="s">
        <v>241</v>
      </c>
      <c r="U3939">
        <v>40</v>
      </c>
      <c r="V3939" s="1">
        <v>37322</v>
      </c>
      <c r="W3939" s="1">
        <v>37322</v>
      </c>
      <c r="X3939" s="1">
        <v>37322</v>
      </c>
      <c r="Y3939" s="1">
        <v>51932</v>
      </c>
      <c r="Z3939" t="s">
        <v>51</v>
      </c>
      <c r="AB3939" t="s">
        <v>54</v>
      </c>
      <c r="AC3939">
        <v>1</v>
      </c>
      <c r="AE3939" t="s">
        <v>825</v>
      </c>
      <c r="AF3939">
        <v>20</v>
      </c>
      <c r="AG3939" s="1">
        <v>37322</v>
      </c>
      <c r="AH3939" s="1">
        <v>37322</v>
      </c>
      <c r="AI3939" s="1">
        <v>37322</v>
      </c>
      <c r="AJ3939" s="1">
        <v>44627</v>
      </c>
      <c r="AK3939" t="s">
        <v>51</v>
      </c>
      <c r="AN3939">
        <v>0</v>
      </c>
      <c r="AO3939" t="s">
        <v>54</v>
      </c>
      <c r="AP3939" t="s">
        <v>53</v>
      </c>
      <c r="AQ3939">
        <v>0</v>
      </c>
      <c r="AR3939" t="s">
        <v>53</v>
      </c>
      <c r="AS3939">
        <v>0</v>
      </c>
      <c r="AT3939">
        <v>0</v>
      </c>
      <c r="CC3939" t="s">
        <v>555</v>
      </c>
      <c r="CD3939">
        <v>85000</v>
      </c>
      <c r="CE3939" s="1">
        <v>42552</v>
      </c>
      <c r="CF3939" s="1">
        <v>42552</v>
      </c>
      <c r="CG3939" s="1">
        <v>42552</v>
      </c>
      <c r="CH3939" s="1">
        <v>49714</v>
      </c>
      <c r="CI3939" t="s">
        <v>51</v>
      </c>
      <c r="CK3939" t="s">
        <v>78</v>
      </c>
      <c r="CM3939" t="s">
        <v>54</v>
      </c>
      <c r="CN3939" t="s">
        <v>174</v>
      </c>
      <c r="CO3939" t="s">
        <v>86</v>
      </c>
      <c r="CR3939">
        <v>20</v>
      </c>
      <c r="CS3939">
        <v>0</v>
      </c>
      <c r="CT3939">
        <v>0</v>
      </c>
      <c r="CU3939">
        <v>0</v>
      </c>
    </row>
    <row r="3940" spans="1:99" x14ac:dyDescent="0.2">
      <c r="A3940" t="s">
        <v>367</v>
      </c>
      <c r="B3940" t="s">
        <v>368</v>
      </c>
      <c r="C3940" t="s">
        <v>369</v>
      </c>
      <c r="D3940" t="s">
        <v>1215</v>
      </c>
      <c r="F3940" t="str">
        <f>"168020"</f>
        <v>168020</v>
      </c>
      <c r="G3940" t="s">
        <v>49</v>
      </c>
      <c r="H3940" t="s">
        <v>1900</v>
      </c>
      <c r="K3940" t="s">
        <v>51</v>
      </c>
      <c r="L3940" t="s">
        <v>52</v>
      </c>
      <c r="M3940">
        <v>138161.72</v>
      </c>
      <c r="N3940">
        <v>468152.73</v>
      </c>
      <c r="O3940" t="s">
        <v>53</v>
      </c>
      <c r="P3940" t="s">
        <v>54</v>
      </c>
      <c r="Q3940" t="s">
        <v>55</v>
      </c>
      <c r="T3940" t="s">
        <v>1901</v>
      </c>
      <c r="U3940">
        <v>40</v>
      </c>
      <c r="V3940" s="1">
        <v>42552</v>
      </c>
      <c r="W3940" s="1">
        <v>42552</v>
      </c>
      <c r="X3940" s="1">
        <v>42552</v>
      </c>
      <c r="Y3940" s="1">
        <v>57162</v>
      </c>
      <c r="Z3940" t="s">
        <v>51</v>
      </c>
      <c r="AB3940" t="s">
        <v>54</v>
      </c>
      <c r="AC3940">
        <v>1</v>
      </c>
      <c r="AE3940" t="s">
        <v>79</v>
      </c>
      <c r="AF3940">
        <v>20</v>
      </c>
      <c r="AG3940" s="1">
        <v>42552</v>
      </c>
      <c r="AH3940" s="1">
        <v>42552</v>
      </c>
      <c r="AI3940" s="1">
        <v>42552</v>
      </c>
      <c r="AJ3940" s="1">
        <v>49857</v>
      </c>
      <c r="AK3940" t="s">
        <v>51</v>
      </c>
      <c r="AN3940">
        <v>0</v>
      </c>
      <c r="AO3940" t="s">
        <v>54</v>
      </c>
      <c r="AP3940" t="s">
        <v>53</v>
      </c>
      <c r="AQ3940">
        <v>0</v>
      </c>
      <c r="AR3940" t="s">
        <v>145</v>
      </c>
      <c r="AS3940">
        <v>0</v>
      </c>
      <c r="AT3940">
        <v>0</v>
      </c>
      <c r="CC3940" t="s">
        <v>669</v>
      </c>
      <c r="CD3940">
        <v>85000</v>
      </c>
      <c r="CE3940" s="1">
        <v>42552</v>
      </c>
      <c r="CF3940" s="1">
        <v>42552</v>
      </c>
      <c r="CG3940" s="1">
        <v>42552</v>
      </c>
      <c r="CH3940" s="1">
        <v>49714</v>
      </c>
      <c r="CI3940" t="s">
        <v>51</v>
      </c>
      <c r="CK3940" t="s">
        <v>78</v>
      </c>
      <c r="CM3940" t="s">
        <v>54</v>
      </c>
      <c r="CN3940" t="s">
        <v>174</v>
      </c>
      <c r="CO3940" t="s">
        <v>86</v>
      </c>
      <c r="CR3940">
        <v>50</v>
      </c>
      <c r="CS3940">
        <v>0</v>
      </c>
      <c r="CT3940">
        <v>0</v>
      </c>
      <c r="CU3940">
        <v>0</v>
      </c>
    </row>
    <row r="3941" spans="1:99" x14ac:dyDescent="0.2">
      <c r="A3941" t="s">
        <v>367</v>
      </c>
      <c r="B3941" t="s">
        <v>368</v>
      </c>
      <c r="C3941" t="s">
        <v>369</v>
      </c>
      <c r="D3941" t="s">
        <v>1215</v>
      </c>
      <c r="F3941" t="str">
        <f>"168021"</f>
        <v>168021</v>
      </c>
      <c r="G3941" t="s">
        <v>49</v>
      </c>
      <c r="H3941" t="s">
        <v>1902</v>
      </c>
      <c r="K3941" t="s">
        <v>51</v>
      </c>
      <c r="L3941" t="s">
        <v>52</v>
      </c>
      <c r="M3941">
        <v>138156.21</v>
      </c>
      <c r="N3941">
        <v>468146.81</v>
      </c>
      <c r="O3941" t="s">
        <v>53</v>
      </c>
      <c r="P3941" t="s">
        <v>54</v>
      </c>
      <c r="Q3941" t="s">
        <v>55</v>
      </c>
      <c r="T3941" t="s">
        <v>1901</v>
      </c>
      <c r="U3941">
        <v>40</v>
      </c>
      <c r="V3941" s="1">
        <v>35600</v>
      </c>
      <c r="W3941" s="1">
        <v>35600</v>
      </c>
      <c r="X3941" s="1">
        <v>35600</v>
      </c>
      <c r="Y3941" s="1">
        <v>50210</v>
      </c>
      <c r="Z3941" t="s">
        <v>51</v>
      </c>
      <c r="AB3941" t="s">
        <v>54</v>
      </c>
      <c r="AC3941">
        <v>1</v>
      </c>
      <c r="AE3941" t="s">
        <v>1903</v>
      </c>
      <c r="AF3941">
        <v>20</v>
      </c>
      <c r="AG3941" s="1">
        <v>35600</v>
      </c>
      <c r="AH3941" s="1">
        <v>35600</v>
      </c>
      <c r="AI3941" s="1">
        <v>35600</v>
      </c>
      <c r="AJ3941" s="1">
        <v>42905</v>
      </c>
      <c r="AK3941" t="s">
        <v>51</v>
      </c>
      <c r="AN3941">
        <v>0</v>
      </c>
      <c r="AO3941" t="s">
        <v>54</v>
      </c>
      <c r="AP3941" t="s">
        <v>53</v>
      </c>
      <c r="AQ3941">
        <v>0</v>
      </c>
      <c r="AR3941" t="s">
        <v>53</v>
      </c>
      <c r="AS3941">
        <v>0</v>
      </c>
      <c r="AT3941">
        <v>0</v>
      </c>
      <c r="AW3941" t="s">
        <v>58</v>
      </c>
      <c r="AX3941">
        <v>20</v>
      </c>
      <c r="AY3941" s="1">
        <v>35600</v>
      </c>
      <c r="AZ3941" s="1">
        <v>35600</v>
      </c>
      <c r="BA3941" s="1">
        <v>35600</v>
      </c>
      <c r="BB3941" s="1">
        <v>42905</v>
      </c>
      <c r="BC3941" t="s">
        <v>51</v>
      </c>
      <c r="BE3941" t="s">
        <v>54</v>
      </c>
      <c r="BF3941">
        <v>2</v>
      </c>
      <c r="BG3941">
        <v>0</v>
      </c>
      <c r="BH3941" t="s">
        <v>53</v>
      </c>
      <c r="BK3941" t="s">
        <v>1904</v>
      </c>
      <c r="BL3941">
        <v>21500</v>
      </c>
      <c r="BM3941" s="1">
        <v>42552</v>
      </c>
      <c r="BN3941" s="1">
        <v>42552</v>
      </c>
      <c r="BO3941" s="1">
        <v>42552</v>
      </c>
      <c r="BP3941" s="1">
        <v>44363</v>
      </c>
      <c r="BQ3941" t="s">
        <v>51</v>
      </c>
      <c r="BS3941" t="s">
        <v>60</v>
      </c>
      <c r="BT3941" t="s">
        <v>54</v>
      </c>
      <c r="BU3941" t="s">
        <v>362</v>
      </c>
      <c r="BV3941" t="s">
        <v>354</v>
      </c>
      <c r="BX3941">
        <v>50</v>
      </c>
      <c r="BY3941">
        <v>0</v>
      </c>
      <c r="BZ3941">
        <v>0</v>
      </c>
    </row>
    <row r="3942" spans="1:99" x14ac:dyDescent="0.2">
      <c r="A3942" t="s">
        <v>367</v>
      </c>
      <c r="B3942" t="s">
        <v>368</v>
      </c>
      <c r="C3942" t="s">
        <v>369</v>
      </c>
      <c r="D3942" t="s">
        <v>1215</v>
      </c>
      <c r="F3942" t="str">
        <f>"168023"</f>
        <v>168023</v>
      </c>
      <c r="G3942" t="s">
        <v>49</v>
      </c>
      <c r="H3942" t="s">
        <v>1905</v>
      </c>
      <c r="K3942" t="s">
        <v>51</v>
      </c>
      <c r="L3942" t="s">
        <v>52</v>
      </c>
      <c r="M3942">
        <v>138162.41</v>
      </c>
      <c r="N3942">
        <v>468140.42</v>
      </c>
      <c r="O3942" t="s">
        <v>53</v>
      </c>
      <c r="P3942" t="s">
        <v>54</v>
      </c>
      <c r="Q3942" t="s">
        <v>55</v>
      </c>
      <c r="T3942" t="s">
        <v>1901</v>
      </c>
      <c r="U3942">
        <v>40</v>
      </c>
      <c r="V3942" s="1">
        <v>35600</v>
      </c>
      <c r="W3942" s="1">
        <v>35600</v>
      </c>
      <c r="X3942" s="1">
        <v>35600</v>
      </c>
      <c r="Y3942" s="1">
        <v>50210</v>
      </c>
      <c r="Z3942" t="s">
        <v>51</v>
      </c>
      <c r="AB3942" t="s">
        <v>54</v>
      </c>
      <c r="AC3942">
        <v>1</v>
      </c>
      <c r="AE3942" t="s">
        <v>1903</v>
      </c>
      <c r="AF3942">
        <v>20</v>
      </c>
      <c r="AG3942" s="1">
        <v>35600</v>
      </c>
      <c r="AH3942" s="1">
        <v>35600</v>
      </c>
      <c r="AI3942" s="1">
        <v>35600</v>
      </c>
      <c r="AJ3942" s="1">
        <v>42905</v>
      </c>
      <c r="AK3942" t="s">
        <v>51</v>
      </c>
      <c r="AN3942">
        <v>0</v>
      </c>
      <c r="AO3942" t="s">
        <v>54</v>
      </c>
      <c r="AP3942" t="s">
        <v>53</v>
      </c>
      <c r="AQ3942">
        <v>0</v>
      </c>
      <c r="AR3942" t="s">
        <v>53</v>
      </c>
      <c r="AS3942">
        <v>0</v>
      </c>
      <c r="AT3942">
        <v>0</v>
      </c>
      <c r="AW3942" t="s">
        <v>58</v>
      </c>
      <c r="AX3942">
        <v>20</v>
      </c>
      <c r="AY3942" s="1">
        <v>35600</v>
      </c>
      <c r="AZ3942" s="1">
        <v>35600</v>
      </c>
      <c r="BA3942" s="1">
        <v>35600</v>
      </c>
      <c r="BB3942" s="1">
        <v>42905</v>
      </c>
      <c r="BC3942" t="s">
        <v>51</v>
      </c>
      <c r="BE3942" t="s">
        <v>54</v>
      </c>
      <c r="BF3942">
        <v>2</v>
      </c>
      <c r="BG3942">
        <v>0</v>
      </c>
      <c r="BH3942" t="s">
        <v>53</v>
      </c>
      <c r="BK3942" t="s">
        <v>1904</v>
      </c>
      <c r="BL3942">
        <v>21500</v>
      </c>
      <c r="BM3942" s="1">
        <v>44361</v>
      </c>
      <c r="BN3942" s="1">
        <v>44361</v>
      </c>
      <c r="BO3942" s="1">
        <v>44361</v>
      </c>
      <c r="BP3942" s="1">
        <v>46172</v>
      </c>
      <c r="BQ3942" t="s">
        <v>51</v>
      </c>
      <c r="BS3942" t="s">
        <v>60</v>
      </c>
      <c r="BT3942" t="s">
        <v>54</v>
      </c>
      <c r="BU3942" t="s">
        <v>362</v>
      </c>
      <c r="BV3942" t="s">
        <v>354</v>
      </c>
      <c r="BX3942">
        <v>50</v>
      </c>
      <c r="BY3942">
        <v>0</v>
      </c>
      <c r="BZ3942">
        <v>0</v>
      </c>
    </row>
    <row r="3943" spans="1:99" x14ac:dyDescent="0.2">
      <c r="A3943" t="s">
        <v>367</v>
      </c>
      <c r="B3943" t="s">
        <v>368</v>
      </c>
      <c r="C3943" t="s">
        <v>369</v>
      </c>
      <c r="D3943" t="s">
        <v>1215</v>
      </c>
      <c r="F3943" t="str">
        <f>"168024"</f>
        <v>168024</v>
      </c>
      <c r="G3943" t="s">
        <v>49</v>
      </c>
      <c r="H3943" t="s">
        <v>1906</v>
      </c>
      <c r="K3943" t="s">
        <v>51</v>
      </c>
      <c r="L3943" t="s">
        <v>52</v>
      </c>
      <c r="M3943">
        <v>138162.47</v>
      </c>
      <c r="N3943">
        <v>468125.98</v>
      </c>
      <c r="O3943" t="s">
        <v>53</v>
      </c>
      <c r="P3943" t="s">
        <v>54</v>
      </c>
      <c r="Q3943" t="s">
        <v>55</v>
      </c>
      <c r="T3943" t="s">
        <v>1901</v>
      </c>
      <c r="U3943">
        <v>40</v>
      </c>
      <c r="V3943" s="1">
        <v>42552</v>
      </c>
      <c r="W3943" s="1">
        <v>42552</v>
      </c>
      <c r="X3943" s="1">
        <v>42552</v>
      </c>
      <c r="Y3943" s="1">
        <v>57162</v>
      </c>
      <c r="Z3943" t="s">
        <v>51</v>
      </c>
      <c r="AB3943" t="s">
        <v>54</v>
      </c>
      <c r="AC3943">
        <v>1</v>
      </c>
      <c r="AE3943" t="s">
        <v>79</v>
      </c>
      <c r="AF3943">
        <v>20</v>
      </c>
      <c r="AG3943" s="1">
        <v>42552</v>
      </c>
      <c r="AH3943" s="1">
        <v>42552</v>
      </c>
      <c r="AI3943" s="1">
        <v>42552</v>
      </c>
      <c r="AJ3943" s="1">
        <v>49857</v>
      </c>
      <c r="AK3943" t="s">
        <v>51</v>
      </c>
      <c r="AN3943">
        <v>0</v>
      </c>
      <c r="AO3943" t="s">
        <v>54</v>
      </c>
      <c r="AP3943" t="s">
        <v>53</v>
      </c>
      <c r="AQ3943">
        <v>0</v>
      </c>
      <c r="AR3943" t="s">
        <v>145</v>
      </c>
      <c r="AS3943">
        <v>0</v>
      </c>
      <c r="AT3943">
        <v>0</v>
      </c>
      <c r="CC3943" t="s">
        <v>669</v>
      </c>
      <c r="CD3943">
        <v>85000</v>
      </c>
      <c r="CE3943" s="1">
        <v>42552</v>
      </c>
      <c r="CF3943" s="1">
        <v>42552</v>
      </c>
      <c r="CG3943" s="1">
        <v>42552</v>
      </c>
      <c r="CH3943" s="1">
        <v>49714</v>
      </c>
      <c r="CI3943" t="s">
        <v>51</v>
      </c>
      <c r="CK3943" t="s">
        <v>78</v>
      </c>
      <c r="CM3943" t="s">
        <v>54</v>
      </c>
      <c r="CN3943" t="s">
        <v>174</v>
      </c>
      <c r="CO3943" t="s">
        <v>86</v>
      </c>
      <c r="CR3943">
        <v>50</v>
      </c>
      <c r="CS3943">
        <v>0</v>
      </c>
      <c r="CT3943">
        <v>0</v>
      </c>
      <c r="CU3943">
        <v>0</v>
      </c>
    </row>
    <row r="3944" spans="1:99" x14ac:dyDescent="0.2">
      <c r="A3944" t="s">
        <v>367</v>
      </c>
      <c r="B3944" t="s">
        <v>368</v>
      </c>
      <c r="C3944" t="s">
        <v>369</v>
      </c>
      <c r="D3944" t="s">
        <v>1895</v>
      </c>
      <c r="F3944" t="str">
        <f>"168533"</f>
        <v>168533</v>
      </c>
      <c r="G3944" t="s">
        <v>49</v>
      </c>
      <c r="H3944" t="s">
        <v>1907</v>
      </c>
      <c r="K3944" t="s">
        <v>51</v>
      </c>
      <c r="L3944" t="s">
        <v>52</v>
      </c>
      <c r="M3944">
        <v>137629.81</v>
      </c>
      <c r="N3944">
        <v>468540.63</v>
      </c>
      <c r="O3944" t="s">
        <v>53</v>
      </c>
      <c r="P3944" t="s">
        <v>54</v>
      </c>
      <c r="Q3944" t="s">
        <v>55</v>
      </c>
      <c r="T3944" t="s">
        <v>241</v>
      </c>
      <c r="U3944">
        <v>40</v>
      </c>
      <c r="V3944" s="1">
        <v>37322</v>
      </c>
      <c r="W3944" s="1">
        <v>37322</v>
      </c>
      <c r="X3944" s="1">
        <v>37322</v>
      </c>
      <c r="Y3944" s="1">
        <v>51932</v>
      </c>
      <c r="Z3944" t="s">
        <v>51</v>
      </c>
      <c r="AB3944" t="s">
        <v>54</v>
      </c>
      <c r="AC3944">
        <v>1</v>
      </c>
      <c r="AE3944" t="s">
        <v>825</v>
      </c>
      <c r="AF3944">
        <v>20</v>
      </c>
      <c r="AG3944" s="1">
        <v>37322</v>
      </c>
      <c r="AH3944" s="1">
        <v>37322</v>
      </c>
      <c r="AI3944" s="1">
        <v>37322</v>
      </c>
      <c r="AJ3944" s="1">
        <v>44627</v>
      </c>
      <c r="AK3944" t="s">
        <v>51</v>
      </c>
      <c r="AN3944">
        <v>0</v>
      </c>
      <c r="AO3944" t="s">
        <v>54</v>
      </c>
      <c r="AP3944" t="s">
        <v>53</v>
      </c>
      <c r="AQ3944">
        <v>0</v>
      </c>
      <c r="AR3944" t="s">
        <v>53</v>
      </c>
      <c r="AS3944">
        <v>0</v>
      </c>
      <c r="AT3944">
        <v>0</v>
      </c>
      <c r="CC3944" t="s">
        <v>555</v>
      </c>
      <c r="CD3944">
        <v>85000</v>
      </c>
      <c r="CE3944" s="1">
        <v>42552</v>
      </c>
      <c r="CF3944" s="1">
        <v>42552</v>
      </c>
      <c r="CG3944" s="1">
        <v>42552</v>
      </c>
      <c r="CH3944" s="1">
        <v>49714</v>
      </c>
      <c r="CI3944" t="s">
        <v>51</v>
      </c>
      <c r="CK3944" t="s">
        <v>78</v>
      </c>
      <c r="CM3944" t="s">
        <v>54</v>
      </c>
      <c r="CN3944" t="s">
        <v>174</v>
      </c>
      <c r="CO3944" t="s">
        <v>86</v>
      </c>
      <c r="CR3944">
        <v>20</v>
      </c>
      <c r="CS3944">
        <v>0</v>
      </c>
      <c r="CT3944">
        <v>0</v>
      </c>
      <c r="CU3944">
        <v>0</v>
      </c>
    </row>
    <row r="3945" spans="1:99" x14ac:dyDescent="0.2">
      <c r="A3945" t="s">
        <v>367</v>
      </c>
      <c r="B3945" t="s">
        <v>368</v>
      </c>
      <c r="C3945" t="s">
        <v>369</v>
      </c>
      <c r="D3945" t="s">
        <v>1895</v>
      </c>
      <c r="F3945" t="str">
        <f>"168534"</f>
        <v>168534</v>
      </c>
      <c r="G3945" t="s">
        <v>49</v>
      </c>
      <c r="H3945" t="s">
        <v>1908</v>
      </c>
      <c r="K3945" t="s">
        <v>51</v>
      </c>
      <c r="L3945" t="s">
        <v>52</v>
      </c>
      <c r="M3945">
        <v>137637.82999999999</v>
      </c>
      <c r="N3945">
        <v>468520.59</v>
      </c>
      <c r="O3945" t="s">
        <v>53</v>
      </c>
      <c r="P3945" t="s">
        <v>54</v>
      </c>
      <c r="Q3945" t="s">
        <v>55</v>
      </c>
      <c r="T3945" t="s">
        <v>241</v>
      </c>
      <c r="U3945">
        <v>40</v>
      </c>
      <c r="V3945" s="1">
        <v>37322</v>
      </c>
      <c r="W3945" s="1">
        <v>37322</v>
      </c>
      <c r="X3945" s="1">
        <v>37322</v>
      </c>
      <c r="Y3945" s="1">
        <v>51932</v>
      </c>
      <c r="Z3945" t="s">
        <v>51</v>
      </c>
      <c r="AB3945" t="s">
        <v>54</v>
      </c>
      <c r="AC3945">
        <v>1</v>
      </c>
      <c r="AE3945" t="s">
        <v>825</v>
      </c>
      <c r="AF3945">
        <v>20</v>
      </c>
      <c r="AG3945" s="1">
        <v>37322</v>
      </c>
      <c r="AH3945" s="1">
        <v>37322</v>
      </c>
      <c r="AI3945" s="1">
        <v>37322</v>
      </c>
      <c r="AJ3945" s="1">
        <v>44627</v>
      </c>
      <c r="AK3945" t="s">
        <v>51</v>
      </c>
      <c r="AN3945">
        <v>0</v>
      </c>
      <c r="AO3945" t="s">
        <v>54</v>
      </c>
      <c r="AP3945" t="s">
        <v>53</v>
      </c>
      <c r="AQ3945">
        <v>0</v>
      </c>
      <c r="AR3945" t="s">
        <v>53</v>
      </c>
      <c r="AS3945">
        <v>0</v>
      </c>
      <c r="AT3945">
        <v>0</v>
      </c>
      <c r="CC3945" t="s">
        <v>555</v>
      </c>
      <c r="CD3945">
        <v>85000</v>
      </c>
      <c r="CE3945" s="1">
        <v>42552</v>
      </c>
      <c r="CF3945" s="1">
        <v>42552</v>
      </c>
      <c r="CG3945" s="1">
        <v>42552</v>
      </c>
      <c r="CH3945" s="1">
        <v>49714</v>
      </c>
      <c r="CI3945" t="s">
        <v>51</v>
      </c>
      <c r="CK3945" t="s">
        <v>78</v>
      </c>
      <c r="CM3945" t="s">
        <v>54</v>
      </c>
      <c r="CN3945" t="s">
        <v>174</v>
      </c>
      <c r="CO3945" t="s">
        <v>86</v>
      </c>
      <c r="CR3945">
        <v>20</v>
      </c>
      <c r="CS3945">
        <v>0</v>
      </c>
      <c r="CT3945">
        <v>0</v>
      </c>
      <c r="CU3945">
        <v>0</v>
      </c>
    </row>
    <row r="3946" spans="1:99" x14ac:dyDescent="0.2">
      <c r="A3946" t="s">
        <v>367</v>
      </c>
      <c r="B3946" t="s">
        <v>368</v>
      </c>
      <c r="C3946" t="s">
        <v>369</v>
      </c>
      <c r="D3946" t="s">
        <v>1215</v>
      </c>
      <c r="F3946" t="str">
        <f>"169347"</f>
        <v>169347</v>
      </c>
      <c r="G3946" t="s">
        <v>49</v>
      </c>
      <c r="H3946" t="s">
        <v>1909</v>
      </c>
      <c r="K3946" t="s">
        <v>51</v>
      </c>
      <c r="L3946" t="s">
        <v>52</v>
      </c>
      <c r="M3946">
        <v>138187.299</v>
      </c>
      <c r="N3946">
        <v>468099.72200000001</v>
      </c>
      <c r="O3946" t="s">
        <v>53</v>
      </c>
      <c r="P3946" t="s">
        <v>54</v>
      </c>
      <c r="Q3946" t="s">
        <v>55</v>
      </c>
      <c r="T3946" t="s">
        <v>841</v>
      </c>
      <c r="U3946">
        <v>40</v>
      </c>
      <c r="V3946" s="1">
        <v>37802</v>
      </c>
      <c r="W3946" s="1">
        <v>37802</v>
      </c>
      <c r="X3946" s="1">
        <v>37802</v>
      </c>
      <c r="Y3946" s="1">
        <v>52412</v>
      </c>
      <c r="Z3946" t="s">
        <v>51</v>
      </c>
      <c r="AB3946" t="s">
        <v>54</v>
      </c>
      <c r="AC3946">
        <v>1</v>
      </c>
      <c r="AE3946" t="s">
        <v>64</v>
      </c>
      <c r="AF3946">
        <v>20</v>
      </c>
      <c r="AG3946" s="1">
        <v>37802</v>
      </c>
      <c r="AH3946" s="1">
        <v>37802</v>
      </c>
      <c r="AI3946" s="1">
        <v>37802</v>
      </c>
      <c r="AJ3946" s="1">
        <v>45107</v>
      </c>
      <c r="AK3946" t="s">
        <v>51</v>
      </c>
      <c r="AN3946">
        <v>0</v>
      </c>
      <c r="AO3946" t="s">
        <v>54</v>
      </c>
      <c r="AP3946" t="s">
        <v>53</v>
      </c>
      <c r="AQ3946">
        <v>0</v>
      </c>
      <c r="AR3946" t="s">
        <v>53</v>
      </c>
      <c r="AS3946">
        <v>0</v>
      </c>
      <c r="AT3946">
        <v>0</v>
      </c>
      <c r="AW3946" t="s">
        <v>58</v>
      </c>
      <c r="AX3946">
        <v>20</v>
      </c>
      <c r="AY3946" s="1">
        <v>37802</v>
      </c>
      <c r="AZ3946" s="1">
        <v>37802</v>
      </c>
      <c r="BA3946" s="1">
        <v>37802</v>
      </c>
      <c r="BB3946" s="1">
        <v>45107</v>
      </c>
      <c r="BC3946" t="s">
        <v>51</v>
      </c>
      <c r="BE3946" t="s">
        <v>54</v>
      </c>
      <c r="BF3946">
        <v>2</v>
      </c>
      <c r="BG3946">
        <v>0</v>
      </c>
      <c r="BH3946" t="s">
        <v>53</v>
      </c>
      <c r="BK3946" t="s">
        <v>65</v>
      </c>
      <c r="BL3946">
        <v>14000</v>
      </c>
      <c r="BM3946" s="1">
        <v>42552</v>
      </c>
      <c r="BN3946" s="1">
        <v>42552</v>
      </c>
      <c r="BO3946" s="1">
        <v>42552</v>
      </c>
      <c r="BP3946" s="1">
        <v>43752</v>
      </c>
      <c r="BQ3946" t="s">
        <v>51</v>
      </c>
      <c r="BS3946" t="s">
        <v>60</v>
      </c>
      <c r="BT3946" t="s">
        <v>54</v>
      </c>
      <c r="BU3946" t="s">
        <v>61</v>
      </c>
      <c r="BV3946" t="s">
        <v>62</v>
      </c>
      <c r="BX3946">
        <v>36</v>
      </c>
      <c r="BY3946">
        <v>0</v>
      </c>
      <c r="BZ3946">
        <v>0</v>
      </c>
    </row>
    <row r="3947" spans="1:99" x14ac:dyDescent="0.2">
      <c r="A3947" t="s">
        <v>367</v>
      </c>
      <c r="B3947" t="s">
        <v>368</v>
      </c>
      <c r="C3947" t="s">
        <v>369</v>
      </c>
      <c r="D3947" t="s">
        <v>1215</v>
      </c>
      <c r="F3947" t="str">
        <f>"169347"</f>
        <v>169347</v>
      </c>
      <c r="G3947" t="s">
        <v>49</v>
      </c>
      <c r="H3947" t="s">
        <v>1909</v>
      </c>
      <c r="K3947" t="s">
        <v>51</v>
      </c>
      <c r="L3947" t="s">
        <v>52</v>
      </c>
      <c r="M3947">
        <v>138187.299</v>
      </c>
      <c r="N3947">
        <v>468099.72200000001</v>
      </c>
      <c r="O3947" t="s">
        <v>53</v>
      </c>
      <c r="P3947" t="s">
        <v>54</v>
      </c>
      <c r="Q3947" t="s">
        <v>55</v>
      </c>
      <c r="T3947" t="s">
        <v>841</v>
      </c>
      <c r="U3947">
        <v>40</v>
      </c>
      <c r="V3947" s="1">
        <v>37802</v>
      </c>
      <c r="W3947" s="1">
        <v>37802</v>
      </c>
      <c r="X3947" s="1">
        <v>37802</v>
      </c>
      <c r="Y3947" s="1">
        <v>52412</v>
      </c>
      <c r="Z3947" t="s">
        <v>51</v>
      </c>
      <c r="AB3947" t="s">
        <v>54</v>
      </c>
      <c r="AC3947">
        <v>2</v>
      </c>
      <c r="AE3947" t="s">
        <v>64</v>
      </c>
      <c r="AF3947">
        <v>20</v>
      </c>
      <c r="AG3947" s="1">
        <v>37802</v>
      </c>
      <c r="AH3947" s="1">
        <v>37802</v>
      </c>
      <c r="AI3947" s="1">
        <v>37802</v>
      </c>
      <c r="AJ3947" s="1">
        <v>45107</v>
      </c>
      <c r="AK3947" t="s">
        <v>51</v>
      </c>
      <c r="AN3947">
        <v>0</v>
      </c>
      <c r="AO3947" t="s">
        <v>54</v>
      </c>
      <c r="AP3947" t="s">
        <v>53</v>
      </c>
      <c r="AQ3947">
        <v>0</v>
      </c>
      <c r="AR3947" t="s">
        <v>53</v>
      </c>
      <c r="AS3947">
        <v>0</v>
      </c>
      <c r="AT3947">
        <v>0</v>
      </c>
      <c r="AW3947" t="s">
        <v>58</v>
      </c>
      <c r="AX3947">
        <v>20</v>
      </c>
      <c r="AY3947" s="1">
        <v>37802</v>
      </c>
      <c r="AZ3947" s="1">
        <v>37802</v>
      </c>
      <c r="BA3947" s="1">
        <v>37802</v>
      </c>
      <c r="BB3947" s="1">
        <v>45107</v>
      </c>
      <c r="BC3947" t="s">
        <v>51</v>
      </c>
      <c r="BE3947" t="s">
        <v>54</v>
      </c>
      <c r="BF3947">
        <v>2</v>
      </c>
      <c r="BG3947">
        <v>0</v>
      </c>
      <c r="BH3947" t="s">
        <v>53</v>
      </c>
      <c r="BK3947" t="s">
        <v>65</v>
      </c>
      <c r="BL3947">
        <v>14000</v>
      </c>
      <c r="BM3947" s="1">
        <v>42552</v>
      </c>
      <c r="BN3947" s="1">
        <v>42552</v>
      </c>
      <c r="BO3947" s="1">
        <v>42552</v>
      </c>
      <c r="BP3947" s="1">
        <v>43752</v>
      </c>
      <c r="BQ3947" t="s">
        <v>51</v>
      </c>
      <c r="BS3947" t="s">
        <v>60</v>
      </c>
      <c r="BT3947" t="s">
        <v>54</v>
      </c>
      <c r="BU3947" t="s">
        <v>61</v>
      </c>
      <c r="BV3947" t="s">
        <v>62</v>
      </c>
      <c r="BX3947">
        <v>36</v>
      </c>
      <c r="BY3947">
        <v>0</v>
      </c>
      <c r="BZ3947">
        <v>0</v>
      </c>
    </row>
    <row r="3948" spans="1:99" x14ac:dyDescent="0.2">
      <c r="A3948" t="s">
        <v>367</v>
      </c>
      <c r="B3948" t="s">
        <v>368</v>
      </c>
      <c r="C3948" t="s">
        <v>369</v>
      </c>
      <c r="D3948" t="s">
        <v>1215</v>
      </c>
      <c r="F3948" t="str">
        <f>"169348"</f>
        <v>169348</v>
      </c>
      <c r="G3948" t="s">
        <v>49</v>
      </c>
      <c r="H3948" t="s">
        <v>1910</v>
      </c>
      <c r="K3948" t="s">
        <v>51</v>
      </c>
      <c r="L3948" t="s">
        <v>52</v>
      </c>
      <c r="M3948">
        <v>138237.943</v>
      </c>
      <c r="N3948">
        <v>468084.74699999997</v>
      </c>
      <c r="O3948" t="s">
        <v>53</v>
      </c>
      <c r="P3948" t="s">
        <v>54</v>
      </c>
      <c r="Q3948" t="s">
        <v>55</v>
      </c>
      <c r="T3948" t="s">
        <v>818</v>
      </c>
      <c r="U3948">
        <v>40</v>
      </c>
      <c r="V3948" s="1">
        <v>37802</v>
      </c>
      <c r="W3948" s="1">
        <v>37802</v>
      </c>
      <c r="X3948" s="1">
        <v>37802</v>
      </c>
      <c r="Y3948" s="1">
        <v>52412</v>
      </c>
      <c r="Z3948" t="s">
        <v>51</v>
      </c>
      <c r="AB3948" t="s">
        <v>54</v>
      </c>
      <c r="AC3948">
        <v>1</v>
      </c>
      <c r="AE3948" t="s">
        <v>222</v>
      </c>
      <c r="AF3948">
        <v>20</v>
      </c>
      <c r="AG3948" s="1">
        <v>37802</v>
      </c>
      <c r="AH3948" s="1">
        <v>37802</v>
      </c>
      <c r="AI3948" s="1">
        <v>37802</v>
      </c>
      <c r="AJ3948" s="1">
        <v>45107</v>
      </c>
      <c r="AK3948" t="s">
        <v>51</v>
      </c>
      <c r="AN3948">
        <v>0</v>
      </c>
      <c r="AO3948" t="s">
        <v>54</v>
      </c>
      <c r="AP3948" t="s">
        <v>53</v>
      </c>
      <c r="AQ3948">
        <v>0</v>
      </c>
      <c r="AR3948" t="s">
        <v>53</v>
      </c>
      <c r="AS3948">
        <v>0</v>
      </c>
      <c r="AT3948">
        <v>0</v>
      </c>
      <c r="CC3948" t="s">
        <v>432</v>
      </c>
      <c r="CD3948">
        <v>85000</v>
      </c>
      <c r="CE3948" s="1">
        <v>42552</v>
      </c>
      <c r="CF3948" s="1">
        <v>42552</v>
      </c>
      <c r="CG3948" s="1">
        <v>42552</v>
      </c>
      <c r="CH3948" s="1">
        <v>49714</v>
      </c>
      <c r="CI3948" t="s">
        <v>51</v>
      </c>
      <c r="CK3948" t="s">
        <v>78</v>
      </c>
      <c r="CM3948" t="s">
        <v>54</v>
      </c>
      <c r="CN3948" t="s">
        <v>174</v>
      </c>
      <c r="CO3948" t="s">
        <v>86</v>
      </c>
      <c r="CR3948">
        <v>24</v>
      </c>
      <c r="CS3948">
        <v>0</v>
      </c>
      <c r="CT3948">
        <v>0</v>
      </c>
      <c r="CU3948">
        <v>0</v>
      </c>
    </row>
    <row r="3949" spans="1:99" x14ac:dyDescent="0.2">
      <c r="A3949" t="s">
        <v>367</v>
      </c>
      <c r="B3949" t="s">
        <v>368</v>
      </c>
      <c r="C3949" t="s">
        <v>369</v>
      </c>
      <c r="D3949" t="s">
        <v>1911</v>
      </c>
      <c r="F3949" t="str">
        <f>"170405"</f>
        <v>170405</v>
      </c>
      <c r="G3949" t="s">
        <v>49</v>
      </c>
      <c r="H3949" t="s">
        <v>1912</v>
      </c>
      <c r="K3949" t="s">
        <v>51</v>
      </c>
      <c r="L3949" t="s">
        <v>52</v>
      </c>
      <c r="M3949">
        <v>138350.87100000001</v>
      </c>
      <c r="N3949">
        <v>468079.217</v>
      </c>
      <c r="O3949" t="s">
        <v>53</v>
      </c>
      <c r="P3949" t="s">
        <v>54</v>
      </c>
      <c r="Q3949" t="s">
        <v>55</v>
      </c>
      <c r="T3949" t="s">
        <v>818</v>
      </c>
      <c r="U3949">
        <v>40</v>
      </c>
      <c r="V3949" s="1">
        <v>37701</v>
      </c>
      <c r="W3949" s="1">
        <v>37701</v>
      </c>
      <c r="X3949" s="1">
        <v>37701</v>
      </c>
      <c r="Y3949" s="1">
        <v>52311</v>
      </c>
      <c r="Z3949" t="s">
        <v>51</v>
      </c>
      <c r="AB3949" t="s">
        <v>54</v>
      </c>
      <c r="AC3949">
        <v>1</v>
      </c>
      <c r="AE3949" t="s">
        <v>1913</v>
      </c>
      <c r="AF3949">
        <v>20</v>
      </c>
      <c r="AG3949" s="1">
        <v>37701</v>
      </c>
      <c r="AH3949" s="1">
        <v>37701</v>
      </c>
      <c r="AI3949" s="1">
        <v>37701</v>
      </c>
      <c r="AJ3949" s="1">
        <v>45006</v>
      </c>
      <c r="AK3949" t="s">
        <v>51</v>
      </c>
      <c r="AN3949">
        <v>0</v>
      </c>
      <c r="AO3949" t="s">
        <v>54</v>
      </c>
      <c r="AP3949" t="s">
        <v>53</v>
      </c>
      <c r="AQ3949">
        <v>0</v>
      </c>
      <c r="AR3949" t="s">
        <v>53</v>
      </c>
      <c r="AS3949">
        <v>0</v>
      </c>
      <c r="AT3949">
        <v>0</v>
      </c>
      <c r="CC3949" t="s">
        <v>850</v>
      </c>
      <c r="CD3949">
        <v>1</v>
      </c>
      <c r="CE3949" s="1">
        <v>42552</v>
      </c>
      <c r="CF3949" s="1">
        <v>42552</v>
      </c>
      <c r="CG3949" s="1">
        <v>42552</v>
      </c>
      <c r="CH3949" s="1">
        <v>49714</v>
      </c>
      <c r="CI3949" t="s">
        <v>51</v>
      </c>
      <c r="CK3949" t="s">
        <v>78</v>
      </c>
      <c r="CM3949" t="s">
        <v>54</v>
      </c>
      <c r="CN3949" t="s">
        <v>174</v>
      </c>
      <c r="CO3949" t="s">
        <v>86</v>
      </c>
      <c r="CR3949">
        <v>18</v>
      </c>
      <c r="CS3949">
        <v>0</v>
      </c>
      <c r="CT3949">
        <v>0</v>
      </c>
      <c r="CU3949">
        <v>0</v>
      </c>
    </row>
    <row r="3950" spans="1:99" x14ac:dyDescent="0.2">
      <c r="A3950" t="s">
        <v>367</v>
      </c>
      <c r="B3950" t="s">
        <v>368</v>
      </c>
      <c r="C3950" t="s">
        <v>369</v>
      </c>
      <c r="D3950" t="s">
        <v>1911</v>
      </c>
      <c r="F3950" t="str">
        <f>"170406"</f>
        <v>170406</v>
      </c>
      <c r="G3950" t="s">
        <v>49</v>
      </c>
      <c r="H3950" t="s">
        <v>1424</v>
      </c>
      <c r="K3950" t="s">
        <v>51</v>
      </c>
      <c r="L3950" t="s">
        <v>52</v>
      </c>
      <c r="M3950">
        <v>138352.36799999999</v>
      </c>
      <c r="N3950">
        <v>468058.48700000002</v>
      </c>
      <c r="O3950" t="s">
        <v>53</v>
      </c>
      <c r="P3950" t="s">
        <v>54</v>
      </c>
      <c r="Q3950" t="s">
        <v>55</v>
      </c>
      <c r="T3950" t="s">
        <v>818</v>
      </c>
      <c r="U3950">
        <v>40</v>
      </c>
      <c r="V3950" s="1">
        <v>37701</v>
      </c>
      <c r="W3950" s="1">
        <v>37701</v>
      </c>
      <c r="X3950" s="1">
        <v>37701</v>
      </c>
      <c r="Y3950" s="1">
        <v>52311</v>
      </c>
      <c r="Z3950" t="s">
        <v>51</v>
      </c>
      <c r="AB3950" t="s">
        <v>54</v>
      </c>
      <c r="AC3950">
        <v>1</v>
      </c>
      <c r="AE3950" t="s">
        <v>1913</v>
      </c>
      <c r="AF3950">
        <v>20</v>
      </c>
      <c r="AG3950" s="1">
        <v>37701</v>
      </c>
      <c r="AH3950" s="1">
        <v>37701</v>
      </c>
      <c r="AI3950" s="1">
        <v>37701</v>
      </c>
      <c r="AJ3950" s="1">
        <v>45006</v>
      </c>
      <c r="AK3950" t="s">
        <v>51</v>
      </c>
      <c r="AN3950">
        <v>0</v>
      </c>
      <c r="AO3950" t="s">
        <v>54</v>
      </c>
      <c r="AP3950" t="s">
        <v>53</v>
      </c>
      <c r="AQ3950">
        <v>0</v>
      </c>
      <c r="AR3950" t="s">
        <v>53</v>
      </c>
      <c r="AS3950">
        <v>0</v>
      </c>
      <c r="AT3950">
        <v>0</v>
      </c>
      <c r="CC3950" t="s">
        <v>850</v>
      </c>
      <c r="CD3950">
        <v>1</v>
      </c>
      <c r="CE3950" s="1">
        <v>42552</v>
      </c>
      <c r="CF3950" s="1">
        <v>42552</v>
      </c>
      <c r="CG3950" s="1">
        <v>42552</v>
      </c>
      <c r="CH3950" s="1">
        <v>49714</v>
      </c>
      <c r="CI3950" t="s">
        <v>51</v>
      </c>
      <c r="CK3950" t="s">
        <v>78</v>
      </c>
      <c r="CM3950" t="s">
        <v>54</v>
      </c>
      <c r="CN3950" t="s">
        <v>174</v>
      </c>
      <c r="CO3950" t="s">
        <v>86</v>
      </c>
      <c r="CR3950">
        <v>18</v>
      </c>
      <c r="CS3950">
        <v>0</v>
      </c>
      <c r="CT3950">
        <v>0</v>
      </c>
      <c r="CU3950">
        <v>0</v>
      </c>
    </row>
    <row r="3951" spans="1:99" x14ac:dyDescent="0.2">
      <c r="A3951" t="s">
        <v>367</v>
      </c>
      <c r="B3951" t="s">
        <v>368</v>
      </c>
      <c r="C3951" t="s">
        <v>369</v>
      </c>
      <c r="D3951" t="s">
        <v>1911</v>
      </c>
      <c r="F3951" t="str">
        <f>"170407"</f>
        <v>170407</v>
      </c>
      <c r="G3951" t="s">
        <v>49</v>
      </c>
      <c r="H3951" t="s">
        <v>1914</v>
      </c>
      <c r="K3951" t="s">
        <v>51</v>
      </c>
      <c r="L3951" t="s">
        <v>52</v>
      </c>
      <c r="M3951">
        <v>138352.45199999999</v>
      </c>
      <c r="N3951">
        <v>468037.84399999998</v>
      </c>
      <c r="O3951" t="s">
        <v>53</v>
      </c>
      <c r="P3951" t="s">
        <v>54</v>
      </c>
      <c r="Q3951" t="s">
        <v>55</v>
      </c>
      <c r="T3951" t="s">
        <v>818</v>
      </c>
      <c r="U3951">
        <v>40</v>
      </c>
      <c r="V3951" s="1">
        <v>37701</v>
      </c>
      <c r="W3951" s="1">
        <v>37701</v>
      </c>
      <c r="X3951" s="1">
        <v>37701</v>
      </c>
      <c r="Y3951" s="1">
        <v>52311</v>
      </c>
      <c r="Z3951" t="s">
        <v>51</v>
      </c>
      <c r="AB3951" t="s">
        <v>54</v>
      </c>
      <c r="AC3951">
        <v>1</v>
      </c>
      <c r="AE3951" t="s">
        <v>1913</v>
      </c>
      <c r="AF3951">
        <v>20</v>
      </c>
      <c r="AG3951" s="1">
        <v>37701</v>
      </c>
      <c r="AH3951" s="1">
        <v>37701</v>
      </c>
      <c r="AI3951" s="1">
        <v>37701</v>
      </c>
      <c r="AJ3951" s="1">
        <v>45006</v>
      </c>
      <c r="AK3951" t="s">
        <v>51</v>
      </c>
      <c r="AN3951">
        <v>0</v>
      </c>
      <c r="AO3951" t="s">
        <v>54</v>
      </c>
      <c r="AP3951" t="s">
        <v>53</v>
      </c>
      <c r="AQ3951">
        <v>0</v>
      </c>
      <c r="AR3951" t="s">
        <v>53</v>
      </c>
      <c r="AS3951">
        <v>0</v>
      </c>
      <c r="AT3951">
        <v>0</v>
      </c>
      <c r="CC3951" t="s">
        <v>850</v>
      </c>
      <c r="CD3951">
        <v>1</v>
      </c>
      <c r="CE3951" s="1">
        <v>42552</v>
      </c>
      <c r="CF3951" s="1">
        <v>42552</v>
      </c>
      <c r="CG3951" s="1">
        <v>42552</v>
      </c>
      <c r="CH3951" s="1">
        <v>49714</v>
      </c>
      <c r="CI3951" t="s">
        <v>51</v>
      </c>
      <c r="CK3951" t="s">
        <v>78</v>
      </c>
      <c r="CM3951" t="s">
        <v>54</v>
      </c>
      <c r="CN3951" t="s">
        <v>174</v>
      </c>
      <c r="CO3951" t="s">
        <v>86</v>
      </c>
      <c r="CR3951">
        <v>18</v>
      </c>
      <c r="CS3951">
        <v>0</v>
      </c>
      <c r="CT3951">
        <v>0</v>
      </c>
      <c r="CU3951">
        <v>0</v>
      </c>
    </row>
    <row r="3952" spans="1:99" x14ac:dyDescent="0.2">
      <c r="A3952" t="s">
        <v>367</v>
      </c>
      <c r="B3952" t="s">
        <v>368</v>
      </c>
      <c r="C3952" t="s">
        <v>369</v>
      </c>
      <c r="D3952" t="s">
        <v>1911</v>
      </c>
      <c r="F3952" t="str">
        <f>"170408"</f>
        <v>170408</v>
      </c>
      <c r="G3952" t="s">
        <v>49</v>
      </c>
      <c r="H3952" t="s">
        <v>1915</v>
      </c>
      <c r="K3952" t="s">
        <v>51</v>
      </c>
      <c r="L3952" t="s">
        <v>52</v>
      </c>
      <c r="M3952">
        <v>138347.15100000001</v>
      </c>
      <c r="N3952">
        <v>468017.88799999998</v>
      </c>
      <c r="O3952" t="s">
        <v>53</v>
      </c>
      <c r="P3952" t="s">
        <v>54</v>
      </c>
      <c r="Q3952" t="s">
        <v>55</v>
      </c>
      <c r="T3952" t="s">
        <v>818</v>
      </c>
      <c r="U3952">
        <v>40</v>
      </c>
      <c r="V3952" s="1">
        <v>37701</v>
      </c>
      <c r="W3952" s="1">
        <v>37701</v>
      </c>
      <c r="X3952" s="1">
        <v>37701</v>
      </c>
      <c r="Y3952" s="1">
        <v>52311</v>
      </c>
      <c r="Z3952" t="s">
        <v>51</v>
      </c>
      <c r="AB3952" t="s">
        <v>54</v>
      </c>
      <c r="AC3952">
        <v>1</v>
      </c>
      <c r="AE3952" t="s">
        <v>1913</v>
      </c>
      <c r="AF3952">
        <v>20</v>
      </c>
      <c r="AG3952" s="1">
        <v>37701</v>
      </c>
      <c r="AH3952" s="1">
        <v>37701</v>
      </c>
      <c r="AI3952" s="1">
        <v>37701</v>
      </c>
      <c r="AJ3952" s="1">
        <v>45006</v>
      </c>
      <c r="AK3952" t="s">
        <v>51</v>
      </c>
      <c r="AN3952">
        <v>0</v>
      </c>
      <c r="AO3952" t="s">
        <v>54</v>
      </c>
      <c r="AP3952" t="s">
        <v>53</v>
      </c>
      <c r="AQ3952">
        <v>0</v>
      </c>
      <c r="AR3952" t="s">
        <v>53</v>
      </c>
      <c r="AS3952">
        <v>0</v>
      </c>
      <c r="AT3952">
        <v>0</v>
      </c>
      <c r="CC3952" t="s">
        <v>850</v>
      </c>
      <c r="CD3952">
        <v>1</v>
      </c>
      <c r="CE3952" s="1">
        <v>42552</v>
      </c>
      <c r="CF3952" s="1">
        <v>42552</v>
      </c>
      <c r="CG3952" s="1">
        <v>42552</v>
      </c>
      <c r="CH3952" s="1">
        <v>49714</v>
      </c>
      <c r="CI3952" t="s">
        <v>51</v>
      </c>
      <c r="CK3952" t="s">
        <v>78</v>
      </c>
      <c r="CM3952" t="s">
        <v>54</v>
      </c>
      <c r="CN3952" t="s">
        <v>174</v>
      </c>
      <c r="CO3952" t="s">
        <v>86</v>
      </c>
      <c r="CR3952">
        <v>18</v>
      </c>
      <c r="CS3952">
        <v>0</v>
      </c>
      <c r="CT3952">
        <v>0</v>
      </c>
      <c r="CU3952">
        <v>0</v>
      </c>
    </row>
    <row r="3953" spans="1:99" x14ac:dyDescent="0.2">
      <c r="A3953" t="s">
        <v>367</v>
      </c>
      <c r="B3953" t="s">
        <v>368</v>
      </c>
      <c r="C3953" t="s">
        <v>369</v>
      </c>
      <c r="D3953" t="s">
        <v>1911</v>
      </c>
      <c r="F3953" t="str">
        <f>"170409"</f>
        <v>170409</v>
      </c>
      <c r="G3953" t="s">
        <v>49</v>
      </c>
      <c r="H3953" t="s">
        <v>1916</v>
      </c>
      <c r="K3953" t="s">
        <v>51</v>
      </c>
      <c r="L3953" t="s">
        <v>52</v>
      </c>
      <c r="M3953">
        <v>138410.823</v>
      </c>
      <c r="N3953">
        <v>468076.67599999998</v>
      </c>
      <c r="O3953" t="s">
        <v>53</v>
      </c>
      <c r="P3953" t="s">
        <v>54</v>
      </c>
      <c r="Q3953" t="s">
        <v>55</v>
      </c>
      <c r="T3953" t="s">
        <v>818</v>
      </c>
      <c r="U3953">
        <v>40</v>
      </c>
      <c r="V3953" s="1">
        <v>37700</v>
      </c>
      <c r="W3953" s="1">
        <v>37700</v>
      </c>
      <c r="X3953" s="1">
        <v>37700</v>
      </c>
      <c r="Y3953" s="1">
        <v>52310</v>
      </c>
      <c r="Z3953" t="s">
        <v>51</v>
      </c>
      <c r="AB3953" t="s">
        <v>54</v>
      </c>
      <c r="AC3953">
        <v>1</v>
      </c>
      <c r="AE3953" t="s">
        <v>1913</v>
      </c>
      <c r="AF3953">
        <v>20</v>
      </c>
      <c r="AG3953" s="1">
        <v>37700</v>
      </c>
      <c r="AH3953" s="1">
        <v>37700</v>
      </c>
      <c r="AI3953" s="1">
        <v>37700</v>
      </c>
      <c r="AJ3953" s="1">
        <v>45005</v>
      </c>
      <c r="AK3953" t="s">
        <v>51</v>
      </c>
      <c r="AN3953">
        <v>0</v>
      </c>
      <c r="AO3953" t="s">
        <v>54</v>
      </c>
      <c r="AP3953" t="s">
        <v>53</v>
      </c>
      <c r="AQ3953">
        <v>0</v>
      </c>
      <c r="AR3953" t="s">
        <v>53</v>
      </c>
      <c r="AS3953">
        <v>0</v>
      </c>
      <c r="AT3953">
        <v>0</v>
      </c>
      <c r="CC3953" t="s">
        <v>850</v>
      </c>
      <c r="CD3953">
        <v>1</v>
      </c>
      <c r="CE3953" s="1">
        <v>42552</v>
      </c>
      <c r="CF3953" s="1">
        <v>42552</v>
      </c>
      <c r="CG3953" s="1">
        <v>42552</v>
      </c>
      <c r="CH3953" s="1">
        <v>49714</v>
      </c>
      <c r="CI3953" t="s">
        <v>51</v>
      </c>
      <c r="CK3953" t="s">
        <v>78</v>
      </c>
      <c r="CM3953" t="s">
        <v>54</v>
      </c>
      <c r="CN3953" t="s">
        <v>174</v>
      </c>
      <c r="CO3953" t="s">
        <v>86</v>
      </c>
      <c r="CR3953">
        <v>18</v>
      </c>
      <c r="CS3953">
        <v>0</v>
      </c>
      <c r="CT3953">
        <v>0</v>
      </c>
      <c r="CU3953">
        <v>0</v>
      </c>
    </row>
    <row r="3954" spans="1:99" x14ac:dyDescent="0.2">
      <c r="A3954" t="s">
        <v>367</v>
      </c>
      <c r="B3954" t="s">
        <v>368</v>
      </c>
      <c r="C3954" t="s">
        <v>369</v>
      </c>
      <c r="D3954" t="s">
        <v>1911</v>
      </c>
      <c r="F3954" t="str">
        <f>"172054"</f>
        <v>172054</v>
      </c>
      <c r="G3954" t="s">
        <v>49</v>
      </c>
      <c r="H3954" t="s">
        <v>1917</v>
      </c>
      <c r="K3954" t="s">
        <v>51</v>
      </c>
      <c r="L3954" t="s">
        <v>52</v>
      </c>
      <c r="M3954">
        <v>138409.60399999999</v>
      </c>
      <c r="N3954">
        <v>468011.70299999998</v>
      </c>
      <c r="O3954" t="s">
        <v>53</v>
      </c>
      <c r="P3954" t="s">
        <v>54</v>
      </c>
      <c r="Q3954" t="s">
        <v>55</v>
      </c>
      <c r="T3954" t="s">
        <v>818</v>
      </c>
      <c r="U3954">
        <v>40</v>
      </c>
      <c r="V3954" s="1">
        <v>37700</v>
      </c>
      <c r="W3954" s="1">
        <v>37700</v>
      </c>
      <c r="X3954" s="1">
        <v>37700</v>
      </c>
      <c r="Y3954" s="1">
        <v>52310</v>
      </c>
      <c r="Z3954" t="s">
        <v>51</v>
      </c>
      <c r="AB3954" t="s">
        <v>54</v>
      </c>
      <c r="AC3954">
        <v>1</v>
      </c>
      <c r="AE3954" t="s">
        <v>1913</v>
      </c>
      <c r="AF3954">
        <v>20</v>
      </c>
      <c r="AG3954" s="1">
        <v>37700</v>
      </c>
      <c r="AH3954" s="1">
        <v>37700</v>
      </c>
      <c r="AI3954" s="1">
        <v>37700</v>
      </c>
      <c r="AJ3954" s="1">
        <v>45005</v>
      </c>
      <c r="AK3954" t="s">
        <v>51</v>
      </c>
      <c r="AN3954">
        <v>0</v>
      </c>
      <c r="AO3954" t="s">
        <v>54</v>
      </c>
      <c r="AP3954" t="s">
        <v>53</v>
      </c>
      <c r="AQ3954">
        <v>0</v>
      </c>
      <c r="AR3954" t="s">
        <v>53</v>
      </c>
      <c r="AS3954">
        <v>0</v>
      </c>
      <c r="AT3954">
        <v>0</v>
      </c>
      <c r="CC3954" t="s">
        <v>850</v>
      </c>
      <c r="CD3954">
        <v>1</v>
      </c>
      <c r="CE3954" s="1">
        <v>42552</v>
      </c>
      <c r="CF3954" s="1">
        <v>42552</v>
      </c>
      <c r="CG3954" s="1">
        <v>42552</v>
      </c>
      <c r="CH3954" s="1">
        <v>49714</v>
      </c>
      <c r="CI3954" t="s">
        <v>51</v>
      </c>
      <c r="CK3954" t="s">
        <v>78</v>
      </c>
      <c r="CM3954" t="s">
        <v>54</v>
      </c>
      <c r="CN3954" t="s">
        <v>174</v>
      </c>
      <c r="CO3954" t="s">
        <v>86</v>
      </c>
      <c r="CR3954">
        <v>18</v>
      </c>
      <c r="CS3954">
        <v>0</v>
      </c>
      <c r="CT3954">
        <v>0</v>
      </c>
      <c r="CU3954">
        <v>0</v>
      </c>
    </row>
    <row r="3955" spans="1:99" x14ac:dyDescent="0.2">
      <c r="A3955" t="s">
        <v>367</v>
      </c>
      <c r="B3955" t="s">
        <v>368</v>
      </c>
      <c r="C3955" t="s">
        <v>369</v>
      </c>
      <c r="D3955" t="s">
        <v>1911</v>
      </c>
      <c r="F3955" t="str">
        <f>"172426"</f>
        <v>172426</v>
      </c>
      <c r="G3955" t="s">
        <v>49</v>
      </c>
      <c r="H3955" t="s">
        <v>1918</v>
      </c>
      <c r="K3955" t="s">
        <v>51</v>
      </c>
      <c r="L3955" t="s">
        <v>52</v>
      </c>
      <c r="M3955">
        <v>138411.67499999999</v>
      </c>
      <c r="N3955">
        <v>468054.88400000002</v>
      </c>
      <c r="O3955" t="s">
        <v>53</v>
      </c>
      <c r="P3955" t="s">
        <v>54</v>
      </c>
      <c r="Q3955" t="s">
        <v>55</v>
      </c>
      <c r="T3955" t="s">
        <v>818</v>
      </c>
      <c r="U3955">
        <v>40</v>
      </c>
      <c r="V3955" s="1">
        <v>37700</v>
      </c>
      <c r="W3955" s="1">
        <v>37700</v>
      </c>
      <c r="X3955" s="1">
        <v>37700</v>
      </c>
      <c r="Y3955" s="1">
        <v>52310</v>
      </c>
      <c r="Z3955" t="s">
        <v>51</v>
      </c>
      <c r="AB3955" t="s">
        <v>54</v>
      </c>
      <c r="AC3955">
        <v>1</v>
      </c>
      <c r="AE3955" t="s">
        <v>1913</v>
      </c>
      <c r="AF3955">
        <v>20</v>
      </c>
      <c r="AG3955" s="1">
        <v>37700</v>
      </c>
      <c r="AH3955" s="1">
        <v>37700</v>
      </c>
      <c r="AI3955" s="1">
        <v>37700</v>
      </c>
      <c r="AJ3955" s="1">
        <v>45005</v>
      </c>
      <c r="AK3955" t="s">
        <v>51</v>
      </c>
      <c r="AN3955">
        <v>0</v>
      </c>
      <c r="AO3955" t="s">
        <v>54</v>
      </c>
      <c r="AP3955" t="s">
        <v>53</v>
      </c>
      <c r="AQ3955">
        <v>0</v>
      </c>
      <c r="AR3955" t="s">
        <v>53</v>
      </c>
      <c r="AS3955">
        <v>0</v>
      </c>
      <c r="AT3955">
        <v>0</v>
      </c>
      <c r="CC3955" t="s">
        <v>850</v>
      </c>
      <c r="CD3955">
        <v>1</v>
      </c>
      <c r="CE3955" s="1">
        <v>42552</v>
      </c>
      <c r="CF3955" s="1">
        <v>42552</v>
      </c>
      <c r="CG3955" s="1">
        <v>42552</v>
      </c>
      <c r="CH3955" s="1">
        <v>49714</v>
      </c>
      <c r="CI3955" t="s">
        <v>51</v>
      </c>
      <c r="CK3955" t="s">
        <v>78</v>
      </c>
      <c r="CM3955" t="s">
        <v>54</v>
      </c>
      <c r="CN3955" t="s">
        <v>174</v>
      </c>
      <c r="CO3955" t="s">
        <v>86</v>
      </c>
      <c r="CR3955">
        <v>18</v>
      </c>
      <c r="CS3955">
        <v>0</v>
      </c>
      <c r="CT3955">
        <v>0</v>
      </c>
      <c r="CU3955">
        <v>0</v>
      </c>
    </row>
    <row r="3956" spans="1:99" x14ac:dyDescent="0.2">
      <c r="A3956" t="s">
        <v>367</v>
      </c>
      <c r="B3956" t="s">
        <v>368</v>
      </c>
      <c r="C3956" t="s">
        <v>369</v>
      </c>
      <c r="D3956" t="s">
        <v>1911</v>
      </c>
      <c r="F3956" t="str">
        <f>"172427"</f>
        <v>172427</v>
      </c>
      <c r="G3956" t="s">
        <v>49</v>
      </c>
      <c r="H3956" t="s">
        <v>1919</v>
      </c>
      <c r="K3956" t="s">
        <v>51</v>
      </c>
      <c r="L3956" t="s">
        <v>52</v>
      </c>
      <c r="M3956">
        <v>138411.766</v>
      </c>
      <c r="N3956">
        <v>468032.68699999998</v>
      </c>
      <c r="O3956" t="s">
        <v>53</v>
      </c>
      <c r="P3956" t="s">
        <v>54</v>
      </c>
      <c r="Q3956" t="s">
        <v>55</v>
      </c>
      <c r="T3956" t="s">
        <v>818</v>
      </c>
      <c r="U3956">
        <v>40</v>
      </c>
      <c r="V3956" s="1">
        <v>37700</v>
      </c>
      <c r="W3956" s="1">
        <v>37700</v>
      </c>
      <c r="X3956" s="1">
        <v>37700</v>
      </c>
      <c r="Y3956" s="1">
        <v>52310</v>
      </c>
      <c r="Z3956" t="s">
        <v>51</v>
      </c>
      <c r="AB3956" t="s">
        <v>54</v>
      </c>
      <c r="AC3956">
        <v>1</v>
      </c>
      <c r="AE3956" t="s">
        <v>1913</v>
      </c>
      <c r="AF3956">
        <v>20</v>
      </c>
      <c r="AG3956" s="1">
        <v>37700</v>
      </c>
      <c r="AH3956" s="1">
        <v>37700</v>
      </c>
      <c r="AI3956" s="1">
        <v>37700</v>
      </c>
      <c r="AJ3956" s="1">
        <v>45005</v>
      </c>
      <c r="AK3956" t="s">
        <v>51</v>
      </c>
      <c r="AN3956">
        <v>0</v>
      </c>
      <c r="AO3956" t="s">
        <v>54</v>
      </c>
      <c r="AP3956" t="s">
        <v>53</v>
      </c>
      <c r="AQ3956">
        <v>0</v>
      </c>
      <c r="AR3956" t="s">
        <v>53</v>
      </c>
      <c r="AS3956">
        <v>0</v>
      </c>
      <c r="AT3956">
        <v>0</v>
      </c>
      <c r="CC3956" t="s">
        <v>850</v>
      </c>
      <c r="CD3956">
        <v>1</v>
      </c>
      <c r="CE3956" s="1">
        <v>42552</v>
      </c>
      <c r="CF3956" s="1">
        <v>42552</v>
      </c>
      <c r="CG3956" s="1">
        <v>42552</v>
      </c>
      <c r="CH3956" s="1">
        <v>49714</v>
      </c>
      <c r="CI3956" t="s">
        <v>51</v>
      </c>
      <c r="CK3956" t="s">
        <v>78</v>
      </c>
      <c r="CM3956" t="s">
        <v>54</v>
      </c>
      <c r="CN3956" t="s">
        <v>174</v>
      </c>
      <c r="CO3956" t="s">
        <v>86</v>
      </c>
      <c r="CR3956">
        <v>18</v>
      </c>
      <c r="CS3956">
        <v>0</v>
      </c>
      <c r="CT3956">
        <v>0</v>
      </c>
      <c r="CU3956">
        <v>0</v>
      </c>
    </row>
    <row r="3957" spans="1:99" x14ac:dyDescent="0.2">
      <c r="A3957" t="s">
        <v>367</v>
      </c>
      <c r="B3957" t="s">
        <v>368</v>
      </c>
      <c r="C3957" t="s">
        <v>369</v>
      </c>
      <c r="D3957" t="s">
        <v>1067</v>
      </c>
      <c r="F3957" t="str">
        <f>"177336"</f>
        <v>177336</v>
      </c>
      <c r="G3957" t="s">
        <v>49</v>
      </c>
      <c r="H3957" t="s">
        <v>1920</v>
      </c>
      <c r="K3957" t="s">
        <v>51</v>
      </c>
      <c r="L3957" t="s">
        <v>52</v>
      </c>
      <c r="M3957">
        <v>138308.027</v>
      </c>
      <c r="N3957">
        <v>468100.18099999998</v>
      </c>
      <c r="O3957" t="s">
        <v>53</v>
      </c>
      <c r="P3957" t="s">
        <v>54</v>
      </c>
      <c r="Q3957" t="s">
        <v>55</v>
      </c>
      <c r="T3957" t="s">
        <v>818</v>
      </c>
      <c r="U3957">
        <v>40</v>
      </c>
      <c r="V3957" s="1">
        <v>37704</v>
      </c>
      <c r="W3957" s="1">
        <v>37704</v>
      </c>
      <c r="X3957" s="1">
        <v>37704</v>
      </c>
      <c r="Y3957" s="1">
        <v>52314</v>
      </c>
      <c r="Z3957" t="s">
        <v>51</v>
      </c>
      <c r="AB3957" t="s">
        <v>54</v>
      </c>
      <c r="AC3957">
        <v>1</v>
      </c>
      <c r="AE3957" t="s">
        <v>825</v>
      </c>
      <c r="AF3957">
        <v>20</v>
      </c>
      <c r="AG3957" s="1">
        <v>37704</v>
      </c>
      <c r="AH3957" s="1">
        <v>37704</v>
      </c>
      <c r="AI3957" s="1">
        <v>37704</v>
      </c>
      <c r="AJ3957" s="1">
        <v>45009</v>
      </c>
      <c r="AK3957" t="s">
        <v>51</v>
      </c>
      <c r="AN3957">
        <v>0</v>
      </c>
      <c r="AO3957" t="s">
        <v>54</v>
      </c>
      <c r="AP3957" t="s">
        <v>53</v>
      </c>
      <c r="AQ3957">
        <v>0</v>
      </c>
      <c r="AR3957" t="s">
        <v>53</v>
      </c>
      <c r="AS3957">
        <v>0</v>
      </c>
      <c r="AT3957">
        <v>0</v>
      </c>
      <c r="CC3957" t="s">
        <v>555</v>
      </c>
      <c r="CD3957">
        <v>85000</v>
      </c>
      <c r="CE3957" s="1">
        <v>42552</v>
      </c>
      <c r="CF3957" s="1">
        <v>42552</v>
      </c>
      <c r="CG3957" s="1">
        <v>42552</v>
      </c>
      <c r="CH3957" s="1">
        <v>49714</v>
      </c>
      <c r="CI3957" t="s">
        <v>51</v>
      </c>
      <c r="CK3957" t="s">
        <v>78</v>
      </c>
      <c r="CM3957" t="s">
        <v>54</v>
      </c>
      <c r="CN3957" t="s">
        <v>174</v>
      </c>
      <c r="CO3957" t="s">
        <v>86</v>
      </c>
      <c r="CR3957">
        <v>20</v>
      </c>
      <c r="CS3957">
        <v>0</v>
      </c>
      <c r="CT3957">
        <v>0</v>
      </c>
      <c r="CU3957">
        <v>0</v>
      </c>
    </row>
    <row r="3958" spans="1:99" x14ac:dyDescent="0.2">
      <c r="A3958" t="s">
        <v>367</v>
      </c>
      <c r="B3958" t="s">
        <v>368</v>
      </c>
      <c r="C3958" t="s">
        <v>369</v>
      </c>
      <c r="D3958" t="s">
        <v>1067</v>
      </c>
      <c r="F3958" t="str">
        <f>"177337"</f>
        <v>177337</v>
      </c>
      <c r="G3958" t="s">
        <v>49</v>
      </c>
      <c r="H3958" t="s">
        <v>1921</v>
      </c>
      <c r="K3958" t="s">
        <v>51</v>
      </c>
      <c r="L3958" t="s">
        <v>52</v>
      </c>
      <c r="M3958">
        <v>138319.97500000001</v>
      </c>
      <c r="N3958">
        <v>468082.77399999998</v>
      </c>
      <c r="O3958" t="s">
        <v>53</v>
      </c>
      <c r="P3958" t="s">
        <v>54</v>
      </c>
      <c r="Q3958" t="s">
        <v>55</v>
      </c>
      <c r="T3958" t="s">
        <v>818</v>
      </c>
      <c r="U3958">
        <v>40</v>
      </c>
      <c r="V3958" s="1">
        <v>37722</v>
      </c>
      <c r="W3958" s="1">
        <v>37722</v>
      </c>
      <c r="X3958" s="1">
        <v>37722</v>
      </c>
      <c r="Y3958" s="1">
        <v>52332</v>
      </c>
      <c r="Z3958" t="s">
        <v>51</v>
      </c>
      <c r="AB3958" t="s">
        <v>54</v>
      </c>
      <c r="AC3958">
        <v>1</v>
      </c>
      <c r="AE3958" t="s">
        <v>825</v>
      </c>
      <c r="AF3958">
        <v>20</v>
      </c>
      <c r="AG3958" s="1">
        <v>37722</v>
      </c>
      <c r="AH3958" s="1">
        <v>37722</v>
      </c>
      <c r="AI3958" s="1">
        <v>37722</v>
      </c>
      <c r="AJ3958" s="1">
        <v>45027</v>
      </c>
      <c r="AK3958" t="s">
        <v>51</v>
      </c>
      <c r="AN3958">
        <v>0</v>
      </c>
      <c r="AO3958" t="s">
        <v>54</v>
      </c>
      <c r="AP3958" t="s">
        <v>53</v>
      </c>
      <c r="AQ3958">
        <v>0</v>
      </c>
      <c r="AR3958" t="s">
        <v>53</v>
      </c>
      <c r="AS3958">
        <v>0</v>
      </c>
      <c r="AT3958">
        <v>0</v>
      </c>
      <c r="CC3958" t="s">
        <v>555</v>
      </c>
      <c r="CD3958">
        <v>85000</v>
      </c>
      <c r="CE3958" s="1">
        <v>42552</v>
      </c>
      <c r="CF3958" s="1">
        <v>42552</v>
      </c>
      <c r="CG3958" s="1">
        <v>42552</v>
      </c>
      <c r="CH3958" s="1">
        <v>49714</v>
      </c>
      <c r="CI3958" t="s">
        <v>51</v>
      </c>
      <c r="CK3958" t="s">
        <v>78</v>
      </c>
      <c r="CM3958" t="s">
        <v>54</v>
      </c>
      <c r="CN3958" t="s">
        <v>174</v>
      </c>
      <c r="CO3958" t="s">
        <v>86</v>
      </c>
      <c r="CR3958">
        <v>20</v>
      </c>
      <c r="CS3958">
        <v>0</v>
      </c>
      <c r="CT3958">
        <v>0</v>
      </c>
      <c r="CU3958">
        <v>0</v>
      </c>
    </row>
    <row r="3959" spans="1:99" x14ac:dyDescent="0.2">
      <c r="A3959" t="s">
        <v>367</v>
      </c>
      <c r="B3959" t="s">
        <v>368</v>
      </c>
      <c r="C3959" t="s">
        <v>369</v>
      </c>
      <c r="D3959" t="s">
        <v>1067</v>
      </c>
      <c r="F3959" t="str">
        <f>"177338"</f>
        <v>177338</v>
      </c>
      <c r="G3959" t="s">
        <v>49</v>
      </c>
      <c r="H3959" t="s">
        <v>1922</v>
      </c>
      <c r="K3959" t="s">
        <v>51</v>
      </c>
      <c r="L3959" t="s">
        <v>52</v>
      </c>
      <c r="M3959">
        <v>138307.353</v>
      </c>
      <c r="N3959">
        <v>468067.40600000002</v>
      </c>
      <c r="O3959" t="s">
        <v>53</v>
      </c>
      <c r="P3959" t="s">
        <v>54</v>
      </c>
      <c r="Q3959" t="s">
        <v>55</v>
      </c>
      <c r="T3959" t="s">
        <v>818</v>
      </c>
      <c r="U3959">
        <v>40</v>
      </c>
      <c r="V3959" s="1">
        <v>37704</v>
      </c>
      <c r="W3959" s="1">
        <v>37704</v>
      </c>
      <c r="X3959" s="1">
        <v>37704</v>
      </c>
      <c r="Y3959" s="1">
        <v>52314</v>
      </c>
      <c r="Z3959" t="s">
        <v>51</v>
      </c>
      <c r="AB3959" t="s">
        <v>54</v>
      </c>
      <c r="AC3959">
        <v>1</v>
      </c>
      <c r="AE3959" t="s">
        <v>825</v>
      </c>
      <c r="AF3959">
        <v>20</v>
      </c>
      <c r="AG3959" s="1">
        <v>37704</v>
      </c>
      <c r="AH3959" s="1">
        <v>37704</v>
      </c>
      <c r="AI3959" s="1">
        <v>37704</v>
      </c>
      <c r="AJ3959" s="1">
        <v>45009</v>
      </c>
      <c r="AK3959" t="s">
        <v>51</v>
      </c>
      <c r="AN3959">
        <v>0</v>
      </c>
      <c r="AO3959" t="s">
        <v>54</v>
      </c>
      <c r="AP3959" t="s">
        <v>53</v>
      </c>
      <c r="AQ3959">
        <v>0</v>
      </c>
      <c r="AR3959" t="s">
        <v>53</v>
      </c>
      <c r="AS3959">
        <v>0</v>
      </c>
      <c r="AT3959">
        <v>0</v>
      </c>
      <c r="CC3959" t="s">
        <v>555</v>
      </c>
      <c r="CD3959">
        <v>85000</v>
      </c>
      <c r="CE3959" s="1">
        <v>42552</v>
      </c>
      <c r="CF3959" s="1">
        <v>42552</v>
      </c>
      <c r="CG3959" s="1">
        <v>42552</v>
      </c>
      <c r="CH3959" s="1">
        <v>49714</v>
      </c>
      <c r="CI3959" t="s">
        <v>51</v>
      </c>
      <c r="CK3959" t="s">
        <v>78</v>
      </c>
      <c r="CM3959" t="s">
        <v>54</v>
      </c>
      <c r="CN3959" t="s">
        <v>174</v>
      </c>
      <c r="CO3959" t="s">
        <v>86</v>
      </c>
      <c r="CR3959">
        <v>20</v>
      </c>
      <c r="CS3959">
        <v>0</v>
      </c>
      <c r="CT3959">
        <v>0</v>
      </c>
      <c r="CU3959">
        <v>0</v>
      </c>
    </row>
    <row r="3960" spans="1:99" x14ac:dyDescent="0.2">
      <c r="A3960" t="s">
        <v>367</v>
      </c>
      <c r="B3960" t="s">
        <v>368</v>
      </c>
      <c r="C3960" t="s">
        <v>369</v>
      </c>
      <c r="D3960" t="s">
        <v>1067</v>
      </c>
      <c r="F3960" t="str">
        <f>"177339"</f>
        <v>177339</v>
      </c>
      <c r="G3960" t="s">
        <v>49</v>
      </c>
      <c r="H3960" t="s">
        <v>1923</v>
      </c>
      <c r="K3960" t="s">
        <v>51</v>
      </c>
      <c r="L3960" t="s">
        <v>52</v>
      </c>
      <c r="M3960">
        <v>138321.41699999999</v>
      </c>
      <c r="N3960">
        <v>468062.261</v>
      </c>
      <c r="O3960" t="s">
        <v>53</v>
      </c>
      <c r="P3960" t="s">
        <v>54</v>
      </c>
      <c r="Q3960" t="s">
        <v>55</v>
      </c>
      <c r="T3960" t="s">
        <v>818</v>
      </c>
      <c r="U3960">
        <v>40</v>
      </c>
      <c r="V3960" s="1">
        <v>37721</v>
      </c>
      <c r="W3960" s="1">
        <v>37721</v>
      </c>
      <c r="X3960" s="1">
        <v>37721</v>
      </c>
      <c r="Y3960" s="1">
        <v>52331</v>
      </c>
      <c r="Z3960" t="s">
        <v>51</v>
      </c>
      <c r="AB3960" t="s">
        <v>54</v>
      </c>
      <c r="AC3960">
        <v>1</v>
      </c>
      <c r="AE3960" t="s">
        <v>825</v>
      </c>
      <c r="AF3960">
        <v>20</v>
      </c>
      <c r="AG3960" s="1">
        <v>37721</v>
      </c>
      <c r="AH3960" s="1">
        <v>37721</v>
      </c>
      <c r="AI3960" s="1">
        <v>37721</v>
      </c>
      <c r="AJ3960" s="1">
        <v>45026</v>
      </c>
      <c r="AK3960" t="s">
        <v>51</v>
      </c>
      <c r="AN3960">
        <v>0</v>
      </c>
      <c r="AO3960" t="s">
        <v>54</v>
      </c>
      <c r="AP3960" t="s">
        <v>53</v>
      </c>
      <c r="AQ3960">
        <v>0</v>
      </c>
      <c r="AR3960" t="s">
        <v>53</v>
      </c>
      <c r="AS3960">
        <v>0</v>
      </c>
      <c r="AT3960">
        <v>0</v>
      </c>
      <c r="CC3960" t="s">
        <v>555</v>
      </c>
      <c r="CD3960">
        <v>85000</v>
      </c>
      <c r="CE3960" s="1">
        <v>42552</v>
      </c>
      <c r="CF3960" s="1">
        <v>42552</v>
      </c>
      <c r="CG3960" s="1">
        <v>42552</v>
      </c>
      <c r="CH3960" s="1">
        <v>49714</v>
      </c>
      <c r="CI3960" t="s">
        <v>51</v>
      </c>
      <c r="CK3960" t="s">
        <v>78</v>
      </c>
      <c r="CM3960" t="s">
        <v>54</v>
      </c>
      <c r="CN3960" t="s">
        <v>174</v>
      </c>
      <c r="CO3960" t="s">
        <v>86</v>
      </c>
      <c r="CR3960">
        <v>20</v>
      </c>
      <c r="CS3960">
        <v>0</v>
      </c>
      <c r="CT3960">
        <v>0</v>
      </c>
      <c r="CU3960">
        <v>0</v>
      </c>
    </row>
    <row r="3961" spans="1:99" x14ac:dyDescent="0.2">
      <c r="A3961" t="s">
        <v>367</v>
      </c>
      <c r="B3961" t="s">
        <v>368</v>
      </c>
      <c r="C3961" t="s">
        <v>369</v>
      </c>
      <c r="D3961" t="s">
        <v>1067</v>
      </c>
      <c r="F3961" t="str">
        <f>"177340"</f>
        <v>177340</v>
      </c>
      <c r="G3961" t="s">
        <v>49</v>
      </c>
      <c r="H3961" t="s">
        <v>1546</v>
      </c>
      <c r="K3961" t="s">
        <v>51</v>
      </c>
      <c r="L3961" t="s">
        <v>52</v>
      </c>
      <c r="M3961">
        <v>138307.15</v>
      </c>
      <c r="N3961">
        <v>468046.64199999999</v>
      </c>
      <c r="O3961" t="s">
        <v>53</v>
      </c>
      <c r="P3961" t="s">
        <v>54</v>
      </c>
      <c r="Q3961" t="s">
        <v>55</v>
      </c>
      <c r="T3961" t="s">
        <v>818</v>
      </c>
      <c r="U3961">
        <v>40</v>
      </c>
      <c r="V3961" s="1">
        <v>37720</v>
      </c>
      <c r="W3961" s="1">
        <v>37720</v>
      </c>
      <c r="X3961" s="1">
        <v>37720</v>
      </c>
      <c r="Y3961" s="1">
        <v>52330</v>
      </c>
      <c r="Z3961" t="s">
        <v>51</v>
      </c>
      <c r="AB3961" t="s">
        <v>54</v>
      </c>
      <c r="AC3961">
        <v>1</v>
      </c>
      <c r="AE3961" t="s">
        <v>825</v>
      </c>
      <c r="AF3961">
        <v>20</v>
      </c>
      <c r="AG3961" s="1">
        <v>37720</v>
      </c>
      <c r="AH3961" s="1">
        <v>37720</v>
      </c>
      <c r="AI3961" s="1">
        <v>37720</v>
      </c>
      <c r="AJ3961" s="1">
        <v>45025</v>
      </c>
      <c r="AK3961" t="s">
        <v>51</v>
      </c>
      <c r="AN3961">
        <v>0</v>
      </c>
      <c r="AO3961" t="s">
        <v>54</v>
      </c>
      <c r="AP3961" t="s">
        <v>53</v>
      </c>
      <c r="AQ3961">
        <v>0</v>
      </c>
      <c r="AR3961" t="s">
        <v>53</v>
      </c>
      <c r="AS3961">
        <v>0</v>
      </c>
      <c r="AT3961">
        <v>0</v>
      </c>
      <c r="CC3961" t="s">
        <v>555</v>
      </c>
      <c r="CD3961">
        <v>85000</v>
      </c>
      <c r="CE3961" s="1">
        <v>42552</v>
      </c>
      <c r="CF3961" s="1">
        <v>42552</v>
      </c>
      <c r="CG3961" s="1">
        <v>42552</v>
      </c>
      <c r="CH3961" s="1">
        <v>49714</v>
      </c>
      <c r="CI3961" t="s">
        <v>51</v>
      </c>
      <c r="CK3961" t="s">
        <v>78</v>
      </c>
      <c r="CM3961" t="s">
        <v>54</v>
      </c>
      <c r="CN3961" t="s">
        <v>174</v>
      </c>
      <c r="CO3961" t="s">
        <v>86</v>
      </c>
      <c r="CR3961">
        <v>20</v>
      </c>
      <c r="CS3961">
        <v>0</v>
      </c>
      <c r="CT3961">
        <v>0</v>
      </c>
      <c r="CU3961">
        <v>0</v>
      </c>
    </row>
    <row r="3962" spans="1:99" x14ac:dyDescent="0.2">
      <c r="A3962" t="s">
        <v>367</v>
      </c>
      <c r="B3962" t="s">
        <v>368</v>
      </c>
      <c r="C3962" t="s">
        <v>369</v>
      </c>
      <c r="D3962" t="s">
        <v>1067</v>
      </c>
      <c r="F3962" t="str">
        <f>"177341"</f>
        <v>177341</v>
      </c>
      <c r="G3962" t="s">
        <v>49</v>
      </c>
      <c r="H3962" t="s">
        <v>1924</v>
      </c>
      <c r="K3962" t="s">
        <v>51</v>
      </c>
      <c r="L3962" t="s">
        <v>52</v>
      </c>
      <c r="M3962">
        <v>138321.891</v>
      </c>
      <c r="N3962">
        <v>468041.68199999997</v>
      </c>
      <c r="O3962" t="s">
        <v>53</v>
      </c>
      <c r="P3962" t="s">
        <v>54</v>
      </c>
      <c r="Q3962" t="s">
        <v>55</v>
      </c>
      <c r="T3962" t="s">
        <v>818</v>
      </c>
      <c r="U3962">
        <v>40</v>
      </c>
      <c r="V3962" s="1">
        <v>37720</v>
      </c>
      <c r="W3962" s="1">
        <v>37720</v>
      </c>
      <c r="X3962" s="1">
        <v>37720</v>
      </c>
      <c r="Y3962" s="1">
        <v>52330</v>
      </c>
      <c r="Z3962" t="s">
        <v>51</v>
      </c>
      <c r="AB3962" t="s">
        <v>54</v>
      </c>
      <c r="AC3962">
        <v>1</v>
      </c>
      <c r="AE3962" t="s">
        <v>825</v>
      </c>
      <c r="AF3962">
        <v>20</v>
      </c>
      <c r="AG3962" s="1">
        <v>37720</v>
      </c>
      <c r="AH3962" s="1">
        <v>37720</v>
      </c>
      <c r="AI3962" s="1">
        <v>37720</v>
      </c>
      <c r="AJ3962" s="1">
        <v>45025</v>
      </c>
      <c r="AK3962" t="s">
        <v>51</v>
      </c>
      <c r="AN3962">
        <v>0</v>
      </c>
      <c r="AO3962" t="s">
        <v>54</v>
      </c>
      <c r="AP3962" t="s">
        <v>53</v>
      </c>
      <c r="AQ3962">
        <v>0</v>
      </c>
      <c r="AR3962" t="s">
        <v>53</v>
      </c>
      <c r="AS3962">
        <v>0</v>
      </c>
      <c r="AT3962">
        <v>0</v>
      </c>
      <c r="CC3962" t="s">
        <v>555</v>
      </c>
      <c r="CD3962">
        <v>85000</v>
      </c>
      <c r="CE3962" s="1">
        <v>42552</v>
      </c>
      <c r="CF3962" s="1">
        <v>42552</v>
      </c>
      <c r="CG3962" s="1">
        <v>42552</v>
      </c>
      <c r="CH3962" s="1">
        <v>49714</v>
      </c>
      <c r="CI3962" t="s">
        <v>51</v>
      </c>
      <c r="CK3962" t="s">
        <v>78</v>
      </c>
      <c r="CM3962" t="s">
        <v>54</v>
      </c>
      <c r="CN3962" t="s">
        <v>174</v>
      </c>
      <c r="CO3962" t="s">
        <v>86</v>
      </c>
      <c r="CR3962">
        <v>20</v>
      </c>
      <c r="CS3962">
        <v>0</v>
      </c>
      <c r="CT3962">
        <v>0</v>
      </c>
      <c r="CU3962">
        <v>0</v>
      </c>
    </row>
    <row r="3963" spans="1:99" x14ac:dyDescent="0.2">
      <c r="A3963" t="s">
        <v>367</v>
      </c>
      <c r="B3963" t="s">
        <v>368</v>
      </c>
      <c r="C3963" t="s">
        <v>369</v>
      </c>
      <c r="D3963" t="s">
        <v>1067</v>
      </c>
      <c r="F3963" t="str">
        <f>"177342"</f>
        <v>177342</v>
      </c>
      <c r="G3963" t="s">
        <v>49</v>
      </c>
      <c r="H3963" t="s">
        <v>853</v>
      </c>
      <c r="K3963" t="s">
        <v>51</v>
      </c>
      <c r="L3963" t="s">
        <v>52</v>
      </c>
      <c r="M3963">
        <v>138306.65700000001</v>
      </c>
      <c r="N3963">
        <v>468023.80900000001</v>
      </c>
      <c r="O3963" t="s">
        <v>53</v>
      </c>
      <c r="P3963" t="s">
        <v>54</v>
      </c>
      <c r="Q3963" t="s">
        <v>55</v>
      </c>
      <c r="T3963" t="s">
        <v>818</v>
      </c>
      <c r="U3963">
        <v>40</v>
      </c>
      <c r="V3963" s="1">
        <v>37704</v>
      </c>
      <c r="W3963" s="1">
        <v>37704</v>
      </c>
      <c r="X3963" s="1">
        <v>37704</v>
      </c>
      <c r="Y3963" s="1">
        <v>52314</v>
      </c>
      <c r="Z3963" t="s">
        <v>51</v>
      </c>
      <c r="AB3963" t="s">
        <v>54</v>
      </c>
      <c r="AC3963">
        <v>1</v>
      </c>
      <c r="AE3963" t="s">
        <v>825</v>
      </c>
      <c r="AF3963">
        <v>20</v>
      </c>
      <c r="AG3963" s="1">
        <v>37704</v>
      </c>
      <c r="AH3963" s="1">
        <v>37704</v>
      </c>
      <c r="AI3963" s="1">
        <v>37704</v>
      </c>
      <c r="AJ3963" s="1">
        <v>45009</v>
      </c>
      <c r="AK3963" t="s">
        <v>51</v>
      </c>
      <c r="AN3963">
        <v>0</v>
      </c>
      <c r="AO3963" t="s">
        <v>54</v>
      </c>
      <c r="AP3963" t="s">
        <v>53</v>
      </c>
      <c r="AQ3963">
        <v>0</v>
      </c>
      <c r="AR3963" t="s">
        <v>53</v>
      </c>
      <c r="AS3963">
        <v>0</v>
      </c>
      <c r="AT3963">
        <v>0</v>
      </c>
      <c r="CC3963" t="s">
        <v>555</v>
      </c>
      <c r="CD3963">
        <v>85000</v>
      </c>
      <c r="CE3963" s="1">
        <v>42552</v>
      </c>
      <c r="CF3963" s="1">
        <v>42552</v>
      </c>
      <c r="CG3963" s="1">
        <v>42552</v>
      </c>
      <c r="CH3963" s="1">
        <v>49714</v>
      </c>
      <c r="CI3963" t="s">
        <v>51</v>
      </c>
      <c r="CK3963" t="s">
        <v>78</v>
      </c>
      <c r="CM3963" t="s">
        <v>54</v>
      </c>
      <c r="CN3963" t="s">
        <v>174</v>
      </c>
      <c r="CO3963" t="s">
        <v>86</v>
      </c>
      <c r="CR3963">
        <v>20</v>
      </c>
      <c r="CS3963">
        <v>0</v>
      </c>
      <c r="CT3963">
        <v>0</v>
      </c>
      <c r="CU3963">
        <v>0</v>
      </c>
    </row>
    <row r="3964" spans="1:99" x14ac:dyDescent="0.2">
      <c r="A3964" t="s">
        <v>367</v>
      </c>
      <c r="B3964" t="s">
        <v>368</v>
      </c>
      <c r="C3964" t="s">
        <v>369</v>
      </c>
      <c r="D3964" t="s">
        <v>1067</v>
      </c>
      <c r="F3964" t="str">
        <f>"177343"</f>
        <v>177343</v>
      </c>
      <c r="G3964" t="s">
        <v>49</v>
      </c>
      <c r="H3964" t="s">
        <v>1925</v>
      </c>
      <c r="K3964" t="s">
        <v>51</v>
      </c>
      <c r="L3964" t="s">
        <v>52</v>
      </c>
      <c r="M3964">
        <v>138320.24400000001</v>
      </c>
      <c r="N3964">
        <v>468021.72399999999</v>
      </c>
      <c r="O3964" t="s">
        <v>53</v>
      </c>
      <c r="P3964" t="s">
        <v>54</v>
      </c>
      <c r="Q3964" t="s">
        <v>55</v>
      </c>
      <c r="T3964" t="s">
        <v>818</v>
      </c>
      <c r="U3964">
        <v>40</v>
      </c>
      <c r="V3964" s="1">
        <v>37719</v>
      </c>
      <c r="W3964" s="1">
        <v>37719</v>
      </c>
      <c r="X3964" s="1">
        <v>37719</v>
      </c>
      <c r="Y3964" s="1">
        <v>52329</v>
      </c>
      <c r="Z3964" t="s">
        <v>51</v>
      </c>
      <c r="AB3964" t="s">
        <v>54</v>
      </c>
      <c r="AC3964">
        <v>1</v>
      </c>
      <c r="AE3964" t="s">
        <v>825</v>
      </c>
      <c r="AF3964">
        <v>20</v>
      </c>
      <c r="AG3964" s="1">
        <v>37719</v>
      </c>
      <c r="AH3964" s="1">
        <v>37719</v>
      </c>
      <c r="AI3964" s="1">
        <v>37719</v>
      </c>
      <c r="AJ3964" s="1">
        <v>45024</v>
      </c>
      <c r="AK3964" t="s">
        <v>51</v>
      </c>
      <c r="AN3964">
        <v>0</v>
      </c>
      <c r="AO3964" t="s">
        <v>54</v>
      </c>
      <c r="AP3964" t="s">
        <v>53</v>
      </c>
      <c r="AQ3964">
        <v>0</v>
      </c>
      <c r="AR3964" t="s">
        <v>53</v>
      </c>
      <c r="AS3964">
        <v>0</v>
      </c>
      <c r="AT3964">
        <v>0</v>
      </c>
      <c r="CC3964" t="s">
        <v>555</v>
      </c>
      <c r="CD3964">
        <v>85000</v>
      </c>
      <c r="CE3964" s="1">
        <v>42552</v>
      </c>
      <c r="CF3964" s="1">
        <v>42552</v>
      </c>
      <c r="CG3964" s="1">
        <v>42552</v>
      </c>
      <c r="CH3964" s="1">
        <v>49714</v>
      </c>
      <c r="CI3964" t="s">
        <v>51</v>
      </c>
      <c r="CK3964" t="s">
        <v>78</v>
      </c>
      <c r="CM3964" t="s">
        <v>54</v>
      </c>
      <c r="CN3964" t="s">
        <v>174</v>
      </c>
      <c r="CO3964" t="s">
        <v>86</v>
      </c>
      <c r="CR3964">
        <v>20</v>
      </c>
      <c r="CS3964">
        <v>0</v>
      </c>
      <c r="CT3964">
        <v>0</v>
      </c>
      <c r="CU3964">
        <v>0</v>
      </c>
    </row>
    <row r="3965" spans="1:99" x14ac:dyDescent="0.2">
      <c r="A3965" t="s">
        <v>367</v>
      </c>
      <c r="B3965" t="s">
        <v>368</v>
      </c>
      <c r="C3965" t="s">
        <v>369</v>
      </c>
      <c r="D3965" t="s">
        <v>1067</v>
      </c>
      <c r="F3965" t="str">
        <f>"177344"</f>
        <v>177344</v>
      </c>
      <c r="G3965" t="s">
        <v>49</v>
      </c>
      <c r="H3965" t="s">
        <v>1926</v>
      </c>
      <c r="K3965" t="s">
        <v>51</v>
      </c>
      <c r="L3965" t="s">
        <v>52</v>
      </c>
      <c r="M3965">
        <v>138313.82999999999</v>
      </c>
      <c r="N3965">
        <v>468002.78100000002</v>
      </c>
      <c r="O3965" t="s">
        <v>53</v>
      </c>
      <c r="P3965" t="s">
        <v>54</v>
      </c>
      <c r="Q3965" t="s">
        <v>55</v>
      </c>
      <c r="T3965" t="s">
        <v>818</v>
      </c>
      <c r="U3965">
        <v>40</v>
      </c>
      <c r="V3965" s="1">
        <v>37721</v>
      </c>
      <c r="W3965" s="1">
        <v>37721</v>
      </c>
      <c r="X3965" s="1">
        <v>37721</v>
      </c>
      <c r="Y3965" s="1">
        <v>52331</v>
      </c>
      <c r="Z3965" t="s">
        <v>51</v>
      </c>
      <c r="AB3965" t="s">
        <v>54</v>
      </c>
      <c r="AC3965">
        <v>1</v>
      </c>
      <c r="AE3965" t="s">
        <v>825</v>
      </c>
      <c r="AF3965">
        <v>20</v>
      </c>
      <c r="AG3965" s="1">
        <v>37722</v>
      </c>
      <c r="AH3965" s="1">
        <v>37722</v>
      </c>
      <c r="AI3965" s="1">
        <v>37722</v>
      </c>
      <c r="AJ3965" s="1">
        <v>45027</v>
      </c>
      <c r="AK3965" t="s">
        <v>51</v>
      </c>
      <c r="AN3965">
        <v>0</v>
      </c>
      <c r="AO3965" t="s">
        <v>54</v>
      </c>
      <c r="AP3965" t="s">
        <v>53</v>
      </c>
      <c r="AQ3965">
        <v>0</v>
      </c>
      <c r="AR3965" t="s">
        <v>53</v>
      </c>
      <c r="AS3965">
        <v>0</v>
      </c>
      <c r="AT3965">
        <v>0</v>
      </c>
      <c r="CC3965" t="s">
        <v>555</v>
      </c>
      <c r="CD3965">
        <v>85000</v>
      </c>
      <c r="CE3965" s="1">
        <v>42552</v>
      </c>
      <c r="CF3965" s="1">
        <v>42552</v>
      </c>
      <c r="CG3965" s="1">
        <v>42552</v>
      </c>
      <c r="CH3965" s="1">
        <v>49714</v>
      </c>
      <c r="CI3965" t="s">
        <v>51</v>
      </c>
      <c r="CK3965" t="s">
        <v>78</v>
      </c>
      <c r="CM3965" t="s">
        <v>54</v>
      </c>
      <c r="CN3965" t="s">
        <v>174</v>
      </c>
      <c r="CO3965" t="s">
        <v>86</v>
      </c>
      <c r="CR3965">
        <v>20</v>
      </c>
      <c r="CS3965">
        <v>0</v>
      </c>
      <c r="CT3965">
        <v>0</v>
      </c>
      <c r="CU3965">
        <v>0</v>
      </c>
    </row>
    <row r="3966" spans="1:99" x14ac:dyDescent="0.2">
      <c r="A3966" t="s">
        <v>367</v>
      </c>
      <c r="B3966" t="s">
        <v>368</v>
      </c>
      <c r="C3966" t="s">
        <v>369</v>
      </c>
      <c r="D3966" t="s">
        <v>1067</v>
      </c>
      <c r="F3966" t="str">
        <f>"177345"</f>
        <v>177345</v>
      </c>
      <c r="G3966" t="s">
        <v>49</v>
      </c>
      <c r="H3966" t="s">
        <v>1927</v>
      </c>
      <c r="K3966" t="s">
        <v>51</v>
      </c>
      <c r="L3966" t="s">
        <v>52</v>
      </c>
      <c r="M3966">
        <v>138312.12899999999</v>
      </c>
      <c r="N3966">
        <v>467978.30699999997</v>
      </c>
      <c r="O3966" t="s">
        <v>53</v>
      </c>
      <c r="P3966" t="s">
        <v>54</v>
      </c>
      <c r="Q3966" t="s">
        <v>55</v>
      </c>
      <c r="T3966" t="s">
        <v>818</v>
      </c>
      <c r="U3966">
        <v>40</v>
      </c>
      <c r="V3966" s="1">
        <v>37722</v>
      </c>
      <c r="W3966" s="1">
        <v>37722</v>
      </c>
      <c r="X3966" s="1">
        <v>37722</v>
      </c>
      <c r="Y3966" s="1">
        <v>52332</v>
      </c>
      <c r="Z3966" t="s">
        <v>51</v>
      </c>
      <c r="AB3966" t="s">
        <v>54</v>
      </c>
      <c r="AC3966">
        <v>1</v>
      </c>
      <c r="AE3966" t="s">
        <v>825</v>
      </c>
      <c r="AF3966">
        <v>20</v>
      </c>
      <c r="AG3966" s="1">
        <v>37722</v>
      </c>
      <c r="AH3966" s="1">
        <v>37722</v>
      </c>
      <c r="AI3966" s="1">
        <v>37722</v>
      </c>
      <c r="AJ3966" s="1">
        <v>45027</v>
      </c>
      <c r="AK3966" t="s">
        <v>51</v>
      </c>
      <c r="AN3966">
        <v>0</v>
      </c>
      <c r="AO3966" t="s">
        <v>54</v>
      </c>
      <c r="AP3966" t="s">
        <v>53</v>
      </c>
      <c r="AQ3966">
        <v>0</v>
      </c>
      <c r="AR3966" t="s">
        <v>53</v>
      </c>
      <c r="AS3966">
        <v>0</v>
      </c>
      <c r="AT3966">
        <v>0</v>
      </c>
      <c r="CC3966" t="s">
        <v>555</v>
      </c>
      <c r="CD3966">
        <v>85000</v>
      </c>
      <c r="CE3966" s="1">
        <v>42552</v>
      </c>
      <c r="CF3966" s="1">
        <v>42552</v>
      </c>
      <c r="CG3966" s="1">
        <v>42552</v>
      </c>
      <c r="CH3966" s="1">
        <v>49714</v>
      </c>
      <c r="CI3966" t="s">
        <v>51</v>
      </c>
      <c r="CK3966" t="s">
        <v>78</v>
      </c>
      <c r="CM3966" t="s">
        <v>54</v>
      </c>
      <c r="CN3966" t="s">
        <v>174</v>
      </c>
      <c r="CO3966" t="s">
        <v>86</v>
      </c>
      <c r="CR3966">
        <v>20</v>
      </c>
      <c r="CS3966">
        <v>0</v>
      </c>
      <c r="CT3966">
        <v>0</v>
      </c>
      <c r="CU3966">
        <v>0</v>
      </c>
    </row>
    <row r="3967" spans="1:99" x14ac:dyDescent="0.2">
      <c r="A3967" t="s">
        <v>367</v>
      </c>
      <c r="B3967" t="s">
        <v>368</v>
      </c>
      <c r="C3967" t="s">
        <v>369</v>
      </c>
      <c r="D3967" t="s">
        <v>1911</v>
      </c>
      <c r="F3967" t="str">
        <f>"177346"</f>
        <v>177346</v>
      </c>
      <c r="G3967" t="s">
        <v>49</v>
      </c>
      <c r="H3967" t="s">
        <v>1928</v>
      </c>
      <c r="K3967" t="s">
        <v>51</v>
      </c>
      <c r="L3967" t="s">
        <v>52</v>
      </c>
      <c r="M3967">
        <v>138378.32500000001</v>
      </c>
      <c r="N3967">
        <v>468096.978</v>
      </c>
      <c r="O3967" t="s">
        <v>53</v>
      </c>
      <c r="P3967" t="s">
        <v>54</v>
      </c>
      <c r="Q3967" t="s">
        <v>55</v>
      </c>
      <c r="T3967" t="s">
        <v>818</v>
      </c>
      <c r="U3967">
        <v>40</v>
      </c>
      <c r="V3967" s="1">
        <v>37704</v>
      </c>
      <c r="W3967" s="1">
        <v>37704</v>
      </c>
      <c r="X3967" s="1">
        <v>37704</v>
      </c>
      <c r="Y3967" s="1">
        <v>52314</v>
      </c>
      <c r="Z3967" t="s">
        <v>51</v>
      </c>
      <c r="AB3967" t="s">
        <v>54</v>
      </c>
      <c r="AC3967">
        <v>1</v>
      </c>
      <c r="AE3967" t="s">
        <v>825</v>
      </c>
      <c r="AF3967">
        <v>20</v>
      </c>
      <c r="AG3967" s="1">
        <v>37704</v>
      </c>
      <c r="AH3967" s="1">
        <v>37704</v>
      </c>
      <c r="AI3967" s="1">
        <v>37704</v>
      </c>
      <c r="AJ3967" s="1">
        <v>45009</v>
      </c>
      <c r="AK3967" t="s">
        <v>51</v>
      </c>
      <c r="AN3967">
        <v>0</v>
      </c>
      <c r="AO3967" t="s">
        <v>54</v>
      </c>
      <c r="AP3967" t="s">
        <v>53</v>
      </c>
      <c r="AQ3967">
        <v>0</v>
      </c>
      <c r="AR3967" t="s">
        <v>53</v>
      </c>
      <c r="AS3967">
        <v>0</v>
      </c>
      <c r="AT3967">
        <v>0</v>
      </c>
      <c r="CC3967" t="s">
        <v>555</v>
      </c>
      <c r="CD3967">
        <v>85000</v>
      </c>
      <c r="CE3967" s="1">
        <v>42552</v>
      </c>
      <c r="CF3967" s="1">
        <v>42552</v>
      </c>
      <c r="CG3967" s="1">
        <v>42552</v>
      </c>
      <c r="CH3967" s="1">
        <v>49714</v>
      </c>
      <c r="CI3967" t="s">
        <v>51</v>
      </c>
      <c r="CK3967" t="s">
        <v>78</v>
      </c>
      <c r="CM3967" t="s">
        <v>54</v>
      </c>
      <c r="CN3967" t="s">
        <v>174</v>
      </c>
      <c r="CO3967" t="s">
        <v>86</v>
      </c>
      <c r="CR3967">
        <v>20</v>
      </c>
      <c r="CS3967">
        <v>0</v>
      </c>
      <c r="CT3967">
        <v>0</v>
      </c>
      <c r="CU3967">
        <v>0</v>
      </c>
    </row>
    <row r="3968" spans="1:99" x14ac:dyDescent="0.2">
      <c r="A3968" t="s">
        <v>367</v>
      </c>
      <c r="B3968" t="s">
        <v>368</v>
      </c>
      <c r="C3968" t="s">
        <v>369</v>
      </c>
      <c r="D3968" t="s">
        <v>1911</v>
      </c>
      <c r="F3968" t="str">
        <f>"177347"</f>
        <v>177347</v>
      </c>
      <c r="G3968" t="s">
        <v>49</v>
      </c>
      <c r="H3968" t="s">
        <v>1929</v>
      </c>
      <c r="K3968" t="s">
        <v>51</v>
      </c>
      <c r="L3968" t="s">
        <v>52</v>
      </c>
      <c r="M3968">
        <v>138384.64199999999</v>
      </c>
      <c r="N3968">
        <v>468077.46399999998</v>
      </c>
      <c r="O3968" t="s">
        <v>53</v>
      </c>
      <c r="P3968" t="s">
        <v>54</v>
      </c>
      <c r="Q3968" t="s">
        <v>55</v>
      </c>
      <c r="T3968" t="s">
        <v>818</v>
      </c>
      <c r="U3968">
        <v>40</v>
      </c>
      <c r="V3968" s="1">
        <v>37704</v>
      </c>
      <c r="W3968" s="1">
        <v>37704</v>
      </c>
      <c r="X3968" s="1">
        <v>37704</v>
      </c>
      <c r="Y3968" s="1">
        <v>52314</v>
      </c>
      <c r="Z3968" t="s">
        <v>51</v>
      </c>
      <c r="AB3968" t="s">
        <v>54</v>
      </c>
      <c r="AC3968">
        <v>1</v>
      </c>
      <c r="AE3968" t="s">
        <v>825</v>
      </c>
      <c r="AF3968">
        <v>20</v>
      </c>
      <c r="AG3968" s="1">
        <v>37704</v>
      </c>
      <c r="AH3968" s="1">
        <v>37704</v>
      </c>
      <c r="AI3968" s="1">
        <v>37704</v>
      </c>
      <c r="AJ3968" s="1">
        <v>45009</v>
      </c>
      <c r="AK3968" t="s">
        <v>51</v>
      </c>
      <c r="AN3968">
        <v>0</v>
      </c>
      <c r="AO3968" t="s">
        <v>54</v>
      </c>
      <c r="AP3968" t="s">
        <v>53</v>
      </c>
      <c r="AQ3968">
        <v>0</v>
      </c>
      <c r="AR3968" t="s">
        <v>53</v>
      </c>
      <c r="AS3968">
        <v>0</v>
      </c>
      <c r="AT3968">
        <v>0</v>
      </c>
      <c r="CC3968" t="s">
        <v>555</v>
      </c>
      <c r="CD3968">
        <v>85000</v>
      </c>
      <c r="CE3968" s="1">
        <v>42552</v>
      </c>
      <c r="CF3968" s="1">
        <v>42552</v>
      </c>
      <c r="CG3968" s="1">
        <v>42552</v>
      </c>
      <c r="CH3968" s="1">
        <v>49714</v>
      </c>
      <c r="CI3968" t="s">
        <v>51</v>
      </c>
      <c r="CK3968" t="s">
        <v>78</v>
      </c>
      <c r="CM3968" t="s">
        <v>54</v>
      </c>
      <c r="CN3968" t="s">
        <v>174</v>
      </c>
      <c r="CO3968" t="s">
        <v>86</v>
      </c>
      <c r="CR3968">
        <v>20</v>
      </c>
      <c r="CS3968">
        <v>0</v>
      </c>
      <c r="CT3968">
        <v>0</v>
      </c>
      <c r="CU3968">
        <v>0</v>
      </c>
    </row>
    <row r="3969" spans="1:99" x14ac:dyDescent="0.2">
      <c r="A3969" t="s">
        <v>367</v>
      </c>
      <c r="B3969" t="s">
        <v>368</v>
      </c>
      <c r="C3969" t="s">
        <v>369</v>
      </c>
      <c r="D3969" t="s">
        <v>1911</v>
      </c>
      <c r="F3969" t="str">
        <f>"177348"</f>
        <v>177348</v>
      </c>
      <c r="G3969" t="s">
        <v>49</v>
      </c>
      <c r="H3969" t="s">
        <v>1930</v>
      </c>
      <c r="K3969" t="s">
        <v>51</v>
      </c>
      <c r="L3969" t="s">
        <v>52</v>
      </c>
      <c r="M3969">
        <v>138385.519</v>
      </c>
      <c r="N3969">
        <v>468056.75</v>
      </c>
      <c r="O3969" t="s">
        <v>53</v>
      </c>
      <c r="P3969" t="s">
        <v>54</v>
      </c>
      <c r="Q3969" t="s">
        <v>55</v>
      </c>
      <c r="T3969" t="s">
        <v>818</v>
      </c>
      <c r="U3969">
        <v>40</v>
      </c>
      <c r="V3969" s="1">
        <v>37699</v>
      </c>
      <c r="W3969" s="1">
        <v>37699</v>
      </c>
      <c r="X3969" s="1">
        <v>37699</v>
      </c>
      <c r="Y3969" s="1">
        <v>52309</v>
      </c>
      <c r="Z3969" t="s">
        <v>51</v>
      </c>
      <c r="AB3969" t="s">
        <v>54</v>
      </c>
      <c r="AC3969">
        <v>1</v>
      </c>
      <c r="AE3969" t="s">
        <v>825</v>
      </c>
      <c r="AF3969">
        <v>20</v>
      </c>
      <c r="AG3969" s="1">
        <v>37699</v>
      </c>
      <c r="AH3969" s="1">
        <v>37699</v>
      </c>
      <c r="AI3969" s="1">
        <v>37699</v>
      </c>
      <c r="AJ3969" s="1">
        <v>45004</v>
      </c>
      <c r="AK3969" t="s">
        <v>51</v>
      </c>
      <c r="AN3969">
        <v>0</v>
      </c>
      <c r="AO3969" t="s">
        <v>54</v>
      </c>
      <c r="AP3969" t="s">
        <v>53</v>
      </c>
      <c r="AQ3969">
        <v>0</v>
      </c>
      <c r="AR3969" t="s">
        <v>53</v>
      </c>
      <c r="AS3969">
        <v>0</v>
      </c>
      <c r="AT3969">
        <v>0</v>
      </c>
      <c r="CC3969" t="s">
        <v>555</v>
      </c>
      <c r="CD3969">
        <v>85000</v>
      </c>
      <c r="CE3969" s="1">
        <v>42552</v>
      </c>
      <c r="CF3969" s="1">
        <v>42552</v>
      </c>
      <c r="CG3969" s="1">
        <v>42552</v>
      </c>
      <c r="CH3969" s="1">
        <v>49714</v>
      </c>
      <c r="CI3969" t="s">
        <v>51</v>
      </c>
      <c r="CK3969" t="s">
        <v>78</v>
      </c>
      <c r="CM3969" t="s">
        <v>54</v>
      </c>
      <c r="CN3969" t="s">
        <v>174</v>
      </c>
      <c r="CO3969" t="s">
        <v>86</v>
      </c>
      <c r="CR3969">
        <v>20</v>
      </c>
      <c r="CS3969">
        <v>0</v>
      </c>
      <c r="CT3969">
        <v>0</v>
      </c>
      <c r="CU3969">
        <v>0</v>
      </c>
    </row>
    <row r="3970" spans="1:99" x14ac:dyDescent="0.2">
      <c r="A3970" t="s">
        <v>367</v>
      </c>
      <c r="B3970" t="s">
        <v>368</v>
      </c>
      <c r="C3970" t="s">
        <v>369</v>
      </c>
      <c r="D3970" t="s">
        <v>1911</v>
      </c>
      <c r="F3970" t="str">
        <f>"177349"</f>
        <v>177349</v>
      </c>
      <c r="G3970" t="s">
        <v>49</v>
      </c>
      <c r="H3970" t="s">
        <v>1931</v>
      </c>
      <c r="K3970" t="s">
        <v>51</v>
      </c>
      <c r="L3970" t="s">
        <v>52</v>
      </c>
      <c r="M3970">
        <v>138385.541</v>
      </c>
      <c r="N3970">
        <v>468034.12900000002</v>
      </c>
      <c r="O3970" t="s">
        <v>53</v>
      </c>
      <c r="P3970" t="s">
        <v>54</v>
      </c>
      <c r="Q3970" t="s">
        <v>55</v>
      </c>
      <c r="T3970" t="s">
        <v>818</v>
      </c>
      <c r="U3970">
        <v>40</v>
      </c>
      <c r="V3970" s="1">
        <v>37699</v>
      </c>
      <c r="W3970" s="1">
        <v>37699</v>
      </c>
      <c r="X3970" s="1">
        <v>37699</v>
      </c>
      <c r="Y3970" s="1">
        <v>52309</v>
      </c>
      <c r="Z3970" t="s">
        <v>51</v>
      </c>
      <c r="AB3970" t="s">
        <v>54</v>
      </c>
      <c r="AC3970">
        <v>1</v>
      </c>
      <c r="AE3970" t="s">
        <v>825</v>
      </c>
      <c r="AF3970">
        <v>20</v>
      </c>
      <c r="AG3970" s="1">
        <v>37699</v>
      </c>
      <c r="AH3970" s="1">
        <v>37699</v>
      </c>
      <c r="AI3970" s="1">
        <v>37699</v>
      </c>
      <c r="AJ3970" s="1">
        <v>45004</v>
      </c>
      <c r="AK3970" t="s">
        <v>51</v>
      </c>
      <c r="AN3970">
        <v>0</v>
      </c>
      <c r="AO3970" t="s">
        <v>54</v>
      </c>
      <c r="AP3970" t="s">
        <v>53</v>
      </c>
      <c r="AQ3970">
        <v>0</v>
      </c>
      <c r="AR3970" t="s">
        <v>53</v>
      </c>
      <c r="AS3970">
        <v>0</v>
      </c>
      <c r="AT3970">
        <v>0</v>
      </c>
      <c r="CC3970" t="s">
        <v>555</v>
      </c>
      <c r="CD3970">
        <v>85000</v>
      </c>
      <c r="CE3970" s="1">
        <v>42552</v>
      </c>
      <c r="CF3970" s="1">
        <v>42552</v>
      </c>
      <c r="CG3970" s="1">
        <v>42552</v>
      </c>
      <c r="CH3970" s="1">
        <v>49714</v>
      </c>
      <c r="CI3970" t="s">
        <v>51</v>
      </c>
      <c r="CK3970" t="s">
        <v>78</v>
      </c>
      <c r="CM3970" t="s">
        <v>54</v>
      </c>
      <c r="CN3970" t="s">
        <v>174</v>
      </c>
      <c r="CO3970" t="s">
        <v>86</v>
      </c>
      <c r="CR3970">
        <v>20</v>
      </c>
      <c r="CS3970">
        <v>0</v>
      </c>
      <c r="CT3970">
        <v>0</v>
      </c>
      <c r="CU3970">
        <v>0</v>
      </c>
    </row>
    <row r="3971" spans="1:99" x14ac:dyDescent="0.2">
      <c r="A3971" t="s">
        <v>367</v>
      </c>
      <c r="B3971" t="s">
        <v>368</v>
      </c>
      <c r="C3971" t="s">
        <v>369</v>
      </c>
      <c r="D3971" t="s">
        <v>1911</v>
      </c>
      <c r="F3971" t="str">
        <f>"177350"</f>
        <v>177350</v>
      </c>
      <c r="G3971" t="s">
        <v>49</v>
      </c>
      <c r="H3971" t="s">
        <v>1926</v>
      </c>
      <c r="K3971" t="s">
        <v>51</v>
      </c>
      <c r="L3971" t="s">
        <v>52</v>
      </c>
      <c r="M3971">
        <v>138383.973</v>
      </c>
      <c r="N3971">
        <v>468011.97499999998</v>
      </c>
      <c r="O3971" t="s">
        <v>53</v>
      </c>
      <c r="P3971" t="s">
        <v>54</v>
      </c>
      <c r="Q3971" t="s">
        <v>55</v>
      </c>
      <c r="T3971" t="s">
        <v>818</v>
      </c>
      <c r="U3971">
        <v>40</v>
      </c>
      <c r="V3971" s="1">
        <v>37699</v>
      </c>
      <c r="W3971" s="1">
        <v>37699</v>
      </c>
      <c r="X3971" s="1">
        <v>37699</v>
      </c>
      <c r="Y3971" s="1">
        <v>52309</v>
      </c>
      <c r="Z3971" t="s">
        <v>51</v>
      </c>
      <c r="AB3971" t="s">
        <v>54</v>
      </c>
      <c r="AC3971">
        <v>1</v>
      </c>
      <c r="AE3971" t="s">
        <v>825</v>
      </c>
      <c r="AF3971">
        <v>20</v>
      </c>
      <c r="AG3971" s="1">
        <v>37699</v>
      </c>
      <c r="AH3971" s="1">
        <v>37699</v>
      </c>
      <c r="AI3971" s="1">
        <v>37699</v>
      </c>
      <c r="AJ3971" s="1">
        <v>45004</v>
      </c>
      <c r="AK3971" t="s">
        <v>51</v>
      </c>
      <c r="AN3971">
        <v>0</v>
      </c>
      <c r="AO3971" t="s">
        <v>54</v>
      </c>
      <c r="AP3971" t="s">
        <v>53</v>
      </c>
      <c r="AQ3971">
        <v>0</v>
      </c>
      <c r="AR3971" t="s">
        <v>53</v>
      </c>
      <c r="AS3971">
        <v>0</v>
      </c>
      <c r="AT3971">
        <v>0</v>
      </c>
      <c r="CC3971" t="s">
        <v>555</v>
      </c>
      <c r="CD3971">
        <v>85000</v>
      </c>
      <c r="CE3971" s="1">
        <v>42552</v>
      </c>
      <c r="CF3971" s="1">
        <v>42552</v>
      </c>
      <c r="CG3971" s="1">
        <v>42552</v>
      </c>
      <c r="CH3971" s="1">
        <v>49714</v>
      </c>
      <c r="CI3971" t="s">
        <v>51</v>
      </c>
      <c r="CK3971" t="s">
        <v>78</v>
      </c>
      <c r="CM3971" t="s">
        <v>54</v>
      </c>
      <c r="CN3971" t="s">
        <v>174</v>
      </c>
      <c r="CO3971" t="s">
        <v>86</v>
      </c>
      <c r="CR3971">
        <v>20</v>
      </c>
      <c r="CS3971">
        <v>0</v>
      </c>
      <c r="CT3971">
        <v>0</v>
      </c>
      <c r="CU3971">
        <v>0</v>
      </c>
    </row>
    <row r="3972" spans="1:99" x14ac:dyDescent="0.2">
      <c r="A3972" t="s">
        <v>367</v>
      </c>
      <c r="B3972" t="s">
        <v>368</v>
      </c>
      <c r="C3972" t="s">
        <v>369</v>
      </c>
      <c r="D3972" t="s">
        <v>1911</v>
      </c>
      <c r="F3972" t="str">
        <f>"177351"</f>
        <v>177351</v>
      </c>
      <c r="G3972" t="s">
        <v>49</v>
      </c>
      <c r="H3972" t="s">
        <v>1926</v>
      </c>
      <c r="K3972" t="s">
        <v>51</v>
      </c>
      <c r="L3972" t="s">
        <v>52</v>
      </c>
      <c r="M3972">
        <v>138381.48699999999</v>
      </c>
      <c r="N3972">
        <v>467991.05300000001</v>
      </c>
      <c r="O3972" t="s">
        <v>53</v>
      </c>
      <c r="P3972" t="s">
        <v>54</v>
      </c>
      <c r="Q3972" t="s">
        <v>55</v>
      </c>
      <c r="T3972" t="s">
        <v>818</v>
      </c>
      <c r="U3972">
        <v>40</v>
      </c>
      <c r="V3972" s="1">
        <v>37699</v>
      </c>
      <c r="W3972" s="1">
        <v>37699</v>
      </c>
      <c r="X3972" s="1">
        <v>37699</v>
      </c>
      <c r="Y3972" s="1">
        <v>52309</v>
      </c>
      <c r="Z3972" t="s">
        <v>51</v>
      </c>
      <c r="AB3972" t="s">
        <v>54</v>
      </c>
      <c r="AC3972">
        <v>1</v>
      </c>
      <c r="AE3972" t="s">
        <v>825</v>
      </c>
      <c r="AF3972">
        <v>20</v>
      </c>
      <c r="AG3972" s="1">
        <v>37699</v>
      </c>
      <c r="AH3972" s="1">
        <v>37699</v>
      </c>
      <c r="AI3972" s="1">
        <v>37699</v>
      </c>
      <c r="AJ3972" s="1">
        <v>45004</v>
      </c>
      <c r="AK3972" t="s">
        <v>51</v>
      </c>
      <c r="AN3972">
        <v>0</v>
      </c>
      <c r="AO3972" t="s">
        <v>54</v>
      </c>
      <c r="AP3972" t="s">
        <v>53</v>
      </c>
      <c r="AQ3972">
        <v>0</v>
      </c>
      <c r="AR3972" t="s">
        <v>53</v>
      </c>
      <c r="AS3972">
        <v>0</v>
      </c>
      <c r="AT3972">
        <v>0</v>
      </c>
      <c r="CC3972" t="s">
        <v>555</v>
      </c>
      <c r="CD3972">
        <v>85000</v>
      </c>
      <c r="CE3972" s="1">
        <v>42552</v>
      </c>
      <c r="CF3972" s="1">
        <v>42552</v>
      </c>
      <c r="CG3972" s="1">
        <v>42552</v>
      </c>
      <c r="CH3972" s="1">
        <v>49714</v>
      </c>
      <c r="CI3972" t="s">
        <v>51</v>
      </c>
      <c r="CK3972" t="s">
        <v>78</v>
      </c>
      <c r="CM3972" t="s">
        <v>54</v>
      </c>
      <c r="CN3972" t="s">
        <v>174</v>
      </c>
      <c r="CO3972" t="s">
        <v>86</v>
      </c>
      <c r="CR3972">
        <v>20</v>
      </c>
      <c r="CS3972">
        <v>0</v>
      </c>
      <c r="CT3972">
        <v>0</v>
      </c>
      <c r="CU3972">
        <v>0</v>
      </c>
    </row>
    <row r="3973" spans="1:99" x14ac:dyDescent="0.2">
      <c r="A3973" t="s">
        <v>367</v>
      </c>
      <c r="B3973" t="s">
        <v>368</v>
      </c>
      <c r="C3973" t="s">
        <v>369</v>
      </c>
      <c r="D3973" t="s">
        <v>1911</v>
      </c>
      <c r="F3973" t="str">
        <f>"177352"</f>
        <v>177352</v>
      </c>
      <c r="G3973" t="s">
        <v>49</v>
      </c>
      <c r="H3973" t="s">
        <v>1932</v>
      </c>
      <c r="K3973" t="s">
        <v>51</v>
      </c>
      <c r="L3973" t="s">
        <v>52</v>
      </c>
      <c r="M3973">
        <v>138375.97500000001</v>
      </c>
      <c r="N3973">
        <v>467976.74099999998</v>
      </c>
      <c r="O3973" t="s">
        <v>53</v>
      </c>
      <c r="P3973" t="s">
        <v>54</v>
      </c>
      <c r="Q3973" t="s">
        <v>55</v>
      </c>
      <c r="T3973" t="s">
        <v>818</v>
      </c>
      <c r="U3973">
        <v>40</v>
      </c>
      <c r="V3973" s="1">
        <v>37700</v>
      </c>
      <c r="W3973" s="1">
        <v>37700</v>
      </c>
      <c r="X3973" s="1">
        <v>37700</v>
      </c>
      <c r="Y3973" s="1">
        <v>52310</v>
      </c>
      <c r="Z3973" t="s">
        <v>51</v>
      </c>
      <c r="AB3973" t="s">
        <v>54</v>
      </c>
      <c r="AC3973">
        <v>1</v>
      </c>
      <c r="AE3973" t="s">
        <v>825</v>
      </c>
      <c r="AF3973">
        <v>20</v>
      </c>
      <c r="AG3973" s="1">
        <v>37700</v>
      </c>
      <c r="AH3973" s="1">
        <v>37700</v>
      </c>
      <c r="AI3973" s="1">
        <v>37700</v>
      </c>
      <c r="AJ3973" s="1">
        <v>45005</v>
      </c>
      <c r="AK3973" t="s">
        <v>51</v>
      </c>
      <c r="AN3973">
        <v>0</v>
      </c>
      <c r="AO3973" t="s">
        <v>54</v>
      </c>
      <c r="AP3973" t="s">
        <v>53</v>
      </c>
      <c r="AQ3973">
        <v>0</v>
      </c>
      <c r="AR3973" t="s">
        <v>53</v>
      </c>
      <c r="AS3973">
        <v>0</v>
      </c>
      <c r="AT3973">
        <v>0</v>
      </c>
      <c r="CC3973" t="s">
        <v>555</v>
      </c>
      <c r="CD3973">
        <v>85000</v>
      </c>
      <c r="CE3973" s="1">
        <v>42552</v>
      </c>
      <c r="CF3973" s="1">
        <v>42552</v>
      </c>
      <c r="CG3973" s="1">
        <v>42552</v>
      </c>
      <c r="CH3973" s="1">
        <v>49714</v>
      </c>
      <c r="CI3973" t="s">
        <v>51</v>
      </c>
      <c r="CK3973" t="s">
        <v>78</v>
      </c>
      <c r="CM3973" t="s">
        <v>54</v>
      </c>
      <c r="CN3973" t="s">
        <v>174</v>
      </c>
      <c r="CO3973" t="s">
        <v>86</v>
      </c>
      <c r="CR3973">
        <v>20</v>
      </c>
      <c r="CS3973">
        <v>0</v>
      </c>
      <c r="CT3973">
        <v>0</v>
      </c>
      <c r="CU3973">
        <v>0</v>
      </c>
    </row>
    <row r="3974" spans="1:99" x14ac:dyDescent="0.2">
      <c r="A3974" t="s">
        <v>367</v>
      </c>
      <c r="B3974" t="s">
        <v>368</v>
      </c>
      <c r="C3974" t="s">
        <v>369</v>
      </c>
      <c r="D3974" t="s">
        <v>1911</v>
      </c>
      <c r="F3974" t="str">
        <f>"177353"</f>
        <v>177353</v>
      </c>
      <c r="G3974" t="s">
        <v>49</v>
      </c>
      <c r="H3974" t="s">
        <v>1211</v>
      </c>
      <c r="K3974" t="s">
        <v>51</v>
      </c>
      <c r="L3974" t="s">
        <v>52</v>
      </c>
      <c r="M3974">
        <v>138377.872</v>
      </c>
      <c r="N3974">
        <v>467958.212</v>
      </c>
      <c r="O3974" t="s">
        <v>53</v>
      </c>
      <c r="P3974" t="s">
        <v>54</v>
      </c>
      <c r="Q3974" t="s">
        <v>55</v>
      </c>
      <c r="T3974" t="s">
        <v>818</v>
      </c>
      <c r="U3974">
        <v>40</v>
      </c>
      <c r="V3974" s="1">
        <v>37704</v>
      </c>
      <c r="W3974" s="1">
        <v>37704</v>
      </c>
      <c r="X3974" s="1">
        <v>37704</v>
      </c>
      <c r="Y3974" s="1">
        <v>52314</v>
      </c>
      <c r="Z3974" t="s">
        <v>51</v>
      </c>
      <c r="AB3974" t="s">
        <v>54</v>
      </c>
      <c r="AC3974">
        <v>1</v>
      </c>
      <c r="AE3974" t="s">
        <v>825</v>
      </c>
      <c r="AF3974">
        <v>20</v>
      </c>
      <c r="AG3974" s="1">
        <v>37704</v>
      </c>
      <c r="AH3974" s="1">
        <v>37704</v>
      </c>
      <c r="AI3974" s="1">
        <v>37704</v>
      </c>
      <c r="AJ3974" s="1">
        <v>45009</v>
      </c>
      <c r="AK3974" t="s">
        <v>51</v>
      </c>
      <c r="AN3974">
        <v>0</v>
      </c>
      <c r="AO3974" t="s">
        <v>54</v>
      </c>
      <c r="AP3974" t="s">
        <v>53</v>
      </c>
      <c r="AQ3974">
        <v>0</v>
      </c>
      <c r="AR3974" t="s">
        <v>53</v>
      </c>
      <c r="AS3974">
        <v>0</v>
      </c>
      <c r="AT3974">
        <v>0</v>
      </c>
      <c r="CC3974" t="s">
        <v>555</v>
      </c>
      <c r="CD3974">
        <v>85000</v>
      </c>
      <c r="CE3974" s="1">
        <v>42552</v>
      </c>
      <c r="CF3974" s="1">
        <v>42552</v>
      </c>
      <c r="CG3974" s="1">
        <v>42552</v>
      </c>
      <c r="CH3974" s="1">
        <v>49714</v>
      </c>
      <c r="CI3974" t="s">
        <v>51</v>
      </c>
      <c r="CK3974" t="s">
        <v>78</v>
      </c>
      <c r="CM3974" t="s">
        <v>54</v>
      </c>
      <c r="CN3974" t="s">
        <v>174</v>
      </c>
      <c r="CO3974" t="s">
        <v>86</v>
      </c>
      <c r="CR3974">
        <v>20</v>
      </c>
      <c r="CS3974">
        <v>0</v>
      </c>
      <c r="CT3974">
        <v>0</v>
      </c>
      <c r="CU3974">
        <v>0</v>
      </c>
    </row>
    <row r="3975" spans="1:99" x14ac:dyDescent="0.2">
      <c r="A3975" t="s">
        <v>367</v>
      </c>
      <c r="B3975" t="s">
        <v>368</v>
      </c>
      <c r="C3975" t="s">
        <v>369</v>
      </c>
      <c r="D3975" t="s">
        <v>1067</v>
      </c>
      <c r="F3975" t="str">
        <f>"177432"</f>
        <v>177432</v>
      </c>
      <c r="G3975" t="s">
        <v>49</v>
      </c>
      <c r="K3975" t="s">
        <v>51</v>
      </c>
      <c r="L3975" t="s">
        <v>52</v>
      </c>
      <c r="M3975">
        <v>138307.26999999999</v>
      </c>
      <c r="N3975">
        <v>468024.72</v>
      </c>
      <c r="O3975" t="s">
        <v>53</v>
      </c>
      <c r="P3975" t="s">
        <v>54</v>
      </c>
      <c r="Q3975" t="s">
        <v>55</v>
      </c>
      <c r="T3975" t="s">
        <v>431</v>
      </c>
      <c r="U3975">
        <v>40</v>
      </c>
      <c r="V3975" s="1">
        <v>37704</v>
      </c>
      <c r="W3975" s="1">
        <v>37704</v>
      </c>
      <c r="X3975" s="1">
        <v>37704</v>
      </c>
      <c r="Y3975" s="1">
        <v>52314</v>
      </c>
      <c r="Z3975" t="s">
        <v>51</v>
      </c>
      <c r="AB3975" t="s">
        <v>54</v>
      </c>
      <c r="AC3975">
        <v>1</v>
      </c>
      <c r="AE3975" t="s">
        <v>79</v>
      </c>
      <c r="AF3975">
        <v>20</v>
      </c>
      <c r="AG3975" s="1">
        <v>37704</v>
      </c>
      <c r="AH3975" s="1">
        <v>37704</v>
      </c>
      <c r="AI3975" s="1">
        <v>37704</v>
      </c>
      <c r="AJ3975" s="1">
        <v>45009</v>
      </c>
      <c r="AK3975" t="s">
        <v>51</v>
      </c>
      <c r="AN3975">
        <v>0</v>
      </c>
      <c r="AO3975" t="s">
        <v>54</v>
      </c>
      <c r="AP3975" t="s">
        <v>53</v>
      </c>
      <c r="AQ3975">
        <v>0</v>
      </c>
      <c r="AR3975" t="s">
        <v>145</v>
      </c>
      <c r="AS3975">
        <v>0</v>
      </c>
      <c r="AT3975">
        <v>0</v>
      </c>
      <c r="CC3975" t="s">
        <v>432</v>
      </c>
      <c r="CD3975">
        <v>85000</v>
      </c>
      <c r="CE3975" s="1">
        <v>42552</v>
      </c>
      <c r="CF3975" s="1">
        <v>42552</v>
      </c>
      <c r="CG3975" s="1">
        <v>42552</v>
      </c>
      <c r="CH3975" s="1">
        <v>49714</v>
      </c>
      <c r="CI3975" t="s">
        <v>51</v>
      </c>
      <c r="CK3975" t="s">
        <v>78</v>
      </c>
      <c r="CM3975" t="s">
        <v>54</v>
      </c>
      <c r="CN3975" t="s">
        <v>174</v>
      </c>
      <c r="CO3975" t="s">
        <v>86</v>
      </c>
      <c r="CR3975">
        <v>24</v>
      </c>
      <c r="CS3975">
        <v>0</v>
      </c>
      <c r="CT3975">
        <v>0</v>
      </c>
      <c r="CU3975">
        <v>0</v>
      </c>
    </row>
    <row r="3976" spans="1:99" x14ac:dyDescent="0.2">
      <c r="A3976" t="s">
        <v>367</v>
      </c>
      <c r="B3976" t="s">
        <v>368</v>
      </c>
      <c r="C3976" t="s">
        <v>369</v>
      </c>
      <c r="D3976" t="s">
        <v>1396</v>
      </c>
      <c r="F3976" t="str">
        <f>"179019"</f>
        <v>179019</v>
      </c>
      <c r="G3976" t="s">
        <v>49</v>
      </c>
      <c r="H3976" t="s">
        <v>1933</v>
      </c>
      <c r="K3976" t="s">
        <v>51</v>
      </c>
      <c r="L3976" t="s">
        <v>52</v>
      </c>
      <c r="M3976">
        <v>138217.204</v>
      </c>
      <c r="N3976">
        <v>467344.97200000001</v>
      </c>
      <c r="O3976" t="s">
        <v>53</v>
      </c>
      <c r="P3976" t="s">
        <v>54</v>
      </c>
      <c r="Q3976" t="s">
        <v>55</v>
      </c>
      <c r="T3976" t="s">
        <v>841</v>
      </c>
      <c r="U3976">
        <v>40</v>
      </c>
      <c r="V3976" s="1">
        <v>37782</v>
      </c>
      <c r="W3976" s="1">
        <v>37782</v>
      </c>
      <c r="X3976" s="1">
        <v>37782</v>
      </c>
      <c r="Y3976" s="1">
        <v>52392</v>
      </c>
      <c r="Z3976" t="s">
        <v>51</v>
      </c>
      <c r="AB3976" t="s">
        <v>54</v>
      </c>
      <c r="AC3976">
        <v>1</v>
      </c>
      <c r="AE3976" t="s">
        <v>64</v>
      </c>
      <c r="AF3976">
        <v>20</v>
      </c>
      <c r="AG3976" s="1">
        <v>37782</v>
      </c>
      <c r="AH3976" s="1">
        <v>37782</v>
      </c>
      <c r="AI3976" s="1">
        <v>37782</v>
      </c>
      <c r="AJ3976" s="1">
        <v>45087</v>
      </c>
      <c r="AK3976" t="s">
        <v>51</v>
      </c>
      <c r="AN3976">
        <v>0</v>
      </c>
      <c r="AO3976" t="s">
        <v>54</v>
      </c>
      <c r="AP3976" t="s">
        <v>53</v>
      </c>
      <c r="AQ3976">
        <v>0</v>
      </c>
      <c r="AR3976" t="s">
        <v>53</v>
      </c>
      <c r="AS3976">
        <v>0</v>
      </c>
      <c r="AT3976">
        <v>0</v>
      </c>
      <c r="CC3976" t="s">
        <v>555</v>
      </c>
      <c r="CD3976">
        <v>85000</v>
      </c>
      <c r="CE3976" s="1">
        <v>42552</v>
      </c>
      <c r="CF3976" s="1">
        <v>42552</v>
      </c>
      <c r="CG3976" s="1">
        <v>42552</v>
      </c>
      <c r="CH3976" s="1">
        <v>49714</v>
      </c>
      <c r="CI3976" t="s">
        <v>51</v>
      </c>
      <c r="CK3976" t="s">
        <v>78</v>
      </c>
      <c r="CM3976" t="s">
        <v>54</v>
      </c>
      <c r="CN3976" t="s">
        <v>174</v>
      </c>
      <c r="CO3976" t="s">
        <v>86</v>
      </c>
      <c r="CR3976">
        <v>20</v>
      </c>
      <c r="CS3976">
        <v>0</v>
      </c>
      <c r="CT3976">
        <v>0</v>
      </c>
      <c r="CU3976">
        <v>0</v>
      </c>
    </row>
    <row r="3977" spans="1:99" x14ac:dyDescent="0.2">
      <c r="A3977" t="s">
        <v>367</v>
      </c>
      <c r="B3977" t="s">
        <v>368</v>
      </c>
      <c r="C3977" t="s">
        <v>369</v>
      </c>
      <c r="D3977" t="s">
        <v>1396</v>
      </c>
      <c r="F3977" t="str">
        <f>"179022"</f>
        <v>179022</v>
      </c>
      <c r="G3977" t="s">
        <v>49</v>
      </c>
      <c r="H3977" t="s">
        <v>1556</v>
      </c>
      <c r="K3977" t="s">
        <v>51</v>
      </c>
      <c r="L3977" t="s">
        <v>52</v>
      </c>
      <c r="M3977">
        <v>138142.774</v>
      </c>
      <c r="N3977">
        <v>467379.45500000002</v>
      </c>
      <c r="O3977" t="s">
        <v>53</v>
      </c>
      <c r="P3977" t="s">
        <v>54</v>
      </c>
      <c r="Q3977" t="s">
        <v>55</v>
      </c>
      <c r="T3977" t="s">
        <v>841</v>
      </c>
      <c r="U3977">
        <v>40</v>
      </c>
      <c r="V3977" s="1">
        <v>37782</v>
      </c>
      <c r="W3977" s="1">
        <v>37782</v>
      </c>
      <c r="X3977" s="1">
        <v>37782</v>
      </c>
      <c r="Y3977" s="1">
        <v>52392</v>
      </c>
      <c r="Z3977" t="s">
        <v>51</v>
      </c>
      <c r="AB3977" t="s">
        <v>54</v>
      </c>
      <c r="AC3977">
        <v>1</v>
      </c>
      <c r="AE3977" t="s">
        <v>64</v>
      </c>
      <c r="AF3977">
        <v>20</v>
      </c>
      <c r="AG3977" s="1">
        <v>37782</v>
      </c>
      <c r="AH3977" s="1">
        <v>37782</v>
      </c>
      <c r="AI3977" s="1">
        <v>37782</v>
      </c>
      <c r="AJ3977" s="1">
        <v>45087</v>
      </c>
      <c r="AK3977" t="s">
        <v>51</v>
      </c>
      <c r="AN3977">
        <v>0</v>
      </c>
      <c r="AO3977" t="s">
        <v>54</v>
      </c>
      <c r="AP3977" t="s">
        <v>53</v>
      </c>
      <c r="AQ3977">
        <v>0</v>
      </c>
      <c r="AR3977" t="s">
        <v>53</v>
      </c>
      <c r="AS3977">
        <v>0</v>
      </c>
      <c r="AT3977">
        <v>0</v>
      </c>
      <c r="CC3977" t="s">
        <v>555</v>
      </c>
      <c r="CD3977">
        <v>85000</v>
      </c>
      <c r="CE3977" s="1">
        <v>42552</v>
      </c>
      <c r="CF3977" s="1">
        <v>42552</v>
      </c>
      <c r="CG3977" s="1">
        <v>42552</v>
      </c>
      <c r="CH3977" s="1">
        <v>49714</v>
      </c>
      <c r="CI3977" t="s">
        <v>51</v>
      </c>
      <c r="CK3977" t="s">
        <v>78</v>
      </c>
      <c r="CM3977" t="s">
        <v>54</v>
      </c>
      <c r="CN3977" t="s">
        <v>174</v>
      </c>
      <c r="CO3977" t="s">
        <v>86</v>
      </c>
      <c r="CR3977">
        <v>20</v>
      </c>
      <c r="CS3977">
        <v>0</v>
      </c>
      <c r="CT3977">
        <v>0</v>
      </c>
      <c r="CU3977">
        <v>0</v>
      </c>
    </row>
    <row r="3978" spans="1:99" x14ac:dyDescent="0.2">
      <c r="A3978" t="s">
        <v>367</v>
      </c>
      <c r="B3978" t="s">
        <v>368</v>
      </c>
      <c r="C3978" t="s">
        <v>369</v>
      </c>
      <c r="D3978" t="s">
        <v>1215</v>
      </c>
      <c r="F3978" t="str">
        <f>"179412"</f>
        <v>179412</v>
      </c>
      <c r="G3978" t="s">
        <v>49</v>
      </c>
      <c r="K3978" t="s">
        <v>51</v>
      </c>
      <c r="L3978" t="s">
        <v>52</v>
      </c>
      <c r="M3978">
        <v>138239.37</v>
      </c>
      <c r="N3978">
        <v>468101.27</v>
      </c>
      <c r="O3978" t="s">
        <v>53</v>
      </c>
      <c r="P3978" t="s">
        <v>54</v>
      </c>
      <c r="Q3978" t="s">
        <v>55</v>
      </c>
      <c r="T3978" t="s">
        <v>841</v>
      </c>
      <c r="U3978">
        <v>40</v>
      </c>
      <c r="V3978" s="1">
        <v>37802</v>
      </c>
      <c r="W3978" s="1">
        <v>37802</v>
      </c>
      <c r="X3978" s="1">
        <v>37802</v>
      </c>
      <c r="Y3978" s="1">
        <v>52412</v>
      </c>
      <c r="Z3978" t="s">
        <v>51</v>
      </c>
      <c r="AB3978" t="s">
        <v>54</v>
      </c>
      <c r="AC3978">
        <v>1</v>
      </c>
      <c r="AE3978" t="s">
        <v>64</v>
      </c>
      <c r="AF3978">
        <v>20</v>
      </c>
      <c r="AG3978" s="1">
        <v>37802</v>
      </c>
      <c r="AH3978" s="1">
        <v>37802</v>
      </c>
      <c r="AI3978" s="1">
        <v>37802</v>
      </c>
      <c r="AJ3978" s="1">
        <v>45107</v>
      </c>
      <c r="AK3978" t="s">
        <v>51</v>
      </c>
      <c r="AN3978">
        <v>0</v>
      </c>
      <c r="AO3978" t="s">
        <v>54</v>
      </c>
      <c r="AP3978" t="s">
        <v>53</v>
      </c>
      <c r="AQ3978">
        <v>0</v>
      </c>
      <c r="AR3978" t="s">
        <v>53</v>
      </c>
      <c r="AS3978">
        <v>0</v>
      </c>
      <c r="AT3978">
        <v>0</v>
      </c>
      <c r="CC3978" t="s">
        <v>555</v>
      </c>
      <c r="CD3978">
        <v>85000</v>
      </c>
      <c r="CE3978" s="1">
        <v>42552</v>
      </c>
      <c r="CF3978" s="1">
        <v>42552</v>
      </c>
      <c r="CG3978" s="1">
        <v>42552</v>
      </c>
      <c r="CH3978" s="1">
        <v>49714</v>
      </c>
      <c r="CI3978" t="s">
        <v>51</v>
      </c>
      <c r="CK3978" t="s">
        <v>78</v>
      </c>
      <c r="CM3978" t="s">
        <v>54</v>
      </c>
      <c r="CN3978" t="s">
        <v>174</v>
      </c>
      <c r="CO3978" t="s">
        <v>86</v>
      </c>
      <c r="CR3978">
        <v>20</v>
      </c>
      <c r="CS3978">
        <v>0</v>
      </c>
      <c r="CT3978">
        <v>0</v>
      </c>
      <c r="CU3978">
        <v>0</v>
      </c>
    </row>
    <row r="3979" spans="1:99" x14ac:dyDescent="0.2">
      <c r="A3979" t="s">
        <v>367</v>
      </c>
      <c r="B3979" t="s">
        <v>368</v>
      </c>
      <c r="C3979" t="s">
        <v>369</v>
      </c>
      <c r="D3979" t="s">
        <v>1215</v>
      </c>
      <c r="F3979" t="str">
        <f>"179412"</f>
        <v>179412</v>
      </c>
      <c r="G3979" t="s">
        <v>49</v>
      </c>
      <c r="K3979" t="s">
        <v>51</v>
      </c>
      <c r="L3979" t="s">
        <v>52</v>
      </c>
      <c r="M3979">
        <v>138239.37</v>
      </c>
      <c r="N3979">
        <v>468101.27</v>
      </c>
      <c r="O3979" t="s">
        <v>53</v>
      </c>
      <c r="P3979" t="s">
        <v>54</v>
      </c>
      <c r="Q3979" t="s">
        <v>55</v>
      </c>
      <c r="T3979" t="s">
        <v>841</v>
      </c>
      <c r="U3979">
        <v>40</v>
      </c>
      <c r="V3979" s="1">
        <v>37802</v>
      </c>
      <c r="W3979" s="1">
        <v>37802</v>
      </c>
      <c r="X3979" s="1">
        <v>37802</v>
      </c>
      <c r="Y3979" s="1">
        <v>52412</v>
      </c>
      <c r="Z3979" t="s">
        <v>51</v>
      </c>
      <c r="AB3979" t="s">
        <v>54</v>
      </c>
      <c r="AC3979">
        <v>2</v>
      </c>
      <c r="AE3979" t="s">
        <v>64</v>
      </c>
      <c r="AF3979">
        <v>20</v>
      </c>
      <c r="AG3979" s="1">
        <v>37802</v>
      </c>
      <c r="AH3979" s="1">
        <v>37802</v>
      </c>
      <c r="AI3979" s="1">
        <v>37802</v>
      </c>
      <c r="AJ3979" s="1">
        <v>45107</v>
      </c>
      <c r="AK3979" t="s">
        <v>51</v>
      </c>
      <c r="AN3979">
        <v>0</v>
      </c>
      <c r="AO3979" t="s">
        <v>54</v>
      </c>
      <c r="AP3979" t="s">
        <v>53</v>
      </c>
      <c r="AQ3979">
        <v>0</v>
      </c>
      <c r="AR3979" t="s">
        <v>53</v>
      </c>
      <c r="AS3979">
        <v>0</v>
      </c>
      <c r="AT3979">
        <v>0</v>
      </c>
      <c r="CC3979" t="s">
        <v>555</v>
      </c>
      <c r="CD3979">
        <v>85000</v>
      </c>
      <c r="CE3979" s="1">
        <v>42552</v>
      </c>
      <c r="CF3979" s="1">
        <v>42552</v>
      </c>
      <c r="CG3979" s="1">
        <v>42552</v>
      </c>
      <c r="CH3979" s="1">
        <v>49714</v>
      </c>
      <c r="CI3979" t="s">
        <v>51</v>
      </c>
      <c r="CK3979" t="s">
        <v>78</v>
      </c>
      <c r="CM3979" t="s">
        <v>54</v>
      </c>
      <c r="CN3979" t="s">
        <v>174</v>
      </c>
      <c r="CO3979" t="s">
        <v>86</v>
      </c>
      <c r="CR3979">
        <v>20</v>
      </c>
      <c r="CS3979">
        <v>0</v>
      </c>
      <c r="CT3979">
        <v>0</v>
      </c>
      <c r="CU3979">
        <v>0</v>
      </c>
    </row>
    <row r="3980" spans="1:99" x14ac:dyDescent="0.2">
      <c r="A3980" t="s">
        <v>367</v>
      </c>
      <c r="B3980" t="s">
        <v>368</v>
      </c>
      <c r="C3980" t="s">
        <v>369</v>
      </c>
      <c r="D3980" t="s">
        <v>1199</v>
      </c>
      <c r="F3980" t="str">
        <f>"202345"</f>
        <v>202345</v>
      </c>
      <c r="G3980" t="s">
        <v>49</v>
      </c>
      <c r="H3980" t="s">
        <v>1934</v>
      </c>
      <c r="K3980" t="s">
        <v>51</v>
      </c>
      <c r="L3980" t="s">
        <v>52</v>
      </c>
      <c r="M3980">
        <v>138190.47899999999</v>
      </c>
      <c r="N3980">
        <v>467686.20199999999</v>
      </c>
      <c r="O3980" t="s">
        <v>53</v>
      </c>
      <c r="P3980" t="s">
        <v>54</v>
      </c>
      <c r="Q3980" t="s">
        <v>55</v>
      </c>
      <c r="T3980" t="s">
        <v>818</v>
      </c>
      <c r="U3980">
        <v>40</v>
      </c>
      <c r="V3980" s="1">
        <v>39843</v>
      </c>
      <c r="W3980" s="1">
        <v>39843</v>
      </c>
      <c r="X3980" s="1">
        <v>39843</v>
      </c>
      <c r="Y3980" s="1">
        <v>54453</v>
      </c>
      <c r="Z3980" t="s">
        <v>51</v>
      </c>
      <c r="AB3980" t="s">
        <v>54</v>
      </c>
      <c r="AC3980">
        <v>1</v>
      </c>
      <c r="AE3980" t="s">
        <v>825</v>
      </c>
      <c r="AF3980">
        <v>20</v>
      </c>
      <c r="AG3980" s="1">
        <v>39843</v>
      </c>
      <c r="AH3980" s="1">
        <v>39843</v>
      </c>
      <c r="AI3980" s="1">
        <v>39843</v>
      </c>
      <c r="AJ3980" s="1">
        <v>47148</v>
      </c>
      <c r="AK3980" t="s">
        <v>51</v>
      </c>
      <c r="AN3980">
        <v>0</v>
      </c>
      <c r="AO3980" t="s">
        <v>54</v>
      </c>
      <c r="AP3980" t="s">
        <v>53</v>
      </c>
      <c r="AQ3980">
        <v>0</v>
      </c>
      <c r="AR3980" t="s">
        <v>53</v>
      </c>
      <c r="AS3980">
        <v>0</v>
      </c>
      <c r="AT3980">
        <v>0</v>
      </c>
      <c r="AW3980" t="s">
        <v>58</v>
      </c>
      <c r="AX3980">
        <v>20</v>
      </c>
      <c r="AY3980" s="1">
        <v>39843</v>
      </c>
      <c r="AZ3980" s="1">
        <v>39843</v>
      </c>
      <c r="BA3980" s="1">
        <v>39843</v>
      </c>
      <c r="BB3980" s="1">
        <v>47148</v>
      </c>
      <c r="BC3980" t="s">
        <v>51</v>
      </c>
      <c r="BE3980" t="s">
        <v>54</v>
      </c>
      <c r="BF3980">
        <v>2</v>
      </c>
      <c r="BG3980">
        <v>0</v>
      </c>
      <c r="BH3980" t="s">
        <v>53</v>
      </c>
      <c r="BK3980" t="s">
        <v>59</v>
      </c>
      <c r="BL3980">
        <v>14000</v>
      </c>
      <c r="BM3980" s="1">
        <v>42552</v>
      </c>
      <c r="BN3980" s="1">
        <v>42552</v>
      </c>
      <c r="BO3980" s="1">
        <v>42552</v>
      </c>
      <c r="BP3980" s="1">
        <v>43752</v>
      </c>
      <c r="BQ3980" t="s">
        <v>51</v>
      </c>
      <c r="BS3980" t="s">
        <v>60</v>
      </c>
      <c r="BT3980" t="s">
        <v>54</v>
      </c>
      <c r="BU3980" t="s">
        <v>61</v>
      </c>
      <c r="BV3980" t="s">
        <v>62</v>
      </c>
      <c r="BX3980">
        <v>24</v>
      </c>
      <c r="BY3980">
        <v>0</v>
      </c>
      <c r="BZ3980">
        <v>0</v>
      </c>
    </row>
    <row r="3981" spans="1:99" x14ac:dyDescent="0.2">
      <c r="A3981" t="s">
        <v>367</v>
      </c>
      <c r="B3981" t="s">
        <v>368</v>
      </c>
      <c r="C3981" t="s">
        <v>369</v>
      </c>
      <c r="D3981" t="s">
        <v>1199</v>
      </c>
      <c r="F3981" t="str">
        <f>"202346"</f>
        <v>202346</v>
      </c>
      <c r="G3981" t="s">
        <v>49</v>
      </c>
      <c r="H3981" t="s">
        <v>1934</v>
      </c>
      <c r="K3981" t="s">
        <v>51</v>
      </c>
      <c r="L3981" t="s">
        <v>52</v>
      </c>
      <c r="M3981">
        <v>138183.52799999999</v>
      </c>
      <c r="N3981">
        <v>467656.397</v>
      </c>
      <c r="O3981" t="s">
        <v>53</v>
      </c>
      <c r="P3981" t="s">
        <v>54</v>
      </c>
      <c r="Q3981" t="s">
        <v>55</v>
      </c>
      <c r="T3981" t="s">
        <v>818</v>
      </c>
      <c r="U3981">
        <v>40</v>
      </c>
      <c r="V3981" s="1">
        <v>39843</v>
      </c>
      <c r="W3981" s="1">
        <v>39843</v>
      </c>
      <c r="X3981" s="1">
        <v>39843</v>
      </c>
      <c r="Y3981" s="1">
        <v>54453</v>
      </c>
      <c r="Z3981" t="s">
        <v>51</v>
      </c>
      <c r="AB3981" t="s">
        <v>54</v>
      </c>
      <c r="AC3981">
        <v>1</v>
      </c>
      <c r="AE3981" t="s">
        <v>552</v>
      </c>
      <c r="AF3981">
        <v>20</v>
      </c>
      <c r="AG3981" s="1">
        <v>43542</v>
      </c>
      <c r="AH3981" s="1">
        <v>43542</v>
      </c>
      <c r="AI3981" s="1">
        <v>43542</v>
      </c>
      <c r="AJ3981" s="1">
        <v>50847</v>
      </c>
      <c r="AK3981" t="s">
        <v>51</v>
      </c>
      <c r="AN3981">
        <v>0</v>
      </c>
      <c r="AO3981" t="s">
        <v>54</v>
      </c>
      <c r="AP3981" t="s">
        <v>53</v>
      </c>
      <c r="AQ3981">
        <v>0</v>
      </c>
      <c r="AR3981" t="s">
        <v>145</v>
      </c>
      <c r="AS3981">
        <v>0</v>
      </c>
      <c r="AT3981">
        <v>0</v>
      </c>
      <c r="AW3981" t="s">
        <v>172</v>
      </c>
      <c r="AX3981">
        <v>15</v>
      </c>
      <c r="AY3981" s="1">
        <v>43542</v>
      </c>
      <c r="AZ3981" s="1">
        <v>43542</v>
      </c>
      <c r="BA3981" s="1">
        <v>43542</v>
      </c>
      <c r="BB3981" s="1">
        <v>49021</v>
      </c>
      <c r="BC3981" t="s">
        <v>51</v>
      </c>
      <c r="BE3981" t="s">
        <v>54</v>
      </c>
      <c r="BF3981">
        <v>40</v>
      </c>
      <c r="BG3981">
        <v>0</v>
      </c>
      <c r="BH3981" t="s">
        <v>145</v>
      </c>
      <c r="CC3981" t="s">
        <v>1066</v>
      </c>
      <c r="CD3981">
        <v>100000</v>
      </c>
      <c r="CE3981" s="1">
        <v>43542</v>
      </c>
      <c r="CF3981" s="1">
        <v>43542</v>
      </c>
      <c r="CG3981" s="1">
        <v>43542</v>
      </c>
      <c r="CH3981" s="1">
        <v>52007</v>
      </c>
      <c r="CI3981" t="s">
        <v>51</v>
      </c>
      <c r="CK3981" t="s">
        <v>78</v>
      </c>
      <c r="CM3981" t="s">
        <v>54</v>
      </c>
      <c r="CN3981" t="s">
        <v>174</v>
      </c>
      <c r="CR3981">
        <v>11</v>
      </c>
      <c r="CS3981">
        <v>1600</v>
      </c>
      <c r="CT3981">
        <v>0</v>
      </c>
      <c r="CU3981">
        <v>16</v>
      </c>
    </row>
    <row r="3982" spans="1:99" x14ac:dyDescent="0.2">
      <c r="A3982" t="s">
        <v>367</v>
      </c>
      <c r="B3982" t="s">
        <v>368</v>
      </c>
      <c r="C3982" t="s">
        <v>369</v>
      </c>
      <c r="D3982" t="s">
        <v>1199</v>
      </c>
      <c r="F3982" t="str">
        <f>"202347"</f>
        <v>202347</v>
      </c>
      <c r="G3982" t="s">
        <v>49</v>
      </c>
      <c r="H3982" t="s">
        <v>1935</v>
      </c>
      <c r="K3982" t="s">
        <v>51</v>
      </c>
      <c r="L3982" t="s">
        <v>52</v>
      </c>
      <c r="M3982">
        <v>138278.47200000001</v>
      </c>
      <c r="N3982">
        <v>467644.57</v>
      </c>
      <c r="O3982" t="s">
        <v>53</v>
      </c>
      <c r="P3982" t="s">
        <v>54</v>
      </c>
      <c r="Q3982" t="s">
        <v>55</v>
      </c>
      <c r="T3982" t="s">
        <v>818</v>
      </c>
      <c r="U3982">
        <v>40</v>
      </c>
      <c r="V3982" s="1">
        <v>39843</v>
      </c>
      <c r="W3982" s="1">
        <v>39843</v>
      </c>
      <c r="X3982" s="1">
        <v>39843</v>
      </c>
      <c r="Y3982" s="1">
        <v>54453</v>
      </c>
      <c r="Z3982" t="s">
        <v>51</v>
      </c>
      <c r="AB3982" t="s">
        <v>54</v>
      </c>
      <c r="AC3982">
        <v>1</v>
      </c>
      <c r="AE3982" t="s">
        <v>825</v>
      </c>
      <c r="AF3982">
        <v>20</v>
      </c>
      <c r="AG3982" s="1">
        <v>39843</v>
      </c>
      <c r="AH3982" s="1">
        <v>39843</v>
      </c>
      <c r="AI3982" s="1">
        <v>39843</v>
      </c>
      <c r="AJ3982" s="1">
        <v>47148</v>
      </c>
      <c r="AK3982" t="s">
        <v>51</v>
      </c>
      <c r="AN3982">
        <v>0</v>
      </c>
      <c r="AO3982" t="s">
        <v>54</v>
      </c>
      <c r="AP3982" t="s">
        <v>53</v>
      </c>
      <c r="AQ3982">
        <v>0</v>
      </c>
      <c r="AR3982" t="s">
        <v>53</v>
      </c>
      <c r="AS3982">
        <v>0</v>
      </c>
      <c r="AT3982">
        <v>0</v>
      </c>
      <c r="CC3982" t="s">
        <v>555</v>
      </c>
      <c r="CD3982">
        <v>85000</v>
      </c>
      <c r="CE3982" s="1">
        <v>42552</v>
      </c>
      <c r="CF3982" s="1">
        <v>42552</v>
      </c>
      <c r="CG3982" s="1">
        <v>42552</v>
      </c>
      <c r="CH3982" s="1">
        <v>49714</v>
      </c>
      <c r="CI3982" t="s">
        <v>51</v>
      </c>
      <c r="CK3982" t="s">
        <v>78</v>
      </c>
      <c r="CM3982" t="s">
        <v>54</v>
      </c>
      <c r="CN3982" t="s">
        <v>174</v>
      </c>
      <c r="CO3982" t="s">
        <v>86</v>
      </c>
      <c r="CR3982">
        <v>20</v>
      </c>
      <c r="CS3982">
        <v>0</v>
      </c>
      <c r="CT3982">
        <v>0</v>
      </c>
      <c r="CU3982">
        <v>0</v>
      </c>
    </row>
    <row r="3983" spans="1:99" x14ac:dyDescent="0.2">
      <c r="A3983" t="s">
        <v>367</v>
      </c>
      <c r="B3983" t="s">
        <v>368</v>
      </c>
      <c r="C3983" t="s">
        <v>369</v>
      </c>
      <c r="D3983" t="s">
        <v>1199</v>
      </c>
      <c r="F3983" t="str">
        <f>"202348"</f>
        <v>202348</v>
      </c>
      <c r="G3983" t="s">
        <v>49</v>
      </c>
      <c r="H3983" t="s">
        <v>1935</v>
      </c>
      <c r="K3983" t="s">
        <v>51</v>
      </c>
      <c r="L3983" t="s">
        <v>52</v>
      </c>
      <c r="M3983">
        <v>138272.08499999999</v>
      </c>
      <c r="N3983">
        <v>467626.81900000002</v>
      </c>
      <c r="O3983" t="s">
        <v>53</v>
      </c>
      <c r="P3983" t="s">
        <v>54</v>
      </c>
      <c r="Q3983" t="s">
        <v>55</v>
      </c>
      <c r="T3983" t="s">
        <v>818</v>
      </c>
      <c r="U3983">
        <v>40</v>
      </c>
      <c r="V3983" s="1">
        <v>39843</v>
      </c>
      <c r="W3983" s="1">
        <v>39843</v>
      </c>
      <c r="X3983" s="1">
        <v>39843</v>
      </c>
      <c r="Y3983" s="1">
        <v>54453</v>
      </c>
      <c r="Z3983" t="s">
        <v>51</v>
      </c>
      <c r="AB3983" t="s">
        <v>54</v>
      </c>
      <c r="AC3983">
        <v>1</v>
      </c>
      <c r="AE3983" t="s">
        <v>825</v>
      </c>
      <c r="AF3983">
        <v>20</v>
      </c>
      <c r="AG3983" s="1">
        <v>39843</v>
      </c>
      <c r="AH3983" s="1">
        <v>39843</v>
      </c>
      <c r="AI3983" s="1">
        <v>39843</v>
      </c>
      <c r="AJ3983" s="1">
        <v>47148</v>
      </c>
      <c r="AK3983" t="s">
        <v>51</v>
      </c>
      <c r="AN3983">
        <v>0</v>
      </c>
      <c r="AO3983" t="s">
        <v>54</v>
      </c>
      <c r="AP3983" t="s">
        <v>53</v>
      </c>
      <c r="AQ3983">
        <v>0</v>
      </c>
      <c r="AR3983" t="s">
        <v>53</v>
      </c>
      <c r="AS3983">
        <v>0</v>
      </c>
      <c r="AT3983">
        <v>0</v>
      </c>
      <c r="CC3983" t="s">
        <v>555</v>
      </c>
      <c r="CD3983">
        <v>85000</v>
      </c>
      <c r="CE3983" s="1">
        <v>42552</v>
      </c>
      <c r="CF3983" s="1">
        <v>42552</v>
      </c>
      <c r="CG3983" s="1">
        <v>42552</v>
      </c>
      <c r="CH3983" s="1">
        <v>49714</v>
      </c>
      <c r="CI3983" t="s">
        <v>51</v>
      </c>
      <c r="CK3983" t="s">
        <v>78</v>
      </c>
      <c r="CM3983" t="s">
        <v>54</v>
      </c>
      <c r="CN3983" t="s">
        <v>174</v>
      </c>
      <c r="CO3983" t="s">
        <v>86</v>
      </c>
      <c r="CR3983">
        <v>20</v>
      </c>
      <c r="CS3983">
        <v>0</v>
      </c>
      <c r="CT3983">
        <v>0</v>
      </c>
      <c r="CU3983">
        <v>0</v>
      </c>
    </row>
    <row r="3984" spans="1:99" x14ac:dyDescent="0.2">
      <c r="A3984" t="s">
        <v>425</v>
      </c>
      <c r="B3984" t="s">
        <v>425</v>
      </c>
      <c r="C3984" t="s">
        <v>425</v>
      </c>
      <c r="D3984" t="s">
        <v>1392</v>
      </c>
      <c r="F3984" t="str">
        <f>"203969"</f>
        <v>203969</v>
      </c>
      <c r="G3984" t="s">
        <v>49</v>
      </c>
      <c r="H3984" t="s">
        <v>1936</v>
      </c>
      <c r="K3984" t="s">
        <v>51</v>
      </c>
      <c r="L3984" t="s">
        <v>52</v>
      </c>
      <c r="M3984">
        <v>138320.44</v>
      </c>
      <c r="N3984">
        <v>468458.07</v>
      </c>
      <c r="O3984" t="s">
        <v>53</v>
      </c>
      <c r="P3984" t="s">
        <v>54</v>
      </c>
      <c r="Q3984" t="s">
        <v>55</v>
      </c>
      <c r="T3984" t="s">
        <v>841</v>
      </c>
      <c r="U3984">
        <v>40</v>
      </c>
      <c r="V3984" s="1">
        <v>39686</v>
      </c>
      <c r="W3984" s="1">
        <v>39686</v>
      </c>
      <c r="X3984" s="1">
        <v>39686</v>
      </c>
      <c r="Y3984" s="1">
        <v>54296</v>
      </c>
      <c r="Z3984" t="s">
        <v>51</v>
      </c>
      <c r="AB3984" t="s">
        <v>54</v>
      </c>
      <c r="AC3984">
        <v>1</v>
      </c>
      <c r="AE3984" t="s">
        <v>814</v>
      </c>
      <c r="AF3984">
        <v>20</v>
      </c>
      <c r="AG3984" s="1">
        <v>39686</v>
      </c>
      <c r="AH3984" s="1">
        <v>39686</v>
      </c>
      <c r="AI3984" s="1">
        <v>39686</v>
      </c>
      <c r="AJ3984" s="1">
        <v>46991</v>
      </c>
      <c r="AK3984" t="s">
        <v>51</v>
      </c>
      <c r="AN3984">
        <v>0</v>
      </c>
      <c r="AO3984" t="s">
        <v>54</v>
      </c>
      <c r="AP3984" t="s">
        <v>53</v>
      </c>
      <c r="AQ3984">
        <v>0</v>
      </c>
      <c r="AR3984" t="s">
        <v>53</v>
      </c>
      <c r="AS3984">
        <v>0</v>
      </c>
      <c r="AT3984">
        <v>0</v>
      </c>
      <c r="CC3984" t="s">
        <v>439</v>
      </c>
      <c r="CD3984">
        <v>85000</v>
      </c>
      <c r="CE3984" s="1">
        <v>42552</v>
      </c>
      <c r="CF3984" s="1">
        <v>42552</v>
      </c>
      <c r="CG3984" s="1">
        <v>42552</v>
      </c>
      <c r="CH3984" s="1">
        <v>49714</v>
      </c>
      <c r="CI3984" t="s">
        <v>51</v>
      </c>
      <c r="CK3984" t="s">
        <v>78</v>
      </c>
      <c r="CM3984" t="s">
        <v>54</v>
      </c>
      <c r="CN3984" t="s">
        <v>174</v>
      </c>
      <c r="CO3984" t="s">
        <v>86</v>
      </c>
      <c r="CR3984">
        <v>25</v>
      </c>
      <c r="CS3984">
        <v>0</v>
      </c>
      <c r="CT3984">
        <v>0</v>
      </c>
      <c r="CU3984">
        <v>0</v>
      </c>
    </row>
    <row r="3985" spans="1:99" x14ac:dyDescent="0.2">
      <c r="A3985" t="s">
        <v>367</v>
      </c>
      <c r="B3985" t="s">
        <v>368</v>
      </c>
      <c r="C3985" t="s">
        <v>369</v>
      </c>
      <c r="D3985" t="s">
        <v>1937</v>
      </c>
      <c r="F3985" t="str">
        <f>"208840"</f>
        <v>208840</v>
      </c>
      <c r="G3985" t="s">
        <v>49</v>
      </c>
      <c r="H3985" t="s">
        <v>1938</v>
      </c>
      <c r="K3985" t="s">
        <v>51</v>
      </c>
      <c r="L3985" t="s">
        <v>52</v>
      </c>
      <c r="M3985">
        <v>137979.25599999999</v>
      </c>
      <c r="N3985">
        <v>468766.43099999998</v>
      </c>
      <c r="O3985" t="s">
        <v>53</v>
      </c>
      <c r="P3985" t="s">
        <v>54</v>
      </c>
      <c r="Q3985" t="s">
        <v>55</v>
      </c>
      <c r="T3985" t="s">
        <v>841</v>
      </c>
      <c r="U3985">
        <v>40</v>
      </c>
      <c r="V3985" s="1">
        <v>40253</v>
      </c>
      <c r="W3985" s="1">
        <v>40253</v>
      </c>
      <c r="X3985" s="1">
        <v>40253</v>
      </c>
      <c r="Y3985" s="1">
        <v>54863</v>
      </c>
      <c r="Z3985" t="s">
        <v>51</v>
      </c>
      <c r="AB3985" t="s">
        <v>54</v>
      </c>
      <c r="AC3985">
        <v>1</v>
      </c>
      <c r="AE3985" t="s">
        <v>64</v>
      </c>
      <c r="AF3985">
        <v>20</v>
      </c>
      <c r="AG3985" s="1">
        <v>40253</v>
      </c>
      <c r="AH3985" s="1">
        <v>40253</v>
      </c>
      <c r="AI3985" s="1">
        <v>40253</v>
      </c>
      <c r="AJ3985" s="1">
        <v>47558</v>
      </c>
      <c r="AK3985" t="s">
        <v>51</v>
      </c>
      <c r="AN3985">
        <v>0</v>
      </c>
      <c r="AO3985" t="s">
        <v>54</v>
      </c>
      <c r="AP3985" t="s">
        <v>53</v>
      </c>
      <c r="AQ3985">
        <v>0</v>
      </c>
      <c r="AR3985" t="s">
        <v>53</v>
      </c>
      <c r="AS3985">
        <v>0</v>
      </c>
      <c r="AT3985">
        <v>0</v>
      </c>
      <c r="CC3985" t="s">
        <v>555</v>
      </c>
      <c r="CD3985">
        <v>85000</v>
      </c>
      <c r="CE3985" s="1">
        <v>42552</v>
      </c>
      <c r="CF3985" s="1">
        <v>42552</v>
      </c>
      <c r="CG3985" s="1">
        <v>42552</v>
      </c>
      <c r="CH3985" s="1">
        <v>49714</v>
      </c>
      <c r="CI3985" t="s">
        <v>51</v>
      </c>
      <c r="CK3985" t="s">
        <v>78</v>
      </c>
      <c r="CM3985" t="s">
        <v>54</v>
      </c>
      <c r="CN3985" t="s">
        <v>174</v>
      </c>
      <c r="CO3985" t="s">
        <v>86</v>
      </c>
      <c r="CR3985">
        <v>20</v>
      </c>
      <c r="CS3985">
        <v>0</v>
      </c>
      <c r="CT3985">
        <v>0</v>
      </c>
      <c r="CU3985">
        <v>0</v>
      </c>
    </row>
    <row r="3986" spans="1:99" x14ac:dyDescent="0.2">
      <c r="A3986" t="s">
        <v>367</v>
      </c>
      <c r="B3986" t="s">
        <v>368</v>
      </c>
      <c r="C3986" t="s">
        <v>369</v>
      </c>
      <c r="D3986" t="s">
        <v>1937</v>
      </c>
      <c r="F3986" t="str">
        <f>"208841"</f>
        <v>208841</v>
      </c>
      <c r="G3986" t="s">
        <v>49</v>
      </c>
      <c r="H3986" t="s">
        <v>1939</v>
      </c>
      <c r="K3986" t="s">
        <v>51</v>
      </c>
      <c r="L3986" t="s">
        <v>52</v>
      </c>
      <c r="M3986">
        <v>138012.28400000001</v>
      </c>
      <c r="N3986">
        <v>468775.152</v>
      </c>
      <c r="O3986" t="s">
        <v>53</v>
      </c>
      <c r="P3986" t="s">
        <v>54</v>
      </c>
      <c r="Q3986" t="s">
        <v>55</v>
      </c>
      <c r="T3986" t="s">
        <v>841</v>
      </c>
      <c r="U3986">
        <v>40</v>
      </c>
      <c r="V3986" s="1">
        <v>40253</v>
      </c>
      <c r="W3986" s="1">
        <v>40253</v>
      </c>
      <c r="X3986" s="1">
        <v>40253</v>
      </c>
      <c r="Y3986" s="1">
        <v>54863</v>
      </c>
      <c r="Z3986" t="s">
        <v>51</v>
      </c>
      <c r="AB3986" t="s">
        <v>54</v>
      </c>
      <c r="AC3986">
        <v>1</v>
      </c>
      <c r="AE3986" t="s">
        <v>64</v>
      </c>
      <c r="AF3986">
        <v>20</v>
      </c>
      <c r="AG3986" s="1">
        <v>40253</v>
      </c>
      <c r="AH3986" s="1">
        <v>40253</v>
      </c>
      <c r="AI3986" s="1">
        <v>40253</v>
      </c>
      <c r="AJ3986" s="1">
        <v>47558</v>
      </c>
      <c r="AK3986" t="s">
        <v>51</v>
      </c>
      <c r="AN3986">
        <v>0</v>
      </c>
      <c r="AO3986" t="s">
        <v>54</v>
      </c>
      <c r="AP3986" t="s">
        <v>53</v>
      </c>
      <c r="AQ3986">
        <v>0</v>
      </c>
      <c r="AR3986" t="s">
        <v>53</v>
      </c>
      <c r="AS3986">
        <v>0</v>
      </c>
      <c r="AT3986">
        <v>0</v>
      </c>
      <c r="CC3986" t="s">
        <v>555</v>
      </c>
      <c r="CD3986">
        <v>85000</v>
      </c>
      <c r="CE3986" s="1">
        <v>42552</v>
      </c>
      <c r="CF3986" s="1">
        <v>42552</v>
      </c>
      <c r="CG3986" s="1">
        <v>42552</v>
      </c>
      <c r="CH3986" s="1">
        <v>49714</v>
      </c>
      <c r="CI3986" t="s">
        <v>51</v>
      </c>
      <c r="CK3986" t="s">
        <v>78</v>
      </c>
      <c r="CM3986" t="s">
        <v>54</v>
      </c>
      <c r="CN3986" t="s">
        <v>174</v>
      </c>
      <c r="CO3986" t="s">
        <v>86</v>
      </c>
      <c r="CR3986">
        <v>20</v>
      </c>
      <c r="CS3986">
        <v>0</v>
      </c>
      <c r="CT3986">
        <v>0</v>
      </c>
      <c r="CU3986">
        <v>0</v>
      </c>
    </row>
    <row r="3987" spans="1:99" x14ac:dyDescent="0.2">
      <c r="A3987" t="s">
        <v>367</v>
      </c>
      <c r="B3987" t="s">
        <v>368</v>
      </c>
      <c r="C3987" t="s">
        <v>369</v>
      </c>
      <c r="D3987" t="s">
        <v>1937</v>
      </c>
      <c r="F3987" t="str">
        <f>"208842"</f>
        <v>208842</v>
      </c>
      <c r="G3987" t="s">
        <v>49</v>
      </c>
      <c r="H3987" t="s">
        <v>1940</v>
      </c>
      <c r="K3987" t="s">
        <v>51</v>
      </c>
      <c r="L3987" t="s">
        <v>52</v>
      </c>
      <c r="M3987">
        <v>138034.66500000001</v>
      </c>
      <c r="N3987">
        <v>468778.255</v>
      </c>
      <c r="O3987" t="s">
        <v>53</v>
      </c>
      <c r="P3987" t="s">
        <v>54</v>
      </c>
      <c r="Q3987" t="s">
        <v>55</v>
      </c>
      <c r="T3987" t="s">
        <v>841</v>
      </c>
      <c r="U3987">
        <v>40</v>
      </c>
      <c r="V3987" s="1">
        <v>40253</v>
      </c>
      <c r="W3987" s="1">
        <v>40253</v>
      </c>
      <c r="X3987" s="1">
        <v>40253</v>
      </c>
      <c r="Y3987" s="1">
        <v>54863</v>
      </c>
      <c r="Z3987" t="s">
        <v>51</v>
      </c>
      <c r="AB3987" t="s">
        <v>54</v>
      </c>
      <c r="AC3987">
        <v>1</v>
      </c>
      <c r="AE3987" t="s">
        <v>64</v>
      </c>
      <c r="AF3987">
        <v>20</v>
      </c>
      <c r="AG3987" s="1">
        <v>40253</v>
      </c>
      <c r="AH3987" s="1">
        <v>40253</v>
      </c>
      <c r="AI3987" s="1">
        <v>40253</v>
      </c>
      <c r="AJ3987" s="1">
        <v>47558</v>
      </c>
      <c r="AK3987" t="s">
        <v>51</v>
      </c>
      <c r="AN3987">
        <v>0</v>
      </c>
      <c r="AO3987" t="s">
        <v>54</v>
      </c>
      <c r="AP3987" t="s">
        <v>53</v>
      </c>
      <c r="AQ3987">
        <v>0</v>
      </c>
      <c r="AR3987" t="s">
        <v>53</v>
      </c>
      <c r="AS3987">
        <v>0</v>
      </c>
      <c r="AT3987">
        <v>0</v>
      </c>
      <c r="CC3987" t="s">
        <v>555</v>
      </c>
      <c r="CD3987">
        <v>85000</v>
      </c>
      <c r="CE3987" s="1">
        <v>42552</v>
      </c>
      <c r="CF3987" s="1">
        <v>42552</v>
      </c>
      <c r="CG3987" s="1">
        <v>42552</v>
      </c>
      <c r="CH3987" s="1">
        <v>49714</v>
      </c>
      <c r="CI3987" t="s">
        <v>51</v>
      </c>
      <c r="CK3987" t="s">
        <v>78</v>
      </c>
      <c r="CM3987" t="s">
        <v>54</v>
      </c>
      <c r="CN3987" t="s">
        <v>174</v>
      </c>
      <c r="CO3987" t="s">
        <v>86</v>
      </c>
      <c r="CR3987">
        <v>20</v>
      </c>
      <c r="CS3987">
        <v>0</v>
      </c>
      <c r="CT3987">
        <v>0</v>
      </c>
      <c r="CU3987">
        <v>0</v>
      </c>
    </row>
    <row r="3988" spans="1:99" x14ac:dyDescent="0.2">
      <c r="A3988" t="s">
        <v>367</v>
      </c>
      <c r="B3988" t="s">
        <v>368</v>
      </c>
      <c r="C3988" t="s">
        <v>369</v>
      </c>
      <c r="D3988" t="s">
        <v>1937</v>
      </c>
      <c r="F3988" t="str">
        <f>"208843"</f>
        <v>208843</v>
      </c>
      <c r="G3988" t="s">
        <v>49</v>
      </c>
      <c r="H3988" t="s">
        <v>1941</v>
      </c>
      <c r="K3988" t="s">
        <v>51</v>
      </c>
      <c r="L3988" t="s">
        <v>52</v>
      </c>
      <c r="M3988">
        <v>138071.08499999999</v>
      </c>
      <c r="N3988">
        <v>468790.842</v>
      </c>
      <c r="O3988" t="s">
        <v>53</v>
      </c>
      <c r="P3988" t="s">
        <v>54</v>
      </c>
      <c r="Q3988" t="s">
        <v>55</v>
      </c>
      <c r="T3988" t="s">
        <v>841</v>
      </c>
      <c r="U3988">
        <v>40</v>
      </c>
      <c r="V3988" s="1">
        <v>40253</v>
      </c>
      <c r="W3988" s="1">
        <v>40253</v>
      </c>
      <c r="X3988" s="1">
        <v>40253</v>
      </c>
      <c r="Y3988" s="1">
        <v>54863</v>
      </c>
      <c r="Z3988" t="s">
        <v>51</v>
      </c>
      <c r="AB3988" t="s">
        <v>54</v>
      </c>
      <c r="AC3988">
        <v>1</v>
      </c>
      <c r="AE3988" t="s">
        <v>64</v>
      </c>
      <c r="AF3988">
        <v>20</v>
      </c>
      <c r="AG3988" s="1">
        <v>40253</v>
      </c>
      <c r="AH3988" s="1">
        <v>40253</v>
      </c>
      <c r="AI3988" s="1">
        <v>40253</v>
      </c>
      <c r="AJ3988" s="1">
        <v>47558</v>
      </c>
      <c r="AK3988" t="s">
        <v>51</v>
      </c>
      <c r="AN3988">
        <v>0</v>
      </c>
      <c r="AO3988" t="s">
        <v>54</v>
      </c>
      <c r="AP3988" t="s">
        <v>53</v>
      </c>
      <c r="AQ3988">
        <v>0</v>
      </c>
      <c r="AR3988" t="s">
        <v>53</v>
      </c>
      <c r="AS3988">
        <v>0</v>
      </c>
      <c r="AT3988">
        <v>0</v>
      </c>
      <c r="CC3988" t="s">
        <v>555</v>
      </c>
      <c r="CD3988">
        <v>85000</v>
      </c>
      <c r="CE3988" s="1">
        <v>42552</v>
      </c>
      <c r="CF3988" s="1">
        <v>42552</v>
      </c>
      <c r="CG3988" s="1">
        <v>42552</v>
      </c>
      <c r="CH3988" s="1">
        <v>49714</v>
      </c>
      <c r="CI3988" t="s">
        <v>51</v>
      </c>
      <c r="CK3988" t="s">
        <v>78</v>
      </c>
      <c r="CM3988" t="s">
        <v>54</v>
      </c>
      <c r="CN3988" t="s">
        <v>174</v>
      </c>
      <c r="CO3988" t="s">
        <v>86</v>
      </c>
      <c r="CR3988">
        <v>20</v>
      </c>
      <c r="CS3988">
        <v>0</v>
      </c>
      <c r="CT3988">
        <v>0</v>
      </c>
      <c r="CU3988">
        <v>0</v>
      </c>
    </row>
    <row r="3989" spans="1:99" x14ac:dyDescent="0.2">
      <c r="A3989" t="s">
        <v>367</v>
      </c>
      <c r="B3989" t="s">
        <v>368</v>
      </c>
      <c r="C3989" t="s">
        <v>369</v>
      </c>
      <c r="D3989" t="s">
        <v>1937</v>
      </c>
      <c r="F3989" t="str">
        <f>"208844"</f>
        <v>208844</v>
      </c>
      <c r="G3989" t="s">
        <v>49</v>
      </c>
      <c r="H3989" t="s">
        <v>1942</v>
      </c>
      <c r="K3989" t="s">
        <v>51</v>
      </c>
      <c r="L3989" t="s">
        <v>52</v>
      </c>
      <c r="M3989">
        <v>138103.538</v>
      </c>
      <c r="N3989">
        <v>468800.19699999999</v>
      </c>
      <c r="O3989" t="s">
        <v>53</v>
      </c>
      <c r="P3989" t="s">
        <v>54</v>
      </c>
      <c r="Q3989" t="s">
        <v>55</v>
      </c>
      <c r="T3989" t="s">
        <v>841</v>
      </c>
      <c r="U3989">
        <v>40</v>
      </c>
      <c r="V3989" s="1">
        <v>40253</v>
      </c>
      <c r="W3989" s="1">
        <v>40253</v>
      </c>
      <c r="X3989" s="1">
        <v>40253</v>
      </c>
      <c r="Y3989" s="1">
        <v>54863</v>
      </c>
      <c r="Z3989" t="s">
        <v>51</v>
      </c>
      <c r="AB3989" t="s">
        <v>54</v>
      </c>
      <c r="AC3989">
        <v>1</v>
      </c>
      <c r="AE3989" t="s">
        <v>64</v>
      </c>
      <c r="AF3989">
        <v>20</v>
      </c>
      <c r="AG3989" s="1">
        <v>40253</v>
      </c>
      <c r="AH3989" s="1">
        <v>40253</v>
      </c>
      <c r="AI3989" s="1">
        <v>40253</v>
      </c>
      <c r="AJ3989" s="1">
        <v>47558</v>
      </c>
      <c r="AK3989" t="s">
        <v>51</v>
      </c>
      <c r="AN3989">
        <v>0</v>
      </c>
      <c r="AO3989" t="s">
        <v>54</v>
      </c>
      <c r="AP3989" t="s">
        <v>53</v>
      </c>
      <c r="AQ3989">
        <v>0</v>
      </c>
      <c r="AR3989" t="s">
        <v>53</v>
      </c>
      <c r="AS3989">
        <v>0</v>
      </c>
      <c r="AT3989">
        <v>0</v>
      </c>
      <c r="CC3989" t="s">
        <v>555</v>
      </c>
      <c r="CD3989">
        <v>85000</v>
      </c>
      <c r="CE3989" s="1">
        <v>44200</v>
      </c>
      <c r="CF3989" s="1">
        <v>44200</v>
      </c>
      <c r="CG3989" s="1">
        <v>44200</v>
      </c>
      <c r="CH3989" s="1">
        <v>51412</v>
      </c>
      <c r="CI3989" t="s">
        <v>51</v>
      </c>
      <c r="CK3989" t="s">
        <v>78</v>
      </c>
      <c r="CM3989" t="s">
        <v>54</v>
      </c>
      <c r="CN3989" t="s">
        <v>174</v>
      </c>
      <c r="CO3989" t="s">
        <v>86</v>
      </c>
      <c r="CR3989">
        <v>20</v>
      </c>
      <c r="CS3989">
        <v>0</v>
      </c>
      <c r="CT3989">
        <v>0</v>
      </c>
      <c r="CU3989">
        <v>0</v>
      </c>
    </row>
    <row r="3990" spans="1:99" x14ac:dyDescent="0.2">
      <c r="A3990" t="s">
        <v>367</v>
      </c>
      <c r="B3990" t="s">
        <v>368</v>
      </c>
      <c r="C3990" t="s">
        <v>369</v>
      </c>
      <c r="D3990" t="s">
        <v>1937</v>
      </c>
      <c r="F3990" t="str">
        <f>"208845"</f>
        <v>208845</v>
      </c>
      <c r="G3990" t="s">
        <v>49</v>
      </c>
      <c r="H3990" t="s">
        <v>1943</v>
      </c>
      <c r="K3990" t="s">
        <v>51</v>
      </c>
      <c r="L3990" t="s">
        <v>52</v>
      </c>
      <c r="M3990">
        <v>138129.53899999999</v>
      </c>
      <c r="N3990">
        <v>468809.147</v>
      </c>
      <c r="O3990" t="s">
        <v>53</v>
      </c>
      <c r="P3990" t="s">
        <v>54</v>
      </c>
      <c r="Q3990" t="s">
        <v>55</v>
      </c>
      <c r="T3990" t="s">
        <v>841</v>
      </c>
      <c r="U3990">
        <v>40</v>
      </c>
      <c r="V3990" s="1">
        <v>40253</v>
      </c>
      <c r="W3990" s="1">
        <v>40253</v>
      </c>
      <c r="X3990" s="1">
        <v>40253</v>
      </c>
      <c r="Y3990" s="1">
        <v>54863</v>
      </c>
      <c r="Z3990" t="s">
        <v>51</v>
      </c>
      <c r="AB3990" t="s">
        <v>54</v>
      </c>
      <c r="AC3990">
        <v>1</v>
      </c>
      <c r="AE3990" t="s">
        <v>64</v>
      </c>
      <c r="AF3990">
        <v>20</v>
      </c>
      <c r="AG3990" s="1">
        <v>40253</v>
      </c>
      <c r="AH3990" s="1">
        <v>40253</v>
      </c>
      <c r="AI3990" s="1">
        <v>40253</v>
      </c>
      <c r="AJ3990" s="1">
        <v>47558</v>
      </c>
      <c r="AK3990" t="s">
        <v>51</v>
      </c>
      <c r="AN3990">
        <v>0</v>
      </c>
      <c r="AO3990" t="s">
        <v>54</v>
      </c>
      <c r="AP3990" t="s">
        <v>53</v>
      </c>
      <c r="AQ3990">
        <v>0</v>
      </c>
      <c r="AR3990" t="s">
        <v>53</v>
      </c>
      <c r="AS3990">
        <v>0</v>
      </c>
      <c r="AT3990">
        <v>0</v>
      </c>
      <c r="CC3990" t="s">
        <v>555</v>
      </c>
      <c r="CD3990">
        <v>85000</v>
      </c>
      <c r="CE3990" s="1">
        <v>42552</v>
      </c>
      <c r="CF3990" s="1">
        <v>42552</v>
      </c>
      <c r="CG3990" s="1">
        <v>42552</v>
      </c>
      <c r="CH3990" s="1">
        <v>49714</v>
      </c>
      <c r="CI3990" t="s">
        <v>51</v>
      </c>
      <c r="CK3990" t="s">
        <v>78</v>
      </c>
      <c r="CM3990" t="s">
        <v>54</v>
      </c>
      <c r="CN3990" t="s">
        <v>174</v>
      </c>
      <c r="CO3990" t="s">
        <v>86</v>
      </c>
      <c r="CR3990">
        <v>20</v>
      </c>
      <c r="CS3990">
        <v>0</v>
      </c>
      <c r="CT3990">
        <v>0</v>
      </c>
      <c r="CU3990">
        <v>0</v>
      </c>
    </row>
    <row r="3991" spans="1:99" x14ac:dyDescent="0.2">
      <c r="A3991" t="s">
        <v>367</v>
      </c>
      <c r="B3991" t="s">
        <v>368</v>
      </c>
      <c r="C3991" t="s">
        <v>369</v>
      </c>
      <c r="D3991" t="s">
        <v>1582</v>
      </c>
      <c r="F3991" t="str">
        <f>"212373"</f>
        <v>212373</v>
      </c>
      <c r="G3991" t="s">
        <v>49</v>
      </c>
      <c r="H3991" t="s">
        <v>1455</v>
      </c>
      <c r="K3991" t="s">
        <v>51</v>
      </c>
      <c r="L3991" t="s">
        <v>52</v>
      </c>
      <c r="M3991">
        <v>138095.111</v>
      </c>
      <c r="N3991">
        <v>468467.576</v>
      </c>
      <c r="O3991" t="s">
        <v>53</v>
      </c>
      <c r="P3991" t="s">
        <v>54</v>
      </c>
      <c r="Q3991" t="s">
        <v>55</v>
      </c>
      <c r="T3991" t="s">
        <v>818</v>
      </c>
      <c r="U3991">
        <v>40</v>
      </c>
      <c r="V3991" s="1">
        <v>40309</v>
      </c>
      <c r="W3991" s="1">
        <v>40309</v>
      </c>
      <c r="X3991" s="1">
        <v>40309</v>
      </c>
      <c r="Y3991" s="1">
        <v>54919</v>
      </c>
      <c r="Z3991" t="s">
        <v>51</v>
      </c>
      <c r="AB3991" t="s">
        <v>54</v>
      </c>
      <c r="AC3991">
        <v>1</v>
      </c>
      <c r="AE3991" t="s">
        <v>825</v>
      </c>
      <c r="AF3991">
        <v>20</v>
      </c>
      <c r="AG3991" s="1">
        <v>40309</v>
      </c>
      <c r="AH3991" s="1">
        <v>40309</v>
      </c>
      <c r="AI3991" s="1">
        <v>40309</v>
      </c>
      <c r="AJ3991" s="1">
        <v>47614</v>
      </c>
      <c r="AK3991" t="s">
        <v>51</v>
      </c>
      <c r="AN3991">
        <v>0</v>
      </c>
      <c r="AO3991" t="s">
        <v>54</v>
      </c>
      <c r="AP3991" t="s">
        <v>53</v>
      </c>
      <c r="AQ3991">
        <v>0</v>
      </c>
      <c r="AR3991" t="s">
        <v>53</v>
      </c>
      <c r="AS3991">
        <v>0</v>
      </c>
      <c r="AT3991">
        <v>0</v>
      </c>
      <c r="CC3991" t="s">
        <v>555</v>
      </c>
      <c r="CD3991">
        <v>85000</v>
      </c>
      <c r="CE3991" s="1">
        <v>42552</v>
      </c>
      <c r="CF3991" s="1">
        <v>42552</v>
      </c>
      <c r="CG3991" s="1">
        <v>42552</v>
      </c>
      <c r="CH3991" s="1">
        <v>49714</v>
      </c>
      <c r="CI3991" t="s">
        <v>51</v>
      </c>
      <c r="CK3991" t="s">
        <v>78</v>
      </c>
      <c r="CM3991" t="s">
        <v>54</v>
      </c>
      <c r="CN3991" t="s">
        <v>174</v>
      </c>
      <c r="CO3991" t="s">
        <v>86</v>
      </c>
      <c r="CR3991">
        <v>20</v>
      </c>
      <c r="CS3991">
        <v>0</v>
      </c>
      <c r="CT3991">
        <v>0</v>
      </c>
      <c r="CU3991">
        <v>0</v>
      </c>
    </row>
    <row r="3992" spans="1:99" x14ac:dyDescent="0.2">
      <c r="A3992" t="s">
        <v>367</v>
      </c>
      <c r="B3992" t="s">
        <v>368</v>
      </c>
      <c r="C3992" t="s">
        <v>369</v>
      </c>
      <c r="D3992" t="s">
        <v>1582</v>
      </c>
      <c r="F3992" t="str">
        <f>"212374"</f>
        <v>212374</v>
      </c>
      <c r="G3992" t="s">
        <v>49</v>
      </c>
      <c r="H3992" t="s">
        <v>1944</v>
      </c>
      <c r="K3992" t="s">
        <v>51</v>
      </c>
      <c r="L3992" t="s">
        <v>52</v>
      </c>
      <c r="M3992">
        <v>138110.345</v>
      </c>
      <c r="N3992">
        <v>468466.93199999997</v>
      </c>
      <c r="O3992" t="s">
        <v>53</v>
      </c>
      <c r="P3992" t="s">
        <v>54</v>
      </c>
      <c r="Q3992" t="s">
        <v>55</v>
      </c>
      <c r="T3992" t="s">
        <v>818</v>
      </c>
      <c r="U3992">
        <v>40</v>
      </c>
      <c r="V3992" s="1">
        <v>40309</v>
      </c>
      <c r="W3992" s="1">
        <v>40309</v>
      </c>
      <c r="X3992" s="1">
        <v>40309</v>
      </c>
      <c r="Y3992" s="1">
        <v>54919</v>
      </c>
      <c r="Z3992" t="s">
        <v>51</v>
      </c>
      <c r="AB3992" t="s">
        <v>54</v>
      </c>
      <c r="AC3992">
        <v>1</v>
      </c>
      <c r="AE3992" t="s">
        <v>825</v>
      </c>
      <c r="AF3992">
        <v>20</v>
      </c>
      <c r="AG3992" s="1">
        <v>40309</v>
      </c>
      <c r="AH3992" s="1">
        <v>40309</v>
      </c>
      <c r="AI3992" s="1">
        <v>40309</v>
      </c>
      <c r="AJ3992" s="1">
        <v>47614</v>
      </c>
      <c r="AK3992" t="s">
        <v>51</v>
      </c>
      <c r="AN3992">
        <v>0</v>
      </c>
      <c r="AO3992" t="s">
        <v>54</v>
      </c>
      <c r="AP3992" t="s">
        <v>53</v>
      </c>
      <c r="AQ3992">
        <v>0</v>
      </c>
      <c r="AR3992" t="s">
        <v>53</v>
      </c>
      <c r="AS3992">
        <v>0</v>
      </c>
      <c r="AT3992">
        <v>0</v>
      </c>
      <c r="CC3992" t="s">
        <v>555</v>
      </c>
      <c r="CD3992">
        <v>85000</v>
      </c>
      <c r="CE3992" s="1">
        <v>42552</v>
      </c>
      <c r="CF3992" s="1">
        <v>42552</v>
      </c>
      <c r="CG3992" s="1">
        <v>42552</v>
      </c>
      <c r="CH3992" s="1">
        <v>49714</v>
      </c>
      <c r="CI3992" t="s">
        <v>51</v>
      </c>
      <c r="CK3992" t="s">
        <v>78</v>
      </c>
      <c r="CM3992" t="s">
        <v>54</v>
      </c>
      <c r="CN3992" t="s">
        <v>174</v>
      </c>
      <c r="CO3992" t="s">
        <v>86</v>
      </c>
      <c r="CR3992">
        <v>20</v>
      </c>
      <c r="CS3992">
        <v>0</v>
      </c>
      <c r="CT3992">
        <v>0</v>
      </c>
      <c r="CU3992">
        <v>0</v>
      </c>
    </row>
    <row r="3993" spans="1:99" x14ac:dyDescent="0.2">
      <c r="A3993" t="s">
        <v>367</v>
      </c>
      <c r="B3993" t="s">
        <v>368</v>
      </c>
      <c r="C3993" t="s">
        <v>369</v>
      </c>
      <c r="D3993" t="s">
        <v>1582</v>
      </c>
      <c r="F3993" t="str">
        <f>"212375"</f>
        <v>212375</v>
      </c>
      <c r="G3993" t="s">
        <v>49</v>
      </c>
      <c r="H3993" t="s">
        <v>1945</v>
      </c>
      <c r="K3993" t="s">
        <v>51</v>
      </c>
      <c r="L3993" t="s">
        <v>52</v>
      </c>
      <c r="M3993">
        <v>138127.38</v>
      </c>
      <c r="N3993">
        <v>468481.62699999998</v>
      </c>
      <c r="O3993" t="s">
        <v>53</v>
      </c>
      <c r="P3993" t="s">
        <v>54</v>
      </c>
      <c r="Q3993" t="s">
        <v>55</v>
      </c>
      <c r="T3993" t="s">
        <v>818</v>
      </c>
      <c r="U3993">
        <v>40</v>
      </c>
      <c r="V3993" s="1">
        <v>40309</v>
      </c>
      <c r="W3993" s="1">
        <v>40309</v>
      </c>
      <c r="X3993" s="1">
        <v>40309</v>
      </c>
      <c r="Y3993" s="1">
        <v>54919</v>
      </c>
      <c r="Z3993" t="s">
        <v>51</v>
      </c>
      <c r="AB3993" t="s">
        <v>54</v>
      </c>
      <c r="AC3993">
        <v>1</v>
      </c>
      <c r="AE3993" t="s">
        <v>825</v>
      </c>
      <c r="AF3993">
        <v>20</v>
      </c>
      <c r="AG3993" s="1">
        <v>40309</v>
      </c>
      <c r="AH3993" s="1">
        <v>40309</v>
      </c>
      <c r="AI3993" s="1">
        <v>40309</v>
      </c>
      <c r="AJ3993" s="1">
        <v>47614</v>
      </c>
      <c r="AK3993" t="s">
        <v>51</v>
      </c>
      <c r="AN3993">
        <v>0</v>
      </c>
      <c r="AO3993" t="s">
        <v>54</v>
      </c>
      <c r="AP3993" t="s">
        <v>53</v>
      </c>
      <c r="AQ3993">
        <v>0</v>
      </c>
      <c r="AR3993" t="s">
        <v>53</v>
      </c>
      <c r="AS3993">
        <v>0</v>
      </c>
      <c r="AT3993">
        <v>0</v>
      </c>
      <c r="CC3993" t="s">
        <v>555</v>
      </c>
      <c r="CD3993">
        <v>85000</v>
      </c>
      <c r="CE3993" s="1">
        <v>42552</v>
      </c>
      <c r="CF3993" s="1">
        <v>42552</v>
      </c>
      <c r="CG3993" s="1">
        <v>42552</v>
      </c>
      <c r="CH3993" s="1">
        <v>49714</v>
      </c>
      <c r="CI3993" t="s">
        <v>51</v>
      </c>
      <c r="CK3993" t="s">
        <v>78</v>
      </c>
      <c r="CM3993" t="s">
        <v>54</v>
      </c>
      <c r="CN3993" t="s">
        <v>174</v>
      </c>
      <c r="CO3993" t="s">
        <v>86</v>
      </c>
      <c r="CR3993">
        <v>20</v>
      </c>
      <c r="CS3993">
        <v>0</v>
      </c>
      <c r="CT3993">
        <v>0</v>
      </c>
      <c r="CU3993">
        <v>0</v>
      </c>
    </row>
    <row r="3994" spans="1:99" x14ac:dyDescent="0.2">
      <c r="A3994" t="s">
        <v>367</v>
      </c>
      <c r="B3994" t="s">
        <v>368</v>
      </c>
      <c r="C3994" t="s">
        <v>369</v>
      </c>
      <c r="D3994" t="s">
        <v>1582</v>
      </c>
      <c r="F3994" t="str">
        <f>"212376"</f>
        <v>212376</v>
      </c>
      <c r="G3994" t="s">
        <v>49</v>
      </c>
      <c r="H3994" t="s">
        <v>1946</v>
      </c>
      <c r="K3994" t="s">
        <v>51</v>
      </c>
      <c r="L3994" t="s">
        <v>52</v>
      </c>
      <c r="M3994">
        <v>138146.46900000001</v>
      </c>
      <c r="N3994">
        <v>468482.94900000002</v>
      </c>
      <c r="O3994" t="s">
        <v>53</v>
      </c>
      <c r="P3994" t="s">
        <v>54</v>
      </c>
      <c r="Q3994" t="s">
        <v>55</v>
      </c>
      <c r="T3994" t="s">
        <v>818</v>
      </c>
      <c r="U3994">
        <v>40</v>
      </c>
      <c r="V3994" s="1">
        <v>40309</v>
      </c>
      <c r="W3994" s="1">
        <v>40309</v>
      </c>
      <c r="X3994" s="1">
        <v>40309</v>
      </c>
      <c r="Y3994" s="1">
        <v>54919</v>
      </c>
      <c r="Z3994" t="s">
        <v>51</v>
      </c>
      <c r="AB3994" t="s">
        <v>54</v>
      </c>
      <c r="AC3994">
        <v>1</v>
      </c>
      <c r="AE3994" t="s">
        <v>825</v>
      </c>
      <c r="AF3994">
        <v>20</v>
      </c>
      <c r="AG3994" s="1">
        <v>40309</v>
      </c>
      <c r="AH3994" s="1">
        <v>40309</v>
      </c>
      <c r="AI3994" s="1">
        <v>40309</v>
      </c>
      <c r="AJ3994" s="1">
        <v>47614</v>
      </c>
      <c r="AK3994" t="s">
        <v>51</v>
      </c>
      <c r="AN3994">
        <v>0</v>
      </c>
      <c r="AO3994" t="s">
        <v>54</v>
      </c>
      <c r="AP3994" t="s">
        <v>53</v>
      </c>
      <c r="AQ3994">
        <v>0</v>
      </c>
      <c r="AR3994" t="s">
        <v>53</v>
      </c>
      <c r="AS3994">
        <v>0</v>
      </c>
      <c r="AT3994">
        <v>0</v>
      </c>
      <c r="CC3994" t="s">
        <v>555</v>
      </c>
      <c r="CD3994">
        <v>85000</v>
      </c>
      <c r="CE3994" s="1">
        <v>42552</v>
      </c>
      <c r="CF3994" s="1">
        <v>42552</v>
      </c>
      <c r="CG3994" s="1">
        <v>42552</v>
      </c>
      <c r="CH3994" s="1">
        <v>49714</v>
      </c>
      <c r="CI3994" t="s">
        <v>51</v>
      </c>
      <c r="CK3994" t="s">
        <v>78</v>
      </c>
      <c r="CM3994" t="s">
        <v>54</v>
      </c>
      <c r="CN3994" t="s">
        <v>174</v>
      </c>
      <c r="CO3994" t="s">
        <v>86</v>
      </c>
      <c r="CR3994">
        <v>20</v>
      </c>
      <c r="CS3994">
        <v>0</v>
      </c>
      <c r="CT3994">
        <v>0</v>
      </c>
      <c r="CU3994">
        <v>0</v>
      </c>
    </row>
    <row r="3995" spans="1:99" x14ac:dyDescent="0.2">
      <c r="A3995" t="s">
        <v>367</v>
      </c>
      <c r="B3995" t="s">
        <v>368</v>
      </c>
      <c r="C3995" t="s">
        <v>369</v>
      </c>
      <c r="D3995" t="s">
        <v>1582</v>
      </c>
      <c r="F3995" t="str">
        <f>"212377"</f>
        <v>212377</v>
      </c>
      <c r="G3995" t="s">
        <v>49</v>
      </c>
      <c r="H3995" t="s">
        <v>1947</v>
      </c>
      <c r="K3995" t="s">
        <v>51</v>
      </c>
      <c r="L3995" t="s">
        <v>52</v>
      </c>
      <c r="M3995">
        <v>138157.36799999999</v>
      </c>
      <c r="N3995">
        <v>468495.212</v>
      </c>
      <c r="O3995" t="s">
        <v>53</v>
      </c>
      <c r="P3995" t="s">
        <v>54</v>
      </c>
      <c r="Q3995" t="s">
        <v>55</v>
      </c>
      <c r="T3995" t="s">
        <v>818</v>
      </c>
      <c r="U3995">
        <v>40</v>
      </c>
      <c r="V3995" s="1">
        <v>40309</v>
      </c>
      <c r="W3995" s="1">
        <v>40309</v>
      </c>
      <c r="X3995" s="1">
        <v>40309</v>
      </c>
      <c r="Y3995" s="1">
        <v>54919</v>
      </c>
      <c r="Z3995" t="s">
        <v>51</v>
      </c>
      <c r="AB3995" t="s">
        <v>54</v>
      </c>
      <c r="AC3995">
        <v>1</v>
      </c>
      <c r="AE3995" t="s">
        <v>825</v>
      </c>
      <c r="AF3995">
        <v>20</v>
      </c>
      <c r="AG3995" s="1">
        <v>40309</v>
      </c>
      <c r="AH3995" s="1">
        <v>40309</v>
      </c>
      <c r="AI3995" s="1">
        <v>40309</v>
      </c>
      <c r="AJ3995" s="1">
        <v>47614</v>
      </c>
      <c r="AK3995" t="s">
        <v>51</v>
      </c>
      <c r="AN3995">
        <v>0</v>
      </c>
      <c r="AO3995" t="s">
        <v>54</v>
      </c>
      <c r="AP3995" t="s">
        <v>53</v>
      </c>
      <c r="AQ3995">
        <v>0</v>
      </c>
      <c r="AR3995" t="s">
        <v>53</v>
      </c>
      <c r="AS3995">
        <v>0</v>
      </c>
      <c r="AT3995">
        <v>0</v>
      </c>
      <c r="CC3995" t="s">
        <v>555</v>
      </c>
      <c r="CD3995">
        <v>85000</v>
      </c>
      <c r="CE3995" s="1">
        <v>42552</v>
      </c>
      <c r="CF3995" s="1">
        <v>42552</v>
      </c>
      <c r="CG3995" s="1">
        <v>42552</v>
      </c>
      <c r="CH3995" s="1">
        <v>49714</v>
      </c>
      <c r="CI3995" t="s">
        <v>51</v>
      </c>
      <c r="CK3995" t="s">
        <v>78</v>
      </c>
      <c r="CM3995" t="s">
        <v>54</v>
      </c>
      <c r="CN3995" t="s">
        <v>174</v>
      </c>
      <c r="CO3995" t="s">
        <v>86</v>
      </c>
      <c r="CR3995">
        <v>20</v>
      </c>
      <c r="CS3995">
        <v>0</v>
      </c>
      <c r="CT3995">
        <v>0</v>
      </c>
      <c r="CU3995">
        <v>0</v>
      </c>
    </row>
    <row r="3996" spans="1:99" x14ac:dyDescent="0.2">
      <c r="A3996" t="s">
        <v>367</v>
      </c>
      <c r="B3996" t="s">
        <v>368</v>
      </c>
      <c r="C3996" t="s">
        <v>369</v>
      </c>
      <c r="D3996" t="s">
        <v>1582</v>
      </c>
      <c r="F3996" t="str">
        <f>"212378"</f>
        <v>212378</v>
      </c>
      <c r="G3996" t="s">
        <v>49</v>
      </c>
      <c r="H3996" t="s">
        <v>1948</v>
      </c>
      <c r="K3996" t="s">
        <v>51</v>
      </c>
      <c r="L3996" t="s">
        <v>52</v>
      </c>
      <c r="M3996">
        <v>138174.85</v>
      </c>
      <c r="N3996">
        <v>468497.152</v>
      </c>
      <c r="O3996" t="s">
        <v>53</v>
      </c>
      <c r="P3996" t="s">
        <v>54</v>
      </c>
      <c r="Q3996" t="s">
        <v>55</v>
      </c>
      <c r="T3996" t="s">
        <v>818</v>
      </c>
      <c r="U3996">
        <v>40</v>
      </c>
      <c r="V3996" s="1">
        <v>40309</v>
      </c>
      <c r="W3996" s="1">
        <v>40309</v>
      </c>
      <c r="X3996" s="1">
        <v>40309</v>
      </c>
      <c r="Y3996" s="1">
        <v>54919</v>
      </c>
      <c r="Z3996" t="s">
        <v>51</v>
      </c>
      <c r="AB3996" t="s">
        <v>54</v>
      </c>
      <c r="AC3996">
        <v>1</v>
      </c>
      <c r="AE3996" t="s">
        <v>825</v>
      </c>
      <c r="AF3996">
        <v>20</v>
      </c>
      <c r="AG3996" s="1">
        <v>40309</v>
      </c>
      <c r="AH3996" s="1">
        <v>40309</v>
      </c>
      <c r="AI3996" s="1">
        <v>40309</v>
      </c>
      <c r="AJ3996" s="1">
        <v>47614</v>
      </c>
      <c r="AK3996" t="s">
        <v>51</v>
      </c>
      <c r="AN3996">
        <v>0</v>
      </c>
      <c r="AO3996" t="s">
        <v>54</v>
      </c>
      <c r="AP3996" t="s">
        <v>53</v>
      </c>
      <c r="AQ3996">
        <v>0</v>
      </c>
      <c r="AR3996" t="s">
        <v>53</v>
      </c>
      <c r="AS3996">
        <v>0</v>
      </c>
      <c r="AT3996">
        <v>0</v>
      </c>
      <c r="CC3996" t="s">
        <v>555</v>
      </c>
      <c r="CD3996">
        <v>85000</v>
      </c>
      <c r="CE3996" s="1">
        <v>42552</v>
      </c>
      <c r="CF3996" s="1">
        <v>42552</v>
      </c>
      <c r="CG3996" s="1">
        <v>42552</v>
      </c>
      <c r="CH3996" s="1">
        <v>49714</v>
      </c>
      <c r="CI3996" t="s">
        <v>51</v>
      </c>
      <c r="CK3996" t="s">
        <v>78</v>
      </c>
      <c r="CM3996" t="s">
        <v>54</v>
      </c>
      <c r="CN3996" t="s">
        <v>174</v>
      </c>
      <c r="CO3996" t="s">
        <v>86</v>
      </c>
      <c r="CR3996">
        <v>20</v>
      </c>
      <c r="CS3996">
        <v>0</v>
      </c>
      <c r="CT3996">
        <v>0</v>
      </c>
      <c r="CU3996">
        <v>0</v>
      </c>
    </row>
    <row r="3997" spans="1:99" x14ac:dyDescent="0.2">
      <c r="A3997" t="s">
        <v>367</v>
      </c>
      <c r="B3997" t="s">
        <v>368</v>
      </c>
      <c r="C3997" t="s">
        <v>369</v>
      </c>
      <c r="D3997" t="s">
        <v>1531</v>
      </c>
      <c r="F3997" t="str">
        <f>"212379"</f>
        <v>212379</v>
      </c>
      <c r="G3997" t="s">
        <v>49</v>
      </c>
      <c r="H3997" t="s">
        <v>1455</v>
      </c>
      <c r="K3997" t="s">
        <v>51</v>
      </c>
      <c r="L3997" t="s">
        <v>52</v>
      </c>
      <c r="M3997">
        <v>138062.73800000001</v>
      </c>
      <c r="N3997">
        <v>468537.80800000002</v>
      </c>
      <c r="O3997" t="s">
        <v>53</v>
      </c>
      <c r="P3997" t="s">
        <v>54</v>
      </c>
      <c r="Q3997" t="s">
        <v>55</v>
      </c>
      <c r="T3997" t="s">
        <v>818</v>
      </c>
      <c r="U3997">
        <v>40</v>
      </c>
      <c r="V3997" s="1">
        <v>40339</v>
      </c>
      <c r="W3997" s="1">
        <v>40339</v>
      </c>
      <c r="X3997" s="1">
        <v>40339</v>
      </c>
      <c r="Y3997" s="1">
        <v>54949</v>
      </c>
      <c r="Z3997" t="s">
        <v>51</v>
      </c>
      <c r="AB3997" t="s">
        <v>54</v>
      </c>
      <c r="AC3997">
        <v>1</v>
      </c>
      <c r="AE3997" t="s">
        <v>825</v>
      </c>
      <c r="AF3997">
        <v>20</v>
      </c>
      <c r="AG3997" s="1">
        <v>40339</v>
      </c>
      <c r="AH3997" s="1">
        <v>40339</v>
      </c>
      <c r="AI3997" s="1">
        <v>40339</v>
      </c>
      <c r="AJ3997" s="1">
        <v>47644</v>
      </c>
      <c r="AK3997" t="s">
        <v>51</v>
      </c>
      <c r="AN3997">
        <v>0</v>
      </c>
      <c r="AO3997" t="s">
        <v>54</v>
      </c>
      <c r="AP3997" t="s">
        <v>53</v>
      </c>
      <c r="AQ3997">
        <v>0</v>
      </c>
      <c r="AR3997" t="s">
        <v>53</v>
      </c>
      <c r="AS3997">
        <v>0</v>
      </c>
      <c r="AT3997">
        <v>0</v>
      </c>
      <c r="CC3997" t="s">
        <v>555</v>
      </c>
      <c r="CD3997">
        <v>85000</v>
      </c>
      <c r="CE3997" s="1">
        <v>43809</v>
      </c>
      <c r="CF3997" s="1">
        <v>43809</v>
      </c>
      <c r="CG3997" s="1">
        <v>43809</v>
      </c>
      <c r="CH3997" s="1">
        <v>51012</v>
      </c>
      <c r="CI3997" t="s">
        <v>51</v>
      </c>
      <c r="CK3997" t="s">
        <v>78</v>
      </c>
      <c r="CM3997" t="s">
        <v>54</v>
      </c>
      <c r="CN3997" t="s">
        <v>174</v>
      </c>
      <c r="CO3997" t="s">
        <v>86</v>
      </c>
      <c r="CR3997">
        <v>20</v>
      </c>
      <c r="CS3997">
        <v>0</v>
      </c>
      <c r="CT3997">
        <v>0</v>
      </c>
      <c r="CU3997">
        <v>0</v>
      </c>
    </row>
    <row r="3998" spans="1:99" x14ac:dyDescent="0.2">
      <c r="A3998" t="s">
        <v>367</v>
      </c>
      <c r="B3998" t="s">
        <v>368</v>
      </c>
      <c r="C3998" t="s">
        <v>369</v>
      </c>
      <c r="D3998" t="s">
        <v>1531</v>
      </c>
      <c r="F3998" t="str">
        <f>"212380"</f>
        <v>212380</v>
      </c>
      <c r="G3998" t="s">
        <v>49</v>
      </c>
      <c r="H3998" t="s">
        <v>1944</v>
      </c>
      <c r="K3998" t="s">
        <v>51</v>
      </c>
      <c r="L3998" t="s">
        <v>52</v>
      </c>
      <c r="M3998">
        <v>138082.261</v>
      </c>
      <c r="N3998">
        <v>468537.90500000003</v>
      </c>
      <c r="O3998" t="s">
        <v>53</v>
      </c>
      <c r="P3998" t="s">
        <v>54</v>
      </c>
      <c r="Q3998" t="s">
        <v>55</v>
      </c>
      <c r="T3998" t="s">
        <v>818</v>
      </c>
      <c r="U3998">
        <v>40</v>
      </c>
      <c r="V3998" s="1">
        <v>40339</v>
      </c>
      <c r="W3998" s="1">
        <v>40339</v>
      </c>
      <c r="X3998" s="1">
        <v>40339</v>
      </c>
      <c r="Y3998" s="1">
        <v>54949</v>
      </c>
      <c r="Z3998" t="s">
        <v>51</v>
      </c>
      <c r="AB3998" t="s">
        <v>54</v>
      </c>
      <c r="AC3998">
        <v>1</v>
      </c>
      <c r="AE3998" t="s">
        <v>825</v>
      </c>
      <c r="AF3998">
        <v>20</v>
      </c>
      <c r="AG3998" s="1">
        <v>40339</v>
      </c>
      <c r="AH3998" s="1">
        <v>40339</v>
      </c>
      <c r="AI3998" s="1">
        <v>40339</v>
      </c>
      <c r="AJ3998" s="1">
        <v>47644</v>
      </c>
      <c r="AK3998" t="s">
        <v>51</v>
      </c>
      <c r="AN3998">
        <v>0</v>
      </c>
      <c r="AO3998" t="s">
        <v>54</v>
      </c>
      <c r="AP3998" t="s">
        <v>53</v>
      </c>
      <c r="AQ3998">
        <v>0</v>
      </c>
      <c r="AR3998" t="s">
        <v>53</v>
      </c>
      <c r="AS3998">
        <v>0</v>
      </c>
      <c r="AT3998">
        <v>0</v>
      </c>
      <c r="CC3998" t="s">
        <v>555</v>
      </c>
      <c r="CD3998">
        <v>85000</v>
      </c>
      <c r="CE3998" s="1">
        <v>42552</v>
      </c>
      <c r="CF3998" s="1">
        <v>42552</v>
      </c>
      <c r="CG3998" s="1">
        <v>42552</v>
      </c>
      <c r="CH3998" s="1">
        <v>49714</v>
      </c>
      <c r="CI3998" t="s">
        <v>51</v>
      </c>
      <c r="CK3998" t="s">
        <v>78</v>
      </c>
      <c r="CM3998" t="s">
        <v>54</v>
      </c>
      <c r="CN3998" t="s">
        <v>174</v>
      </c>
      <c r="CO3998" t="s">
        <v>86</v>
      </c>
      <c r="CR3998">
        <v>20</v>
      </c>
      <c r="CS3998">
        <v>0</v>
      </c>
      <c r="CT3998">
        <v>0</v>
      </c>
      <c r="CU3998">
        <v>0</v>
      </c>
    </row>
    <row r="3999" spans="1:99" x14ac:dyDescent="0.2">
      <c r="A3999" t="s">
        <v>367</v>
      </c>
      <c r="B3999" t="s">
        <v>368</v>
      </c>
      <c r="C3999" t="s">
        <v>369</v>
      </c>
      <c r="D3999" t="s">
        <v>1531</v>
      </c>
      <c r="F3999" t="str">
        <f>"212381"</f>
        <v>212381</v>
      </c>
      <c r="G3999" t="s">
        <v>49</v>
      </c>
      <c r="H3999" t="s">
        <v>1945</v>
      </c>
      <c r="K3999" t="s">
        <v>51</v>
      </c>
      <c r="L3999" t="s">
        <v>52</v>
      </c>
      <c r="M3999">
        <v>138098.04999999999</v>
      </c>
      <c r="N3999">
        <v>468550.473</v>
      </c>
      <c r="O3999" t="s">
        <v>53</v>
      </c>
      <c r="P3999" t="s">
        <v>54</v>
      </c>
      <c r="Q3999" t="s">
        <v>55</v>
      </c>
      <c r="T3999" t="s">
        <v>818</v>
      </c>
      <c r="U3999">
        <v>40</v>
      </c>
      <c r="V3999" s="1">
        <v>40339</v>
      </c>
      <c r="W3999" s="1">
        <v>40339</v>
      </c>
      <c r="X3999" s="1">
        <v>40339</v>
      </c>
      <c r="Y3999" s="1">
        <v>54949</v>
      </c>
      <c r="Z3999" t="s">
        <v>51</v>
      </c>
      <c r="AB3999" t="s">
        <v>54</v>
      </c>
      <c r="AC3999">
        <v>1</v>
      </c>
      <c r="AE3999" t="s">
        <v>825</v>
      </c>
      <c r="AF3999">
        <v>20</v>
      </c>
      <c r="AG3999" s="1">
        <v>40339</v>
      </c>
      <c r="AH3999" s="1">
        <v>40339</v>
      </c>
      <c r="AI3999" s="1">
        <v>40339</v>
      </c>
      <c r="AJ3999" s="1">
        <v>47644</v>
      </c>
      <c r="AK3999" t="s">
        <v>51</v>
      </c>
      <c r="AN3999">
        <v>0</v>
      </c>
      <c r="AO3999" t="s">
        <v>54</v>
      </c>
      <c r="AP3999" t="s">
        <v>53</v>
      </c>
      <c r="AQ3999">
        <v>0</v>
      </c>
      <c r="AR3999" t="s">
        <v>53</v>
      </c>
      <c r="AS3999">
        <v>0</v>
      </c>
      <c r="AT3999">
        <v>0</v>
      </c>
      <c r="CC3999" t="s">
        <v>555</v>
      </c>
      <c r="CD3999">
        <v>85000</v>
      </c>
      <c r="CE3999" s="1">
        <v>42552</v>
      </c>
      <c r="CF3999" s="1">
        <v>42552</v>
      </c>
      <c r="CG3999" s="1">
        <v>42552</v>
      </c>
      <c r="CH3999" s="1">
        <v>49714</v>
      </c>
      <c r="CI3999" t="s">
        <v>51</v>
      </c>
      <c r="CK3999" t="s">
        <v>78</v>
      </c>
      <c r="CM3999" t="s">
        <v>54</v>
      </c>
      <c r="CN3999" t="s">
        <v>174</v>
      </c>
      <c r="CO3999" t="s">
        <v>86</v>
      </c>
      <c r="CR3999">
        <v>20</v>
      </c>
      <c r="CS3999">
        <v>0</v>
      </c>
      <c r="CT3999">
        <v>0</v>
      </c>
      <c r="CU3999">
        <v>0</v>
      </c>
    </row>
    <row r="4000" spans="1:99" x14ac:dyDescent="0.2">
      <c r="A4000" t="s">
        <v>367</v>
      </c>
      <c r="B4000" t="s">
        <v>368</v>
      </c>
      <c r="C4000" t="s">
        <v>369</v>
      </c>
      <c r="D4000" t="s">
        <v>1531</v>
      </c>
      <c r="F4000" t="str">
        <f>"212382"</f>
        <v>212382</v>
      </c>
      <c r="G4000" t="s">
        <v>49</v>
      </c>
      <c r="H4000" t="s">
        <v>1946</v>
      </c>
      <c r="K4000" t="s">
        <v>51</v>
      </c>
      <c r="L4000" t="s">
        <v>52</v>
      </c>
      <c r="M4000">
        <v>138115.43</v>
      </c>
      <c r="N4000">
        <v>468549.10399999999</v>
      </c>
      <c r="O4000" t="s">
        <v>53</v>
      </c>
      <c r="P4000" t="s">
        <v>54</v>
      </c>
      <c r="Q4000" t="s">
        <v>55</v>
      </c>
      <c r="T4000" t="s">
        <v>818</v>
      </c>
      <c r="U4000">
        <v>40</v>
      </c>
      <c r="V4000" s="1">
        <v>40339</v>
      </c>
      <c r="W4000" s="1">
        <v>40339</v>
      </c>
      <c r="X4000" s="1">
        <v>40339</v>
      </c>
      <c r="Y4000" s="1">
        <v>54949</v>
      </c>
      <c r="Z4000" t="s">
        <v>51</v>
      </c>
      <c r="AB4000" t="s">
        <v>54</v>
      </c>
      <c r="AC4000">
        <v>1</v>
      </c>
      <c r="AE4000" t="s">
        <v>825</v>
      </c>
      <c r="AF4000">
        <v>20</v>
      </c>
      <c r="AG4000" s="1">
        <v>40339</v>
      </c>
      <c r="AH4000" s="1">
        <v>40339</v>
      </c>
      <c r="AI4000" s="1">
        <v>40339</v>
      </c>
      <c r="AJ4000" s="1">
        <v>47644</v>
      </c>
      <c r="AK4000" t="s">
        <v>51</v>
      </c>
      <c r="AN4000">
        <v>0</v>
      </c>
      <c r="AO4000" t="s">
        <v>54</v>
      </c>
      <c r="AP4000" t="s">
        <v>53</v>
      </c>
      <c r="AQ4000">
        <v>0</v>
      </c>
      <c r="AR4000" t="s">
        <v>53</v>
      </c>
      <c r="AS4000">
        <v>0</v>
      </c>
      <c r="AT4000">
        <v>0</v>
      </c>
      <c r="CC4000" t="s">
        <v>555</v>
      </c>
      <c r="CD4000">
        <v>85000</v>
      </c>
      <c r="CE4000" s="1">
        <v>42552</v>
      </c>
      <c r="CF4000" s="1">
        <v>42552</v>
      </c>
      <c r="CG4000" s="1">
        <v>42552</v>
      </c>
      <c r="CH4000" s="1">
        <v>49714</v>
      </c>
      <c r="CI4000" t="s">
        <v>51</v>
      </c>
      <c r="CK4000" t="s">
        <v>78</v>
      </c>
      <c r="CM4000" t="s">
        <v>54</v>
      </c>
      <c r="CN4000" t="s">
        <v>174</v>
      </c>
      <c r="CO4000" t="s">
        <v>86</v>
      </c>
      <c r="CR4000">
        <v>20</v>
      </c>
      <c r="CS4000">
        <v>0</v>
      </c>
      <c r="CT4000">
        <v>0</v>
      </c>
      <c r="CU4000">
        <v>0</v>
      </c>
    </row>
    <row r="4001" spans="1:99" x14ac:dyDescent="0.2">
      <c r="A4001" t="s">
        <v>367</v>
      </c>
      <c r="B4001" t="s">
        <v>368</v>
      </c>
      <c r="C4001" t="s">
        <v>369</v>
      </c>
      <c r="D4001" t="s">
        <v>1531</v>
      </c>
      <c r="F4001" t="str">
        <f>"212383"</f>
        <v>212383</v>
      </c>
      <c r="G4001" t="s">
        <v>49</v>
      </c>
      <c r="H4001" t="s">
        <v>1949</v>
      </c>
      <c r="K4001" t="s">
        <v>51</v>
      </c>
      <c r="L4001" t="s">
        <v>52</v>
      </c>
      <c r="M4001">
        <v>138130.36799999999</v>
      </c>
      <c r="N4001">
        <v>468561.89600000001</v>
      </c>
      <c r="O4001" t="s">
        <v>53</v>
      </c>
      <c r="P4001" t="s">
        <v>54</v>
      </c>
      <c r="Q4001" t="s">
        <v>55</v>
      </c>
      <c r="T4001" t="s">
        <v>818</v>
      </c>
      <c r="U4001">
        <v>40</v>
      </c>
      <c r="V4001" s="1">
        <v>40339</v>
      </c>
      <c r="W4001" s="1">
        <v>40339</v>
      </c>
      <c r="X4001" s="1">
        <v>40339</v>
      </c>
      <c r="Y4001" s="1">
        <v>54949</v>
      </c>
      <c r="Z4001" t="s">
        <v>51</v>
      </c>
      <c r="AB4001" t="s">
        <v>54</v>
      </c>
      <c r="AC4001">
        <v>1</v>
      </c>
      <c r="AE4001" t="s">
        <v>825</v>
      </c>
      <c r="AF4001">
        <v>20</v>
      </c>
      <c r="AG4001" s="1">
        <v>40339</v>
      </c>
      <c r="AH4001" s="1">
        <v>40339</v>
      </c>
      <c r="AI4001" s="1">
        <v>40339</v>
      </c>
      <c r="AJ4001" s="1">
        <v>47644</v>
      </c>
      <c r="AK4001" t="s">
        <v>51</v>
      </c>
      <c r="AN4001">
        <v>0</v>
      </c>
      <c r="AO4001" t="s">
        <v>54</v>
      </c>
      <c r="AP4001" t="s">
        <v>53</v>
      </c>
      <c r="AQ4001">
        <v>0</v>
      </c>
      <c r="AR4001" t="s">
        <v>53</v>
      </c>
      <c r="AS4001">
        <v>0</v>
      </c>
      <c r="AT4001">
        <v>0</v>
      </c>
      <c r="CC4001" t="s">
        <v>555</v>
      </c>
      <c r="CD4001">
        <v>85000</v>
      </c>
      <c r="CE4001" s="1">
        <v>42552</v>
      </c>
      <c r="CF4001" s="1">
        <v>42552</v>
      </c>
      <c r="CG4001" s="1">
        <v>42552</v>
      </c>
      <c r="CH4001" s="1">
        <v>49714</v>
      </c>
      <c r="CI4001" t="s">
        <v>51</v>
      </c>
      <c r="CK4001" t="s">
        <v>78</v>
      </c>
      <c r="CM4001" t="s">
        <v>54</v>
      </c>
      <c r="CN4001" t="s">
        <v>174</v>
      </c>
      <c r="CO4001" t="s">
        <v>86</v>
      </c>
      <c r="CR4001">
        <v>20</v>
      </c>
      <c r="CS4001">
        <v>0</v>
      </c>
      <c r="CT4001">
        <v>0</v>
      </c>
      <c r="CU4001">
        <v>0</v>
      </c>
    </row>
    <row r="4002" spans="1:99" x14ac:dyDescent="0.2">
      <c r="A4002" t="s">
        <v>367</v>
      </c>
      <c r="B4002" t="s">
        <v>368</v>
      </c>
      <c r="C4002" t="s">
        <v>369</v>
      </c>
      <c r="D4002" t="s">
        <v>1531</v>
      </c>
      <c r="F4002" t="str">
        <f>"212384"</f>
        <v>212384</v>
      </c>
      <c r="G4002" t="s">
        <v>49</v>
      </c>
      <c r="H4002" t="s">
        <v>1950</v>
      </c>
      <c r="K4002" t="s">
        <v>51</v>
      </c>
      <c r="L4002" t="s">
        <v>52</v>
      </c>
      <c r="M4002">
        <v>138149.34700000001</v>
      </c>
      <c r="N4002">
        <v>468561.59399999998</v>
      </c>
      <c r="O4002" t="s">
        <v>53</v>
      </c>
      <c r="P4002" t="s">
        <v>54</v>
      </c>
      <c r="Q4002" t="s">
        <v>55</v>
      </c>
      <c r="T4002" t="s">
        <v>818</v>
      </c>
      <c r="U4002">
        <v>40</v>
      </c>
      <c r="V4002" s="1">
        <v>40339</v>
      </c>
      <c r="W4002" s="1">
        <v>40339</v>
      </c>
      <c r="X4002" s="1">
        <v>40339</v>
      </c>
      <c r="Y4002" s="1">
        <v>54949</v>
      </c>
      <c r="Z4002" t="s">
        <v>51</v>
      </c>
      <c r="AB4002" t="s">
        <v>54</v>
      </c>
      <c r="AC4002">
        <v>1</v>
      </c>
      <c r="AE4002" t="s">
        <v>825</v>
      </c>
      <c r="AF4002">
        <v>20</v>
      </c>
      <c r="AG4002" s="1">
        <v>40339</v>
      </c>
      <c r="AH4002" s="1">
        <v>40339</v>
      </c>
      <c r="AI4002" s="1">
        <v>40339</v>
      </c>
      <c r="AJ4002" s="1">
        <v>47644</v>
      </c>
      <c r="AK4002" t="s">
        <v>51</v>
      </c>
      <c r="AN4002">
        <v>0</v>
      </c>
      <c r="AO4002" t="s">
        <v>54</v>
      </c>
      <c r="AP4002" t="s">
        <v>53</v>
      </c>
      <c r="AQ4002">
        <v>0</v>
      </c>
      <c r="AR4002" t="s">
        <v>53</v>
      </c>
      <c r="AS4002">
        <v>0</v>
      </c>
      <c r="AT4002">
        <v>0</v>
      </c>
      <c r="CC4002" t="s">
        <v>555</v>
      </c>
      <c r="CD4002">
        <v>85000</v>
      </c>
      <c r="CE4002" s="1">
        <v>42552</v>
      </c>
      <c r="CF4002" s="1">
        <v>42552</v>
      </c>
      <c r="CG4002" s="1">
        <v>42552</v>
      </c>
      <c r="CH4002" s="1">
        <v>49714</v>
      </c>
      <c r="CI4002" t="s">
        <v>51</v>
      </c>
      <c r="CK4002" t="s">
        <v>78</v>
      </c>
      <c r="CM4002" t="s">
        <v>54</v>
      </c>
      <c r="CN4002" t="s">
        <v>174</v>
      </c>
      <c r="CO4002" t="s">
        <v>86</v>
      </c>
      <c r="CR4002">
        <v>20</v>
      </c>
      <c r="CS4002">
        <v>0</v>
      </c>
      <c r="CT4002">
        <v>0</v>
      </c>
      <c r="CU4002">
        <v>0</v>
      </c>
    </row>
    <row r="4003" spans="1:99" x14ac:dyDescent="0.2">
      <c r="A4003" t="s">
        <v>367</v>
      </c>
      <c r="B4003" t="s">
        <v>368</v>
      </c>
      <c r="C4003" t="s">
        <v>369</v>
      </c>
      <c r="D4003" t="s">
        <v>1497</v>
      </c>
      <c r="F4003" t="str">
        <f>"217483"</f>
        <v>217483</v>
      </c>
      <c r="G4003" t="s">
        <v>49</v>
      </c>
      <c r="H4003" t="s">
        <v>1951</v>
      </c>
      <c r="K4003" t="s">
        <v>51</v>
      </c>
      <c r="L4003" t="s">
        <v>52</v>
      </c>
      <c r="M4003">
        <v>137937.18100000001</v>
      </c>
      <c r="N4003">
        <v>468000.201</v>
      </c>
      <c r="O4003" t="s">
        <v>53</v>
      </c>
      <c r="P4003" t="s">
        <v>54</v>
      </c>
      <c r="Q4003" t="s">
        <v>55</v>
      </c>
      <c r="T4003" t="s">
        <v>1894</v>
      </c>
      <c r="U4003">
        <v>40</v>
      </c>
      <c r="V4003" s="1">
        <v>40861</v>
      </c>
      <c r="W4003" s="1">
        <v>40861</v>
      </c>
      <c r="X4003" s="1">
        <v>40861</v>
      </c>
      <c r="Y4003" s="1">
        <v>55471</v>
      </c>
      <c r="Z4003" t="s">
        <v>51</v>
      </c>
      <c r="AB4003" t="s">
        <v>54</v>
      </c>
      <c r="AC4003">
        <v>1</v>
      </c>
      <c r="AE4003" t="s">
        <v>1952</v>
      </c>
      <c r="AF4003">
        <v>20</v>
      </c>
      <c r="AG4003" s="1">
        <v>40861</v>
      </c>
      <c r="AH4003" s="1">
        <v>40861</v>
      </c>
      <c r="AI4003" s="1">
        <v>40861</v>
      </c>
      <c r="AJ4003" s="1">
        <v>48166</v>
      </c>
      <c r="AK4003" t="s">
        <v>51</v>
      </c>
      <c r="AN4003">
        <v>0</v>
      </c>
      <c r="AO4003" t="s">
        <v>54</v>
      </c>
      <c r="AP4003" t="s">
        <v>53</v>
      </c>
      <c r="AQ4003">
        <v>0</v>
      </c>
      <c r="AR4003" t="s">
        <v>53</v>
      </c>
      <c r="AS4003">
        <v>0</v>
      </c>
      <c r="AT4003">
        <v>0</v>
      </c>
      <c r="CC4003" t="s">
        <v>432</v>
      </c>
      <c r="CD4003">
        <v>85000</v>
      </c>
      <c r="CE4003" s="1">
        <v>42552</v>
      </c>
      <c r="CF4003" s="1">
        <v>42552</v>
      </c>
      <c r="CG4003" s="1">
        <v>42552</v>
      </c>
      <c r="CH4003" s="1">
        <v>49714</v>
      </c>
      <c r="CI4003" t="s">
        <v>51</v>
      </c>
      <c r="CK4003" t="s">
        <v>78</v>
      </c>
      <c r="CM4003" t="s">
        <v>54</v>
      </c>
      <c r="CN4003" t="s">
        <v>174</v>
      </c>
      <c r="CO4003" t="s">
        <v>86</v>
      </c>
      <c r="CR4003">
        <v>24</v>
      </c>
      <c r="CS4003">
        <v>0</v>
      </c>
      <c r="CT4003">
        <v>0</v>
      </c>
      <c r="CU4003">
        <v>0</v>
      </c>
    </row>
    <row r="4004" spans="1:99" x14ac:dyDescent="0.2">
      <c r="A4004" t="s">
        <v>367</v>
      </c>
      <c r="B4004" t="s">
        <v>368</v>
      </c>
      <c r="C4004" t="s">
        <v>369</v>
      </c>
      <c r="D4004" t="s">
        <v>1497</v>
      </c>
      <c r="F4004" t="str">
        <f>"217484"</f>
        <v>217484</v>
      </c>
      <c r="G4004" t="s">
        <v>49</v>
      </c>
      <c r="H4004" t="s">
        <v>1953</v>
      </c>
      <c r="K4004" t="s">
        <v>51</v>
      </c>
      <c r="L4004" t="s">
        <v>52</v>
      </c>
      <c r="M4004">
        <v>137949.28</v>
      </c>
      <c r="N4004">
        <v>468000.52</v>
      </c>
      <c r="O4004" t="s">
        <v>53</v>
      </c>
      <c r="P4004" t="s">
        <v>54</v>
      </c>
      <c r="Q4004" t="s">
        <v>55</v>
      </c>
      <c r="T4004" t="s">
        <v>1894</v>
      </c>
      <c r="U4004">
        <v>40</v>
      </c>
      <c r="V4004" s="1">
        <v>40861</v>
      </c>
      <c r="W4004" s="1">
        <v>40861</v>
      </c>
      <c r="X4004" s="1">
        <v>40861</v>
      </c>
      <c r="Y4004" s="1">
        <v>55471</v>
      </c>
      <c r="Z4004" t="s">
        <v>51</v>
      </c>
      <c r="AB4004" t="s">
        <v>54</v>
      </c>
      <c r="AC4004">
        <v>1</v>
      </c>
      <c r="AE4004" t="s">
        <v>1952</v>
      </c>
      <c r="AF4004">
        <v>20</v>
      </c>
      <c r="AG4004" s="1">
        <v>40861</v>
      </c>
      <c r="AH4004" s="1">
        <v>40861</v>
      </c>
      <c r="AI4004" s="1">
        <v>40861</v>
      </c>
      <c r="AJ4004" s="1">
        <v>48166</v>
      </c>
      <c r="AK4004" t="s">
        <v>51</v>
      </c>
      <c r="AN4004">
        <v>0</v>
      </c>
      <c r="AO4004" t="s">
        <v>54</v>
      </c>
      <c r="AP4004" t="s">
        <v>53</v>
      </c>
      <c r="AQ4004">
        <v>0</v>
      </c>
      <c r="AR4004" t="s">
        <v>53</v>
      </c>
      <c r="AS4004">
        <v>0</v>
      </c>
      <c r="AT4004">
        <v>0</v>
      </c>
      <c r="CC4004" t="s">
        <v>432</v>
      </c>
      <c r="CD4004">
        <v>85000</v>
      </c>
      <c r="CE4004" s="1">
        <v>42552</v>
      </c>
      <c r="CF4004" s="1">
        <v>42552</v>
      </c>
      <c r="CG4004" s="1">
        <v>42552</v>
      </c>
      <c r="CH4004" s="1">
        <v>49714</v>
      </c>
      <c r="CI4004" t="s">
        <v>51</v>
      </c>
      <c r="CK4004" t="s">
        <v>78</v>
      </c>
      <c r="CM4004" t="s">
        <v>54</v>
      </c>
      <c r="CN4004" t="s">
        <v>174</v>
      </c>
      <c r="CO4004" t="s">
        <v>86</v>
      </c>
      <c r="CR4004">
        <v>24</v>
      </c>
      <c r="CS4004">
        <v>0</v>
      </c>
      <c r="CT4004">
        <v>0</v>
      </c>
      <c r="CU4004">
        <v>0</v>
      </c>
    </row>
    <row r="4005" spans="1:99" x14ac:dyDescent="0.2">
      <c r="A4005" t="s">
        <v>367</v>
      </c>
      <c r="B4005" t="s">
        <v>368</v>
      </c>
      <c r="C4005" t="s">
        <v>369</v>
      </c>
      <c r="D4005" t="s">
        <v>1497</v>
      </c>
      <c r="F4005" t="str">
        <f>"217485"</f>
        <v>217485</v>
      </c>
      <c r="G4005" t="s">
        <v>49</v>
      </c>
      <c r="H4005" t="s">
        <v>1954</v>
      </c>
      <c r="K4005" t="s">
        <v>51</v>
      </c>
      <c r="L4005" t="s">
        <v>52</v>
      </c>
      <c r="M4005">
        <v>137962.26999999999</v>
      </c>
      <c r="N4005">
        <v>467999.19</v>
      </c>
      <c r="O4005" t="s">
        <v>53</v>
      </c>
      <c r="P4005" t="s">
        <v>54</v>
      </c>
      <c r="Q4005" t="s">
        <v>55</v>
      </c>
      <c r="T4005" t="s">
        <v>1894</v>
      </c>
      <c r="U4005">
        <v>40</v>
      </c>
      <c r="V4005" s="1">
        <v>40861</v>
      </c>
      <c r="W4005" s="1">
        <v>40861</v>
      </c>
      <c r="X4005" s="1">
        <v>40861</v>
      </c>
      <c r="Y4005" s="1">
        <v>55471</v>
      </c>
      <c r="Z4005" t="s">
        <v>51</v>
      </c>
      <c r="AB4005" t="s">
        <v>54</v>
      </c>
      <c r="AC4005">
        <v>1</v>
      </c>
      <c r="AE4005" t="s">
        <v>1952</v>
      </c>
      <c r="AF4005">
        <v>20</v>
      </c>
      <c r="AG4005" s="1">
        <v>40861</v>
      </c>
      <c r="AH4005" s="1">
        <v>40861</v>
      </c>
      <c r="AI4005" s="1">
        <v>40861</v>
      </c>
      <c r="AJ4005" s="1">
        <v>48166</v>
      </c>
      <c r="AK4005" t="s">
        <v>51</v>
      </c>
      <c r="AN4005">
        <v>0</v>
      </c>
      <c r="AO4005" t="s">
        <v>54</v>
      </c>
      <c r="AP4005" t="s">
        <v>53</v>
      </c>
      <c r="AQ4005">
        <v>0</v>
      </c>
      <c r="AR4005" t="s">
        <v>53</v>
      </c>
      <c r="AS4005">
        <v>0</v>
      </c>
      <c r="AT4005">
        <v>0</v>
      </c>
      <c r="CC4005" t="s">
        <v>432</v>
      </c>
      <c r="CD4005">
        <v>85000</v>
      </c>
      <c r="CE4005" s="1">
        <v>42552</v>
      </c>
      <c r="CF4005" s="1">
        <v>42552</v>
      </c>
      <c r="CG4005" s="1">
        <v>42552</v>
      </c>
      <c r="CH4005" s="1">
        <v>49714</v>
      </c>
      <c r="CI4005" t="s">
        <v>51</v>
      </c>
      <c r="CK4005" t="s">
        <v>78</v>
      </c>
      <c r="CM4005" t="s">
        <v>54</v>
      </c>
      <c r="CN4005" t="s">
        <v>174</v>
      </c>
      <c r="CO4005" t="s">
        <v>86</v>
      </c>
      <c r="CR4005">
        <v>24</v>
      </c>
      <c r="CS4005">
        <v>0</v>
      </c>
      <c r="CT4005">
        <v>0</v>
      </c>
      <c r="CU4005">
        <v>0</v>
      </c>
    </row>
    <row r="4006" spans="1:99" x14ac:dyDescent="0.2">
      <c r="A4006" t="s">
        <v>367</v>
      </c>
      <c r="B4006" t="s">
        <v>368</v>
      </c>
      <c r="C4006" t="s">
        <v>369</v>
      </c>
      <c r="D4006" t="s">
        <v>1497</v>
      </c>
      <c r="F4006" t="str">
        <f>"217486"</f>
        <v>217486</v>
      </c>
      <c r="G4006" t="s">
        <v>49</v>
      </c>
      <c r="H4006" t="s">
        <v>1489</v>
      </c>
      <c r="K4006" t="s">
        <v>51</v>
      </c>
      <c r="L4006" t="s">
        <v>52</v>
      </c>
      <c r="M4006">
        <v>137985.533</v>
      </c>
      <c r="N4006">
        <v>467995.68900000001</v>
      </c>
      <c r="O4006" t="s">
        <v>53</v>
      </c>
      <c r="P4006" t="s">
        <v>54</v>
      </c>
      <c r="Q4006" t="s">
        <v>55</v>
      </c>
      <c r="T4006" t="s">
        <v>1894</v>
      </c>
      <c r="U4006">
        <v>40</v>
      </c>
      <c r="V4006" s="1">
        <v>44225</v>
      </c>
      <c r="W4006" s="1">
        <v>44225</v>
      </c>
      <c r="X4006" s="1">
        <v>44225</v>
      </c>
      <c r="Y4006" s="1">
        <v>58835</v>
      </c>
      <c r="Z4006" t="s">
        <v>51</v>
      </c>
      <c r="AB4006" t="s">
        <v>54</v>
      </c>
      <c r="AC4006">
        <v>1</v>
      </c>
      <c r="AE4006" t="s">
        <v>1952</v>
      </c>
      <c r="AF4006">
        <v>20</v>
      </c>
      <c r="AG4006" s="1">
        <v>40861</v>
      </c>
      <c r="AH4006" s="1">
        <v>40861</v>
      </c>
      <c r="AI4006" s="1">
        <v>44225</v>
      </c>
      <c r="AJ4006" s="1">
        <v>48166</v>
      </c>
      <c r="AK4006" t="s">
        <v>51</v>
      </c>
      <c r="AN4006">
        <v>0</v>
      </c>
      <c r="AO4006" t="s">
        <v>54</v>
      </c>
      <c r="AP4006" t="s">
        <v>53</v>
      </c>
      <c r="AQ4006">
        <v>0</v>
      </c>
      <c r="AR4006" t="s">
        <v>53</v>
      </c>
      <c r="AS4006">
        <v>0</v>
      </c>
      <c r="AT4006">
        <v>0</v>
      </c>
      <c r="CC4006" t="s">
        <v>432</v>
      </c>
      <c r="CD4006">
        <v>85000</v>
      </c>
      <c r="CE4006" s="1">
        <v>44551</v>
      </c>
      <c r="CF4006" s="1">
        <v>44551</v>
      </c>
      <c r="CG4006" s="1">
        <v>44551</v>
      </c>
      <c r="CH4006" s="1">
        <v>51759</v>
      </c>
      <c r="CI4006" t="s">
        <v>51</v>
      </c>
      <c r="CK4006" t="s">
        <v>78</v>
      </c>
      <c r="CM4006" t="s">
        <v>54</v>
      </c>
      <c r="CN4006" t="s">
        <v>174</v>
      </c>
      <c r="CO4006" t="s">
        <v>86</v>
      </c>
      <c r="CR4006">
        <v>24</v>
      </c>
      <c r="CS4006">
        <v>0</v>
      </c>
      <c r="CT4006">
        <v>0</v>
      </c>
      <c r="CU4006">
        <v>0</v>
      </c>
    </row>
    <row r="4007" spans="1:99" x14ac:dyDescent="0.2">
      <c r="A4007" t="s">
        <v>367</v>
      </c>
      <c r="B4007" t="s">
        <v>368</v>
      </c>
      <c r="C4007" t="s">
        <v>369</v>
      </c>
      <c r="D4007" t="s">
        <v>1497</v>
      </c>
      <c r="F4007" t="str">
        <f>"217487"</f>
        <v>217487</v>
      </c>
      <c r="G4007" t="s">
        <v>49</v>
      </c>
      <c r="H4007" t="s">
        <v>1955</v>
      </c>
      <c r="K4007" t="s">
        <v>51</v>
      </c>
      <c r="L4007" t="s">
        <v>52</v>
      </c>
      <c r="M4007">
        <v>137997.307</v>
      </c>
      <c r="N4007">
        <v>467993.22700000001</v>
      </c>
      <c r="O4007" t="s">
        <v>53</v>
      </c>
      <c r="P4007" t="s">
        <v>54</v>
      </c>
      <c r="Q4007" t="s">
        <v>55</v>
      </c>
      <c r="T4007" t="s">
        <v>1894</v>
      </c>
      <c r="U4007">
        <v>40</v>
      </c>
      <c r="V4007" s="1">
        <v>40861</v>
      </c>
      <c r="W4007" s="1">
        <v>40861</v>
      </c>
      <c r="X4007" s="1">
        <v>40861</v>
      </c>
      <c r="Y4007" s="1">
        <v>55471</v>
      </c>
      <c r="Z4007" t="s">
        <v>51</v>
      </c>
      <c r="AB4007" t="s">
        <v>54</v>
      </c>
      <c r="AC4007">
        <v>1</v>
      </c>
      <c r="AE4007" t="s">
        <v>1952</v>
      </c>
      <c r="AF4007">
        <v>20</v>
      </c>
      <c r="AG4007" s="1">
        <v>40861</v>
      </c>
      <c r="AH4007" s="1">
        <v>40861</v>
      </c>
      <c r="AI4007" s="1">
        <v>40861</v>
      </c>
      <c r="AJ4007" s="1">
        <v>48166</v>
      </c>
      <c r="AK4007" t="s">
        <v>51</v>
      </c>
      <c r="AN4007">
        <v>0</v>
      </c>
      <c r="AO4007" t="s">
        <v>54</v>
      </c>
      <c r="AP4007" t="s">
        <v>53</v>
      </c>
      <c r="AQ4007">
        <v>0</v>
      </c>
      <c r="AR4007" t="s">
        <v>53</v>
      </c>
      <c r="AS4007">
        <v>0</v>
      </c>
      <c r="AT4007">
        <v>0</v>
      </c>
      <c r="CC4007" t="s">
        <v>432</v>
      </c>
      <c r="CD4007">
        <v>85000</v>
      </c>
      <c r="CE4007" s="1">
        <v>44551</v>
      </c>
      <c r="CF4007" s="1">
        <v>44551</v>
      </c>
      <c r="CG4007" s="1">
        <v>44551</v>
      </c>
      <c r="CH4007" s="1">
        <v>51759</v>
      </c>
      <c r="CI4007" t="s">
        <v>51</v>
      </c>
      <c r="CK4007" t="s">
        <v>78</v>
      </c>
      <c r="CM4007" t="s">
        <v>54</v>
      </c>
      <c r="CN4007" t="s">
        <v>174</v>
      </c>
      <c r="CO4007" t="s">
        <v>86</v>
      </c>
      <c r="CR4007">
        <v>24</v>
      </c>
      <c r="CS4007">
        <v>0</v>
      </c>
      <c r="CT4007">
        <v>0</v>
      </c>
      <c r="CU4007">
        <v>0</v>
      </c>
    </row>
    <row r="4008" spans="1:99" x14ac:dyDescent="0.2">
      <c r="A4008" t="s">
        <v>367</v>
      </c>
      <c r="B4008" t="s">
        <v>368</v>
      </c>
      <c r="C4008" t="s">
        <v>369</v>
      </c>
      <c r="D4008" t="s">
        <v>1497</v>
      </c>
      <c r="F4008" t="str">
        <f>"217488"</f>
        <v>217488</v>
      </c>
      <c r="G4008" t="s">
        <v>49</v>
      </c>
      <c r="H4008" t="s">
        <v>1955</v>
      </c>
      <c r="K4008" t="s">
        <v>51</v>
      </c>
      <c r="L4008" t="s">
        <v>52</v>
      </c>
      <c r="M4008">
        <v>138011.73000000001</v>
      </c>
      <c r="N4008">
        <v>467991.92</v>
      </c>
      <c r="O4008" t="s">
        <v>53</v>
      </c>
      <c r="P4008" t="s">
        <v>54</v>
      </c>
      <c r="Q4008" t="s">
        <v>55</v>
      </c>
      <c r="T4008" t="s">
        <v>1894</v>
      </c>
      <c r="U4008">
        <v>40</v>
      </c>
      <c r="V4008" s="1">
        <v>40861</v>
      </c>
      <c r="W4008" s="1">
        <v>40861</v>
      </c>
      <c r="X4008" s="1">
        <v>40861</v>
      </c>
      <c r="Y4008" s="1">
        <v>55471</v>
      </c>
      <c r="Z4008" t="s">
        <v>51</v>
      </c>
      <c r="AB4008" t="s">
        <v>54</v>
      </c>
      <c r="AC4008">
        <v>1</v>
      </c>
      <c r="AE4008" t="s">
        <v>1952</v>
      </c>
      <c r="AF4008">
        <v>20</v>
      </c>
      <c r="AG4008" s="1">
        <v>40861</v>
      </c>
      <c r="AH4008" s="1">
        <v>40861</v>
      </c>
      <c r="AI4008" s="1">
        <v>40861</v>
      </c>
      <c r="AJ4008" s="1">
        <v>48166</v>
      </c>
      <c r="AK4008" t="s">
        <v>51</v>
      </c>
      <c r="AN4008">
        <v>0</v>
      </c>
      <c r="AO4008" t="s">
        <v>54</v>
      </c>
      <c r="AP4008" t="s">
        <v>53</v>
      </c>
      <c r="AQ4008">
        <v>0</v>
      </c>
      <c r="AR4008" t="s">
        <v>53</v>
      </c>
      <c r="AS4008">
        <v>0</v>
      </c>
      <c r="AT4008">
        <v>0</v>
      </c>
      <c r="CC4008" t="s">
        <v>432</v>
      </c>
      <c r="CD4008">
        <v>85000</v>
      </c>
      <c r="CE4008" s="1">
        <v>43164</v>
      </c>
      <c r="CF4008" s="1">
        <v>43164</v>
      </c>
      <c r="CG4008" s="1">
        <v>43164</v>
      </c>
      <c r="CH4008" s="1">
        <v>50376</v>
      </c>
      <c r="CI4008" t="s">
        <v>51</v>
      </c>
      <c r="CK4008" t="s">
        <v>78</v>
      </c>
      <c r="CM4008" t="s">
        <v>54</v>
      </c>
      <c r="CN4008" t="s">
        <v>174</v>
      </c>
      <c r="CO4008" t="s">
        <v>86</v>
      </c>
      <c r="CR4008">
        <v>24</v>
      </c>
      <c r="CS4008">
        <v>0</v>
      </c>
      <c r="CT4008">
        <v>0</v>
      </c>
      <c r="CU4008">
        <v>0</v>
      </c>
    </row>
    <row r="4009" spans="1:99" x14ac:dyDescent="0.2">
      <c r="A4009" t="s">
        <v>367</v>
      </c>
      <c r="B4009" t="s">
        <v>368</v>
      </c>
      <c r="C4009" t="s">
        <v>369</v>
      </c>
      <c r="D4009" t="s">
        <v>1497</v>
      </c>
      <c r="F4009" t="str">
        <f>"217489"</f>
        <v>217489</v>
      </c>
      <c r="G4009" t="s">
        <v>49</v>
      </c>
      <c r="H4009" t="s">
        <v>1956</v>
      </c>
      <c r="K4009" t="s">
        <v>51</v>
      </c>
      <c r="L4009" t="s">
        <v>52</v>
      </c>
      <c r="M4009">
        <v>138028.39000000001</v>
      </c>
      <c r="N4009">
        <v>467992.77</v>
      </c>
      <c r="O4009" t="s">
        <v>53</v>
      </c>
      <c r="P4009" t="s">
        <v>54</v>
      </c>
      <c r="Q4009" t="s">
        <v>55</v>
      </c>
      <c r="T4009" t="s">
        <v>1894</v>
      </c>
      <c r="U4009">
        <v>40</v>
      </c>
      <c r="V4009" s="1">
        <v>40861</v>
      </c>
      <c r="W4009" s="1">
        <v>40861</v>
      </c>
      <c r="X4009" s="1">
        <v>40861</v>
      </c>
      <c r="Y4009" s="1">
        <v>55471</v>
      </c>
      <c r="Z4009" t="s">
        <v>51</v>
      </c>
      <c r="AB4009" t="s">
        <v>54</v>
      </c>
      <c r="AC4009">
        <v>1</v>
      </c>
      <c r="AE4009" t="s">
        <v>1952</v>
      </c>
      <c r="AF4009">
        <v>20</v>
      </c>
      <c r="AG4009" s="1">
        <v>40861</v>
      </c>
      <c r="AH4009" s="1">
        <v>40861</v>
      </c>
      <c r="AI4009" s="1">
        <v>40861</v>
      </c>
      <c r="AJ4009" s="1">
        <v>48166</v>
      </c>
      <c r="AK4009" t="s">
        <v>51</v>
      </c>
      <c r="AN4009">
        <v>0</v>
      </c>
      <c r="AO4009" t="s">
        <v>54</v>
      </c>
      <c r="AP4009" t="s">
        <v>53</v>
      </c>
      <c r="AQ4009">
        <v>0</v>
      </c>
      <c r="AR4009" t="s">
        <v>53</v>
      </c>
      <c r="AS4009">
        <v>0</v>
      </c>
      <c r="AT4009">
        <v>0</v>
      </c>
      <c r="CC4009" t="s">
        <v>432</v>
      </c>
      <c r="CD4009">
        <v>85000</v>
      </c>
      <c r="CE4009" s="1">
        <v>42552</v>
      </c>
      <c r="CF4009" s="1">
        <v>42552</v>
      </c>
      <c r="CG4009" s="1">
        <v>42552</v>
      </c>
      <c r="CH4009" s="1">
        <v>49714</v>
      </c>
      <c r="CI4009" t="s">
        <v>51</v>
      </c>
      <c r="CK4009" t="s">
        <v>78</v>
      </c>
      <c r="CM4009" t="s">
        <v>54</v>
      </c>
      <c r="CN4009" t="s">
        <v>174</v>
      </c>
      <c r="CO4009" t="s">
        <v>86</v>
      </c>
      <c r="CR4009">
        <v>24</v>
      </c>
      <c r="CS4009">
        <v>0</v>
      </c>
      <c r="CT4009">
        <v>0</v>
      </c>
      <c r="CU4009">
        <v>0</v>
      </c>
    </row>
    <row r="4010" spans="1:99" x14ac:dyDescent="0.2">
      <c r="A4010" t="s">
        <v>367</v>
      </c>
      <c r="B4010" t="s">
        <v>368</v>
      </c>
      <c r="C4010" t="s">
        <v>369</v>
      </c>
      <c r="D4010" t="s">
        <v>1497</v>
      </c>
      <c r="F4010" t="str">
        <f>"217490"</f>
        <v>217490</v>
      </c>
      <c r="G4010" t="s">
        <v>49</v>
      </c>
      <c r="H4010" t="s">
        <v>1583</v>
      </c>
      <c r="K4010" t="s">
        <v>51</v>
      </c>
      <c r="L4010" t="s">
        <v>52</v>
      </c>
      <c r="M4010">
        <v>138045.95800000001</v>
      </c>
      <c r="N4010">
        <v>467990.07799999998</v>
      </c>
      <c r="O4010" t="s">
        <v>53</v>
      </c>
      <c r="P4010" t="s">
        <v>54</v>
      </c>
      <c r="Q4010" t="s">
        <v>55</v>
      </c>
      <c r="T4010" t="s">
        <v>1894</v>
      </c>
      <c r="U4010">
        <v>40</v>
      </c>
      <c r="V4010" s="1">
        <v>40861</v>
      </c>
      <c r="W4010" s="1">
        <v>40861</v>
      </c>
      <c r="X4010" s="1">
        <v>40861</v>
      </c>
      <c r="Y4010" s="1">
        <v>55471</v>
      </c>
      <c r="Z4010" t="s">
        <v>51</v>
      </c>
      <c r="AB4010" t="s">
        <v>54</v>
      </c>
      <c r="AC4010">
        <v>1</v>
      </c>
      <c r="AE4010" t="s">
        <v>1952</v>
      </c>
      <c r="AF4010">
        <v>20</v>
      </c>
      <c r="AG4010" s="1">
        <v>40861</v>
      </c>
      <c r="AH4010" s="1">
        <v>40861</v>
      </c>
      <c r="AI4010" s="1">
        <v>40861</v>
      </c>
      <c r="AJ4010" s="1">
        <v>48166</v>
      </c>
      <c r="AK4010" t="s">
        <v>51</v>
      </c>
      <c r="AN4010">
        <v>0</v>
      </c>
      <c r="AO4010" t="s">
        <v>54</v>
      </c>
      <c r="AP4010" t="s">
        <v>53</v>
      </c>
      <c r="AQ4010">
        <v>0</v>
      </c>
      <c r="AR4010" t="s">
        <v>53</v>
      </c>
      <c r="AS4010">
        <v>0</v>
      </c>
      <c r="AT4010">
        <v>0</v>
      </c>
      <c r="CC4010" t="s">
        <v>432</v>
      </c>
      <c r="CD4010">
        <v>85000</v>
      </c>
      <c r="CE4010" s="1">
        <v>42552</v>
      </c>
      <c r="CF4010" s="1">
        <v>42552</v>
      </c>
      <c r="CG4010" s="1">
        <v>42552</v>
      </c>
      <c r="CH4010" s="1">
        <v>49714</v>
      </c>
      <c r="CI4010" t="s">
        <v>51</v>
      </c>
      <c r="CK4010" t="s">
        <v>78</v>
      </c>
      <c r="CM4010" t="s">
        <v>54</v>
      </c>
      <c r="CN4010" t="s">
        <v>174</v>
      </c>
      <c r="CO4010" t="s">
        <v>86</v>
      </c>
      <c r="CR4010">
        <v>24</v>
      </c>
      <c r="CS4010">
        <v>0</v>
      </c>
      <c r="CT4010">
        <v>0</v>
      </c>
      <c r="CU4010">
        <v>0</v>
      </c>
    </row>
    <row r="4011" spans="1:99" x14ac:dyDescent="0.2">
      <c r="A4011" t="s">
        <v>367</v>
      </c>
      <c r="B4011" t="s">
        <v>368</v>
      </c>
      <c r="C4011" t="s">
        <v>369</v>
      </c>
      <c r="D4011" t="s">
        <v>1497</v>
      </c>
      <c r="F4011" t="str">
        <f>"217491"</f>
        <v>217491</v>
      </c>
      <c r="G4011" t="s">
        <v>49</v>
      </c>
      <c r="H4011" t="s">
        <v>1957</v>
      </c>
      <c r="K4011" t="s">
        <v>51</v>
      </c>
      <c r="L4011" t="s">
        <v>52</v>
      </c>
      <c r="M4011">
        <v>138060.48000000001</v>
      </c>
      <c r="N4011">
        <v>467989.951</v>
      </c>
      <c r="O4011" t="s">
        <v>53</v>
      </c>
      <c r="P4011" t="s">
        <v>54</v>
      </c>
      <c r="Q4011" t="s">
        <v>55</v>
      </c>
      <c r="T4011" t="s">
        <v>1894</v>
      </c>
      <c r="U4011">
        <v>40</v>
      </c>
      <c r="V4011" s="1">
        <v>40861</v>
      </c>
      <c r="W4011" s="1">
        <v>40861</v>
      </c>
      <c r="X4011" s="1">
        <v>40861</v>
      </c>
      <c r="Y4011" s="1">
        <v>55471</v>
      </c>
      <c r="Z4011" t="s">
        <v>51</v>
      </c>
      <c r="AB4011" t="s">
        <v>54</v>
      </c>
      <c r="AC4011">
        <v>1</v>
      </c>
      <c r="AE4011" t="s">
        <v>1952</v>
      </c>
      <c r="AF4011">
        <v>20</v>
      </c>
      <c r="AG4011" s="1">
        <v>40861</v>
      </c>
      <c r="AH4011" s="1">
        <v>40861</v>
      </c>
      <c r="AI4011" s="1">
        <v>40861</v>
      </c>
      <c r="AJ4011" s="1">
        <v>48166</v>
      </c>
      <c r="AK4011" t="s">
        <v>51</v>
      </c>
      <c r="AN4011">
        <v>0</v>
      </c>
      <c r="AO4011" t="s">
        <v>54</v>
      </c>
      <c r="AP4011" t="s">
        <v>53</v>
      </c>
      <c r="AQ4011">
        <v>0</v>
      </c>
      <c r="AR4011" t="s">
        <v>53</v>
      </c>
      <c r="AS4011">
        <v>0</v>
      </c>
      <c r="AT4011">
        <v>0</v>
      </c>
      <c r="CC4011" t="s">
        <v>432</v>
      </c>
      <c r="CD4011">
        <v>85000</v>
      </c>
      <c r="CE4011" s="1">
        <v>43160</v>
      </c>
      <c r="CF4011" s="1">
        <v>43160</v>
      </c>
      <c r="CG4011" s="1">
        <v>43160</v>
      </c>
      <c r="CH4011" s="1">
        <v>50373</v>
      </c>
      <c r="CI4011" t="s">
        <v>51</v>
      </c>
      <c r="CK4011" t="s">
        <v>78</v>
      </c>
      <c r="CM4011" t="s">
        <v>54</v>
      </c>
      <c r="CN4011" t="s">
        <v>174</v>
      </c>
      <c r="CO4011" t="s">
        <v>86</v>
      </c>
      <c r="CR4011">
        <v>24</v>
      </c>
      <c r="CS4011">
        <v>0</v>
      </c>
      <c r="CT4011">
        <v>0</v>
      </c>
      <c r="CU4011">
        <v>0</v>
      </c>
    </row>
    <row r="4012" spans="1:99" x14ac:dyDescent="0.2">
      <c r="A4012" t="s">
        <v>367</v>
      </c>
      <c r="B4012" t="s">
        <v>368</v>
      </c>
      <c r="C4012" t="s">
        <v>369</v>
      </c>
      <c r="D4012" t="s">
        <v>1497</v>
      </c>
      <c r="F4012" t="str">
        <f>"217492"</f>
        <v>217492</v>
      </c>
      <c r="G4012" t="s">
        <v>49</v>
      </c>
      <c r="H4012" t="s">
        <v>1958</v>
      </c>
      <c r="K4012" t="s">
        <v>51</v>
      </c>
      <c r="L4012" t="s">
        <v>52</v>
      </c>
      <c r="M4012">
        <v>138078.291</v>
      </c>
      <c r="N4012">
        <v>467985.84399999998</v>
      </c>
      <c r="O4012" t="s">
        <v>53</v>
      </c>
      <c r="P4012" t="s">
        <v>54</v>
      </c>
      <c r="Q4012" t="s">
        <v>55</v>
      </c>
      <c r="T4012" t="s">
        <v>1894</v>
      </c>
      <c r="U4012">
        <v>40</v>
      </c>
      <c r="V4012" s="1">
        <v>40861</v>
      </c>
      <c r="W4012" s="1">
        <v>40861</v>
      </c>
      <c r="X4012" s="1">
        <v>40861</v>
      </c>
      <c r="Y4012" s="1">
        <v>55471</v>
      </c>
      <c r="Z4012" t="s">
        <v>51</v>
      </c>
      <c r="AB4012" t="s">
        <v>54</v>
      </c>
      <c r="AC4012">
        <v>1</v>
      </c>
      <c r="AE4012" t="s">
        <v>1952</v>
      </c>
      <c r="AF4012">
        <v>20</v>
      </c>
      <c r="AG4012" s="1">
        <v>40861</v>
      </c>
      <c r="AH4012" s="1">
        <v>40861</v>
      </c>
      <c r="AI4012" s="1">
        <v>40861</v>
      </c>
      <c r="AJ4012" s="1">
        <v>48166</v>
      </c>
      <c r="AK4012" t="s">
        <v>51</v>
      </c>
      <c r="AN4012">
        <v>0</v>
      </c>
      <c r="AO4012" t="s">
        <v>54</v>
      </c>
      <c r="AP4012" t="s">
        <v>53</v>
      </c>
      <c r="AQ4012">
        <v>0</v>
      </c>
      <c r="AR4012" t="s">
        <v>53</v>
      </c>
      <c r="AS4012">
        <v>0</v>
      </c>
      <c r="AT4012">
        <v>0</v>
      </c>
      <c r="CC4012" t="s">
        <v>432</v>
      </c>
      <c r="CD4012">
        <v>85000</v>
      </c>
      <c r="CE4012" s="1">
        <v>42552</v>
      </c>
      <c r="CF4012" s="1">
        <v>42552</v>
      </c>
      <c r="CG4012" s="1">
        <v>42552</v>
      </c>
      <c r="CH4012" s="1">
        <v>49714</v>
      </c>
      <c r="CI4012" t="s">
        <v>51</v>
      </c>
      <c r="CK4012" t="s">
        <v>78</v>
      </c>
      <c r="CM4012" t="s">
        <v>54</v>
      </c>
      <c r="CN4012" t="s">
        <v>174</v>
      </c>
      <c r="CO4012" t="s">
        <v>86</v>
      </c>
      <c r="CR4012">
        <v>24</v>
      </c>
      <c r="CS4012">
        <v>0</v>
      </c>
      <c r="CT4012">
        <v>0</v>
      </c>
      <c r="CU4012">
        <v>0</v>
      </c>
    </row>
    <row r="4013" spans="1:99" x14ac:dyDescent="0.2">
      <c r="A4013" t="s">
        <v>367</v>
      </c>
      <c r="B4013" t="s">
        <v>368</v>
      </c>
      <c r="C4013" t="s">
        <v>369</v>
      </c>
      <c r="D4013" t="s">
        <v>1497</v>
      </c>
      <c r="F4013" t="str">
        <f>"217493"</f>
        <v>217493</v>
      </c>
      <c r="G4013" t="s">
        <v>49</v>
      </c>
      <c r="H4013" t="s">
        <v>1959</v>
      </c>
      <c r="K4013" t="s">
        <v>51</v>
      </c>
      <c r="L4013" t="s">
        <v>52</v>
      </c>
      <c r="M4013">
        <v>138088.88699999999</v>
      </c>
      <c r="N4013">
        <v>467987.538</v>
      </c>
      <c r="O4013" t="s">
        <v>53</v>
      </c>
      <c r="P4013" t="s">
        <v>54</v>
      </c>
      <c r="Q4013" t="s">
        <v>55</v>
      </c>
      <c r="T4013" t="s">
        <v>1894</v>
      </c>
      <c r="U4013">
        <v>40</v>
      </c>
      <c r="V4013" s="1">
        <v>40861</v>
      </c>
      <c r="W4013" s="1">
        <v>40861</v>
      </c>
      <c r="X4013" s="1">
        <v>40861</v>
      </c>
      <c r="Y4013" s="1">
        <v>55471</v>
      </c>
      <c r="Z4013" t="s">
        <v>51</v>
      </c>
      <c r="AB4013" t="s">
        <v>54</v>
      </c>
      <c r="AC4013">
        <v>1</v>
      </c>
      <c r="AE4013" t="s">
        <v>1952</v>
      </c>
      <c r="AF4013">
        <v>20</v>
      </c>
      <c r="AG4013" s="1">
        <v>40861</v>
      </c>
      <c r="AH4013" s="1">
        <v>40861</v>
      </c>
      <c r="AI4013" s="1">
        <v>40861</v>
      </c>
      <c r="AJ4013" s="1">
        <v>48166</v>
      </c>
      <c r="AK4013" t="s">
        <v>51</v>
      </c>
      <c r="AN4013">
        <v>0</v>
      </c>
      <c r="AO4013" t="s">
        <v>54</v>
      </c>
      <c r="AP4013" t="s">
        <v>53</v>
      </c>
      <c r="AQ4013">
        <v>0</v>
      </c>
      <c r="AR4013" t="s">
        <v>53</v>
      </c>
      <c r="AS4013">
        <v>0</v>
      </c>
      <c r="AT4013">
        <v>0</v>
      </c>
      <c r="CC4013" t="s">
        <v>432</v>
      </c>
      <c r="CD4013">
        <v>85000</v>
      </c>
      <c r="CE4013" s="1">
        <v>42552</v>
      </c>
      <c r="CF4013" s="1">
        <v>42552</v>
      </c>
      <c r="CG4013" s="1">
        <v>42552</v>
      </c>
      <c r="CH4013" s="1">
        <v>49714</v>
      </c>
      <c r="CI4013" t="s">
        <v>51</v>
      </c>
      <c r="CK4013" t="s">
        <v>78</v>
      </c>
      <c r="CM4013" t="s">
        <v>54</v>
      </c>
      <c r="CN4013" t="s">
        <v>174</v>
      </c>
      <c r="CO4013" t="s">
        <v>86</v>
      </c>
      <c r="CR4013">
        <v>24</v>
      </c>
      <c r="CS4013">
        <v>0</v>
      </c>
      <c r="CT4013">
        <v>0</v>
      </c>
      <c r="CU4013">
        <v>0</v>
      </c>
    </row>
    <row r="4014" spans="1:99" x14ac:dyDescent="0.2">
      <c r="A4014" t="s">
        <v>367</v>
      </c>
      <c r="B4014" t="s">
        <v>368</v>
      </c>
      <c r="C4014" t="s">
        <v>369</v>
      </c>
      <c r="D4014" t="s">
        <v>1497</v>
      </c>
      <c r="F4014" t="str">
        <f>"217494"</f>
        <v>217494</v>
      </c>
      <c r="G4014" t="s">
        <v>49</v>
      </c>
      <c r="H4014" t="s">
        <v>1959</v>
      </c>
      <c r="K4014" t="s">
        <v>51</v>
      </c>
      <c r="L4014" t="s">
        <v>52</v>
      </c>
      <c r="M4014">
        <v>138099.44099999999</v>
      </c>
      <c r="N4014">
        <v>467986.85700000002</v>
      </c>
      <c r="O4014" t="s">
        <v>53</v>
      </c>
      <c r="P4014" t="s">
        <v>54</v>
      </c>
      <c r="Q4014" t="s">
        <v>55</v>
      </c>
      <c r="T4014" t="s">
        <v>1894</v>
      </c>
      <c r="U4014">
        <v>40</v>
      </c>
      <c r="V4014" s="1">
        <v>40861</v>
      </c>
      <c r="W4014" s="1">
        <v>40861</v>
      </c>
      <c r="X4014" s="1">
        <v>40861</v>
      </c>
      <c r="Y4014" s="1">
        <v>55471</v>
      </c>
      <c r="Z4014" t="s">
        <v>51</v>
      </c>
      <c r="AB4014" t="s">
        <v>54</v>
      </c>
      <c r="AC4014">
        <v>1</v>
      </c>
      <c r="AE4014" t="s">
        <v>1952</v>
      </c>
      <c r="AF4014">
        <v>20</v>
      </c>
      <c r="AG4014" s="1">
        <v>40861</v>
      </c>
      <c r="AH4014" s="1">
        <v>40861</v>
      </c>
      <c r="AI4014" s="1">
        <v>40861</v>
      </c>
      <c r="AJ4014" s="1">
        <v>48166</v>
      </c>
      <c r="AK4014" t="s">
        <v>51</v>
      </c>
      <c r="AN4014">
        <v>0</v>
      </c>
      <c r="AO4014" t="s">
        <v>54</v>
      </c>
      <c r="AP4014" t="s">
        <v>53</v>
      </c>
      <c r="AQ4014">
        <v>0</v>
      </c>
      <c r="AR4014" t="s">
        <v>53</v>
      </c>
      <c r="AS4014">
        <v>0</v>
      </c>
      <c r="AT4014">
        <v>0</v>
      </c>
      <c r="CC4014" t="s">
        <v>432</v>
      </c>
      <c r="CD4014">
        <v>85000</v>
      </c>
      <c r="CE4014" s="1">
        <v>42552</v>
      </c>
      <c r="CF4014" s="1">
        <v>42552</v>
      </c>
      <c r="CG4014" s="1">
        <v>42552</v>
      </c>
      <c r="CH4014" s="1">
        <v>49714</v>
      </c>
      <c r="CI4014" t="s">
        <v>51</v>
      </c>
      <c r="CK4014" t="s">
        <v>78</v>
      </c>
      <c r="CM4014" t="s">
        <v>54</v>
      </c>
      <c r="CN4014" t="s">
        <v>174</v>
      </c>
      <c r="CO4014" t="s">
        <v>86</v>
      </c>
      <c r="CR4014">
        <v>24</v>
      </c>
      <c r="CS4014">
        <v>0</v>
      </c>
      <c r="CT4014">
        <v>0</v>
      </c>
      <c r="CU4014">
        <v>0</v>
      </c>
    </row>
    <row r="4015" spans="1:99" x14ac:dyDescent="0.2">
      <c r="A4015" t="s">
        <v>367</v>
      </c>
      <c r="B4015" t="s">
        <v>368</v>
      </c>
      <c r="C4015" t="s">
        <v>369</v>
      </c>
      <c r="D4015" t="s">
        <v>1497</v>
      </c>
      <c r="F4015" t="str">
        <f>"217495"</f>
        <v>217495</v>
      </c>
      <c r="G4015" t="s">
        <v>49</v>
      </c>
      <c r="H4015" t="s">
        <v>1960</v>
      </c>
      <c r="K4015" t="s">
        <v>51</v>
      </c>
      <c r="L4015" t="s">
        <v>52</v>
      </c>
      <c r="M4015">
        <v>138115.71299999999</v>
      </c>
      <c r="N4015">
        <v>467981.99099999998</v>
      </c>
      <c r="O4015" t="s">
        <v>53</v>
      </c>
      <c r="P4015" t="s">
        <v>54</v>
      </c>
      <c r="Q4015" t="s">
        <v>55</v>
      </c>
      <c r="T4015" t="s">
        <v>1894</v>
      </c>
      <c r="U4015">
        <v>40</v>
      </c>
      <c r="V4015" s="1">
        <v>40861</v>
      </c>
      <c r="W4015" s="1">
        <v>40861</v>
      </c>
      <c r="X4015" s="1">
        <v>40861</v>
      </c>
      <c r="Y4015" s="1">
        <v>55471</v>
      </c>
      <c r="Z4015" t="s">
        <v>51</v>
      </c>
      <c r="AB4015" t="s">
        <v>54</v>
      </c>
      <c r="AC4015">
        <v>1</v>
      </c>
      <c r="AE4015" t="s">
        <v>1952</v>
      </c>
      <c r="AF4015">
        <v>20</v>
      </c>
      <c r="AG4015" s="1">
        <v>40861</v>
      </c>
      <c r="AH4015" s="1">
        <v>40861</v>
      </c>
      <c r="AI4015" s="1">
        <v>40861</v>
      </c>
      <c r="AJ4015" s="1">
        <v>48166</v>
      </c>
      <c r="AK4015" t="s">
        <v>51</v>
      </c>
      <c r="AN4015">
        <v>0</v>
      </c>
      <c r="AO4015" t="s">
        <v>54</v>
      </c>
      <c r="AP4015" t="s">
        <v>53</v>
      </c>
      <c r="AQ4015">
        <v>0</v>
      </c>
      <c r="AR4015" t="s">
        <v>53</v>
      </c>
      <c r="AS4015">
        <v>0</v>
      </c>
      <c r="AT4015">
        <v>0</v>
      </c>
      <c r="CC4015" t="s">
        <v>432</v>
      </c>
      <c r="CD4015">
        <v>85000</v>
      </c>
      <c r="CE4015" s="1">
        <v>42552</v>
      </c>
      <c r="CF4015" s="1">
        <v>42552</v>
      </c>
      <c r="CG4015" s="1">
        <v>42552</v>
      </c>
      <c r="CH4015" s="1">
        <v>49714</v>
      </c>
      <c r="CI4015" t="s">
        <v>51</v>
      </c>
      <c r="CK4015" t="s">
        <v>78</v>
      </c>
      <c r="CM4015" t="s">
        <v>54</v>
      </c>
      <c r="CN4015" t="s">
        <v>174</v>
      </c>
      <c r="CO4015" t="s">
        <v>86</v>
      </c>
      <c r="CR4015">
        <v>24</v>
      </c>
      <c r="CS4015">
        <v>0</v>
      </c>
      <c r="CT4015">
        <v>0</v>
      </c>
      <c r="CU4015">
        <v>0</v>
      </c>
    </row>
    <row r="4016" spans="1:99" x14ac:dyDescent="0.2">
      <c r="A4016" t="s">
        <v>367</v>
      </c>
      <c r="B4016" t="s">
        <v>368</v>
      </c>
      <c r="C4016" t="s">
        <v>369</v>
      </c>
      <c r="D4016" t="s">
        <v>1497</v>
      </c>
      <c r="F4016" t="str">
        <f>"217496"</f>
        <v>217496</v>
      </c>
      <c r="G4016" t="s">
        <v>49</v>
      </c>
      <c r="H4016" t="s">
        <v>1961</v>
      </c>
      <c r="K4016" t="s">
        <v>51</v>
      </c>
      <c r="L4016" t="s">
        <v>52</v>
      </c>
      <c r="M4016">
        <v>138129.47</v>
      </c>
      <c r="N4016">
        <v>467980.6</v>
      </c>
      <c r="O4016" t="s">
        <v>53</v>
      </c>
      <c r="P4016" t="s">
        <v>54</v>
      </c>
      <c r="Q4016" t="s">
        <v>55</v>
      </c>
      <c r="T4016" t="s">
        <v>1894</v>
      </c>
      <c r="U4016">
        <v>40</v>
      </c>
      <c r="V4016" s="1">
        <v>40861</v>
      </c>
      <c r="W4016" s="1">
        <v>40861</v>
      </c>
      <c r="X4016" s="1">
        <v>40861</v>
      </c>
      <c r="Y4016" s="1">
        <v>55471</v>
      </c>
      <c r="Z4016" t="s">
        <v>51</v>
      </c>
      <c r="AB4016" t="s">
        <v>54</v>
      </c>
      <c r="AC4016">
        <v>1</v>
      </c>
      <c r="AE4016" t="s">
        <v>1952</v>
      </c>
      <c r="AF4016">
        <v>20</v>
      </c>
      <c r="AG4016" s="1">
        <v>40861</v>
      </c>
      <c r="AH4016" s="1">
        <v>40861</v>
      </c>
      <c r="AI4016" s="1">
        <v>40861</v>
      </c>
      <c r="AJ4016" s="1">
        <v>48166</v>
      </c>
      <c r="AK4016" t="s">
        <v>51</v>
      </c>
      <c r="AN4016">
        <v>0</v>
      </c>
      <c r="AO4016" t="s">
        <v>54</v>
      </c>
      <c r="AP4016" t="s">
        <v>53</v>
      </c>
      <c r="AQ4016">
        <v>0</v>
      </c>
      <c r="AR4016" t="s">
        <v>53</v>
      </c>
      <c r="AS4016">
        <v>0</v>
      </c>
      <c r="AT4016">
        <v>0</v>
      </c>
      <c r="CC4016" t="s">
        <v>432</v>
      </c>
      <c r="CD4016">
        <v>85000</v>
      </c>
      <c r="CE4016" s="1">
        <v>42552</v>
      </c>
      <c r="CF4016" s="1">
        <v>42552</v>
      </c>
      <c r="CG4016" s="1">
        <v>42552</v>
      </c>
      <c r="CH4016" s="1">
        <v>49714</v>
      </c>
      <c r="CI4016" t="s">
        <v>51</v>
      </c>
      <c r="CK4016" t="s">
        <v>78</v>
      </c>
      <c r="CM4016" t="s">
        <v>54</v>
      </c>
      <c r="CN4016" t="s">
        <v>174</v>
      </c>
      <c r="CO4016" t="s">
        <v>86</v>
      </c>
      <c r="CR4016">
        <v>24</v>
      </c>
      <c r="CS4016">
        <v>0</v>
      </c>
      <c r="CT4016">
        <v>0</v>
      </c>
      <c r="CU4016">
        <v>0</v>
      </c>
    </row>
    <row r="4017" spans="1:99" x14ac:dyDescent="0.2">
      <c r="A4017" t="s">
        <v>367</v>
      </c>
      <c r="B4017" t="s">
        <v>368</v>
      </c>
      <c r="C4017" t="s">
        <v>369</v>
      </c>
      <c r="D4017" t="s">
        <v>1497</v>
      </c>
      <c r="F4017" t="str">
        <f>"217497"</f>
        <v>217497</v>
      </c>
      <c r="G4017" t="s">
        <v>49</v>
      </c>
      <c r="H4017" t="s">
        <v>1487</v>
      </c>
      <c r="K4017" t="s">
        <v>51</v>
      </c>
      <c r="L4017" t="s">
        <v>52</v>
      </c>
      <c r="M4017">
        <v>138137.70000000001</v>
      </c>
      <c r="N4017">
        <v>467969.55</v>
      </c>
      <c r="O4017" t="s">
        <v>53</v>
      </c>
      <c r="P4017" t="s">
        <v>54</v>
      </c>
      <c r="Q4017" t="s">
        <v>55</v>
      </c>
      <c r="T4017" t="s">
        <v>1894</v>
      </c>
      <c r="U4017">
        <v>40</v>
      </c>
      <c r="V4017" s="1">
        <v>40861</v>
      </c>
      <c r="W4017" s="1">
        <v>40861</v>
      </c>
      <c r="X4017" s="1">
        <v>40861</v>
      </c>
      <c r="Y4017" s="1">
        <v>55471</v>
      </c>
      <c r="Z4017" t="s">
        <v>51</v>
      </c>
      <c r="AB4017" t="s">
        <v>54</v>
      </c>
      <c r="AC4017">
        <v>1</v>
      </c>
      <c r="AE4017" t="s">
        <v>1952</v>
      </c>
      <c r="AF4017">
        <v>20</v>
      </c>
      <c r="AG4017" s="1">
        <v>40861</v>
      </c>
      <c r="AH4017" s="1">
        <v>40861</v>
      </c>
      <c r="AI4017" s="1">
        <v>40861</v>
      </c>
      <c r="AJ4017" s="1">
        <v>48166</v>
      </c>
      <c r="AK4017" t="s">
        <v>51</v>
      </c>
      <c r="AN4017">
        <v>0</v>
      </c>
      <c r="AO4017" t="s">
        <v>54</v>
      </c>
      <c r="AP4017" t="s">
        <v>53</v>
      </c>
      <c r="AQ4017">
        <v>0</v>
      </c>
      <c r="AR4017" t="s">
        <v>53</v>
      </c>
      <c r="AS4017">
        <v>0</v>
      </c>
      <c r="AT4017">
        <v>0</v>
      </c>
      <c r="CC4017" t="s">
        <v>432</v>
      </c>
      <c r="CD4017">
        <v>85000</v>
      </c>
      <c r="CE4017" s="1">
        <v>42552</v>
      </c>
      <c r="CF4017" s="1">
        <v>42552</v>
      </c>
      <c r="CG4017" s="1">
        <v>42552</v>
      </c>
      <c r="CH4017" s="1">
        <v>49714</v>
      </c>
      <c r="CI4017" t="s">
        <v>51</v>
      </c>
      <c r="CK4017" t="s">
        <v>78</v>
      </c>
      <c r="CM4017" t="s">
        <v>54</v>
      </c>
      <c r="CN4017" t="s">
        <v>174</v>
      </c>
      <c r="CO4017" t="s">
        <v>86</v>
      </c>
      <c r="CR4017">
        <v>24</v>
      </c>
      <c r="CS4017">
        <v>0</v>
      </c>
      <c r="CT4017">
        <v>0</v>
      </c>
      <c r="CU4017">
        <v>0</v>
      </c>
    </row>
    <row r="4018" spans="1:99" x14ac:dyDescent="0.2">
      <c r="A4018" t="s">
        <v>367</v>
      </c>
      <c r="B4018" t="s">
        <v>368</v>
      </c>
      <c r="C4018" t="s">
        <v>369</v>
      </c>
      <c r="D4018" t="s">
        <v>1497</v>
      </c>
      <c r="F4018" t="str">
        <f>"217498"</f>
        <v>217498</v>
      </c>
      <c r="G4018" t="s">
        <v>49</v>
      </c>
      <c r="H4018" t="s">
        <v>1962</v>
      </c>
      <c r="K4018" t="s">
        <v>51</v>
      </c>
      <c r="L4018" t="s">
        <v>52</v>
      </c>
      <c r="M4018">
        <v>138148.10399999999</v>
      </c>
      <c r="N4018">
        <v>467978.65899999999</v>
      </c>
      <c r="O4018" t="s">
        <v>53</v>
      </c>
      <c r="P4018" t="s">
        <v>54</v>
      </c>
      <c r="Q4018" t="s">
        <v>55</v>
      </c>
      <c r="T4018" t="s">
        <v>1894</v>
      </c>
      <c r="U4018">
        <v>40</v>
      </c>
      <c r="V4018" s="1">
        <v>40861</v>
      </c>
      <c r="W4018" s="1">
        <v>40861</v>
      </c>
      <c r="X4018" s="1">
        <v>40861</v>
      </c>
      <c r="Y4018" s="1">
        <v>55471</v>
      </c>
      <c r="Z4018" t="s">
        <v>51</v>
      </c>
      <c r="AB4018" t="s">
        <v>54</v>
      </c>
      <c r="AC4018">
        <v>1</v>
      </c>
      <c r="AE4018" t="s">
        <v>1952</v>
      </c>
      <c r="AF4018">
        <v>20</v>
      </c>
      <c r="AG4018" s="1">
        <v>40861</v>
      </c>
      <c r="AH4018" s="1">
        <v>40861</v>
      </c>
      <c r="AI4018" s="1">
        <v>40861</v>
      </c>
      <c r="AJ4018" s="1">
        <v>48166</v>
      </c>
      <c r="AK4018" t="s">
        <v>51</v>
      </c>
      <c r="AN4018">
        <v>0</v>
      </c>
      <c r="AO4018" t="s">
        <v>54</v>
      </c>
      <c r="AP4018" t="s">
        <v>53</v>
      </c>
      <c r="AQ4018">
        <v>0</v>
      </c>
      <c r="AR4018" t="s">
        <v>53</v>
      </c>
      <c r="AS4018">
        <v>0</v>
      </c>
      <c r="AT4018">
        <v>0</v>
      </c>
      <c r="CC4018" t="s">
        <v>432</v>
      </c>
      <c r="CD4018">
        <v>85000</v>
      </c>
      <c r="CE4018" s="1">
        <v>42552</v>
      </c>
      <c r="CF4018" s="1">
        <v>42552</v>
      </c>
      <c r="CG4018" s="1">
        <v>42552</v>
      </c>
      <c r="CH4018" s="1">
        <v>49714</v>
      </c>
      <c r="CI4018" t="s">
        <v>51</v>
      </c>
      <c r="CK4018" t="s">
        <v>78</v>
      </c>
      <c r="CM4018" t="s">
        <v>54</v>
      </c>
      <c r="CN4018" t="s">
        <v>174</v>
      </c>
      <c r="CO4018" t="s">
        <v>86</v>
      </c>
      <c r="CR4018">
        <v>24</v>
      </c>
      <c r="CS4018">
        <v>0</v>
      </c>
      <c r="CT4018">
        <v>0</v>
      </c>
      <c r="CU4018">
        <v>0</v>
      </c>
    </row>
    <row r="4019" spans="1:99" x14ac:dyDescent="0.2">
      <c r="A4019" t="s">
        <v>367</v>
      </c>
      <c r="B4019" t="s">
        <v>368</v>
      </c>
      <c r="C4019" t="s">
        <v>369</v>
      </c>
      <c r="D4019" t="s">
        <v>1497</v>
      </c>
      <c r="F4019" t="str">
        <f>"217499"</f>
        <v>217499</v>
      </c>
      <c r="G4019" t="s">
        <v>49</v>
      </c>
      <c r="H4019" t="s">
        <v>1963</v>
      </c>
      <c r="K4019" t="s">
        <v>51</v>
      </c>
      <c r="L4019" t="s">
        <v>52</v>
      </c>
      <c r="M4019">
        <v>138464.76999999999</v>
      </c>
      <c r="N4019">
        <v>467946.04499999998</v>
      </c>
      <c r="O4019" t="s">
        <v>53</v>
      </c>
      <c r="P4019" t="s">
        <v>54</v>
      </c>
      <c r="Q4019" t="s">
        <v>55</v>
      </c>
      <c r="T4019" t="s">
        <v>968</v>
      </c>
      <c r="U4019">
        <v>40</v>
      </c>
      <c r="V4019" s="1">
        <v>40861</v>
      </c>
      <c r="W4019" s="1">
        <v>40861</v>
      </c>
      <c r="X4019" s="1">
        <v>40861</v>
      </c>
      <c r="Y4019" s="1">
        <v>55471</v>
      </c>
      <c r="Z4019" t="s">
        <v>51</v>
      </c>
      <c r="AB4019" t="s">
        <v>54</v>
      </c>
      <c r="AC4019">
        <v>1</v>
      </c>
      <c r="AE4019" t="s">
        <v>222</v>
      </c>
      <c r="AF4019">
        <v>20</v>
      </c>
      <c r="AG4019" s="1">
        <v>40861</v>
      </c>
      <c r="AH4019" s="1">
        <v>40861</v>
      </c>
      <c r="AI4019" s="1">
        <v>40861</v>
      </c>
      <c r="AJ4019" s="1">
        <v>48166</v>
      </c>
      <c r="AK4019" t="s">
        <v>51</v>
      </c>
      <c r="AN4019">
        <v>0</v>
      </c>
      <c r="AO4019" t="s">
        <v>54</v>
      </c>
      <c r="AP4019" t="s">
        <v>53</v>
      </c>
      <c r="AQ4019">
        <v>0</v>
      </c>
      <c r="AR4019" t="s">
        <v>53</v>
      </c>
      <c r="AS4019">
        <v>0</v>
      </c>
      <c r="AT4019">
        <v>0</v>
      </c>
      <c r="CC4019" t="s">
        <v>432</v>
      </c>
      <c r="CD4019">
        <v>85000</v>
      </c>
      <c r="CE4019" s="1">
        <v>42552</v>
      </c>
      <c r="CF4019" s="1">
        <v>42552</v>
      </c>
      <c r="CG4019" s="1">
        <v>42552</v>
      </c>
      <c r="CH4019" s="1">
        <v>49714</v>
      </c>
      <c r="CI4019" t="s">
        <v>51</v>
      </c>
      <c r="CK4019" t="s">
        <v>78</v>
      </c>
      <c r="CM4019" t="s">
        <v>54</v>
      </c>
      <c r="CN4019" t="s">
        <v>174</v>
      </c>
      <c r="CO4019" t="s">
        <v>86</v>
      </c>
      <c r="CR4019">
        <v>24</v>
      </c>
      <c r="CS4019">
        <v>0</v>
      </c>
      <c r="CT4019">
        <v>0</v>
      </c>
      <c r="CU4019">
        <v>0</v>
      </c>
    </row>
    <row r="4020" spans="1:99" x14ac:dyDescent="0.2">
      <c r="A4020" t="s">
        <v>367</v>
      </c>
      <c r="B4020" t="s">
        <v>368</v>
      </c>
      <c r="C4020" t="s">
        <v>369</v>
      </c>
      <c r="D4020" t="s">
        <v>1497</v>
      </c>
      <c r="F4020" t="str">
        <f>"217551"</f>
        <v>217551</v>
      </c>
      <c r="G4020" t="s">
        <v>49</v>
      </c>
      <c r="H4020" t="s">
        <v>986</v>
      </c>
      <c r="K4020" t="s">
        <v>51</v>
      </c>
      <c r="L4020" t="s">
        <v>52</v>
      </c>
      <c r="M4020">
        <v>137733.66899999999</v>
      </c>
      <c r="N4020">
        <v>468012.20699999999</v>
      </c>
      <c r="O4020" t="s">
        <v>53</v>
      </c>
      <c r="P4020" t="s">
        <v>54</v>
      </c>
      <c r="Q4020" t="s">
        <v>55</v>
      </c>
      <c r="T4020" t="s">
        <v>968</v>
      </c>
      <c r="U4020">
        <v>40</v>
      </c>
      <c r="V4020" s="1">
        <v>40861</v>
      </c>
      <c r="W4020" s="1">
        <v>40861</v>
      </c>
      <c r="X4020" s="1">
        <v>40861</v>
      </c>
      <c r="Y4020" s="1">
        <v>55471</v>
      </c>
      <c r="Z4020" t="s">
        <v>51</v>
      </c>
      <c r="AB4020" t="s">
        <v>54</v>
      </c>
      <c r="AC4020">
        <v>1</v>
      </c>
      <c r="AE4020" t="s">
        <v>222</v>
      </c>
      <c r="AF4020">
        <v>20</v>
      </c>
      <c r="AG4020" s="1">
        <v>40861</v>
      </c>
      <c r="AH4020" s="1">
        <v>40861</v>
      </c>
      <c r="AI4020" s="1">
        <v>40861</v>
      </c>
      <c r="AJ4020" s="1">
        <v>48166</v>
      </c>
      <c r="AK4020" t="s">
        <v>51</v>
      </c>
      <c r="AN4020">
        <v>0</v>
      </c>
      <c r="AO4020" t="s">
        <v>54</v>
      </c>
      <c r="AP4020" t="s">
        <v>53</v>
      </c>
      <c r="AQ4020">
        <v>0</v>
      </c>
      <c r="AR4020" t="s">
        <v>53</v>
      </c>
      <c r="AS4020">
        <v>0</v>
      </c>
      <c r="AT4020">
        <v>0</v>
      </c>
      <c r="CC4020" t="s">
        <v>432</v>
      </c>
      <c r="CD4020">
        <v>85000</v>
      </c>
      <c r="CE4020" s="1">
        <v>42552</v>
      </c>
      <c r="CF4020" s="1">
        <v>42552</v>
      </c>
      <c r="CG4020" s="1">
        <v>42552</v>
      </c>
      <c r="CH4020" s="1">
        <v>49714</v>
      </c>
      <c r="CI4020" t="s">
        <v>51</v>
      </c>
      <c r="CK4020" t="s">
        <v>78</v>
      </c>
      <c r="CM4020" t="s">
        <v>54</v>
      </c>
      <c r="CN4020" t="s">
        <v>174</v>
      </c>
      <c r="CO4020" t="s">
        <v>86</v>
      </c>
      <c r="CR4020">
        <v>24</v>
      </c>
      <c r="CS4020">
        <v>0</v>
      </c>
      <c r="CT4020">
        <v>0</v>
      </c>
      <c r="CU4020">
        <v>0</v>
      </c>
    </row>
    <row r="4021" spans="1:99" x14ac:dyDescent="0.2">
      <c r="A4021" t="s">
        <v>367</v>
      </c>
      <c r="B4021" t="s">
        <v>368</v>
      </c>
      <c r="C4021" t="s">
        <v>369</v>
      </c>
      <c r="D4021" t="s">
        <v>1497</v>
      </c>
      <c r="F4021" t="str">
        <f>"217552"</f>
        <v>217552</v>
      </c>
      <c r="G4021" t="s">
        <v>49</v>
      </c>
      <c r="H4021" t="s">
        <v>393</v>
      </c>
      <c r="K4021" t="s">
        <v>51</v>
      </c>
      <c r="L4021" t="s">
        <v>52</v>
      </c>
      <c r="M4021">
        <v>137761.17000000001</v>
      </c>
      <c r="N4021">
        <v>468020.85</v>
      </c>
      <c r="O4021" t="s">
        <v>53</v>
      </c>
      <c r="P4021" t="s">
        <v>54</v>
      </c>
      <c r="Q4021" t="s">
        <v>55</v>
      </c>
      <c r="T4021" t="s">
        <v>968</v>
      </c>
      <c r="U4021">
        <v>40</v>
      </c>
      <c r="V4021" s="1">
        <v>40861</v>
      </c>
      <c r="W4021" s="1">
        <v>40861</v>
      </c>
      <c r="X4021" s="1">
        <v>40861</v>
      </c>
      <c r="Y4021" s="1">
        <v>55471</v>
      </c>
      <c r="Z4021" t="s">
        <v>51</v>
      </c>
      <c r="AB4021" t="s">
        <v>54</v>
      </c>
      <c r="AC4021">
        <v>1</v>
      </c>
      <c r="AE4021" t="s">
        <v>222</v>
      </c>
      <c r="AF4021">
        <v>20</v>
      </c>
      <c r="AG4021" s="1">
        <v>40861</v>
      </c>
      <c r="AH4021" s="1">
        <v>40861</v>
      </c>
      <c r="AI4021" s="1">
        <v>40861</v>
      </c>
      <c r="AJ4021" s="1">
        <v>48166</v>
      </c>
      <c r="AK4021" t="s">
        <v>51</v>
      </c>
      <c r="AN4021">
        <v>0</v>
      </c>
      <c r="AO4021" t="s">
        <v>54</v>
      </c>
      <c r="AP4021" t="s">
        <v>53</v>
      </c>
      <c r="AQ4021">
        <v>0</v>
      </c>
      <c r="AR4021" t="s">
        <v>53</v>
      </c>
      <c r="AS4021">
        <v>0</v>
      </c>
      <c r="AT4021">
        <v>0</v>
      </c>
      <c r="CC4021" t="s">
        <v>432</v>
      </c>
      <c r="CD4021">
        <v>85000</v>
      </c>
      <c r="CE4021" s="1">
        <v>42552</v>
      </c>
      <c r="CF4021" s="1">
        <v>42552</v>
      </c>
      <c r="CG4021" s="1">
        <v>42552</v>
      </c>
      <c r="CH4021" s="1">
        <v>49714</v>
      </c>
      <c r="CI4021" t="s">
        <v>51</v>
      </c>
      <c r="CK4021" t="s">
        <v>78</v>
      </c>
      <c r="CM4021" t="s">
        <v>54</v>
      </c>
      <c r="CN4021" t="s">
        <v>174</v>
      </c>
      <c r="CO4021" t="s">
        <v>86</v>
      </c>
      <c r="CR4021">
        <v>24</v>
      </c>
      <c r="CS4021">
        <v>0</v>
      </c>
      <c r="CT4021">
        <v>0</v>
      </c>
      <c r="CU4021">
        <v>0</v>
      </c>
    </row>
    <row r="4022" spans="1:99" x14ac:dyDescent="0.2">
      <c r="A4022" t="s">
        <v>367</v>
      </c>
      <c r="B4022" t="s">
        <v>368</v>
      </c>
      <c r="C4022" t="s">
        <v>369</v>
      </c>
      <c r="D4022" t="s">
        <v>1497</v>
      </c>
      <c r="F4022" t="str">
        <f>"217553"</f>
        <v>217553</v>
      </c>
      <c r="G4022" t="s">
        <v>49</v>
      </c>
      <c r="H4022" t="s">
        <v>1964</v>
      </c>
      <c r="K4022" t="s">
        <v>51</v>
      </c>
      <c r="L4022" t="s">
        <v>52</v>
      </c>
      <c r="M4022">
        <v>137784.79199999999</v>
      </c>
      <c r="N4022">
        <v>468010.27100000001</v>
      </c>
      <c r="O4022" t="s">
        <v>53</v>
      </c>
      <c r="P4022" t="s">
        <v>54</v>
      </c>
      <c r="Q4022" t="s">
        <v>55</v>
      </c>
      <c r="T4022" t="s">
        <v>968</v>
      </c>
      <c r="U4022">
        <v>40</v>
      </c>
      <c r="V4022" s="1">
        <v>40861</v>
      </c>
      <c r="W4022" s="1">
        <v>40861</v>
      </c>
      <c r="X4022" s="1">
        <v>40861</v>
      </c>
      <c r="Y4022" s="1">
        <v>55471</v>
      </c>
      <c r="Z4022" t="s">
        <v>51</v>
      </c>
      <c r="AB4022" t="s">
        <v>54</v>
      </c>
      <c r="AC4022">
        <v>1</v>
      </c>
      <c r="AE4022" t="s">
        <v>222</v>
      </c>
      <c r="AF4022">
        <v>20</v>
      </c>
      <c r="AG4022" s="1">
        <v>40861</v>
      </c>
      <c r="AH4022" s="1">
        <v>40861</v>
      </c>
      <c r="AI4022" s="1">
        <v>40861</v>
      </c>
      <c r="AJ4022" s="1">
        <v>48166</v>
      </c>
      <c r="AK4022" t="s">
        <v>51</v>
      </c>
      <c r="AN4022">
        <v>0</v>
      </c>
      <c r="AO4022" t="s">
        <v>54</v>
      </c>
      <c r="AP4022" t="s">
        <v>53</v>
      </c>
      <c r="AQ4022">
        <v>0</v>
      </c>
      <c r="AR4022" t="s">
        <v>53</v>
      </c>
      <c r="AS4022">
        <v>0</v>
      </c>
      <c r="AT4022">
        <v>0</v>
      </c>
      <c r="CC4022" t="s">
        <v>432</v>
      </c>
      <c r="CD4022">
        <v>85000</v>
      </c>
      <c r="CE4022" s="1">
        <v>42552</v>
      </c>
      <c r="CF4022" s="1">
        <v>42552</v>
      </c>
      <c r="CG4022" s="1">
        <v>42552</v>
      </c>
      <c r="CH4022" s="1">
        <v>49714</v>
      </c>
      <c r="CI4022" t="s">
        <v>51</v>
      </c>
      <c r="CK4022" t="s">
        <v>78</v>
      </c>
      <c r="CM4022" t="s">
        <v>54</v>
      </c>
      <c r="CN4022" t="s">
        <v>174</v>
      </c>
      <c r="CO4022" t="s">
        <v>86</v>
      </c>
      <c r="CR4022">
        <v>24</v>
      </c>
      <c r="CS4022">
        <v>0</v>
      </c>
      <c r="CT4022">
        <v>0</v>
      </c>
      <c r="CU4022">
        <v>0</v>
      </c>
    </row>
    <row r="4023" spans="1:99" x14ac:dyDescent="0.2">
      <c r="A4023" t="s">
        <v>367</v>
      </c>
      <c r="B4023" t="s">
        <v>368</v>
      </c>
      <c r="C4023" t="s">
        <v>369</v>
      </c>
      <c r="D4023" t="s">
        <v>1497</v>
      </c>
      <c r="F4023" t="str">
        <f>"217554"</f>
        <v>217554</v>
      </c>
      <c r="G4023" t="s">
        <v>49</v>
      </c>
      <c r="H4023" t="s">
        <v>1965</v>
      </c>
      <c r="K4023" t="s">
        <v>51</v>
      </c>
      <c r="L4023" t="s">
        <v>52</v>
      </c>
      <c r="M4023">
        <v>137814.70499999999</v>
      </c>
      <c r="N4023">
        <v>468014.53100000002</v>
      </c>
      <c r="O4023" t="s">
        <v>53</v>
      </c>
      <c r="P4023" t="s">
        <v>54</v>
      </c>
      <c r="Q4023" t="s">
        <v>55</v>
      </c>
      <c r="T4023" t="s">
        <v>968</v>
      </c>
      <c r="U4023">
        <v>40</v>
      </c>
      <c r="V4023" s="1">
        <v>40861</v>
      </c>
      <c r="W4023" s="1">
        <v>40861</v>
      </c>
      <c r="X4023" s="1">
        <v>40861</v>
      </c>
      <c r="Y4023" s="1">
        <v>55471</v>
      </c>
      <c r="Z4023" t="s">
        <v>51</v>
      </c>
      <c r="AB4023" t="s">
        <v>54</v>
      </c>
      <c r="AC4023">
        <v>1</v>
      </c>
      <c r="AE4023" t="s">
        <v>222</v>
      </c>
      <c r="AF4023">
        <v>20</v>
      </c>
      <c r="AG4023" s="1">
        <v>40861</v>
      </c>
      <c r="AH4023" s="1">
        <v>40861</v>
      </c>
      <c r="AI4023" s="1">
        <v>40861</v>
      </c>
      <c r="AJ4023" s="1">
        <v>48166</v>
      </c>
      <c r="AK4023" t="s">
        <v>51</v>
      </c>
      <c r="AN4023">
        <v>0</v>
      </c>
      <c r="AO4023" t="s">
        <v>54</v>
      </c>
      <c r="AP4023" t="s">
        <v>53</v>
      </c>
      <c r="AQ4023">
        <v>0</v>
      </c>
      <c r="AR4023" t="s">
        <v>53</v>
      </c>
      <c r="AS4023">
        <v>0</v>
      </c>
      <c r="AT4023">
        <v>0</v>
      </c>
      <c r="CC4023" t="s">
        <v>432</v>
      </c>
      <c r="CD4023">
        <v>85000</v>
      </c>
      <c r="CE4023" s="1">
        <v>42552</v>
      </c>
      <c r="CF4023" s="1">
        <v>42552</v>
      </c>
      <c r="CG4023" s="1">
        <v>42552</v>
      </c>
      <c r="CH4023" s="1">
        <v>49714</v>
      </c>
      <c r="CI4023" t="s">
        <v>51</v>
      </c>
      <c r="CK4023" t="s">
        <v>78</v>
      </c>
      <c r="CM4023" t="s">
        <v>54</v>
      </c>
      <c r="CN4023" t="s">
        <v>174</v>
      </c>
      <c r="CO4023" t="s">
        <v>86</v>
      </c>
      <c r="CR4023">
        <v>24</v>
      </c>
      <c r="CS4023">
        <v>0</v>
      </c>
      <c r="CT4023">
        <v>0</v>
      </c>
      <c r="CU4023">
        <v>0</v>
      </c>
    </row>
    <row r="4024" spans="1:99" x14ac:dyDescent="0.2">
      <c r="A4024" t="s">
        <v>367</v>
      </c>
      <c r="B4024" t="s">
        <v>368</v>
      </c>
      <c r="C4024" t="s">
        <v>369</v>
      </c>
      <c r="D4024" t="s">
        <v>1497</v>
      </c>
      <c r="F4024" t="str">
        <f>"217555"</f>
        <v>217555</v>
      </c>
      <c r="G4024" t="s">
        <v>49</v>
      </c>
      <c r="H4024" t="s">
        <v>1595</v>
      </c>
      <c r="K4024" t="s">
        <v>51</v>
      </c>
      <c r="L4024" t="s">
        <v>52</v>
      </c>
      <c r="M4024">
        <v>137836.18</v>
      </c>
      <c r="N4024">
        <v>468004.67</v>
      </c>
      <c r="O4024" t="s">
        <v>53</v>
      </c>
      <c r="P4024" t="s">
        <v>54</v>
      </c>
      <c r="Q4024" t="s">
        <v>55</v>
      </c>
      <c r="T4024" t="s">
        <v>968</v>
      </c>
      <c r="U4024">
        <v>40</v>
      </c>
      <c r="V4024" s="1">
        <v>40861</v>
      </c>
      <c r="W4024" s="1">
        <v>40861</v>
      </c>
      <c r="X4024" s="1">
        <v>40861</v>
      </c>
      <c r="Y4024" s="1">
        <v>55471</v>
      </c>
      <c r="Z4024" t="s">
        <v>51</v>
      </c>
      <c r="AB4024" t="s">
        <v>54</v>
      </c>
      <c r="AC4024">
        <v>1</v>
      </c>
      <c r="AE4024" t="s">
        <v>222</v>
      </c>
      <c r="AF4024">
        <v>20</v>
      </c>
      <c r="AG4024" s="1">
        <v>40861</v>
      </c>
      <c r="AH4024" s="1">
        <v>40861</v>
      </c>
      <c r="AI4024" s="1">
        <v>40861</v>
      </c>
      <c r="AJ4024" s="1">
        <v>48166</v>
      </c>
      <c r="AK4024" t="s">
        <v>51</v>
      </c>
      <c r="AN4024">
        <v>0</v>
      </c>
      <c r="AO4024" t="s">
        <v>54</v>
      </c>
      <c r="AP4024" t="s">
        <v>53</v>
      </c>
      <c r="AQ4024">
        <v>0</v>
      </c>
      <c r="AR4024" t="s">
        <v>53</v>
      </c>
      <c r="AS4024">
        <v>0</v>
      </c>
      <c r="AT4024">
        <v>0</v>
      </c>
      <c r="CC4024" t="s">
        <v>432</v>
      </c>
      <c r="CD4024">
        <v>85000</v>
      </c>
      <c r="CE4024" s="1">
        <v>42552</v>
      </c>
      <c r="CF4024" s="1">
        <v>42552</v>
      </c>
      <c r="CG4024" s="1">
        <v>42552</v>
      </c>
      <c r="CH4024" s="1">
        <v>49714</v>
      </c>
      <c r="CI4024" t="s">
        <v>51</v>
      </c>
      <c r="CK4024" t="s">
        <v>78</v>
      </c>
      <c r="CM4024" t="s">
        <v>54</v>
      </c>
      <c r="CN4024" t="s">
        <v>174</v>
      </c>
      <c r="CO4024" t="s">
        <v>86</v>
      </c>
      <c r="CR4024">
        <v>24</v>
      </c>
      <c r="CS4024">
        <v>0</v>
      </c>
      <c r="CT4024">
        <v>0</v>
      </c>
      <c r="CU4024">
        <v>0</v>
      </c>
    </row>
    <row r="4025" spans="1:99" x14ac:dyDescent="0.2">
      <c r="A4025" t="s">
        <v>367</v>
      </c>
      <c r="B4025" t="s">
        <v>368</v>
      </c>
      <c r="C4025" t="s">
        <v>369</v>
      </c>
      <c r="D4025" t="s">
        <v>1497</v>
      </c>
      <c r="F4025" t="str">
        <f>"217556"</f>
        <v>217556</v>
      </c>
      <c r="G4025" t="s">
        <v>49</v>
      </c>
      <c r="H4025" t="s">
        <v>399</v>
      </c>
      <c r="K4025" t="s">
        <v>51</v>
      </c>
      <c r="L4025" t="s">
        <v>52</v>
      </c>
      <c r="M4025">
        <v>137868.05300000001</v>
      </c>
      <c r="N4025">
        <v>468009.25</v>
      </c>
      <c r="O4025" t="s">
        <v>53</v>
      </c>
      <c r="P4025" t="s">
        <v>54</v>
      </c>
      <c r="Q4025" t="s">
        <v>55</v>
      </c>
      <c r="T4025" t="s">
        <v>968</v>
      </c>
      <c r="U4025">
        <v>40</v>
      </c>
      <c r="V4025" s="1">
        <v>40861</v>
      </c>
      <c r="W4025" s="1">
        <v>40861</v>
      </c>
      <c r="X4025" s="1">
        <v>40861</v>
      </c>
      <c r="Y4025" s="1">
        <v>55471</v>
      </c>
      <c r="Z4025" t="s">
        <v>51</v>
      </c>
      <c r="AB4025" t="s">
        <v>54</v>
      </c>
      <c r="AC4025">
        <v>1</v>
      </c>
      <c r="AE4025" t="s">
        <v>222</v>
      </c>
      <c r="AF4025">
        <v>20</v>
      </c>
      <c r="AG4025" s="1">
        <v>40861</v>
      </c>
      <c r="AH4025" s="1">
        <v>40861</v>
      </c>
      <c r="AI4025" s="1">
        <v>40861</v>
      </c>
      <c r="AJ4025" s="1">
        <v>48166</v>
      </c>
      <c r="AK4025" t="s">
        <v>51</v>
      </c>
      <c r="AN4025">
        <v>0</v>
      </c>
      <c r="AO4025" t="s">
        <v>54</v>
      </c>
      <c r="AP4025" t="s">
        <v>53</v>
      </c>
      <c r="AQ4025">
        <v>0</v>
      </c>
      <c r="AR4025" t="s">
        <v>53</v>
      </c>
      <c r="AS4025">
        <v>0</v>
      </c>
      <c r="AT4025">
        <v>0</v>
      </c>
      <c r="CC4025" t="s">
        <v>432</v>
      </c>
      <c r="CD4025">
        <v>85000</v>
      </c>
      <c r="CE4025" s="1">
        <v>42552</v>
      </c>
      <c r="CF4025" s="1">
        <v>42552</v>
      </c>
      <c r="CG4025" s="1">
        <v>42552</v>
      </c>
      <c r="CH4025" s="1">
        <v>49714</v>
      </c>
      <c r="CI4025" t="s">
        <v>51</v>
      </c>
      <c r="CK4025" t="s">
        <v>78</v>
      </c>
      <c r="CM4025" t="s">
        <v>54</v>
      </c>
      <c r="CN4025" t="s">
        <v>174</v>
      </c>
      <c r="CO4025" t="s">
        <v>86</v>
      </c>
      <c r="CR4025">
        <v>24</v>
      </c>
      <c r="CS4025">
        <v>0</v>
      </c>
      <c r="CT4025">
        <v>0</v>
      </c>
      <c r="CU4025">
        <v>0</v>
      </c>
    </row>
    <row r="4026" spans="1:99" x14ac:dyDescent="0.2">
      <c r="A4026" t="s">
        <v>367</v>
      </c>
      <c r="B4026" t="s">
        <v>368</v>
      </c>
      <c r="C4026" t="s">
        <v>369</v>
      </c>
      <c r="D4026" t="s">
        <v>1497</v>
      </c>
      <c r="F4026" t="str">
        <f>"254250"</f>
        <v>254250</v>
      </c>
      <c r="G4026" t="s">
        <v>49</v>
      </c>
      <c r="H4026" t="s">
        <v>1966</v>
      </c>
      <c r="K4026" t="s">
        <v>51</v>
      </c>
      <c r="L4026" t="s">
        <v>52</v>
      </c>
      <c r="M4026">
        <v>137894.26999999999</v>
      </c>
      <c r="N4026">
        <v>467997.37</v>
      </c>
      <c r="O4026" t="s">
        <v>53</v>
      </c>
      <c r="P4026" t="s">
        <v>54</v>
      </c>
      <c r="Q4026" t="s">
        <v>55</v>
      </c>
      <c r="T4026" t="s">
        <v>968</v>
      </c>
      <c r="U4026">
        <v>40</v>
      </c>
      <c r="V4026" s="1">
        <v>40861</v>
      </c>
      <c r="W4026" s="1">
        <v>40861</v>
      </c>
      <c r="X4026" s="1">
        <v>40861</v>
      </c>
      <c r="Y4026" s="1">
        <v>55471</v>
      </c>
      <c r="Z4026" t="s">
        <v>51</v>
      </c>
      <c r="AB4026" t="s">
        <v>54</v>
      </c>
      <c r="AC4026">
        <v>1</v>
      </c>
      <c r="AE4026" t="s">
        <v>222</v>
      </c>
      <c r="AF4026">
        <v>20</v>
      </c>
      <c r="AG4026" s="1">
        <v>40861</v>
      </c>
      <c r="AH4026" s="1">
        <v>40861</v>
      </c>
      <c r="AI4026" s="1">
        <v>40861</v>
      </c>
      <c r="AJ4026" s="1">
        <v>48166</v>
      </c>
      <c r="AK4026" t="s">
        <v>51</v>
      </c>
      <c r="AN4026">
        <v>0</v>
      </c>
      <c r="AO4026" t="s">
        <v>54</v>
      </c>
      <c r="AP4026" t="s">
        <v>53</v>
      </c>
      <c r="AQ4026">
        <v>0</v>
      </c>
      <c r="AR4026" t="s">
        <v>53</v>
      </c>
      <c r="AS4026">
        <v>0</v>
      </c>
      <c r="AT4026">
        <v>0</v>
      </c>
      <c r="CC4026" t="s">
        <v>432</v>
      </c>
      <c r="CD4026">
        <v>85000</v>
      </c>
      <c r="CE4026" s="1">
        <v>42552</v>
      </c>
      <c r="CF4026" s="1">
        <v>42552</v>
      </c>
      <c r="CG4026" s="1">
        <v>42552</v>
      </c>
      <c r="CH4026" s="1">
        <v>49714</v>
      </c>
      <c r="CI4026" t="s">
        <v>51</v>
      </c>
      <c r="CK4026" t="s">
        <v>78</v>
      </c>
      <c r="CM4026" t="s">
        <v>54</v>
      </c>
      <c r="CN4026" t="s">
        <v>174</v>
      </c>
      <c r="CO4026" t="s">
        <v>86</v>
      </c>
      <c r="CR4026">
        <v>24</v>
      </c>
      <c r="CS4026">
        <v>0</v>
      </c>
      <c r="CT4026">
        <v>0</v>
      </c>
      <c r="CU4026">
        <v>0</v>
      </c>
    </row>
    <row r="4027" spans="1:99" x14ac:dyDescent="0.2">
      <c r="A4027" t="s">
        <v>367</v>
      </c>
      <c r="B4027" t="s">
        <v>368</v>
      </c>
      <c r="C4027" t="s">
        <v>369</v>
      </c>
      <c r="D4027" t="s">
        <v>1497</v>
      </c>
      <c r="F4027" t="str">
        <f>"254249"</f>
        <v>254249</v>
      </c>
      <c r="G4027" t="s">
        <v>49</v>
      </c>
      <c r="H4027" t="s">
        <v>386</v>
      </c>
      <c r="K4027" t="s">
        <v>51</v>
      </c>
      <c r="L4027" t="s">
        <v>52</v>
      </c>
      <c r="M4027">
        <v>137914.81</v>
      </c>
      <c r="N4027">
        <v>467995.79</v>
      </c>
      <c r="O4027" t="s">
        <v>53</v>
      </c>
      <c r="P4027" t="s">
        <v>54</v>
      </c>
      <c r="Q4027" t="s">
        <v>55</v>
      </c>
      <c r="T4027" t="s">
        <v>968</v>
      </c>
      <c r="U4027">
        <v>40</v>
      </c>
      <c r="V4027" s="1">
        <v>40861</v>
      </c>
      <c r="W4027" s="1">
        <v>40861</v>
      </c>
      <c r="X4027" s="1">
        <v>40861</v>
      </c>
      <c r="Y4027" s="1">
        <v>55471</v>
      </c>
      <c r="Z4027" t="s">
        <v>51</v>
      </c>
      <c r="AB4027" t="s">
        <v>54</v>
      </c>
      <c r="AC4027">
        <v>1</v>
      </c>
      <c r="AE4027" t="s">
        <v>222</v>
      </c>
      <c r="AF4027">
        <v>20</v>
      </c>
      <c r="AG4027" s="1">
        <v>40861</v>
      </c>
      <c r="AH4027" s="1">
        <v>40861</v>
      </c>
      <c r="AI4027" s="1">
        <v>40861</v>
      </c>
      <c r="AJ4027" s="1">
        <v>48166</v>
      </c>
      <c r="AK4027" t="s">
        <v>51</v>
      </c>
      <c r="AN4027">
        <v>0</v>
      </c>
      <c r="AO4027" t="s">
        <v>54</v>
      </c>
      <c r="AP4027" t="s">
        <v>53</v>
      </c>
      <c r="AQ4027">
        <v>0</v>
      </c>
      <c r="AR4027" t="s">
        <v>53</v>
      </c>
      <c r="AS4027">
        <v>0</v>
      </c>
      <c r="AT4027">
        <v>0</v>
      </c>
      <c r="CC4027" t="s">
        <v>432</v>
      </c>
      <c r="CD4027">
        <v>85000</v>
      </c>
      <c r="CE4027" s="1">
        <v>43493</v>
      </c>
      <c r="CF4027" s="1">
        <v>43493</v>
      </c>
      <c r="CG4027" s="1">
        <v>43493</v>
      </c>
      <c r="CH4027" s="1">
        <v>50710</v>
      </c>
      <c r="CI4027" t="s">
        <v>51</v>
      </c>
      <c r="CK4027" t="s">
        <v>78</v>
      </c>
      <c r="CM4027" t="s">
        <v>54</v>
      </c>
      <c r="CN4027" t="s">
        <v>174</v>
      </c>
      <c r="CO4027" t="s">
        <v>86</v>
      </c>
      <c r="CR4027">
        <v>24</v>
      </c>
      <c r="CS4027">
        <v>0</v>
      </c>
      <c r="CT4027">
        <v>0</v>
      </c>
      <c r="CU4027">
        <v>0</v>
      </c>
    </row>
    <row r="4028" spans="1:99" x14ac:dyDescent="0.2">
      <c r="A4028" t="s">
        <v>367</v>
      </c>
      <c r="B4028" t="s">
        <v>368</v>
      </c>
      <c r="C4028" t="s">
        <v>369</v>
      </c>
      <c r="D4028" t="s">
        <v>1497</v>
      </c>
      <c r="F4028" t="str">
        <f>"217559"</f>
        <v>217559</v>
      </c>
      <c r="G4028" t="s">
        <v>49</v>
      </c>
      <c r="H4028" t="s">
        <v>1967</v>
      </c>
      <c r="K4028" t="s">
        <v>51</v>
      </c>
      <c r="L4028" t="s">
        <v>52</v>
      </c>
      <c r="M4028">
        <v>138170.329</v>
      </c>
      <c r="N4028">
        <v>467969.80200000003</v>
      </c>
      <c r="O4028" t="s">
        <v>53</v>
      </c>
      <c r="P4028" t="s">
        <v>54</v>
      </c>
      <c r="Q4028" t="s">
        <v>55</v>
      </c>
      <c r="T4028" t="s">
        <v>968</v>
      </c>
      <c r="U4028">
        <v>40</v>
      </c>
      <c r="V4028" s="1">
        <v>40861</v>
      </c>
      <c r="W4028" s="1">
        <v>40861</v>
      </c>
      <c r="X4028" s="1">
        <v>40861</v>
      </c>
      <c r="Y4028" s="1">
        <v>55471</v>
      </c>
      <c r="Z4028" t="s">
        <v>51</v>
      </c>
      <c r="AB4028" t="s">
        <v>54</v>
      </c>
      <c r="AC4028">
        <v>1</v>
      </c>
      <c r="AE4028" t="s">
        <v>222</v>
      </c>
      <c r="AF4028">
        <v>20</v>
      </c>
      <c r="AG4028" s="1">
        <v>40861</v>
      </c>
      <c r="AH4028" s="1">
        <v>40861</v>
      </c>
      <c r="AI4028" s="1">
        <v>40861</v>
      </c>
      <c r="AJ4028" s="1">
        <v>48166</v>
      </c>
      <c r="AK4028" t="s">
        <v>51</v>
      </c>
      <c r="AN4028">
        <v>0</v>
      </c>
      <c r="AO4028" t="s">
        <v>54</v>
      </c>
      <c r="AP4028" t="s">
        <v>53</v>
      </c>
      <c r="AQ4028">
        <v>0</v>
      </c>
      <c r="AR4028" t="s">
        <v>53</v>
      </c>
      <c r="AS4028">
        <v>0</v>
      </c>
      <c r="AT4028">
        <v>0</v>
      </c>
      <c r="CC4028" t="s">
        <v>432</v>
      </c>
      <c r="CD4028">
        <v>85000</v>
      </c>
      <c r="CE4028" s="1">
        <v>42552</v>
      </c>
      <c r="CF4028" s="1">
        <v>42552</v>
      </c>
      <c r="CG4028" s="1">
        <v>42552</v>
      </c>
      <c r="CH4028" s="1">
        <v>49714</v>
      </c>
      <c r="CI4028" t="s">
        <v>51</v>
      </c>
      <c r="CK4028" t="s">
        <v>78</v>
      </c>
      <c r="CM4028" t="s">
        <v>54</v>
      </c>
      <c r="CN4028" t="s">
        <v>174</v>
      </c>
      <c r="CO4028" t="s">
        <v>86</v>
      </c>
      <c r="CR4028">
        <v>24</v>
      </c>
      <c r="CS4028">
        <v>0</v>
      </c>
      <c r="CT4028">
        <v>0</v>
      </c>
      <c r="CU4028">
        <v>0</v>
      </c>
    </row>
    <row r="4029" spans="1:99" x14ac:dyDescent="0.2">
      <c r="A4029" t="s">
        <v>367</v>
      </c>
      <c r="B4029" t="s">
        <v>368</v>
      </c>
      <c r="C4029" t="s">
        <v>369</v>
      </c>
      <c r="D4029" t="s">
        <v>1497</v>
      </c>
      <c r="F4029" t="str">
        <f>"217560"</f>
        <v>217560</v>
      </c>
      <c r="G4029" t="s">
        <v>49</v>
      </c>
      <c r="H4029" t="s">
        <v>1968</v>
      </c>
      <c r="K4029" t="s">
        <v>51</v>
      </c>
      <c r="L4029" t="s">
        <v>52</v>
      </c>
      <c r="M4029">
        <v>138194.514</v>
      </c>
      <c r="N4029">
        <v>467975.93400000001</v>
      </c>
      <c r="O4029" t="s">
        <v>53</v>
      </c>
      <c r="P4029" t="s">
        <v>54</v>
      </c>
      <c r="Q4029" t="s">
        <v>55</v>
      </c>
      <c r="T4029" t="s">
        <v>968</v>
      </c>
      <c r="U4029">
        <v>40</v>
      </c>
      <c r="V4029" s="1">
        <v>40861</v>
      </c>
      <c r="W4029" s="1">
        <v>40861</v>
      </c>
      <c r="X4029" s="1">
        <v>40861</v>
      </c>
      <c r="Y4029" s="1">
        <v>55471</v>
      </c>
      <c r="Z4029" t="s">
        <v>51</v>
      </c>
      <c r="AB4029" t="s">
        <v>54</v>
      </c>
      <c r="AC4029">
        <v>1</v>
      </c>
      <c r="AE4029" t="s">
        <v>222</v>
      </c>
      <c r="AF4029">
        <v>20</v>
      </c>
      <c r="AG4029" s="1">
        <v>40861</v>
      </c>
      <c r="AH4029" s="1">
        <v>40861</v>
      </c>
      <c r="AI4029" s="1">
        <v>40861</v>
      </c>
      <c r="AJ4029" s="1">
        <v>48166</v>
      </c>
      <c r="AK4029" t="s">
        <v>51</v>
      </c>
      <c r="AN4029">
        <v>0</v>
      </c>
      <c r="AO4029" t="s">
        <v>54</v>
      </c>
      <c r="AP4029" t="s">
        <v>53</v>
      </c>
      <c r="AQ4029">
        <v>0</v>
      </c>
      <c r="AR4029" t="s">
        <v>53</v>
      </c>
      <c r="AS4029">
        <v>0</v>
      </c>
      <c r="AT4029">
        <v>0</v>
      </c>
      <c r="CC4029" t="s">
        <v>432</v>
      </c>
      <c r="CD4029">
        <v>85000</v>
      </c>
      <c r="CE4029" s="1">
        <v>42552</v>
      </c>
      <c r="CF4029" s="1">
        <v>42552</v>
      </c>
      <c r="CG4029" s="1">
        <v>42552</v>
      </c>
      <c r="CH4029" s="1">
        <v>49714</v>
      </c>
      <c r="CI4029" t="s">
        <v>51</v>
      </c>
      <c r="CK4029" t="s">
        <v>78</v>
      </c>
      <c r="CM4029" t="s">
        <v>54</v>
      </c>
      <c r="CN4029" t="s">
        <v>174</v>
      </c>
      <c r="CO4029" t="s">
        <v>86</v>
      </c>
      <c r="CR4029">
        <v>24</v>
      </c>
      <c r="CS4029">
        <v>0</v>
      </c>
      <c r="CT4029">
        <v>0</v>
      </c>
      <c r="CU4029">
        <v>0</v>
      </c>
    </row>
    <row r="4030" spans="1:99" x14ac:dyDescent="0.2">
      <c r="A4030" t="s">
        <v>367</v>
      </c>
      <c r="B4030" t="s">
        <v>368</v>
      </c>
      <c r="C4030" t="s">
        <v>369</v>
      </c>
      <c r="D4030" t="s">
        <v>1497</v>
      </c>
      <c r="F4030" t="str">
        <f>"217561"</f>
        <v>217561</v>
      </c>
      <c r="G4030" t="s">
        <v>49</v>
      </c>
      <c r="H4030" t="s">
        <v>1969</v>
      </c>
      <c r="K4030" t="s">
        <v>51</v>
      </c>
      <c r="L4030" t="s">
        <v>52</v>
      </c>
      <c r="M4030">
        <v>138210.481</v>
      </c>
      <c r="N4030">
        <v>467965.364</v>
      </c>
      <c r="O4030" t="s">
        <v>53</v>
      </c>
      <c r="P4030" t="s">
        <v>54</v>
      </c>
      <c r="Q4030" t="s">
        <v>55</v>
      </c>
      <c r="T4030" t="s">
        <v>968</v>
      </c>
      <c r="U4030">
        <v>40</v>
      </c>
      <c r="V4030" s="1">
        <v>40861</v>
      </c>
      <c r="W4030" s="1">
        <v>40861</v>
      </c>
      <c r="X4030" s="1">
        <v>40861</v>
      </c>
      <c r="Y4030" s="1">
        <v>55471</v>
      </c>
      <c r="Z4030" t="s">
        <v>51</v>
      </c>
      <c r="AB4030" t="s">
        <v>54</v>
      </c>
      <c r="AC4030">
        <v>1</v>
      </c>
      <c r="AE4030" t="s">
        <v>222</v>
      </c>
      <c r="AF4030">
        <v>20</v>
      </c>
      <c r="AG4030" s="1">
        <v>40861</v>
      </c>
      <c r="AH4030" s="1">
        <v>40861</v>
      </c>
      <c r="AI4030" s="1">
        <v>40861</v>
      </c>
      <c r="AJ4030" s="1">
        <v>48166</v>
      </c>
      <c r="AK4030" t="s">
        <v>51</v>
      </c>
      <c r="AN4030">
        <v>0</v>
      </c>
      <c r="AO4030" t="s">
        <v>54</v>
      </c>
      <c r="AP4030" t="s">
        <v>53</v>
      </c>
      <c r="AQ4030">
        <v>0</v>
      </c>
      <c r="AR4030" t="s">
        <v>53</v>
      </c>
      <c r="AS4030">
        <v>0</v>
      </c>
      <c r="AT4030">
        <v>0</v>
      </c>
      <c r="CC4030" t="s">
        <v>432</v>
      </c>
      <c r="CD4030">
        <v>85000</v>
      </c>
      <c r="CE4030" s="1">
        <v>42552</v>
      </c>
      <c r="CF4030" s="1">
        <v>42552</v>
      </c>
      <c r="CG4030" s="1">
        <v>42552</v>
      </c>
      <c r="CH4030" s="1">
        <v>49714</v>
      </c>
      <c r="CI4030" t="s">
        <v>51</v>
      </c>
      <c r="CK4030" t="s">
        <v>78</v>
      </c>
      <c r="CM4030" t="s">
        <v>54</v>
      </c>
      <c r="CN4030" t="s">
        <v>174</v>
      </c>
      <c r="CO4030" t="s">
        <v>86</v>
      </c>
      <c r="CR4030">
        <v>24</v>
      </c>
      <c r="CS4030">
        <v>0</v>
      </c>
      <c r="CT4030">
        <v>0</v>
      </c>
      <c r="CU4030">
        <v>0</v>
      </c>
    </row>
    <row r="4031" spans="1:99" x14ac:dyDescent="0.2">
      <c r="A4031" t="s">
        <v>367</v>
      </c>
      <c r="B4031" t="s">
        <v>368</v>
      </c>
      <c r="C4031" t="s">
        <v>369</v>
      </c>
      <c r="D4031" t="s">
        <v>1497</v>
      </c>
      <c r="F4031" t="str">
        <f>"217562"</f>
        <v>217562</v>
      </c>
      <c r="G4031" t="s">
        <v>49</v>
      </c>
      <c r="H4031" t="s">
        <v>411</v>
      </c>
      <c r="K4031" t="s">
        <v>51</v>
      </c>
      <c r="L4031" t="s">
        <v>52</v>
      </c>
      <c r="M4031">
        <v>138239.54300000001</v>
      </c>
      <c r="N4031">
        <v>467970.28</v>
      </c>
      <c r="O4031" t="s">
        <v>53</v>
      </c>
      <c r="P4031" t="s">
        <v>54</v>
      </c>
      <c r="Q4031" t="s">
        <v>55</v>
      </c>
      <c r="T4031" t="s">
        <v>968</v>
      </c>
      <c r="U4031">
        <v>40</v>
      </c>
      <c r="V4031" s="1">
        <v>40861</v>
      </c>
      <c r="W4031" s="1">
        <v>40861</v>
      </c>
      <c r="X4031" s="1">
        <v>40861</v>
      </c>
      <c r="Y4031" s="1">
        <v>55471</v>
      </c>
      <c r="Z4031" t="s">
        <v>51</v>
      </c>
      <c r="AB4031" t="s">
        <v>54</v>
      </c>
      <c r="AC4031">
        <v>1</v>
      </c>
      <c r="AE4031" t="s">
        <v>222</v>
      </c>
      <c r="AF4031">
        <v>20</v>
      </c>
      <c r="AG4031" s="1">
        <v>40861</v>
      </c>
      <c r="AH4031" s="1">
        <v>40861</v>
      </c>
      <c r="AI4031" s="1">
        <v>40861</v>
      </c>
      <c r="AJ4031" s="1">
        <v>48166</v>
      </c>
      <c r="AK4031" t="s">
        <v>51</v>
      </c>
      <c r="AN4031">
        <v>0</v>
      </c>
      <c r="AO4031" t="s">
        <v>54</v>
      </c>
      <c r="AP4031" t="s">
        <v>53</v>
      </c>
      <c r="AQ4031">
        <v>0</v>
      </c>
      <c r="AR4031" t="s">
        <v>53</v>
      </c>
      <c r="AS4031">
        <v>0</v>
      </c>
      <c r="AT4031">
        <v>0</v>
      </c>
      <c r="CC4031" t="s">
        <v>432</v>
      </c>
      <c r="CD4031">
        <v>85000</v>
      </c>
      <c r="CE4031" s="1">
        <v>42552</v>
      </c>
      <c r="CF4031" s="1">
        <v>42552</v>
      </c>
      <c r="CG4031" s="1">
        <v>42552</v>
      </c>
      <c r="CH4031" s="1">
        <v>49714</v>
      </c>
      <c r="CI4031" t="s">
        <v>51</v>
      </c>
      <c r="CK4031" t="s">
        <v>78</v>
      </c>
      <c r="CM4031" t="s">
        <v>54</v>
      </c>
      <c r="CN4031" t="s">
        <v>174</v>
      </c>
      <c r="CO4031" t="s">
        <v>86</v>
      </c>
      <c r="CR4031">
        <v>24</v>
      </c>
      <c r="CS4031">
        <v>0</v>
      </c>
      <c r="CT4031">
        <v>0</v>
      </c>
      <c r="CU4031">
        <v>0</v>
      </c>
    </row>
    <row r="4032" spans="1:99" x14ac:dyDescent="0.2">
      <c r="A4032" t="s">
        <v>367</v>
      </c>
      <c r="B4032" t="s">
        <v>368</v>
      </c>
      <c r="C4032" t="s">
        <v>369</v>
      </c>
      <c r="D4032" t="s">
        <v>1497</v>
      </c>
      <c r="F4032" t="str">
        <f>"217563"</f>
        <v>217563</v>
      </c>
      <c r="G4032" t="s">
        <v>49</v>
      </c>
      <c r="H4032" t="s">
        <v>1590</v>
      </c>
      <c r="K4032" t="s">
        <v>51</v>
      </c>
      <c r="L4032" t="s">
        <v>52</v>
      </c>
      <c r="M4032">
        <v>138262.47099999999</v>
      </c>
      <c r="N4032">
        <v>467959.484</v>
      </c>
      <c r="O4032" t="s">
        <v>53</v>
      </c>
      <c r="P4032" t="s">
        <v>54</v>
      </c>
      <c r="Q4032" t="s">
        <v>55</v>
      </c>
      <c r="T4032" t="s">
        <v>968</v>
      </c>
      <c r="U4032">
        <v>40</v>
      </c>
      <c r="V4032" s="1">
        <v>40861</v>
      </c>
      <c r="W4032" s="1">
        <v>40861</v>
      </c>
      <c r="X4032" s="1">
        <v>40861</v>
      </c>
      <c r="Y4032" s="1">
        <v>55471</v>
      </c>
      <c r="Z4032" t="s">
        <v>51</v>
      </c>
      <c r="AB4032" t="s">
        <v>54</v>
      </c>
      <c r="AC4032">
        <v>1</v>
      </c>
      <c r="AE4032" t="s">
        <v>222</v>
      </c>
      <c r="AF4032">
        <v>20</v>
      </c>
      <c r="AG4032" s="1">
        <v>40861</v>
      </c>
      <c r="AH4032" s="1">
        <v>40861</v>
      </c>
      <c r="AI4032" s="1">
        <v>40861</v>
      </c>
      <c r="AJ4032" s="1">
        <v>48166</v>
      </c>
      <c r="AK4032" t="s">
        <v>51</v>
      </c>
      <c r="AN4032">
        <v>0</v>
      </c>
      <c r="AO4032" t="s">
        <v>54</v>
      </c>
      <c r="AP4032" t="s">
        <v>53</v>
      </c>
      <c r="AQ4032">
        <v>0</v>
      </c>
      <c r="AR4032" t="s">
        <v>53</v>
      </c>
      <c r="AS4032">
        <v>0</v>
      </c>
      <c r="AT4032">
        <v>0</v>
      </c>
      <c r="CC4032" t="s">
        <v>432</v>
      </c>
      <c r="CD4032">
        <v>85000</v>
      </c>
      <c r="CE4032" s="1">
        <v>42552</v>
      </c>
      <c r="CF4032" s="1">
        <v>42552</v>
      </c>
      <c r="CG4032" s="1">
        <v>42552</v>
      </c>
      <c r="CH4032" s="1">
        <v>49714</v>
      </c>
      <c r="CI4032" t="s">
        <v>51</v>
      </c>
      <c r="CK4032" t="s">
        <v>78</v>
      </c>
      <c r="CM4032" t="s">
        <v>54</v>
      </c>
      <c r="CN4032" t="s">
        <v>174</v>
      </c>
      <c r="CO4032" t="s">
        <v>86</v>
      </c>
      <c r="CR4032">
        <v>24</v>
      </c>
      <c r="CS4032">
        <v>0</v>
      </c>
      <c r="CT4032">
        <v>0</v>
      </c>
      <c r="CU4032">
        <v>0</v>
      </c>
    </row>
    <row r="4033" spans="1:99" x14ac:dyDescent="0.2">
      <c r="A4033" t="s">
        <v>367</v>
      </c>
      <c r="B4033" t="s">
        <v>368</v>
      </c>
      <c r="C4033" t="s">
        <v>369</v>
      </c>
      <c r="D4033" t="s">
        <v>1497</v>
      </c>
      <c r="F4033" t="str">
        <f>"217564"</f>
        <v>217564</v>
      </c>
      <c r="G4033" t="s">
        <v>49</v>
      </c>
      <c r="H4033" t="s">
        <v>1970</v>
      </c>
      <c r="K4033" t="s">
        <v>51</v>
      </c>
      <c r="L4033" t="s">
        <v>52</v>
      </c>
      <c r="M4033">
        <v>138288.796</v>
      </c>
      <c r="N4033">
        <v>467965.35700000002</v>
      </c>
      <c r="O4033" t="s">
        <v>53</v>
      </c>
      <c r="P4033" t="s">
        <v>54</v>
      </c>
      <c r="Q4033" t="s">
        <v>55</v>
      </c>
      <c r="T4033" t="s">
        <v>968</v>
      </c>
      <c r="U4033">
        <v>40</v>
      </c>
      <c r="V4033" s="1">
        <v>40861</v>
      </c>
      <c r="W4033" s="1">
        <v>40861</v>
      </c>
      <c r="X4033" s="1">
        <v>40861</v>
      </c>
      <c r="Y4033" s="1">
        <v>55471</v>
      </c>
      <c r="Z4033" t="s">
        <v>51</v>
      </c>
      <c r="AB4033" t="s">
        <v>54</v>
      </c>
      <c r="AC4033">
        <v>1</v>
      </c>
      <c r="AE4033" t="s">
        <v>222</v>
      </c>
      <c r="AF4033">
        <v>20</v>
      </c>
      <c r="AG4033" s="1">
        <v>40861</v>
      </c>
      <c r="AH4033" s="1">
        <v>40861</v>
      </c>
      <c r="AI4033" s="1">
        <v>40861</v>
      </c>
      <c r="AJ4033" s="1">
        <v>48166</v>
      </c>
      <c r="AK4033" t="s">
        <v>51</v>
      </c>
      <c r="AN4033">
        <v>0</v>
      </c>
      <c r="AO4033" t="s">
        <v>54</v>
      </c>
      <c r="AP4033" t="s">
        <v>53</v>
      </c>
      <c r="AQ4033">
        <v>0</v>
      </c>
      <c r="AR4033" t="s">
        <v>53</v>
      </c>
      <c r="AS4033">
        <v>0</v>
      </c>
      <c r="AT4033">
        <v>0</v>
      </c>
      <c r="CC4033" t="s">
        <v>432</v>
      </c>
      <c r="CD4033">
        <v>85000</v>
      </c>
      <c r="CE4033" s="1">
        <v>42552</v>
      </c>
      <c r="CF4033" s="1">
        <v>42552</v>
      </c>
      <c r="CG4033" s="1">
        <v>42552</v>
      </c>
      <c r="CH4033" s="1">
        <v>49714</v>
      </c>
      <c r="CI4033" t="s">
        <v>51</v>
      </c>
      <c r="CK4033" t="s">
        <v>78</v>
      </c>
      <c r="CM4033" t="s">
        <v>54</v>
      </c>
      <c r="CN4033" t="s">
        <v>174</v>
      </c>
      <c r="CO4033" t="s">
        <v>86</v>
      </c>
      <c r="CR4033">
        <v>24</v>
      </c>
      <c r="CS4033">
        <v>0</v>
      </c>
      <c r="CT4033">
        <v>0</v>
      </c>
      <c r="CU4033">
        <v>0</v>
      </c>
    </row>
    <row r="4034" spans="1:99" x14ac:dyDescent="0.2">
      <c r="A4034" t="s">
        <v>367</v>
      </c>
      <c r="B4034" t="s">
        <v>368</v>
      </c>
      <c r="C4034" t="s">
        <v>369</v>
      </c>
      <c r="D4034" t="s">
        <v>1497</v>
      </c>
      <c r="F4034" t="str">
        <f>"217565"</f>
        <v>217565</v>
      </c>
      <c r="G4034" t="s">
        <v>49</v>
      </c>
      <c r="H4034" t="s">
        <v>1971</v>
      </c>
      <c r="K4034" t="s">
        <v>51</v>
      </c>
      <c r="L4034" t="s">
        <v>52</v>
      </c>
      <c r="M4034">
        <v>138309.76999999999</v>
      </c>
      <c r="N4034">
        <v>467954.09</v>
      </c>
      <c r="O4034" t="s">
        <v>53</v>
      </c>
      <c r="P4034" t="s">
        <v>54</v>
      </c>
      <c r="Q4034" t="s">
        <v>55</v>
      </c>
      <c r="T4034" t="s">
        <v>968</v>
      </c>
      <c r="U4034">
        <v>40</v>
      </c>
      <c r="V4034" s="1">
        <v>40861</v>
      </c>
      <c r="W4034" s="1">
        <v>40861</v>
      </c>
      <c r="X4034" s="1">
        <v>40861</v>
      </c>
      <c r="Y4034" s="1">
        <v>55471</v>
      </c>
      <c r="Z4034" t="s">
        <v>51</v>
      </c>
      <c r="AB4034" t="s">
        <v>54</v>
      </c>
      <c r="AC4034">
        <v>1</v>
      </c>
      <c r="AE4034" t="s">
        <v>222</v>
      </c>
      <c r="AF4034">
        <v>20</v>
      </c>
      <c r="AG4034" s="1">
        <v>40861</v>
      </c>
      <c r="AH4034" s="1">
        <v>40861</v>
      </c>
      <c r="AI4034" s="1">
        <v>40861</v>
      </c>
      <c r="AJ4034" s="1">
        <v>48166</v>
      </c>
      <c r="AK4034" t="s">
        <v>51</v>
      </c>
      <c r="AN4034">
        <v>0</v>
      </c>
      <c r="AO4034" t="s">
        <v>54</v>
      </c>
      <c r="AP4034" t="s">
        <v>53</v>
      </c>
      <c r="AQ4034">
        <v>0</v>
      </c>
      <c r="AR4034" t="s">
        <v>53</v>
      </c>
      <c r="AS4034">
        <v>0</v>
      </c>
      <c r="AT4034">
        <v>0</v>
      </c>
      <c r="CC4034" t="s">
        <v>432</v>
      </c>
      <c r="CD4034">
        <v>85000</v>
      </c>
      <c r="CE4034" s="1">
        <v>42552</v>
      </c>
      <c r="CF4034" s="1">
        <v>42552</v>
      </c>
      <c r="CG4034" s="1">
        <v>42552</v>
      </c>
      <c r="CH4034" s="1">
        <v>49714</v>
      </c>
      <c r="CI4034" t="s">
        <v>51</v>
      </c>
      <c r="CK4034" t="s">
        <v>78</v>
      </c>
      <c r="CM4034" t="s">
        <v>54</v>
      </c>
      <c r="CN4034" t="s">
        <v>174</v>
      </c>
      <c r="CO4034" t="s">
        <v>86</v>
      </c>
      <c r="CR4034">
        <v>24</v>
      </c>
      <c r="CS4034">
        <v>0</v>
      </c>
      <c r="CT4034">
        <v>0</v>
      </c>
      <c r="CU4034">
        <v>0</v>
      </c>
    </row>
    <row r="4035" spans="1:99" x14ac:dyDescent="0.2">
      <c r="A4035" t="s">
        <v>367</v>
      </c>
      <c r="B4035" t="s">
        <v>368</v>
      </c>
      <c r="C4035" t="s">
        <v>369</v>
      </c>
      <c r="D4035" t="s">
        <v>1497</v>
      </c>
      <c r="F4035" t="str">
        <f>"217566"</f>
        <v>217566</v>
      </c>
      <c r="G4035" t="s">
        <v>49</v>
      </c>
      <c r="H4035" t="s">
        <v>1972</v>
      </c>
      <c r="K4035" t="s">
        <v>51</v>
      </c>
      <c r="L4035" t="s">
        <v>52</v>
      </c>
      <c r="M4035">
        <v>138330.766</v>
      </c>
      <c r="N4035">
        <v>467960.34399999998</v>
      </c>
      <c r="O4035" t="s">
        <v>53</v>
      </c>
      <c r="P4035" t="s">
        <v>54</v>
      </c>
      <c r="Q4035" t="s">
        <v>55</v>
      </c>
      <c r="T4035" t="s">
        <v>968</v>
      </c>
      <c r="U4035">
        <v>40</v>
      </c>
      <c r="V4035" s="1">
        <v>40861</v>
      </c>
      <c r="W4035" s="1">
        <v>40861</v>
      </c>
      <c r="X4035" s="1">
        <v>40861</v>
      </c>
      <c r="Y4035" s="1">
        <v>55471</v>
      </c>
      <c r="Z4035" t="s">
        <v>51</v>
      </c>
      <c r="AB4035" t="s">
        <v>54</v>
      </c>
      <c r="AC4035">
        <v>1</v>
      </c>
      <c r="AE4035" t="s">
        <v>222</v>
      </c>
      <c r="AF4035">
        <v>20</v>
      </c>
      <c r="AG4035" s="1">
        <v>40861</v>
      </c>
      <c r="AH4035" s="1">
        <v>40861</v>
      </c>
      <c r="AI4035" s="1">
        <v>40861</v>
      </c>
      <c r="AJ4035" s="1">
        <v>48166</v>
      </c>
      <c r="AK4035" t="s">
        <v>51</v>
      </c>
      <c r="AN4035">
        <v>0</v>
      </c>
      <c r="AO4035" t="s">
        <v>54</v>
      </c>
      <c r="AP4035" t="s">
        <v>53</v>
      </c>
      <c r="AQ4035">
        <v>0</v>
      </c>
      <c r="AR4035" t="s">
        <v>53</v>
      </c>
      <c r="AS4035">
        <v>0</v>
      </c>
      <c r="AT4035">
        <v>0</v>
      </c>
      <c r="CC4035" t="s">
        <v>432</v>
      </c>
      <c r="CD4035">
        <v>85000</v>
      </c>
      <c r="CE4035" s="1">
        <v>42552</v>
      </c>
      <c r="CF4035" s="1">
        <v>42552</v>
      </c>
      <c r="CG4035" s="1">
        <v>42552</v>
      </c>
      <c r="CH4035" s="1">
        <v>49714</v>
      </c>
      <c r="CI4035" t="s">
        <v>51</v>
      </c>
      <c r="CK4035" t="s">
        <v>78</v>
      </c>
      <c r="CM4035" t="s">
        <v>54</v>
      </c>
      <c r="CN4035" t="s">
        <v>174</v>
      </c>
      <c r="CO4035" t="s">
        <v>86</v>
      </c>
      <c r="CR4035">
        <v>24</v>
      </c>
      <c r="CS4035">
        <v>0</v>
      </c>
      <c r="CT4035">
        <v>0</v>
      </c>
      <c r="CU4035">
        <v>0</v>
      </c>
    </row>
    <row r="4036" spans="1:99" x14ac:dyDescent="0.2">
      <c r="A4036" t="s">
        <v>367</v>
      </c>
      <c r="B4036" t="s">
        <v>368</v>
      </c>
      <c r="C4036" t="s">
        <v>369</v>
      </c>
      <c r="D4036" t="s">
        <v>1497</v>
      </c>
      <c r="F4036" t="str">
        <f>"217567"</f>
        <v>217567</v>
      </c>
      <c r="G4036" t="s">
        <v>49</v>
      </c>
      <c r="H4036" t="s">
        <v>1973</v>
      </c>
      <c r="K4036" t="s">
        <v>51</v>
      </c>
      <c r="L4036" t="s">
        <v>52</v>
      </c>
      <c r="M4036">
        <v>138350.39000000001</v>
      </c>
      <c r="N4036">
        <v>467949.47399999999</v>
      </c>
      <c r="O4036" t="s">
        <v>53</v>
      </c>
      <c r="P4036" t="s">
        <v>54</v>
      </c>
      <c r="Q4036" t="s">
        <v>55</v>
      </c>
      <c r="T4036" t="s">
        <v>968</v>
      </c>
      <c r="U4036">
        <v>40</v>
      </c>
      <c r="V4036" s="1">
        <v>40861</v>
      </c>
      <c r="W4036" s="1">
        <v>40861</v>
      </c>
      <c r="X4036" s="1">
        <v>40861</v>
      </c>
      <c r="Y4036" s="1">
        <v>55471</v>
      </c>
      <c r="Z4036" t="s">
        <v>51</v>
      </c>
      <c r="AB4036" t="s">
        <v>54</v>
      </c>
      <c r="AC4036">
        <v>1</v>
      </c>
      <c r="AE4036" t="s">
        <v>222</v>
      </c>
      <c r="AF4036">
        <v>20</v>
      </c>
      <c r="AG4036" s="1">
        <v>40861</v>
      </c>
      <c r="AH4036" s="1">
        <v>40861</v>
      </c>
      <c r="AI4036" s="1">
        <v>40861</v>
      </c>
      <c r="AJ4036" s="1">
        <v>48166</v>
      </c>
      <c r="AK4036" t="s">
        <v>51</v>
      </c>
      <c r="AN4036">
        <v>0</v>
      </c>
      <c r="AO4036" t="s">
        <v>54</v>
      </c>
      <c r="AP4036" t="s">
        <v>53</v>
      </c>
      <c r="AQ4036">
        <v>0</v>
      </c>
      <c r="AR4036" t="s">
        <v>53</v>
      </c>
      <c r="AS4036">
        <v>0</v>
      </c>
      <c r="AT4036">
        <v>0</v>
      </c>
      <c r="CC4036" t="s">
        <v>432</v>
      </c>
      <c r="CD4036">
        <v>85000</v>
      </c>
      <c r="CE4036" s="1">
        <v>42552</v>
      </c>
      <c r="CF4036" s="1">
        <v>42552</v>
      </c>
      <c r="CG4036" s="1">
        <v>42552</v>
      </c>
      <c r="CH4036" s="1">
        <v>49714</v>
      </c>
      <c r="CI4036" t="s">
        <v>51</v>
      </c>
      <c r="CK4036" t="s">
        <v>78</v>
      </c>
      <c r="CM4036" t="s">
        <v>54</v>
      </c>
      <c r="CN4036" t="s">
        <v>174</v>
      </c>
      <c r="CO4036" t="s">
        <v>86</v>
      </c>
      <c r="CR4036">
        <v>24</v>
      </c>
      <c r="CS4036">
        <v>0</v>
      </c>
      <c r="CT4036">
        <v>0</v>
      </c>
      <c r="CU4036">
        <v>0</v>
      </c>
    </row>
    <row r="4037" spans="1:99" x14ac:dyDescent="0.2">
      <c r="A4037" t="s">
        <v>367</v>
      </c>
      <c r="B4037" t="s">
        <v>368</v>
      </c>
      <c r="C4037" t="s">
        <v>369</v>
      </c>
      <c r="D4037" t="s">
        <v>1497</v>
      </c>
      <c r="F4037" t="str">
        <f>"254254"</f>
        <v>254254</v>
      </c>
      <c r="G4037" t="s">
        <v>49</v>
      </c>
      <c r="H4037" t="s">
        <v>1974</v>
      </c>
      <c r="K4037" t="s">
        <v>51</v>
      </c>
      <c r="L4037" t="s">
        <v>52</v>
      </c>
      <c r="M4037">
        <v>138374.34400000001</v>
      </c>
      <c r="N4037">
        <v>467946.88400000002</v>
      </c>
      <c r="O4037" t="s">
        <v>53</v>
      </c>
      <c r="P4037" t="s">
        <v>54</v>
      </c>
      <c r="Q4037" t="s">
        <v>55</v>
      </c>
      <c r="T4037" t="s">
        <v>968</v>
      </c>
      <c r="U4037">
        <v>40</v>
      </c>
      <c r="V4037" s="1">
        <v>40861</v>
      </c>
      <c r="W4037" s="1">
        <v>40861</v>
      </c>
      <c r="X4037" s="1">
        <v>40861</v>
      </c>
      <c r="Y4037" s="1">
        <v>55471</v>
      </c>
      <c r="Z4037" t="s">
        <v>51</v>
      </c>
      <c r="AB4037" t="s">
        <v>54</v>
      </c>
      <c r="AC4037">
        <v>1</v>
      </c>
      <c r="AE4037" t="s">
        <v>222</v>
      </c>
      <c r="AF4037">
        <v>20</v>
      </c>
      <c r="AG4037" s="1">
        <v>40861</v>
      </c>
      <c r="AH4037" s="1">
        <v>40861</v>
      </c>
      <c r="AI4037" s="1">
        <v>40861</v>
      </c>
      <c r="AJ4037" s="1">
        <v>48166</v>
      </c>
      <c r="AK4037" t="s">
        <v>51</v>
      </c>
      <c r="AN4037">
        <v>0</v>
      </c>
      <c r="AO4037" t="s">
        <v>54</v>
      </c>
      <c r="AP4037" t="s">
        <v>53</v>
      </c>
      <c r="AQ4037">
        <v>0</v>
      </c>
      <c r="AR4037" t="s">
        <v>53</v>
      </c>
      <c r="AS4037">
        <v>0</v>
      </c>
      <c r="AT4037">
        <v>0</v>
      </c>
      <c r="CC4037" t="s">
        <v>432</v>
      </c>
      <c r="CD4037">
        <v>85000</v>
      </c>
      <c r="CE4037" s="1">
        <v>42552</v>
      </c>
      <c r="CF4037" s="1">
        <v>42552</v>
      </c>
      <c r="CG4037" s="1">
        <v>42552</v>
      </c>
      <c r="CH4037" s="1">
        <v>49714</v>
      </c>
      <c r="CI4037" t="s">
        <v>51</v>
      </c>
      <c r="CK4037" t="s">
        <v>78</v>
      </c>
      <c r="CM4037" t="s">
        <v>54</v>
      </c>
      <c r="CN4037" t="s">
        <v>174</v>
      </c>
      <c r="CO4037" t="s">
        <v>86</v>
      </c>
      <c r="CR4037">
        <v>24</v>
      </c>
      <c r="CS4037">
        <v>0</v>
      </c>
      <c r="CT4037">
        <v>0</v>
      </c>
      <c r="CU4037">
        <v>0</v>
      </c>
    </row>
    <row r="4038" spans="1:99" x14ac:dyDescent="0.2">
      <c r="A4038" t="s">
        <v>367</v>
      </c>
      <c r="B4038" t="s">
        <v>368</v>
      </c>
      <c r="C4038" t="s">
        <v>369</v>
      </c>
      <c r="D4038" t="s">
        <v>1497</v>
      </c>
      <c r="F4038" t="str">
        <f>"217569"</f>
        <v>217569</v>
      </c>
      <c r="G4038" t="s">
        <v>49</v>
      </c>
      <c r="H4038" t="s">
        <v>1975</v>
      </c>
      <c r="K4038" t="s">
        <v>51</v>
      </c>
      <c r="L4038" t="s">
        <v>52</v>
      </c>
      <c r="M4038">
        <v>138394.34400000001</v>
      </c>
      <c r="N4038">
        <v>467953.48800000001</v>
      </c>
      <c r="O4038" t="s">
        <v>53</v>
      </c>
      <c r="P4038" t="s">
        <v>54</v>
      </c>
      <c r="Q4038" t="s">
        <v>55</v>
      </c>
      <c r="T4038" t="s">
        <v>968</v>
      </c>
      <c r="U4038">
        <v>40</v>
      </c>
      <c r="V4038" s="1">
        <v>40861</v>
      </c>
      <c r="W4038" s="1">
        <v>40861</v>
      </c>
      <c r="X4038" s="1">
        <v>40861</v>
      </c>
      <c r="Y4038" s="1">
        <v>55471</v>
      </c>
      <c r="Z4038" t="s">
        <v>51</v>
      </c>
      <c r="AB4038" t="s">
        <v>54</v>
      </c>
      <c r="AC4038">
        <v>1</v>
      </c>
      <c r="AE4038" t="s">
        <v>222</v>
      </c>
      <c r="AF4038">
        <v>20</v>
      </c>
      <c r="AG4038" s="1">
        <v>40861</v>
      </c>
      <c r="AH4038" s="1">
        <v>40861</v>
      </c>
      <c r="AI4038" s="1">
        <v>40861</v>
      </c>
      <c r="AJ4038" s="1">
        <v>48166</v>
      </c>
      <c r="AK4038" t="s">
        <v>51</v>
      </c>
      <c r="AN4038">
        <v>0</v>
      </c>
      <c r="AO4038" t="s">
        <v>54</v>
      </c>
      <c r="AP4038" t="s">
        <v>53</v>
      </c>
      <c r="AQ4038">
        <v>0</v>
      </c>
      <c r="AR4038" t="s">
        <v>53</v>
      </c>
      <c r="AS4038">
        <v>0</v>
      </c>
      <c r="AT4038">
        <v>0</v>
      </c>
      <c r="CC4038" t="s">
        <v>432</v>
      </c>
      <c r="CD4038">
        <v>85000</v>
      </c>
      <c r="CE4038" s="1">
        <v>42552</v>
      </c>
      <c r="CF4038" s="1">
        <v>42552</v>
      </c>
      <c r="CG4038" s="1">
        <v>42552</v>
      </c>
      <c r="CH4038" s="1">
        <v>49714</v>
      </c>
      <c r="CI4038" t="s">
        <v>51</v>
      </c>
      <c r="CK4038" t="s">
        <v>78</v>
      </c>
      <c r="CM4038" t="s">
        <v>54</v>
      </c>
      <c r="CN4038" t="s">
        <v>174</v>
      </c>
      <c r="CO4038" t="s">
        <v>86</v>
      </c>
      <c r="CR4038">
        <v>24</v>
      </c>
      <c r="CS4038">
        <v>0</v>
      </c>
      <c r="CT4038">
        <v>0</v>
      </c>
      <c r="CU4038">
        <v>0</v>
      </c>
    </row>
    <row r="4039" spans="1:99" x14ac:dyDescent="0.2">
      <c r="A4039" t="s">
        <v>367</v>
      </c>
      <c r="B4039" t="s">
        <v>368</v>
      </c>
      <c r="C4039" t="s">
        <v>369</v>
      </c>
      <c r="D4039" t="s">
        <v>1497</v>
      </c>
      <c r="F4039" t="str">
        <f>"217570"</f>
        <v>217570</v>
      </c>
      <c r="G4039" t="s">
        <v>49</v>
      </c>
      <c r="H4039" t="s">
        <v>1976</v>
      </c>
      <c r="K4039" t="s">
        <v>51</v>
      </c>
      <c r="L4039" t="s">
        <v>52</v>
      </c>
      <c r="M4039">
        <v>138409.34</v>
      </c>
      <c r="N4039">
        <v>467952.37</v>
      </c>
      <c r="O4039" t="s">
        <v>53</v>
      </c>
      <c r="P4039" t="s">
        <v>54</v>
      </c>
      <c r="Q4039" t="s">
        <v>55</v>
      </c>
      <c r="T4039" t="s">
        <v>968</v>
      </c>
      <c r="U4039">
        <v>40</v>
      </c>
      <c r="V4039" s="1">
        <v>40861</v>
      </c>
      <c r="W4039" s="1">
        <v>40861</v>
      </c>
      <c r="X4039" s="1">
        <v>40861</v>
      </c>
      <c r="Y4039" s="1">
        <v>55471</v>
      </c>
      <c r="Z4039" t="s">
        <v>51</v>
      </c>
      <c r="AB4039" t="s">
        <v>54</v>
      </c>
      <c r="AC4039">
        <v>1</v>
      </c>
      <c r="AE4039" t="s">
        <v>222</v>
      </c>
      <c r="AF4039">
        <v>20</v>
      </c>
      <c r="AG4039" s="1">
        <v>40861</v>
      </c>
      <c r="AH4039" s="1">
        <v>40861</v>
      </c>
      <c r="AI4039" s="1">
        <v>40861</v>
      </c>
      <c r="AJ4039" s="1">
        <v>48166</v>
      </c>
      <c r="AK4039" t="s">
        <v>51</v>
      </c>
      <c r="AN4039">
        <v>0</v>
      </c>
      <c r="AO4039" t="s">
        <v>54</v>
      </c>
      <c r="AP4039" t="s">
        <v>53</v>
      </c>
      <c r="AQ4039">
        <v>0</v>
      </c>
      <c r="AR4039" t="s">
        <v>53</v>
      </c>
      <c r="AS4039">
        <v>0</v>
      </c>
      <c r="AT4039">
        <v>0</v>
      </c>
      <c r="CC4039" t="s">
        <v>432</v>
      </c>
      <c r="CD4039">
        <v>85000</v>
      </c>
      <c r="CE4039" s="1">
        <v>42552</v>
      </c>
      <c r="CF4039" s="1">
        <v>42552</v>
      </c>
      <c r="CG4039" s="1">
        <v>42552</v>
      </c>
      <c r="CH4039" s="1">
        <v>49714</v>
      </c>
      <c r="CI4039" t="s">
        <v>51</v>
      </c>
      <c r="CK4039" t="s">
        <v>78</v>
      </c>
      <c r="CM4039" t="s">
        <v>54</v>
      </c>
      <c r="CN4039" t="s">
        <v>174</v>
      </c>
      <c r="CO4039" t="s">
        <v>86</v>
      </c>
      <c r="CR4039">
        <v>24</v>
      </c>
      <c r="CS4039">
        <v>0</v>
      </c>
      <c r="CT4039">
        <v>0</v>
      </c>
      <c r="CU4039">
        <v>0</v>
      </c>
    </row>
    <row r="4040" spans="1:99" x14ac:dyDescent="0.2">
      <c r="A4040" t="s">
        <v>367</v>
      </c>
      <c r="B4040" t="s">
        <v>368</v>
      </c>
      <c r="C4040" t="s">
        <v>369</v>
      </c>
      <c r="D4040" t="s">
        <v>1497</v>
      </c>
      <c r="F4040" t="str">
        <f>"217571"</f>
        <v>217571</v>
      </c>
      <c r="G4040" t="s">
        <v>49</v>
      </c>
      <c r="H4040" t="s">
        <v>1977</v>
      </c>
      <c r="K4040" t="s">
        <v>51</v>
      </c>
      <c r="L4040" t="s">
        <v>52</v>
      </c>
      <c r="M4040">
        <v>138437.364</v>
      </c>
      <c r="N4040">
        <v>467940.31400000001</v>
      </c>
      <c r="O4040" t="s">
        <v>53</v>
      </c>
      <c r="P4040" t="s">
        <v>54</v>
      </c>
      <c r="Q4040" t="s">
        <v>55</v>
      </c>
      <c r="T4040" t="s">
        <v>968</v>
      </c>
      <c r="U4040">
        <v>40</v>
      </c>
      <c r="V4040" s="1">
        <v>40861</v>
      </c>
      <c r="W4040" s="1">
        <v>40861</v>
      </c>
      <c r="X4040" s="1">
        <v>40861</v>
      </c>
      <c r="Y4040" s="1">
        <v>55471</v>
      </c>
      <c r="Z4040" t="s">
        <v>51</v>
      </c>
      <c r="AB4040" t="s">
        <v>54</v>
      </c>
      <c r="AC4040">
        <v>1</v>
      </c>
      <c r="AE4040" t="s">
        <v>222</v>
      </c>
      <c r="AF4040">
        <v>20</v>
      </c>
      <c r="AG4040" s="1">
        <v>40861</v>
      </c>
      <c r="AH4040" s="1">
        <v>40861</v>
      </c>
      <c r="AI4040" s="1">
        <v>40861</v>
      </c>
      <c r="AJ4040" s="1">
        <v>48166</v>
      </c>
      <c r="AK4040" t="s">
        <v>51</v>
      </c>
      <c r="AN4040">
        <v>0</v>
      </c>
      <c r="AO4040" t="s">
        <v>54</v>
      </c>
      <c r="AP4040" t="s">
        <v>53</v>
      </c>
      <c r="AQ4040">
        <v>0</v>
      </c>
      <c r="AR4040" t="s">
        <v>53</v>
      </c>
      <c r="AS4040">
        <v>0</v>
      </c>
      <c r="AT4040">
        <v>0</v>
      </c>
      <c r="CC4040" t="s">
        <v>432</v>
      </c>
      <c r="CD4040">
        <v>85000</v>
      </c>
      <c r="CE4040" s="1">
        <v>42552</v>
      </c>
      <c r="CF4040" s="1">
        <v>42552</v>
      </c>
      <c r="CG4040" s="1">
        <v>42552</v>
      </c>
      <c r="CH4040" s="1">
        <v>49714</v>
      </c>
      <c r="CI4040" t="s">
        <v>51</v>
      </c>
      <c r="CK4040" t="s">
        <v>78</v>
      </c>
      <c r="CM4040" t="s">
        <v>54</v>
      </c>
      <c r="CN4040" t="s">
        <v>174</v>
      </c>
      <c r="CO4040" t="s">
        <v>86</v>
      </c>
      <c r="CR4040">
        <v>24</v>
      </c>
      <c r="CS4040">
        <v>0</v>
      </c>
      <c r="CT4040">
        <v>0</v>
      </c>
      <c r="CU4040">
        <v>0</v>
      </c>
    </row>
    <row r="4041" spans="1:99" x14ac:dyDescent="0.2">
      <c r="A4041" t="s">
        <v>367</v>
      </c>
      <c r="B4041" t="s">
        <v>368</v>
      </c>
      <c r="C4041" t="s">
        <v>369</v>
      </c>
      <c r="D4041" t="s">
        <v>1403</v>
      </c>
      <c r="F4041" t="str">
        <f>"253342"</f>
        <v>253342</v>
      </c>
      <c r="G4041" t="s">
        <v>49</v>
      </c>
      <c r="H4041" t="s">
        <v>1978</v>
      </c>
      <c r="K4041" t="s">
        <v>51</v>
      </c>
      <c r="L4041" t="s">
        <v>52</v>
      </c>
      <c r="M4041">
        <v>137741.54999999999</v>
      </c>
      <c r="N4041">
        <v>467457.66</v>
      </c>
      <c r="O4041" t="s">
        <v>53</v>
      </c>
      <c r="P4041" t="s">
        <v>54</v>
      </c>
      <c r="Q4041" t="s">
        <v>55</v>
      </c>
      <c r="T4041" t="s">
        <v>372</v>
      </c>
      <c r="U4041">
        <v>40</v>
      </c>
      <c r="V4041" s="1">
        <v>37014</v>
      </c>
      <c r="W4041" s="1">
        <v>37014</v>
      </c>
      <c r="X4041" s="1">
        <v>37014</v>
      </c>
      <c r="Y4041" s="1">
        <v>51624</v>
      </c>
      <c r="Z4041" t="s">
        <v>51</v>
      </c>
      <c r="AB4041" t="s">
        <v>54</v>
      </c>
      <c r="AC4041">
        <v>1</v>
      </c>
      <c r="AE4041" t="s">
        <v>844</v>
      </c>
      <c r="AF4041">
        <v>20</v>
      </c>
      <c r="AG4041" s="1">
        <v>35766</v>
      </c>
      <c r="AH4041" s="1">
        <v>35766</v>
      </c>
      <c r="AI4041" s="1">
        <v>37014</v>
      </c>
      <c r="AJ4041" s="1">
        <v>43071</v>
      </c>
      <c r="AK4041" t="s">
        <v>51</v>
      </c>
      <c r="AN4041">
        <v>0</v>
      </c>
      <c r="AO4041" t="s">
        <v>54</v>
      </c>
      <c r="AP4041" t="s">
        <v>53</v>
      </c>
      <c r="AQ4041">
        <v>0</v>
      </c>
      <c r="AR4041" t="s">
        <v>53</v>
      </c>
      <c r="AS4041">
        <v>0</v>
      </c>
      <c r="AT4041">
        <v>0</v>
      </c>
      <c r="CC4041" t="s">
        <v>555</v>
      </c>
      <c r="CD4041">
        <v>85000</v>
      </c>
      <c r="CE4041" s="1">
        <v>43444</v>
      </c>
      <c r="CF4041" s="1">
        <v>43444</v>
      </c>
      <c r="CG4041" s="1">
        <v>43444</v>
      </c>
      <c r="CH4041" s="1">
        <v>50647</v>
      </c>
      <c r="CI4041" t="s">
        <v>51</v>
      </c>
      <c r="CK4041" t="s">
        <v>78</v>
      </c>
      <c r="CM4041" t="s">
        <v>54</v>
      </c>
      <c r="CN4041" t="s">
        <v>174</v>
      </c>
      <c r="CO4041" t="s">
        <v>86</v>
      </c>
      <c r="CR4041">
        <v>20</v>
      </c>
      <c r="CS4041">
        <v>0</v>
      </c>
      <c r="CT4041">
        <v>0</v>
      </c>
      <c r="CU4041">
        <v>0</v>
      </c>
    </row>
    <row r="4042" spans="1:99" x14ac:dyDescent="0.2">
      <c r="A4042" t="s">
        <v>367</v>
      </c>
      <c r="B4042" t="s">
        <v>440</v>
      </c>
      <c r="C4042" t="s">
        <v>441</v>
      </c>
      <c r="D4042" t="s">
        <v>1201</v>
      </c>
      <c r="F4042" t="str">
        <f>"253415"</f>
        <v>253415</v>
      </c>
      <c r="G4042" t="s">
        <v>49</v>
      </c>
      <c r="K4042" t="s">
        <v>51</v>
      </c>
      <c r="L4042" t="s">
        <v>52</v>
      </c>
      <c r="M4042">
        <v>138011.03</v>
      </c>
      <c r="N4042">
        <v>468944.97</v>
      </c>
      <c r="O4042" t="s">
        <v>53</v>
      </c>
      <c r="P4042" t="s">
        <v>54</v>
      </c>
      <c r="Q4042" t="s">
        <v>55</v>
      </c>
      <c r="T4042" t="s">
        <v>431</v>
      </c>
      <c r="U4042">
        <v>40</v>
      </c>
      <c r="V4042" s="1">
        <v>25569</v>
      </c>
      <c r="W4042" s="1">
        <v>25569</v>
      </c>
      <c r="X4042" s="1">
        <v>25569</v>
      </c>
      <c r="Y4042" s="1">
        <v>40179</v>
      </c>
      <c r="Z4042" t="s">
        <v>51</v>
      </c>
      <c r="AB4042" t="s">
        <v>54</v>
      </c>
      <c r="AD4042" t="s">
        <v>809</v>
      </c>
      <c r="AE4042" t="s">
        <v>810</v>
      </c>
      <c r="AF4042">
        <v>20</v>
      </c>
      <c r="AG4042" s="1">
        <v>43282</v>
      </c>
      <c r="AH4042" s="1">
        <v>43282</v>
      </c>
      <c r="AI4042" s="1">
        <v>43282</v>
      </c>
      <c r="AJ4042" s="1">
        <v>50587</v>
      </c>
      <c r="AK4042" t="s">
        <v>51</v>
      </c>
      <c r="AN4042">
        <v>0</v>
      </c>
      <c r="AO4042" t="s">
        <v>54</v>
      </c>
      <c r="AP4042" t="s">
        <v>53</v>
      </c>
      <c r="AQ4042">
        <v>0</v>
      </c>
      <c r="AR4042" t="s">
        <v>53</v>
      </c>
      <c r="AS4042">
        <v>0</v>
      </c>
      <c r="AT4042">
        <v>0</v>
      </c>
      <c r="CC4042" t="s">
        <v>669</v>
      </c>
      <c r="CD4042">
        <v>85000</v>
      </c>
      <c r="CE4042" s="1">
        <v>43282</v>
      </c>
      <c r="CF4042" s="1">
        <v>43282</v>
      </c>
      <c r="CG4042" s="1">
        <v>43282</v>
      </c>
      <c r="CH4042" s="1">
        <v>50869</v>
      </c>
      <c r="CI4042" t="s">
        <v>51</v>
      </c>
      <c r="CK4042" t="s">
        <v>78</v>
      </c>
      <c r="CM4042" t="s">
        <v>54</v>
      </c>
      <c r="CN4042" t="s">
        <v>174</v>
      </c>
      <c r="CO4042" t="s">
        <v>86</v>
      </c>
      <c r="CR4042">
        <v>50</v>
      </c>
      <c r="CS4042">
        <v>0</v>
      </c>
      <c r="CT4042">
        <v>0</v>
      </c>
      <c r="CU4042">
        <v>0</v>
      </c>
    </row>
    <row r="4043" spans="1:99" x14ac:dyDescent="0.2">
      <c r="A4043" t="s">
        <v>367</v>
      </c>
      <c r="B4043" t="s">
        <v>440</v>
      </c>
      <c r="C4043" t="s">
        <v>441</v>
      </c>
      <c r="D4043" t="s">
        <v>1201</v>
      </c>
      <c r="F4043" t="str">
        <f>"253416"</f>
        <v>253416</v>
      </c>
      <c r="G4043" t="s">
        <v>49</v>
      </c>
      <c r="H4043" t="s">
        <v>1979</v>
      </c>
      <c r="K4043" t="s">
        <v>51</v>
      </c>
      <c r="L4043" t="s">
        <v>52</v>
      </c>
      <c r="M4043">
        <v>138015.20000000001</v>
      </c>
      <c r="N4043">
        <v>468962.03</v>
      </c>
      <c r="O4043" t="s">
        <v>53</v>
      </c>
      <c r="P4043" t="s">
        <v>54</v>
      </c>
      <c r="Q4043" t="s">
        <v>55</v>
      </c>
      <c r="T4043" t="s">
        <v>246</v>
      </c>
      <c r="U4043">
        <v>40</v>
      </c>
      <c r="V4043" s="1">
        <v>42917</v>
      </c>
      <c r="W4043" s="1">
        <v>42917</v>
      </c>
      <c r="X4043" s="1">
        <v>42917</v>
      </c>
      <c r="Y4043" s="1">
        <v>57527</v>
      </c>
      <c r="Z4043" t="s">
        <v>51</v>
      </c>
      <c r="AB4043" t="s">
        <v>54</v>
      </c>
      <c r="AE4043" t="s">
        <v>1065</v>
      </c>
      <c r="AF4043">
        <v>20</v>
      </c>
      <c r="AG4043" s="1">
        <v>42917</v>
      </c>
      <c r="AH4043" s="1">
        <v>42917</v>
      </c>
      <c r="AI4043" s="1">
        <v>42917</v>
      </c>
      <c r="AJ4043" s="1">
        <v>50222</v>
      </c>
      <c r="AK4043" t="s">
        <v>51</v>
      </c>
      <c r="AN4043">
        <v>0</v>
      </c>
      <c r="AO4043" t="s">
        <v>54</v>
      </c>
      <c r="AP4043" t="s">
        <v>53</v>
      </c>
      <c r="AQ4043">
        <v>0</v>
      </c>
      <c r="AR4043" t="s">
        <v>53</v>
      </c>
      <c r="AS4043">
        <v>0</v>
      </c>
      <c r="AT4043">
        <v>0</v>
      </c>
      <c r="AW4043" t="s">
        <v>172</v>
      </c>
      <c r="AX4043">
        <v>15</v>
      </c>
      <c r="AY4043" s="1">
        <v>42917</v>
      </c>
      <c r="AZ4043" s="1">
        <v>42917</v>
      </c>
      <c r="BA4043" s="1">
        <v>42917</v>
      </c>
      <c r="BB4043" s="1">
        <v>48396</v>
      </c>
      <c r="BC4043" t="s">
        <v>51</v>
      </c>
      <c r="BE4043" t="s">
        <v>54</v>
      </c>
      <c r="BF4043">
        <v>40</v>
      </c>
      <c r="BG4043">
        <v>0</v>
      </c>
      <c r="BH4043" t="s">
        <v>145</v>
      </c>
      <c r="CC4043" t="s">
        <v>250</v>
      </c>
      <c r="CD4043">
        <v>100000</v>
      </c>
      <c r="CE4043" s="1">
        <v>42917</v>
      </c>
      <c r="CF4043" s="1">
        <v>42917</v>
      </c>
      <c r="CG4043" s="1">
        <v>42917</v>
      </c>
      <c r="CH4043" s="1">
        <v>51866</v>
      </c>
      <c r="CI4043" t="s">
        <v>51</v>
      </c>
      <c r="CK4043" t="s">
        <v>78</v>
      </c>
      <c r="CM4043" t="s">
        <v>54</v>
      </c>
      <c r="CN4043" t="s">
        <v>174</v>
      </c>
      <c r="CR4043">
        <v>13.2</v>
      </c>
      <c r="CS4043">
        <v>1800</v>
      </c>
      <c r="CT4043">
        <v>0</v>
      </c>
      <c r="CU4043">
        <v>16</v>
      </c>
    </row>
    <row r="4044" spans="1:99" x14ac:dyDescent="0.2">
      <c r="A4044" t="s">
        <v>367</v>
      </c>
      <c r="B4044" t="s">
        <v>440</v>
      </c>
      <c r="C4044" t="s">
        <v>441</v>
      </c>
      <c r="D4044" t="s">
        <v>1201</v>
      </c>
      <c r="F4044" t="str">
        <f>"253417"</f>
        <v>253417</v>
      </c>
      <c r="G4044" t="s">
        <v>49</v>
      </c>
      <c r="H4044" t="s">
        <v>1979</v>
      </c>
      <c r="K4044" t="s">
        <v>51</v>
      </c>
      <c r="L4044" t="s">
        <v>52</v>
      </c>
      <c r="M4044">
        <v>137994.073</v>
      </c>
      <c r="N4044">
        <v>468952.09100000001</v>
      </c>
      <c r="O4044" t="s">
        <v>53</v>
      </c>
      <c r="P4044" t="s">
        <v>54</v>
      </c>
      <c r="Q4044" t="s">
        <v>55</v>
      </c>
      <c r="T4044" t="s">
        <v>246</v>
      </c>
      <c r="U4044">
        <v>40</v>
      </c>
      <c r="V4044" s="1">
        <v>42917</v>
      </c>
      <c r="W4044" s="1">
        <v>42917</v>
      </c>
      <c r="X4044" s="1">
        <v>42917</v>
      </c>
      <c r="Y4044" s="1">
        <v>57527</v>
      </c>
      <c r="Z4044" t="s">
        <v>51</v>
      </c>
      <c r="AB4044" t="s">
        <v>54</v>
      </c>
      <c r="AE4044" t="s">
        <v>1065</v>
      </c>
      <c r="AF4044">
        <v>20</v>
      </c>
      <c r="AG4044" s="1">
        <v>42917</v>
      </c>
      <c r="AH4044" s="1">
        <v>42917</v>
      </c>
      <c r="AI4044" s="1">
        <v>42917</v>
      </c>
      <c r="AJ4044" s="1">
        <v>50222</v>
      </c>
      <c r="AK4044" t="s">
        <v>51</v>
      </c>
      <c r="AN4044">
        <v>0</v>
      </c>
      <c r="AO4044" t="s">
        <v>54</v>
      </c>
      <c r="AP4044" t="s">
        <v>53</v>
      </c>
      <c r="AQ4044">
        <v>0</v>
      </c>
      <c r="AR4044" t="s">
        <v>53</v>
      </c>
      <c r="AS4044">
        <v>0</v>
      </c>
      <c r="AT4044">
        <v>0</v>
      </c>
      <c r="AW4044" t="s">
        <v>172</v>
      </c>
      <c r="AX4044">
        <v>15</v>
      </c>
      <c r="AY4044" s="1">
        <v>42917</v>
      </c>
      <c r="AZ4044" s="1">
        <v>42917</v>
      </c>
      <c r="BA4044" s="1">
        <v>42917</v>
      </c>
      <c r="BB4044" s="1">
        <v>48396</v>
      </c>
      <c r="BC4044" t="s">
        <v>51</v>
      </c>
      <c r="BE4044" t="s">
        <v>54</v>
      </c>
      <c r="BF4044">
        <v>40</v>
      </c>
      <c r="BG4044">
        <v>0</v>
      </c>
      <c r="BH4044" t="s">
        <v>145</v>
      </c>
      <c r="CC4044" t="s">
        <v>250</v>
      </c>
      <c r="CD4044">
        <v>100000</v>
      </c>
      <c r="CE4044" s="1">
        <v>42917</v>
      </c>
      <c r="CF4044" s="1">
        <v>42917</v>
      </c>
      <c r="CG4044" s="1">
        <v>42917</v>
      </c>
      <c r="CH4044" s="1">
        <v>51866</v>
      </c>
      <c r="CI4044" t="s">
        <v>51</v>
      </c>
      <c r="CK4044" t="s">
        <v>78</v>
      </c>
      <c r="CM4044" t="s">
        <v>54</v>
      </c>
      <c r="CN4044" t="s">
        <v>174</v>
      </c>
      <c r="CR4044">
        <v>13.2</v>
      </c>
      <c r="CS4044">
        <v>1800</v>
      </c>
      <c r="CT4044">
        <v>0</v>
      </c>
      <c r="CU4044">
        <v>16</v>
      </c>
    </row>
    <row r="4045" spans="1:99" x14ac:dyDescent="0.2">
      <c r="A4045" t="s">
        <v>367</v>
      </c>
      <c r="B4045" t="s">
        <v>440</v>
      </c>
      <c r="C4045" t="s">
        <v>441</v>
      </c>
      <c r="D4045" t="s">
        <v>1201</v>
      </c>
      <c r="F4045" t="str">
        <f>"253418"</f>
        <v>253418</v>
      </c>
      <c r="G4045" t="s">
        <v>49</v>
      </c>
      <c r="H4045" t="s">
        <v>1979</v>
      </c>
      <c r="K4045" t="s">
        <v>51</v>
      </c>
      <c r="L4045" t="s">
        <v>52</v>
      </c>
      <c r="M4045">
        <v>137958.57</v>
      </c>
      <c r="N4045">
        <v>468933.27</v>
      </c>
      <c r="O4045" t="s">
        <v>53</v>
      </c>
      <c r="P4045" t="s">
        <v>54</v>
      </c>
      <c r="Q4045" t="s">
        <v>55</v>
      </c>
      <c r="T4045" t="s">
        <v>246</v>
      </c>
      <c r="U4045">
        <v>40</v>
      </c>
      <c r="V4045" s="1">
        <v>42917</v>
      </c>
      <c r="W4045" s="1">
        <v>42917</v>
      </c>
      <c r="X4045" s="1">
        <v>42917</v>
      </c>
      <c r="Y4045" s="1">
        <v>57527</v>
      </c>
      <c r="Z4045" t="s">
        <v>51</v>
      </c>
      <c r="AB4045" t="s">
        <v>54</v>
      </c>
      <c r="AE4045" t="s">
        <v>1065</v>
      </c>
      <c r="AF4045">
        <v>20</v>
      </c>
      <c r="AG4045" s="1">
        <v>42917</v>
      </c>
      <c r="AH4045" s="1">
        <v>42917</v>
      </c>
      <c r="AI4045" s="1">
        <v>42917</v>
      </c>
      <c r="AJ4045" s="1">
        <v>50222</v>
      </c>
      <c r="AK4045" t="s">
        <v>51</v>
      </c>
      <c r="AN4045">
        <v>0</v>
      </c>
      <c r="AO4045" t="s">
        <v>54</v>
      </c>
      <c r="AP4045" t="s">
        <v>53</v>
      </c>
      <c r="AQ4045">
        <v>0</v>
      </c>
      <c r="AR4045" t="s">
        <v>53</v>
      </c>
      <c r="AS4045">
        <v>0</v>
      </c>
      <c r="AT4045">
        <v>0</v>
      </c>
      <c r="AW4045" t="s">
        <v>172</v>
      </c>
      <c r="AX4045">
        <v>15</v>
      </c>
      <c r="AY4045" s="1">
        <v>42917</v>
      </c>
      <c r="AZ4045" s="1">
        <v>42917</v>
      </c>
      <c r="BA4045" s="1">
        <v>42917</v>
      </c>
      <c r="BB4045" s="1">
        <v>48396</v>
      </c>
      <c r="BC4045" t="s">
        <v>51</v>
      </c>
      <c r="BE4045" t="s">
        <v>54</v>
      </c>
      <c r="BF4045">
        <v>40</v>
      </c>
      <c r="BG4045">
        <v>0</v>
      </c>
      <c r="BH4045" t="s">
        <v>145</v>
      </c>
      <c r="CC4045" t="s">
        <v>250</v>
      </c>
      <c r="CD4045">
        <v>100000</v>
      </c>
      <c r="CE4045" s="1">
        <v>42917</v>
      </c>
      <c r="CF4045" s="1">
        <v>42917</v>
      </c>
      <c r="CG4045" s="1">
        <v>42917</v>
      </c>
      <c r="CH4045" s="1">
        <v>51866</v>
      </c>
      <c r="CI4045" t="s">
        <v>51</v>
      </c>
      <c r="CK4045" t="s">
        <v>78</v>
      </c>
      <c r="CM4045" t="s">
        <v>54</v>
      </c>
      <c r="CN4045" t="s">
        <v>174</v>
      </c>
      <c r="CR4045">
        <v>13.2</v>
      </c>
      <c r="CS4045">
        <v>1800</v>
      </c>
      <c r="CT4045">
        <v>0</v>
      </c>
      <c r="CU4045">
        <v>16</v>
      </c>
    </row>
    <row r="4046" spans="1:99" x14ac:dyDescent="0.2">
      <c r="A4046" t="s">
        <v>367</v>
      </c>
      <c r="B4046" t="s">
        <v>440</v>
      </c>
      <c r="C4046" t="s">
        <v>441</v>
      </c>
      <c r="D4046" t="s">
        <v>1201</v>
      </c>
      <c r="F4046" t="str">
        <f>"253419"</f>
        <v>253419</v>
      </c>
      <c r="G4046" t="s">
        <v>49</v>
      </c>
      <c r="K4046" t="s">
        <v>51</v>
      </c>
      <c r="L4046" t="s">
        <v>52</v>
      </c>
      <c r="M4046">
        <v>137964.78</v>
      </c>
      <c r="N4046">
        <v>468924.74</v>
      </c>
      <c r="O4046" t="s">
        <v>53</v>
      </c>
      <c r="P4046" t="s">
        <v>54</v>
      </c>
      <c r="Q4046" t="s">
        <v>55</v>
      </c>
      <c r="T4046" t="s">
        <v>431</v>
      </c>
      <c r="U4046">
        <v>40</v>
      </c>
      <c r="V4046" s="1">
        <v>25569</v>
      </c>
      <c r="W4046" s="1">
        <v>25569</v>
      </c>
      <c r="X4046" s="1">
        <v>25569</v>
      </c>
      <c r="Y4046" s="1">
        <v>40179</v>
      </c>
      <c r="Z4046" t="s">
        <v>51</v>
      </c>
      <c r="AB4046" t="s">
        <v>54</v>
      </c>
      <c r="AD4046" t="s">
        <v>809</v>
      </c>
      <c r="AE4046" t="s">
        <v>810</v>
      </c>
      <c r="AF4046">
        <v>20</v>
      </c>
      <c r="AG4046" s="1">
        <v>43282</v>
      </c>
      <c r="AH4046" s="1">
        <v>43282</v>
      </c>
      <c r="AI4046" s="1">
        <v>43282</v>
      </c>
      <c r="AK4046" t="s">
        <v>51</v>
      </c>
      <c r="AN4046">
        <v>0</v>
      </c>
      <c r="AO4046" t="s">
        <v>54</v>
      </c>
      <c r="AP4046" t="s">
        <v>53</v>
      </c>
      <c r="AQ4046">
        <v>0</v>
      </c>
      <c r="AR4046" t="s">
        <v>53</v>
      </c>
      <c r="AS4046">
        <v>0</v>
      </c>
      <c r="AT4046">
        <v>0</v>
      </c>
      <c r="CC4046" t="s">
        <v>669</v>
      </c>
      <c r="CD4046">
        <v>85000</v>
      </c>
      <c r="CE4046" s="1">
        <v>43282</v>
      </c>
      <c r="CF4046" s="1">
        <v>43282</v>
      </c>
      <c r="CG4046" s="1">
        <v>43282</v>
      </c>
      <c r="CI4046" t="s">
        <v>51</v>
      </c>
      <c r="CK4046" t="s">
        <v>78</v>
      </c>
      <c r="CM4046" t="s">
        <v>54</v>
      </c>
      <c r="CN4046" t="s">
        <v>174</v>
      </c>
      <c r="CO4046" t="s">
        <v>86</v>
      </c>
      <c r="CR4046">
        <v>50</v>
      </c>
      <c r="CS4046">
        <v>0</v>
      </c>
      <c r="CT4046">
        <v>0</v>
      </c>
      <c r="CU4046">
        <v>0</v>
      </c>
    </row>
    <row r="4047" spans="1:99" x14ac:dyDescent="0.2">
      <c r="A4047" t="s">
        <v>367</v>
      </c>
      <c r="B4047" t="s">
        <v>440</v>
      </c>
      <c r="C4047" t="s">
        <v>441</v>
      </c>
      <c r="D4047" t="s">
        <v>1201</v>
      </c>
      <c r="F4047" t="str">
        <f>"253420"</f>
        <v>253420</v>
      </c>
      <c r="G4047" t="s">
        <v>49</v>
      </c>
      <c r="H4047" t="s">
        <v>1979</v>
      </c>
      <c r="K4047" t="s">
        <v>51</v>
      </c>
      <c r="L4047" t="s">
        <v>52</v>
      </c>
      <c r="M4047">
        <v>137929.62899999999</v>
      </c>
      <c r="N4047">
        <v>468918.74900000001</v>
      </c>
      <c r="O4047" t="s">
        <v>53</v>
      </c>
      <c r="P4047" t="s">
        <v>54</v>
      </c>
      <c r="Q4047" t="s">
        <v>55</v>
      </c>
      <c r="T4047" t="s">
        <v>246</v>
      </c>
      <c r="U4047">
        <v>40</v>
      </c>
      <c r="V4047" s="1">
        <v>42917</v>
      </c>
      <c r="W4047" s="1">
        <v>42917</v>
      </c>
      <c r="X4047" s="1">
        <v>42917</v>
      </c>
      <c r="Y4047" s="1">
        <v>57527</v>
      </c>
      <c r="Z4047" t="s">
        <v>51</v>
      </c>
      <c r="AB4047" t="s">
        <v>54</v>
      </c>
      <c r="AE4047" t="s">
        <v>1065</v>
      </c>
      <c r="AF4047">
        <v>20</v>
      </c>
      <c r="AG4047" s="1">
        <v>42917</v>
      </c>
      <c r="AH4047" s="1">
        <v>42917</v>
      </c>
      <c r="AI4047" s="1">
        <v>42917</v>
      </c>
      <c r="AJ4047" s="1">
        <v>50222</v>
      </c>
      <c r="AK4047" t="s">
        <v>51</v>
      </c>
      <c r="AN4047">
        <v>0</v>
      </c>
      <c r="AO4047" t="s">
        <v>54</v>
      </c>
      <c r="AP4047" t="s">
        <v>53</v>
      </c>
      <c r="AQ4047">
        <v>0</v>
      </c>
      <c r="AR4047" t="s">
        <v>53</v>
      </c>
      <c r="AS4047">
        <v>0</v>
      </c>
      <c r="AT4047">
        <v>0</v>
      </c>
      <c r="AW4047" t="s">
        <v>172</v>
      </c>
      <c r="AX4047">
        <v>15</v>
      </c>
      <c r="AY4047" s="1">
        <v>42917</v>
      </c>
      <c r="AZ4047" s="1">
        <v>42917</v>
      </c>
      <c r="BA4047" s="1">
        <v>42917</v>
      </c>
      <c r="BB4047" s="1">
        <v>48396</v>
      </c>
      <c r="BC4047" t="s">
        <v>51</v>
      </c>
      <c r="BE4047" t="s">
        <v>54</v>
      </c>
      <c r="BF4047">
        <v>40</v>
      </c>
      <c r="BG4047">
        <v>0</v>
      </c>
      <c r="BH4047" t="s">
        <v>145</v>
      </c>
      <c r="CC4047" t="s">
        <v>250</v>
      </c>
      <c r="CD4047">
        <v>100000</v>
      </c>
      <c r="CE4047" s="1">
        <v>42917</v>
      </c>
      <c r="CF4047" s="1">
        <v>42917</v>
      </c>
      <c r="CG4047" s="1">
        <v>42917</v>
      </c>
      <c r="CH4047" s="1">
        <v>51866</v>
      </c>
      <c r="CI4047" t="s">
        <v>51</v>
      </c>
      <c r="CK4047" t="s">
        <v>78</v>
      </c>
      <c r="CM4047" t="s">
        <v>54</v>
      </c>
      <c r="CN4047" t="s">
        <v>174</v>
      </c>
      <c r="CR4047">
        <v>13.2</v>
      </c>
      <c r="CS4047">
        <v>1800</v>
      </c>
      <c r="CT4047">
        <v>0</v>
      </c>
      <c r="CU4047">
        <v>16</v>
      </c>
    </row>
    <row r="4048" spans="1:99" x14ac:dyDescent="0.2">
      <c r="A4048" t="s">
        <v>367</v>
      </c>
      <c r="B4048" t="s">
        <v>440</v>
      </c>
      <c r="C4048" t="s">
        <v>441</v>
      </c>
      <c r="D4048" t="s">
        <v>1201</v>
      </c>
      <c r="F4048" t="str">
        <f>"253421"</f>
        <v>253421</v>
      </c>
      <c r="G4048" t="s">
        <v>49</v>
      </c>
      <c r="H4048" t="s">
        <v>1979</v>
      </c>
      <c r="K4048" t="s">
        <v>51</v>
      </c>
      <c r="L4048" t="s">
        <v>52</v>
      </c>
      <c r="M4048">
        <v>137906.65400000001</v>
      </c>
      <c r="N4048">
        <v>468906.04700000002</v>
      </c>
      <c r="O4048" t="s">
        <v>53</v>
      </c>
      <c r="P4048" t="s">
        <v>54</v>
      </c>
      <c r="Q4048" t="s">
        <v>55</v>
      </c>
      <c r="T4048" t="s">
        <v>246</v>
      </c>
      <c r="U4048">
        <v>40</v>
      </c>
      <c r="V4048" s="1">
        <v>42917</v>
      </c>
      <c r="W4048" s="1">
        <v>42917</v>
      </c>
      <c r="X4048" s="1">
        <v>42917</v>
      </c>
      <c r="Y4048" s="1">
        <v>57527</v>
      </c>
      <c r="Z4048" t="s">
        <v>51</v>
      </c>
      <c r="AB4048" t="s">
        <v>54</v>
      </c>
      <c r="AE4048" t="s">
        <v>1065</v>
      </c>
      <c r="AF4048">
        <v>20</v>
      </c>
      <c r="AG4048" s="1">
        <v>42917</v>
      </c>
      <c r="AH4048" s="1">
        <v>42917</v>
      </c>
      <c r="AI4048" s="1">
        <v>42917</v>
      </c>
      <c r="AJ4048" s="1">
        <v>50222</v>
      </c>
      <c r="AK4048" t="s">
        <v>51</v>
      </c>
      <c r="AN4048">
        <v>0</v>
      </c>
      <c r="AO4048" t="s">
        <v>54</v>
      </c>
      <c r="AP4048" t="s">
        <v>53</v>
      </c>
      <c r="AQ4048">
        <v>0</v>
      </c>
      <c r="AR4048" t="s">
        <v>53</v>
      </c>
      <c r="AS4048">
        <v>0</v>
      </c>
      <c r="AT4048">
        <v>0</v>
      </c>
      <c r="AW4048" t="s">
        <v>172</v>
      </c>
      <c r="AX4048">
        <v>15</v>
      </c>
      <c r="AY4048" s="1">
        <v>42917</v>
      </c>
      <c r="AZ4048" s="1">
        <v>42917</v>
      </c>
      <c r="BA4048" s="1">
        <v>42917</v>
      </c>
      <c r="BB4048" s="1">
        <v>48396</v>
      </c>
      <c r="BC4048" t="s">
        <v>51</v>
      </c>
      <c r="BE4048" t="s">
        <v>54</v>
      </c>
      <c r="BF4048">
        <v>40</v>
      </c>
      <c r="BG4048">
        <v>0</v>
      </c>
      <c r="BH4048" t="s">
        <v>145</v>
      </c>
      <c r="CC4048" t="s">
        <v>250</v>
      </c>
      <c r="CD4048">
        <v>100000</v>
      </c>
      <c r="CE4048" s="1">
        <v>42917</v>
      </c>
      <c r="CF4048" s="1">
        <v>42917</v>
      </c>
      <c r="CG4048" s="1">
        <v>42917</v>
      </c>
      <c r="CH4048" s="1">
        <v>51866</v>
      </c>
      <c r="CI4048" t="s">
        <v>51</v>
      </c>
      <c r="CK4048" t="s">
        <v>78</v>
      </c>
      <c r="CM4048" t="s">
        <v>54</v>
      </c>
      <c r="CN4048" t="s">
        <v>174</v>
      </c>
      <c r="CR4048">
        <v>13.2</v>
      </c>
      <c r="CS4048">
        <v>1800</v>
      </c>
      <c r="CT4048">
        <v>0</v>
      </c>
      <c r="CU4048">
        <v>16</v>
      </c>
    </row>
    <row r="4049" spans="1:99" x14ac:dyDescent="0.2">
      <c r="A4049" t="s">
        <v>367</v>
      </c>
      <c r="B4049" t="s">
        <v>440</v>
      </c>
      <c r="C4049" t="s">
        <v>441</v>
      </c>
      <c r="D4049" t="s">
        <v>1201</v>
      </c>
      <c r="F4049" t="str">
        <f>"253422"</f>
        <v>253422</v>
      </c>
      <c r="G4049" t="s">
        <v>49</v>
      </c>
      <c r="K4049" t="s">
        <v>51</v>
      </c>
      <c r="L4049" t="s">
        <v>52</v>
      </c>
      <c r="M4049">
        <v>137913.505</v>
      </c>
      <c r="N4049">
        <v>468899.75699999998</v>
      </c>
      <c r="O4049" t="s">
        <v>53</v>
      </c>
      <c r="P4049" t="s">
        <v>54</v>
      </c>
      <c r="Q4049" t="s">
        <v>55</v>
      </c>
      <c r="T4049" t="s">
        <v>431</v>
      </c>
      <c r="U4049">
        <v>40</v>
      </c>
      <c r="V4049" s="1">
        <v>25569</v>
      </c>
      <c r="W4049" s="1">
        <v>25569</v>
      </c>
      <c r="X4049" s="1">
        <v>25569</v>
      </c>
      <c r="Y4049" s="1">
        <v>40179</v>
      </c>
      <c r="Z4049" t="s">
        <v>51</v>
      </c>
      <c r="AB4049" t="s">
        <v>54</v>
      </c>
      <c r="AD4049" t="s">
        <v>809</v>
      </c>
      <c r="AE4049" t="s">
        <v>810</v>
      </c>
      <c r="AF4049">
        <v>20</v>
      </c>
      <c r="AG4049" s="1">
        <v>43282</v>
      </c>
      <c r="AH4049" s="1">
        <v>43282</v>
      </c>
      <c r="AI4049" s="1">
        <v>43282</v>
      </c>
      <c r="AK4049" t="s">
        <v>51</v>
      </c>
      <c r="AN4049">
        <v>0</v>
      </c>
      <c r="AO4049" t="s">
        <v>54</v>
      </c>
      <c r="AP4049" t="s">
        <v>53</v>
      </c>
      <c r="AQ4049">
        <v>0</v>
      </c>
      <c r="AR4049" t="s">
        <v>53</v>
      </c>
      <c r="AS4049">
        <v>0</v>
      </c>
      <c r="AT4049">
        <v>0</v>
      </c>
      <c r="CC4049" t="s">
        <v>669</v>
      </c>
      <c r="CD4049">
        <v>85000</v>
      </c>
      <c r="CE4049" s="1">
        <v>43282</v>
      </c>
      <c r="CF4049" s="1">
        <v>43282</v>
      </c>
      <c r="CG4049" s="1">
        <v>43282</v>
      </c>
      <c r="CI4049" t="s">
        <v>51</v>
      </c>
      <c r="CK4049" t="s">
        <v>78</v>
      </c>
      <c r="CM4049" t="s">
        <v>54</v>
      </c>
      <c r="CN4049" t="s">
        <v>174</v>
      </c>
      <c r="CO4049" t="s">
        <v>86</v>
      </c>
      <c r="CR4049">
        <v>50</v>
      </c>
      <c r="CS4049">
        <v>0</v>
      </c>
      <c r="CT4049">
        <v>0</v>
      </c>
      <c r="CU4049">
        <v>0</v>
      </c>
    </row>
    <row r="4050" spans="1:99" x14ac:dyDescent="0.2">
      <c r="A4050" t="s">
        <v>367</v>
      </c>
      <c r="B4050" t="s">
        <v>440</v>
      </c>
      <c r="C4050" t="s">
        <v>441</v>
      </c>
      <c r="D4050" t="s">
        <v>1201</v>
      </c>
      <c r="F4050" t="str">
        <f>"253423"</f>
        <v>253423</v>
      </c>
      <c r="G4050" t="s">
        <v>49</v>
      </c>
      <c r="H4050" t="s">
        <v>1979</v>
      </c>
      <c r="K4050" t="s">
        <v>51</v>
      </c>
      <c r="L4050" t="s">
        <v>52</v>
      </c>
      <c r="M4050">
        <v>137880.89000000001</v>
      </c>
      <c r="N4050">
        <v>468891.59</v>
      </c>
      <c r="O4050" t="s">
        <v>53</v>
      </c>
      <c r="P4050" t="s">
        <v>54</v>
      </c>
      <c r="Q4050" t="s">
        <v>55</v>
      </c>
      <c r="T4050" t="s">
        <v>246</v>
      </c>
      <c r="U4050">
        <v>40</v>
      </c>
      <c r="V4050" s="1">
        <v>42917</v>
      </c>
      <c r="W4050" s="1">
        <v>42917</v>
      </c>
      <c r="X4050" s="1">
        <v>42917</v>
      </c>
      <c r="Y4050" s="1">
        <v>57527</v>
      </c>
      <c r="Z4050" t="s">
        <v>51</v>
      </c>
      <c r="AB4050" t="s">
        <v>54</v>
      </c>
      <c r="AE4050" t="s">
        <v>1065</v>
      </c>
      <c r="AF4050">
        <v>20</v>
      </c>
      <c r="AG4050" s="1">
        <v>42917</v>
      </c>
      <c r="AH4050" s="1">
        <v>42917</v>
      </c>
      <c r="AI4050" s="1">
        <v>42917</v>
      </c>
      <c r="AJ4050" s="1">
        <v>50222</v>
      </c>
      <c r="AK4050" t="s">
        <v>51</v>
      </c>
      <c r="AN4050">
        <v>0</v>
      </c>
      <c r="AO4050" t="s">
        <v>54</v>
      </c>
      <c r="AP4050" t="s">
        <v>53</v>
      </c>
      <c r="AQ4050">
        <v>0</v>
      </c>
      <c r="AR4050" t="s">
        <v>53</v>
      </c>
      <c r="AS4050">
        <v>0</v>
      </c>
      <c r="AT4050">
        <v>0</v>
      </c>
      <c r="AW4050" t="s">
        <v>172</v>
      </c>
      <c r="AX4050">
        <v>15</v>
      </c>
      <c r="AY4050" s="1">
        <v>42917</v>
      </c>
      <c r="AZ4050" s="1">
        <v>42917</v>
      </c>
      <c r="BA4050" s="1">
        <v>42917</v>
      </c>
      <c r="BB4050" s="1">
        <v>48396</v>
      </c>
      <c r="BC4050" t="s">
        <v>51</v>
      </c>
      <c r="BE4050" t="s">
        <v>54</v>
      </c>
      <c r="BF4050">
        <v>40</v>
      </c>
      <c r="BG4050">
        <v>0</v>
      </c>
      <c r="BH4050" t="s">
        <v>145</v>
      </c>
      <c r="CC4050" t="s">
        <v>250</v>
      </c>
      <c r="CD4050">
        <v>100000</v>
      </c>
      <c r="CE4050" s="1">
        <v>42917</v>
      </c>
      <c r="CF4050" s="1">
        <v>42917</v>
      </c>
      <c r="CG4050" s="1">
        <v>42917</v>
      </c>
      <c r="CH4050" s="1">
        <v>51866</v>
      </c>
      <c r="CI4050" t="s">
        <v>51</v>
      </c>
      <c r="CK4050" t="s">
        <v>78</v>
      </c>
      <c r="CM4050" t="s">
        <v>54</v>
      </c>
      <c r="CN4050" t="s">
        <v>174</v>
      </c>
      <c r="CR4050">
        <v>13.2</v>
      </c>
      <c r="CS4050">
        <v>1800</v>
      </c>
      <c r="CT4050">
        <v>0</v>
      </c>
      <c r="CU4050">
        <v>16</v>
      </c>
    </row>
    <row r="4051" spans="1:99" x14ac:dyDescent="0.2">
      <c r="A4051" t="s">
        <v>367</v>
      </c>
      <c r="B4051" t="s">
        <v>440</v>
      </c>
      <c r="C4051" t="s">
        <v>441</v>
      </c>
      <c r="D4051" t="s">
        <v>1201</v>
      </c>
      <c r="F4051" t="str">
        <f>"253424"</f>
        <v>253424</v>
      </c>
      <c r="G4051" t="s">
        <v>49</v>
      </c>
      <c r="K4051" t="s">
        <v>51</v>
      </c>
      <c r="L4051" t="s">
        <v>52</v>
      </c>
      <c r="M4051">
        <v>137881.78</v>
      </c>
      <c r="N4051">
        <v>468883.91</v>
      </c>
      <c r="O4051" t="s">
        <v>53</v>
      </c>
      <c r="P4051" t="s">
        <v>54</v>
      </c>
      <c r="Q4051" t="s">
        <v>55</v>
      </c>
      <c r="T4051" t="s">
        <v>431</v>
      </c>
      <c r="U4051">
        <v>40</v>
      </c>
      <c r="V4051" s="1">
        <v>25569</v>
      </c>
      <c r="W4051" s="1">
        <v>25569</v>
      </c>
      <c r="X4051" s="1">
        <v>25569</v>
      </c>
      <c r="Y4051" s="1">
        <v>40179</v>
      </c>
      <c r="Z4051" t="s">
        <v>51</v>
      </c>
      <c r="AB4051" t="s">
        <v>54</v>
      </c>
      <c r="AD4051" t="s">
        <v>809</v>
      </c>
      <c r="AE4051" t="s">
        <v>810</v>
      </c>
      <c r="AF4051">
        <v>20</v>
      </c>
      <c r="AG4051" s="1">
        <v>43282</v>
      </c>
      <c r="AH4051" s="1">
        <v>43282</v>
      </c>
      <c r="AI4051" s="1">
        <v>43282</v>
      </c>
      <c r="AK4051" t="s">
        <v>51</v>
      </c>
      <c r="AN4051">
        <v>0</v>
      </c>
      <c r="AO4051" t="s">
        <v>54</v>
      </c>
      <c r="AP4051" t="s">
        <v>53</v>
      </c>
      <c r="AQ4051">
        <v>0</v>
      </c>
      <c r="AR4051" t="s">
        <v>53</v>
      </c>
      <c r="AS4051">
        <v>0</v>
      </c>
      <c r="AT4051">
        <v>0</v>
      </c>
      <c r="CC4051" t="s">
        <v>669</v>
      </c>
      <c r="CD4051">
        <v>85000</v>
      </c>
      <c r="CE4051" s="1">
        <v>43282</v>
      </c>
      <c r="CF4051" s="1">
        <v>43282</v>
      </c>
      <c r="CG4051" s="1">
        <v>43282</v>
      </c>
      <c r="CI4051" t="s">
        <v>51</v>
      </c>
      <c r="CK4051" t="s">
        <v>78</v>
      </c>
      <c r="CM4051" t="s">
        <v>54</v>
      </c>
      <c r="CN4051" t="s">
        <v>174</v>
      </c>
      <c r="CO4051" t="s">
        <v>86</v>
      </c>
      <c r="CR4051">
        <v>50</v>
      </c>
      <c r="CS4051">
        <v>0</v>
      </c>
      <c r="CT4051">
        <v>0</v>
      </c>
      <c r="CU4051">
        <v>0</v>
      </c>
    </row>
    <row r="4052" spans="1:99" x14ac:dyDescent="0.2">
      <c r="A4052" t="s">
        <v>367</v>
      </c>
      <c r="B4052" t="s">
        <v>440</v>
      </c>
      <c r="C4052" t="s">
        <v>441</v>
      </c>
      <c r="D4052" t="s">
        <v>1201</v>
      </c>
      <c r="F4052" t="str">
        <f>"253675"</f>
        <v>253675</v>
      </c>
      <c r="G4052" t="s">
        <v>49</v>
      </c>
      <c r="H4052" t="s">
        <v>1979</v>
      </c>
      <c r="K4052" t="s">
        <v>51</v>
      </c>
      <c r="L4052" t="s">
        <v>52</v>
      </c>
      <c r="M4052">
        <v>137852.54999999999</v>
      </c>
      <c r="N4052">
        <v>468876.5</v>
      </c>
      <c r="O4052" t="s">
        <v>53</v>
      </c>
      <c r="P4052" t="s">
        <v>54</v>
      </c>
      <c r="Q4052" t="s">
        <v>55</v>
      </c>
      <c r="T4052" t="s">
        <v>246</v>
      </c>
      <c r="U4052">
        <v>40</v>
      </c>
      <c r="V4052" s="1">
        <v>42917</v>
      </c>
      <c r="W4052" s="1">
        <v>42917</v>
      </c>
      <c r="X4052" s="1">
        <v>42917</v>
      </c>
      <c r="Y4052" s="1">
        <v>57527</v>
      </c>
      <c r="Z4052" t="s">
        <v>51</v>
      </c>
      <c r="AB4052" t="s">
        <v>54</v>
      </c>
      <c r="AE4052" t="s">
        <v>1065</v>
      </c>
      <c r="AF4052">
        <v>20</v>
      </c>
      <c r="AG4052" s="1">
        <v>42917</v>
      </c>
      <c r="AH4052" s="1">
        <v>42917</v>
      </c>
      <c r="AI4052" s="1">
        <v>42917</v>
      </c>
      <c r="AJ4052" s="1">
        <v>50222</v>
      </c>
      <c r="AK4052" t="s">
        <v>51</v>
      </c>
      <c r="AN4052">
        <v>0</v>
      </c>
      <c r="AO4052" t="s">
        <v>54</v>
      </c>
      <c r="AP4052" t="s">
        <v>53</v>
      </c>
      <c r="AQ4052">
        <v>0</v>
      </c>
      <c r="AR4052" t="s">
        <v>53</v>
      </c>
      <c r="AS4052">
        <v>0</v>
      </c>
      <c r="AT4052">
        <v>0</v>
      </c>
      <c r="AW4052" t="s">
        <v>172</v>
      </c>
      <c r="AX4052">
        <v>15</v>
      </c>
      <c r="AY4052" s="1">
        <v>42917</v>
      </c>
      <c r="AZ4052" s="1">
        <v>42917</v>
      </c>
      <c r="BA4052" s="1">
        <v>42917</v>
      </c>
      <c r="BB4052" s="1">
        <v>48396</v>
      </c>
      <c r="BC4052" t="s">
        <v>51</v>
      </c>
      <c r="BE4052" t="s">
        <v>54</v>
      </c>
      <c r="BF4052">
        <v>40</v>
      </c>
      <c r="BG4052">
        <v>0</v>
      </c>
      <c r="BH4052" t="s">
        <v>145</v>
      </c>
      <c r="CC4052" t="s">
        <v>250</v>
      </c>
      <c r="CD4052">
        <v>100000</v>
      </c>
      <c r="CE4052" s="1">
        <v>42917</v>
      </c>
      <c r="CF4052" s="1">
        <v>42917</v>
      </c>
      <c r="CG4052" s="1">
        <v>42917</v>
      </c>
      <c r="CH4052" s="1">
        <v>51866</v>
      </c>
      <c r="CI4052" t="s">
        <v>51</v>
      </c>
      <c r="CK4052" t="s">
        <v>78</v>
      </c>
      <c r="CM4052" t="s">
        <v>54</v>
      </c>
      <c r="CN4052" t="s">
        <v>174</v>
      </c>
      <c r="CR4052">
        <v>13.2</v>
      </c>
      <c r="CS4052">
        <v>1800</v>
      </c>
      <c r="CT4052">
        <v>0</v>
      </c>
      <c r="CU4052">
        <v>16</v>
      </c>
    </row>
    <row r="4053" spans="1:99" x14ac:dyDescent="0.2">
      <c r="A4053" t="s">
        <v>367</v>
      </c>
      <c r="B4053" t="s">
        <v>440</v>
      </c>
      <c r="C4053" t="s">
        <v>441</v>
      </c>
      <c r="D4053" t="s">
        <v>1201</v>
      </c>
      <c r="F4053" t="str">
        <f>"253676"</f>
        <v>253676</v>
      </c>
      <c r="G4053" t="s">
        <v>49</v>
      </c>
      <c r="H4053" t="s">
        <v>1979</v>
      </c>
      <c r="K4053" t="s">
        <v>51</v>
      </c>
      <c r="L4053" t="s">
        <v>52</v>
      </c>
      <c r="M4053">
        <v>137830.17000000001</v>
      </c>
      <c r="N4053">
        <v>468863.38</v>
      </c>
      <c r="O4053" t="s">
        <v>53</v>
      </c>
      <c r="P4053" t="s">
        <v>54</v>
      </c>
      <c r="Q4053" t="s">
        <v>55</v>
      </c>
      <c r="T4053" t="s">
        <v>246</v>
      </c>
      <c r="U4053">
        <v>40</v>
      </c>
      <c r="V4053" s="1">
        <v>42917</v>
      </c>
      <c r="W4053" s="1">
        <v>42917</v>
      </c>
      <c r="X4053" s="1">
        <v>42917</v>
      </c>
      <c r="Y4053" s="1">
        <v>57527</v>
      </c>
      <c r="Z4053" t="s">
        <v>51</v>
      </c>
      <c r="AB4053" t="s">
        <v>54</v>
      </c>
      <c r="AE4053" t="s">
        <v>1065</v>
      </c>
      <c r="AF4053">
        <v>20</v>
      </c>
      <c r="AG4053" s="1">
        <v>42917</v>
      </c>
      <c r="AH4053" s="1">
        <v>42917</v>
      </c>
      <c r="AI4053" s="1">
        <v>42917</v>
      </c>
      <c r="AJ4053" s="1">
        <v>50222</v>
      </c>
      <c r="AK4053" t="s">
        <v>51</v>
      </c>
      <c r="AN4053">
        <v>0</v>
      </c>
      <c r="AO4053" t="s">
        <v>54</v>
      </c>
      <c r="AP4053" t="s">
        <v>53</v>
      </c>
      <c r="AQ4053">
        <v>0</v>
      </c>
      <c r="AR4053" t="s">
        <v>53</v>
      </c>
      <c r="AS4053">
        <v>0</v>
      </c>
      <c r="AT4053">
        <v>0</v>
      </c>
      <c r="AW4053" t="s">
        <v>172</v>
      </c>
      <c r="AX4053">
        <v>15</v>
      </c>
      <c r="AY4053" s="1">
        <v>42917</v>
      </c>
      <c r="AZ4053" s="1">
        <v>42917</v>
      </c>
      <c r="BA4053" s="1">
        <v>42917</v>
      </c>
      <c r="BB4053" s="1">
        <v>48396</v>
      </c>
      <c r="BC4053" t="s">
        <v>51</v>
      </c>
      <c r="BE4053" t="s">
        <v>54</v>
      </c>
      <c r="BF4053">
        <v>40</v>
      </c>
      <c r="BG4053">
        <v>0</v>
      </c>
      <c r="BH4053" t="s">
        <v>145</v>
      </c>
      <c r="CC4053" t="s">
        <v>250</v>
      </c>
      <c r="CD4053">
        <v>100000</v>
      </c>
      <c r="CE4053" s="1">
        <v>42917</v>
      </c>
      <c r="CF4053" s="1">
        <v>42917</v>
      </c>
      <c r="CG4053" s="1">
        <v>42917</v>
      </c>
      <c r="CH4053" s="1">
        <v>51866</v>
      </c>
      <c r="CI4053" t="s">
        <v>51</v>
      </c>
      <c r="CK4053" t="s">
        <v>78</v>
      </c>
      <c r="CM4053" t="s">
        <v>54</v>
      </c>
      <c r="CN4053" t="s">
        <v>174</v>
      </c>
      <c r="CR4053">
        <v>13.2</v>
      </c>
      <c r="CS4053">
        <v>1800</v>
      </c>
      <c r="CT4053">
        <v>0</v>
      </c>
      <c r="CU4053">
        <v>16</v>
      </c>
    </row>
    <row r="4054" spans="1:99" x14ac:dyDescent="0.2">
      <c r="A4054" t="s">
        <v>367</v>
      </c>
      <c r="B4054" t="s">
        <v>440</v>
      </c>
      <c r="C4054" t="s">
        <v>441</v>
      </c>
      <c r="D4054" t="s">
        <v>1201</v>
      </c>
      <c r="F4054" t="str">
        <f>"253677"</f>
        <v>253677</v>
      </c>
      <c r="G4054" t="s">
        <v>49</v>
      </c>
      <c r="K4054" t="s">
        <v>51</v>
      </c>
      <c r="L4054" t="s">
        <v>52</v>
      </c>
      <c r="M4054">
        <v>137834.45800000001</v>
      </c>
      <c r="N4054">
        <v>468857.29399999999</v>
      </c>
      <c r="O4054" t="s">
        <v>53</v>
      </c>
      <c r="P4054" t="s">
        <v>54</v>
      </c>
      <c r="Q4054" t="s">
        <v>55</v>
      </c>
      <c r="T4054" t="s">
        <v>431</v>
      </c>
      <c r="U4054">
        <v>40</v>
      </c>
      <c r="V4054" s="1">
        <v>25569</v>
      </c>
      <c r="W4054" s="1">
        <v>25569</v>
      </c>
      <c r="X4054" s="1">
        <v>25569</v>
      </c>
      <c r="Y4054" s="1">
        <v>40179</v>
      </c>
      <c r="Z4054" t="s">
        <v>51</v>
      </c>
      <c r="AB4054" t="s">
        <v>54</v>
      </c>
      <c r="AD4054" t="s">
        <v>809</v>
      </c>
      <c r="AE4054" t="s">
        <v>810</v>
      </c>
      <c r="AF4054">
        <v>20</v>
      </c>
      <c r="AG4054" s="1">
        <v>43282</v>
      </c>
      <c r="AH4054" s="1">
        <v>43282</v>
      </c>
      <c r="AI4054" s="1">
        <v>43282</v>
      </c>
      <c r="AK4054" t="s">
        <v>51</v>
      </c>
      <c r="AN4054">
        <v>0</v>
      </c>
      <c r="AO4054" t="s">
        <v>54</v>
      </c>
      <c r="AP4054" t="s">
        <v>53</v>
      </c>
      <c r="AQ4054">
        <v>0</v>
      </c>
      <c r="AR4054" t="s">
        <v>53</v>
      </c>
      <c r="AS4054">
        <v>0</v>
      </c>
      <c r="AT4054">
        <v>0</v>
      </c>
      <c r="CC4054" t="s">
        <v>669</v>
      </c>
      <c r="CD4054">
        <v>85000</v>
      </c>
      <c r="CE4054" s="1">
        <v>43282</v>
      </c>
      <c r="CF4054" s="1">
        <v>43282</v>
      </c>
      <c r="CG4054" s="1">
        <v>43282</v>
      </c>
      <c r="CI4054" t="s">
        <v>51</v>
      </c>
      <c r="CK4054" t="s">
        <v>78</v>
      </c>
      <c r="CM4054" t="s">
        <v>54</v>
      </c>
      <c r="CN4054" t="s">
        <v>174</v>
      </c>
      <c r="CO4054" t="s">
        <v>86</v>
      </c>
      <c r="CR4054">
        <v>50</v>
      </c>
      <c r="CS4054">
        <v>0</v>
      </c>
      <c r="CT4054">
        <v>0</v>
      </c>
      <c r="CU4054">
        <v>0</v>
      </c>
    </row>
    <row r="4055" spans="1:99" x14ac:dyDescent="0.2">
      <c r="A4055" t="s">
        <v>367</v>
      </c>
      <c r="B4055" t="s">
        <v>440</v>
      </c>
      <c r="C4055" t="s">
        <v>441</v>
      </c>
      <c r="D4055" t="s">
        <v>1201</v>
      </c>
      <c r="F4055" t="str">
        <f>"253678"</f>
        <v>253678</v>
      </c>
      <c r="G4055" t="s">
        <v>49</v>
      </c>
      <c r="H4055" t="s">
        <v>1979</v>
      </c>
      <c r="K4055" t="s">
        <v>51</v>
      </c>
      <c r="L4055" t="s">
        <v>52</v>
      </c>
      <c r="M4055">
        <v>137804.571</v>
      </c>
      <c r="N4055">
        <v>468847.674</v>
      </c>
      <c r="O4055" t="s">
        <v>53</v>
      </c>
      <c r="P4055" t="s">
        <v>54</v>
      </c>
      <c r="Q4055" t="s">
        <v>55</v>
      </c>
      <c r="T4055" t="s">
        <v>246</v>
      </c>
      <c r="U4055">
        <v>40</v>
      </c>
      <c r="V4055" s="1">
        <v>42917</v>
      </c>
      <c r="W4055" s="1">
        <v>42917</v>
      </c>
      <c r="X4055" s="1">
        <v>42917</v>
      </c>
      <c r="Y4055" s="1">
        <v>57527</v>
      </c>
      <c r="Z4055" t="s">
        <v>51</v>
      </c>
      <c r="AB4055" t="s">
        <v>54</v>
      </c>
      <c r="AE4055" t="s">
        <v>1065</v>
      </c>
      <c r="AF4055">
        <v>20</v>
      </c>
      <c r="AG4055" s="1">
        <v>42917</v>
      </c>
      <c r="AH4055" s="1">
        <v>42917</v>
      </c>
      <c r="AI4055" s="1">
        <v>42917</v>
      </c>
      <c r="AJ4055" s="1">
        <v>50222</v>
      </c>
      <c r="AK4055" t="s">
        <v>51</v>
      </c>
      <c r="AN4055">
        <v>0</v>
      </c>
      <c r="AO4055" t="s">
        <v>54</v>
      </c>
      <c r="AP4055" t="s">
        <v>53</v>
      </c>
      <c r="AQ4055">
        <v>0</v>
      </c>
      <c r="AR4055" t="s">
        <v>53</v>
      </c>
      <c r="AS4055">
        <v>0</v>
      </c>
      <c r="AT4055">
        <v>0</v>
      </c>
      <c r="AW4055" t="s">
        <v>172</v>
      </c>
      <c r="AX4055">
        <v>15</v>
      </c>
      <c r="AY4055" s="1">
        <v>42917</v>
      </c>
      <c r="AZ4055" s="1">
        <v>42917</v>
      </c>
      <c r="BA4055" s="1">
        <v>42917</v>
      </c>
      <c r="BB4055" s="1">
        <v>48396</v>
      </c>
      <c r="BC4055" t="s">
        <v>51</v>
      </c>
      <c r="BE4055" t="s">
        <v>54</v>
      </c>
      <c r="BF4055">
        <v>40</v>
      </c>
      <c r="BG4055">
        <v>0</v>
      </c>
      <c r="BH4055" t="s">
        <v>145</v>
      </c>
      <c r="CC4055" t="s">
        <v>250</v>
      </c>
      <c r="CD4055">
        <v>100000</v>
      </c>
      <c r="CE4055" s="1">
        <v>42917</v>
      </c>
      <c r="CF4055" s="1">
        <v>42917</v>
      </c>
      <c r="CG4055" s="1">
        <v>42917</v>
      </c>
      <c r="CH4055" s="1">
        <v>51866</v>
      </c>
      <c r="CI4055" t="s">
        <v>51</v>
      </c>
      <c r="CK4055" t="s">
        <v>78</v>
      </c>
      <c r="CM4055" t="s">
        <v>54</v>
      </c>
      <c r="CN4055" t="s">
        <v>174</v>
      </c>
      <c r="CR4055">
        <v>13.2</v>
      </c>
      <c r="CS4055">
        <v>1800</v>
      </c>
      <c r="CT4055">
        <v>0</v>
      </c>
      <c r="CU4055">
        <v>16</v>
      </c>
    </row>
    <row r="4056" spans="1:99" x14ac:dyDescent="0.2">
      <c r="A4056" t="s">
        <v>367</v>
      </c>
      <c r="B4056" t="s">
        <v>440</v>
      </c>
      <c r="C4056" t="s">
        <v>441</v>
      </c>
      <c r="D4056" t="s">
        <v>1201</v>
      </c>
      <c r="F4056" t="str">
        <f>"253679"</f>
        <v>253679</v>
      </c>
      <c r="G4056" t="s">
        <v>49</v>
      </c>
      <c r="H4056" t="s">
        <v>1979</v>
      </c>
      <c r="K4056" t="s">
        <v>51</v>
      </c>
      <c r="L4056" t="s">
        <v>52</v>
      </c>
      <c r="M4056">
        <v>137777.57999999999</v>
      </c>
      <c r="N4056">
        <v>468830.95600000001</v>
      </c>
      <c r="O4056" t="s">
        <v>53</v>
      </c>
      <c r="P4056" t="s">
        <v>54</v>
      </c>
      <c r="Q4056" t="s">
        <v>55</v>
      </c>
      <c r="T4056" t="s">
        <v>246</v>
      </c>
      <c r="U4056">
        <v>40</v>
      </c>
      <c r="V4056" s="1">
        <v>42917</v>
      </c>
      <c r="W4056" s="1">
        <v>42917</v>
      </c>
      <c r="X4056" s="1">
        <v>42917</v>
      </c>
      <c r="Y4056" s="1">
        <v>57527</v>
      </c>
      <c r="Z4056" t="s">
        <v>51</v>
      </c>
      <c r="AB4056" t="s">
        <v>54</v>
      </c>
      <c r="AE4056" t="s">
        <v>1065</v>
      </c>
      <c r="AF4056">
        <v>20</v>
      </c>
      <c r="AG4056" s="1">
        <v>42917</v>
      </c>
      <c r="AH4056" s="1">
        <v>42917</v>
      </c>
      <c r="AI4056" s="1">
        <v>42917</v>
      </c>
      <c r="AJ4056" s="1">
        <v>50222</v>
      </c>
      <c r="AK4056" t="s">
        <v>51</v>
      </c>
      <c r="AN4056">
        <v>0</v>
      </c>
      <c r="AO4056" t="s">
        <v>54</v>
      </c>
      <c r="AP4056" t="s">
        <v>53</v>
      </c>
      <c r="AQ4056">
        <v>0</v>
      </c>
      <c r="AR4056" t="s">
        <v>53</v>
      </c>
      <c r="AS4056">
        <v>0</v>
      </c>
      <c r="AT4056">
        <v>0</v>
      </c>
      <c r="AW4056" t="s">
        <v>172</v>
      </c>
      <c r="AX4056">
        <v>15</v>
      </c>
      <c r="AY4056" s="1">
        <v>42917</v>
      </c>
      <c r="AZ4056" s="1">
        <v>42917</v>
      </c>
      <c r="BA4056" s="1">
        <v>42917</v>
      </c>
      <c r="BB4056" s="1">
        <v>48396</v>
      </c>
      <c r="BC4056" t="s">
        <v>51</v>
      </c>
      <c r="BE4056" t="s">
        <v>54</v>
      </c>
      <c r="BF4056">
        <v>40</v>
      </c>
      <c r="BG4056">
        <v>0</v>
      </c>
      <c r="BH4056" t="s">
        <v>145</v>
      </c>
      <c r="CC4056" t="s">
        <v>250</v>
      </c>
      <c r="CD4056">
        <v>100000</v>
      </c>
      <c r="CE4056" s="1">
        <v>42917</v>
      </c>
      <c r="CF4056" s="1">
        <v>42917</v>
      </c>
      <c r="CG4056" s="1">
        <v>42917</v>
      </c>
      <c r="CH4056" s="1">
        <v>51866</v>
      </c>
      <c r="CI4056" t="s">
        <v>51</v>
      </c>
      <c r="CK4056" t="s">
        <v>78</v>
      </c>
      <c r="CM4056" t="s">
        <v>54</v>
      </c>
      <c r="CN4056" t="s">
        <v>174</v>
      </c>
      <c r="CR4056">
        <v>13.2</v>
      </c>
      <c r="CS4056">
        <v>1800</v>
      </c>
      <c r="CT4056">
        <v>0</v>
      </c>
      <c r="CU4056">
        <v>16</v>
      </c>
    </row>
    <row r="4057" spans="1:99" x14ac:dyDescent="0.2">
      <c r="A4057" t="s">
        <v>367</v>
      </c>
      <c r="B4057" t="s">
        <v>440</v>
      </c>
      <c r="C4057" t="s">
        <v>441</v>
      </c>
      <c r="D4057" t="s">
        <v>1201</v>
      </c>
      <c r="F4057" t="str">
        <f>"253680"</f>
        <v>253680</v>
      </c>
      <c r="G4057" t="s">
        <v>49</v>
      </c>
      <c r="K4057" t="s">
        <v>51</v>
      </c>
      <c r="L4057" t="s">
        <v>52</v>
      </c>
      <c r="M4057">
        <v>137782.39000000001</v>
      </c>
      <c r="N4057">
        <v>468827.29</v>
      </c>
      <c r="O4057" t="s">
        <v>53</v>
      </c>
      <c r="P4057" t="s">
        <v>54</v>
      </c>
      <c r="Q4057" t="s">
        <v>55</v>
      </c>
      <c r="T4057" t="s">
        <v>431</v>
      </c>
      <c r="U4057">
        <v>40</v>
      </c>
      <c r="V4057" s="1">
        <v>25569</v>
      </c>
      <c r="W4057" s="1">
        <v>25569</v>
      </c>
      <c r="X4057" s="1">
        <v>25569</v>
      </c>
      <c r="Y4057" s="1">
        <v>40179</v>
      </c>
      <c r="Z4057" t="s">
        <v>51</v>
      </c>
      <c r="AB4057" t="s">
        <v>54</v>
      </c>
      <c r="AD4057" t="s">
        <v>809</v>
      </c>
      <c r="AE4057" t="s">
        <v>810</v>
      </c>
      <c r="AF4057">
        <v>20</v>
      </c>
      <c r="AG4057" s="1">
        <v>43282</v>
      </c>
      <c r="AH4057" s="1">
        <v>43282</v>
      </c>
      <c r="AI4057" s="1">
        <v>43282</v>
      </c>
      <c r="AK4057" t="s">
        <v>51</v>
      </c>
      <c r="AN4057">
        <v>0</v>
      </c>
      <c r="AO4057" t="s">
        <v>54</v>
      </c>
      <c r="AP4057" t="s">
        <v>53</v>
      </c>
      <c r="AQ4057">
        <v>0</v>
      </c>
      <c r="AR4057" t="s">
        <v>53</v>
      </c>
      <c r="AS4057">
        <v>0</v>
      </c>
      <c r="AT4057">
        <v>0</v>
      </c>
      <c r="CC4057" t="s">
        <v>669</v>
      </c>
      <c r="CD4057">
        <v>85000</v>
      </c>
      <c r="CE4057" s="1">
        <v>43282</v>
      </c>
      <c r="CF4057" s="1">
        <v>43282</v>
      </c>
      <c r="CG4057" s="1">
        <v>43282</v>
      </c>
      <c r="CI4057" t="s">
        <v>51</v>
      </c>
      <c r="CK4057" t="s">
        <v>78</v>
      </c>
      <c r="CM4057" t="s">
        <v>54</v>
      </c>
      <c r="CN4057" t="s">
        <v>174</v>
      </c>
      <c r="CO4057" t="s">
        <v>86</v>
      </c>
      <c r="CR4057">
        <v>50</v>
      </c>
      <c r="CS4057">
        <v>0</v>
      </c>
      <c r="CT4057">
        <v>0</v>
      </c>
      <c r="CU4057">
        <v>0</v>
      </c>
    </row>
    <row r="4058" spans="1:99" x14ac:dyDescent="0.2">
      <c r="A4058" t="s">
        <v>367</v>
      </c>
      <c r="B4058" t="s">
        <v>440</v>
      </c>
      <c r="C4058" t="s">
        <v>441</v>
      </c>
      <c r="D4058" t="s">
        <v>1201</v>
      </c>
      <c r="F4058" t="str">
        <f>"253681"</f>
        <v>253681</v>
      </c>
      <c r="G4058" t="s">
        <v>49</v>
      </c>
      <c r="H4058" t="s">
        <v>1979</v>
      </c>
      <c r="K4058" t="s">
        <v>51</v>
      </c>
      <c r="L4058" t="s">
        <v>52</v>
      </c>
      <c r="M4058">
        <v>137751.13</v>
      </c>
      <c r="N4058">
        <v>468813.93</v>
      </c>
      <c r="O4058" t="s">
        <v>53</v>
      </c>
      <c r="P4058" t="s">
        <v>54</v>
      </c>
      <c r="Q4058" t="s">
        <v>55</v>
      </c>
      <c r="T4058" t="s">
        <v>246</v>
      </c>
      <c r="U4058">
        <v>40</v>
      </c>
      <c r="V4058" s="1">
        <v>42917</v>
      </c>
      <c r="W4058" s="1">
        <v>42917</v>
      </c>
      <c r="X4058" s="1">
        <v>42917</v>
      </c>
      <c r="Y4058" s="1">
        <v>57527</v>
      </c>
      <c r="Z4058" t="s">
        <v>51</v>
      </c>
      <c r="AB4058" t="s">
        <v>54</v>
      </c>
      <c r="AE4058" t="s">
        <v>1065</v>
      </c>
      <c r="AF4058">
        <v>20</v>
      </c>
      <c r="AG4058" s="1">
        <v>42917</v>
      </c>
      <c r="AH4058" s="1">
        <v>42917</v>
      </c>
      <c r="AI4058" s="1">
        <v>42917</v>
      </c>
      <c r="AJ4058" s="1">
        <v>50222</v>
      </c>
      <c r="AK4058" t="s">
        <v>51</v>
      </c>
      <c r="AN4058">
        <v>0</v>
      </c>
      <c r="AO4058" t="s">
        <v>54</v>
      </c>
      <c r="AP4058" t="s">
        <v>53</v>
      </c>
      <c r="AQ4058">
        <v>0</v>
      </c>
      <c r="AR4058" t="s">
        <v>53</v>
      </c>
      <c r="AS4058">
        <v>0</v>
      </c>
      <c r="AT4058">
        <v>0</v>
      </c>
      <c r="AW4058" t="s">
        <v>172</v>
      </c>
      <c r="AX4058">
        <v>15</v>
      </c>
      <c r="AY4058" s="1">
        <v>42917</v>
      </c>
      <c r="AZ4058" s="1">
        <v>42917</v>
      </c>
      <c r="BA4058" s="1">
        <v>42917</v>
      </c>
      <c r="BB4058" s="1">
        <v>48396</v>
      </c>
      <c r="BC4058" t="s">
        <v>51</v>
      </c>
      <c r="BE4058" t="s">
        <v>54</v>
      </c>
      <c r="BF4058">
        <v>40</v>
      </c>
      <c r="BG4058">
        <v>0</v>
      </c>
      <c r="BH4058" t="s">
        <v>145</v>
      </c>
      <c r="CC4058" t="s">
        <v>250</v>
      </c>
      <c r="CD4058">
        <v>100000</v>
      </c>
      <c r="CE4058" s="1">
        <v>42917</v>
      </c>
      <c r="CF4058" s="1">
        <v>42917</v>
      </c>
      <c r="CG4058" s="1">
        <v>42917</v>
      </c>
      <c r="CH4058" s="1">
        <v>51866</v>
      </c>
      <c r="CI4058" t="s">
        <v>51</v>
      </c>
      <c r="CK4058" t="s">
        <v>78</v>
      </c>
      <c r="CM4058" t="s">
        <v>54</v>
      </c>
      <c r="CN4058" t="s">
        <v>174</v>
      </c>
      <c r="CR4058">
        <v>13.2</v>
      </c>
      <c r="CS4058">
        <v>1800</v>
      </c>
      <c r="CT4058">
        <v>0</v>
      </c>
      <c r="CU4058">
        <v>16</v>
      </c>
    </row>
    <row r="4059" spans="1:99" x14ac:dyDescent="0.2">
      <c r="A4059" t="s">
        <v>367</v>
      </c>
      <c r="B4059" t="s">
        <v>440</v>
      </c>
      <c r="C4059" t="s">
        <v>441</v>
      </c>
      <c r="D4059" t="s">
        <v>1201</v>
      </c>
      <c r="F4059" t="str">
        <f>"253682"</f>
        <v>253682</v>
      </c>
      <c r="G4059" t="s">
        <v>49</v>
      </c>
      <c r="K4059" t="s">
        <v>51</v>
      </c>
      <c r="L4059" t="s">
        <v>52</v>
      </c>
      <c r="M4059">
        <v>137754.17000000001</v>
      </c>
      <c r="N4059">
        <v>468810.04</v>
      </c>
      <c r="O4059" t="s">
        <v>53</v>
      </c>
      <c r="P4059" t="s">
        <v>54</v>
      </c>
      <c r="Q4059" t="s">
        <v>55</v>
      </c>
      <c r="T4059" t="s">
        <v>431</v>
      </c>
      <c r="U4059">
        <v>40</v>
      </c>
      <c r="V4059" s="1">
        <v>25569</v>
      </c>
      <c r="W4059" s="1">
        <v>25569</v>
      </c>
      <c r="X4059" s="1">
        <v>25569</v>
      </c>
      <c r="Y4059" s="1">
        <v>40179</v>
      </c>
      <c r="Z4059" t="s">
        <v>51</v>
      </c>
      <c r="AB4059" t="s">
        <v>54</v>
      </c>
      <c r="AD4059" t="s">
        <v>809</v>
      </c>
      <c r="AE4059" t="s">
        <v>810</v>
      </c>
      <c r="AF4059">
        <v>20</v>
      </c>
      <c r="AG4059" s="1">
        <v>43282</v>
      </c>
      <c r="AH4059" s="1">
        <v>43282</v>
      </c>
      <c r="AI4059" s="1">
        <v>43282</v>
      </c>
      <c r="AK4059" t="s">
        <v>51</v>
      </c>
      <c r="AN4059">
        <v>0</v>
      </c>
      <c r="AO4059" t="s">
        <v>54</v>
      </c>
      <c r="AP4059" t="s">
        <v>53</v>
      </c>
      <c r="AQ4059">
        <v>0</v>
      </c>
      <c r="AR4059" t="s">
        <v>53</v>
      </c>
      <c r="AS4059">
        <v>0</v>
      </c>
      <c r="AT4059">
        <v>0</v>
      </c>
      <c r="CC4059" t="s">
        <v>669</v>
      </c>
      <c r="CD4059">
        <v>85000</v>
      </c>
      <c r="CE4059" s="1">
        <v>43282</v>
      </c>
      <c r="CF4059" s="1">
        <v>43282</v>
      </c>
      <c r="CG4059" s="1">
        <v>43282</v>
      </c>
      <c r="CI4059" t="s">
        <v>51</v>
      </c>
      <c r="CK4059" t="s">
        <v>78</v>
      </c>
      <c r="CM4059" t="s">
        <v>54</v>
      </c>
      <c r="CN4059" t="s">
        <v>174</v>
      </c>
      <c r="CO4059" t="s">
        <v>86</v>
      </c>
      <c r="CR4059">
        <v>50</v>
      </c>
      <c r="CS4059">
        <v>0</v>
      </c>
      <c r="CT4059">
        <v>0</v>
      </c>
      <c r="CU4059">
        <v>0</v>
      </c>
    </row>
    <row r="4060" spans="1:99" x14ac:dyDescent="0.2">
      <c r="A4060" t="s">
        <v>367</v>
      </c>
      <c r="B4060" t="s">
        <v>440</v>
      </c>
      <c r="C4060" t="s">
        <v>441</v>
      </c>
      <c r="D4060" t="s">
        <v>1201</v>
      </c>
      <c r="F4060" t="str">
        <f>"253683"</f>
        <v>253683</v>
      </c>
      <c r="G4060" t="s">
        <v>49</v>
      </c>
      <c r="H4060" t="s">
        <v>1979</v>
      </c>
      <c r="K4060" t="s">
        <v>51</v>
      </c>
      <c r="L4060" t="s">
        <v>52</v>
      </c>
      <c r="M4060">
        <v>137725.87</v>
      </c>
      <c r="N4060">
        <v>468797.35</v>
      </c>
      <c r="O4060" t="s">
        <v>53</v>
      </c>
      <c r="P4060" t="s">
        <v>54</v>
      </c>
      <c r="Q4060" t="s">
        <v>55</v>
      </c>
      <c r="T4060" t="s">
        <v>246</v>
      </c>
      <c r="U4060">
        <v>40</v>
      </c>
      <c r="V4060" s="1">
        <v>42917</v>
      </c>
      <c r="W4060" s="1">
        <v>42917</v>
      </c>
      <c r="X4060" s="1">
        <v>42917</v>
      </c>
      <c r="Y4060" s="1">
        <v>57527</v>
      </c>
      <c r="Z4060" t="s">
        <v>51</v>
      </c>
      <c r="AB4060" t="s">
        <v>54</v>
      </c>
      <c r="AE4060" t="s">
        <v>1065</v>
      </c>
      <c r="AF4060">
        <v>20</v>
      </c>
      <c r="AG4060" s="1">
        <v>42917</v>
      </c>
      <c r="AH4060" s="1">
        <v>42917</v>
      </c>
      <c r="AI4060" s="1">
        <v>42917</v>
      </c>
      <c r="AJ4060" s="1">
        <v>50222</v>
      </c>
      <c r="AK4060" t="s">
        <v>51</v>
      </c>
      <c r="AN4060">
        <v>0</v>
      </c>
      <c r="AO4060" t="s">
        <v>54</v>
      </c>
      <c r="AP4060" t="s">
        <v>53</v>
      </c>
      <c r="AQ4060">
        <v>0</v>
      </c>
      <c r="AR4060" t="s">
        <v>53</v>
      </c>
      <c r="AS4060">
        <v>0</v>
      </c>
      <c r="AT4060">
        <v>0</v>
      </c>
      <c r="AW4060" t="s">
        <v>172</v>
      </c>
      <c r="AX4060">
        <v>15</v>
      </c>
      <c r="AY4060" s="1">
        <v>42917</v>
      </c>
      <c r="AZ4060" s="1">
        <v>42917</v>
      </c>
      <c r="BA4060" s="1">
        <v>42917</v>
      </c>
      <c r="BB4060" s="1">
        <v>48396</v>
      </c>
      <c r="BC4060" t="s">
        <v>51</v>
      </c>
      <c r="BE4060" t="s">
        <v>54</v>
      </c>
      <c r="BF4060">
        <v>40</v>
      </c>
      <c r="BG4060">
        <v>0</v>
      </c>
      <c r="BH4060" t="s">
        <v>145</v>
      </c>
      <c r="CC4060" t="s">
        <v>250</v>
      </c>
      <c r="CD4060">
        <v>100000</v>
      </c>
      <c r="CE4060" s="1">
        <v>42917</v>
      </c>
      <c r="CF4060" s="1">
        <v>42917</v>
      </c>
      <c r="CG4060" s="1">
        <v>42917</v>
      </c>
      <c r="CH4060" s="1">
        <v>51866</v>
      </c>
      <c r="CI4060" t="s">
        <v>51</v>
      </c>
      <c r="CK4060" t="s">
        <v>78</v>
      </c>
      <c r="CM4060" t="s">
        <v>54</v>
      </c>
      <c r="CN4060" t="s">
        <v>174</v>
      </c>
      <c r="CR4060">
        <v>13.2</v>
      </c>
      <c r="CS4060">
        <v>1800</v>
      </c>
      <c r="CT4060">
        <v>0</v>
      </c>
      <c r="CU4060">
        <v>16</v>
      </c>
    </row>
    <row r="4061" spans="1:99" x14ac:dyDescent="0.2">
      <c r="A4061" t="s">
        <v>367</v>
      </c>
      <c r="B4061" t="s">
        <v>440</v>
      </c>
      <c r="C4061" t="s">
        <v>441</v>
      </c>
      <c r="D4061" t="s">
        <v>1201</v>
      </c>
      <c r="F4061" t="str">
        <f>"253684"</f>
        <v>253684</v>
      </c>
      <c r="G4061" t="s">
        <v>49</v>
      </c>
      <c r="H4061" t="s">
        <v>1979</v>
      </c>
      <c r="K4061" t="s">
        <v>51</v>
      </c>
      <c r="L4061" t="s">
        <v>52</v>
      </c>
      <c r="M4061">
        <v>137700.66</v>
      </c>
      <c r="N4061">
        <v>468781.34</v>
      </c>
      <c r="O4061" t="s">
        <v>53</v>
      </c>
      <c r="P4061" t="s">
        <v>54</v>
      </c>
      <c r="Q4061" t="s">
        <v>55</v>
      </c>
      <c r="S4061" t="s">
        <v>1074</v>
      </c>
      <c r="T4061" t="s">
        <v>1074</v>
      </c>
      <c r="U4061">
        <v>30</v>
      </c>
      <c r="V4061" s="1">
        <v>42764</v>
      </c>
      <c r="W4061" s="1">
        <v>42764</v>
      </c>
      <c r="X4061" s="1">
        <v>42764</v>
      </c>
      <c r="Y4061" s="1">
        <v>53721</v>
      </c>
      <c r="Z4061" t="s">
        <v>51</v>
      </c>
      <c r="AB4061" t="s">
        <v>54</v>
      </c>
      <c r="AC4061">
        <v>1</v>
      </c>
      <c r="AE4061" t="s">
        <v>243</v>
      </c>
      <c r="AF4061">
        <v>20</v>
      </c>
      <c r="AG4061" s="1">
        <v>42764</v>
      </c>
      <c r="AH4061" s="1">
        <v>42764</v>
      </c>
      <c r="AI4061" s="1">
        <v>42764</v>
      </c>
      <c r="AJ4061" s="1">
        <v>50069</v>
      </c>
      <c r="AK4061" t="s">
        <v>51</v>
      </c>
      <c r="AN4061">
        <v>0</v>
      </c>
      <c r="AO4061" t="s">
        <v>54</v>
      </c>
      <c r="AP4061" t="s">
        <v>53</v>
      </c>
      <c r="AQ4061">
        <v>0</v>
      </c>
      <c r="AR4061" t="s">
        <v>53</v>
      </c>
      <c r="AS4061">
        <v>0</v>
      </c>
      <c r="AT4061">
        <v>0</v>
      </c>
      <c r="CC4061" t="s">
        <v>432</v>
      </c>
      <c r="CD4061">
        <v>85000</v>
      </c>
      <c r="CE4061" s="1">
        <v>42764</v>
      </c>
      <c r="CF4061" s="1">
        <v>42764</v>
      </c>
      <c r="CG4061" s="1">
        <v>42764</v>
      </c>
      <c r="CH4061" s="1">
        <v>50393</v>
      </c>
      <c r="CI4061" t="s">
        <v>51</v>
      </c>
      <c r="CK4061" t="s">
        <v>78</v>
      </c>
      <c r="CM4061" t="s">
        <v>54</v>
      </c>
      <c r="CN4061" t="s">
        <v>174</v>
      </c>
      <c r="CO4061" t="s">
        <v>86</v>
      </c>
      <c r="CR4061">
        <v>24</v>
      </c>
      <c r="CS4061">
        <v>0</v>
      </c>
      <c r="CT4061">
        <v>0</v>
      </c>
      <c r="CU4061">
        <v>0</v>
      </c>
    </row>
    <row r="4062" spans="1:99" x14ac:dyDescent="0.2">
      <c r="A4062" t="s">
        <v>367</v>
      </c>
      <c r="B4062" t="s">
        <v>440</v>
      </c>
      <c r="C4062" t="s">
        <v>441</v>
      </c>
      <c r="D4062" t="s">
        <v>1201</v>
      </c>
      <c r="F4062" t="str">
        <f>"253685"</f>
        <v>253685</v>
      </c>
      <c r="G4062" t="s">
        <v>49</v>
      </c>
      <c r="K4062" t="s">
        <v>51</v>
      </c>
      <c r="L4062" t="s">
        <v>52</v>
      </c>
      <c r="M4062">
        <v>137701.62</v>
      </c>
      <c r="N4062">
        <v>468778.61</v>
      </c>
      <c r="O4062" t="s">
        <v>53</v>
      </c>
      <c r="P4062" t="s">
        <v>54</v>
      </c>
      <c r="Q4062" t="s">
        <v>55</v>
      </c>
      <c r="T4062" t="s">
        <v>431</v>
      </c>
      <c r="U4062">
        <v>40</v>
      </c>
      <c r="V4062" s="1">
        <v>25569</v>
      </c>
      <c r="W4062" s="1">
        <v>25569</v>
      </c>
      <c r="X4062" s="1">
        <v>25569</v>
      </c>
      <c r="Y4062" s="1">
        <v>40179</v>
      </c>
      <c r="Z4062" t="s">
        <v>51</v>
      </c>
      <c r="AB4062" t="s">
        <v>54</v>
      </c>
      <c r="AD4062" t="s">
        <v>809</v>
      </c>
      <c r="AE4062" t="s">
        <v>810</v>
      </c>
      <c r="AF4062">
        <v>20</v>
      </c>
      <c r="AG4062" s="1">
        <v>43282</v>
      </c>
      <c r="AH4062" s="1">
        <v>43282</v>
      </c>
      <c r="AI4062" s="1">
        <v>43282</v>
      </c>
      <c r="AK4062" t="s">
        <v>51</v>
      </c>
      <c r="AN4062">
        <v>0</v>
      </c>
      <c r="AO4062" t="s">
        <v>54</v>
      </c>
      <c r="AP4062" t="s">
        <v>53</v>
      </c>
      <c r="AQ4062">
        <v>0</v>
      </c>
      <c r="AR4062" t="s">
        <v>53</v>
      </c>
      <c r="AS4062">
        <v>0</v>
      </c>
      <c r="AT4062">
        <v>0</v>
      </c>
      <c r="CC4062" t="s">
        <v>669</v>
      </c>
      <c r="CD4062">
        <v>85000</v>
      </c>
      <c r="CE4062" s="1">
        <v>43282</v>
      </c>
      <c r="CF4062" s="1">
        <v>43282</v>
      </c>
      <c r="CG4062" s="1">
        <v>43282</v>
      </c>
      <c r="CI4062" t="s">
        <v>51</v>
      </c>
      <c r="CK4062" t="s">
        <v>78</v>
      </c>
      <c r="CM4062" t="s">
        <v>54</v>
      </c>
      <c r="CN4062" t="s">
        <v>174</v>
      </c>
      <c r="CO4062" t="s">
        <v>86</v>
      </c>
      <c r="CR4062">
        <v>50</v>
      </c>
      <c r="CS4062">
        <v>0</v>
      </c>
      <c r="CT4062">
        <v>0</v>
      </c>
      <c r="CU4062">
        <v>0</v>
      </c>
    </row>
    <row r="4063" spans="1:99" x14ac:dyDescent="0.2">
      <c r="A4063" t="s">
        <v>367</v>
      </c>
      <c r="B4063" t="s">
        <v>440</v>
      </c>
      <c r="C4063" t="s">
        <v>441</v>
      </c>
      <c r="D4063" t="s">
        <v>1201</v>
      </c>
      <c r="F4063" t="str">
        <f>"253686"</f>
        <v>253686</v>
      </c>
      <c r="G4063" t="s">
        <v>49</v>
      </c>
      <c r="K4063" t="s">
        <v>51</v>
      </c>
      <c r="L4063" t="s">
        <v>52</v>
      </c>
      <c r="M4063">
        <v>137676.01</v>
      </c>
      <c r="N4063">
        <v>468766.37</v>
      </c>
      <c r="O4063" t="s">
        <v>53</v>
      </c>
      <c r="P4063" t="s">
        <v>54</v>
      </c>
      <c r="Q4063" t="s">
        <v>55</v>
      </c>
      <c r="T4063" t="s">
        <v>246</v>
      </c>
      <c r="U4063">
        <v>40</v>
      </c>
      <c r="V4063" s="1">
        <v>42917</v>
      </c>
      <c r="W4063" s="1">
        <v>42917</v>
      </c>
      <c r="X4063" s="1">
        <v>42917</v>
      </c>
      <c r="Y4063" s="1">
        <v>57527</v>
      </c>
      <c r="Z4063" t="s">
        <v>51</v>
      </c>
      <c r="AB4063" t="s">
        <v>54</v>
      </c>
      <c r="AE4063" t="s">
        <v>1065</v>
      </c>
      <c r="AF4063">
        <v>20</v>
      </c>
      <c r="AG4063" s="1">
        <v>42917</v>
      </c>
      <c r="AH4063" s="1">
        <v>42917</v>
      </c>
      <c r="AI4063" s="1">
        <v>42917</v>
      </c>
      <c r="AJ4063" s="1">
        <v>50222</v>
      </c>
      <c r="AK4063" t="s">
        <v>51</v>
      </c>
      <c r="AN4063">
        <v>0</v>
      </c>
      <c r="AO4063" t="s">
        <v>54</v>
      </c>
      <c r="AP4063" t="s">
        <v>53</v>
      </c>
      <c r="AQ4063">
        <v>0</v>
      </c>
      <c r="AR4063" t="s">
        <v>53</v>
      </c>
      <c r="AS4063">
        <v>0</v>
      </c>
      <c r="AT4063">
        <v>0</v>
      </c>
      <c r="AW4063" t="s">
        <v>172</v>
      </c>
      <c r="AX4063">
        <v>15</v>
      </c>
      <c r="AY4063" s="1">
        <v>42917</v>
      </c>
      <c r="AZ4063" s="1">
        <v>42917</v>
      </c>
      <c r="BA4063" s="1">
        <v>42917</v>
      </c>
      <c r="BB4063" s="1">
        <v>48396</v>
      </c>
      <c r="BC4063" t="s">
        <v>51</v>
      </c>
      <c r="BE4063" t="s">
        <v>54</v>
      </c>
      <c r="BF4063">
        <v>40</v>
      </c>
      <c r="BG4063">
        <v>0</v>
      </c>
      <c r="BH4063" t="s">
        <v>145</v>
      </c>
      <c r="CC4063" t="s">
        <v>250</v>
      </c>
      <c r="CD4063">
        <v>100000</v>
      </c>
      <c r="CE4063" s="1">
        <v>42917</v>
      </c>
      <c r="CF4063" s="1">
        <v>42917</v>
      </c>
      <c r="CG4063" s="1">
        <v>42917</v>
      </c>
      <c r="CH4063" s="1">
        <v>51866</v>
      </c>
      <c r="CI4063" t="s">
        <v>51</v>
      </c>
      <c r="CK4063" t="s">
        <v>78</v>
      </c>
      <c r="CM4063" t="s">
        <v>54</v>
      </c>
      <c r="CN4063" t="s">
        <v>174</v>
      </c>
      <c r="CR4063">
        <v>13.2</v>
      </c>
      <c r="CS4063">
        <v>1800</v>
      </c>
      <c r="CT4063">
        <v>0</v>
      </c>
      <c r="CU4063">
        <v>16</v>
      </c>
    </row>
    <row r="4064" spans="1:99" x14ac:dyDescent="0.2">
      <c r="A4064" t="s">
        <v>367</v>
      </c>
      <c r="B4064" t="s">
        <v>440</v>
      </c>
      <c r="C4064" t="s">
        <v>441</v>
      </c>
      <c r="D4064" t="s">
        <v>1201</v>
      </c>
      <c r="F4064" t="str">
        <f>"253687"</f>
        <v>253687</v>
      </c>
      <c r="G4064" t="s">
        <v>49</v>
      </c>
      <c r="K4064" t="s">
        <v>51</v>
      </c>
      <c r="L4064" t="s">
        <v>52</v>
      </c>
      <c r="M4064">
        <v>137647.38</v>
      </c>
      <c r="N4064">
        <v>468749.93</v>
      </c>
      <c r="O4064" t="s">
        <v>53</v>
      </c>
      <c r="P4064" t="s">
        <v>54</v>
      </c>
      <c r="Q4064" t="s">
        <v>55</v>
      </c>
      <c r="T4064" t="s">
        <v>431</v>
      </c>
      <c r="U4064">
        <v>40</v>
      </c>
      <c r="V4064" s="1">
        <v>25569</v>
      </c>
      <c r="W4064" s="1">
        <v>25569</v>
      </c>
      <c r="X4064" s="1">
        <v>25569</v>
      </c>
      <c r="Y4064" s="1">
        <v>40179</v>
      </c>
      <c r="Z4064" t="s">
        <v>51</v>
      </c>
      <c r="AB4064" t="s">
        <v>54</v>
      </c>
      <c r="AD4064" t="s">
        <v>809</v>
      </c>
      <c r="AE4064" t="s">
        <v>810</v>
      </c>
      <c r="AF4064">
        <v>20</v>
      </c>
      <c r="AG4064" s="1">
        <v>43282</v>
      </c>
      <c r="AH4064" s="1">
        <v>43282</v>
      </c>
      <c r="AI4064" s="1">
        <v>43282</v>
      </c>
      <c r="AK4064" t="s">
        <v>51</v>
      </c>
      <c r="AN4064">
        <v>0</v>
      </c>
      <c r="AO4064" t="s">
        <v>54</v>
      </c>
      <c r="AP4064" t="s">
        <v>53</v>
      </c>
      <c r="AQ4064">
        <v>0</v>
      </c>
      <c r="AR4064" t="s">
        <v>53</v>
      </c>
      <c r="AS4064">
        <v>0</v>
      </c>
      <c r="AT4064">
        <v>0</v>
      </c>
      <c r="CC4064" t="s">
        <v>669</v>
      </c>
      <c r="CD4064">
        <v>85000</v>
      </c>
      <c r="CE4064" s="1">
        <v>43282</v>
      </c>
      <c r="CF4064" s="1">
        <v>43282</v>
      </c>
      <c r="CG4064" s="1">
        <v>43282</v>
      </c>
      <c r="CI4064" t="s">
        <v>51</v>
      </c>
      <c r="CK4064" t="s">
        <v>78</v>
      </c>
      <c r="CM4064" t="s">
        <v>54</v>
      </c>
      <c r="CN4064" t="s">
        <v>174</v>
      </c>
      <c r="CO4064" t="s">
        <v>86</v>
      </c>
      <c r="CR4064">
        <v>50</v>
      </c>
      <c r="CS4064">
        <v>0</v>
      </c>
      <c r="CT4064">
        <v>0</v>
      </c>
      <c r="CU4064">
        <v>0</v>
      </c>
    </row>
    <row r="4065" spans="1:99" x14ac:dyDescent="0.2">
      <c r="A4065" t="s">
        <v>367</v>
      </c>
      <c r="B4065" t="s">
        <v>440</v>
      </c>
      <c r="C4065" t="s">
        <v>441</v>
      </c>
      <c r="D4065" t="s">
        <v>1201</v>
      </c>
      <c r="F4065" t="str">
        <f>"253688"</f>
        <v>253688</v>
      </c>
      <c r="G4065" t="s">
        <v>49</v>
      </c>
      <c r="K4065" t="s">
        <v>51</v>
      </c>
      <c r="L4065" t="s">
        <v>52</v>
      </c>
      <c r="M4065">
        <v>137597.93</v>
      </c>
      <c r="N4065">
        <v>468725.28</v>
      </c>
      <c r="O4065" t="s">
        <v>53</v>
      </c>
      <c r="P4065" t="s">
        <v>54</v>
      </c>
      <c r="Q4065" t="s">
        <v>55</v>
      </c>
      <c r="T4065" t="s">
        <v>431</v>
      </c>
      <c r="U4065">
        <v>40</v>
      </c>
      <c r="V4065" s="1">
        <v>25569</v>
      </c>
      <c r="W4065" s="1">
        <v>25569</v>
      </c>
      <c r="X4065" s="1">
        <v>25569</v>
      </c>
      <c r="Y4065" s="1">
        <v>40179</v>
      </c>
      <c r="Z4065" t="s">
        <v>51</v>
      </c>
      <c r="AB4065" t="s">
        <v>54</v>
      </c>
      <c r="AD4065" t="s">
        <v>809</v>
      </c>
      <c r="AE4065" t="s">
        <v>810</v>
      </c>
      <c r="AF4065">
        <v>20</v>
      </c>
      <c r="AG4065" s="1">
        <v>43282</v>
      </c>
      <c r="AH4065" s="1">
        <v>43282</v>
      </c>
      <c r="AI4065" s="1">
        <v>43282</v>
      </c>
      <c r="AK4065" t="s">
        <v>51</v>
      </c>
      <c r="AN4065">
        <v>0</v>
      </c>
      <c r="AO4065" t="s">
        <v>54</v>
      </c>
      <c r="AP4065" t="s">
        <v>53</v>
      </c>
      <c r="AQ4065">
        <v>0</v>
      </c>
      <c r="AR4065" t="s">
        <v>53</v>
      </c>
      <c r="AS4065">
        <v>0</v>
      </c>
      <c r="AT4065">
        <v>0</v>
      </c>
      <c r="CC4065" t="s">
        <v>669</v>
      </c>
      <c r="CD4065">
        <v>85000</v>
      </c>
      <c r="CE4065" s="1">
        <v>43282</v>
      </c>
      <c r="CF4065" s="1">
        <v>43282</v>
      </c>
      <c r="CG4065" s="1">
        <v>43282</v>
      </c>
      <c r="CI4065" t="s">
        <v>51</v>
      </c>
      <c r="CK4065" t="s">
        <v>78</v>
      </c>
      <c r="CM4065" t="s">
        <v>54</v>
      </c>
      <c r="CN4065" t="s">
        <v>174</v>
      </c>
      <c r="CO4065" t="s">
        <v>86</v>
      </c>
      <c r="CR4065">
        <v>50</v>
      </c>
      <c r="CS4065">
        <v>0</v>
      </c>
      <c r="CT4065">
        <v>0</v>
      </c>
      <c r="CU4065">
        <v>0</v>
      </c>
    </row>
    <row r="4066" spans="1:99" x14ac:dyDescent="0.2">
      <c r="A4066" t="s">
        <v>367</v>
      </c>
      <c r="B4066" t="s">
        <v>440</v>
      </c>
      <c r="C4066" t="s">
        <v>441</v>
      </c>
      <c r="D4066" t="s">
        <v>1201</v>
      </c>
      <c r="F4066" t="str">
        <f>"253689"</f>
        <v>253689</v>
      </c>
      <c r="G4066" t="s">
        <v>49</v>
      </c>
      <c r="K4066" t="s">
        <v>51</v>
      </c>
      <c r="L4066" t="s">
        <v>52</v>
      </c>
      <c r="M4066">
        <v>137542.454</v>
      </c>
      <c r="N4066">
        <v>468698.8</v>
      </c>
      <c r="O4066" t="s">
        <v>53</v>
      </c>
      <c r="P4066" t="s">
        <v>54</v>
      </c>
      <c r="Q4066" t="s">
        <v>55</v>
      </c>
      <c r="T4066" t="s">
        <v>431</v>
      </c>
      <c r="U4066">
        <v>40</v>
      </c>
      <c r="V4066" s="1">
        <v>25569</v>
      </c>
      <c r="W4066" s="1">
        <v>25569</v>
      </c>
      <c r="X4066" s="1">
        <v>25569</v>
      </c>
      <c r="Y4066" s="1">
        <v>40179</v>
      </c>
      <c r="Z4066" t="s">
        <v>51</v>
      </c>
      <c r="AB4066" t="s">
        <v>54</v>
      </c>
      <c r="AD4066" t="s">
        <v>809</v>
      </c>
      <c r="AE4066" t="s">
        <v>810</v>
      </c>
      <c r="AF4066">
        <v>20</v>
      </c>
      <c r="AG4066" s="1">
        <v>43282</v>
      </c>
      <c r="AH4066" s="1">
        <v>43282</v>
      </c>
      <c r="AI4066" s="1">
        <v>43282</v>
      </c>
      <c r="AK4066" t="s">
        <v>51</v>
      </c>
      <c r="AN4066">
        <v>0</v>
      </c>
      <c r="AO4066" t="s">
        <v>54</v>
      </c>
      <c r="AP4066" t="s">
        <v>53</v>
      </c>
      <c r="AQ4066">
        <v>0</v>
      </c>
      <c r="AR4066" t="s">
        <v>53</v>
      </c>
      <c r="AS4066">
        <v>0</v>
      </c>
      <c r="AT4066">
        <v>0</v>
      </c>
      <c r="CC4066" t="s">
        <v>669</v>
      </c>
      <c r="CD4066">
        <v>85000</v>
      </c>
      <c r="CE4066" s="1">
        <v>43282</v>
      </c>
      <c r="CF4066" s="1">
        <v>43282</v>
      </c>
      <c r="CG4066" s="1">
        <v>43282</v>
      </c>
      <c r="CI4066" t="s">
        <v>51</v>
      </c>
      <c r="CK4066" t="s">
        <v>78</v>
      </c>
      <c r="CM4066" t="s">
        <v>54</v>
      </c>
      <c r="CN4066" t="s">
        <v>174</v>
      </c>
      <c r="CO4066" t="s">
        <v>86</v>
      </c>
      <c r="CR4066">
        <v>50</v>
      </c>
      <c r="CS4066">
        <v>0</v>
      </c>
      <c r="CT4066">
        <v>0</v>
      </c>
      <c r="CU4066">
        <v>0</v>
      </c>
    </row>
    <row r="4067" spans="1:99" x14ac:dyDescent="0.2">
      <c r="A4067" t="s">
        <v>367</v>
      </c>
      <c r="B4067" t="s">
        <v>440</v>
      </c>
      <c r="C4067" t="s">
        <v>441</v>
      </c>
      <c r="D4067" t="s">
        <v>1201</v>
      </c>
      <c r="F4067" t="str">
        <f>"253690"</f>
        <v>253690</v>
      </c>
      <c r="G4067" t="s">
        <v>49</v>
      </c>
      <c r="K4067" t="s">
        <v>51</v>
      </c>
      <c r="L4067" t="s">
        <v>52</v>
      </c>
      <c r="M4067">
        <v>137488.28400000001</v>
      </c>
      <c r="N4067">
        <v>468672.50900000002</v>
      </c>
      <c r="O4067" t="s">
        <v>53</v>
      </c>
      <c r="P4067" t="s">
        <v>54</v>
      </c>
      <c r="Q4067" t="s">
        <v>55</v>
      </c>
      <c r="T4067" t="s">
        <v>431</v>
      </c>
      <c r="U4067">
        <v>40</v>
      </c>
      <c r="V4067" s="1">
        <v>25569</v>
      </c>
      <c r="W4067" s="1">
        <v>25569</v>
      </c>
      <c r="X4067" s="1">
        <v>25569</v>
      </c>
      <c r="Y4067" s="1">
        <v>40179</v>
      </c>
      <c r="Z4067" t="s">
        <v>51</v>
      </c>
      <c r="AB4067" t="s">
        <v>54</v>
      </c>
      <c r="AD4067" t="s">
        <v>809</v>
      </c>
      <c r="AE4067" t="s">
        <v>810</v>
      </c>
      <c r="AF4067">
        <v>20</v>
      </c>
      <c r="AG4067" s="1">
        <v>43282</v>
      </c>
      <c r="AH4067" s="1">
        <v>43282</v>
      </c>
      <c r="AI4067" s="1">
        <v>43282</v>
      </c>
      <c r="AK4067" t="s">
        <v>51</v>
      </c>
      <c r="AN4067">
        <v>0</v>
      </c>
      <c r="AO4067" t="s">
        <v>54</v>
      </c>
      <c r="AP4067" t="s">
        <v>53</v>
      </c>
      <c r="AQ4067">
        <v>0</v>
      </c>
      <c r="AR4067" t="s">
        <v>53</v>
      </c>
      <c r="AS4067">
        <v>0</v>
      </c>
      <c r="AT4067">
        <v>0</v>
      </c>
      <c r="CC4067" t="s">
        <v>669</v>
      </c>
      <c r="CD4067">
        <v>85000</v>
      </c>
      <c r="CE4067" s="1">
        <v>43282</v>
      </c>
      <c r="CF4067" s="1">
        <v>43282</v>
      </c>
      <c r="CG4067" s="1">
        <v>43282</v>
      </c>
      <c r="CI4067" t="s">
        <v>51</v>
      </c>
      <c r="CK4067" t="s">
        <v>78</v>
      </c>
      <c r="CM4067" t="s">
        <v>54</v>
      </c>
      <c r="CN4067" t="s">
        <v>174</v>
      </c>
      <c r="CO4067" t="s">
        <v>86</v>
      </c>
      <c r="CR4067">
        <v>50</v>
      </c>
      <c r="CS4067">
        <v>0</v>
      </c>
      <c r="CT4067">
        <v>0</v>
      </c>
      <c r="CU4067">
        <v>0</v>
      </c>
    </row>
    <row r="4068" spans="1:99" x14ac:dyDescent="0.2">
      <c r="A4068" t="s">
        <v>367</v>
      </c>
      <c r="B4068" t="s">
        <v>440</v>
      </c>
      <c r="C4068" t="s">
        <v>441</v>
      </c>
      <c r="D4068" t="s">
        <v>1201</v>
      </c>
      <c r="F4068" t="str">
        <f>"253691"</f>
        <v>253691</v>
      </c>
      <c r="G4068" t="s">
        <v>49</v>
      </c>
      <c r="K4068" t="s">
        <v>51</v>
      </c>
      <c r="L4068" t="s">
        <v>52</v>
      </c>
      <c r="M4068">
        <v>137434.20800000001</v>
      </c>
      <c r="N4068">
        <v>468646.03100000002</v>
      </c>
      <c r="O4068" t="s">
        <v>53</v>
      </c>
      <c r="P4068" t="s">
        <v>54</v>
      </c>
      <c r="Q4068" t="s">
        <v>55</v>
      </c>
      <c r="T4068" t="s">
        <v>431</v>
      </c>
      <c r="U4068">
        <v>40</v>
      </c>
      <c r="V4068" s="1">
        <v>25569</v>
      </c>
      <c r="W4068" s="1">
        <v>25569</v>
      </c>
      <c r="X4068" s="1">
        <v>25569</v>
      </c>
      <c r="Y4068" s="1">
        <v>40179</v>
      </c>
      <c r="Z4068" t="s">
        <v>51</v>
      </c>
      <c r="AB4068" t="s">
        <v>54</v>
      </c>
      <c r="AD4068" t="s">
        <v>809</v>
      </c>
      <c r="AE4068" t="s">
        <v>810</v>
      </c>
      <c r="AF4068">
        <v>20</v>
      </c>
      <c r="AG4068" s="1">
        <v>43282</v>
      </c>
      <c r="AH4068" s="1">
        <v>43282</v>
      </c>
      <c r="AI4068" s="1">
        <v>43282</v>
      </c>
      <c r="AK4068" t="s">
        <v>51</v>
      </c>
      <c r="AN4068">
        <v>0</v>
      </c>
      <c r="AO4068" t="s">
        <v>54</v>
      </c>
      <c r="AP4068" t="s">
        <v>53</v>
      </c>
      <c r="AQ4068">
        <v>0</v>
      </c>
      <c r="AR4068" t="s">
        <v>53</v>
      </c>
      <c r="AS4068">
        <v>0</v>
      </c>
      <c r="AT4068">
        <v>0</v>
      </c>
      <c r="CC4068" t="s">
        <v>669</v>
      </c>
      <c r="CD4068">
        <v>85000</v>
      </c>
      <c r="CE4068" s="1">
        <v>43282</v>
      </c>
      <c r="CF4068" s="1">
        <v>43282</v>
      </c>
      <c r="CG4068" s="1">
        <v>43282</v>
      </c>
      <c r="CI4068" t="s">
        <v>51</v>
      </c>
      <c r="CK4068" t="s">
        <v>78</v>
      </c>
      <c r="CM4068" t="s">
        <v>54</v>
      </c>
      <c r="CN4068" t="s">
        <v>174</v>
      </c>
      <c r="CO4068" t="s">
        <v>86</v>
      </c>
      <c r="CR4068">
        <v>50</v>
      </c>
      <c r="CS4068">
        <v>0</v>
      </c>
      <c r="CT4068">
        <v>0</v>
      </c>
      <c r="CU4068">
        <v>0</v>
      </c>
    </row>
    <row r="4069" spans="1:99" x14ac:dyDescent="0.2">
      <c r="A4069" t="s">
        <v>367</v>
      </c>
      <c r="B4069" t="s">
        <v>440</v>
      </c>
      <c r="C4069" t="s">
        <v>441</v>
      </c>
      <c r="D4069" t="s">
        <v>1201</v>
      </c>
      <c r="F4069" t="str">
        <f>"253692"</f>
        <v>253692</v>
      </c>
      <c r="G4069" t="s">
        <v>49</v>
      </c>
      <c r="K4069" t="s">
        <v>51</v>
      </c>
      <c r="L4069" t="s">
        <v>52</v>
      </c>
      <c r="M4069">
        <v>137378.42000000001</v>
      </c>
      <c r="N4069">
        <v>468618.65</v>
      </c>
      <c r="O4069" t="s">
        <v>53</v>
      </c>
      <c r="P4069" t="s">
        <v>54</v>
      </c>
      <c r="Q4069" t="s">
        <v>55</v>
      </c>
      <c r="T4069" t="s">
        <v>431</v>
      </c>
      <c r="U4069">
        <v>40</v>
      </c>
      <c r="V4069" s="1">
        <v>25569</v>
      </c>
      <c r="W4069" s="1">
        <v>25569</v>
      </c>
      <c r="X4069" s="1">
        <v>25569</v>
      </c>
      <c r="Y4069" s="1">
        <v>40179</v>
      </c>
      <c r="Z4069" t="s">
        <v>51</v>
      </c>
      <c r="AB4069" t="s">
        <v>54</v>
      </c>
      <c r="AD4069" t="s">
        <v>809</v>
      </c>
      <c r="AE4069" t="s">
        <v>810</v>
      </c>
      <c r="AF4069">
        <v>20</v>
      </c>
      <c r="AG4069" s="1">
        <v>43282</v>
      </c>
      <c r="AH4069" s="1">
        <v>43282</v>
      </c>
      <c r="AI4069" s="1">
        <v>43282</v>
      </c>
      <c r="AK4069" t="s">
        <v>51</v>
      </c>
      <c r="AN4069">
        <v>0</v>
      </c>
      <c r="AO4069" t="s">
        <v>54</v>
      </c>
      <c r="AP4069" t="s">
        <v>53</v>
      </c>
      <c r="AQ4069">
        <v>0</v>
      </c>
      <c r="AR4069" t="s">
        <v>53</v>
      </c>
      <c r="AS4069">
        <v>0</v>
      </c>
      <c r="AT4069">
        <v>0</v>
      </c>
      <c r="CC4069" t="s">
        <v>669</v>
      </c>
      <c r="CD4069">
        <v>85000</v>
      </c>
      <c r="CE4069" s="1">
        <v>43282</v>
      </c>
      <c r="CF4069" s="1">
        <v>43282</v>
      </c>
      <c r="CG4069" s="1">
        <v>43282</v>
      </c>
      <c r="CI4069" t="s">
        <v>51</v>
      </c>
      <c r="CK4069" t="s">
        <v>78</v>
      </c>
      <c r="CM4069" t="s">
        <v>54</v>
      </c>
      <c r="CN4069" t="s">
        <v>174</v>
      </c>
      <c r="CO4069" t="s">
        <v>86</v>
      </c>
      <c r="CR4069">
        <v>50</v>
      </c>
      <c r="CS4069">
        <v>0</v>
      </c>
      <c r="CT4069">
        <v>0</v>
      </c>
      <c r="CU4069">
        <v>0</v>
      </c>
    </row>
    <row r="4070" spans="1:99" x14ac:dyDescent="0.2">
      <c r="A4070" t="s">
        <v>367</v>
      </c>
      <c r="B4070" t="s">
        <v>440</v>
      </c>
      <c r="C4070" t="s">
        <v>441</v>
      </c>
      <c r="D4070" t="s">
        <v>1201</v>
      </c>
      <c r="F4070" t="str">
        <f>"253693"</f>
        <v>253693</v>
      </c>
      <c r="G4070" t="s">
        <v>49</v>
      </c>
      <c r="K4070" t="s">
        <v>51</v>
      </c>
      <c r="L4070" t="s">
        <v>52</v>
      </c>
      <c r="M4070">
        <v>137326.94200000001</v>
      </c>
      <c r="N4070">
        <v>468594.00900000002</v>
      </c>
      <c r="O4070" t="s">
        <v>53</v>
      </c>
      <c r="P4070" t="s">
        <v>54</v>
      </c>
      <c r="Q4070" t="s">
        <v>55</v>
      </c>
      <c r="T4070" t="s">
        <v>431</v>
      </c>
      <c r="U4070">
        <v>40</v>
      </c>
      <c r="V4070" s="1">
        <v>25569</v>
      </c>
      <c r="W4070" s="1">
        <v>25569</v>
      </c>
      <c r="X4070" s="1">
        <v>25569</v>
      </c>
      <c r="Y4070" s="1">
        <v>40179</v>
      </c>
      <c r="Z4070" t="s">
        <v>51</v>
      </c>
      <c r="AB4070" t="s">
        <v>54</v>
      </c>
      <c r="AD4070" t="s">
        <v>809</v>
      </c>
      <c r="AE4070" t="s">
        <v>810</v>
      </c>
      <c r="AF4070">
        <v>20</v>
      </c>
      <c r="AG4070" s="1">
        <v>43282</v>
      </c>
      <c r="AH4070" s="1">
        <v>43282</v>
      </c>
      <c r="AI4070" s="1">
        <v>43282</v>
      </c>
      <c r="AK4070" t="s">
        <v>51</v>
      </c>
      <c r="AN4070">
        <v>0</v>
      </c>
      <c r="AO4070" t="s">
        <v>54</v>
      </c>
      <c r="AP4070" t="s">
        <v>53</v>
      </c>
      <c r="AQ4070">
        <v>0</v>
      </c>
      <c r="AR4070" t="s">
        <v>53</v>
      </c>
      <c r="AS4070">
        <v>0</v>
      </c>
      <c r="AT4070">
        <v>0</v>
      </c>
      <c r="CC4070" t="s">
        <v>669</v>
      </c>
      <c r="CD4070">
        <v>85000</v>
      </c>
      <c r="CE4070" s="1">
        <v>43282</v>
      </c>
      <c r="CF4070" s="1">
        <v>43282</v>
      </c>
      <c r="CG4070" s="1">
        <v>43282</v>
      </c>
      <c r="CI4070" t="s">
        <v>51</v>
      </c>
      <c r="CK4070" t="s">
        <v>78</v>
      </c>
      <c r="CM4070" t="s">
        <v>54</v>
      </c>
      <c r="CN4070" t="s">
        <v>174</v>
      </c>
      <c r="CO4070" t="s">
        <v>86</v>
      </c>
      <c r="CR4070">
        <v>50</v>
      </c>
      <c r="CS4070">
        <v>0</v>
      </c>
      <c r="CT4070">
        <v>0</v>
      </c>
      <c r="CU4070">
        <v>0</v>
      </c>
    </row>
    <row r="4071" spans="1:99" x14ac:dyDescent="0.2">
      <c r="A4071" t="s">
        <v>367</v>
      </c>
      <c r="B4071" t="s">
        <v>440</v>
      </c>
      <c r="C4071" t="s">
        <v>441</v>
      </c>
      <c r="D4071" t="s">
        <v>1201</v>
      </c>
      <c r="F4071" t="str">
        <f>"253694"</f>
        <v>253694</v>
      </c>
      <c r="G4071" t="s">
        <v>49</v>
      </c>
      <c r="K4071" t="s">
        <v>51</v>
      </c>
      <c r="L4071" t="s">
        <v>52</v>
      </c>
      <c r="M4071">
        <v>137309.01</v>
      </c>
      <c r="N4071">
        <v>468590.78700000001</v>
      </c>
      <c r="O4071" t="s">
        <v>53</v>
      </c>
      <c r="P4071" t="s">
        <v>54</v>
      </c>
      <c r="Q4071" t="s">
        <v>55</v>
      </c>
      <c r="T4071" t="s">
        <v>431</v>
      </c>
      <c r="U4071">
        <v>40</v>
      </c>
      <c r="V4071" s="1">
        <v>25569</v>
      </c>
      <c r="W4071" s="1">
        <v>25569</v>
      </c>
      <c r="X4071" s="1">
        <v>25569</v>
      </c>
      <c r="Y4071" s="1">
        <v>40179</v>
      </c>
      <c r="Z4071" t="s">
        <v>51</v>
      </c>
      <c r="AB4071" t="s">
        <v>54</v>
      </c>
      <c r="AD4071" t="s">
        <v>809</v>
      </c>
      <c r="AE4071" t="s">
        <v>810</v>
      </c>
      <c r="AF4071">
        <v>20</v>
      </c>
      <c r="AG4071" s="1">
        <v>43282</v>
      </c>
      <c r="AH4071" s="1">
        <v>43282</v>
      </c>
      <c r="AI4071" s="1">
        <v>43282</v>
      </c>
      <c r="AJ4071" s="1">
        <v>50587</v>
      </c>
      <c r="AK4071" t="s">
        <v>51</v>
      </c>
      <c r="AN4071">
        <v>0</v>
      </c>
      <c r="AO4071" t="s">
        <v>54</v>
      </c>
      <c r="AP4071" t="s">
        <v>53</v>
      </c>
      <c r="AQ4071">
        <v>0</v>
      </c>
      <c r="AR4071" t="s">
        <v>53</v>
      </c>
      <c r="AS4071">
        <v>0</v>
      </c>
      <c r="AT4071">
        <v>0</v>
      </c>
      <c r="CC4071" t="s">
        <v>669</v>
      </c>
      <c r="CD4071">
        <v>85000</v>
      </c>
      <c r="CE4071" s="1">
        <v>43282</v>
      </c>
      <c r="CF4071" s="1">
        <v>43282</v>
      </c>
      <c r="CG4071" s="1">
        <v>43282</v>
      </c>
      <c r="CH4071" s="1">
        <v>50444</v>
      </c>
      <c r="CI4071" t="s">
        <v>51</v>
      </c>
      <c r="CK4071" t="s">
        <v>78</v>
      </c>
      <c r="CM4071" t="s">
        <v>54</v>
      </c>
      <c r="CN4071" t="s">
        <v>174</v>
      </c>
      <c r="CO4071" t="s">
        <v>86</v>
      </c>
      <c r="CR4071">
        <v>50</v>
      </c>
      <c r="CS4071">
        <v>0</v>
      </c>
      <c r="CT4071">
        <v>0</v>
      </c>
      <c r="CU4071">
        <v>0</v>
      </c>
    </row>
    <row r="4072" spans="1:99" x14ac:dyDescent="0.2">
      <c r="A4072" t="s">
        <v>367</v>
      </c>
      <c r="B4072" t="s">
        <v>440</v>
      </c>
      <c r="C4072" t="s">
        <v>441</v>
      </c>
      <c r="D4072" t="s">
        <v>1201</v>
      </c>
      <c r="F4072" t="str">
        <f>"253695"</f>
        <v>253695</v>
      </c>
      <c r="G4072" t="s">
        <v>49</v>
      </c>
      <c r="K4072" t="s">
        <v>51</v>
      </c>
      <c r="L4072" t="s">
        <v>52</v>
      </c>
      <c r="M4072">
        <v>137292.10500000001</v>
      </c>
      <c r="N4072">
        <v>468586.77100000001</v>
      </c>
      <c r="O4072" t="s">
        <v>53</v>
      </c>
      <c r="P4072" t="s">
        <v>54</v>
      </c>
      <c r="Q4072" t="s">
        <v>55</v>
      </c>
      <c r="T4072" t="s">
        <v>431</v>
      </c>
      <c r="U4072">
        <v>40</v>
      </c>
      <c r="V4072" s="1">
        <v>25569</v>
      </c>
      <c r="W4072" s="1">
        <v>25569</v>
      </c>
      <c r="X4072" s="1">
        <v>25569</v>
      </c>
      <c r="Y4072" s="1">
        <v>40179</v>
      </c>
      <c r="Z4072" t="s">
        <v>51</v>
      </c>
      <c r="AB4072" t="s">
        <v>54</v>
      </c>
      <c r="AD4072" t="s">
        <v>809</v>
      </c>
      <c r="AE4072" t="s">
        <v>810</v>
      </c>
      <c r="AF4072">
        <v>20</v>
      </c>
      <c r="AG4072" s="1">
        <v>43282</v>
      </c>
      <c r="AH4072" s="1">
        <v>43282</v>
      </c>
      <c r="AI4072" s="1">
        <v>43282</v>
      </c>
      <c r="AK4072" t="s">
        <v>51</v>
      </c>
      <c r="AN4072">
        <v>0</v>
      </c>
      <c r="AO4072" t="s">
        <v>54</v>
      </c>
      <c r="AP4072" t="s">
        <v>53</v>
      </c>
      <c r="AQ4072">
        <v>0</v>
      </c>
      <c r="AR4072" t="s">
        <v>53</v>
      </c>
      <c r="AS4072">
        <v>0</v>
      </c>
      <c r="AT4072">
        <v>0</v>
      </c>
      <c r="CC4072" t="s">
        <v>669</v>
      </c>
      <c r="CD4072">
        <v>85000</v>
      </c>
      <c r="CE4072" s="1">
        <v>43282</v>
      </c>
      <c r="CF4072" s="1">
        <v>43282</v>
      </c>
      <c r="CG4072" s="1">
        <v>43282</v>
      </c>
      <c r="CI4072" t="s">
        <v>51</v>
      </c>
      <c r="CK4072" t="s">
        <v>78</v>
      </c>
      <c r="CM4072" t="s">
        <v>54</v>
      </c>
      <c r="CN4072" t="s">
        <v>174</v>
      </c>
      <c r="CO4072" t="s">
        <v>86</v>
      </c>
      <c r="CR4072">
        <v>50</v>
      </c>
      <c r="CS4072">
        <v>0</v>
      </c>
      <c r="CT4072">
        <v>0</v>
      </c>
      <c r="CU4072">
        <v>0</v>
      </c>
    </row>
    <row r="4073" spans="1:99" x14ac:dyDescent="0.2">
      <c r="A4073" t="s">
        <v>367</v>
      </c>
      <c r="B4073" t="s">
        <v>440</v>
      </c>
      <c r="C4073" t="s">
        <v>441</v>
      </c>
      <c r="D4073" t="s">
        <v>1201</v>
      </c>
      <c r="F4073" t="str">
        <f>"253696"</f>
        <v>253696</v>
      </c>
      <c r="G4073" t="s">
        <v>49</v>
      </c>
      <c r="K4073" t="s">
        <v>51</v>
      </c>
      <c r="L4073" t="s">
        <v>52</v>
      </c>
      <c r="M4073">
        <v>137288.79</v>
      </c>
      <c r="N4073">
        <v>468569.58600000001</v>
      </c>
      <c r="O4073" t="s">
        <v>53</v>
      </c>
      <c r="P4073" t="s">
        <v>54</v>
      </c>
      <c r="Q4073" t="s">
        <v>55</v>
      </c>
      <c r="T4073" t="s">
        <v>431</v>
      </c>
      <c r="U4073">
        <v>40</v>
      </c>
      <c r="V4073" s="1">
        <v>25569</v>
      </c>
      <c r="W4073" s="1">
        <v>25569</v>
      </c>
      <c r="X4073" s="1">
        <v>25569</v>
      </c>
      <c r="Y4073" s="1">
        <v>40179</v>
      </c>
      <c r="Z4073" t="s">
        <v>51</v>
      </c>
      <c r="AB4073" t="s">
        <v>54</v>
      </c>
      <c r="AD4073" t="s">
        <v>809</v>
      </c>
      <c r="AE4073" t="s">
        <v>810</v>
      </c>
      <c r="AF4073">
        <v>20</v>
      </c>
      <c r="AG4073" s="1">
        <v>43282</v>
      </c>
      <c r="AH4073" s="1">
        <v>43282</v>
      </c>
      <c r="AI4073" s="1">
        <v>43282</v>
      </c>
      <c r="AK4073" t="s">
        <v>51</v>
      </c>
      <c r="AN4073">
        <v>0</v>
      </c>
      <c r="AO4073" t="s">
        <v>54</v>
      </c>
      <c r="AP4073" t="s">
        <v>53</v>
      </c>
      <c r="AQ4073">
        <v>0</v>
      </c>
      <c r="AR4073" t="s">
        <v>53</v>
      </c>
      <c r="AS4073">
        <v>0</v>
      </c>
      <c r="AT4073">
        <v>0</v>
      </c>
      <c r="CC4073" t="s">
        <v>669</v>
      </c>
      <c r="CD4073">
        <v>85000</v>
      </c>
      <c r="CE4073" s="1">
        <v>43282</v>
      </c>
      <c r="CF4073" s="1">
        <v>43282</v>
      </c>
      <c r="CG4073" s="1">
        <v>43282</v>
      </c>
      <c r="CI4073" t="s">
        <v>51</v>
      </c>
      <c r="CK4073" t="s">
        <v>78</v>
      </c>
      <c r="CM4073" t="s">
        <v>54</v>
      </c>
      <c r="CN4073" t="s">
        <v>174</v>
      </c>
      <c r="CO4073" t="s">
        <v>86</v>
      </c>
      <c r="CR4073">
        <v>50</v>
      </c>
      <c r="CS4073">
        <v>0</v>
      </c>
      <c r="CT4073">
        <v>0</v>
      </c>
      <c r="CU4073">
        <v>0</v>
      </c>
    </row>
    <row r="4074" spans="1:99" x14ac:dyDescent="0.2">
      <c r="A4074" t="s">
        <v>367</v>
      </c>
      <c r="B4074" t="s">
        <v>440</v>
      </c>
      <c r="C4074" t="s">
        <v>441</v>
      </c>
      <c r="D4074" t="s">
        <v>1201</v>
      </c>
      <c r="F4074" t="str">
        <f>"253697"</f>
        <v>253697</v>
      </c>
      <c r="G4074" t="s">
        <v>49</v>
      </c>
      <c r="K4074" t="s">
        <v>51</v>
      </c>
      <c r="L4074" t="s">
        <v>52</v>
      </c>
      <c r="M4074">
        <v>137301.91200000001</v>
      </c>
      <c r="N4074">
        <v>468557.772</v>
      </c>
      <c r="O4074" t="s">
        <v>53</v>
      </c>
      <c r="P4074" t="s">
        <v>54</v>
      </c>
      <c r="Q4074" t="s">
        <v>55</v>
      </c>
      <c r="T4074" t="s">
        <v>431</v>
      </c>
      <c r="U4074">
        <v>40</v>
      </c>
      <c r="V4074" s="1">
        <v>25569</v>
      </c>
      <c r="W4074" s="1">
        <v>25569</v>
      </c>
      <c r="X4074" s="1">
        <v>25569</v>
      </c>
      <c r="Y4074" s="1">
        <v>40179</v>
      </c>
      <c r="Z4074" t="s">
        <v>51</v>
      </c>
      <c r="AB4074" t="s">
        <v>54</v>
      </c>
      <c r="AD4074" t="s">
        <v>809</v>
      </c>
      <c r="AE4074" t="s">
        <v>810</v>
      </c>
      <c r="AF4074">
        <v>20</v>
      </c>
      <c r="AG4074" s="1">
        <v>43282</v>
      </c>
      <c r="AH4074" s="1">
        <v>43282</v>
      </c>
      <c r="AI4074" s="1">
        <v>43282</v>
      </c>
      <c r="AK4074" t="s">
        <v>51</v>
      </c>
      <c r="AN4074">
        <v>0</v>
      </c>
      <c r="AO4074" t="s">
        <v>54</v>
      </c>
      <c r="AP4074" t="s">
        <v>53</v>
      </c>
      <c r="AQ4074">
        <v>0</v>
      </c>
      <c r="AR4074" t="s">
        <v>53</v>
      </c>
      <c r="AS4074">
        <v>0</v>
      </c>
      <c r="AT4074">
        <v>0</v>
      </c>
      <c r="CC4074" t="s">
        <v>669</v>
      </c>
      <c r="CD4074">
        <v>85000</v>
      </c>
      <c r="CE4074" s="1">
        <v>43282</v>
      </c>
      <c r="CF4074" s="1">
        <v>43282</v>
      </c>
      <c r="CG4074" s="1">
        <v>43282</v>
      </c>
      <c r="CI4074" t="s">
        <v>51</v>
      </c>
      <c r="CK4074" t="s">
        <v>78</v>
      </c>
      <c r="CM4074" t="s">
        <v>54</v>
      </c>
      <c r="CN4074" t="s">
        <v>174</v>
      </c>
      <c r="CO4074" t="s">
        <v>86</v>
      </c>
      <c r="CR4074">
        <v>50</v>
      </c>
      <c r="CS4074">
        <v>0</v>
      </c>
      <c r="CT4074">
        <v>0</v>
      </c>
      <c r="CU4074">
        <v>0</v>
      </c>
    </row>
    <row r="4075" spans="1:99" x14ac:dyDescent="0.2">
      <c r="A4075" t="s">
        <v>367</v>
      </c>
      <c r="B4075" t="s">
        <v>440</v>
      </c>
      <c r="C4075" t="s">
        <v>441</v>
      </c>
      <c r="D4075" t="s">
        <v>1201</v>
      </c>
      <c r="F4075" t="str">
        <f>"253698"</f>
        <v>253698</v>
      </c>
      <c r="G4075" t="s">
        <v>49</v>
      </c>
      <c r="K4075" t="s">
        <v>51</v>
      </c>
      <c r="L4075" t="s">
        <v>52</v>
      </c>
      <c r="M4075">
        <v>137321.54300000001</v>
      </c>
      <c r="N4075">
        <v>468551.32699999999</v>
      </c>
      <c r="O4075" t="s">
        <v>53</v>
      </c>
      <c r="P4075" t="s">
        <v>54</v>
      </c>
      <c r="Q4075" t="s">
        <v>55</v>
      </c>
      <c r="T4075" t="s">
        <v>431</v>
      </c>
      <c r="U4075">
        <v>40</v>
      </c>
      <c r="V4075" s="1">
        <v>25569</v>
      </c>
      <c r="W4075" s="1">
        <v>25569</v>
      </c>
      <c r="X4075" s="1">
        <v>25569</v>
      </c>
      <c r="Y4075" s="1">
        <v>40179</v>
      </c>
      <c r="Z4075" t="s">
        <v>51</v>
      </c>
      <c r="AB4075" t="s">
        <v>54</v>
      </c>
      <c r="AD4075" t="s">
        <v>809</v>
      </c>
      <c r="AE4075" t="s">
        <v>810</v>
      </c>
      <c r="AF4075">
        <v>20</v>
      </c>
      <c r="AG4075" s="1">
        <v>43282</v>
      </c>
      <c r="AH4075" s="1">
        <v>43282</v>
      </c>
      <c r="AI4075" s="1">
        <v>43282</v>
      </c>
      <c r="AK4075" t="s">
        <v>51</v>
      </c>
      <c r="AN4075">
        <v>0</v>
      </c>
      <c r="AO4075" t="s">
        <v>54</v>
      </c>
      <c r="AP4075" t="s">
        <v>53</v>
      </c>
      <c r="AQ4075">
        <v>0</v>
      </c>
      <c r="AR4075" t="s">
        <v>53</v>
      </c>
      <c r="AS4075">
        <v>0</v>
      </c>
      <c r="AT4075">
        <v>0</v>
      </c>
      <c r="CC4075" t="s">
        <v>669</v>
      </c>
      <c r="CD4075">
        <v>85000</v>
      </c>
      <c r="CE4075" s="1">
        <v>43282</v>
      </c>
      <c r="CF4075" s="1">
        <v>43282</v>
      </c>
      <c r="CG4075" s="1">
        <v>43282</v>
      </c>
      <c r="CI4075" t="s">
        <v>51</v>
      </c>
      <c r="CK4075" t="s">
        <v>78</v>
      </c>
      <c r="CM4075" t="s">
        <v>54</v>
      </c>
      <c r="CN4075" t="s">
        <v>174</v>
      </c>
      <c r="CO4075" t="s">
        <v>86</v>
      </c>
      <c r="CR4075">
        <v>50</v>
      </c>
      <c r="CS4075">
        <v>0</v>
      </c>
      <c r="CT4075">
        <v>0</v>
      </c>
      <c r="CU4075">
        <v>0</v>
      </c>
    </row>
    <row r="4076" spans="1:99" x14ac:dyDescent="0.2">
      <c r="A4076" t="s">
        <v>367</v>
      </c>
      <c r="B4076" t="s">
        <v>440</v>
      </c>
      <c r="C4076" t="s">
        <v>441</v>
      </c>
      <c r="D4076" t="s">
        <v>1201</v>
      </c>
      <c r="F4076" t="str">
        <f>"253700"</f>
        <v>253700</v>
      </c>
      <c r="G4076" t="s">
        <v>49</v>
      </c>
      <c r="K4076" t="s">
        <v>51</v>
      </c>
      <c r="L4076" t="s">
        <v>52</v>
      </c>
      <c r="M4076">
        <v>137334.647</v>
      </c>
      <c r="N4076">
        <v>468584.85700000002</v>
      </c>
      <c r="O4076" t="s">
        <v>53</v>
      </c>
      <c r="P4076" t="s">
        <v>54</v>
      </c>
      <c r="Q4076" t="s">
        <v>55</v>
      </c>
      <c r="T4076" t="s">
        <v>431</v>
      </c>
      <c r="U4076">
        <v>40</v>
      </c>
      <c r="V4076" s="1">
        <v>25569</v>
      </c>
      <c r="W4076" s="1">
        <v>25569</v>
      </c>
      <c r="X4076" s="1">
        <v>25569</v>
      </c>
      <c r="Y4076" s="1">
        <v>40179</v>
      </c>
      <c r="Z4076" t="s">
        <v>51</v>
      </c>
      <c r="AB4076" t="s">
        <v>54</v>
      </c>
      <c r="AD4076" t="s">
        <v>809</v>
      </c>
      <c r="AE4076" t="s">
        <v>810</v>
      </c>
      <c r="AF4076">
        <v>20</v>
      </c>
      <c r="AG4076" s="1">
        <v>43282</v>
      </c>
      <c r="AH4076" s="1">
        <v>43282</v>
      </c>
      <c r="AI4076" s="1">
        <v>43282</v>
      </c>
      <c r="AK4076" t="s">
        <v>51</v>
      </c>
      <c r="AN4076">
        <v>0</v>
      </c>
      <c r="AO4076" t="s">
        <v>54</v>
      </c>
      <c r="AP4076" t="s">
        <v>53</v>
      </c>
      <c r="AQ4076">
        <v>0</v>
      </c>
      <c r="AR4076" t="s">
        <v>53</v>
      </c>
      <c r="AS4076">
        <v>0</v>
      </c>
      <c r="AT4076">
        <v>0</v>
      </c>
      <c r="CC4076" t="s">
        <v>669</v>
      </c>
      <c r="CD4076">
        <v>85000</v>
      </c>
      <c r="CE4076" s="1">
        <v>43282</v>
      </c>
      <c r="CF4076" s="1">
        <v>43282</v>
      </c>
      <c r="CG4076" s="1">
        <v>43282</v>
      </c>
      <c r="CI4076" t="s">
        <v>51</v>
      </c>
      <c r="CK4076" t="s">
        <v>78</v>
      </c>
      <c r="CM4076" t="s">
        <v>54</v>
      </c>
      <c r="CN4076" t="s">
        <v>174</v>
      </c>
      <c r="CO4076" t="s">
        <v>86</v>
      </c>
      <c r="CR4076">
        <v>50</v>
      </c>
      <c r="CS4076">
        <v>0</v>
      </c>
      <c r="CT4076">
        <v>0</v>
      </c>
      <c r="CU4076">
        <v>0</v>
      </c>
    </row>
    <row r="4077" spans="1:99" x14ac:dyDescent="0.2">
      <c r="A4077" t="s">
        <v>367</v>
      </c>
      <c r="B4077" t="s">
        <v>440</v>
      </c>
      <c r="C4077" t="s">
        <v>441</v>
      </c>
      <c r="D4077" t="s">
        <v>1201</v>
      </c>
      <c r="F4077" t="str">
        <f>"253701"</f>
        <v>253701</v>
      </c>
      <c r="G4077" t="s">
        <v>49</v>
      </c>
      <c r="K4077" t="s">
        <v>51</v>
      </c>
      <c r="L4077" t="s">
        <v>52</v>
      </c>
      <c r="M4077">
        <v>137355.101</v>
      </c>
      <c r="N4077">
        <v>468598.49200000003</v>
      </c>
      <c r="O4077" t="s">
        <v>53</v>
      </c>
      <c r="P4077" t="s">
        <v>54</v>
      </c>
      <c r="Q4077" t="s">
        <v>55</v>
      </c>
      <c r="T4077" t="s">
        <v>431</v>
      </c>
      <c r="U4077">
        <v>40</v>
      </c>
      <c r="V4077" s="1">
        <v>25569</v>
      </c>
      <c r="W4077" s="1">
        <v>25569</v>
      </c>
      <c r="X4077" s="1">
        <v>25569</v>
      </c>
      <c r="Y4077" s="1">
        <v>40179</v>
      </c>
      <c r="Z4077" t="s">
        <v>51</v>
      </c>
      <c r="AB4077" t="s">
        <v>54</v>
      </c>
      <c r="AD4077" t="s">
        <v>809</v>
      </c>
      <c r="AE4077" t="s">
        <v>810</v>
      </c>
      <c r="AF4077">
        <v>20</v>
      </c>
      <c r="AG4077" s="1">
        <v>43282</v>
      </c>
      <c r="AH4077" s="1">
        <v>43282</v>
      </c>
      <c r="AI4077" s="1">
        <v>43282</v>
      </c>
      <c r="AK4077" t="s">
        <v>51</v>
      </c>
      <c r="AN4077">
        <v>0</v>
      </c>
      <c r="AO4077" t="s">
        <v>54</v>
      </c>
      <c r="AP4077" t="s">
        <v>53</v>
      </c>
      <c r="AQ4077">
        <v>0</v>
      </c>
      <c r="AR4077" t="s">
        <v>53</v>
      </c>
      <c r="AS4077">
        <v>0</v>
      </c>
      <c r="AT4077">
        <v>0</v>
      </c>
      <c r="CC4077" t="s">
        <v>669</v>
      </c>
      <c r="CD4077">
        <v>85000</v>
      </c>
      <c r="CE4077" s="1">
        <v>43282</v>
      </c>
      <c r="CF4077" s="1">
        <v>43282</v>
      </c>
      <c r="CG4077" s="1">
        <v>43282</v>
      </c>
      <c r="CI4077" t="s">
        <v>51</v>
      </c>
      <c r="CK4077" t="s">
        <v>78</v>
      </c>
      <c r="CM4077" t="s">
        <v>54</v>
      </c>
      <c r="CN4077" t="s">
        <v>174</v>
      </c>
      <c r="CO4077" t="s">
        <v>86</v>
      </c>
      <c r="CR4077">
        <v>50</v>
      </c>
      <c r="CS4077">
        <v>0</v>
      </c>
      <c r="CT4077">
        <v>0</v>
      </c>
      <c r="CU4077">
        <v>0</v>
      </c>
    </row>
    <row r="4078" spans="1:99" x14ac:dyDescent="0.2">
      <c r="A4078" t="s">
        <v>367</v>
      </c>
      <c r="B4078" t="s">
        <v>440</v>
      </c>
      <c r="C4078" t="s">
        <v>441</v>
      </c>
      <c r="D4078" t="s">
        <v>1201</v>
      </c>
      <c r="F4078" t="str">
        <f>"253702"</f>
        <v>253702</v>
      </c>
      <c r="G4078" t="s">
        <v>49</v>
      </c>
      <c r="K4078" t="s">
        <v>51</v>
      </c>
      <c r="L4078" t="s">
        <v>52</v>
      </c>
      <c r="M4078">
        <v>137408.34</v>
      </c>
      <c r="N4078">
        <v>468623.56</v>
      </c>
      <c r="O4078" t="s">
        <v>53</v>
      </c>
      <c r="P4078" t="s">
        <v>54</v>
      </c>
      <c r="Q4078" t="s">
        <v>55</v>
      </c>
      <c r="T4078" t="s">
        <v>431</v>
      </c>
      <c r="U4078">
        <v>40</v>
      </c>
      <c r="V4078" s="1">
        <v>25569</v>
      </c>
      <c r="W4078" s="1">
        <v>25569</v>
      </c>
      <c r="X4078" s="1">
        <v>25569</v>
      </c>
      <c r="Y4078" s="1">
        <v>40179</v>
      </c>
      <c r="Z4078" t="s">
        <v>51</v>
      </c>
      <c r="AB4078" t="s">
        <v>54</v>
      </c>
      <c r="AD4078" t="s">
        <v>809</v>
      </c>
      <c r="AE4078" t="s">
        <v>810</v>
      </c>
      <c r="AF4078">
        <v>20</v>
      </c>
      <c r="AG4078" s="1">
        <v>43282</v>
      </c>
      <c r="AH4078" s="1">
        <v>43282</v>
      </c>
      <c r="AI4078" s="1">
        <v>43282</v>
      </c>
      <c r="AK4078" t="s">
        <v>51</v>
      </c>
      <c r="AN4078">
        <v>0</v>
      </c>
      <c r="AO4078" t="s">
        <v>54</v>
      </c>
      <c r="AP4078" t="s">
        <v>53</v>
      </c>
      <c r="AQ4078">
        <v>0</v>
      </c>
      <c r="AR4078" t="s">
        <v>53</v>
      </c>
      <c r="AS4078">
        <v>0</v>
      </c>
      <c r="AT4078">
        <v>0</v>
      </c>
      <c r="CC4078" t="s">
        <v>669</v>
      </c>
      <c r="CD4078">
        <v>85000</v>
      </c>
      <c r="CE4078" s="1">
        <v>43282</v>
      </c>
      <c r="CF4078" s="1">
        <v>43282</v>
      </c>
      <c r="CG4078" s="1">
        <v>43282</v>
      </c>
      <c r="CI4078" t="s">
        <v>51</v>
      </c>
      <c r="CK4078" t="s">
        <v>78</v>
      </c>
      <c r="CM4078" t="s">
        <v>54</v>
      </c>
      <c r="CN4078" t="s">
        <v>174</v>
      </c>
      <c r="CO4078" t="s">
        <v>86</v>
      </c>
      <c r="CR4078">
        <v>50</v>
      </c>
      <c r="CS4078">
        <v>0</v>
      </c>
      <c r="CT4078">
        <v>0</v>
      </c>
      <c r="CU4078">
        <v>0</v>
      </c>
    </row>
    <row r="4079" spans="1:99" x14ac:dyDescent="0.2">
      <c r="A4079" t="s">
        <v>367</v>
      </c>
      <c r="B4079" t="s">
        <v>440</v>
      </c>
      <c r="C4079" t="s">
        <v>441</v>
      </c>
      <c r="D4079" t="s">
        <v>1201</v>
      </c>
      <c r="F4079" t="str">
        <f>"253703"</f>
        <v>253703</v>
      </c>
      <c r="G4079" t="s">
        <v>49</v>
      </c>
      <c r="K4079" t="s">
        <v>51</v>
      </c>
      <c r="L4079" t="s">
        <v>52</v>
      </c>
      <c r="M4079">
        <v>137465.30900000001</v>
      </c>
      <c r="N4079">
        <v>468651.495</v>
      </c>
      <c r="O4079" t="s">
        <v>53</v>
      </c>
      <c r="P4079" t="s">
        <v>54</v>
      </c>
      <c r="Q4079" t="s">
        <v>55</v>
      </c>
      <c r="T4079" t="s">
        <v>431</v>
      </c>
      <c r="U4079">
        <v>40</v>
      </c>
      <c r="V4079" s="1">
        <v>25569</v>
      </c>
      <c r="W4079" s="1">
        <v>25569</v>
      </c>
      <c r="X4079" s="1">
        <v>25569</v>
      </c>
      <c r="Y4079" s="1">
        <v>40179</v>
      </c>
      <c r="Z4079" t="s">
        <v>51</v>
      </c>
      <c r="AB4079" t="s">
        <v>54</v>
      </c>
      <c r="AD4079" t="s">
        <v>809</v>
      </c>
      <c r="AE4079" t="s">
        <v>810</v>
      </c>
      <c r="AF4079">
        <v>20</v>
      </c>
      <c r="AG4079" s="1">
        <v>43282</v>
      </c>
      <c r="AH4079" s="1">
        <v>43282</v>
      </c>
      <c r="AI4079" s="1">
        <v>43282</v>
      </c>
      <c r="AK4079" t="s">
        <v>51</v>
      </c>
      <c r="AN4079">
        <v>0</v>
      </c>
      <c r="AO4079" t="s">
        <v>54</v>
      </c>
      <c r="AP4079" t="s">
        <v>53</v>
      </c>
      <c r="AQ4079">
        <v>0</v>
      </c>
      <c r="AR4079" t="s">
        <v>53</v>
      </c>
      <c r="AS4079">
        <v>0</v>
      </c>
      <c r="AT4079">
        <v>0</v>
      </c>
      <c r="CC4079" t="s">
        <v>669</v>
      </c>
      <c r="CD4079">
        <v>85000</v>
      </c>
      <c r="CE4079" s="1">
        <v>43282</v>
      </c>
      <c r="CF4079" s="1">
        <v>43282</v>
      </c>
      <c r="CG4079" s="1">
        <v>43282</v>
      </c>
      <c r="CI4079" t="s">
        <v>51</v>
      </c>
      <c r="CK4079" t="s">
        <v>78</v>
      </c>
      <c r="CM4079" t="s">
        <v>54</v>
      </c>
      <c r="CN4079" t="s">
        <v>174</v>
      </c>
      <c r="CO4079" t="s">
        <v>86</v>
      </c>
      <c r="CR4079">
        <v>50</v>
      </c>
      <c r="CS4079">
        <v>0</v>
      </c>
      <c r="CT4079">
        <v>0</v>
      </c>
      <c r="CU4079">
        <v>0</v>
      </c>
    </row>
    <row r="4080" spans="1:99" x14ac:dyDescent="0.2">
      <c r="A4080" t="s">
        <v>367</v>
      </c>
      <c r="B4080" t="s">
        <v>440</v>
      </c>
      <c r="C4080" t="s">
        <v>441</v>
      </c>
      <c r="D4080" t="s">
        <v>1201</v>
      </c>
      <c r="F4080" t="str">
        <f>"253704"</f>
        <v>253704</v>
      </c>
      <c r="G4080" t="s">
        <v>49</v>
      </c>
      <c r="K4080" t="s">
        <v>51</v>
      </c>
      <c r="L4080" t="s">
        <v>52</v>
      </c>
      <c r="M4080">
        <v>137519.946</v>
      </c>
      <c r="N4080">
        <v>468678.86</v>
      </c>
      <c r="O4080" t="s">
        <v>53</v>
      </c>
      <c r="P4080" t="s">
        <v>54</v>
      </c>
      <c r="Q4080" t="s">
        <v>55</v>
      </c>
      <c r="T4080" t="s">
        <v>431</v>
      </c>
      <c r="U4080">
        <v>40</v>
      </c>
      <c r="V4080" s="1">
        <v>25569</v>
      </c>
      <c r="W4080" s="1">
        <v>25569</v>
      </c>
      <c r="X4080" s="1">
        <v>25569</v>
      </c>
      <c r="Y4080" s="1">
        <v>40179</v>
      </c>
      <c r="Z4080" t="s">
        <v>51</v>
      </c>
      <c r="AB4080" t="s">
        <v>54</v>
      </c>
      <c r="AD4080" t="s">
        <v>809</v>
      </c>
      <c r="AE4080" t="s">
        <v>810</v>
      </c>
      <c r="AF4080">
        <v>20</v>
      </c>
      <c r="AG4080" s="1">
        <v>43282</v>
      </c>
      <c r="AH4080" s="1">
        <v>43282</v>
      </c>
      <c r="AI4080" s="1">
        <v>43282</v>
      </c>
      <c r="AK4080" t="s">
        <v>51</v>
      </c>
      <c r="AN4080">
        <v>0</v>
      </c>
      <c r="AO4080" t="s">
        <v>54</v>
      </c>
      <c r="AP4080" t="s">
        <v>53</v>
      </c>
      <c r="AQ4080">
        <v>0</v>
      </c>
      <c r="AR4080" t="s">
        <v>53</v>
      </c>
      <c r="AS4080">
        <v>0</v>
      </c>
      <c r="AT4080">
        <v>0</v>
      </c>
      <c r="CC4080" t="s">
        <v>669</v>
      </c>
      <c r="CD4080">
        <v>85000</v>
      </c>
      <c r="CE4080" s="1">
        <v>43282</v>
      </c>
      <c r="CF4080" s="1">
        <v>43282</v>
      </c>
      <c r="CG4080" s="1">
        <v>43282</v>
      </c>
      <c r="CI4080" t="s">
        <v>51</v>
      </c>
      <c r="CK4080" t="s">
        <v>78</v>
      </c>
      <c r="CM4080" t="s">
        <v>54</v>
      </c>
      <c r="CN4080" t="s">
        <v>174</v>
      </c>
      <c r="CO4080" t="s">
        <v>86</v>
      </c>
      <c r="CR4080">
        <v>50</v>
      </c>
      <c r="CS4080">
        <v>0</v>
      </c>
      <c r="CT4080">
        <v>0</v>
      </c>
      <c r="CU4080">
        <v>0</v>
      </c>
    </row>
    <row r="4081" spans="1:99" x14ac:dyDescent="0.2">
      <c r="A4081" t="s">
        <v>367</v>
      </c>
      <c r="B4081" t="s">
        <v>440</v>
      </c>
      <c r="C4081" t="s">
        <v>441</v>
      </c>
      <c r="D4081" t="s">
        <v>1201</v>
      </c>
      <c r="F4081" t="str">
        <f>"253705"</f>
        <v>253705</v>
      </c>
      <c r="G4081" t="s">
        <v>49</v>
      </c>
      <c r="K4081" t="s">
        <v>51</v>
      </c>
      <c r="L4081" t="s">
        <v>52</v>
      </c>
      <c r="M4081">
        <v>137573.6</v>
      </c>
      <c r="N4081">
        <v>468704.23</v>
      </c>
      <c r="O4081" t="s">
        <v>53</v>
      </c>
      <c r="P4081" t="s">
        <v>54</v>
      </c>
      <c r="Q4081" t="s">
        <v>55</v>
      </c>
      <c r="T4081" t="s">
        <v>431</v>
      </c>
      <c r="U4081">
        <v>40</v>
      </c>
      <c r="V4081" s="1">
        <v>25569</v>
      </c>
      <c r="W4081" s="1">
        <v>25569</v>
      </c>
      <c r="X4081" s="1">
        <v>25569</v>
      </c>
      <c r="Y4081" s="1">
        <v>40179</v>
      </c>
      <c r="Z4081" t="s">
        <v>51</v>
      </c>
      <c r="AB4081" t="s">
        <v>54</v>
      </c>
      <c r="AD4081" t="s">
        <v>809</v>
      </c>
      <c r="AE4081" t="s">
        <v>810</v>
      </c>
      <c r="AF4081">
        <v>20</v>
      </c>
      <c r="AG4081" s="1">
        <v>43282</v>
      </c>
      <c r="AH4081" s="1">
        <v>43282</v>
      </c>
      <c r="AI4081" s="1">
        <v>43282</v>
      </c>
      <c r="AK4081" t="s">
        <v>51</v>
      </c>
      <c r="AN4081">
        <v>0</v>
      </c>
      <c r="AO4081" t="s">
        <v>54</v>
      </c>
      <c r="AP4081" t="s">
        <v>53</v>
      </c>
      <c r="AQ4081">
        <v>0</v>
      </c>
      <c r="AR4081" t="s">
        <v>53</v>
      </c>
      <c r="AS4081">
        <v>0</v>
      </c>
      <c r="AT4081">
        <v>0</v>
      </c>
      <c r="CC4081" t="s">
        <v>669</v>
      </c>
      <c r="CD4081">
        <v>85000</v>
      </c>
      <c r="CE4081" s="1">
        <v>43282</v>
      </c>
      <c r="CF4081" s="1">
        <v>43282</v>
      </c>
      <c r="CG4081" s="1">
        <v>43282</v>
      </c>
      <c r="CI4081" t="s">
        <v>51</v>
      </c>
      <c r="CK4081" t="s">
        <v>78</v>
      </c>
      <c r="CM4081" t="s">
        <v>54</v>
      </c>
      <c r="CN4081" t="s">
        <v>174</v>
      </c>
      <c r="CO4081" t="s">
        <v>86</v>
      </c>
      <c r="CR4081">
        <v>50</v>
      </c>
      <c r="CS4081">
        <v>0</v>
      </c>
      <c r="CT4081">
        <v>0</v>
      </c>
      <c r="CU4081">
        <v>0</v>
      </c>
    </row>
    <row r="4082" spans="1:99" x14ac:dyDescent="0.2">
      <c r="A4082" t="s">
        <v>367</v>
      </c>
      <c r="B4082" t="s">
        <v>440</v>
      </c>
      <c r="C4082" t="s">
        <v>441</v>
      </c>
      <c r="D4082" t="s">
        <v>1201</v>
      </c>
      <c r="F4082" t="str">
        <f>"253706"</f>
        <v>253706</v>
      </c>
      <c r="G4082" t="s">
        <v>49</v>
      </c>
      <c r="K4082" t="s">
        <v>51</v>
      </c>
      <c r="L4082" t="s">
        <v>52</v>
      </c>
      <c r="M4082">
        <v>137624.62</v>
      </c>
      <c r="N4082">
        <v>468729.36</v>
      </c>
      <c r="O4082" t="s">
        <v>53</v>
      </c>
      <c r="P4082" t="s">
        <v>54</v>
      </c>
      <c r="Q4082" t="s">
        <v>55</v>
      </c>
      <c r="T4082" t="s">
        <v>431</v>
      </c>
      <c r="U4082">
        <v>40</v>
      </c>
      <c r="V4082" s="1">
        <v>25569</v>
      </c>
      <c r="W4082" s="1">
        <v>25569</v>
      </c>
      <c r="X4082" s="1">
        <v>25569</v>
      </c>
      <c r="Y4082" s="1">
        <v>40179</v>
      </c>
      <c r="Z4082" t="s">
        <v>51</v>
      </c>
      <c r="AB4082" t="s">
        <v>54</v>
      </c>
      <c r="AD4082" t="s">
        <v>809</v>
      </c>
      <c r="AE4082" t="s">
        <v>810</v>
      </c>
      <c r="AF4082">
        <v>20</v>
      </c>
      <c r="AG4082" s="1">
        <v>43282</v>
      </c>
      <c r="AH4082" s="1">
        <v>43282</v>
      </c>
      <c r="AI4082" s="1">
        <v>43282</v>
      </c>
      <c r="AK4082" t="s">
        <v>51</v>
      </c>
      <c r="AN4082">
        <v>0</v>
      </c>
      <c r="AO4082" t="s">
        <v>54</v>
      </c>
      <c r="AP4082" t="s">
        <v>53</v>
      </c>
      <c r="AQ4082">
        <v>0</v>
      </c>
      <c r="AR4082" t="s">
        <v>53</v>
      </c>
      <c r="AS4082">
        <v>0</v>
      </c>
      <c r="AT4082">
        <v>0</v>
      </c>
      <c r="CC4082" t="s">
        <v>669</v>
      </c>
      <c r="CD4082">
        <v>85000</v>
      </c>
      <c r="CE4082" s="1">
        <v>43282</v>
      </c>
      <c r="CF4082" s="1">
        <v>43282</v>
      </c>
      <c r="CG4082" s="1">
        <v>43282</v>
      </c>
      <c r="CI4082" t="s">
        <v>51</v>
      </c>
      <c r="CK4082" t="s">
        <v>78</v>
      </c>
      <c r="CM4082" t="s">
        <v>54</v>
      </c>
      <c r="CN4082" t="s">
        <v>174</v>
      </c>
      <c r="CO4082" t="s">
        <v>86</v>
      </c>
      <c r="CR4082">
        <v>50</v>
      </c>
      <c r="CS4082">
        <v>0</v>
      </c>
      <c r="CT4082">
        <v>0</v>
      </c>
      <c r="CU4082">
        <v>0</v>
      </c>
    </row>
    <row r="4083" spans="1:99" x14ac:dyDescent="0.2">
      <c r="A4083" t="s">
        <v>367</v>
      </c>
      <c r="B4083" t="s">
        <v>440</v>
      </c>
      <c r="C4083" t="s">
        <v>441</v>
      </c>
      <c r="D4083" t="s">
        <v>1201</v>
      </c>
      <c r="F4083" t="str">
        <f>"253707"</f>
        <v>253707</v>
      </c>
      <c r="G4083" t="s">
        <v>49</v>
      </c>
      <c r="K4083" t="s">
        <v>51</v>
      </c>
      <c r="L4083" t="s">
        <v>52</v>
      </c>
      <c r="M4083">
        <v>137679.07999999999</v>
      </c>
      <c r="N4083">
        <v>468755.84</v>
      </c>
      <c r="O4083" t="s">
        <v>53</v>
      </c>
      <c r="P4083" t="s">
        <v>54</v>
      </c>
      <c r="Q4083" t="s">
        <v>55</v>
      </c>
      <c r="T4083" t="s">
        <v>431</v>
      </c>
      <c r="U4083">
        <v>40</v>
      </c>
      <c r="V4083" s="1">
        <v>25569</v>
      </c>
      <c r="W4083" s="1">
        <v>25569</v>
      </c>
      <c r="X4083" s="1">
        <v>25569</v>
      </c>
      <c r="Y4083" s="1">
        <v>40179</v>
      </c>
      <c r="Z4083" t="s">
        <v>51</v>
      </c>
      <c r="AB4083" t="s">
        <v>54</v>
      </c>
      <c r="AD4083" t="s">
        <v>809</v>
      </c>
      <c r="AE4083" t="s">
        <v>810</v>
      </c>
      <c r="AF4083">
        <v>20</v>
      </c>
      <c r="AG4083" s="1">
        <v>43282</v>
      </c>
      <c r="AH4083" s="1">
        <v>43282</v>
      </c>
      <c r="AI4083" s="1">
        <v>43282</v>
      </c>
      <c r="AK4083" t="s">
        <v>51</v>
      </c>
      <c r="AN4083">
        <v>0</v>
      </c>
      <c r="AO4083" t="s">
        <v>54</v>
      </c>
      <c r="AP4083" t="s">
        <v>53</v>
      </c>
      <c r="AQ4083">
        <v>0</v>
      </c>
      <c r="AR4083" t="s">
        <v>53</v>
      </c>
      <c r="AS4083">
        <v>0</v>
      </c>
      <c r="AT4083">
        <v>0</v>
      </c>
      <c r="CC4083" t="s">
        <v>669</v>
      </c>
      <c r="CD4083">
        <v>85000</v>
      </c>
      <c r="CE4083" s="1">
        <v>43282</v>
      </c>
      <c r="CF4083" s="1">
        <v>43282</v>
      </c>
      <c r="CG4083" s="1">
        <v>43282</v>
      </c>
      <c r="CI4083" t="s">
        <v>51</v>
      </c>
      <c r="CK4083" t="s">
        <v>78</v>
      </c>
      <c r="CM4083" t="s">
        <v>54</v>
      </c>
      <c r="CN4083" t="s">
        <v>174</v>
      </c>
      <c r="CO4083" t="s">
        <v>86</v>
      </c>
      <c r="CR4083">
        <v>50</v>
      </c>
      <c r="CS4083">
        <v>0</v>
      </c>
      <c r="CT4083">
        <v>0</v>
      </c>
      <c r="CU4083">
        <v>0</v>
      </c>
    </row>
    <row r="4084" spans="1:99" x14ac:dyDescent="0.2">
      <c r="A4084" t="s">
        <v>367</v>
      </c>
      <c r="B4084" t="s">
        <v>440</v>
      </c>
      <c r="C4084" t="s">
        <v>441</v>
      </c>
      <c r="D4084" t="s">
        <v>1201</v>
      </c>
      <c r="F4084" t="str">
        <f>"253708"</f>
        <v>253708</v>
      </c>
      <c r="G4084" t="s">
        <v>49</v>
      </c>
      <c r="K4084" t="s">
        <v>51</v>
      </c>
      <c r="L4084" t="s">
        <v>52</v>
      </c>
      <c r="M4084">
        <v>137734.25</v>
      </c>
      <c r="N4084">
        <v>468782.85</v>
      </c>
      <c r="O4084" t="s">
        <v>53</v>
      </c>
      <c r="P4084" t="s">
        <v>54</v>
      </c>
      <c r="Q4084" t="s">
        <v>55</v>
      </c>
      <c r="T4084" t="s">
        <v>431</v>
      </c>
      <c r="U4084">
        <v>40</v>
      </c>
      <c r="V4084" s="1">
        <v>25569</v>
      </c>
      <c r="W4084" s="1">
        <v>25569</v>
      </c>
      <c r="X4084" s="1">
        <v>25569</v>
      </c>
      <c r="Y4084" s="1">
        <v>40179</v>
      </c>
      <c r="Z4084" t="s">
        <v>51</v>
      </c>
      <c r="AB4084" t="s">
        <v>54</v>
      </c>
      <c r="AD4084" t="s">
        <v>809</v>
      </c>
      <c r="AE4084" t="s">
        <v>810</v>
      </c>
      <c r="AF4084">
        <v>20</v>
      </c>
      <c r="AG4084" s="1">
        <v>43282</v>
      </c>
      <c r="AH4084" s="1">
        <v>43282</v>
      </c>
      <c r="AI4084" s="1">
        <v>43282</v>
      </c>
      <c r="AK4084" t="s">
        <v>51</v>
      </c>
      <c r="AN4084">
        <v>0</v>
      </c>
      <c r="AO4084" t="s">
        <v>54</v>
      </c>
      <c r="AP4084" t="s">
        <v>53</v>
      </c>
      <c r="AQ4084">
        <v>0</v>
      </c>
      <c r="AR4084" t="s">
        <v>53</v>
      </c>
      <c r="AS4084">
        <v>0</v>
      </c>
      <c r="AT4084">
        <v>0</v>
      </c>
      <c r="CC4084" t="s">
        <v>669</v>
      </c>
      <c r="CD4084">
        <v>85000</v>
      </c>
      <c r="CE4084" s="1">
        <v>43282</v>
      </c>
      <c r="CF4084" s="1">
        <v>43282</v>
      </c>
      <c r="CG4084" s="1">
        <v>43282</v>
      </c>
      <c r="CI4084" t="s">
        <v>51</v>
      </c>
      <c r="CK4084" t="s">
        <v>78</v>
      </c>
      <c r="CM4084" t="s">
        <v>54</v>
      </c>
      <c r="CN4084" t="s">
        <v>174</v>
      </c>
      <c r="CO4084" t="s">
        <v>86</v>
      </c>
      <c r="CR4084">
        <v>50</v>
      </c>
      <c r="CS4084">
        <v>0</v>
      </c>
      <c r="CT4084">
        <v>0</v>
      </c>
      <c r="CU4084">
        <v>0</v>
      </c>
    </row>
    <row r="4085" spans="1:99" x14ac:dyDescent="0.2">
      <c r="A4085" t="s">
        <v>367</v>
      </c>
      <c r="B4085" t="s">
        <v>440</v>
      </c>
      <c r="C4085" t="s">
        <v>441</v>
      </c>
      <c r="D4085" t="s">
        <v>1201</v>
      </c>
      <c r="F4085" t="str">
        <f>"253709"</f>
        <v>253709</v>
      </c>
      <c r="G4085" t="s">
        <v>49</v>
      </c>
      <c r="K4085" t="s">
        <v>51</v>
      </c>
      <c r="L4085" t="s">
        <v>52</v>
      </c>
      <c r="M4085">
        <v>137776.13200000001</v>
      </c>
      <c r="N4085">
        <v>468802.891</v>
      </c>
      <c r="O4085" t="s">
        <v>53</v>
      </c>
      <c r="P4085" t="s">
        <v>54</v>
      </c>
      <c r="Q4085" t="s">
        <v>55</v>
      </c>
      <c r="T4085" t="s">
        <v>431</v>
      </c>
      <c r="U4085">
        <v>40</v>
      </c>
      <c r="V4085" s="1">
        <v>25569</v>
      </c>
      <c r="W4085" s="1">
        <v>25569</v>
      </c>
      <c r="X4085" s="1">
        <v>25569</v>
      </c>
      <c r="Y4085" s="1">
        <v>40179</v>
      </c>
      <c r="Z4085" t="s">
        <v>51</v>
      </c>
      <c r="AB4085" t="s">
        <v>54</v>
      </c>
      <c r="AD4085" t="s">
        <v>809</v>
      </c>
      <c r="AE4085" t="s">
        <v>810</v>
      </c>
      <c r="AF4085">
        <v>20</v>
      </c>
      <c r="AG4085" s="1">
        <v>43282</v>
      </c>
      <c r="AH4085" s="1">
        <v>43282</v>
      </c>
      <c r="AI4085" s="1">
        <v>43282</v>
      </c>
      <c r="AK4085" t="s">
        <v>51</v>
      </c>
      <c r="AN4085">
        <v>0</v>
      </c>
      <c r="AO4085" t="s">
        <v>54</v>
      </c>
      <c r="AP4085" t="s">
        <v>53</v>
      </c>
      <c r="AQ4085">
        <v>0</v>
      </c>
      <c r="AR4085" t="s">
        <v>53</v>
      </c>
      <c r="AS4085">
        <v>0</v>
      </c>
      <c r="AT4085">
        <v>0</v>
      </c>
      <c r="CC4085" t="s">
        <v>669</v>
      </c>
      <c r="CD4085">
        <v>85000</v>
      </c>
      <c r="CE4085" s="1">
        <v>43282</v>
      </c>
      <c r="CF4085" s="1">
        <v>43282</v>
      </c>
      <c r="CG4085" s="1">
        <v>43282</v>
      </c>
      <c r="CI4085" t="s">
        <v>51</v>
      </c>
      <c r="CK4085" t="s">
        <v>78</v>
      </c>
      <c r="CM4085" t="s">
        <v>54</v>
      </c>
      <c r="CN4085" t="s">
        <v>174</v>
      </c>
      <c r="CO4085" t="s">
        <v>86</v>
      </c>
      <c r="CR4085">
        <v>50</v>
      </c>
      <c r="CS4085">
        <v>0</v>
      </c>
      <c r="CT4085">
        <v>0</v>
      </c>
      <c r="CU4085">
        <v>0</v>
      </c>
    </row>
    <row r="4086" spans="1:99" x14ac:dyDescent="0.2">
      <c r="A4086" t="s">
        <v>367</v>
      </c>
      <c r="B4086" t="s">
        <v>440</v>
      </c>
      <c r="C4086" t="s">
        <v>441</v>
      </c>
      <c r="D4086" t="s">
        <v>1201</v>
      </c>
      <c r="F4086" t="str">
        <f>"253710"</f>
        <v>253710</v>
      </c>
      <c r="G4086" t="s">
        <v>49</v>
      </c>
      <c r="K4086" t="s">
        <v>51</v>
      </c>
      <c r="L4086" t="s">
        <v>52</v>
      </c>
      <c r="M4086">
        <v>137820.32999999999</v>
      </c>
      <c r="N4086">
        <v>468823.81</v>
      </c>
      <c r="O4086" t="s">
        <v>53</v>
      </c>
      <c r="P4086" t="s">
        <v>54</v>
      </c>
      <c r="Q4086" t="s">
        <v>55</v>
      </c>
      <c r="T4086" t="s">
        <v>431</v>
      </c>
      <c r="U4086">
        <v>40</v>
      </c>
      <c r="V4086" s="1">
        <v>25569</v>
      </c>
      <c r="W4086" s="1">
        <v>25569</v>
      </c>
      <c r="X4086" s="1">
        <v>25569</v>
      </c>
      <c r="Y4086" s="1">
        <v>40179</v>
      </c>
      <c r="Z4086" t="s">
        <v>51</v>
      </c>
      <c r="AB4086" t="s">
        <v>54</v>
      </c>
      <c r="AD4086" t="s">
        <v>809</v>
      </c>
      <c r="AE4086" t="s">
        <v>810</v>
      </c>
      <c r="AF4086">
        <v>20</v>
      </c>
      <c r="AG4086" s="1">
        <v>43282</v>
      </c>
      <c r="AH4086" s="1">
        <v>43282</v>
      </c>
      <c r="AI4086" s="1">
        <v>43282</v>
      </c>
      <c r="AK4086" t="s">
        <v>51</v>
      </c>
      <c r="AN4086">
        <v>0</v>
      </c>
      <c r="AO4086" t="s">
        <v>54</v>
      </c>
      <c r="AP4086" t="s">
        <v>53</v>
      </c>
      <c r="AQ4086">
        <v>0</v>
      </c>
      <c r="AR4086" t="s">
        <v>53</v>
      </c>
      <c r="AS4086">
        <v>0</v>
      </c>
      <c r="AT4086">
        <v>0</v>
      </c>
      <c r="CC4086" t="s">
        <v>669</v>
      </c>
      <c r="CD4086">
        <v>85000</v>
      </c>
      <c r="CE4086" s="1">
        <v>43282</v>
      </c>
      <c r="CF4086" s="1">
        <v>43282</v>
      </c>
      <c r="CG4086" s="1">
        <v>43282</v>
      </c>
      <c r="CI4086" t="s">
        <v>51</v>
      </c>
      <c r="CK4086" t="s">
        <v>78</v>
      </c>
      <c r="CM4086" t="s">
        <v>54</v>
      </c>
      <c r="CN4086" t="s">
        <v>174</v>
      </c>
      <c r="CO4086" t="s">
        <v>86</v>
      </c>
      <c r="CR4086">
        <v>50</v>
      </c>
      <c r="CS4086">
        <v>0</v>
      </c>
      <c r="CT4086">
        <v>0</v>
      </c>
      <c r="CU4086">
        <v>0</v>
      </c>
    </row>
    <row r="4087" spans="1:99" x14ac:dyDescent="0.2">
      <c r="A4087" t="s">
        <v>367</v>
      </c>
      <c r="B4087" t="s">
        <v>440</v>
      </c>
      <c r="C4087" t="s">
        <v>441</v>
      </c>
      <c r="D4087" t="s">
        <v>1201</v>
      </c>
      <c r="F4087" t="str">
        <f>"253711"</f>
        <v>253711</v>
      </c>
      <c r="G4087" t="s">
        <v>49</v>
      </c>
      <c r="K4087" t="s">
        <v>51</v>
      </c>
      <c r="L4087" t="s">
        <v>52</v>
      </c>
      <c r="M4087">
        <v>137799.39000000001</v>
      </c>
      <c r="N4087">
        <v>468825.63</v>
      </c>
      <c r="O4087" t="s">
        <v>53</v>
      </c>
      <c r="P4087" t="s">
        <v>54</v>
      </c>
      <c r="Q4087" t="s">
        <v>55</v>
      </c>
      <c r="T4087" t="s">
        <v>431</v>
      </c>
      <c r="U4087">
        <v>40</v>
      </c>
      <c r="V4087" s="1">
        <v>25569</v>
      </c>
      <c r="W4087" s="1">
        <v>25569</v>
      </c>
      <c r="X4087" s="1">
        <v>25569</v>
      </c>
      <c r="Y4087" s="1">
        <v>40179</v>
      </c>
      <c r="Z4087" t="s">
        <v>51</v>
      </c>
      <c r="AB4087" t="s">
        <v>54</v>
      </c>
      <c r="AD4087" t="s">
        <v>809</v>
      </c>
      <c r="AE4087" t="s">
        <v>810</v>
      </c>
      <c r="AF4087">
        <v>20</v>
      </c>
      <c r="AG4087" s="1">
        <v>43282</v>
      </c>
      <c r="AH4087" s="1">
        <v>43282</v>
      </c>
      <c r="AI4087" s="1">
        <v>43282</v>
      </c>
      <c r="AK4087" t="s">
        <v>51</v>
      </c>
      <c r="AN4087">
        <v>0</v>
      </c>
      <c r="AO4087" t="s">
        <v>54</v>
      </c>
      <c r="AP4087" t="s">
        <v>53</v>
      </c>
      <c r="AQ4087">
        <v>0</v>
      </c>
      <c r="AR4087" t="s">
        <v>53</v>
      </c>
      <c r="AS4087">
        <v>0</v>
      </c>
      <c r="AT4087">
        <v>0</v>
      </c>
      <c r="CC4087" t="s">
        <v>669</v>
      </c>
      <c r="CD4087">
        <v>85000</v>
      </c>
      <c r="CE4087" s="1">
        <v>43282</v>
      </c>
      <c r="CF4087" s="1">
        <v>43282</v>
      </c>
      <c r="CG4087" s="1">
        <v>43282</v>
      </c>
      <c r="CI4087" t="s">
        <v>51</v>
      </c>
      <c r="CK4087" t="s">
        <v>78</v>
      </c>
      <c r="CM4087" t="s">
        <v>54</v>
      </c>
      <c r="CN4087" t="s">
        <v>174</v>
      </c>
      <c r="CO4087" t="s">
        <v>86</v>
      </c>
      <c r="CR4087">
        <v>50</v>
      </c>
      <c r="CS4087">
        <v>0</v>
      </c>
      <c r="CT4087">
        <v>0</v>
      </c>
      <c r="CU4087">
        <v>0</v>
      </c>
    </row>
    <row r="4088" spans="1:99" x14ac:dyDescent="0.2">
      <c r="A4088" t="s">
        <v>367</v>
      </c>
      <c r="B4088" t="s">
        <v>440</v>
      </c>
      <c r="C4088" t="s">
        <v>441</v>
      </c>
      <c r="D4088" t="s">
        <v>1201</v>
      </c>
      <c r="F4088" t="str">
        <f>"253712"</f>
        <v>253712</v>
      </c>
      <c r="G4088" t="s">
        <v>49</v>
      </c>
      <c r="K4088" t="s">
        <v>51</v>
      </c>
      <c r="L4088" t="s">
        <v>52</v>
      </c>
      <c r="M4088">
        <v>137845.56</v>
      </c>
      <c r="N4088">
        <v>468835.79</v>
      </c>
      <c r="O4088" t="s">
        <v>53</v>
      </c>
      <c r="P4088" t="s">
        <v>54</v>
      </c>
      <c r="Q4088" t="s">
        <v>55</v>
      </c>
      <c r="T4088" t="s">
        <v>246</v>
      </c>
      <c r="U4088">
        <v>40</v>
      </c>
      <c r="V4088" s="1">
        <v>42917</v>
      </c>
      <c r="W4088" s="1">
        <v>42917</v>
      </c>
      <c r="X4088" s="1">
        <v>42917</v>
      </c>
      <c r="Y4088" s="1">
        <v>57527</v>
      </c>
      <c r="Z4088" t="s">
        <v>51</v>
      </c>
      <c r="AB4088" t="s">
        <v>54</v>
      </c>
      <c r="AE4088" t="s">
        <v>1065</v>
      </c>
      <c r="AF4088">
        <v>20</v>
      </c>
      <c r="AG4088" s="1">
        <v>42917</v>
      </c>
      <c r="AH4088" s="1">
        <v>42917</v>
      </c>
      <c r="AI4088" s="1">
        <v>42917</v>
      </c>
      <c r="AJ4088" s="1">
        <v>50222</v>
      </c>
      <c r="AK4088" t="s">
        <v>51</v>
      </c>
      <c r="AN4088">
        <v>0</v>
      </c>
      <c r="AO4088" t="s">
        <v>54</v>
      </c>
      <c r="AP4088" t="s">
        <v>53</v>
      </c>
      <c r="AQ4088">
        <v>0</v>
      </c>
      <c r="AR4088" t="s">
        <v>53</v>
      </c>
      <c r="AS4088">
        <v>0</v>
      </c>
      <c r="AT4088">
        <v>0</v>
      </c>
      <c r="AW4088" t="s">
        <v>172</v>
      </c>
      <c r="AX4088">
        <v>15</v>
      </c>
      <c r="AY4088" s="1">
        <v>42917</v>
      </c>
      <c r="AZ4088" s="1">
        <v>42917</v>
      </c>
      <c r="BA4088" s="1">
        <v>42917</v>
      </c>
      <c r="BB4088" s="1">
        <v>48396</v>
      </c>
      <c r="BC4088" t="s">
        <v>51</v>
      </c>
      <c r="BE4088" t="s">
        <v>54</v>
      </c>
      <c r="BF4088">
        <v>40</v>
      </c>
      <c r="BG4088">
        <v>0</v>
      </c>
      <c r="BH4088" t="s">
        <v>145</v>
      </c>
      <c r="CC4088" t="s">
        <v>250</v>
      </c>
      <c r="CD4088">
        <v>100000</v>
      </c>
      <c r="CE4088" s="1">
        <v>42917</v>
      </c>
      <c r="CF4088" s="1">
        <v>42917</v>
      </c>
      <c r="CG4088" s="1">
        <v>42917</v>
      </c>
      <c r="CH4088" s="1">
        <v>51866</v>
      </c>
      <c r="CI4088" t="s">
        <v>51</v>
      </c>
      <c r="CK4088" t="s">
        <v>78</v>
      </c>
      <c r="CM4088" t="s">
        <v>54</v>
      </c>
      <c r="CN4088" t="s">
        <v>174</v>
      </c>
      <c r="CR4088">
        <v>13.2</v>
      </c>
      <c r="CS4088">
        <v>1800</v>
      </c>
      <c r="CT4088">
        <v>0</v>
      </c>
      <c r="CU4088">
        <v>16</v>
      </c>
    </row>
    <row r="4089" spans="1:99" x14ac:dyDescent="0.2">
      <c r="A4089" t="s">
        <v>367</v>
      </c>
      <c r="B4089" t="s">
        <v>440</v>
      </c>
      <c r="C4089" t="s">
        <v>441</v>
      </c>
      <c r="D4089" t="s">
        <v>1201</v>
      </c>
      <c r="F4089" t="str">
        <f>"253713"</f>
        <v>253713</v>
      </c>
      <c r="G4089" t="s">
        <v>49</v>
      </c>
      <c r="K4089" t="s">
        <v>51</v>
      </c>
      <c r="L4089" t="s">
        <v>52</v>
      </c>
      <c r="M4089">
        <v>137843.53</v>
      </c>
      <c r="N4089">
        <v>468838.31</v>
      </c>
      <c r="O4089" t="s">
        <v>53</v>
      </c>
      <c r="P4089" t="s">
        <v>54</v>
      </c>
      <c r="Q4089" t="s">
        <v>55</v>
      </c>
      <c r="T4089" t="s">
        <v>431</v>
      </c>
      <c r="U4089">
        <v>40</v>
      </c>
      <c r="V4089" s="1">
        <v>25569</v>
      </c>
      <c r="W4089" s="1">
        <v>25569</v>
      </c>
      <c r="X4089" s="1">
        <v>25569</v>
      </c>
      <c r="Y4089" s="1">
        <v>40179</v>
      </c>
      <c r="Z4089" t="s">
        <v>51</v>
      </c>
      <c r="AB4089" t="s">
        <v>54</v>
      </c>
      <c r="AD4089" t="s">
        <v>809</v>
      </c>
      <c r="AE4089" t="s">
        <v>810</v>
      </c>
      <c r="AF4089">
        <v>20</v>
      </c>
      <c r="AG4089" s="1">
        <v>43282</v>
      </c>
      <c r="AH4089" s="1">
        <v>43282</v>
      </c>
      <c r="AI4089" s="1">
        <v>43282</v>
      </c>
      <c r="AJ4089" s="1">
        <v>50587</v>
      </c>
      <c r="AK4089" t="s">
        <v>51</v>
      </c>
      <c r="AN4089">
        <v>0</v>
      </c>
      <c r="AO4089" t="s">
        <v>54</v>
      </c>
      <c r="AP4089" t="s">
        <v>53</v>
      </c>
      <c r="AQ4089">
        <v>0</v>
      </c>
      <c r="AR4089" t="s">
        <v>53</v>
      </c>
      <c r="AS4089">
        <v>0</v>
      </c>
      <c r="AT4089">
        <v>0</v>
      </c>
      <c r="CC4089" t="s">
        <v>669</v>
      </c>
      <c r="CD4089">
        <v>85000</v>
      </c>
      <c r="CE4089" s="1">
        <v>43282</v>
      </c>
      <c r="CF4089" s="1">
        <v>43282</v>
      </c>
      <c r="CG4089" s="1">
        <v>43282</v>
      </c>
      <c r="CH4089" s="1">
        <v>50444</v>
      </c>
      <c r="CI4089" t="s">
        <v>51</v>
      </c>
      <c r="CK4089" t="s">
        <v>78</v>
      </c>
      <c r="CM4089" t="s">
        <v>54</v>
      </c>
      <c r="CN4089" t="s">
        <v>174</v>
      </c>
      <c r="CO4089" t="s">
        <v>86</v>
      </c>
      <c r="CR4089">
        <v>50</v>
      </c>
      <c r="CS4089">
        <v>0</v>
      </c>
      <c r="CT4089">
        <v>0</v>
      </c>
      <c r="CU4089">
        <v>0</v>
      </c>
    </row>
    <row r="4090" spans="1:99" x14ac:dyDescent="0.2">
      <c r="A4090" t="s">
        <v>367</v>
      </c>
      <c r="B4090" t="s">
        <v>440</v>
      </c>
      <c r="C4090" t="s">
        <v>441</v>
      </c>
      <c r="D4090" t="s">
        <v>1201</v>
      </c>
      <c r="F4090" t="str">
        <f>"253714"</f>
        <v>253714</v>
      </c>
      <c r="G4090" t="s">
        <v>49</v>
      </c>
      <c r="K4090" t="s">
        <v>51</v>
      </c>
      <c r="L4090" t="s">
        <v>52</v>
      </c>
      <c r="M4090">
        <v>137868.15</v>
      </c>
      <c r="N4090">
        <v>468847.06</v>
      </c>
      <c r="O4090" t="s">
        <v>53</v>
      </c>
      <c r="P4090" t="s">
        <v>54</v>
      </c>
      <c r="Q4090" t="s">
        <v>55</v>
      </c>
      <c r="T4090" t="s">
        <v>246</v>
      </c>
      <c r="U4090">
        <v>40</v>
      </c>
      <c r="V4090" s="1">
        <v>42917</v>
      </c>
      <c r="W4090" s="1">
        <v>42917</v>
      </c>
      <c r="X4090" s="1">
        <v>42917</v>
      </c>
      <c r="Y4090" s="1">
        <v>57527</v>
      </c>
      <c r="Z4090" t="s">
        <v>51</v>
      </c>
      <c r="AB4090" t="s">
        <v>54</v>
      </c>
      <c r="AE4090" t="s">
        <v>1065</v>
      </c>
      <c r="AF4090">
        <v>20</v>
      </c>
      <c r="AG4090" s="1">
        <v>42917</v>
      </c>
      <c r="AH4090" s="1">
        <v>42917</v>
      </c>
      <c r="AI4090" s="1">
        <v>42917</v>
      </c>
      <c r="AJ4090" s="1">
        <v>50222</v>
      </c>
      <c r="AK4090" t="s">
        <v>51</v>
      </c>
      <c r="AN4090">
        <v>0</v>
      </c>
      <c r="AO4090" t="s">
        <v>54</v>
      </c>
      <c r="AP4090" t="s">
        <v>53</v>
      </c>
      <c r="AQ4090">
        <v>0</v>
      </c>
      <c r="AR4090" t="s">
        <v>53</v>
      </c>
      <c r="AS4090">
        <v>0</v>
      </c>
      <c r="AT4090">
        <v>0</v>
      </c>
      <c r="AW4090" t="s">
        <v>172</v>
      </c>
      <c r="AX4090">
        <v>15</v>
      </c>
      <c r="AY4090" s="1">
        <v>42917</v>
      </c>
      <c r="AZ4090" s="1">
        <v>42917</v>
      </c>
      <c r="BA4090" s="1">
        <v>42917</v>
      </c>
      <c r="BB4090" s="1">
        <v>48396</v>
      </c>
      <c r="BC4090" t="s">
        <v>51</v>
      </c>
      <c r="BE4090" t="s">
        <v>54</v>
      </c>
      <c r="BF4090">
        <v>40</v>
      </c>
      <c r="BG4090">
        <v>0</v>
      </c>
      <c r="BH4090" t="s">
        <v>145</v>
      </c>
      <c r="CC4090" t="s">
        <v>250</v>
      </c>
      <c r="CD4090">
        <v>100000</v>
      </c>
      <c r="CE4090" s="1">
        <v>42917</v>
      </c>
      <c r="CF4090" s="1">
        <v>42917</v>
      </c>
      <c r="CG4090" s="1">
        <v>42917</v>
      </c>
      <c r="CH4090" s="1">
        <v>51866</v>
      </c>
      <c r="CI4090" t="s">
        <v>51</v>
      </c>
      <c r="CK4090" t="s">
        <v>78</v>
      </c>
      <c r="CM4090" t="s">
        <v>54</v>
      </c>
      <c r="CN4090" t="s">
        <v>174</v>
      </c>
      <c r="CR4090">
        <v>13.2</v>
      </c>
      <c r="CS4090">
        <v>1800</v>
      </c>
      <c r="CT4090">
        <v>0</v>
      </c>
      <c r="CU4090">
        <v>16</v>
      </c>
    </row>
    <row r="4091" spans="1:99" x14ac:dyDescent="0.2">
      <c r="A4091" t="s">
        <v>367</v>
      </c>
      <c r="B4091" t="s">
        <v>440</v>
      </c>
      <c r="C4091" t="s">
        <v>441</v>
      </c>
      <c r="D4091" t="s">
        <v>1201</v>
      </c>
      <c r="F4091" t="str">
        <f>"253715"</f>
        <v>253715</v>
      </c>
      <c r="G4091" t="s">
        <v>49</v>
      </c>
      <c r="K4091" t="s">
        <v>51</v>
      </c>
      <c r="L4091" t="s">
        <v>52</v>
      </c>
      <c r="M4091">
        <v>137888.92000000001</v>
      </c>
      <c r="N4091">
        <v>468861.02</v>
      </c>
      <c r="O4091" t="s">
        <v>53</v>
      </c>
      <c r="P4091" t="s">
        <v>54</v>
      </c>
      <c r="Q4091" t="s">
        <v>55</v>
      </c>
      <c r="T4091" t="s">
        <v>431</v>
      </c>
      <c r="U4091">
        <v>40</v>
      </c>
      <c r="V4091" s="1">
        <v>25569</v>
      </c>
      <c r="W4091" s="1">
        <v>25569</v>
      </c>
      <c r="X4091" s="1">
        <v>25569</v>
      </c>
      <c r="Y4091" s="1">
        <v>40179</v>
      </c>
      <c r="Z4091" t="s">
        <v>51</v>
      </c>
      <c r="AB4091" t="s">
        <v>54</v>
      </c>
      <c r="AD4091" t="s">
        <v>809</v>
      </c>
      <c r="AE4091" t="s">
        <v>810</v>
      </c>
      <c r="AF4091">
        <v>20</v>
      </c>
      <c r="AG4091" s="1">
        <v>43282</v>
      </c>
      <c r="AH4091" s="1">
        <v>43282</v>
      </c>
      <c r="AI4091" s="1">
        <v>43282</v>
      </c>
      <c r="AJ4091" s="1">
        <v>50587</v>
      </c>
      <c r="AK4091" t="s">
        <v>51</v>
      </c>
      <c r="AN4091">
        <v>0</v>
      </c>
      <c r="AO4091" t="s">
        <v>54</v>
      </c>
      <c r="AP4091" t="s">
        <v>53</v>
      </c>
      <c r="AQ4091">
        <v>0</v>
      </c>
      <c r="AR4091" t="s">
        <v>53</v>
      </c>
      <c r="AS4091">
        <v>0</v>
      </c>
      <c r="AT4091">
        <v>0</v>
      </c>
      <c r="CC4091" t="s">
        <v>669</v>
      </c>
      <c r="CD4091">
        <v>85000</v>
      </c>
      <c r="CE4091" s="1">
        <v>43282</v>
      </c>
      <c r="CF4091" s="1">
        <v>43282</v>
      </c>
      <c r="CG4091" s="1">
        <v>43282</v>
      </c>
      <c r="CH4091" s="1">
        <v>50444</v>
      </c>
      <c r="CI4091" t="s">
        <v>51</v>
      </c>
      <c r="CK4091" t="s">
        <v>78</v>
      </c>
      <c r="CM4091" t="s">
        <v>54</v>
      </c>
      <c r="CN4091" t="s">
        <v>174</v>
      </c>
      <c r="CO4091" t="s">
        <v>86</v>
      </c>
      <c r="CR4091">
        <v>50</v>
      </c>
      <c r="CS4091">
        <v>0</v>
      </c>
      <c r="CT4091">
        <v>0</v>
      </c>
      <c r="CU4091">
        <v>0</v>
      </c>
    </row>
    <row r="4092" spans="1:99" x14ac:dyDescent="0.2">
      <c r="A4092" t="s">
        <v>367</v>
      </c>
      <c r="B4092" t="s">
        <v>440</v>
      </c>
      <c r="C4092" t="s">
        <v>441</v>
      </c>
      <c r="D4092" t="s">
        <v>1201</v>
      </c>
      <c r="F4092" t="str">
        <f>"253716"</f>
        <v>253716</v>
      </c>
      <c r="G4092" t="s">
        <v>49</v>
      </c>
      <c r="K4092" t="s">
        <v>51</v>
      </c>
      <c r="L4092" t="s">
        <v>52</v>
      </c>
      <c r="M4092">
        <v>137896.62</v>
      </c>
      <c r="N4092">
        <v>468860.97</v>
      </c>
      <c r="O4092" t="s">
        <v>53</v>
      </c>
      <c r="P4092" t="s">
        <v>54</v>
      </c>
      <c r="Q4092" t="s">
        <v>55</v>
      </c>
      <c r="T4092" t="s">
        <v>246</v>
      </c>
      <c r="U4092">
        <v>40</v>
      </c>
      <c r="V4092" s="1">
        <v>42917</v>
      </c>
      <c r="W4092" s="1">
        <v>42917</v>
      </c>
      <c r="X4092" s="1">
        <v>42917</v>
      </c>
      <c r="Y4092" s="1">
        <v>57527</v>
      </c>
      <c r="Z4092" t="s">
        <v>51</v>
      </c>
      <c r="AB4092" t="s">
        <v>54</v>
      </c>
      <c r="AE4092" t="s">
        <v>1065</v>
      </c>
      <c r="AF4092">
        <v>20</v>
      </c>
      <c r="AG4092" s="1">
        <v>42917</v>
      </c>
      <c r="AH4092" s="1">
        <v>42917</v>
      </c>
      <c r="AI4092" s="1">
        <v>42917</v>
      </c>
      <c r="AJ4092" s="1">
        <v>50222</v>
      </c>
      <c r="AK4092" t="s">
        <v>51</v>
      </c>
      <c r="AN4092">
        <v>0</v>
      </c>
      <c r="AO4092" t="s">
        <v>54</v>
      </c>
      <c r="AP4092" t="s">
        <v>53</v>
      </c>
      <c r="AQ4092">
        <v>0</v>
      </c>
      <c r="AR4092" t="s">
        <v>53</v>
      </c>
      <c r="AS4092">
        <v>0</v>
      </c>
      <c r="AT4092">
        <v>0</v>
      </c>
      <c r="AW4092" t="s">
        <v>172</v>
      </c>
      <c r="AX4092">
        <v>15</v>
      </c>
      <c r="AY4092" s="1">
        <v>42917</v>
      </c>
      <c r="AZ4092" s="1">
        <v>42917</v>
      </c>
      <c r="BA4092" s="1">
        <v>42917</v>
      </c>
      <c r="BB4092" s="1">
        <v>48396</v>
      </c>
      <c r="BC4092" t="s">
        <v>51</v>
      </c>
      <c r="BE4092" t="s">
        <v>54</v>
      </c>
      <c r="BF4092">
        <v>40</v>
      </c>
      <c r="BG4092">
        <v>0</v>
      </c>
      <c r="BH4092" t="s">
        <v>145</v>
      </c>
      <c r="CC4092" t="s">
        <v>250</v>
      </c>
      <c r="CD4092">
        <v>100000</v>
      </c>
      <c r="CE4092" s="1">
        <v>42917</v>
      </c>
      <c r="CF4092" s="1">
        <v>42917</v>
      </c>
      <c r="CG4092" s="1">
        <v>42917</v>
      </c>
      <c r="CH4092" s="1">
        <v>51866</v>
      </c>
      <c r="CI4092" t="s">
        <v>51</v>
      </c>
      <c r="CK4092" t="s">
        <v>78</v>
      </c>
      <c r="CM4092" t="s">
        <v>54</v>
      </c>
      <c r="CN4092" t="s">
        <v>174</v>
      </c>
      <c r="CR4092">
        <v>13.2</v>
      </c>
      <c r="CS4092">
        <v>1800</v>
      </c>
      <c r="CT4092">
        <v>0</v>
      </c>
      <c r="CU4092">
        <v>16</v>
      </c>
    </row>
    <row r="4093" spans="1:99" x14ac:dyDescent="0.2">
      <c r="A4093" t="s">
        <v>367</v>
      </c>
      <c r="B4093" t="s">
        <v>440</v>
      </c>
      <c r="C4093" t="s">
        <v>441</v>
      </c>
      <c r="D4093" t="s">
        <v>1201</v>
      </c>
      <c r="F4093" t="str">
        <f>"253717"</f>
        <v>253717</v>
      </c>
      <c r="G4093" t="s">
        <v>49</v>
      </c>
      <c r="K4093" t="s">
        <v>51</v>
      </c>
      <c r="L4093" t="s">
        <v>52</v>
      </c>
      <c r="M4093">
        <v>137911.44</v>
      </c>
      <c r="N4093">
        <v>468867.46</v>
      </c>
      <c r="O4093" t="s">
        <v>53</v>
      </c>
      <c r="P4093" t="s">
        <v>54</v>
      </c>
      <c r="Q4093" t="s">
        <v>55</v>
      </c>
      <c r="T4093" t="s">
        <v>246</v>
      </c>
      <c r="U4093">
        <v>40</v>
      </c>
      <c r="V4093" s="1">
        <v>42917</v>
      </c>
      <c r="W4093" s="1">
        <v>42917</v>
      </c>
      <c r="X4093" s="1">
        <v>42917</v>
      </c>
      <c r="Y4093" s="1">
        <v>57527</v>
      </c>
      <c r="Z4093" t="s">
        <v>51</v>
      </c>
      <c r="AB4093" t="s">
        <v>54</v>
      </c>
      <c r="AE4093" t="s">
        <v>1065</v>
      </c>
      <c r="AF4093">
        <v>20</v>
      </c>
      <c r="AG4093" s="1">
        <v>42917</v>
      </c>
      <c r="AH4093" s="1">
        <v>42917</v>
      </c>
      <c r="AI4093" s="1">
        <v>42917</v>
      </c>
      <c r="AJ4093" s="1">
        <v>50222</v>
      </c>
      <c r="AK4093" t="s">
        <v>51</v>
      </c>
      <c r="AN4093">
        <v>0</v>
      </c>
      <c r="AO4093" t="s">
        <v>54</v>
      </c>
      <c r="AP4093" t="s">
        <v>53</v>
      </c>
      <c r="AQ4093">
        <v>0</v>
      </c>
      <c r="AR4093" t="s">
        <v>53</v>
      </c>
      <c r="AS4093">
        <v>0</v>
      </c>
      <c r="AT4093">
        <v>0</v>
      </c>
      <c r="AW4093" t="s">
        <v>172</v>
      </c>
      <c r="AX4093">
        <v>15</v>
      </c>
      <c r="AY4093" s="1">
        <v>42917</v>
      </c>
      <c r="AZ4093" s="1">
        <v>42917</v>
      </c>
      <c r="BA4093" s="1">
        <v>42917</v>
      </c>
      <c r="BB4093" s="1">
        <v>48396</v>
      </c>
      <c r="BC4093" t="s">
        <v>51</v>
      </c>
      <c r="BE4093" t="s">
        <v>54</v>
      </c>
      <c r="BF4093">
        <v>40</v>
      </c>
      <c r="BG4093">
        <v>0</v>
      </c>
      <c r="BH4093" t="s">
        <v>145</v>
      </c>
      <c r="CC4093" t="s">
        <v>250</v>
      </c>
      <c r="CD4093">
        <v>100000</v>
      </c>
      <c r="CE4093" s="1">
        <v>42917</v>
      </c>
      <c r="CF4093" s="1">
        <v>42917</v>
      </c>
      <c r="CG4093" s="1">
        <v>42917</v>
      </c>
      <c r="CH4093" s="1">
        <v>51866</v>
      </c>
      <c r="CI4093" t="s">
        <v>51</v>
      </c>
      <c r="CK4093" t="s">
        <v>78</v>
      </c>
      <c r="CM4093" t="s">
        <v>54</v>
      </c>
      <c r="CN4093" t="s">
        <v>174</v>
      </c>
      <c r="CR4093">
        <v>13.2</v>
      </c>
      <c r="CS4093">
        <v>1800</v>
      </c>
      <c r="CT4093">
        <v>0</v>
      </c>
      <c r="CU4093">
        <v>16</v>
      </c>
    </row>
    <row r="4094" spans="1:99" x14ac:dyDescent="0.2">
      <c r="A4094" t="s">
        <v>367</v>
      </c>
      <c r="B4094" t="s">
        <v>440</v>
      </c>
      <c r="C4094" t="s">
        <v>441</v>
      </c>
      <c r="D4094" t="s">
        <v>1201</v>
      </c>
      <c r="F4094" t="str">
        <f>"253718"</f>
        <v>253718</v>
      </c>
      <c r="G4094" t="s">
        <v>49</v>
      </c>
      <c r="K4094" t="s">
        <v>51</v>
      </c>
      <c r="L4094" t="s">
        <v>52</v>
      </c>
      <c r="M4094">
        <v>137920.86799999999</v>
      </c>
      <c r="N4094">
        <v>468877.06199999998</v>
      </c>
      <c r="O4094" t="s">
        <v>53</v>
      </c>
      <c r="P4094" t="s">
        <v>54</v>
      </c>
      <c r="Q4094" t="s">
        <v>55</v>
      </c>
      <c r="T4094" t="s">
        <v>431</v>
      </c>
      <c r="U4094">
        <v>40</v>
      </c>
      <c r="V4094" s="1">
        <v>25569</v>
      </c>
      <c r="W4094" s="1">
        <v>25569</v>
      </c>
      <c r="X4094" s="1">
        <v>25569</v>
      </c>
      <c r="Y4094" s="1">
        <v>40179</v>
      </c>
      <c r="Z4094" t="s">
        <v>51</v>
      </c>
      <c r="AB4094" t="s">
        <v>54</v>
      </c>
      <c r="AD4094" t="s">
        <v>809</v>
      </c>
      <c r="AE4094" t="s">
        <v>810</v>
      </c>
      <c r="AF4094">
        <v>20</v>
      </c>
      <c r="AG4094" s="1">
        <v>43282</v>
      </c>
      <c r="AH4094" s="1">
        <v>43282</v>
      </c>
      <c r="AI4094" s="1">
        <v>43282</v>
      </c>
      <c r="AK4094" t="s">
        <v>51</v>
      </c>
      <c r="AN4094">
        <v>0</v>
      </c>
      <c r="AO4094" t="s">
        <v>54</v>
      </c>
      <c r="AP4094" t="s">
        <v>53</v>
      </c>
      <c r="AQ4094">
        <v>0</v>
      </c>
      <c r="AR4094" t="s">
        <v>53</v>
      </c>
      <c r="AS4094">
        <v>0</v>
      </c>
      <c r="AT4094">
        <v>0</v>
      </c>
      <c r="CC4094" t="s">
        <v>669</v>
      </c>
      <c r="CD4094">
        <v>85000</v>
      </c>
      <c r="CE4094" s="1">
        <v>43282</v>
      </c>
      <c r="CF4094" s="1">
        <v>43282</v>
      </c>
      <c r="CG4094" s="1">
        <v>43282</v>
      </c>
      <c r="CI4094" t="s">
        <v>51</v>
      </c>
      <c r="CK4094" t="s">
        <v>78</v>
      </c>
      <c r="CM4094" t="s">
        <v>54</v>
      </c>
      <c r="CN4094" t="s">
        <v>174</v>
      </c>
      <c r="CO4094" t="s">
        <v>86</v>
      </c>
      <c r="CR4094">
        <v>50</v>
      </c>
      <c r="CS4094">
        <v>0</v>
      </c>
      <c r="CT4094">
        <v>0</v>
      </c>
      <c r="CU4094">
        <v>0</v>
      </c>
    </row>
    <row r="4095" spans="1:99" x14ac:dyDescent="0.2">
      <c r="A4095" t="s">
        <v>367</v>
      </c>
      <c r="B4095" t="s">
        <v>440</v>
      </c>
      <c r="C4095" t="s">
        <v>441</v>
      </c>
      <c r="D4095" t="s">
        <v>1201</v>
      </c>
      <c r="F4095" t="str">
        <f>"253719"</f>
        <v>253719</v>
      </c>
      <c r="G4095" t="s">
        <v>49</v>
      </c>
      <c r="K4095" t="s">
        <v>51</v>
      </c>
      <c r="L4095" t="s">
        <v>52</v>
      </c>
      <c r="M4095">
        <v>137951.04999999999</v>
      </c>
      <c r="N4095">
        <v>468884.67</v>
      </c>
      <c r="O4095" t="s">
        <v>53</v>
      </c>
      <c r="P4095" t="s">
        <v>54</v>
      </c>
      <c r="Q4095" t="s">
        <v>55</v>
      </c>
      <c r="T4095" t="s">
        <v>246</v>
      </c>
      <c r="U4095">
        <v>40</v>
      </c>
      <c r="V4095" s="1">
        <v>42917</v>
      </c>
      <c r="W4095" s="1">
        <v>42917</v>
      </c>
      <c r="X4095" s="1">
        <v>42917</v>
      </c>
      <c r="Y4095" s="1">
        <v>57527</v>
      </c>
      <c r="Z4095" t="s">
        <v>51</v>
      </c>
      <c r="AB4095" t="s">
        <v>54</v>
      </c>
      <c r="AE4095" t="s">
        <v>1065</v>
      </c>
      <c r="AF4095">
        <v>20</v>
      </c>
      <c r="AG4095" s="1">
        <v>42917</v>
      </c>
      <c r="AH4095" s="1">
        <v>42917</v>
      </c>
      <c r="AI4095" s="1">
        <v>42917</v>
      </c>
      <c r="AJ4095" s="1">
        <v>50222</v>
      </c>
      <c r="AK4095" t="s">
        <v>51</v>
      </c>
      <c r="AN4095">
        <v>0</v>
      </c>
      <c r="AO4095" t="s">
        <v>54</v>
      </c>
      <c r="AP4095" t="s">
        <v>53</v>
      </c>
      <c r="AQ4095">
        <v>0</v>
      </c>
      <c r="AR4095" t="s">
        <v>53</v>
      </c>
      <c r="AS4095">
        <v>0</v>
      </c>
      <c r="AT4095">
        <v>0</v>
      </c>
      <c r="AW4095" t="s">
        <v>172</v>
      </c>
      <c r="AX4095">
        <v>15</v>
      </c>
      <c r="AY4095" s="1">
        <v>42917</v>
      </c>
      <c r="AZ4095" s="1">
        <v>42917</v>
      </c>
      <c r="BA4095" s="1">
        <v>42917</v>
      </c>
      <c r="BB4095" s="1">
        <v>48396</v>
      </c>
      <c r="BC4095" t="s">
        <v>51</v>
      </c>
      <c r="BE4095" t="s">
        <v>54</v>
      </c>
      <c r="BF4095">
        <v>40</v>
      </c>
      <c r="BG4095">
        <v>0</v>
      </c>
      <c r="BH4095" t="s">
        <v>145</v>
      </c>
      <c r="CC4095" t="s">
        <v>250</v>
      </c>
      <c r="CD4095">
        <v>100000</v>
      </c>
      <c r="CE4095" s="1">
        <v>42917</v>
      </c>
      <c r="CF4095" s="1">
        <v>42917</v>
      </c>
      <c r="CG4095" s="1">
        <v>42917</v>
      </c>
      <c r="CH4095" s="1">
        <v>51866</v>
      </c>
      <c r="CI4095" t="s">
        <v>51</v>
      </c>
      <c r="CK4095" t="s">
        <v>78</v>
      </c>
      <c r="CM4095" t="s">
        <v>54</v>
      </c>
      <c r="CN4095" t="s">
        <v>174</v>
      </c>
      <c r="CR4095">
        <v>13.2</v>
      </c>
      <c r="CS4095">
        <v>1800</v>
      </c>
      <c r="CT4095">
        <v>0</v>
      </c>
      <c r="CU4095">
        <v>16</v>
      </c>
    </row>
    <row r="4096" spans="1:99" x14ac:dyDescent="0.2">
      <c r="A4096" t="s">
        <v>367</v>
      </c>
      <c r="B4096" t="s">
        <v>440</v>
      </c>
      <c r="C4096" t="s">
        <v>441</v>
      </c>
      <c r="D4096" t="s">
        <v>1201</v>
      </c>
      <c r="F4096" t="str">
        <f>"253720"</f>
        <v>253720</v>
      </c>
      <c r="G4096" t="s">
        <v>49</v>
      </c>
      <c r="K4096" t="s">
        <v>51</v>
      </c>
      <c r="L4096" t="s">
        <v>52</v>
      </c>
      <c r="M4096">
        <v>137975.60999999999</v>
      </c>
      <c r="N4096">
        <v>468901.82400000002</v>
      </c>
      <c r="O4096" t="s">
        <v>53</v>
      </c>
      <c r="P4096" t="s">
        <v>54</v>
      </c>
      <c r="Q4096" t="s">
        <v>55</v>
      </c>
      <c r="T4096" t="s">
        <v>431</v>
      </c>
      <c r="U4096">
        <v>40</v>
      </c>
      <c r="V4096" s="1">
        <v>25569</v>
      </c>
      <c r="W4096" s="1">
        <v>25569</v>
      </c>
      <c r="X4096" s="1">
        <v>25569</v>
      </c>
      <c r="Y4096" s="1">
        <v>40179</v>
      </c>
      <c r="Z4096" t="s">
        <v>51</v>
      </c>
      <c r="AB4096" t="s">
        <v>54</v>
      </c>
      <c r="AD4096" t="s">
        <v>809</v>
      </c>
      <c r="AE4096" t="s">
        <v>810</v>
      </c>
      <c r="AF4096">
        <v>20</v>
      </c>
      <c r="AG4096" s="1">
        <v>43282</v>
      </c>
      <c r="AH4096" s="1">
        <v>43282</v>
      </c>
      <c r="AI4096" s="1">
        <v>43282</v>
      </c>
      <c r="AK4096" t="s">
        <v>51</v>
      </c>
      <c r="AN4096">
        <v>0</v>
      </c>
      <c r="AO4096" t="s">
        <v>54</v>
      </c>
      <c r="AP4096" t="s">
        <v>53</v>
      </c>
      <c r="AQ4096">
        <v>0</v>
      </c>
      <c r="AR4096" t="s">
        <v>53</v>
      </c>
      <c r="AS4096">
        <v>0</v>
      </c>
      <c r="AT4096">
        <v>0</v>
      </c>
      <c r="CC4096" t="s">
        <v>669</v>
      </c>
      <c r="CD4096">
        <v>85000</v>
      </c>
      <c r="CE4096" s="1">
        <v>43282</v>
      </c>
      <c r="CF4096" s="1">
        <v>43282</v>
      </c>
      <c r="CG4096" s="1">
        <v>43282</v>
      </c>
      <c r="CI4096" t="s">
        <v>51</v>
      </c>
      <c r="CK4096" t="s">
        <v>78</v>
      </c>
      <c r="CM4096" t="s">
        <v>54</v>
      </c>
      <c r="CN4096" t="s">
        <v>174</v>
      </c>
      <c r="CO4096" t="s">
        <v>86</v>
      </c>
      <c r="CR4096">
        <v>50</v>
      </c>
      <c r="CS4096">
        <v>0</v>
      </c>
      <c r="CT4096">
        <v>0</v>
      </c>
      <c r="CU4096">
        <v>0</v>
      </c>
    </row>
    <row r="4097" spans="1:99" x14ac:dyDescent="0.2">
      <c r="A4097" t="s">
        <v>367</v>
      </c>
      <c r="B4097" t="s">
        <v>440</v>
      </c>
      <c r="C4097" t="s">
        <v>441</v>
      </c>
      <c r="D4097" t="s">
        <v>1201</v>
      </c>
      <c r="F4097" t="str">
        <f>"253721"</f>
        <v>253721</v>
      </c>
      <c r="G4097" t="s">
        <v>49</v>
      </c>
      <c r="K4097" t="s">
        <v>51</v>
      </c>
      <c r="L4097" t="s">
        <v>52</v>
      </c>
      <c r="M4097">
        <v>137996.28</v>
      </c>
      <c r="N4097">
        <v>468908.32</v>
      </c>
      <c r="O4097" t="s">
        <v>53</v>
      </c>
      <c r="P4097" t="s">
        <v>54</v>
      </c>
      <c r="Q4097" t="s">
        <v>55</v>
      </c>
      <c r="T4097" t="s">
        <v>246</v>
      </c>
      <c r="U4097">
        <v>40</v>
      </c>
      <c r="V4097" s="1">
        <v>42917</v>
      </c>
      <c r="W4097" s="1">
        <v>42917</v>
      </c>
      <c r="X4097" s="1">
        <v>42917</v>
      </c>
      <c r="Y4097" s="1">
        <v>57527</v>
      </c>
      <c r="Z4097" t="s">
        <v>51</v>
      </c>
      <c r="AB4097" t="s">
        <v>54</v>
      </c>
      <c r="AE4097" t="s">
        <v>1065</v>
      </c>
      <c r="AF4097">
        <v>20</v>
      </c>
      <c r="AG4097" s="1">
        <v>42917</v>
      </c>
      <c r="AH4097" s="1">
        <v>42917</v>
      </c>
      <c r="AI4097" s="1">
        <v>42917</v>
      </c>
      <c r="AJ4097" s="1">
        <v>50222</v>
      </c>
      <c r="AK4097" t="s">
        <v>51</v>
      </c>
      <c r="AN4097">
        <v>0</v>
      </c>
      <c r="AO4097" t="s">
        <v>54</v>
      </c>
      <c r="AP4097" t="s">
        <v>53</v>
      </c>
      <c r="AQ4097">
        <v>0</v>
      </c>
      <c r="AR4097" t="s">
        <v>53</v>
      </c>
      <c r="AS4097">
        <v>0</v>
      </c>
      <c r="AT4097">
        <v>0</v>
      </c>
      <c r="AW4097" t="s">
        <v>172</v>
      </c>
      <c r="AX4097">
        <v>15</v>
      </c>
      <c r="AY4097" s="1">
        <v>42917</v>
      </c>
      <c r="AZ4097" s="1">
        <v>42917</v>
      </c>
      <c r="BA4097" s="1">
        <v>42917</v>
      </c>
      <c r="BB4097" s="1">
        <v>48396</v>
      </c>
      <c r="BC4097" t="s">
        <v>51</v>
      </c>
      <c r="BE4097" t="s">
        <v>54</v>
      </c>
      <c r="BF4097">
        <v>40</v>
      </c>
      <c r="BG4097">
        <v>0</v>
      </c>
      <c r="BH4097" t="s">
        <v>145</v>
      </c>
      <c r="CC4097" t="s">
        <v>250</v>
      </c>
      <c r="CD4097">
        <v>100000</v>
      </c>
      <c r="CE4097" s="1">
        <v>42917</v>
      </c>
      <c r="CF4097" s="1">
        <v>42917</v>
      </c>
      <c r="CG4097" s="1">
        <v>42917</v>
      </c>
      <c r="CH4097" s="1">
        <v>51866</v>
      </c>
      <c r="CI4097" t="s">
        <v>51</v>
      </c>
      <c r="CK4097" t="s">
        <v>78</v>
      </c>
      <c r="CM4097" t="s">
        <v>54</v>
      </c>
      <c r="CN4097" t="s">
        <v>174</v>
      </c>
      <c r="CR4097">
        <v>13.2</v>
      </c>
      <c r="CS4097">
        <v>1800</v>
      </c>
      <c r="CT4097">
        <v>0</v>
      </c>
      <c r="CU4097">
        <v>16</v>
      </c>
    </row>
    <row r="4098" spans="1:99" x14ac:dyDescent="0.2">
      <c r="A4098" t="s">
        <v>367</v>
      </c>
      <c r="B4098" t="s">
        <v>440</v>
      </c>
      <c r="C4098" t="s">
        <v>441</v>
      </c>
      <c r="D4098" t="s">
        <v>1201</v>
      </c>
      <c r="F4098" t="str">
        <f>"253722"</f>
        <v>253722</v>
      </c>
      <c r="G4098" t="s">
        <v>49</v>
      </c>
      <c r="K4098" t="s">
        <v>51</v>
      </c>
      <c r="L4098" t="s">
        <v>52</v>
      </c>
      <c r="M4098">
        <v>138028.886</v>
      </c>
      <c r="N4098">
        <v>468920.20500000002</v>
      </c>
      <c r="O4098" t="s">
        <v>53</v>
      </c>
      <c r="P4098" t="s">
        <v>54</v>
      </c>
      <c r="Q4098" t="s">
        <v>55</v>
      </c>
      <c r="T4098" t="s">
        <v>246</v>
      </c>
      <c r="U4098">
        <v>40</v>
      </c>
      <c r="V4098" s="1">
        <v>42917</v>
      </c>
      <c r="W4098" s="1">
        <v>42917</v>
      </c>
      <c r="X4098" s="1">
        <v>42917</v>
      </c>
      <c r="Y4098" s="1">
        <v>57527</v>
      </c>
      <c r="Z4098" t="s">
        <v>51</v>
      </c>
      <c r="AB4098" t="s">
        <v>54</v>
      </c>
      <c r="AE4098" t="s">
        <v>1065</v>
      </c>
      <c r="AF4098">
        <v>20</v>
      </c>
      <c r="AG4098" s="1">
        <v>42917</v>
      </c>
      <c r="AH4098" s="1">
        <v>42917</v>
      </c>
      <c r="AI4098" s="1">
        <v>42917</v>
      </c>
      <c r="AJ4098" s="1">
        <v>50222</v>
      </c>
      <c r="AK4098" t="s">
        <v>51</v>
      </c>
      <c r="AN4098">
        <v>0</v>
      </c>
      <c r="AO4098" t="s">
        <v>54</v>
      </c>
      <c r="AP4098" t="s">
        <v>53</v>
      </c>
      <c r="AQ4098">
        <v>0</v>
      </c>
      <c r="AR4098" t="s">
        <v>53</v>
      </c>
      <c r="AS4098">
        <v>0</v>
      </c>
      <c r="AT4098">
        <v>0</v>
      </c>
      <c r="AW4098" t="s">
        <v>172</v>
      </c>
      <c r="AX4098">
        <v>15</v>
      </c>
      <c r="AY4098" s="1">
        <v>42917</v>
      </c>
      <c r="AZ4098" s="1">
        <v>42917</v>
      </c>
      <c r="BA4098" s="1">
        <v>42917</v>
      </c>
      <c r="BB4098" s="1">
        <v>48396</v>
      </c>
      <c r="BC4098" t="s">
        <v>51</v>
      </c>
      <c r="BE4098" t="s">
        <v>54</v>
      </c>
      <c r="BF4098">
        <v>40</v>
      </c>
      <c r="BG4098">
        <v>0</v>
      </c>
      <c r="BH4098" t="s">
        <v>145</v>
      </c>
      <c r="CC4098" t="s">
        <v>250</v>
      </c>
      <c r="CD4098">
        <v>100000</v>
      </c>
      <c r="CE4098" s="1">
        <v>42917</v>
      </c>
      <c r="CF4098" s="1">
        <v>42917</v>
      </c>
      <c r="CG4098" s="1">
        <v>42917</v>
      </c>
      <c r="CH4098" s="1">
        <v>51866</v>
      </c>
      <c r="CI4098" t="s">
        <v>51</v>
      </c>
      <c r="CK4098" t="s">
        <v>78</v>
      </c>
      <c r="CM4098" t="s">
        <v>54</v>
      </c>
      <c r="CN4098" t="s">
        <v>174</v>
      </c>
      <c r="CR4098">
        <v>13.2</v>
      </c>
      <c r="CS4098">
        <v>1800</v>
      </c>
      <c r="CT4098">
        <v>0</v>
      </c>
      <c r="CU4098">
        <v>16</v>
      </c>
    </row>
    <row r="4099" spans="1:99" x14ac:dyDescent="0.2">
      <c r="A4099" t="s">
        <v>367</v>
      </c>
      <c r="B4099" t="s">
        <v>440</v>
      </c>
      <c r="C4099" t="s">
        <v>441</v>
      </c>
      <c r="D4099" t="s">
        <v>1201</v>
      </c>
      <c r="F4099" t="str">
        <f>"253723"</f>
        <v>253723</v>
      </c>
      <c r="G4099" t="s">
        <v>49</v>
      </c>
      <c r="K4099" t="s">
        <v>51</v>
      </c>
      <c r="L4099" t="s">
        <v>52</v>
      </c>
      <c r="M4099">
        <v>138021.87</v>
      </c>
      <c r="N4099">
        <v>468927.79</v>
      </c>
      <c r="O4099" t="s">
        <v>53</v>
      </c>
      <c r="P4099" t="s">
        <v>54</v>
      </c>
      <c r="Q4099" t="s">
        <v>55</v>
      </c>
      <c r="T4099" t="s">
        <v>431</v>
      </c>
      <c r="U4099">
        <v>40</v>
      </c>
      <c r="V4099" s="1">
        <v>25569</v>
      </c>
      <c r="W4099" s="1">
        <v>25569</v>
      </c>
      <c r="X4099" s="1">
        <v>25569</v>
      </c>
      <c r="Y4099" s="1">
        <v>40179</v>
      </c>
      <c r="Z4099" t="s">
        <v>51</v>
      </c>
      <c r="AB4099" t="s">
        <v>54</v>
      </c>
      <c r="AD4099" t="s">
        <v>809</v>
      </c>
      <c r="AE4099" t="s">
        <v>810</v>
      </c>
      <c r="AF4099">
        <v>20</v>
      </c>
      <c r="AG4099" s="1">
        <v>43282</v>
      </c>
      <c r="AH4099" s="1">
        <v>43282</v>
      </c>
      <c r="AI4099" s="1">
        <v>43282</v>
      </c>
      <c r="AK4099" t="s">
        <v>51</v>
      </c>
      <c r="AN4099">
        <v>0</v>
      </c>
      <c r="AO4099" t="s">
        <v>54</v>
      </c>
      <c r="AP4099" t="s">
        <v>53</v>
      </c>
      <c r="AQ4099">
        <v>0</v>
      </c>
      <c r="AR4099" t="s">
        <v>53</v>
      </c>
      <c r="AS4099">
        <v>0</v>
      </c>
      <c r="AT4099">
        <v>0</v>
      </c>
      <c r="CC4099" t="s">
        <v>669</v>
      </c>
      <c r="CD4099">
        <v>85000</v>
      </c>
      <c r="CE4099" s="1">
        <v>43282</v>
      </c>
      <c r="CF4099" s="1">
        <v>43282</v>
      </c>
      <c r="CG4099" s="1">
        <v>43282</v>
      </c>
      <c r="CI4099" t="s">
        <v>51</v>
      </c>
      <c r="CK4099" t="s">
        <v>78</v>
      </c>
      <c r="CM4099" t="s">
        <v>54</v>
      </c>
      <c r="CN4099" t="s">
        <v>174</v>
      </c>
      <c r="CO4099" t="s">
        <v>86</v>
      </c>
      <c r="CR4099">
        <v>50</v>
      </c>
      <c r="CS4099">
        <v>0</v>
      </c>
      <c r="CT4099">
        <v>0</v>
      </c>
      <c r="CU4099">
        <v>0</v>
      </c>
    </row>
    <row r="4100" spans="1:99" x14ac:dyDescent="0.2">
      <c r="A4100" t="s">
        <v>367</v>
      </c>
      <c r="B4100" t="s">
        <v>440</v>
      </c>
      <c r="C4100" t="s">
        <v>441</v>
      </c>
      <c r="D4100" t="s">
        <v>1201</v>
      </c>
      <c r="F4100" t="str">
        <f>"253724"</f>
        <v>253724</v>
      </c>
      <c r="G4100" t="s">
        <v>49</v>
      </c>
      <c r="K4100" t="s">
        <v>51</v>
      </c>
      <c r="L4100" t="s">
        <v>52</v>
      </c>
      <c r="M4100">
        <v>137320.49799999999</v>
      </c>
      <c r="N4100">
        <v>468567.43800000002</v>
      </c>
      <c r="O4100" t="s">
        <v>53</v>
      </c>
      <c r="P4100" t="s">
        <v>54</v>
      </c>
      <c r="Q4100" t="s">
        <v>55</v>
      </c>
      <c r="T4100" t="s">
        <v>431</v>
      </c>
      <c r="U4100">
        <v>40</v>
      </c>
      <c r="V4100" s="1">
        <v>25569</v>
      </c>
      <c r="W4100" s="1">
        <v>25569</v>
      </c>
      <c r="X4100" s="1">
        <v>25569</v>
      </c>
      <c r="Y4100" s="1">
        <v>40179</v>
      </c>
      <c r="Z4100" t="s">
        <v>51</v>
      </c>
      <c r="AB4100" t="s">
        <v>54</v>
      </c>
      <c r="AD4100" t="s">
        <v>809</v>
      </c>
      <c r="AE4100" t="s">
        <v>810</v>
      </c>
      <c r="AF4100">
        <v>20</v>
      </c>
      <c r="AG4100" s="1">
        <v>43282</v>
      </c>
      <c r="AH4100" s="1">
        <v>43282</v>
      </c>
      <c r="AI4100" s="1">
        <v>43282</v>
      </c>
      <c r="AK4100" t="s">
        <v>51</v>
      </c>
      <c r="AN4100">
        <v>0</v>
      </c>
      <c r="AO4100" t="s">
        <v>54</v>
      </c>
      <c r="AP4100" t="s">
        <v>53</v>
      </c>
      <c r="AQ4100">
        <v>0</v>
      </c>
      <c r="AR4100" t="s">
        <v>53</v>
      </c>
      <c r="AS4100">
        <v>0</v>
      </c>
      <c r="AT4100">
        <v>0</v>
      </c>
      <c r="CC4100" t="s">
        <v>669</v>
      </c>
      <c r="CD4100">
        <v>85000</v>
      </c>
      <c r="CE4100" s="1">
        <v>43282</v>
      </c>
      <c r="CF4100" s="1">
        <v>43282</v>
      </c>
      <c r="CG4100" s="1">
        <v>43282</v>
      </c>
      <c r="CI4100" t="s">
        <v>51</v>
      </c>
      <c r="CK4100" t="s">
        <v>78</v>
      </c>
      <c r="CM4100" t="s">
        <v>54</v>
      </c>
      <c r="CN4100" t="s">
        <v>174</v>
      </c>
      <c r="CO4100" t="s">
        <v>86</v>
      </c>
      <c r="CR4100">
        <v>50</v>
      </c>
      <c r="CS4100">
        <v>0</v>
      </c>
      <c r="CT4100">
        <v>0</v>
      </c>
      <c r="CU4100">
        <v>0</v>
      </c>
    </row>
    <row r="4101" spans="1:99" x14ac:dyDescent="0.2">
      <c r="A4101" t="s">
        <v>367</v>
      </c>
      <c r="B4101" t="s">
        <v>440</v>
      </c>
      <c r="C4101" t="s">
        <v>441</v>
      </c>
      <c r="D4101" t="s">
        <v>1201</v>
      </c>
      <c r="F4101" t="str">
        <f>"253729"</f>
        <v>253729</v>
      </c>
      <c r="G4101" t="s">
        <v>49</v>
      </c>
      <c r="K4101" t="s">
        <v>51</v>
      </c>
      <c r="L4101" t="s">
        <v>52</v>
      </c>
      <c r="M4101">
        <v>137277.1</v>
      </c>
      <c r="N4101">
        <v>468577.6</v>
      </c>
      <c r="O4101" t="s">
        <v>53</v>
      </c>
      <c r="P4101" t="s">
        <v>54</v>
      </c>
      <c r="Q4101" t="s">
        <v>55</v>
      </c>
      <c r="T4101" t="s">
        <v>431</v>
      </c>
      <c r="U4101">
        <v>40</v>
      </c>
      <c r="V4101" s="1">
        <v>25569</v>
      </c>
      <c r="W4101" s="1">
        <v>25569</v>
      </c>
      <c r="X4101" s="1">
        <v>25569</v>
      </c>
      <c r="Y4101" s="1">
        <v>40179</v>
      </c>
      <c r="Z4101" t="s">
        <v>51</v>
      </c>
      <c r="AB4101" t="s">
        <v>54</v>
      </c>
      <c r="AD4101" t="s">
        <v>809</v>
      </c>
      <c r="AE4101" t="s">
        <v>810</v>
      </c>
      <c r="AF4101">
        <v>20</v>
      </c>
      <c r="AG4101" s="1">
        <v>43282</v>
      </c>
      <c r="AH4101" s="1">
        <v>43282</v>
      </c>
      <c r="AI4101" s="1">
        <v>43282</v>
      </c>
      <c r="AK4101" t="s">
        <v>51</v>
      </c>
      <c r="AN4101">
        <v>0</v>
      </c>
      <c r="AO4101" t="s">
        <v>54</v>
      </c>
      <c r="AP4101" t="s">
        <v>53</v>
      </c>
      <c r="AQ4101">
        <v>0</v>
      </c>
      <c r="AR4101" t="s">
        <v>53</v>
      </c>
      <c r="AS4101">
        <v>0</v>
      </c>
      <c r="AT4101">
        <v>0</v>
      </c>
      <c r="CC4101" t="s">
        <v>669</v>
      </c>
      <c r="CD4101">
        <v>85000</v>
      </c>
      <c r="CE4101" s="1">
        <v>43282</v>
      </c>
      <c r="CF4101" s="1">
        <v>43282</v>
      </c>
      <c r="CG4101" s="1">
        <v>43282</v>
      </c>
      <c r="CI4101" t="s">
        <v>51</v>
      </c>
      <c r="CK4101" t="s">
        <v>78</v>
      </c>
      <c r="CM4101" t="s">
        <v>54</v>
      </c>
      <c r="CN4101" t="s">
        <v>174</v>
      </c>
      <c r="CO4101" t="s">
        <v>86</v>
      </c>
      <c r="CR4101">
        <v>50</v>
      </c>
      <c r="CS4101">
        <v>0</v>
      </c>
      <c r="CT4101">
        <v>0</v>
      </c>
      <c r="CU4101">
        <v>0</v>
      </c>
    </row>
    <row r="4102" spans="1:99" x14ac:dyDescent="0.2">
      <c r="A4102" t="s">
        <v>367</v>
      </c>
      <c r="B4102" t="s">
        <v>368</v>
      </c>
      <c r="C4102" t="s">
        <v>369</v>
      </c>
      <c r="D4102" t="s">
        <v>369</v>
      </c>
      <c r="F4102" t="str">
        <f>"99165664"</f>
        <v>99165664</v>
      </c>
      <c r="G4102" t="s">
        <v>49</v>
      </c>
      <c r="H4102" t="s">
        <v>1980</v>
      </c>
      <c r="K4102" t="s">
        <v>51</v>
      </c>
      <c r="L4102" t="s">
        <v>52</v>
      </c>
      <c r="M4102">
        <v>136556.79999999999</v>
      </c>
      <c r="N4102">
        <v>467137.79</v>
      </c>
      <c r="O4102" t="s">
        <v>53</v>
      </c>
      <c r="P4102" t="s">
        <v>54</v>
      </c>
      <c r="Q4102" t="s">
        <v>55</v>
      </c>
      <c r="T4102" t="s">
        <v>376</v>
      </c>
      <c r="U4102">
        <v>40</v>
      </c>
      <c r="V4102" s="1">
        <v>37328</v>
      </c>
      <c r="W4102" s="1">
        <v>37328</v>
      </c>
      <c r="X4102" s="1">
        <v>37328</v>
      </c>
      <c r="Y4102" s="1">
        <v>51938</v>
      </c>
      <c r="Z4102" t="s">
        <v>51</v>
      </c>
      <c r="AB4102" t="s">
        <v>54</v>
      </c>
      <c r="AC4102">
        <v>1</v>
      </c>
      <c r="AE4102" t="s">
        <v>814</v>
      </c>
      <c r="AF4102">
        <v>20</v>
      </c>
      <c r="AG4102" s="1">
        <v>37328</v>
      </c>
      <c r="AH4102" s="1">
        <v>37328</v>
      </c>
      <c r="AI4102" s="1">
        <v>37328</v>
      </c>
      <c r="AJ4102" s="1">
        <v>44633</v>
      </c>
      <c r="AK4102" t="s">
        <v>51</v>
      </c>
      <c r="AN4102">
        <v>0</v>
      </c>
      <c r="AO4102" t="s">
        <v>54</v>
      </c>
      <c r="AP4102" t="s">
        <v>53</v>
      </c>
      <c r="AQ4102">
        <v>0</v>
      </c>
      <c r="AR4102" t="s">
        <v>53</v>
      </c>
      <c r="AS4102">
        <v>0</v>
      </c>
      <c r="AT4102">
        <v>0</v>
      </c>
      <c r="CC4102" t="s">
        <v>439</v>
      </c>
      <c r="CD4102">
        <v>85000</v>
      </c>
      <c r="CE4102" s="1">
        <v>42552</v>
      </c>
      <c r="CF4102" s="1">
        <v>42552</v>
      </c>
      <c r="CG4102" s="1">
        <v>42552</v>
      </c>
      <c r="CH4102" s="1">
        <v>49714</v>
      </c>
      <c r="CI4102" t="s">
        <v>51</v>
      </c>
      <c r="CK4102" t="s">
        <v>78</v>
      </c>
      <c r="CM4102" t="s">
        <v>54</v>
      </c>
      <c r="CN4102" t="s">
        <v>174</v>
      </c>
      <c r="CO4102" t="s">
        <v>86</v>
      </c>
      <c r="CR4102">
        <v>25</v>
      </c>
      <c r="CS4102">
        <v>0</v>
      </c>
      <c r="CT4102">
        <v>0</v>
      </c>
      <c r="CU4102">
        <v>0</v>
      </c>
    </row>
    <row r="4103" spans="1:99" x14ac:dyDescent="0.2">
      <c r="A4103" t="s">
        <v>112</v>
      </c>
      <c r="B4103" t="s">
        <v>113</v>
      </c>
      <c r="C4103" t="s">
        <v>114</v>
      </c>
      <c r="D4103" t="s">
        <v>1981</v>
      </c>
      <c r="F4103" t="str">
        <f>"1356"</f>
        <v>1356</v>
      </c>
      <c r="G4103" t="s">
        <v>49</v>
      </c>
      <c r="K4103" t="s">
        <v>51</v>
      </c>
      <c r="L4103" t="s">
        <v>52</v>
      </c>
      <c r="M4103">
        <v>137055.32999999999</v>
      </c>
      <c r="N4103">
        <v>474675.75</v>
      </c>
      <c r="O4103" t="s">
        <v>53</v>
      </c>
      <c r="P4103" t="s">
        <v>54</v>
      </c>
      <c r="Q4103" t="s">
        <v>55</v>
      </c>
      <c r="T4103" t="s">
        <v>431</v>
      </c>
      <c r="U4103">
        <v>40</v>
      </c>
      <c r="V4103" s="1">
        <v>29221</v>
      </c>
      <c r="W4103" s="1">
        <v>29221</v>
      </c>
      <c r="X4103" s="1">
        <v>29221</v>
      </c>
      <c r="Y4103" s="1">
        <v>43831</v>
      </c>
      <c r="Z4103" t="s">
        <v>51</v>
      </c>
      <c r="AB4103" t="s">
        <v>54</v>
      </c>
      <c r="AC4103">
        <v>1</v>
      </c>
      <c r="AE4103" t="s">
        <v>79</v>
      </c>
      <c r="AF4103">
        <v>20</v>
      </c>
      <c r="AG4103" s="1">
        <v>34700</v>
      </c>
      <c r="AH4103" s="1">
        <v>34700</v>
      </c>
      <c r="AI4103" s="1">
        <v>34700</v>
      </c>
      <c r="AJ4103" s="1">
        <v>42005</v>
      </c>
      <c r="AK4103" t="s">
        <v>51</v>
      </c>
      <c r="AN4103">
        <v>0</v>
      </c>
      <c r="AO4103" t="s">
        <v>54</v>
      </c>
      <c r="AP4103" t="s">
        <v>53</v>
      </c>
      <c r="AQ4103">
        <v>0</v>
      </c>
      <c r="AR4103" t="s">
        <v>145</v>
      </c>
      <c r="AS4103">
        <v>0</v>
      </c>
      <c r="AT4103">
        <v>0</v>
      </c>
      <c r="AW4103" t="s">
        <v>79</v>
      </c>
      <c r="AX4103">
        <v>20</v>
      </c>
      <c r="AY4103" s="1">
        <v>34700</v>
      </c>
      <c r="AZ4103" s="1">
        <v>34700</v>
      </c>
      <c r="BA4103" s="1">
        <v>34700</v>
      </c>
      <c r="BB4103" s="1">
        <v>42005</v>
      </c>
      <c r="BC4103" t="s">
        <v>51</v>
      </c>
      <c r="BE4103" t="s">
        <v>54</v>
      </c>
      <c r="BF4103">
        <v>5</v>
      </c>
      <c r="BG4103">
        <v>0</v>
      </c>
      <c r="BH4103" t="s">
        <v>53</v>
      </c>
      <c r="BK4103" t="s">
        <v>59</v>
      </c>
      <c r="BL4103">
        <v>14000</v>
      </c>
      <c r="BM4103" s="1">
        <v>42917</v>
      </c>
      <c r="BN4103" s="1">
        <v>42917</v>
      </c>
      <c r="BO4103" s="1">
        <v>42917</v>
      </c>
      <c r="BP4103" s="1">
        <v>44117</v>
      </c>
      <c r="BQ4103" t="s">
        <v>51</v>
      </c>
      <c r="BS4103" t="s">
        <v>60</v>
      </c>
      <c r="BT4103" t="s">
        <v>54</v>
      </c>
      <c r="BU4103" t="s">
        <v>61</v>
      </c>
      <c r="BV4103" t="s">
        <v>62</v>
      </c>
      <c r="BX4103">
        <v>24</v>
      </c>
      <c r="BY4103">
        <v>0</v>
      </c>
      <c r="BZ4103">
        <v>0</v>
      </c>
    </row>
    <row r="4104" spans="1:99" x14ac:dyDescent="0.2">
      <c r="A4104" t="s">
        <v>112</v>
      </c>
      <c r="B4104" t="s">
        <v>113</v>
      </c>
      <c r="C4104" t="s">
        <v>114</v>
      </c>
      <c r="D4104" t="s">
        <v>1981</v>
      </c>
      <c r="F4104" t="str">
        <f>"1357"</f>
        <v>1357</v>
      </c>
      <c r="G4104" t="s">
        <v>49</v>
      </c>
      <c r="K4104" t="s">
        <v>51</v>
      </c>
      <c r="L4104" t="s">
        <v>52</v>
      </c>
      <c r="M4104">
        <v>137060.63</v>
      </c>
      <c r="N4104">
        <v>474731.31</v>
      </c>
      <c r="O4104" t="s">
        <v>53</v>
      </c>
      <c r="P4104" t="s">
        <v>54</v>
      </c>
      <c r="Q4104" t="s">
        <v>55</v>
      </c>
      <c r="T4104" t="s">
        <v>431</v>
      </c>
      <c r="U4104">
        <v>40</v>
      </c>
      <c r="V4104" s="1">
        <v>29221</v>
      </c>
      <c r="W4104" s="1">
        <v>29221</v>
      </c>
      <c r="X4104" s="1">
        <v>29221</v>
      </c>
      <c r="Y4104" s="1">
        <v>43831</v>
      </c>
      <c r="Z4104" t="s">
        <v>51</v>
      </c>
      <c r="AB4104" t="s">
        <v>54</v>
      </c>
      <c r="AC4104">
        <v>1</v>
      </c>
      <c r="AE4104" t="s">
        <v>79</v>
      </c>
      <c r="AF4104">
        <v>20</v>
      </c>
      <c r="AG4104" s="1">
        <v>34700</v>
      </c>
      <c r="AH4104" s="1">
        <v>34700</v>
      </c>
      <c r="AI4104" s="1">
        <v>34700</v>
      </c>
      <c r="AJ4104" s="1">
        <v>42005</v>
      </c>
      <c r="AK4104" t="s">
        <v>51</v>
      </c>
      <c r="AN4104">
        <v>0</v>
      </c>
      <c r="AO4104" t="s">
        <v>54</v>
      </c>
      <c r="AP4104" t="s">
        <v>53</v>
      </c>
      <c r="AQ4104">
        <v>0</v>
      </c>
      <c r="AR4104" t="s">
        <v>145</v>
      </c>
      <c r="AS4104">
        <v>0</v>
      </c>
      <c r="AT4104">
        <v>0</v>
      </c>
      <c r="AW4104" t="s">
        <v>58</v>
      </c>
      <c r="AX4104">
        <v>20</v>
      </c>
      <c r="AY4104" s="1">
        <v>44039</v>
      </c>
      <c r="AZ4104" s="1">
        <v>44039</v>
      </c>
      <c r="BA4104" s="1">
        <v>44039</v>
      </c>
      <c r="BB4104" s="1">
        <v>51344</v>
      </c>
      <c r="BC4104" t="s">
        <v>51</v>
      </c>
      <c r="BE4104" t="s">
        <v>54</v>
      </c>
      <c r="BF4104">
        <v>2</v>
      </c>
      <c r="BG4104">
        <v>0</v>
      </c>
      <c r="BH4104" t="s">
        <v>53</v>
      </c>
      <c r="BK4104" t="s">
        <v>59</v>
      </c>
      <c r="BL4104">
        <v>14000</v>
      </c>
      <c r="BM4104" s="1">
        <v>44039</v>
      </c>
      <c r="BN4104" s="1">
        <v>44039</v>
      </c>
      <c r="BO4104" s="1">
        <v>44039</v>
      </c>
      <c r="BP4104" s="1">
        <v>45226</v>
      </c>
      <c r="BQ4104" t="s">
        <v>51</v>
      </c>
      <c r="BS4104" t="s">
        <v>60</v>
      </c>
      <c r="BT4104" t="s">
        <v>54</v>
      </c>
      <c r="BU4104" t="s">
        <v>61</v>
      </c>
      <c r="BV4104" t="s">
        <v>62</v>
      </c>
      <c r="BX4104">
        <v>24</v>
      </c>
      <c r="BY4104">
        <v>0</v>
      </c>
      <c r="BZ4104">
        <v>0</v>
      </c>
    </row>
    <row r="4105" spans="1:99" x14ac:dyDescent="0.2">
      <c r="A4105" t="s">
        <v>112</v>
      </c>
      <c r="B4105" t="s">
        <v>113</v>
      </c>
      <c r="C4105" t="s">
        <v>114</v>
      </c>
      <c r="D4105" t="s">
        <v>1982</v>
      </c>
      <c r="F4105" t="str">
        <f>"250111"</f>
        <v>250111</v>
      </c>
      <c r="G4105" t="s">
        <v>49</v>
      </c>
      <c r="K4105" t="s">
        <v>51</v>
      </c>
      <c r="L4105" t="s">
        <v>52</v>
      </c>
      <c r="M4105">
        <v>136911.4</v>
      </c>
      <c r="N4105">
        <v>470864.86</v>
      </c>
      <c r="O4105" t="s">
        <v>53</v>
      </c>
      <c r="P4105" t="s">
        <v>54</v>
      </c>
      <c r="Q4105" t="s">
        <v>55</v>
      </c>
      <c r="T4105" t="s">
        <v>241</v>
      </c>
      <c r="U4105">
        <v>40</v>
      </c>
      <c r="V4105" s="1">
        <v>36342</v>
      </c>
      <c r="W4105" s="1">
        <v>36342</v>
      </c>
      <c r="X4105" s="1">
        <v>36342</v>
      </c>
      <c r="Y4105" s="1">
        <v>50952</v>
      </c>
      <c r="Z4105" t="s">
        <v>51</v>
      </c>
      <c r="AB4105" t="s">
        <v>54</v>
      </c>
      <c r="AC4105">
        <v>1</v>
      </c>
      <c r="AE4105" t="s">
        <v>222</v>
      </c>
      <c r="AF4105">
        <v>20</v>
      </c>
      <c r="AG4105" s="1">
        <v>36342</v>
      </c>
      <c r="AH4105" s="1">
        <v>36342</v>
      </c>
      <c r="AI4105" s="1">
        <v>36342</v>
      </c>
      <c r="AJ4105" s="1">
        <v>43647</v>
      </c>
      <c r="AK4105" t="s">
        <v>51</v>
      </c>
      <c r="AN4105">
        <v>0</v>
      </c>
      <c r="AO4105" t="s">
        <v>54</v>
      </c>
      <c r="AP4105" t="s">
        <v>53</v>
      </c>
      <c r="AQ4105">
        <v>0</v>
      </c>
      <c r="AR4105" t="s">
        <v>53</v>
      </c>
      <c r="AS4105">
        <v>0</v>
      </c>
      <c r="AT4105">
        <v>0</v>
      </c>
      <c r="AW4105" t="s">
        <v>58</v>
      </c>
      <c r="AX4105">
        <v>20</v>
      </c>
      <c r="AY4105" s="1">
        <v>36342</v>
      </c>
      <c r="AZ4105" s="1">
        <v>36342</v>
      </c>
      <c r="BA4105" s="1">
        <v>36342</v>
      </c>
      <c r="BB4105" s="1">
        <v>43647</v>
      </c>
      <c r="BC4105" t="s">
        <v>51</v>
      </c>
      <c r="BE4105" t="s">
        <v>54</v>
      </c>
      <c r="BF4105">
        <v>2</v>
      </c>
      <c r="BG4105">
        <v>0</v>
      </c>
      <c r="BH4105" t="s">
        <v>53</v>
      </c>
      <c r="BK4105" t="s">
        <v>59</v>
      </c>
      <c r="BL4105">
        <v>14000</v>
      </c>
      <c r="BM4105" s="1">
        <v>42917</v>
      </c>
      <c r="BN4105" s="1">
        <v>42917</v>
      </c>
      <c r="BO4105" s="1">
        <v>42917</v>
      </c>
      <c r="BP4105" s="1">
        <v>44117</v>
      </c>
      <c r="BQ4105" t="s">
        <v>51</v>
      </c>
      <c r="BS4105" t="s">
        <v>60</v>
      </c>
      <c r="BT4105" t="s">
        <v>54</v>
      </c>
      <c r="BU4105" t="s">
        <v>61</v>
      </c>
      <c r="BV4105" t="s">
        <v>62</v>
      </c>
      <c r="BX4105">
        <v>24</v>
      </c>
      <c r="BY4105">
        <v>0</v>
      </c>
      <c r="BZ4105">
        <v>0</v>
      </c>
    </row>
    <row r="4106" spans="1:99" x14ac:dyDescent="0.2">
      <c r="A4106" t="s">
        <v>112</v>
      </c>
      <c r="B4106" t="s">
        <v>113</v>
      </c>
      <c r="C4106" t="s">
        <v>114</v>
      </c>
      <c r="D4106" t="s">
        <v>1982</v>
      </c>
      <c r="F4106" t="str">
        <f>"250112"</f>
        <v>250112</v>
      </c>
      <c r="G4106" t="s">
        <v>49</v>
      </c>
      <c r="H4106" t="s">
        <v>1983</v>
      </c>
      <c r="K4106" t="s">
        <v>51</v>
      </c>
      <c r="L4106" t="s">
        <v>52</v>
      </c>
      <c r="M4106">
        <v>136941.13</v>
      </c>
      <c r="N4106">
        <v>470866.5</v>
      </c>
      <c r="O4106" t="s">
        <v>53</v>
      </c>
      <c r="P4106" t="s">
        <v>54</v>
      </c>
      <c r="Q4106" t="s">
        <v>55</v>
      </c>
      <c r="T4106" t="s">
        <v>241</v>
      </c>
      <c r="U4106">
        <v>40</v>
      </c>
      <c r="V4106" s="1">
        <v>36342</v>
      </c>
      <c r="W4106" s="1">
        <v>36342</v>
      </c>
      <c r="X4106" s="1">
        <v>36342</v>
      </c>
      <c r="Y4106" s="1">
        <v>50952</v>
      </c>
      <c r="Z4106" t="s">
        <v>51</v>
      </c>
      <c r="AB4106" t="s">
        <v>54</v>
      </c>
      <c r="AC4106">
        <v>1</v>
      </c>
      <c r="AE4106" t="s">
        <v>222</v>
      </c>
      <c r="AF4106">
        <v>20</v>
      </c>
      <c r="AG4106" s="1">
        <v>36342</v>
      </c>
      <c r="AH4106" s="1">
        <v>36342</v>
      </c>
      <c r="AI4106" s="1">
        <v>36342</v>
      </c>
      <c r="AJ4106" s="1">
        <v>43647</v>
      </c>
      <c r="AK4106" t="s">
        <v>51</v>
      </c>
      <c r="AN4106">
        <v>0</v>
      </c>
      <c r="AO4106" t="s">
        <v>54</v>
      </c>
      <c r="AP4106" t="s">
        <v>53</v>
      </c>
      <c r="AQ4106">
        <v>0</v>
      </c>
      <c r="AR4106" t="s">
        <v>53</v>
      </c>
      <c r="AS4106">
        <v>0</v>
      </c>
      <c r="AT4106">
        <v>0</v>
      </c>
      <c r="AW4106" t="s">
        <v>58</v>
      </c>
      <c r="AX4106">
        <v>20</v>
      </c>
      <c r="AY4106" s="1">
        <v>36342</v>
      </c>
      <c r="AZ4106" s="1">
        <v>36342</v>
      </c>
      <c r="BA4106" s="1">
        <v>36342</v>
      </c>
      <c r="BB4106" s="1">
        <v>43647</v>
      </c>
      <c r="BC4106" t="s">
        <v>51</v>
      </c>
      <c r="BE4106" t="s">
        <v>54</v>
      </c>
      <c r="BF4106">
        <v>2</v>
      </c>
      <c r="BG4106">
        <v>0</v>
      </c>
      <c r="BH4106" t="s">
        <v>53</v>
      </c>
      <c r="BK4106" t="s">
        <v>59</v>
      </c>
      <c r="BL4106">
        <v>14000</v>
      </c>
      <c r="BM4106" s="1">
        <v>42917</v>
      </c>
      <c r="BN4106" s="1">
        <v>42917</v>
      </c>
      <c r="BO4106" s="1">
        <v>42917</v>
      </c>
      <c r="BP4106" s="1">
        <v>44117</v>
      </c>
      <c r="BQ4106" t="s">
        <v>51</v>
      </c>
      <c r="BS4106" t="s">
        <v>60</v>
      </c>
      <c r="BT4106" t="s">
        <v>54</v>
      </c>
      <c r="BU4106" t="s">
        <v>61</v>
      </c>
      <c r="BV4106" t="s">
        <v>62</v>
      </c>
      <c r="BX4106">
        <v>24</v>
      </c>
      <c r="BY4106">
        <v>0</v>
      </c>
      <c r="BZ4106">
        <v>0</v>
      </c>
    </row>
    <row r="4107" spans="1:99" x14ac:dyDescent="0.2">
      <c r="A4107" t="s">
        <v>112</v>
      </c>
      <c r="B4107" t="s">
        <v>113</v>
      </c>
      <c r="C4107" t="s">
        <v>114</v>
      </c>
      <c r="D4107" t="s">
        <v>1982</v>
      </c>
      <c r="F4107" t="str">
        <f>"250113"</f>
        <v>250113</v>
      </c>
      <c r="G4107" t="s">
        <v>49</v>
      </c>
      <c r="H4107" t="s">
        <v>313</v>
      </c>
      <c r="K4107" t="s">
        <v>51</v>
      </c>
      <c r="L4107" t="s">
        <v>52</v>
      </c>
      <c r="M4107">
        <v>136966.72</v>
      </c>
      <c r="N4107">
        <v>470866.89</v>
      </c>
      <c r="O4107" t="s">
        <v>53</v>
      </c>
      <c r="P4107" t="s">
        <v>54</v>
      </c>
      <c r="Q4107" t="s">
        <v>55</v>
      </c>
      <c r="T4107" t="s">
        <v>241</v>
      </c>
      <c r="U4107">
        <v>40</v>
      </c>
      <c r="V4107" s="1">
        <v>21367</v>
      </c>
      <c r="W4107" s="1">
        <v>21367</v>
      </c>
      <c r="X4107" s="1">
        <v>21367</v>
      </c>
      <c r="Y4107" s="1">
        <v>35977</v>
      </c>
      <c r="Z4107" t="s">
        <v>51</v>
      </c>
      <c r="AB4107" t="s">
        <v>54</v>
      </c>
      <c r="AC4107">
        <v>1</v>
      </c>
      <c r="AE4107" t="s">
        <v>222</v>
      </c>
      <c r="AF4107">
        <v>20</v>
      </c>
      <c r="AG4107" s="1">
        <v>36342</v>
      </c>
      <c r="AH4107" s="1">
        <v>36342</v>
      </c>
      <c r="AI4107" s="1">
        <v>36342</v>
      </c>
      <c r="AJ4107" s="1">
        <v>43647</v>
      </c>
      <c r="AK4107" t="s">
        <v>51</v>
      </c>
      <c r="AN4107">
        <v>0</v>
      </c>
      <c r="AO4107" t="s">
        <v>54</v>
      </c>
      <c r="AP4107" t="s">
        <v>53</v>
      </c>
      <c r="AQ4107">
        <v>0</v>
      </c>
      <c r="AR4107" t="s">
        <v>53</v>
      </c>
      <c r="AS4107">
        <v>0</v>
      </c>
      <c r="AT4107">
        <v>0</v>
      </c>
      <c r="AW4107" t="s">
        <v>58</v>
      </c>
      <c r="AX4107">
        <v>20</v>
      </c>
      <c r="AY4107" s="1">
        <v>36342</v>
      </c>
      <c r="AZ4107" s="1">
        <v>36342</v>
      </c>
      <c r="BA4107" s="1">
        <v>36342</v>
      </c>
      <c r="BB4107" s="1">
        <v>43647</v>
      </c>
      <c r="BC4107" t="s">
        <v>51</v>
      </c>
      <c r="BE4107" t="s">
        <v>54</v>
      </c>
      <c r="BF4107">
        <v>2</v>
      </c>
      <c r="BG4107">
        <v>0</v>
      </c>
      <c r="BH4107" t="s">
        <v>53</v>
      </c>
      <c r="BK4107" t="s">
        <v>59</v>
      </c>
      <c r="BL4107">
        <v>14000</v>
      </c>
      <c r="BM4107" s="1">
        <v>42917</v>
      </c>
      <c r="BN4107" s="1">
        <v>42917</v>
      </c>
      <c r="BO4107" s="1">
        <v>42917</v>
      </c>
      <c r="BP4107" s="1">
        <v>44117</v>
      </c>
      <c r="BQ4107" t="s">
        <v>51</v>
      </c>
      <c r="BS4107" t="s">
        <v>60</v>
      </c>
      <c r="BT4107" t="s">
        <v>54</v>
      </c>
      <c r="BU4107" t="s">
        <v>61</v>
      </c>
      <c r="BV4107" t="s">
        <v>62</v>
      </c>
      <c r="BX4107">
        <v>24</v>
      </c>
      <c r="BY4107">
        <v>0</v>
      </c>
      <c r="BZ4107">
        <v>0</v>
      </c>
    </row>
    <row r="4108" spans="1:99" x14ac:dyDescent="0.2">
      <c r="A4108" t="s">
        <v>112</v>
      </c>
      <c r="B4108" t="s">
        <v>113</v>
      </c>
      <c r="C4108" t="s">
        <v>114</v>
      </c>
      <c r="D4108" t="s">
        <v>1982</v>
      </c>
      <c r="F4108" t="str">
        <f>"250114"</f>
        <v>250114</v>
      </c>
      <c r="G4108" t="s">
        <v>49</v>
      </c>
      <c r="H4108" t="s">
        <v>126</v>
      </c>
      <c r="K4108" t="s">
        <v>51</v>
      </c>
      <c r="L4108" t="s">
        <v>52</v>
      </c>
      <c r="M4108">
        <v>136981.62</v>
      </c>
      <c r="N4108">
        <v>470867.06</v>
      </c>
      <c r="O4108" t="s">
        <v>53</v>
      </c>
      <c r="P4108" t="s">
        <v>54</v>
      </c>
      <c r="Q4108" t="s">
        <v>55</v>
      </c>
      <c r="T4108" t="s">
        <v>241</v>
      </c>
      <c r="U4108">
        <v>40</v>
      </c>
      <c r="V4108" s="1">
        <v>36342</v>
      </c>
      <c r="W4108" s="1">
        <v>36342</v>
      </c>
      <c r="X4108" s="1">
        <v>36342</v>
      </c>
      <c r="Y4108" s="1">
        <v>50952</v>
      </c>
      <c r="Z4108" t="s">
        <v>51</v>
      </c>
      <c r="AB4108" t="s">
        <v>54</v>
      </c>
      <c r="AC4108">
        <v>1</v>
      </c>
      <c r="AE4108" t="s">
        <v>222</v>
      </c>
      <c r="AF4108">
        <v>20</v>
      </c>
      <c r="AG4108" s="1">
        <v>36342</v>
      </c>
      <c r="AH4108" s="1">
        <v>36342</v>
      </c>
      <c r="AI4108" s="1">
        <v>36342</v>
      </c>
      <c r="AJ4108" s="1">
        <v>43647</v>
      </c>
      <c r="AK4108" t="s">
        <v>51</v>
      </c>
      <c r="AN4108">
        <v>0</v>
      </c>
      <c r="AO4108" t="s">
        <v>54</v>
      </c>
      <c r="AP4108" t="s">
        <v>53</v>
      </c>
      <c r="AQ4108">
        <v>0</v>
      </c>
      <c r="AR4108" t="s">
        <v>53</v>
      </c>
      <c r="AS4108">
        <v>0</v>
      </c>
      <c r="AT4108">
        <v>0</v>
      </c>
      <c r="AW4108" t="s">
        <v>58</v>
      </c>
      <c r="AX4108">
        <v>20</v>
      </c>
      <c r="AY4108" s="1">
        <v>36342</v>
      </c>
      <c r="AZ4108" s="1">
        <v>36342</v>
      </c>
      <c r="BA4108" s="1">
        <v>36342</v>
      </c>
      <c r="BB4108" s="1">
        <v>43647</v>
      </c>
      <c r="BC4108" t="s">
        <v>51</v>
      </c>
      <c r="BE4108" t="s">
        <v>54</v>
      </c>
      <c r="BF4108">
        <v>2</v>
      </c>
      <c r="BG4108">
        <v>0</v>
      </c>
      <c r="BH4108" t="s">
        <v>53</v>
      </c>
      <c r="BK4108" t="s">
        <v>59</v>
      </c>
      <c r="BL4108">
        <v>14000</v>
      </c>
      <c r="BM4108" s="1">
        <v>42917</v>
      </c>
      <c r="BN4108" s="1">
        <v>42917</v>
      </c>
      <c r="BO4108" s="1">
        <v>42917</v>
      </c>
      <c r="BP4108" s="1">
        <v>44117</v>
      </c>
      <c r="BQ4108" t="s">
        <v>51</v>
      </c>
      <c r="BS4108" t="s">
        <v>60</v>
      </c>
      <c r="BT4108" t="s">
        <v>54</v>
      </c>
      <c r="BU4108" t="s">
        <v>61</v>
      </c>
      <c r="BV4108" t="s">
        <v>62</v>
      </c>
      <c r="BX4108">
        <v>24</v>
      </c>
      <c r="BY4108">
        <v>0</v>
      </c>
      <c r="BZ4108">
        <v>0</v>
      </c>
    </row>
    <row r="4109" spans="1:99" x14ac:dyDescent="0.2">
      <c r="A4109" t="s">
        <v>112</v>
      </c>
      <c r="B4109" t="s">
        <v>113</v>
      </c>
      <c r="C4109" t="s">
        <v>114</v>
      </c>
      <c r="D4109" t="s">
        <v>1982</v>
      </c>
      <c r="F4109" t="str">
        <f>"250115"</f>
        <v>250115</v>
      </c>
      <c r="G4109" t="s">
        <v>49</v>
      </c>
      <c r="H4109" t="s">
        <v>593</v>
      </c>
      <c r="K4109" t="s">
        <v>51</v>
      </c>
      <c r="L4109" t="s">
        <v>52</v>
      </c>
      <c r="M4109">
        <v>137006.04999999999</v>
      </c>
      <c r="N4109">
        <v>470867.8</v>
      </c>
      <c r="O4109" t="s">
        <v>53</v>
      </c>
      <c r="P4109" t="s">
        <v>54</v>
      </c>
      <c r="Q4109" t="s">
        <v>55</v>
      </c>
      <c r="T4109" t="s">
        <v>241</v>
      </c>
      <c r="U4109">
        <v>40</v>
      </c>
      <c r="V4109" s="1">
        <v>36342</v>
      </c>
      <c r="W4109" s="1">
        <v>36342</v>
      </c>
      <c r="X4109" s="1">
        <v>36342</v>
      </c>
      <c r="Y4109" s="1">
        <v>50952</v>
      </c>
      <c r="Z4109" t="s">
        <v>51</v>
      </c>
      <c r="AB4109" t="s">
        <v>54</v>
      </c>
      <c r="AC4109">
        <v>1</v>
      </c>
      <c r="AE4109" t="s">
        <v>222</v>
      </c>
      <c r="AF4109">
        <v>20</v>
      </c>
      <c r="AG4109" s="1">
        <v>36342</v>
      </c>
      <c r="AH4109" s="1">
        <v>36342</v>
      </c>
      <c r="AI4109" s="1">
        <v>36342</v>
      </c>
      <c r="AJ4109" s="1">
        <v>43647</v>
      </c>
      <c r="AK4109" t="s">
        <v>51</v>
      </c>
      <c r="AN4109">
        <v>0</v>
      </c>
      <c r="AO4109" t="s">
        <v>54</v>
      </c>
      <c r="AP4109" t="s">
        <v>53</v>
      </c>
      <c r="AQ4109">
        <v>0</v>
      </c>
      <c r="AR4109" t="s">
        <v>53</v>
      </c>
      <c r="AS4109">
        <v>0</v>
      </c>
      <c r="AT4109">
        <v>0</v>
      </c>
      <c r="AW4109" t="s">
        <v>58</v>
      </c>
      <c r="AX4109">
        <v>20</v>
      </c>
      <c r="AY4109" s="1">
        <v>36342</v>
      </c>
      <c r="AZ4109" s="1">
        <v>36342</v>
      </c>
      <c r="BA4109" s="1">
        <v>36342</v>
      </c>
      <c r="BB4109" s="1">
        <v>43647</v>
      </c>
      <c r="BC4109" t="s">
        <v>51</v>
      </c>
      <c r="BE4109" t="s">
        <v>54</v>
      </c>
      <c r="BF4109">
        <v>2</v>
      </c>
      <c r="BG4109">
        <v>0</v>
      </c>
      <c r="BH4109" t="s">
        <v>53</v>
      </c>
      <c r="BK4109" t="s">
        <v>59</v>
      </c>
      <c r="BL4109">
        <v>14000</v>
      </c>
      <c r="BM4109" s="1">
        <v>42917</v>
      </c>
      <c r="BN4109" s="1">
        <v>42917</v>
      </c>
      <c r="BO4109" s="1">
        <v>42917</v>
      </c>
      <c r="BP4109" s="1">
        <v>44117</v>
      </c>
      <c r="BQ4109" t="s">
        <v>51</v>
      </c>
      <c r="BS4109" t="s">
        <v>60</v>
      </c>
      <c r="BT4109" t="s">
        <v>54</v>
      </c>
      <c r="BU4109" t="s">
        <v>61</v>
      </c>
      <c r="BV4109" t="s">
        <v>62</v>
      </c>
      <c r="BX4109">
        <v>24</v>
      </c>
      <c r="BY4109">
        <v>0</v>
      </c>
      <c r="BZ4109">
        <v>0</v>
      </c>
    </row>
    <row r="4110" spans="1:99" x14ac:dyDescent="0.2">
      <c r="A4110" t="s">
        <v>112</v>
      </c>
      <c r="B4110" t="s">
        <v>113</v>
      </c>
      <c r="C4110" t="s">
        <v>114</v>
      </c>
      <c r="D4110" t="s">
        <v>1982</v>
      </c>
      <c r="F4110" t="str">
        <f>"250116"</f>
        <v>250116</v>
      </c>
      <c r="G4110" t="s">
        <v>49</v>
      </c>
      <c r="H4110">
        <v>27</v>
      </c>
      <c r="K4110" t="s">
        <v>51</v>
      </c>
      <c r="L4110" t="s">
        <v>52</v>
      </c>
      <c r="M4110">
        <v>137014.48000000001</v>
      </c>
      <c r="N4110">
        <v>470857.73</v>
      </c>
      <c r="O4110" t="s">
        <v>53</v>
      </c>
      <c r="P4110" t="s">
        <v>54</v>
      </c>
      <c r="Q4110" t="s">
        <v>55</v>
      </c>
      <c r="T4110" t="s">
        <v>241</v>
      </c>
      <c r="U4110">
        <v>40</v>
      </c>
      <c r="V4110" s="1">
        <v>36342</v>
      </c>
      <c r="W4110" s="1">
        <v>36342</v>
      </c>
      <c r="X4110" s="1">
        <v>36342</v>
      </c>
      <c r="Y4110" s="1">
        <v>50952</v>
      </c>
      <c r="Z4110" t="s">
        <v>51</v>
      </c>
      <c r="AB4110" t="s">
        <v>54</v>
      </c>
      <c r="AC4110">
        <v>1</v>
      </c>
      <c r="AE4110" t="s">
        <v>222</v>
      </c>
      <c r="AF4110">
        <v>20</v>
      </c>
      <c r="AG4110" s="1">
        <v>36342</v>
      </c>
      <c r="AH4110" s="1">
        <v>36342</v>
      </c>
      <c r="AI4110" s="1">
        <v>36342</v>
      </c>
      <c r="AJ4110" s="1">
        <v>43647</v>
      </c>
      <c r="AK4110" t="s">
        <v>51</v>
      </c>
      <c r="AN4110">
        <v>0</v>
      </c>
      <c r="AO4110" t="s">
        <v>54</v>
      </c>
      <c r="AP4110" t="s">
        <v>53</v>
      </c>
      <c r="AQ4110">
        <v>0</v>
      </c>
      <c r="AR4110" t="s">
        <v>53</v>
      </c>
      <c r="AS4110">
        <v>0</v>
      </c>
      <c r="AT4110">
        <v>0</v>
      </c>
      <c r="AW4110" t="s">
        <v>58</v>
      </c>
      <c r="AX4110">
        <v>20</v>
      </c>
      <c r="AY4110" s="1">
        <v>36342</v>
      </c>
      <c r="AZ4110" s="1">
        <v>36342</v>
      </c>
      <c r="BA4110" s="1">
        <v>36342</v>
      </c>
      <c r="BB4110" s="1">
        <v>43647</v>
      </c>
      <c r="BC4110" t="s">
        <v>51</v>
      </c>
      <c r="BE4110" t="s">
        <v>54</v>
      </c>
      <c r="BF4110">
        <v>2</v>
      </c>
      <c r="BG4110">
        <v>0</v>
      </c>
      <c r="BH4110" t="s">
        <v>53</v>
      </c>
      <c r="BK4110" t="s">
        <v>59</v>
      </c>
      <c r="BL4110">
        <v>14000</v>
      </c>
      <c r="BM4110" s="1">
        <v>43123</v>
      </c>
      <c r="BN4110" s="1">
        <v>43123</v>
      </c>
      <c r="BO4110" s="1">
        <v>43123</v>
      </c>
      <c r="BP4110" s="1">
        <v>44297</v>
      </c>
      <c r="BQ4110" t="s">
        <v>51</v>
      </c>
      <c r="BS4110" t="s">
        <v>60</v>
      </c>
      <c r="BT4110" t="s">
        <v>54</v>
      </c>
      <c r="BU4110" t="s">
        <v>61</v>
      </c>
      <c r="BV4110" t="s">
        <v>62</v>
      </c>
      <c r="BX4110">
        <v>24</v>
      </c>
      <c r="BY4110">
        <v>0</v>
      </c>
      <c r="BZ4110">
        <v>0</v>
      </c>
    </row>
    <row r="4111" spans="1:99" x14ac:dyDescent="0.2">
      <c r="A4111" t="s">
        <v>112</v>
      </c>
      <c r="B4111" t="s">
        <v>113</v>
      </c>
      <c r="C4111" t="s">
        <v>114</v>
      </c>
      <c r="D4111" t="s">
        <v>1982</v>
      </c>
      <c r="F4111" t="str">
        <f>"250117"</f>
        <v>250117</v>
      </c>
      <c r="G4111" t="s">
        <v>49</v>
      </c>
      <c r="K4111" t="s">
        <v>51</v>
      </c>
      <c r="L4111" t="s">
        <v>52</v>
      </c>
      <c r="M4111">
        <v>137029.07</v>
      </c>
      <c r="N4111">
        <v>470871.75</v>
      </c>
      <c r="O4111" t="s">
        <v>53</v>
      </c>
      <c r="P4111" t="s">
        <v>54</v>
      </c>
      <c r="Q4111" t="s">
        <v>55</v>
      </c>
      <c r="T4111" t="s">
        <v>241</v>
      </c>
      <c r="U4111">
        <v>40</v>
      </c>
      <c r="V4111" s="1">
        <v>36342</v>
      </c>
      <c r="W4111" s="1">
        <v>36342</v>
      </c>
      <c r="X4111" s="1">
        <v>36342</v>
      </c>
      <c r="Y4111" s="1">
        <v>50952</v>
      </c>
      <c r="Z4111" t="s">
        <v>51</v>
      </c>
      <c r="AB4111" t="s">
        <v>54</v>
      </c>
      <c r="AC4111">
        <v>1</v>
      </c>
      <c r="AE4111" t="s">
        <v>222</v>
      </c>
      <c r="AF4111">
        <v>20</v>
      </c>
      <c r="AG4111" s="1">
        <v>36342</v>
      </c>
      <c r="AH4111" s="1">
        <v>36342</v>
      </c>
      <c r="AI4111" s="1">
        <v>36342</v>
      </c>
      <c r="AJ4111" s="1">
        <v>43647</v>
      </c>
      <c r="AK4111" t="s">
        <v>51</v>
      </c>
      <c r="AN4111">
        <v>0</v>
      </c>
      <c r="AO4111" t="s">
        <v>54</v>
      </c>
      <c r="AP4111" t="s">
        <v>53</v>
      </c>
      <c r="AQ4111">
        <v>0</v>
      </c>
      <c r="AR4111" t="s">
        <v>53</v>
      </c>
      <c r="AS4111">
        <v>0</v>
      </c>
      <c r="AT4111">
        <v>0</v>
      </c>
      <c r="AW4111" t="s">
        <v>58</v>
      </c>
      <c r="AX4111">
        <v>20</v>
      </c>
      <c r="AY4111" s="1">
        <v>36342</v>
      </c>
      <c r="AZ4111" s="1">
        <v>36342</v>
      </c>
      <c r="BA4111" s="1">
        <v>36342</v>
      </c>
      <c r="BB4111" s="1">
        <v>43647</v>
      </c>
      <c r="BC4111" t="s">
        <v>51</v>
      </c>
      <c r="BE4111" t="s">
        <v>54</v>
      </c>
      <c r="BF4111">
        <v>2</v>
      </c>
      <c r="BG4111">
        <v>0</v>
      </c>
      <c r="BH4111" t="s">
        <v>53</v>
      </c>
      <c r="BK4111" t="s">
        <v>59</v>
      </c>
      <c r="BL4111">
        <v>14000</v>
      </c>
      <c r="BM4111" s="1">
        <v>42917</v>
      </c>
      <c r="BN4111" s="1">
        <v>42917</v>
      </c>
      <c r="BO4111" s="1">
        <v>42917</v>
      </c>
      <c r="BP4111" s="1">
        <v>44117</v>
      </c>
      <c r="BQ4111" t="s">
        <v>51</v>
      </c>
      <c r="BS4111" t="s">
        <v>60</v>
      </c>
      <c r="BT4111" t="s">
        <v>54</v>
      </c>
      <c r="BU4111" t="s">
        <v>61</v>
      </c>
      <c r="BV4111" t="s">
        <v>62</v>
      </c>
      <c r="BX4111">
        <v>24</v>
      </c>
      <c r="BY4111">
        <v>0</v>
      </c>
      <c r="BZ4111">
        <v>0</v>
      </c>
    </row>
    <row r="4112" spans="1:99" x14ac:dyDescent="0.2">
      <c r="A4112" t="s">
        <v>112</v>
      </c>
      <c r="B4112" t="s">
        <v>113</v>
      </c>
      <c r="C4112" t="s">
        <v>114</v>
      </c>
      <c r="D4112" t="s">
        <v>1982</v>
      </c>
      <c r="F4112" t="str">
        <f>"250118"</f>
        <v>250118</v>
      </c>
      <c r="G4112" t="s">
        <v>49</v>
      </c>
      <c r="H4112">
        <v>14</v>
      </c>
      <c r="K4112" t="s">
        <v>51</v>
      </c>
      <c r="L4112" t="s">
        <v>52</v>
      </c>
      <c r="M4112">
        <v>137037.69</v>
      </c>
      <c r="N4112">
        <v>470852.86</v>
      </c>
      <c r="O4112" t="s">
        <v>53</v>
      </c>
      <c r="P4112" t="s">
        <v>54</v>
      </c>
      <c r="Q4112" t="s">
        <v>55</v>
      </c>
      <c r="T4112" t="s">
        <v>241</v>
      </c>
      <c r="U4112">
        <v>40</v>
      </c>
      <c r="V4112" s="1">
        <v>36342</v>
      </c>
      <c r="W4112" s="1">
        <v>36342</v>
      </c>
      <c r="X4112" s="1">
        <v>36342</v>
      </c>
      <c r="Y4112" s="1">
        <v>50952</v>
      </c>
      <c r="Z4112" t="s">
        <v>51</v>
      </c>
      <c r="AB4112" t="s">
        <v>54</v>
      </c>
      <c r="AC4112">
        <v>1</v>
      </c>
      <c r="AE4112" t="s">
        <v>222</v>
      </c>
      <c r="AF4112">
        <v>20</v>
      </c>
      <c r="AG4112" s="1">
        <v>36342</v>
      </c>
      <c r="AH4112" s="1">
        <v>36342</v>
      </c>
      <c r="AI4112" s="1">
        <v>36342</v>
      </c>
      <c r="AJ4112" s="1">
        <v>43647</v>
      </c>
      <c r="AK4112" t="s">
        <v>51</v>
      </c>
      <c r="AN4112">
        <v>0</v>
      </c>
      <c r="AO4112" t="s">
        <v>54</v>
      </c>
      <c r="AP4112" t="s">
        <v>53</v>
      </c>
      <c r="AQ4112">
        <v>0</v>
      </c>
      <c r="AR4112" t="s">
        <v>53</v>
      </c>
      <c r="AS4112">
        <v>0</v>
      </c>
      <c r="AT4112">
        <v>0</v>
      </c>
      <c r="AW4112" t="s">
        <v>58</v>
      </c>
      <c r="AX4112">
        <v>20</v>
      </c>
      <c r="AY4112" s="1">
        <v>36342</v>
      </c>
      <c r="AZ4112" s="1">
        <v>36342</v>
      </c>
      <c r="BA4112" s="1">
        <v>36342</v>
      </c>
      <c r="BB4112" s="1">
        <v>43647</v>
      </c>
      <c r="BC4112" t="s">
        <v>51</v>
      </c>
      <c r="BE4112" t="s">
        <v>54</v>
      </c>
      <c r="BF4112">
        <v>2</v>
      </c>
      <c r="BG4112">
        <v>0</v>
      </c>
      <c r="BH4112" t="s">
        <v>53</v>
      </c>
      <c r="BK4112" t="s">
        <v>59</v>
      </c>
      <c r="BL4112">
        <v>14000</v>
      </c>
      <c r="BM4112" s="1">
        <v>42917</v>
      </c>
      <c r="BN4112" s="1">
        <v>42917</v>
      </c>
      <c r="BO4112" s="1">
        <v>42917</v>
      </c>
      <c r="BP4112" s="1">
        <v>44117</v>
      </c>
      <c r="BQ4112" t="s">
        <v>51</v>
      </c>
      <c r="BS4112" t="s">
        <v>60</v>
      </c>
      <c r="BT4112" t="s">
        <v>54</v>
      </c>
      <c r="BU4112" t="s">
        <v>61</v>
      </c>
      <c r="BV4112" t="s">
        <v>62</v>
      </c>
      <c r="BX4112">
        <v>24</v>
      </c>
      <c r="BY4112">
        <v>0</v>
      </c>
      <c r="BZ4112">
        <v>0</v>
      </c>
    </row>
    <row r="4113" spans="1:99" x14ac:dyDescent="0.2">
      <c r="A4113" t="s">
        <v>112</v>
      </c>
      <c r="B4113" t="s">
        <v>113</v>
      </c>
      <c r="C4113" t="s">
        <v>114</v>
      </c>
      <c r="D4113" t="s">
        <v>1982</v>
      </c>
      <c r="F4113" t="str">
        <f>"250119"</f>
        <v>250119</v>
      </c>
      <c r="G4113" t="s">
        <v>49</v>
      </c>
      <c r="H4113">
        <v>11</v>
      </c>
      <c r="K4113" t="s">
        <v>51</v>
      </c>
      <c r="L4113" t="s">
        <v>52</v>
      </c>
      <c r="M4113">
        <v>137039.26999999999</v>
      </c>
      <c r="N4113">
        <v>470826.03</v>
      </c>
      <c r="O4113" t="s">
        <v>53</v>
      </c>
      <c r="P4113" t="s">
        <v>54</v>
      </c>
      <c r="Q4113" t="s">
        <v>55</v>
      </c>
      <c r="T4113" t="s">
        <v>241</v>
      </c>
      <c r="U4113">
        <v>40</v>
      </c>
      <c r="V4113" s="1">
        <v>36342</v>
      </c>
      <c r="W4113" s="1">
        <v>36342</v>
      </c>
      <c r="X4113" s="1">
        <v>36342</v>
      </c>
      <c r="Y4113" s="1">
        <v>50952</v>
      </c>
      <c r="Z4113" t="s">
        <v>51</v>
      </c>
      <c r="AB4113" t="s">
        <v>54</v>
      </c>
      <c r="AC4113">
        <v>1</v>
      </c>
      <c r="AE4113" t="s">
        <v>222</v>
      </c>
      <c r="AF4113">
        <v>20</v>
      </c>
      <c r="AG4113" s="1">
        <v>36342</v>
      </c>
      <c r="AH4113" s="1">
        <v>36342</v>
      </c>
      <c r="AI4113" s="1">
        <v>36342</v>
      </c>
      <c r="AJ4113" s="1">
        <v>43647</v>
      </c>
      <c r="AK4113" t="s">
        <v>51</v>
      </c>
      <c r="AN4113">
        <v>0</v>
      </c>
      <c r="AO4113" t="s">
        <v>54</v>
      </c>
      <c r="AP4113" t="s">
        <v>53</v>
      </c>
      <c r="AQ4113">
        <v>0</v>
      </c>
      <c r="AR4113" t="s">
        <v>53</v>
      </c>
      <c r="AS4113">
        <v>0</v>
      </c>
      <c r="AT4113">
        <v>0</v>
      </c>
      <c r="AW4113" t="s">
        <v>58</v>
      </c>
      <c r="AX4113">
        <v>20</v>
      </c>
      <c r="AY4113" s="1">
        <v>36342</v>
      </c>
      <c r="AZ4113" s="1">
        <v>36342</v>
      </c>
      <c r="BA4113" s="1">
        <v>36342</v>
      </c>
      <c r="BB4113" s="1">
        <v>43647</v>
      </c>
      <c r="BC4113" t="s">
        <v>51</v>
      </c>
      <c r="BE4113" t="s">
        <v>54</v>
      </c>
      <c r="BF4113">
        <v>2</v>
      </c>
      <c r="BG4113">
        <v>0</v>
      </c>
      <c r="BH4113" t="s">
        <v>53</v>
      </c>
      <c r="BK4113" t="s">
        <v>59</v>
      </c>
      <c r="BL4113">
        <v>14000</v>
      </c>
      <c r="BM4113" s="1">
        <v>42917</v>
      </c>
      <c r="BN4113" s="1">
        <v>42917</v>
      </c>
      <c r="BO4113" s="1">
        <v>42917</v>
      </c>
      <c r="BP4113" s="1">
        <v>44117</v>
      </c>
      <c r="BQ4113" t="s">
        <v>51</v>
      </c>
      <c r="BS4113" t="s">
        <v>60</v>
      </c>
      <c r="BT4113" t="s">
        <v>54</v>
      </c>
      <c r="BU4113" t="s">
        <v>61</v>
      </c>
      <c r="BV4113" t="s">
        <v>62</v>
      </c>
      <c r="BX4113">
        <v>24</v>
      </c>
      <c r="BY4113">
        <v>0</v>
      </c>
      <c r="BZ4113">
        <v>0</v>
      </c>
    </row>
    <row r="4114" spans="1:99" x14ac:dyDescent="0.2">
      <c r="A4114" t="s">
        <v>112</v>
      </c>
      <c r="B4114" t="s">
        <v>113</v>
      </c>
      <c r="C4114" t="s">
        <v>114</v>
      </c>
      <c r="D4114" t="s">
        <v>1982</v>
      </c>
      <c r="F4114" t="str">
        <f>"250120"</f>
        <v>250120</v>
      </c>
      <c r="G4114" t="s">
        <v>49</v>
      </c>
      <c r="H4114">
        <v>7</v>
      </c>
      <c r="K4114" t="s">
        <v>51</v>
      </c>
      <c r="L4114" t="s">
        <v>52</v>
      </c>
      <c r="M4114">
        <v>137039.72</v>
      </c>
      <c r="N4114">
        <v>470803.72</v>
      </c>
      <c r="O4114" t="s">
        <v>53</v>
      </c>
      <c r="P4114" t="s">
        <v>54</v>
      </c>
      <c r="Q4114" t="s">
        <v>55</v>
      </c>
      <c r="T4114" t="s">
        <v>241</v>
      </c>
      <c r="U4114">
        <v>40</v>
      </c>
      <c r="V4114" s="1">
        <v>36342</v>
      </c>
      <c r="W4114" s="1">
        <v>36342</v>
      </c>
      <c r="X4114" s="1">
        <v>36342</v>
      </c>
      <c r="Y4114" s="1">
        <v>50952</v>
      </c>
      <c r="Z4114" t="s">
        <v>51</v>
      </c>
      <c r="AB4114" t="s">
        <v>54</v>
      </c>
      <c r="AC4114">
        <v>1</v>
      </c>
      <c r="AE4114" t="s">
        <v>222</v>
      </c>
      <c r="AF4114">
        <v>20</v>
      </c>
      <c r="AG4114" s="1">
        <v>36342</v>
      </c>
      <c r="AH4114" s="1">
        <v>36342</v>
      </c>
      <c r="AI4114" s="1">
        <v>36342</v>
      </c>
      <c r="AJ4114" s="1">
        <v>43647</v>
      </c>
      <c r="AK4114" t="s">
        <v>51</v>
      </c>
      <c r="AN4114">
        <v>0</v>
      </c>
      <c r="AO4114" t="s">
        <v>54</v>
      </c>
      <c r="AP4114" t="s">
        <v>53</v>
      </c>
      <c r="AQ4114">
        <v>0</v>
      </c>
      <c r="AR4114" t="s">
        <v>53</v>
      </c>
      <c r="AS4114">
        <v>0</v>
      </c>
      <c r="AT4114">
        <v>0</v>
      </c>
      <c r="AW4114" t="s">
        <v>58</v>
      </c>
      <c r="AX4114">
        <v>20</v>
      </c>
      <c r="AY4114" s="1">
        <v>36342</v>
      </c>
      <c r="AZ4114" s="1">
        <v>36342</v>
      </c>
      <c r="BA4114" s="1">
        <v>36342</v>
      </c>
      <c r="BB4114" s="1">
        <v>43647</v>
      </c>
      <c r="BC4114" t="s">
        <v>51</v>
      </c>
      <c r="BE4114" t="s">
        <v>54</v>
      </c>
      <c r="BF4114">
        <v>2</v>
      </c>
      <c r="BG4114">
        <v>0</v>
      </c>
      <c r="BH4114" t="s">
        <v>53</v>
      </c>
      <c r="BK4114" t="s">
        <v>59</v>
      </c>
      <c r="BL4114">
        <v>14000</v>
      </c>
      <c r="BM4114" s="1">
        <v>42917</v>
      </c>
      <c r="BN4114" s="1">
        <v>42917</v>
      </c>
      <c r="BO4114" s="1">
        <v>42917</v>
      </c>
      <c r="BP4114" s="1">
        <v>44117</v>
      </c>
      <c r="BQ4114" t="s">
        <v>51</v>
      </c>
      <c r="BS4114" t="s">
        <v>60</v>
      </c>
      <c r="BT4114" t="s">
        <v>54</v>
      </c>
      <c r="BU4114" t="s">
        <v>61</v>
      </c>
      <c r="BV4114" t="s">
        <v>62</v>
      </c>
      <c r="BX4114">
        <v>24</v>
      </c>
      <c r="BY4114">
        <v>0</v>
      </c>
      <c r="BZ4114">
        <v>0</v>
      </c>
    </row>
    <row r="4115" spans="1:99" x14ac:dyDescent="0.2">
      <c r="A4115" t="s">
        <v>112</v>
      </c>
      <c r="B4115" t="s">
        <v>113</v>
      </c>
      <c r="C4115" t="s">
        <v>114</v>
      </c>
      <c r="D4115" t="s">
        <v>1982</v>
      </c>
      <c r="F4115" t="str">
        <f>"250121"</f>
        <v>250121</v>
      </c>
      <c r="G4115" t="s">
        <v>49</v>
      </c>
      <c r="H4115">
        <v>1</v>
      </c>
      <c r="K4115" t="s">
        <v>51</v>
      </c>
      <c r="L4115" t="s">
        <v>52</v>
      </c>
      <c r="M4115">
        <v>137040.38</v>
      </c>
      <c r="N4115">
        <v>470781.91</v>
      </c>
      <c r="O4115" t="s">
        <v>53</v>
      </c>
      <c r="P4115" t="s">
        <v>54</v>
      </c>
      <c r="Q4115" t="s">
        <v>55</v>
      </c>
      <c r="T4115" t="s">
        <v>241</v>
      </c>
      <c r="U4115">
        <v>40</v>
      </c>
      <c r="V4115" s="1">
        <v>36342</v>
      </c>
      <c r="W4115" s="1">
        <v>36342</v>
      </c>
      <c r="X4115" s="1">
        <v>36342</v>
      </c>
      <c r="Y4115" s="1">
        <v>50952</v>
      </c>
      <c r="Z4115" t="s">
        <v>51</v>
      </c>
      <c r="AB4115" t="s">
        <v>54</v>
      </c>
      <c r="AC4115">
        <v>1</v>
      </c>
      <c r="AE4115" t="s">
        <v>222</v>
      </c>
      <c r="AF4115">
        <v>20</v>
      </c>
      <c r="AG4115" s="1">
        <v>36342</v>
      </c>
      <c r="AH4115" s="1">
        <v>36342</v>
      </c>
      <c r="AI4115" s="1">
        <v>36342</v>
      </c>
      <c r="AJ4115" s="1">
        <v>43647</v>
      </c>
      <c r="AK4115" t="s">
        <v>51</v>
      </c>
      <c r="AN4115">
        <v>0</v>
      </c>
      <c r="AO4115" t="s">
        <v>54</v>
      </c>
      <c r="AP4115" t="s">
        <v>53</v>
      </c>
      <c r="AQ4115">
        <v>0</v>
      </c>
      <c r="AR4115" t="s">
        <v>53</v>
      </c>
      <c r="AS4115">
        <v>0</v>
      </c>
      <c r="AT4115">
        <v>0</v>
      </c>
      <c r="AW4115" t="s">
        <v>58</v>
      </c>
      <c r="AX4115">
        <v>20</v>
      </c>
      <c r="AY4115" s="1">
        <v>36342</v>
      </c>
      <c r="AZ4115" s="1">
        <v>36342</v>
      </c>
      <c r="BA4115" s="1">
        <v>36342</v>
      </c>
      <c r="BB4115" s="1">
        <v>43647</v>
      </c>
      <c r="BC4115" t="s">
        <v>51</v>
      </c>
      <c r="BE4115" t="s">
        <v>54</v>
      </c>
      <c r="BF4115">
        <v>2</v>
      </c>
      <c r="BG4115">
        <v>0</v>
      </c>
      <c r="BH4115" t="s">
        <v>53</v>
      </c>
      <c r="BK4115" t="s">
        <v>59</v>
      </c>
      <c r="BL4115">
        <v>14000</v>
      </c>
      <c r="BM4115" s="1">
        <v>42917</v>
      </c>
      <c r="BN4115" s="1">
        <v>42917</v>
      </c>
      <c r="BO4115" s="1">
        <v>42917</v>
      </c>
      <c r="BP4115" s="1">
        <v>44117</v>
      </c>
      <c r="BQ4115" t="s">
        <v>51</v>
      </c>
      <c r="BS4115" t="s">
        <v>60</v>
      </c>
      <c r="BT4115" t="s">
        <v>54</v>
      </c>
      <c r="BU4115" t="s">
        <v>61</v>
      </c>
      <c r="BV4115" t="s">
        <v>62</v>
      </c>
      <c r="BX4115">
        <v>24</v>
      </c>
      <c r="BY4115">
        <v>0</v>
      </c>
      <c r="BZ4115">
        <v>0</v>
      </c>
    </row>
    <row r="4116" spans="1:99" x14ac:dyDescent="0.2">
      <c r="A4116" t="s">
        <v>112</v>
      </c>
      <c r="B4116" t="s">
        <v>113</v>
      </c>
      <c r="C4116" t="s">
        <v>114</v>
      </c>
      <c r="D4116" t="s">
        <v>1982</v>
      </c>
      <c r="F4116" t="str">
        <f>"250122"</f>
        <v>250122</v>
      </c>
      <c r="G4116" t="s">
        <v>49</v>
      </c>
      <c r="K4116" t="s">
        <v>51</v>
      </c>
      <c r="L4116" t="s">
        <v>52</v>
      </c>
      <c r="M4116">
        <v>137040.44</v>
      </c>
      <c r="N4116">
        <v>470760</v>
      </c>
      <c r="O4116" t="s">
        <v>53</v>
      </c>
      <c r="P4116" t="s">
        <v>54</v>
      </c>
      <c r="Q4116" t="s">
        <v>55</v>
      </c>
      <c r="T4116" t="s">
        <v>241</v>
      </c>
      <c r="U4116">
        <v>40</v>
      </c>
      <c r="V4116" s="1">
        <v>36342</v>
      </c>
      <c r="W4116" s="1">
        <v>36342</v>
      </c>
      <c r="X4116" s="1">
        <v>36342</v>
      </c>
      <c r="Y4116" s="1">
        <v>50952</v>
      </c>
      <c r="Z4116" t="s">
        <v>51</v>
      </c>
      <c r="AB4116" t="s">
        <v>54</v>
      </c>
      <c r="AC4116">
        <v>1</v>
      </c>
      <c r="AE4116" t="s">
        <v>222</v>
      </c>
      <c r="AF4116">
        <v>20</v>
      </c>
      <c r="AG4116" s="1">
        <v>38899</v>
      </c>
      <c r="AH4116" s="1">
        <v>38899</v>
      </c>
      <c r="AI4116" s="1">
        <v>38899</v>
      </c>
      <c r="AJ4116" s="1">
        <v>46204</v>
      </c>
      <c r="AK4116" t="s">
        <v>51</v>
      </c>
      <c r="AN4116">
        <v>0</v>
      </c>
      <c r="AO4116" t="s">
        <v>54</v>
      </c>
      <c r="AP4116" t="s">
        <v>53</v>
      </c>
      <c r="AQ4116">
        <v>0</v>
      </c>
      <c r="AR4116" t="s">
        <v>53</v>
      </c>
      <c r="AS4116">
        <v>0</v>
      </c>
      <c r="AT4116">
        <v>0</v>
      </c>
      <c r="AW4116" t="s">
        <v>58</v>
      </c>
      <c r="AX4116">
        <v>20</v>
      </c>
      <c r="AY4116" s="1">
        <v>38899</v>
      </c>
      <c r="AZ4116" s="1">
        <v>38899</v>
      </c>
      <c r="BA4116" s="1">
        <v>38899</v>
      </c>
      <c r="BB4116" s="1">
        <v>46204</v>
      </c>
      <c r="BC4116" t="s">
        <v>51</v>
      </c>
      <c r="BE4116" t="s">
        <v>54</v>
      </c>
      <c r="BF4116">
        <v>2</v>
      </c>
      <c r="BG4116">
        <v>0</v>
      </c>
      <c r="BH4116" t="s">
        <v>53</v>
      </c>
      <c r="BK4116" t="s">
        <v>59</v>
      </c>
      <c r="BL4116">
        <v>14000</v>
      </c>
      <c r="BM4116" s="1">
        <v>42917</v>
      </c>
      <c r="BN4116" s="1">
        <v>42917</v>
      </c>
      <c r="BO4116" s="1">
        <v>42917</v>
      </c>
      <c r="BP4116" s="1">
        <v>44117</v>
      </c>
      <c r="BQ4116" t="s">
        <v>51</v>
      </c>
      <c r="BS4116" t="s">
        <v>60</v>
      </c>
      <c r="BT4116" t="s">
        <v>54</v>
      </c>
      <c r="BU4116" t="s">
        <v>61</v>
      </c>
      <c r="BV4116" t="s">
        <v>62</v>
      </c>
      <c r="BX4116">
        <v>24</v>
      </c>
      <c r="BY4116">
        <v>0</v>
      </c>
      <c r="BZ4116">
        <v>0</v>
      </c>
    </row>
    <row r="4117" spans="1:99" x14ac:dyDescent="0.2">
      <c r="A4117" t="s">
        <v>112</v>
      </c>
      <c r="B4117" t="s">
        <v>113</v>
      </c>
      <c r="C4117" t="s">
        <v>114</v>
      </c>
      <c r="D4117" t="s">
        <v>1984</v>
      </c>
      <c r="F4117" t="str">
        <f>"250123"</f>
        <v>250123</v>
      </c>
      <c r="G4117" t="s">
        <v>49</v>
      </c>
      <c r="H4117" t="s">
        <v>233</v>
      </c>
      <c r="K4117" t="s">
        <v>51</v>
      </c>
      <c r="L4117" t="s">
        <v>52</v>
      </c>
      <c r="M4117">
        <v>137108.39000000001</v>
      </c>
      <c r="N4117">
        <v>470765.63</v>
      </c>
      <c r="O4117" t="s">
        <v>53</v>
      </c>
      <c r="P4117" t="s">
        <v>54</v>
      </c>
      <c r="Q4117" t="s">
        <v>55</v>
      </c>
      <c r="T4117" t="s">
        <v>241</v>
      </c>
      <c r="U4117">
        <v>40</v>
      </c>
      <c r="V4117" s="1">
        <v>36342</v>
      </c>
      <c r="W4117" s="1">
        <v>36342</v>
      </c>
      <c r="X4117" s="1">
        <v>36342</v>
      </c>
      <c r="Y4117" s="1">
        <v>50952</v>
      </c>
      <c r="Z4117" t="s">
        <v>51</v>
      </c>
      <c r="AB4117" t="s">
        <v>54</v>
      </c>
      <c r="AC4117">
        <v>1</v>
      </c>
      <c r="AE4117" t="s">
        <v>222</v>
      </c>
      <c r="AF4117">
        <v>20</v>
      </c>
      <c r="AG4117" s="1">
        <v>36342</v>
      </c>
      <c r="AH4117" s="1">
        <v>36342</v>
      </c>
      <c r="AI4117" s="1">
        <v>36342</v>
      </c>
      <c r="AJ4117" s="1">
        <v>43647</v>
      </c>
      <c r="AK4117" t="s">
        <v>51</v>
      </c>
      <c r="AN4117">
        <v>0</v>
      </c>
      <c r="AO4117" t="s">
        <v>54</v>
      </c>
      <c r="AP4117" t="s">
        <v>53</v>
      </c>
      <c r="AQ4117">
        <v>0</v>
      </c>
      <c r="AR4117" t="s">
        <v>53</v>
      </c>
      <c r="AS4117">
        <v>0</v>
      </c>
      <c r="AT4117">
        <v>0</v>
      </c>
      <c r="AW4117" t="s">
        <v>58</v>
      </c>
      <c r="AX4117">
        <v>20</v>
      </c>
      <c r="AY4117" s="1">
        <v>36342</v>
      </c>
      <c r="AZ4117" s="1">
        <v>36342</v>
      </c>
      <c r="BA4117" s="1">
        <v>36342</v>
      </c>
      <c r="BB4117" s="1">
        <v>43647</v>
      </c>
      <c r="BC4117" t="s">
        <v>51</v>
      </c>
      <c r="BE4117" t="s">
        <v>54</v>
      </c>
      <c r="BF4117">
        <v>2</v>
      </c>
      <c r="BG4117">
        <v>0</v>
      </c>
      <c r="BH4117" t="s">
        <v>53</v>
      </c>
      <c r="BK4117" t="s">
        <v>59</v>
      </c>
      <c r="BL4117">
        <v>14000</v>
      </c>
      <c r="BM4117" s="1">
        <v>42917</v>
      </c>
      <c r="BN4117" s="1">
        <v>42917</v>
      </c>
      <c r="BO4117" s="1">
        <v>42917</v>
      </c>
      <c r="BP4117" s="1">
        <v>44117</v>
      </c>
      <c r="BQ4117" t="s">
        <v>51</v>
      </c>
      <c r="BS4117" t="s">
        <v>60</v>
      </c>
      <c r="BT4117" t="s">
        <v>54</v>
      </c>
      <c r="BU4117" t="s">
        <v>61</v>
      </c>
      <c r="BV4117" t="s">
        <v>62</v>
      </c>
      <c r="BX4117">
        <v>24</v>
      </c>
      <c r="BY4117">
        <v>0</v>
      </c>
      <c r="BZ4117">
        <v>0</v>
      </c>
    </row>
    <row r="4118" spans="1:99" x14ac:dyDescent="0.2">
      <c r="A4118" t="s">
        <v>112</v>
      </c>
      <c r="B4118" t="s">
        <v>113</v>
      </c>
      <c r="C4118" t="s">
        <v>114</v>
      </c>
      <c r="D4118" t="s">
        <v>1984</v>
      </c>
      <c r="F4118" t="str">
        <f>"250124"</f>
        <v>250124</v>
      </c>
      <c r="G4118" t="s">
        <v>49</v>
      </c>
      <c r="K4118" t="s">
        <v>51</v>
      </c>
      <c r="L4118" t="s">
        <v>52</v>
      </c>
      <c r="M4118">
        <v>137107.69</v>
      </c>
      <c r="N4118">
        <v>470788.82</v>
      </c>
      <c r="O4118" t="s">
        <v>53</v>
      </c>
      <c r="P4118" t="s">
        <v>54</v>
      </c>
      <c r="Q4118" t="s">
        <v>55</v>
      </c>
      <c r="T4118" t="s">
        <v>241</v>
      </c>
      <c r="U4118">
        <v>40</v>
      </c>
      <c r="V4118" s="1">
        <v>36342</v>
      </c>
      <c r="W4118" s="1">
        <v>36342</v>
      </c>
      <c r="X4118" s="1">
        <v>36342</v>
      </c>
      <c r="Y4118" s="1">
        <v>50952</v>
      </c>
      <c r="Z4118" t="s">
        <v>51</v>
      </c>
      <c r="AB4118" t="s">
        <v>54</v>
      </c>
      <c r="AC4118">
        <v>1</v>
      </c>
      <c r="AE4118" t="s">
        <v>222</v>
      </c>
      <c r="AF4118">
        <v>20</v>
      </c>
      <c r="AG4118" s="1">
        <v>36342</v>
      </c>
      <c r="AH4118" s="1">
        <v>36342</v>
      </c>
      <c r="AI4118" s="1">
        <v>36342</v>
      </c>
      <c r="AJ4118" s="1">
        <v>43647</v>
      </c>
      <c r="AK4118" t="s">
        <v>51</v>
      </c>
      <c r="AN4118">
        <v>0</v>
      </c>
      <c r="AO4118" t="s">
        <v>54</v>
      </c>
      <c r="AP4118" t="s">
        <v>53</v>
      </c>
      <c r="AQ4118">
        <v>0</v>
      </c>
      <c r="AR4118" t="s">
        <v>53</v>
      </c>
      <c r="AS4118">
        <v>0</v>
      </c>
      <c r="AT4118">
        <v>0</v>
      </c>
      <c r="AW4118" t="s">
        <v>58</v>
      </c>
      <c r="AX4118">
        <v>20</v>
      </c>
      <c r="AY4118" s="1">
        <v>36342</v>
      </c>
      <c r="AZ4118" s="1">
        <v>36342</v>
      </c>
      <c r="BA4118" s="1">
        <v>36342</v>
      </c>
      <c r="BB4118" s="1">
        <v>43647</v>
      </c>
      <c r="BC4118" t="s">
        <v>51</v>
      </c>
      <c r="BE4118" t="s">
        <v>54</v>
      </c>
      <c r="BF4118">
        <v>2</v>
      </c>
      <c r="BG4118">
        <v>0</v>
      </c>
      <c r="BH4118" t="s">
        <v>53</v>
      </c>
      <c r="BK4118" t="s">
        <v>59</v>
      </c>
      <c r="BL4118">
        <v>14000</v>
      </c>
      <c r="BM4118" s="1">
        <v>42917</v>
      </c>
      <c r="BN4118" s="1">
        <v>42917</v>
      </c>
      <c r="BO4118" s="1">
        <v>42917</v>
      </c>
      <c r="BP4118" s="1">
        <v>44117</v>
      </c>
      <c r="BQ4118" t="s">
        <v>51</v>
      </c>
      <c r="BS4118" t="s">
        <v>60</v>
      </c>
      <c r="BT4118" t="s">
        <v>54</v>
      </c>
      <c r="BU4118" t="s">
        <v>61</v>
      </c>
      <c r="BV4118" t="s">
        <v>62</v>
      </c>
      <c r="BX4118">
        <v>24</v>
      </c>
      <c r="BY4118">
        <v>0</v>
      </c>
      <c r="BZ4118">
        <v>0</v>
      </c>
    </row>
    <row r="4119" spans="1:99" x14ac:dyDescent="0.2">
      <c r="A4119" t="s">
        <v>112</v>
      </c>
      <c r="B4119" t="s">
        <v>113</v>
      </c>
      <c r="C4119" t="s">
        <v>114</v>
      </c>
      <c r="D4119" t="s">
        <v>1984</v>
      </c>
      <c r="F4119" t="str">
        <f>"250125"</f>
        <v>250125</v>
      </c>
      <c r="G4119" t="s">
        <v>49</v>
      </c>
      <c r="H4119" t="s">
        <v>273</v>
      </c>
      <c r="K4119" t="s">
        <v>51</v>
      </c>
      <c r="L4119" t="s">
        <v>52</v>
      </c>
      <c r="M4119">
        <v>137107.46</v>
      </c>
      <c r="N4119">
        <v>470811.28</v>
      </c>
      <c r="O4119" t="s">
        <v>53</v>
      </c>
      <c r="P4119" t="s">
        <v>54</v>
      </c>
      <c r="Q4119" t="s">
        <v>55</v>
      </c>
      <c r="T4119" t="s">
        <v>241</v>
      </c>
      <c r="U4119">
        <v>40</v>
      </c>
      <c r="V4119" s="1">
        <v>36342</v>
      </c>
      <c r="W4119" s="1">
        <v>36342</v>
      </c>
      <c r="X4119" s="1">
        <v>36342</v>
      </c>
      <c r="Y4119" s="1">
        <v>50952</v>
      </c>
      <c r="Z4119" t="s">
        <v>51</v>
      </c>
      <c r="AB4119" t="s">
        <v>54</v>
      </c>
      <c r="AC4119">
        <v>1</v>
      </c>
      <c r="AE4119" t="s">
        <v>222</v>
      </c>
      <c r="AF4119">
        <v>20</v>
      </c>
      <c r="AG4119" s="1">
        <v>36342</v>
      </c>
      <c r="AH4119" s="1">
        <v>36342</v>
      </c>
      <c r="AI4119" s="1">
        <v>36342</v>
      </c>
      <c r="AJ4119" s="1">
        <v>43647</v>
      </c>
      <c r="AK4119" t="s">
        <v>51</v>
      </c>
      <c r="AN4119">
        <v>0</v>
      </c>
      <c r="AO4119" t="s">
        <v>54</v>
      </c>
      <c r="AP4119" t="s">
        <v>53</v>
      </c>
      <c r="AQ4119">
        <v>0</v>
      </c>
      <c r="AR4119" t="s">
        <v>53</v>
      </c>
      <c r="AS4119">
        <v>0</v>
      </c>
      <c r="AT4119">
        <v>0</v>
      </c>
      <c r="AW4119" t="s">
        <v>58</v>
      </c>
      <c r="AX4119">
        <v>20</v>
      </c>
      <c r="AY4119" s="1">
        <v>36342</v>
      </c>
      <c r="AZ4119" s="1">
        <v>36342</v>
      </c>
      <c r="BA4119" s="1">
        <v>36342</v>
      </c>
      <c r="BB4119" s="1">
        <v>43647</v>
      </c>
      <c r="BC4119" t="s">
        <v>51</v>
      </c>
      <c r="BE4119" t="s">
        <v>54</v>
      </c>
      <c r="BF4119">
        <v>2</v>
      </c>
      <c r="BG4119">
        <v>0</v>
      </c>
      <c r="BH4119" t="s">
        <v>53</v>
      </c>
      <c r="BK4119" t="s">
        <v>59</v>
      </c>
      <c r="BL4119">
        <v>14000</v>
      </c>
      <c r="BM4119" s="1">
        <v>42917</v>
      </c>
      <c r="BN4119" s="1">
        <v>42917</v>
      </c>
      <c r="BO4119" s="1">
        <v>42917</v>
      </c>
      <c r="BP4119" s="1">
        <v>44117</v>
      </c>
      <c r="BQ4119" t="s">
        <v>51</v>
      </c>
      <c r="BS4119" t="s">
        <v>60</v>
      </c>
      <c r="BT4119" t="s">
        <v>54</v>
      </c>
      <c r="BU4119" t="s">
        <v>61</v>
      </c>
      <c r="BV4119" t="s">
        <v>62</v>
      </c>
      <c r="BX4119">
        <v>24</v>
      </c>
      <c r="BY4119">
        <v>0</v>
      </c>
      <c r="BZ4119">
        <v>0</v>
      </c>
    </row>
    <row r="4120" spans="1:99" x14ac:dyDescent="0.2">
      <c r="A4120" t="s">
        <v>112</v>
      </c>
      <c r="B4120" t="s">
        <v>113</v>
      </c>
      <c r="C4120" t="s">
        <v>114</v>
      </c>
      <c r="D4120" t="s">
        <v>1984</v>
      </c>
      <c r="F4120" t="str">
        <f>"250126"</f>
        <v>250126</v>
      </c>
      <c r="G4120" t="s">
        <v>49</v>
      </c>
      <c r="H4120">
        <v>11</v>
      </c>
      <c r="K4120" t="s">
        <v>51</v>
      </c>
      <c r="L4120" t="s">
        <v>52</v>
      </c>
      <c r="M4120">
        <v>137107.01999999999</v>
      </c>
      <c r="N4120">
        <v>470833.66</v>
      </c>
      <c r="O4120" t="s">
        <v>53</v>
      </c>
      <c r="P4120" t="s">
        <v>54</v>
      </c>
      <c r="Q4120" t="s">
        <v>55</v>
      </c>
      <c r="T4120" t="s">
        <v>241</v>
      </c>
      <c r="U4120">
        <v>40</v>
      </c>
      <c r="V4120" s="1">
        <v>36342</v>
      </c>
      <c r="W4120" s="1">
        <v>36342</v>
      </c>
      <c r="X4120" s="1">
        <v>36342</v>
      </c>
      <c r="Y4120" s="1">
        <v>50952</v>
      </c>
      <c r="Z4120" t="s">
        <v>51</v>
      </c>
      <c r="AB4120" t="s">
        <v>54</v>
      </c>
      <c r="AC4120">
        <v>1</v>
      </c>
      <c r="AE4120" t="s">
        <v>222</v>
      </c>
      <c r="AF4120">
        <v>20</v>
      </c>
      <c r="AG4120" s="1">
        <v>36342</v>
      </c>
      <c r="AH4120" s="1">
        <v>36342</v>
      </c>
      <c r="AI4120" s="1">
        <v>36342</v>
      </c>
      <c r="AJ4120" s="1">
        <v>43647</v>
      </c>
      <c r="AK4120" t="s">
        <v>51</v>
      </c>
      <c r="AN4120">
        <v>0</v>
      </c>
      <c r="AO4120" t="s">
        <v>54</v>
      </c>
      <c r="AP4120" t="s">
        <v>53</v>
      </c>
      <c r="AQ4120">
        <v>0</v>
      </c>
      <c r="AR4120" t="s">
        <v>53</v>
      </c>
      <c r="AS4120">
        <v>0</v>
      </c>
      <c r="AT4120">
        <v>0</v>
      </c>
      <c r="AW4120" t="s">
        <v>58</v>
      </c>
      <c r="AX4120">
        <v>20</v>
      </c>
      <c r="AY4120" s="1">
        <v>36342</v>
      </c>
      <c r="AZ4120" s="1">
        <v>36342</v>
      </c>
      <c r="BA4120" s="1">
        <v>36342</v>
      </c>
      <c r="BB4120" s="1">
        <v>43647</v>
      </c>
      <c r="BC4120" t="s">
        <v>51</v>
      </c>
      <c r="BE4120" t="s">
        <v>54</v>
      </c>
      <c r="BF4120">
        <v>2</v>
      </c>
      <c r="BG4120">
        <v>0</v>
      </c>
      <c r="BH4120" t="s">
        <v>53</v>
      </c>
      <c r="BK4120" t="s">
        <v>59</v>
      </c>
      <c r="BL4120">
        <v>14000</v>
      </c>
      <c r="BM4120" s="1">
        <v>42917</v>
      </c>
      <c r="BN4120" s="1">
        <v>42917</v>
      </c>
      <c r="BO4120" s="1">
        <v>42917</v>
      </c>
      <c r="BP4120" s="1">
        <v>44117</v>
      </c>
      <c r="BQ4120" t="s">
        <v>51</v>
      </c>
      <c r="BS4120" t="s">
        <v>60</v>
      </c>
      <c r="BT4120" t="s">
        <v>54</v>
      </c>
      <c r="BU4120" t="s">
        <v>61</v>
      </c>
      <c r="BV4120" t="s">
        <v>62</v>
      </c>
      <c r="BX4120">
        <v>24</v>
      </c>
      <c r="BY4120">
        <v>0</v>
      </c>
      <c r="BZ4120">
        <v>0</v>
      </c>
    </row>
    <row r="4121" spans="1:99" x14ac:dyDescent="0.2">
      <c r="A4121" t="s">
        <v>112</v>
      </c>
      <c r="B4121" t="s">
        <v>113</v>
      </c>
      <c r="C4121" t="s">
        <v>114</v>
      </c>
      <c r="D4121" t="s">
        <v>1984</v>
      </c>
      <c r="F4121" t="str">
        <f>"250127"</f>
        <v>250127</v>
      </c>
      <c r="G4121" t="s">
        <v>49</v>
      </c>
      <c r="H4121" t="s">
        <v>230</v>
      </c>
      <c r="K4121" t="s">
        <v>51</v>
      </c>
      <c r="L4121" t="s">
        <v>52</v>
      </c>
      <c r="M4121">
        <v>137106.59</v>
      </c>
      <c r="N4121">
        <v>470856.11</v>
      </c>
      <c r="O4121" t="s">
        <v>53</v>
      </c>
      <c r="P4121" t="s">
        <v>54</v>
      </c>
      <c r="Q4121" t="s">
        <v>55</v>
      </c>
      <c r="T4121" t="s">
        <v>241</v>
      </c>
      <c r="U4121">
        <v>40</v>
      </c>
      <c r="V4121" s="1">
        <v>36342</v>
      </c>
      <c r="W4121" s="1">
        <v>36342</v>
      </c>
      <c r="X4121" s="1">
        <v>36342</v>
      </c>
      <c r="Y4121" s="1">
        <v>50952</v>
      </c>
      <c r="Z4121" t="s">
        <v>51</v>
      </c>
      <c r="AB4121" t="s">
        <v>54</v>
      </c>
      <c r="AC4121">
        <v>1</v>
      </c>
      <c r="AE4121" t="s">
        <v>222</v>
      </c>
      <c r="AF4121">
        <v>20</v>
      </c>
      <c r="AG4121" s="1">
        <v>36342</v>
      </c>
      <c r="AH4121" s="1">
        <v>36342</v>
      </c>
      <c r="AI4121" s="1">
        <v>36342</v>
      </c>
      <c r="AJ4121" s="1">
        <v>43647</v>
      </c>
      <c r="AK4121" t="s">
        <v>51</v>
      </c>
      <c r="AN4121">
        <v>0</v>
      </c>
      <c r="AO4121" t="s">
        <v>54</v>
      </c>
      <c r="AP4121" t="s">
        <v>53</v>
      </c>
      <c r="AQ4121">
        <v>0</v>
      </c>
      <c r="AR4121" t="s">
        <v>53</v>
      </c>
      <c r="AS4121">
        <v>0</v>
      </c>
      <c r="AT4121">
        <v>0</v>
      </c>
      <c r="AW4121" t="s">
        <v>58</v>
      </c>
      <c r="AX4121">
        <v>20</v>
      </c>
      <c r="AY4121" s="1">
        <v>36342</v>
      </c>
      <c r="AZ4121" s="1">
        <v>36342</v>
      </c>
      <c r="BA4121" s="1">
        <v>36342</v>
      </c>
      <c r="BB4121" s="1">
        <v>43647</v>
      </c>
      <c r="BC4121" t="s">
        <v>51</v>
      </c>
      <c r="BE4121" t="s">
        <v>54</v>
      </c>
      <c r="BF4121">
        <v>2</v>
      </c>
      <c r="BG4121">
        <v>0</v>
      </c>
      <c r="BH4121" t="s">
        <v>53</v>
      </c>
      <c r="BK4121" t="s">
        <v>59</v>
      </c>
      <c r="BL4121">
        <v>14000</v>
      </c>
      <c r="BM4121" s="1">
        <v>42917</v>
      </c>
      <c r="BN4121" s="1">
        <v>42917</v>
      </c>
      <c r="BO4121" s="1">
        <v>42917</v>
      </c>
      <c r="BP4121" s="1">
        <v>44117</v>
      </c>
      <c r="BQ4121" t="s">
        <v>51</v>
      </c>
      <c r="BS4121" t="s">
        <v>60</v>
      </c>
      <c r="BT4121" t="s">
        <v>54</v>
      </c>
      <c r="BU4121" t="s">
        <v>61</v>
      </c>
      <c r="BV4121" t="s">
        <v>62</v>
      </c>
      <c r="BX4121">
        <v>24</v>
      </c>
      <c r="BY4121">
        <v>0</v>
      </c>
      <c r="BZ4121">
        <v>0</v>
      </c>
    </row>
    <row r="4122" spans="1:99" x14ac:dyDescent="0.2">
      <c r="A4122" t="s">
        <v>112</v>
      </c>
      <c r="B4122" t="s">
        <v>113</v>
      </c>
      <c r="C4122" t="s">
        <v>114</v>
      </c>
      <c r="D4122" t="s">
        <v>1984</v>
      </c>
      <c r="F4122" t="str">
        <f>"250128"</f>
        <v>250128</v>
      </c>
      <c r="G4122" t="s">
        <v>49</v>
      </c>
      <c r="H4122" t="s">
        <v>223</v>
      </c>
      <c r="K4122" t="s">
        <v>51</v>
      </c>
      <c r="L4122" t="s">
        <v>52</v>
      </c>
      <c r="M4122">
        <v>137108.96</v>
      </c>
      <c r="N4122">
        <v>470881</v>
      </c>
      <c r="O4122" t="s">
        <v>53</v>
      </c>
      <c r="P4122" t="s">
        <v>54</v>
      </c>
      <c r="Q4122" t="s">
        <v>55</v>
      </c>
      <c r="T4122" t="s">
        <v>241</v>
      </c>
      <c r="U4122">
        <v>40</v>
      </c>
      <c r="V4122" s="1">
        <v>36342</v>
      </c>
      <c r="W4122" s="1">
        <v>36342</v>
      </c>
      <c r="X4122" s="1">
        <v>36342</v>
      </c>
      <c r="Y4122" s="1">
        <v>50952</v>
      </c>
      <c r="Z4122" t="s">
        <v>51</v>
      </c>
      <c r="AB4122" t="s">
        <v>54</v>
      </c>
      <c r="AC4122">
        <v>1</v>
      </c>
      <c r="AE4122" t="s">
        <v>222</v>
      </c>
      <c r="AF4122">
        <v>20</v>
      </c>
      <c r="AG4122" s="1">
        <v>36342</v>
      </c>
      <c r="AH4122" s="1">
        <v>36342</v>
      </c>
      <c r="AI4122" s="1">
        <v>36342</v>
      </c>
      <c r="AJ4122" s="1">
        <v>43647</v>
      </c>
      <c r="AK4122" t="s">
        <v>51</v>
      </c>
      <c r="AN4122">
        <v>0</v>
      </c>
      <c r="AO4122" t="s">
        <v>54</v>
      </c>
      <c r="AP4122" t="s">
        <v>53</v>
      </c>
      <c r="AQ4122">
        <v>0</v>
      </c>
      <c r="AR4122" t="s">
        <v>53</v>
      </c>
      <c r="AS4122">
        <v>0</v>
      </c>
      <c r="AT4122">
        <v>0</v>
      </c>
      <c r="AW4122" t="s">
        <v>58</v>
      </c>
      <c r="AX4122">
        <v>20</v>
      </c>
      <c r="AY4122" s="1">
        <v>36342</v>
      </c>
      <c r="AZ4122" s="1">
        <v>36342</v>
      </c>
      <c r="BA4122" s="1">
        <v>36342</v>
      </c>
      <c r="BB4122" s="1">
        <v>43647</v>
      </c>
      <c r="BC4122" t="s">
        <v>51</v>
      </c>
      <c r="BE4122" t="s">
        <v>54</v>
      </c>
      <c r="BF4122">
        <v>2</v>
      </c>
      <c r="BG4122">
        <v>0</v>
      </c>
      <c r="BH4122" t="s">
        <v>53</v>
      </c>
      <c r="BK4122" t="s">
        <v>59</v>
      </c>
      <c r="BL4122">
        <v>14000</v>
      </c>
      <c r="BM4122" s="1">
        <v>42917</v>
      </c>
      <c r="BN4122" s="1">
        <v>42917</v>
      </c>
      <c r="BO4122" s="1">
        <v>42917</v>
      </c>
      <c r="BP4122" s="1">
        <v>44117</v>
      </c>
      <c r="BQ4122" t="s">
        <v>51</v>
      </c>
      <c r="BS4122" t="s">
        <v>60</v>
      </c>
      <c r="BT4122" t="s">
        <v>54</v>
      </c>
      <c r="BU4122" t="s">
        <v>61</v>
      </c>
      <c r="BV4122" t="s">
        <v>62</v>
      </c>
      <c r="BX4122">
        <v>24</v>
      </c>
      <c r="BY4122">
        <v>0</v>
      </c>
      <c r="BZ4122">
        <v>0</v>
      </c>
    </row>
    <row r="4123" spans="1:99" x14ac:dyDescent="0.2">
      <c r="A4123" t="s">
        <v>112</v>
      </c>
      <c r="B4123" t="s">
        <v>113</v>
      </c>
      <c r="C4123" t="s">
        <v>114</v>
      </c>
      <c r="D4123" t="s">
        <v>1984</v>
      </c>
      <c r="F4123" t="str">
        <f>"250129"</f>
        <v>250129</v>
      </c>
      <c r="G4123" t="s">
        <v>49</v>
      </c>
      <c r="H4123" t="s">
        <v>593</v>
      </c>
      <c r="K4123" t="s">
        <v>51</v>
      </c>
      <c r="L4123" t="s">
        <v>52</v>
      </c>
      <c r="M4123">
        <v>137091.351</v>
      </c>
      <c r="N4123">
        <v>470897.99699999997</v>
      </c>
      <c r="O4123" t="s">
        <v>53</v>
      </c>
      <c r="P4123" t="s">
        <v>54</v>
      </c>
      <c r="Q4123" t="s">
        <v>55</v>
      </c>
      <c r="T4123" t="s">
        <v>241</v>
      </c>
      <c r="U4123">
        <v>40</v>
      </c>
      <c r="V4123" s="1">
        <v>36342</v>
      </c>
      <c r="W4123" s="1">
        <v>36342</v>
      </c>
      <c r="X4123" s="1">
        <v>36342</v>
      </c>
      <c r="Y4123" s="1">
        <v>50952</v>
      </c>
      <c r="Z4123" t="s">
        <v>51</v>
      </c>
      <c r="AB4123" t="s">
        <v>54</v>
      </c>
      <c r="AC4123">
        <v>1</v>
      </c>
      <c r="AE4123" t="s">
        <v>222</v>
      </c>
      <c r="AF4123">
        <v>20</v>
      </c>
      <c r="AG4123" s="1">
        <v>36342</v>
      </c>
      <c r="AH4123" s="1">
        <v>36342</v>
      </c>
      <c r="AI4123" s="1">
        <v>36342</v>
      </c>
      <c r="AJ4123" s="1">
        <v>43647</v>
      </c>
      <c r="AK4123" t="s">
        <v>51</v>
      </c>
      <c r="AN4123">
        <v>0</v>
      </c>
      <c r="AO4123" t="s">
        <v>54</v>
      </c>
      <c r="AP4123" t="s">
        <v>53</v>
      </c>
      <c r="AQ4123">
        <v>0</v>
      </c>
      <c r="AR4123" t="s">
        <v>53</v>
      </c>
      <c r="AS4123">
        <v>0</v>
      </c>
      <c r="AT4123">
        <v>0</v>
      </c>
      <c r="AW4123" t="s">
        <v>58</v>
      </c>
      <c r="AX4123">
        <v>20</v>
      </c>
      <c r="AY4123" s="1">
        <v>36342</v>
      </c>
      <c r="AZ4123" s="1">
        <v>36342</v>
      </c>
      <c r="BA4123" s="1">
        <v>36342</v>
      </c>
      <c r="BB4123" s="1">
        <v>43647</v>
      </c>
      <c r="BC4123" t="s">
        <v>51</v>
      </c>
      <c r="BE4123" t="s">
        <v>54</v>
      </c>
      <c r="BF4123">
        <v>2</v>
      </c>
      <c r="BG4123">
        <v>0</v>
      </c>
      <c r="BH4123" t="s">
        <v>53</v>
      </c>
      <c r="BK4123" t="s">
        <v>59</v>
      </c>
      <c r="BL4123">
        <v>14000</v>
      </c>
      <c r="BM4123" s="1">
        <v>42917</v>
      </c>
      <c r="BN4123" s="1">
        <v>42917</v>
      </c>
      <c r="BO4123" s="1">
        <v>42917</v>
      </c>
      <c r="BP4123" s="1">
        <v>44117</v>
      </c>
      <c r="BQ4123" t="s">
        <v>51</v>
      </c>
      <c r="BS4123" t="s">
        <v>60</v>
      </c>
      <c r="BT4123" t="s">
        <v>54</v>
      </c>
      <c r="BU4123" t="s">
        <v>61</v>
      </c>
      <c r="BV4123" t="s">
        <v>62</v>
      </c>
      <c r="BX4123">
        <v>24</v>
      </c>
      <c r="BY4123">
        <v>0</v>
      </c>
      <c r="BZ4123">
        <v>0</v>
      </c>
    </row>
    <row r="4124" spans="1:99" x14ac:dyDescent="0.2">
      <c r="A4124" t="s">
        <v>112</v>
      </c>
      <c r="B4124" t="s">
        <v>113</v>
      </c>
      <c r="C4124" t="s">
        <v>114</v>
      </c>
      <c r="D4124" t="s">
        <v>1984</v>
      </c>
      <c r="F4124" t="str">
        <f>"250130"</f>
        <v>250130</v>
      </c>
      <c r="G4124" t="s">
        <v>49</v>
      </c>
      <c r="H4124" t="s">
        <v>255</v>
      </c>
      <c r="K4124" t="s">
        <v>51</v>
      </c>
      <c r="L4124" t="s">
        <v>52</v>
      </c>
      <c r="M4124">
        <v>137068.85</v>
      </c>
      <c r="N4124">
        <v>470892.91</v>
      </c>
      <c r="O4124" t="s">
        <v>53</v>
      </c>
      <c r="P4124" t="s">
        <v>54</v>
      </c>
      <c r="Q4124" t="s">
        <v>55</v>
      </c>
      <c r="T4124" t="s">
        <v>241</v>
      </c>
      <c r="U4124">
        <v>40</v>
      </c>
      <c r="V4124" s="1">
        <v>36342</v>
      </c>
      <c r="W4124" s="1">
        <v>36342</v>
      </c>
      <c r="X4124" s="1">
        <v>36342</v>
      </c>
      <c r="Y4124" s="1">
        <v>50952</v>
      </c>
      <c r="Z4124" t="s">
        <v>51</v>
      </c>
      <c r="AB4124" t="s">
        <v>54</v>
      </c>
      <c r="AC4124">
        <v>1</v>
      </c>
      <c r="AE4124" t="s">
        <v>222</v>
      </c>
      <c r="AF4124">
        <v>20</v>
      </c>
      <c r="AG4124" s="1">
        <v>36342</v>
      </c>
      <c r="AH4124" s="1">
        <v>36342</v>
      </c>
      <c r="AI4124" s="1">
        <v>36342</v>
      </c>
      <c r="AJ4124" s="1">
        <v>43647</v>
      </c>
      <c r="AK4124" t="s">
        <v>51</v>
      </c>
      <c r="AN4124">
        <v>0</v>
      </c>
      <c r="AO4124" t="s">
        <v>54</v>
      </c>
      <c r="AP4124" t="s">
        <v>53</v>
      </c>
      <c r="AQ4124">
        <v>0</v>
      </c>
      <c r="AR4124" t="s">
        <v>53</v>
      </c>
      <c r="AS4124">
        <v>0</v>
      </c>
      <c r="AT4124">
        <v>0</v>
      </c>
      <c r="AW4124" t="s">
        <v>58</v>
      </c>
      <c r="AX4124">
        <v>20</v>
      </c>
      <c r="AY4124" s="1">
        <v>36342</v>
      </c>
      <c r="AZ4124" s="1">
        <v>36342</v>
      </c>
      <c r="BA4124" s="1">
        <v>36342</v>
      </c>
      <c r="BB4124" s="1">
        <v>43647</v>
      </c>
      <c r="BC4124" t="s">
        <v>51</v>
      </c>
      <c r="BE4124" t="s">
        <v>54</v>
      </c>
      <c r="BF4124">
        <v>2</v>
      </c>
      <c r="BG4124">
        <v>0</v>
      </c>
      <c r="BH4124" t="s">
        <v>53</v>
      </c>
      <c r="BK4124" t="s">
        <v>59</v>
      </c>
      <c r="BL4124">
        <v>14000</v>
      </c>
      <c r="BM4124" s="1">
        <v>42917</v>
      </c>
      <c r="BN4124" s="1">
        <v>42917</v>
      </c>
      <c r="BO4124" s="1">
        <v>42917</v>
      </c>
      <c r="BP4124" s="1">
        <v>44117</v>
      </c>
      <c r="BQ4124" t="s">
        <v>51</v>
      </c>
      <c r="BS4124" t="s">
        <v>60</v>
      </c>
      <c r="BT4124" t="s">
        <v>54</v>
      </c>
      <c r="BU4124" t="s">
        <v>61</v>
      </c>
      <c r="BV4124" t="s">
        <v>62</v>
      </c>
      <c r="BX4124">
        <v>24</v>
      </c>
      <c r="BY4124">
        <v>0</v>
      </c>
      <c r="BZ4124">
        <v>0</v>
      </c>
    </row>
    <row r="4125" spans="1:99" x14ac:dyDescent="0.2">
      <c r="A4125" t="s">
        <v>112</v>
      </c>
      <c r="B4125" t="s">
        <v>113</v>
      </c>
      <c r="C4125" t="s">
        <v>114</v>
      </c>
      <c r="D4125" t="s">
        <v>1984</v>
      </c>
      <c r="F4125" t="str">
        <f>"250131"</f>
        <v>250131</v>
      </c>
      <c r="G4125" t="s">
        <v>49</v>
      </c>
      <c r="H4125">
        <v>25</v>
      </c>
      <c r="K4125" t="s">
        <v>51</v>
      </c>
      <c r="L4125" t="s">
        <v>52</v>
      </c>
      <c r="M4125">
        <v>137042.46</v>
      </c>
      <c r="N4125">
        <v>470892.49</v>
      </c>
      <c r="O4125" t="s">
        <v>53</v>
      </c>
      <c r="P4125" t="s">
        <v>54</v>
      </c>
      <c r="Q4125" t="s">
        <v>55</v>
      </c>
      <c r="T4125" t="s">
        <v>241</v>
      </c>
      <c r="U4125">
        <v>40</v>
      </c>
      <c r="V4125" s="1">
        <v>36342</v>
      </c>
      <c r="W4125" s="1">
        <v>36342</v>
      </c>
      <c r="X4125" s="1">
        <v>36342</v>
      </c>
      <c r="Y4125" s="1">
        <v>50952</v>
      </c>
      <c r="Z4125" t="s">
        <v>51</v>
      </c>
      <c r="AB4125" t="s">
        <v>54</v>
      </c>
      <c r="AC4125">
        <v>1</v>
      </c>
      <c r="AE4125" t="s">
        <v>222</v>
      </c>
      <c r="AF4125">
        <v>20</v>
      </c>
      <c r="AG4125" s="1">
        <v>36342</v>
      </c>
      <c r="AH4125" s="1">
        <v>36342</v>
      </c>
      <c r="AI4125" s="1">
        <v>36342</v>
      </c>
      <c r="AJ4125" s="1">
        <v>43647</v>
      </c>
      <c r="AK4125" t="s">
        <v>51</v>
      </c>
      <c r="AN4125">
        <v>0</v>
      </c>
      <c r="AO4125" t="s">
        <v>54</v>
      </c>
      <c r="AP4125" t="s">
        <v>53</v>
      </c>
      <c r="AQ4125">
        <v>0</v>
      </c>
      <c r="AR4125" t="s">
        <v>53</v>
      </c>
      <c r="AS4125">
        <v>0</v>
      </c>
      <c r="AT4125">
        <v>0</v>
      </c>
      <c r="AW4125" t="s">
        <v>58</v>
      </c>
      <c r="AX4125">
        <v>20</v>
      </c>
      <c r="AY4125" s="1">
        <v>36342</v>
      </c>
      <c r="AZ4125" s="1">
        <v>36342</v>
      </c>
      <c r="BA4125" s="1">
        <v>36342</v>
      </c>
      <c r="BB4125" s="1">
        <v>43647</v>
      </c>
      <c r="BC4125" t="s">
        <v>51</v>
      </c>
      <c r="BE4125" t="s">
        <v>54</v>
      </c>
      <c r="BF4125">
        <v>2</v>
      </c>
      <c r="BG4125">
        <v>0</v>
      </c>
      <c r="BH4125" t="s">
        <v>53</v>
      </c>
      <c r="BK4125" t="s">
        <v>59</v>
      </c>
      <c r="BL4125">
        <v>14000</v>
      </c>
      <c r="BM4125" s="1">
        <v>42917</v>
      </c>
      <c r="BN4125" s="1">
        <v>42917</v>
      </c>
      <c r="BO4125" s="1">
        <v>42917</v>
      </c>
      <c r="BP4125" s="1">
        <v>44117</v>
      </c>
      <c r="BQ4125" t="s">
        <v>51</v>
      </c>
      <c r="BS4125" t="s">
        <v>60</v>
      </c>
      <c r="BT4125" t="s">
        <v>54</v>
      </c>
      <c r="BU4125" t="s">
        <v>61</v>
      </c>
      <c r="BV4125" t="s">
        <v>62</v>
      </c>
      <c r="BX4125">
        <v>24</v>
      </c>
      <c r="BY4125">
        <v>0</v>
      </c>
      <c r="BZ4125">
        <v>0</v>
      </c>
    </row>
    <row r="4126" spans="1:99" x14ac:dyDescent="0.2">
      <c r="A4126" t="s">
        <v>112</v>
      </c>
      <c r="B4126" t="s">
        <v>113</v>
      </c>
      <c r="C4126" t="s">
        <v>114</v>
      </c>
      <c r="D4126" t="s">
        <v>1984</v>
      </c>
      <c r="F4126" t="str">
        <f>"250132"</f>
        <v>250132</v>
      </c>
      <c r="G4126" t="s">
        <v>49</v>
      </c>
      <c r="H4126" t="s">
        <v>601</v>
      </c>
      <c r="K4126" t="s">
        <v>51</v>
      </c>
      <c r="L4126" t="s">
        <v>52</v>
      </c>
      <c r="M4126">
        <v>137024.51999999999</v>
      </c>
      <c r="N4126">
        <v>470893.53</v>
      </c>
      <c r="O4126" t="s">
        <v>53</v>
      </c>
      <c r="P4126" t="s">
        <v>54</v>
      </c>
      <c r="Q4126" t="s">
        <v>55</v>
      </c>
      <c r="T4126" t="s">
        <v>241</v>
      </c>
      <c r="U4126">
        <v>40</v>
      </c>
      <c r="V4126" s="1">
        <v>36342</v>
      </c>
      <c r="W4126" s="1">
        <v>36342</v>
      </c>
      <c r="X4126" s="1">
        <v>36342</v>
      </c>
      <c r="Y4126" s="1">
        <v>50952</v>
      </c>
      <c r="Z4126" t="s">
        <v>51</v>
      </c>
      <c r="AB4126" t="s">
        <v>54</v>
      </c>
      <c r="AC4126">
        <v>1</v>
      </c>
      <c r="AE4126" t="s">
        <v>222</v>
      </c>
      <c r="AF4126">
        <v>20</v>
      </c>
      <c r="AG4126" s="1">
        <v>36342</v>
      </c>
      <c r="AH4126" s="1">
        <v>36342</v>
      </c>
      <c r="AI4126" s="1">
        <v>36342</v>
      </c>
      <c r="AJ4126" s="1">
        <v>43647</v>
      </c>
      <c r="AK4126" t="s">
        <v>51</v>
      </c>
      <c r="AN4126">
        <v>0</v>
      </c>
      <c r="AO4126" t="s">
        <v>54</v>
      </c>
      <c r="AP4126" t="s">
        <v>53</v>
      </c>
      <c r="AQ4126">
        <v>0</v>
      </c>
      <c r="AR4126" t="s">
        <v>53</v>
      </c>
      <c r="AS4126">
        <v>0</v>
      </c>
      <c r="AT4126">
        <v>0</v>
      </c>
      <c r="AW4126" t="s">
        <v>58</v>
      </c>
      <c r="AX4126">
        <v>20</v>
      </c>
      <c r="AY4126" s="1">
        <v>36342</v>
      </c>
      <c r="AZ4126" s="1">
        <v>36342</v>
      </c>
      <c r="BA4126" s="1">
        <v>36342</v>
      </c>
      <c r="BB4126" s="1">
        <v>43647</v>
      </c>
      <c r="BC4126" t="s">
        <v>51</v>
      </c>
      <c r="BE4126" t="s">
        <v>54</v>
      </c>
      <c r="BF4126">
        <v>2</v>
      </c>
      <c r="BG4126">
        <v>0</v>
      </c>
      <c r="BH4126" t="s">
        <v>53</v>
      </c>
      <c r="BK4126" t="s">
        <v>59</v>
      </c>
      <c r="BL4126">
        <v>14000</v>
      </c>
      <c r="BM4126" s="1">
        <v>42917</v>
      </c>
      <c r="BN4126" s="1">
        <v>42917</v>
      </c>
      <c r="BO4126" s="1">
        <v>42917</v>
      </c>
      <c r="BP4126" s="1">
        <v>44117</v>
      </c>
      <c r="BQ4126" t="s">
        <v>51</v>
      </c>
      <c r="BS4126" t="s">
        <v>60</v>
      </c>
      <c r="BT4126" t="s">
        <v>54</v>
      </c>
      <c r="BU4126" t="s">
        <v>61</v>
      </c>
      <c r="BV4126" t="s">
        <v>62</v>
      </c>
      <c r="BX4126">
        <v>24</v>
      </c>
      <c r="BY4126">
        <v>0</v>
      </c>
      <c r="BZ4126">
        <v>0</v>
      </c>
    </row>
    <row r="4127" spans="1:99" x14ac:dyDescent="0.2">
      <c r="A4127" t="s">
        <v>112</v>
      </c>
      <c r="B4127" t="s">
        <v>113</v>
      </c>
      <c r="C4127" t="s">
        <v>114</v>
      </c>
      <c r="D4127" t="s">
        <v>1985</v>
      </c>
      <c r="F4127" t="str">
        <f>"250133"</f>
        <v>250133</v>
      </c>
      <c r="G4127" t="s">
        <v>49</v>
      </c>
      <c r="H4127" t="s">
        <v>233</v>
      </c>
      <c r="K4127" t="s">
        <v>51</v>
      </c>
      <c r="L4127" t="s">
        <v>52</v>
      </c>
      <c r="M4127">
        <v>136918.47</v>
      </c>
      <c r="N4127">
        <v>470746.97</v>
      </c>
      <c r="O4127" t="s">
        <v>53</v>
      </c>
      <c r="P4127" t="s">
        <v>54</v>
      </c>
      <c r="Q4127" t="s">
        <v>55</v>
      </c>
      <c r="T4127" t="s">
        <v>241</v>
      </c>
      <c r="U4127">
        <v>40</v>
      </c>
      <c r="V4127" s="1">
        <v>42552</v>
      </c>
      <c r="W4127" s="1">
        <v>42552</v>
      </c>
      <c r="X4127" s="1">
        <v>42552</v>
      </c>
      <c r="Y4127" s="1">
        <v>57162</v>
      </c>
      <c r="Z4127" t="s">
        <v>51</v>
      </c>
      <c r="AB4127" t="s">
        <v>54</v>
      </c>
      <c r="AC4127">
        <v>1</v>
      </c>
      <c r="AE4127" t="s">
        <v>79</v>
      </c>
      <c r="AF4127">
        <v>20</v>
      </c>
      <c r="AG4127" s="1">
        <v>42552</v>
      </c>
      <c r="AH4127" s="1">
        <v>42552</v>
      </c>
      <c r="AI4127" s="1">
        <v>42552</v>
      </c>
      <c r="AJ4127" s="1">
        <v>49857</v>
      </c>
      <c r="AK4127" t="s">
        <v>51</v>
      </c>
      <c r="AN4127">
        <v>0</v>
      </c>
      <c r="AO4127" t="s">
        <v>54</v>
      </c>
      <c r="AP4127" t="s">
        <v>53</v>
      </c>
      <c r="AQ4127">
        <v>0</v>
      </c>
      <c r="AR4127" t="s">
        <v>145</v>
      </c>
      <c r="AS4127">
        <v>0</v>
      </c>
      <c r="AT4127">
        <v>0</v>
      </c>
      <c r="CC4127" t="s">
        <v>432</v>
      </c>
      <c r="CD4127">
        <v>85000</v>
      </c>
      <c r="CE4127" s="1">
        <v>42552</v>
      </c>
      <c r="CF4127" s="1">
        <v>42552</v>
      </c>
      <c r="CG4127" s="1">
        <v>42552</v>
      </c>
      <c r="CH4127" s="1">
        <v>49714</v>
      </c>
      <c r="CI4127" t="s">
        <v>51</v>
      </c>
      <c r="CK4127" t="s">
        <v>78</v>
      </c>
      <c r="CM4127" t="s">
        <v>54</v>
      </c>
      <c r="CN4127" t="s">
        <v>174</v>
      </c>
      <c r="CO4127" t="s">
        <v>86</v>
      </c>
      <c r="CR4127">
        <v>24</v>
      </c>
      <c r="CS4127">
        <v>0</v>
      </c>
      <c r="CT4127">
        <v>0</v>
      </c>
      <c r="CU4127">
        <v>0</v>
      </c>
    </row>
    <row r="4128" spans="1:99" x14ac:dyDescent="0.2">
      <c r="A4128" t="s">
        <v>112</v>
      </c>
      <c r="B4128" t="s">
        <v>113</v>
      </c>
      <c r="C4128" t="s">
        <v>114</v>
      </c>
      <c r="D4128" t="s">
        <v>1985</v>
      </c>
      <c r="F4128" t="str">
        <f>"250134"</f>
        <v>250134</v>
      </c>
      <c r="G4128" t="s">
        <v>49</v>
      </c>
      <c r="H4128">
        <v>3</v>
      </c>
      <c r="K4128" t="s">
        <v>51</v>
      </c>
      <c r="L4128" t="s">
        <v>52</v>
      </c>
      <c r="M4128">
        <v>136945.28</v>
      </c>
      <c r="N4128">
        <v>470746.84</v>
      </c>
      <c r="O4128" t="s">
        <v>53</v>
      </c>
      <c r="P4128" t="s">
        <v>54</v>
      </c>
      <c r="Q4128" t="s">
        <v>55</v>
      </c>
      <c r="T4128" t="s">
        <v>241</v>
      </c>
      <c r="U4128">
        <v>40</v>
      </c>
      <c r="V4128" s="1">
        <v>36342</v>
      </c>
      <c r="W4128" s="1">
        <v>36342</v>
      </c>
      <c r="X4128" s="1">
        <v>36342</v>
      </c>
      <c r="Y4128" s="1">
        <v>50952</v>
      </c>
      <c r="Z4128" t="s">
        <v>51</v>
      </c>
      <c r="AB4128" t="s">
        <v>54</v>
      </c>
      <c r="AC4128">
        <v>1</v>
      </c>
      <c r="AE4128" t="s">
        <v>552</v>
      </c>
      <c r="AF4128">
        <v>20</v>
      </c>
      <c r="AG4128" s="1">
        <v>43885</v>
      </c>
      <c r="AH4128" s="1">
        <v>43885</v>
      </c>
      <c r="AI4128" s="1">
        <v>43885</v>
      </c>
      <c r="AJ4128" s="1">
        <v>51190</v>
      </c>
      <c r="AK4128" t="s">
        <v>51</v>
      </c>
      <c r="AN4128">
        <v>0</v>
      </c>
      <c r="AO4128" t="s">
        <v>54</v>
      </c>
      <c r="AP4128" t="s">
        <v>53</v>
      </c>
      <c r="AQ4128">
        <v>0</v>
      </c>
      <c r="AR4128" t="s">
        <v>145</v>
      </c>
      <c r="AS4128">
        <v>0</v>
      </c>
      <c r="AT4128">
        <v>0</v>
      </c>
      <c r="AW4128" t="s">
        <v>58</v>
      </c>
      <c r="AX4128">
        <v>20</v>
      </c>
      <c r="AY4128" s="1">
        <v>36342</v>
      </c>
      <c r="AZ4128" s="1">
        <v>36342</v>
      </c>
      <c r="BA4128" s="1">
        <v>43885</v>
      </c>
      <c r="BB4128" s="1">
        <v>43647</v>
      </c>
      <c r="BC4128" t="s">
        <v>51</v>
      </c>
      <c r="BE4128" t="s">
        <v>54</v>
      </c>
      <c r="BF4128">
        <v>2</v>
      </c>
      <c r="BG4128">
        <v>0</v>
      </c>
      <c r="BH4128" t="s">
        <v>53</v>
      </c>
      <c r="BK4128" t="s">
        <v>59</v>
      </c>
      <c r="BL4128">
        <v>14000</v>
      </c>
      <c r="BM4128" s="1">
        <v>42917</v>
      </c>
      <c r="BN4128" s="1">
        <v>42917</v>
      </c>
      <c r="BO4128" s="1">
        <v>43885</v>
      </c>
      <c r="BP4128" s="1">
        <v>44117</v>
      </c>
      <c r="BQ4128" t="s">
        <v>51</v>
      </c>
      <c r="BS4128" t="s">
        <v>60</v>
      </c>
      <c r="BT4128" t="s">
        <v>54</v>
      </c>
      <c r="BU4128" t="s">
        <v>61</v>
      </c>
      <c r="BV4128" t="s">
        <v>62</v>
      </c>
      <c r="BX4128">
        <v>24</v>
      </c>
      <c r="BY4128">
        <v>0</v>
      </c>
      <c r="BZ4128">
        <v>0</v>
      </c>
    </row>
    <row r="4129" spans="1:78" x14ac:dyDescent="0.2">
      <c r="A4129" t="s">
        <v>112</v>
      </c>
      <c r="B4129" t="s">
        <v>113</v>
      </c>
      <c r="C4129" t="s">
        <v>114</v>
      </c>
      <c r="D4129" t="s">
        <v>1985</v>
      </c>
      <c r="F4129" t="str">
        <f>"250135"</f>
        <v>250135</v>
      </c>
      <c r="G4129" t="s">
        <v>49</v>
      </c>
      <c r="H4129" t="s">
        <v>283</v>
      </c>
      <c r="K4129" t="s">
        <v>51</v>
      </c>
      <c r="L4129" t="s">
        <v>52</v>
      </c>
      <c r="M4129">
        <v>136970.79999999999</v>
      </c>
      <c r="N4129">
        <v>470747.44</v>
      </c>
      <c r="O4129" t="s">
        <v>53</v>
      </c>
      <c r="P4129" t="s">
        <v>54</v>
      </c>
      <c r="Q4129" t="s">
        <v>55</v>
      </c>
      <c r="T4129" t="s">
        <v>241</v>
      </c>
      <c r="U4129">
        <v>40</v>
      </c>
      <c r="V4129" s="1">
        <v>36342</v>
      </c>
      <c r="W4129" s="1">
        <v>36342</v>
      </c>
      <c r="X4129" s="1">
        <v>36342</v>
      </c>
      <c r="Y4129" s="1">
        <v>50952</v>
      </c>
      <c r="Z4129" t="s">
        <v>51</v>
      </c>
      <c r="AB4129" t="s">
        <v>54</v>
      </c>
      <c r="AC4129">
        <v>1</v>
      </c>
      <c r="AE4129" t="s">
        <v>222</v>
      </c>
      <c r="AF4129">
        <v>20</v>
      </c>
      <c r="AG4129" s="1">
        <v>36342</v>
      </c>
      <c r="AH4129" s="1">
        <v>36342</v>
      </c>
      <c r="AI4129" s="1">
        <v>36342</v>
      </c>
      <c r="AJ4129" s="1">
        <v>43647</v>
      </c>
      <c r="AK4129" t="s">
        <v>51</v>
      </c>
      <c r="AN4129">
        <v>0</v>
      </c>
      <c r="AO4129" t="s">
        <v>54</v>
      </c>
      <c r="AP4129" t="s">
        <v>53</v>
      </c>
      <c r="AQ4129">
        <v>0</v>
      </c>
      <c r="AR4129" t="s">
        <v>53</v>
      </c>
      <c r="AS4129">
        <v>0</v>
      </c>
      <c r="AT4129">
        <v>0</v>
      </c>
      <c r="AW4129" t="s">
        <v>58</v>
      </c>
      <c r="AX4129">
        <v>20</v>
      </c>
      <c r="AY4129" s="1">
        <v>44865</v>
      </c>
      <c r="AZ4129" s="1">
        <v>44865</v>
      </c>
      <c r="BA4129" s="1">
        <v>44865</v>
      </c>
      <c r="BB4129" s="1">
        <v>52170</v>
      </c>
      <c r="BC4129" t="s">
        <v>51</v>
      </c>
      <c r="BE4129" t="s">
        <v>54</v>
      </c>
      <c r="BF4129">
        <v>2</v>
      </c>
      <c r="BG4129">
        <v>0</v>
      </c>
      <c r="BH4129" t="s">
        <v>53</v>
      </c>
      <c r="BK4129" t="s">
        <v>59</v>
      </c>
      <c r="BL4129">
        <v>14000</v>
      </c>
      <c r="BM4129" s="1">
        <v>42917</v>
      </c>
      <c r="BN4129" s="1">
        <v>42917</v>
      </c>
      <c r="BO4129" s="1">
        <v>44865</v>
      </c>
      <c r="BP4129" s="1">
        <v>44117</v>
      </c>
      <c r="BQ4129" t="s">
        <v>51</v>
      </c>
      <c r="BS4129" t="s">
        <v>60</v>
      </c>
      <c r="BT4129" t="s">
        <v>54</v>
      </c>
      <c r="BU4129" t="s">
        <v>61</v>
      </c>
      <c r="BV4129" t="s">
        <v>62</v>
      </c>
      <c r="BX4129">
        <v>24</v>
      </c>
      <c r="BY4129">
        <v>0</v>
      </c>
      <c r="BZ4129">
        <v>0</v>
      </c>
    </row>
    <row r="4130" spans="1:78" x14ac:dyDescent="0.2">
      <c r="A4130" t="s">
        <v>112</v>
      </c>
      <c r="B4130" t="s">
        <v>113</v>
      </c>
      <c r="C4130" t="s">
        <v>114</v>
      </c>
      <c r="D4130" t="s">
        <v>1985</v>
      </c>
      <c r="F4130" t="str">
        <f>"250136"</f>
        <v>250136</v>
      </c>
      <c r="G4130" t="s">
        <v>49</v>
      </c>
      <c r="H4130" t="s">
        <v>152</v>
      </c>
      <c r="K4130" t="s">
        <v>51</v>
      </c>
      <c r="L4130" t="s">
        <v>52</v>
      </c>
      <c r="M4130">
        <v>136992.39000000001</v>
      </c>
      <c r="N4130">
        <v>470748.02</v>
      </c>
      <c r="O4130" t="s">
        <v>53</v>
      </c>
      <c r="P4130" t="s">
        <v>54</v>
      </c>
      <c r="Q4130" t="s">
        <v>55</v>
      </c>
      <c r="T4130" t="s">
        <v>241</v>
      </c>
      <c r="U4130">
        <v>40</v>
      </c>
      <c r="V4130" s="1">
        <v>36342</v>
      </c>
      <c r="W4130" s="1">
        <v>36342</v>
      </c>
      <c r="X4130" s="1">
        <v>36342</v>
      </c>
      <c r="Y4130" s="1">
        <v>50952</v>
      </c>
      <c r="Z4130" t="s">
        <v>51</v>
      </c>
      <c r="AB4130" t="s">
        <v>54</v>
      </c>
      <c r="AC4130">
        <v>1</v>
      </c>
      <c r="AE4130" t="s">
        <v>222</v>
      </c>
      <c r="AF4130">
        <v>20</v>
      </c>
      <c r="AG4130" s="1">
        <v>36342</v>
      </c>
      <c r="AH4130" s="1">
        <v>36342</v>
      </c>
      <c r="AI4130" s="1">
        <v>36342</v>
      </c>
      <c r="AJ4130" s="1">
        <v>43647</v>
      </c>
      <c r="AK4130" t="s">
        <v>51</v>
      </c>
      <c r="AN4130">
        <v>0</v>
      </c>
      <c r="AO4130" t="s">
        <v>54</v>
      </c>
      <c r="AP4130" t="s">
        <v>53</v>
      </c>
      <c r="AQ4130">
        <v>0</v>
      </c>
      <c r="AR4130" t="s">
        <v>53</v>
      </c>
      <c r="AS4130">
        <v>0</v>
      </c>
      <c r="AT4130">
        <v>0</v>
      </c>
      <c r="AW4130" t="s">
        <v>58</v>
      </c>
      <c r="AX4130">
        <v>20</v>
      </c>
      <c r="AY4130" s="1">
        <v>36342</v>
      </c>
      <c r="AZ4130" s="1">
        <v>36342</v>
      </c>
      <c r="BA4130" s="1">
        <v>36342</v>
      </c>
      <c r="BB4130" s="1">
        <v>43647</v>
      </c>
      <c r="BC4130" t="s">
        <v>51</v>
      </c>
      <c r="BE4130" t="s">
        <v>54</v>
      </c>
      <c r="BF4130">
        <v>2</v>
      </c>
      <c r="BG4130">
        <v>0</v>
      </c>
      <c r="BH4130" t="s">
        <v>53</v>
      </c>
      <c r="BK4130" t="s">
        <v>59</v>
      </c>
      <c r="BL4130">
        <v>14000</v>
      </c>
      <c r="BM4130" s="1">
        <v>42917</v>
      </c>
      <c r="BN4130" s="1">
        <v>42917</v>
      </c>
      <c r="BO4130" s="1">
        <v>42917</v>
      </c>
      <c r="BP4130" s="1">
        <v>44117</v>
      </c>
      <c r="BQ4130" t="s">
        <v>51</v>
      </c>
      <c r="BS4130" t="s">
        <v>60</v>
      </c>
      <c r="BT4130" t="s">
        <v>54</v>
      </c>
      <c r="BU4130" t="s">
        <v>61</v>
      </c>
      <c r="BV4130" t="s">
        <v>62</v>
      </c>
      <c r="BX4130">
        <v>24</v>
      </c>
      <c r="BY4130">
        <v>0</v>
      </c>
      <c r="BZ4130">
        <v>0</v>
      </c>
    </row>
    <row r="4131" spans="1:78" x14ac:dyDescent="0.2">
      <c r="A4131" t="s">
        <v>112</v>
      </c>
      <c r="B4131" t="s">
        <v>113</v>
      </c>
      <c r="C4131" t="s">
        <v>114</v>
      </c>
      <c r="D4131" t="s">
        <v>1985</v>
      </c>
      <c r="F4131" t="str">
        <f>"250137"</f>
        <v>250137</v>
      </c>
      <c r="G4131" t="s">
        <v>49</v>
      </c>
      <c r="H4131" t="s">
        <v>175</v>
      </c>
      <c r="K4131" t="s">
        <v>51</v>
      </c>
      <c r="L4131" t="s">
        <v>52</v>
      </c>
      <c r="M4131">
        <v>137012.29</v>
      </c>
      <c r="N4131">
        <v>470748.44</v>
      </c>
      <c r="O4131" t="s">
        <v>53</v>
      </c>
      <c r="P4131" t="s">
        <v>54</v>
      </c>
      <c r="Q4131" t="s">
        <v>55</v>
      </c>
      <c r="T4131" t="s">
        <v>241</v>
      </c>
      <c r="U4131">
        <v>40</v>
      </c>
      <c r="V4131" s="1">
        <v>36342</v>
      </c>
      <c r="W4131" s="1">
        <v>36342</v>
      </c>
      <c r="X4131" s="1">
        <v>36342</v>
      </c>
      <c r="Y4131" s="1">
        <v>50952</v>
      </c>
      <c r="Z4131" t="s">
        <v>51</v>
      </c>
      <c r="AB4131" t="s">
        <v>54</v>
      </c>
      <c r="AC4131">
        <v>1</v>
      </c>
      <c r="AE4131" t="s">
        <v>222</v>
      </c>
      <c r="AF4131">
        <v>20</v>
      </c>
      <c r="AG4131" s="1">
        <v>36342</v>
      </c>
      <c r="AH4131" s="1">
        <v>36342</v>
      </c>
      <c r="AI4131" s="1">
        <v>36342</v>
      </c>
      <c r="AJ4131" s="1">
        <v>43647</v>
      </c>
      <c r="AK4131" t="s">
        <v>51</v>
      </c>
      <c r="AN4131">
        <v>0</v>
      </c>
      <c r="AO4131" t="s">
        <v>54</v>
      </c>
      <c r="AP4131" t="s">
        <v>53</v>
      </c>
      <c r="AQ4131">
        <v>0</v>
      </c>
      <c r="AR4131" t="s">
        <v>53</v>
      </c>
      <c r="AS4131">
        <v>0</v>
      </c>
      <c r="AT4131">
        <v>0</v>
      </c>
      <c r="AW4131" t="s">
        <v>58</v>
      </c>
      <c r="AX4131">
        <v>20</v>
      </c>
      <c r="AY4131" s="1">
        <v>36342</v>
      </c>
      <c r="AZ4131" s="1">
        <v>36342</v>
      </c>
      <c r="BA4131" s="1">
        <v>36342</v>
      </c>
      <c r="BB4131" s="1">
        <v>43647</v>
      </c>
      <c r="BC4131" t="s">
        <v>51</v>
      </c>
      <c r="BE4131" t="s">
        <v>54</v>
      </c>
      <c r="BF4131">
        <v>2</v>
      </c>
      <c r="BG4131">
        <v>0</v>
      </c>
      <c r="BH4131" t="s">
        <v>53</v>
      </c>
      <c r="BK4131" t="s">
        <v>59</v>
      </c>
      <c r="BL4131">
        <v>14000</v>
      </c>
      <c r="BM4131" s="1">
        <v>42917</v>
      </c>
      <c r="BN4131" s="1">
        <v>42917</v>
      </c>
      <c r="BO4131" s="1">
        <v>42917</v>
      </c>
      <c r="BP4131" s="1">
        <v>44117</v>
      </c>
      <c r="BQ4131" t="s">
        <v>51</v>
      </c>
      <c r="BS4131" t="s">
        <v>60</v>
      </c>
      <c r="BT4131" t="s">
        <v>54</v>
      </c>
      <c r="BU4131" t="s">
        <v>61</v>
      </c>
      <c r="BV4131" t="s">
        <v>62</v>
      </c>
      <c r="BX4131">
        <v>24</v>
      </c>
      <c r="BY4131">
        <v>0</v>
      </c>
      <c r="BZ4131">
        <v>0</v>
      </c>
    </row>
    <row r="4132" spans="1:78" x14ac:dyDescent="0.2">
      <c r="A4132" t="s">
        <v>112</v>
      </c>
      <c r="B4132" t="s">
        <v>113</v>
      </c>
      <c r="C4132" t="s">
        <v>114</v>
      </c>
      <c r="D4132" t="s">
        <v>1985</v>
      </c>
      <c r="F4132" t="str">
        <f>"250138"</f>
        <v>250138</v>
      </c>
      <c r="G4132" t="s">
        <v>49</v>
      </c>
      <c r="K4132" t="s">
        <v>51</v>
      </c>
      <c r="L4132" t="s">
        <v>52</v>
      </c>
      <c r="M4132">
        <v>137040.79999999999</v>
      </c>
      <c r="N4132">
        <v>470742.36</v>
      </c>
      <c r="O4132" t="s">
        <v>53</v>
      </c>
      <c r="P4132" t="s">
        <v>54</v>
      </c>
      <c r="Q4132" t="s">
        <v>55</v>
      </c>
      <c r="T4132" t="s">
        <v>241</v>
      </c>
      <c r="U4132">
        <v>40</v>
      </c>
      <c r="V4132" s="1">
        <v>36342</v>
      </c>
      <c r="W4132" s="1">
        <v>36342</v>
      </c>
      <c r="X4132" s="1">
        <v>36342</v>
      </c>
      <c r="Y4132" s="1">
        <v>50952</v>
      </c>
      <c r="Z4132" t="s">
        <v>51</v>
      </c>
      <c r="AB4132" t="s">
        <v>54</v>
      </c>
      <c r="AC4132">
        <v>1</v>
      </c>
      <c r="AE4132" t="s">
        <v>222</v>
      </c>
      <c r="AF4132">
        <v>20</v>
      </c>
      <c r="AG4132" s="1">
        <v>36342</v>
      </c>
      <c r="AH4132" s="1">
        <v>36342</v>
      </c>
      <c r="AI4132" s="1">
        <v>36342</v>
      </c>
      <c r="AJ4132" s="1">
        <v>43647</v>
      </c>
      <c r="AK4132" t="s">
        <v>51</v>
      </c>
      <c r="AN4132">
        <v>0</v>
      </c>
      <c r="AO4132" t="s">
        <v>54</v>
      </c>
      <c r="AP4132" t="s">
        <v>53</v>
      </c>
      <c r="AQ4132">
        <v>0</v>
      </c>
      <c r="AR4132" t="s">
        <v>53</v>
      </c>
      <c r="AS4132">
        <v>0</v>
      </c>
      <c r="AT4132">
        <v>0</v>
      </c>
      <c r="AW4132" t="s">
        <v>58</v>
      </c>
      <c r="AX4132">
        <v>20</v>
      </c>
      <c r="AY4132" s="1">
        <v>36342</v>
      </c>
      <c r="AZ4132" s="1">
        <v>36342</v>
      </c>
      <c r="BA4132" s="1">
        <v>36342</v>
      </c>
      <c r="BB4132" s="1">
        <v>43647</v>
      </c>
      <c r="BC4132" t="s">
        <v>51</v>
      </c>
      <c r="BE4132" t="s">
        <v>54</v>
      </c>
      <c r="BF4132">
        <v>2</v>
      </c>
      <c r="BG4132">
        <v>0</v>
      </c>
      <c r="BH4132" t="s">
        <v>53</v>
      </c>
      <c r="BK4132" t="s">
        <v>59</v>
      </c>
      <c r="BL4132">
        <v>14000</v>
      </c>
      <c r="BM4132" s="1">
        <v>42917</v>
      </c>
      <c r="BN4132" s="1">
        <v>42917</v>
      </c>
      <c r="BO4132" s="1">
        <v>42917</v>
      </c>
      <c r="BP4132" s="1">
        <v>44117</v>
      </c>
      <c r="BQ4132" t="s">
        <v>51</v>
      </c>
      <c r="BS4132" t="s">
        <v>60</v>
      </c>
      <c r="BT4132" t="s">
        <v>54</v>
      </c>
      <c r="BU4132" t="s">
        <v>61</v>
      </c>
      <c r="BV4132" t="s">
        <v>62</v>
      </c>
      <c r="BX4132">
        <v>24</v>
      </c>
      <c r="BY4132">
        <v>0</v>
      </c>
      <c r="BZ4132">
        <v>0</v>
      </c>
    </row>
    <row r="4133" spans="1:78" x14ac:dyDescent="0.2">
      <c r="A4133" t="s">
        <v>112</v>
      </c>
      <c r="B4133" t="s">
        <v>113</v>
      </c>
      <c r="C4133" t="s">
        <v>114</v>
      </c>
      <c r="D4133" t="s">
        <v>1985</v>
      </c>
      <c r="F4133" t="str">
        <f>"250139"</f>
        <v>250139</v>
      </c>
      <c r="G4133" t="s">
        <v>49</v>
      </c>
      <c r="H4133">
        <v>11</v>
      </c>
      <c r="K4133" t="s">
        <v>51</v>
      </c>
      <c r="L4133" t="s">
        <v>52</v>
      </c>
      <c r="M4133">
        <v>137063.97</v>
      </c>
      <c r="N4133">
        <v>470749.97</v>
      </c>
      <c r="O4133" t="s">
        <v>53</v>
      </c>
      <c r="P4133" t="s">
        <v>54</v>
      </c>
      <c r="Q4133" t="s">
        <v>55</v>
      </c>
      <c r="T4133" t="s">
        <v>241</v>
      </c>
      <c r="U4133">
        <v>40</v>
      </c>
      <c r="V4133" s="1">
        <v>36342</v>
      </c>
      <c r="W4133" s="1">
        <v>36342</v>
      </c>
      <c r="X4133" s="1">
        <v>36342</v>
      </c>
      <c r="Y4133" s="1">
        <v>50952</v>
      </c>
      <c r="Z4133" t="s">
        <v>51</v>
      </c>
      <c r="AB4133" t="s">
        <v>54</v>
      </c>
      <c r="AC4133">
        <v>1</v>
      </c>
      <c r="AE4133" t="s">
        <v>222</v>
      </c>
      <c r="AF4133">
        <v>20</v>
      </c>
      <c r="AG4133" s="1">
        <v>36342</v>
      </c>
      <c r="AH4133" s="1">
        <v>36342</v>
      </c>
      <c r="AI4133" s="1">
        <v>36342</v>
      </c>
      <c r="AJ4133" s="1">
        <v>43647</v>
      </c>
      <c r="AK4133" t="s">
        <v>51</v>
      </c>
      <c r="AN4133">
        <v>0</v>
      </c>
      <c r="AO4133" t="s">
        <v>54</v>
      </c>
      <c r="AP4133" t="s">
        <v>53</v>
      </c>
      <c r="AQ4133">
        <v>0</v>
      </c>
      <c r="AR4133" t="s">
        <v>53</v>
      </c>
      <c r="AS4133">
        <v>0</v>
      </c>
      <c r="AT4133">
        <v>0</v>
      </c>
      <c r="AW4133" t="s">
        <v>58</v>
      </c>
      <c r="AX4133">
        <v>20</v>
      </c>
      <c r="AY4133" s="1">
        <v>36342</v>
      </c>
      <c r="AZ4133" s="1">
        <v>36342</v>
      </c>
      <c r="BA4133" s="1">
        <v>36342</v>
      </c>
      <c r="BB4133" s="1">
        <v>43647</v>
      </c>
      <c r="BC4133" t="s">
        <v>51</v>
      </c>
      <c r="BE4133" t="s">
        <v>54</v>
      </c>
      <c r="BF4133">
        <v>2</v>
      </c>
      <c r="BG4133">
        <v>0</v>
      </c>
      <c r="BH4133" t="s">
        <v>53</v>
      </c>
      <c r="BK4133" t="s">
        <v>59</v>
      </c>
      <c r="BL4133">
        <v>14000</v>
      </c>
      <c r="BM4133" s="1">
        <v>42917</v>
      </c>
      <c r="BN4133" s="1">
        <v>42917</v>
      </c>
      <c r="BO4133" s="1">
        <v>42917</v>
      </c>
      <c r="BP4133" s="1">
        <v>44117</v>
      </c>
      <c r="BQ4133" t="s">
        <v>51</v>
      </c>
      <c r="BS4133" t="s">
        <v>60</v>
      </c>
      <c r="BT4133" t="s">
        <v>54</v>
      </c>
      <c r="BU4133" t="s">
        <v>61</v>
      </c>
      <c r="BV4133" t="s">
        <v>62</v>
      </c>
      <c r="BX4133">
        <v>24</v>
      </c>
      <c r="BY4133">
        <v>0</v>
      </c>
      <c r="BZ4133">
        <v>0</v>
      </c>
    </row>
    <row r="4134" spans="1:78" x14ac:dyDescent="0.2">
      <c r="A4134" t="s">
        <v>112</v>
      </c>
      <c r="B4134" t="s">
        <v>113</v>
      </c>
      <c r="C4134" t="s">
        <v>114</v>
      </c>
      <c r="D4134" t="s">
        <v>1985</v>
      </c>
      <c r="F4134" t="str">
        <f>"250140"</f>
        <v>250140</v>
      </c>
      <c r="G4134" t="s">
        <v>49</v>
      </c>
      <c r="K4134" t="s">
        <v>51</v>
      </c>
      <c r="L4134" t="s">
        <v>52</v>
      </c>
      <c r="M4134">
        <v>137087.60999999999</v>
      </c>
      <c r="N4134">
        <v>470750.47</v>
      </c>
      <c r="O4134" t="s">
        <v>53</v>
      </c>
      <c r="P4134" t="s">
        <v>54</v>
      </c>
      <c r="Q4134" t="s">
        <v>55</v>
      </c>
      <c r="T4134" t="s">
        <v>480</v>
      </c>
      <c r="U4134">
        <v>40</v>
      </c>
      <c r="V4134" s="1">
        <v>36342</v>
      </c>
      <c r="W4134" s="1">
        <v>36342</v>
      </c>
      <c r="X4134" s="1">
        <v>36342</v>
      </c>
      <c r="Y4134" s="1">
        <v>50952</v>
      </c>
      <c r="Z4134" t="s">
        <v>51</v>
      </c>
      <c r="AB4134" t="s">
        <v>54</v>
      </c>
      <c r="AC4134">
        <v>1</v>
      </c>
      <c r="AE4134" t="s">
        <v>84</v>
      </c>
      <c r="AF4134">
        <v>20</v>
      </c>
      <c r="AG4134" s="1">
        <v>36342</v>
      </c>
      <c r="AH4134" s="1">
        <v>36342</v>
      </c>
      <c r="AI4134" s="1">
        <v>36342</v>
      </c>
      <c r="AJ4134" s="1">
        <v>43647</v>
      </c>
      <c r="AK4134" t="s">
        <v>51</v>
      </c>
      <c r="AN4134">
        <v>0</v>
      </c>
      <c r="AO4134" t="s">
        <v>54</v>
      </c>
      <c r="AP4134" t="s">
        <v>53</v>
      </c>
      <c r="AQ4134">
        <v>0</v>
      </c>
      <c r="AR4134" t="s">
        <v>53</v>
      </c>
      <c r="AS4134">
        <v>0</v>
      </c>
      <c r="AT4134">
        <v>0</v>
      </c>
      <c r="AW4134" t="s">
        <v>58</v>
      </c>
      <c r="AX4134">
        <v>20</v>
      </c>
      <c r="AY4134" s="1">
        <v>36342</v>
      </c>
      <c r="AZ4134" s="1">
        <v>36342</v>
      </c>
      <c r="BA4134" s="1">
        <v>36342</v>
      </c>
      <c r="BB4134" s="1">
        <v>43647</v>
      </c>
      <c r="BC4134" t="s">
        <v>51</v>
      </c>
      <c r="BE4134" t="s">
        <v>54</v>
      </c>
      <c r="BF4134">
        <v>2</v>
      </c>
      <c r="BG4134">
        <v>0</v>
      </c>
      <c r="BH4134" t="s">
        <v>53</v>
      </c>
      <c r="BK4134" t="s">
        <v>59</v>
      </c>
      <c r="BL4134">
        <v>14000</v>
      </c>
      <c r="BM4134" s="1">
        <v>42917</v>
      </c>
      <c r="BN4134" s="1">
        <v>42917</v>
      </c>
      <c r="BO4134" s="1">
        <v>42917</v>
      </c>
      <c r="BP4134" s="1">
        <v>44117</v>
      </c>
      <c r="BQ4134" t="s">
        <v>51</v>
      </c>
      <c r="BS4134" t="s">
        <v>60</v>
      </c>
      <c r="BT4134" t="s">
        <v>54</v>
      </c>
      <c r="BU4134" t="s">
        <v>61</v>
      </c>
      <c r="BV4134" t="s">
        <v>62</v>
      </c>
      <c r="BX4134">
        <v>24</v>
      </c>
      <c r="BY4134">
        <v>0</v>
      </c>
      <c r="BZ4134">
        <v>0</v>
      </c>
    </row>
    <row r="4135" spans="1:78" x14ac:dyDescent="0.2">
      <c r="A4135" t="s">
        <v>112</v>
      </c>
      <c r="B4135" t="s">
        <v>113</v>
      </c>
      <c r="C4135" t="s">
        <v>114</v>
      </c>
      <c r="D4135" t="s">
        <v>1985</v>
      </c>
      <c r="F4135" t="str">
        <f>"250141"</f>
        <v>250141</v>
      </c>
      <c r="G4135" t="s">
        <v>49</v>
      </c>
      <c r="K4135" t="s">
        <v>51</v>
      </c>
      <c r="L4135" t="s">
        <v>52</v>
      </c>
      <c r="M4135">
        <v>137112</v>
      </c>
      <c r="N4135">
        <v>470744.63</v>
      </c>
      <c r="O4135" t="s">
        <v>53</v>
      </c>
      <c r="P4135" t="s">
        <v>54</v>
      </c>
      <c r="Q4135" t="s">
        <v>55</v>
      </c>
      <c r="T4135" t="s">
        <v>241</v>
      </c>
      <c r="U4135">
        <v>40</v>
      </c>
      <c r="V4135" s="1">
        <v>36342</v>
      </c>
      <c r="W4135" s="1">
        <v>36342</v>
      </c>
      <c r="X4135" s="1">
        <v>36342</v>
      </c>
      <c r="Y4135" s="1">
        <v>50952</v>
      </c>
      <c r="Z4135" t="s">
        <v>51</v>
      </c>
      <c r="AB4135" t="s">
        <v>54</v>
      </c>
      <c r="AC4135">
        <v>1</v>
      </c>
      <c r="AE4135" t="s">
        <v>222</v>
      </c>
      <c r="AF4135">
        <v>20</v>
      </c>
      <c r="AG4135" s="1">
        <v>36342</v>
      </c>
      <c r="AH4135" s="1">
        <v>36342</v>
      </c>
      <c r="AI4135" s="1">
        <v>36342</v>
      </c>
      <c r="AJ4135" s="1">
        <v>43647</v>
      </c>
      <c r="AK4135" t="s">
        <v>51</v>
      </c>
      <c r="AN4135">
        <v>0</v>
      </c>
      <c r="AO4135" t="s">
        <v>54</v>
      </c>
      <c r="AP4135" t="s">
        <v>53</v>
      </c>
      <c r="AQ4135">
        <v>0</v>
      </c>
      <c r="AR4135" t="s">
        <v>53</v>
      </c>
      <c r="AS4135">
        <v>0</v>
      </c>
      <c r="AT4135">
        <v>0</v>
      </c>
      <c r="AW4135" t="s">
        <v>58</v>
      </c>
      <c r="AX4135">
        <v>20</v>
      </c>
      <c r="AY4135" s="1">
        <v>36342</v>
      </c>
      <c r="AZ4135" s="1">
        <v>36342</v>
      </c>
      <c r="BA4135" s="1">
        <v>36342</v>
      </c>
      <c r="BB4135" s="1">
        <v>43647</v>
      </c>
      <c r="BC4135" t="s">
        <v>51</v>
      </c>
      <c r="BE4135" t="s">
        <v>54</v>
      </c>
      <c r="BF4135">
        <v>2</v>
      </c>
      <c r="BG4135">
        <v>0</v>
      </c>
      <c r="BH4135" t="s">
        <v>53</v>
      </c>
      <c r="BK4135" t="s">
        <v>59</v>
      </c>
      <c r="BL4135">
        <v>14000</v>
      </c>
      <c r="BM4135" s="1">
        <v>42917</v>
      </c>
      <c r="BN4135" s="1">
        <v>42917</v>
      </c>
      <c r="BO4135" s="1">
        <v>42917</v>
      </c>
      <c r="BP4135" s="1">
        <v>44117</v>
      </c>
      <c r="BQ4135" t="s">
        <v>51</v>
      </c>
      <c r="BS4135" t="s">
        <v>60</v>
      </c>
      <c r="BT4135" t="s">
        <v>54</v>
      </c>
      <c r="BU4135" t="s">
        <v>61</v>
      </c>
      <c r="BV4135" t="s">
        <v>62</v>
      </c>
      <c r="BX4135">
        <v>24</v>
      </c>
      <c r="BY4135">
        <v>0</v>
      </c>
      <c r="BZ4135">
        <v>0</v>
      </c>
    </row>
    <row r="4136" spans="1:78" x14ac:dyDescent="0.2">
      <c r="A4136" t="s">
        <v>112</v>
      </c>
      <c r="B4136" t="s">
        <v>113</v>
      </c>
      <c r="C4136" t="s">
        <v>114</v>
      </c>
      <c r="D4136" t="s">
        <v>1985</v>
      </c>
      <c r="F4136" t="str">
        <f>"250142"</f>
        <v>250142</v>
      </c>
      <c r="G4136" t="s">
        <v>49</v>
      </c>
      <c r="H4136" t="s">
        <v>1986</v>
      </c>
      <c r="K4136" t="s">
        <v>51</v>
      </c>
      <c r="L4136" t="s">
        <v>52</v>
      </c>
      <c r="M4136">
        <v>137144.74</v>
      </c>
      <c r="N4136">
        <v>470751.5</v>
      </c>
      <c r="O4136" t="s">
        <v>53</v>
      </c>
      <c r="P4136" t="s">
        <v>54</v>
      </c>
      <c r="Q4136" t="s">
        <v>55</v>
      </c>
      <c r="T4136" t="s">
        <v>183</v>
      </c>
      <c r="U4136">
        <v>40</v>
      </c>
      <c r="V4136" s="1">
        <v>37073</v>
      </c>
      <c r="W4136" s="1">
        <v>37073</v>
      </c>
      <c r="X4136" s="1">
        <v>37073</v>
      </c>
      <c r="Y4136" s="1">
        <v>51683</v>
      </c>
      <c r="Z4136" t="s">
        <v>51</v>
      </c>
      <c r="AB4136" t="s">
        <v>54</v>
      </c>
      <c r="AC4136">
        <v>1</v>
      </c>
      <c r="AE4136" t="s">
        <v>84</v>
      </c>
      <c r="AF4136">
        <v>20</v>
      </c>
      <c r="AG4136" s="1">
        <v>37073</v>
      </c>
      <c r="AH4136" s="1">
        <v>37073</v>
      </c>
      <c r="AI4136" s="1">
        <v>37073</v>
      </c>
      <c r="AJ4136" s="1">
        <v>44378</v>
      </c>
      <c r="AK4136" t="s">
        <v>51</v>
      </c>
      <c r="AN4136">
        <v>0</v>
      </c>
      <c r="AO4136" t="s">
        <v>54</v>
      </c>
      <c r="AP4136" t="s">
        <v>53</v>
      </c>
      <c r="AQ4136">
        <v>0</v>
      </c>
      <c r="AR4136" t="s">
        <v>53</v>
      </c>
      <c r="AS4136">
        <v>0</v>
      </c>
      <c r="AT4136">
        <v>0</v>
      </c>
      <c r="AW4136" t="s">
        <v>58</v>
      </c>
      <c r="AX4136">
        <v>20</v>
      </c>
      <c r="AY4136" s="1">
        <v>37073</v>
      </c>
      <c r="AZ4136" s="1">
        <v>37073</v>
      </c>
      <c r="BA4136" s="1">
        <v>37073</v>
      </c>
      <c r="BB4136" s="1">
        <v>44378</v>
      </c>
      <c r="BC4136" t="s">
        <v>51</v>
      </c>
      <c r="BE4136" t="s">
        <v>54</v>
      </c>
      <c r="BF4136">
        <v>2</v>
      </c>
      <c r="BG4136">
        <v>0</v>
      </c>
      <c r="BH4136" t="s">
        <v>53</v>
      </c>
      <c r="BK4136" t="s">
        <v>59</v>
      </c>
      <c r="BL4136">
        <v>14000</v>
      </c>
      <c r="BM4136" s="1">
        <v>42917</v>
      </c>
      <c r="BN4136" s="1">
        <v>42917</v>
      </c>
      <c r="BO4136" s="1">
        <v>42917</v>
      </c>
      <c r="BP4136" s="1">
        <v>44117</v>
      </c>
      <c r="BQ4136" t="s">
        <v>51</v>
      </c>
      <c r="BS4136" t="s">
        <v>60</v>
      </c>
      <c r="BT4136" t="s">
        <v>54</v>
      </c>
      <c r="BU4136" t="s">
        <v>61</v>
      </c>
      <c r="BV4136" t="s">
        <v>62</v>
      </c>
      <c r="BX4136">
        <v>24</v>
      </c>
      <c r="BY4136">
        <v>0</v>
      </c>
      <c r="BZ4136">
        <v>0</v>
      </c>
    </row>
    <row r="4137" spans="1:78" x14ac:dyDescent="0.2">
      <c r="A4137" t="s">
        <v>112</v>
      </c>
      <c r="B4137" t="s">
        <v>113</v>
      </c>
      <c r="C4137" t="s">
        <v>114</v>
      </c>
      <c r="D4137" t="s">
        <v>1985</v>
      </c>
      <c r="F4137" t="str">
        <f>"250143"</f>
        <v>250143</v>
      </c>
      <c r="G4137" t="s">
        <v>49</v>
      </c>
      <c r="H4137" t="s">
        <v>1987</v>
      </c>
      <c r="K4137" t="s">
        <v>51</v>
      </c>
      <c r="L4137" t="s">
        <v>52</v>
      </c>
      <c r="M4137">
        <v>137175.70000000001</v>
      </c>
      <c r="N4137">
        <v>470752.41</v>
      </c>
      <c r="O4137" t="s">
        <v>53</v>
      </c>
      <c r="P4137" t="s">
        <v>54</v>
      </c>
      <c r="Q4137" t="s">
        <v>55</v>
      </c>
      <c r="T4137" t="s">
        <v>183</v>
      </c>
      <c r="U4137">
        <v>40</v>
      </c>
      <c r="V4137" s="1">
        <v>37073</v>
      </c>
      <c r="W4137" s="1">
        <v>37073</v>
      </c>
      <c r="X4137" s="1">
        <v>37073</v>
      </c>
      <c r="Y4137" s="1">
        <v>51683</v>
      </c>
      <c r="Z4137" t="s">
        <v>51</v>
      </c>
      <c r="AB4137" t="s">
        <v>54</v>
      </c>
      <c r="AC4137">
        <v>1</v>
      </c>
      <c r="AE4137" t="s">
        <v>84</v>
      </c>
      <c r="AF4137">
        <v>20</v>
      </c>
      <c r="AG4137" s="1">
        <v>37073</v>
      </c>
      <c r="AH4137" s="1">
        <v>37073</v>
      </c>
      <c r="AI4137" s="1">
        <v>37073</v>
      </c>
      <c r="AJ4137" s="1">
        <v>44378</v>
      </c>
      <c r="AK4137" t="s">
        <v>51</v>
      </c>
      <c r="AN4137">
        <v>0</v>
      </c>
      <c r="AO4137" t="s">
        <v>54</v>
      </c>
      <c r="AP4137" t="s">
        <v>53</v>
      </c>
      <c r="AQ4137">
        <v>0</v>
      </c>
      <c r="AR4137" t="s">
        <v>53</v>
      </c>
      <c r="AS4137">
        <v>0</v>
      </c>
      <c r="AT4137">
        <v>0</v>
      </c>
      <c r="AW4137" t="s">
        <v>58</v>
      </c>
      <c r="AX4137">
        <v>20</v>
      </c>
      <c r="AY4137" s="1">
        <v>37073</v>
      </c>
      <c r="AZ4137" s="1">
        <v>37073</v>
      </c>
      <c r="BA4137" s="1">
        <v>37073</v>
      </c>
      <c r="BB4137" s="1">
        <v>44378</v>
      </c>
      <c r="BC4137" t="s">
        <v>51</v>
      </c>
      <c r="BE4137" t="s">
        <v>54</v>
      </c>
      <c r="BF4137">
        <v>2</v>
      </c>
      <c r="BG4137">
        <v>0</v>
      </c>
      <c r="BH4137" t="s">
        <v>53</v>
      </c>
      <c r="BK4137" t="s">
        <v>59</v>
      </c>
      <c r="BL4137">
        <v>14000</v>
      </c>
      <c r="BM4137" s="1">
        <v>42917</v>
      </c>
      <c r="BN4137" s="1">
        <v>42917</v>
      </c>
      <c r="BO4137" s="1">
        <v>42917</v>
      </c>
      <c r="BP4137" s="1">
        <v>44117</v>
      </c>
      <c r="BQ4137" t="s">
        <v>51</v>
      </c>
      <c r="BS4137" t="s">
        <v>60</v>
      </c>
      <c r="BT4137" t="s">
        <v>54</v>
      </c>
      <c r="BU4137" t="s">
        <v>61</v>
      </c>
      <c r="BV4137" t="s">
        <v>62</v>
      </c>
      <c r="BX4137">
        <v>24</v>
      </c>
      <c r="BY4137">
        <v>0</v>
      </c>
      <c r="BZ4137">
        <v>0</v>
      </c>
    </row>
    <row r="4138" spans="1:78" x14ac:dyDescent="0.2">
      <c r="A4138" t="s">
        <v>112</v>
      </c>
      <c r="B4138" t="s">
        <v>113</v>
      </c>
      <c r="C4138" t="s">
        <v>114</v>
      </c>
      <c r="D4138" t="s">
        <v>1985</v>
      </c>
      <c r="F4138" t="str">
        <f>"250144"</f>
        <v>250144</v>
      </c>
      <c r="G4138" t="s">
        <v>49</v>
      </c>
      <c r="H4138" t="s">
        <v>1988</v>
      </c>
      <c r="K4138" t="s">
        <v>51</v>
      </c>
      <c r="L4138" t="s">
        <v>52</v>
      </c>
      <c r="M4138">
        <v>137210.20000000001</v>
      </c>
      <c r="N4138">
        <v>470753.59</v>
      </c>
      <c r="O4138" t="s">
        <v>53</v>
      </c>
      <c r="P4138" t="s">
        <v>54</v>
      </c>
      <c r="Q4138" t="s">
        <v>55</v>
      </c>
      <c r="T4138" t="s">
        <v>183</v>
      </c>
      <c r="U4138">
        <v>40</v>
      </c>
      <c r="V4138" s="1">
        <v>37073</v>
      </c>
      <c r="W4138" s="1">
        <v>37073</v>
      </c>
      <c r="X4138" s="1">
        <v>37073</v>
      </c>
      <c r="Y4138" s="1">
        <v>51683</v>
      </c>
      <c r="Z4138" t="s">
        <v>51</v>
      </c>
      <c r="AB4138" t="s">
        <v>54</v>
      </c>
      <c r="AC4138">
        <v>1</v>
      </c>
      <c r="AE4138" t="s">
        <v>84</v>
      </c>
      <c r="AF4138">
        <v>20</v>
      </c>
      <c r="AG4138" s="1">
        <v>37073</v>
      </c>
      <c r="AH4138" s="1">
        <v>37073</v>
      </c>
      <c r="AI4138" s="1">
        <v>37073</v>
      </c>
      <c r="AJ4138" s="1">
        <v>44378</v>
      </c>
      <c r="AK4138" t="s">
        <v>51</v>
      </c>
      <c r="AN4138">
        <v>0</v>
      </c>
      <c r="AO4138" t="s">
        <v>54</v>
      </c>
      <c r="AP4138" t="s">
        <v>53</v>
      </c>
      <c r="AQ4138">
        <v>0</v>
      </c>
      <c r="AR4138" t="s">
        <v>53</v>
      </c>
      <c r="AS4138">
        <v>0</v>
      </c>
      <c r="AT4138">
        <v>0</v>
      </c>
      <c r="AW4138" t="s">
        <v>58</v>
      </c>
      <c r="AX4138">
        <v>20</v>
      </c>
      <c r="AY4138" s="1">
        <v>37073</v>
      </c>
      <c r="AZ4138" s="1">
        <v>37073</v>
      </c>
      <c r="BA4138" s="1">
        <v>37073</v>
      </c>
      <c r="BB4138" s="1">
        <v>44378</v>
      </c>
      <c r="BC4138" t="s">
        <v>51</v>
      </c>
      <c r="BE4138" t="s">
        <v>54</v>
      </c>
      <c r="BF4138">
        <v>2</v>
      </c>
      <c r="BG4138">
        <v>0</v>
      </c>
      <c r="BH4138" t="s">
        <v>53</v>
      </c>
      <c r="BK4138" t="s">
        <v>59</v>
      </c>
      <c r="BL4138">
        <v>14000</v>
      </c>
      <c r="BM4138" s="1">
        <v>42917</v>
      </c>
      <c r="BN4138" s="1">
        <v>42917</v>
      </c>
      <c r="BO4138" s="1">
        <v>42917</v>
      </c>
      <c r="BP4138" s="1">
        <v>44117</v>
      </c>
      <c r="BQ4138" t="s">
        <v>51</v>
      </c>
      <c r="BS4138" t="s">
        <v>60</v>
      </c>
      <c r="BT4138" t="s">
        <v>54</v>
      </c>
      <c r="BU4138" t="s">
        <v>61</v>
      </c>
      <c r="BV4138" t="s">
        <v>62</v>
      </c>
      <c r="BX4138">
        <v>24</v>
      </c>
      <c r="BY4138">
        <v>0</v>
      </c>
      <c r="BZ4138">
        <v>0</v>
      </c>
    </row>
    <row r="4139" spans="1:78" x14ac:dyDescent="0.2">
      <c r="A4139" t="s">
        <v>112</v>
      </c>
      <c r="B4139" t="s">
        <v>113</v>
      </c>
      <c r="C4139" t="s">
        <v>114</v>
      </c>
      <c r="D4139" t="s">
        <v>1985</v>
      </c>
      <c r="F4139" t="str">
        <f>"250145"</f>
        <v>250145</v>
      </c>
      <c r="G4139" t="s">
        <v>49</v>
      </c>
      <c r="H4139" t="s">
        <v>1989</v>
      </c>
      <c r="K4139" t="s">
        <v>51</v>
      </c>
      <c r="L4139" t="s">
        <v>52</v>
      </c>
      <c r="M4139">
        <v>137244.71</v>
      </c>
      <c r="N4139">
        <v>470754.38</v>
      </c>
      <c r="O4139" t="s">
        <v>53</v>
      </c>
      <c r="P4139" t="s">
        <v>54</v>
      </c>
      <c r="Q4139" t="s">
        <v>55</v>
      </c>
      <c r="T4139" t="s">
        <v>183</v>
      </c>
      <c r="U4139">
        <v>40</v>
      </c>
      <c r="V4139" s="1">
        <v>37073</v>
      </c>
      <c r="W4139" s="1">
        <v>37073</v>
      </c>
      <c r="X4139" s="1">
        <v>37073</v>
      </c>
      <c r="Y4139" s="1">
        <v>51683</v>
      </c>
      <c r="Z4139" t="s">
        <v>51</v>
      </c>
      <c r="AB4139" t="s">
        <v>54</v>
      </c>
      <c r="AC4139">
        <v>1</v>
      </c>
      <c r="AE4139" t="s">
        <v>84</v>
      </c>
      <c r="AF4139">
        <v>20</v>
      </c>
      <c r="AG4139" s="1">
        <v>37073</v>
      </c>
      <c r="AH4139" s="1">
        <v>37073</v>
      </c>
      <c r="AI4139" s="1">
        <v>37073</v>
      </c>
      <c r="AJ4139" s="1">
        <v>44378</v>
      </c>
      <c r="AK4139" t="s">
        <v>51</v>
      </c>
      <c r="AN4139">
        <v>0</v>
      </c>
      <c r="AO4139" t="s">
        <v>54</v>
      </c>
      <c r="AP4139" t="s">
        <v>53</v>
      </c>
      <c r="AQ4139">
        <v>0</v>
      </c>
      <c r="AR4139" t="s">
        <v>53</v>
      </c>
      <c r="AS4139">
        <v>0</v>
      </c>
      <c r="AT4139">
        <v>0</v>
      </c>
      <c r="AW4139" t="s">
        <v>58</v>
      </c>
      <c r="AX4139">
        <v>20</v>
      </c>
      <c r="AY4139" s="1">
        <v>37073</v>
      </c>
      <c r="AZ4139" s="1">
        <v>37073</v>
      </c>
      <c r="BA4139" s="1">
        <v>37073</v>
      </c>
      <c r="BB4139" s="1">
        <v>44378</v>
      </c>
      <c r="BC4139" t="s">
        <v>51</v>
      </c>
      <c r="BE4139" t="s">
        <v>54</v>
      </c>
      <c r="BF4139">
        <v>2</v>
      </c>
      <c r="BG4139">
        <v>0</v>
      </c>
      <c r="BH4139" t="s">
        <v>53</v>
      </c>
      <c r="BK4139" t="s">
        <v>59</v>
      </c>
      <c r="BL4139">
        <v>14000</v>
      </c>
      <c r="BM4139" s="1">
        <v>42917</v>
      </c>
      <c r="BN4139" s="1">
        <v>42917</v>
      </c>
      <c r="BO4139" s="1">
        <v>42917</v>
      </c>
      <c r="BP4139" s="1">
        <v>44117</v>
      </c>
      <c r="BQ4139" t="s">
        <v>51</v>
      </c>
      <c r="BS4139" t="s">
        <v>60</v>
      </c>
      <c r="BT4139" t="s">
        <v>54</v>
      </c>
      <c r="BU4139" t="s">
        <v>61</v>
      </c>
      <c r="BV4139" t="s">
        <v>62</v>
      </c>
      <c r="BX4139">
        <v>24</v>
      </c>
      <c r="BY4139">
        <v>0</v>
      </c>
      <c r="BZ4139">
        <v>0</v>
      </c>
    </row>
    <row r="4140" spans="1:78" x14ac:dyDescent="0.2">
      <c r="A4140" t="s">
        <v>112</v>
      </c>
      <c r="B4140" t="s">
        <v>113</v>
      </c>
      <c r="C4140" t="s">
        <v>114</v>
      </c>
      <c r="D4140" t="s">
        <v>1985</v>
      </c>
      <c r="F4140" t="str">
        <f>"250146"</f>
        <v>250146</v>
      </c>
      <c r="G4140" t="s">
        <v>49</v>
      </c>
      <c r="H4140" t="s">
        <v>1990</v>
      </c>
      <c r="K4140" t="s">
        <v>51</v>
      </c>
      <c r="L4140" t="s">
        <v>52</v>
      </c>
      <c r="M4140">
        <v>137277.95000000001</v>
      </c>
      <c r="N4140">
        <v>470755.26</v>
      </c>
      <c r="O4140" t="s">
        <v>53</v>
      </c>
      <c r="P4140" t="s">
        <v>54</v>
      </c>
      <c r="Q4140" t="s">
        <v>55</v>
      </c>
      <c r="T4140" t="s">
        <v>183</v>
      </c>
      <c r="U4140">
        <v>40</v>
      </c>
      <c r="V4140" s="1">
        <v>37073</v>
      </c>
      <c r="W4140" s="1">
        <v>37073</v>
      </c>
      <c r="X4140" s="1">
        <v>37073</v>
      </c>
      <c r="Y4140" s="1">
        <v>51683</v>
      </c>
      <c r="Z4140" t="s">
        <v>51</v>
      </c>
      <c r="AB4140" t="s">
        <v>54</v>
      </c>
      <c r="AC4140">
        <v>1</v>
      </c>
      <c r="AE4140" t="s">
        <v>84</v>
      </c>
      <c r="AF4140">
        <v>20</v>
      </c>
      <c r="AG4140" s="1">
        <v>37073</v>
      </c>
      <c r="AH4140" s="1">
        <v>37073</v>
      </c>
      <c r="AI4140" s="1">
        <v>37073</v>
      </c>
      <c r="AJ4140" s="1">
        <v>44378</v>
      </c>
      <c r="AK4140" t="s">
        <v>51</v>
      </c>
      <c r="AN4140">
        <v>0</v>
      </c>
      <c r="AO4140" t="s">
        <v>54</v>
      </c>
      <c r="AP4140" t="s">
        <v>53</v>
      </c>
      <c r="AQ4140">
        <v>0</v>
      </c>
      <c r="AR4140" t="s">
        <v>53</v>
      </c>
      <c r="AS4140">
        <v>0</v>
      </c>
      <c r="AT4140">
        <v>0</v>
      </c>
      <c r="AW4140" t="s">
        <v>58</v>
      </c>
      <c r="AX4140">
        <v>20</v>
      </c>
      <c r="AY4140" s="1">
        <v>37073</v>
      </c>
      <c r="AZ4140" s="1">
        <v>37073</v>
      </c>
      <c r="BA4140" s="1">
        <v>37073</v>
      </c>
      <c r="BB4140" s="1">
        <v>44378</v>
      </c>
      <c r="BC4140" t="s">
        <v>51</v>
      </c>
      <c r="BE4140" t="s">
        <v>54</v>
      </c>
      <c r="BF4140">
        <v>2</v>
      </c>
      <c r="BG4140">
        <v>0</v>
      </c>
      <c r="BH4140" t="s">
        <v>53</v>
      </c>
      <c r="BK4140" t="s">
        <v>59</v>
      </c>
      <c r="BL4140">
        <v>14000</v>
      </c>
      <c r="BM4140" s="1">
        <v>42917</v>
      </c>
      <c r="BN4140" s="1">
        <v>42917</v>
      </c>
      <c r="BO4140" s="1">
        <v>42917</v>
      </c>
      <c r="BP4140" s="1">
        <v>44117</v>
      </c>
      <c r="BQ4140" t="s">
        <v>51</v>
      </c>
      <c r="BS4140" t="s">
        <v>60</v>
      </c>
      <c r="BT4140" t="s">
        <v>54</v>
      </c>
      <c r="BU4140" t="s">
        <v>61</v>
      </c>
      <c r="BV4140" t="s">
        <v>62</v>
      </c>
      <c r="BX4140">
        <v>24</v>
      </c>
      <c r="BY4140">
        <v>0</v>
      </c>
      <c r="BZ4140">
        <v>0</v>
      </c>
    </row>
    <row r="4141" spans="1:78" x14ac:dyDescent="0.2">
      <c r="A4141" t="s">
        <v>112</v>
      </c>
      <c r="B4141" t="s">
        <v>113</v>
      </c>
      <c r="C4141" t="s">
        <v>114</v>
      </c>
      <c r="D4141" t="s">
        <v>1985</v>
      </c>
      <c r="F4141" t="str">
        <f>"250147"</f>
        <v>250147</v>
      </c>
      <c r="G4141" t="s">
        <v>49</v>
      </c>
      <c r="H4141" t="s">
        <v>1991</v>
      </c>
      <c r="K4141" t="s">
        <v>51</v>
      </c>
      <c r="L4141" t="s">
        <v>52</v>
      </c>
      <c r="M4141">
        <v>137313.48000000001</v>
      </c>
      <c r="N4141">
        <v>470756.46</v>
      </c>
      <c r="O4141" t="s">
        <v>53</v>
      </c>
      <c r="P4141" t="s">
        <v>54</v>
      </c>
      <c r="Q4141" t="s">
        <v>55</v>
      </c>
      <c r="T4141" t="s">
        <v>183</v>
      </c>
      <c r="U4141">
        <v>40</v>
      </c>
      <c r="V4141" s="1">
        <v>37073</v>
      </c>
      <c r="W4141" s="1">
        <v>37073</v>
      </c>
      <c r="X4141" s="1">
        <v>37073</v>
      </c>
      <c r="Y4141" s="1">
        <v>51683</v>
      </c>
      <c r="Z4141" t="s">
        <v>51</v>
      </c>
      <c r="AB4141" t="s">
        <v>54</v>
      </c>
      <c r="AC4141">
        <v>1</v>
      </c>
      <c r="AE4141" t="s">
        <v>84</v>
      </c>
      <c r="AF4141">
        <v>20</v>
      </c>
      <c r="AG4141" s="1">
        <v>36708</v>
      </c>
      <c r="AH4141" s="1">
        <v>36708</v>
      </c>
      <c r="AI4141" s="1">
        <v>37073</v>
      </c>
      <c r="AJ4141" s="1">
        <v>44013</v>
      </c>
      <c r="AK4141" t="s">
        <v>51</v>
      </c>
      <c r="AN4141">
        <v>0</v>
      </c>
      <c r="AO4141" t="s">
        <v>54</v>
      </c>
      <c r="AP4141" t="s">
        <v>53</v>
      </c>
      <c r="AQ4141">
        <v>0</v>
      </c>
      <c r="AR4141" t="s">
        <v>53</v>
      </c>
      <c r="AS4141">
        <v>0</v>
      </c>
      <c r="AT4141">
        <v>0</v>
      </c>
      <c r="AW4141" t="s">
        <v>58</v>
      </c>
      <c r="AX4141">
        <v>20</v>
      </c>
      <c r="AY4141" s="1">
        <v>36708</v>
      </c>
      <c r="AZ4141" s="1">
        <v>36708</v>
      </c>
      <c r="BA4141" s="1">
        <v>37073</v>
      </c>
      <c r="BB4141" s="1">
        <v>44013</v>
      </c>
      <c r="BC4141" t="s">
        <v>51</v>
      </c>
      <c r="BE4141" t="s">
        <v>54</v>
      </c>
      <c r="BF4141">
        <v>2</v>
      </c>
      <c r="BG4141">
        <v>0</v>
      </c>
      <c r="BH4141" t="s">
        <v>53</v>
      </c>
      <c r="BK4141" t="s">
        <v>59</v>
      </c>
      <c r="BL4141">
        <v>14000</v>
      </c>
      <c r="BM4141" s="1">
        <v>42917</v>
      </c>
      <c r="BN4141" s="1">
        <v>42917</v>
      </c>
      <c r="BO4141" s="1">
        <v>42917</v>
      </c>
      <c r="BP4141" s="1">
        <v>44117</v>
      </c>
      <c r="BQ4141" t="s">
        <v>51</v>
      </c>
      <c r="BS4141" t="s">
        <v>60</v>
      </c>
      <c r="BT4141" t="s">
        <v>54</v>
      </c>
      <c r="BU4141" t="s">
        <v>61</v>
      </c>
      <c r="BV4141" t="s">
        <v>62</v>
      </c>
      <c r="BX4141">
        <v>24</v>
      </c>
      <c r="BY4141">
        <v>0</v>
      </c>
      <c r="BZ4141">
        <v>0</v>
      </c>
    </row>
    <row r="4142" spans="1:78" x14ac:dyDescent="0.2">
      <c r="A4142" t="s">
        <v>112</v>
      </c>
      <c r="B4142" t="s">
        <v>113</v>
      </c>
      <c r="C4142" t="s">
        <v>114</v>
      </c>
      <c r="D4142" t="s">
        <v>1985</v>
      </c>
      <c r="F4142" t="str">
        <f>"250148"</f>
        <v>250148</v>
      </c>
      <c r="G4142" t="s">
        <v>49</v>
      </c>
      <c r="H4142" t="s">
        <v>1992</v>
      </c>
      <c r="K4142" t="s">
        <v>51</v>
      </c>
      <c r="L4142" t="s">
        <v>52</v>
      </c>
      <c r="M4142">
        <v>137345.98000000001</v>
      </c>
      <c r="N4142">
        <v>470757.45</v>
      </c>
      <c r="O4142" t="s">
        <v>53</v>
      </c>
      <c r="P4142" t="s">
        <v>54</v>
      </c>
      <c r="Q4142" t="s">
        <v>55</v>
      </c>
      <c r="T4142" t="s">
        <v>183</v>
      </c>
      <c r="U4142">
        <v>40</v>
      </c>
      <c r="V4142" s="1">
        <v>37073</v>
      </c>
      <c r="W4142" s="1">
        <v>37073</v>
      </c>
      <c r="X4142" s="1">
        <v>37073</v>
      </c>
      <c r="Y4142" s="1">
        <v>51683</v>
      </c>
      <c r="Z4142" t="s">
        <v>51</v>
      </c>
      <c r="AB4142" t="s">
        <v>54</v>
      </c>
      <c r="AC4142">
        <v>1</v>
      </c>
      <c r="AE4142" t="s">
        <v>84</v>
      </c>
      <c r="AF4142">
        <v>20</v>
      </c>
      <c r="AG4142" s="1">
        <v>37073</v>
      </c>
      <c r="AH4142" s="1">
        <v>37073</v>
      </c>
      <c r="AI4142" s="1">
        <v>37073</v>
      </c>
      <c r="AJ4142" s="1">
        <v>44378</v>
      </c>
      <c r="AK4142" t="s">
        <v>51</v>
      </c>
      <c r="AN4142">
        <v>0</v>
      </c>
      <c r="AO4142" t="s">
        <v>54</v>
      </c>
      <c r="AP4142" t="s">
        <v>53</v>
      </c>
      <c r="AQ4142">
        <v>0</v>
      </c>
      <c r="AR4142" t="s">
        <v>53</v>
      </c>
      <c r="AS4142">
        <v>0</v>
      </c>
      <c r="AT4142">
        <v>0</v>
      </c>
      <c r="AW4142" t="s">
        <v>58</v>
      </c>
      <c r="AX4142">
        <v>20</v>
      </c>
      <c r="AY4142" s="1">
        <v>37073</v>
      </c>
      <c r="AZ4142" s="1">
        <v>37073</v>
      </c>
      <c r="BA4142" s="1">
        <v>37073</v>
      </c>
      <c r="BB4142" s="1">
        <v>44378</v>
      </c>
      <c r="BC4142" t="s">
        <v>51</v>
      </c>
      <c r="BE4142" t="s">
        <v>54</v>
      </c>
      <c r="BF4142">
        <v>2</v>
      </c>
      <c r="BG4142">
        <v>0</v>
      </c>
      <c r="BH4142" t="s">
        <v>53</v>
      </c>
      <c r="BK4142" t="s">
        <v>59</v>
      </c>
      <c r="BL4142">
        <v>14000</v>
      </c>
      <c r="BM4142" s="1">
        <v>42917</v>
      </c>
      <c r="BN4142" s="1">
        <v>42917</v>
      </c>
      <c r="BO4142" s="1">
        <v>42917</v>
      </c>
      <c r="BP4142" s="1">
        <v>44117</v>
      </c>
      <c r="BQ4142" t="s">
        <v>51</v>
      </c>
      <c r="BS4142" t="s">
        <v>60</v>
      </c>
      <c r="BT4142" t="s">
        <v>54</v>
      </c>
      <c r="BU4142" t="s">
        <v>61</v>
      </c>
      <c r="BV4142" t="s">
        <v>62</v>
      </c>
      <c r="BX4142">
        <v>24</v>
      </c>
      <c r="BY4142">
        <v>0</v>
      </c>
      <c r="BZ4142">
        <v>0</v>
      </c>
    </row>
    <row r="4143" spans="1:78" x14ac:dyDescent="0.2">
      <c r="A4143" t="s">
        <v>112</v>
      </c>
      <c r="B4143" t="s">
        <v>113</v>
      </c>
      <c r="C4143" t="s">
        <v>114</v>
      </c>
      <c r="D4143" t="s">
        <v>1985</v>
      </c>
      <c r="F4143" t="str">
        <f>"250149"</f>
        <v>250149</v>
      </c>
      <c r="G4143" t="s">
        <v>49</v>
      </c>
      <c r="H4143" t="s">
        <v>1993</v>
      </c>
      <c r="K4143" t="s">
        <v>51</v>
      </c>
      <c r="L4143" t="s">
        <v>52</v>
      </c>
      <c r="M4143">
        <v>137379.54999999999</v>
      </c>
      <c r="N4143">
        <v>470758.58</v>
      </c>
      <c r="O4143" t="s">
        <v>53</v>
      </c>
      <c r="P4143" t="s">
        <v>54</v>
      </c>
      <c r="Q4143" t="s">
        <v>55</v>
      </c>
      <c r="T4143" t="s">
        <v>183</v>
      </c>
      <c r="U4143">
        <v>40</v>
      </c>
      <c r="V4143" s="1">
        <v>37073</v>
      </c>
      <c r="W4143" s="1">
        <v>37073</v>
      </c>
      <c r="X4143" s="1">
        <v>37073</v>
      </c>
      <c r="Y4143" s="1">
        <v>51683</v>
      </c>
      <c r="Z4143" t="s">
        <v>51</v>
      </c>
      <c r="AB4143" t="s">
        <v>54</v>
      </c>
      <c r="AC4143">
        <v>1</v>
      </c>
      <c r="AE4143" t="s">
        <v>84</v>
      </c>
      <c r="AF4143">
        <v>20</v>
      </c>
      <c r="AG4143" s="1">
        <v>37073</v>
      </c>
      <c r="AH4143" s="1">
        <v>37073</v>
      </c>
      <c r="AI4143" s="1">
        <v>37073</v>
      </c>
      <c r="AJ4143" s="1">
        <v>44378</v>
      </c>
      <c r="AK4143" t="s">
        <v>51</v>
      </c>
      <c r="AN4143">
        <v>0</v>
      </c>
      <c r="AO4143" t="s">
        <v>54</v>
      </c>
      <c r="AP4143" t="s">
        <v>53</v>
      </c>
      <c r="AQ4143">
        <v>0</v>
      </c>
      <c r="AR4143" t="s">
        <v>53</v>
      </c>
      <c r="AS4143">
        <v>0</v>
      </c>
      <c r="AT4143">
        <v>0</v>
      </c>
      <c r="AW4143" t="s">
        <v>58</v>
      </c>
      <c r="AX4143">
        <v>20</v>
      </c>
      <c r="AY4143" s="1">
        <v>44504</v>
      </c>
      <c r="AZ4143" s="1">
        <v>44504</v>
      </c>
      <c r="BA4143" s="1">
        <v>44504</v>
      </c>
      <c r="BB4143" s="1">
        <v>51809</v>
      </c>
      <c r="BC4143" t="s">
        <v>51</v>
      </c>
      <c r="BE4143" t="s">
        <v>54</v>
      </c>
      <c r="BF4143">
        <v>2</v>
      </c>
      <c r="BG4143">
        <v>0</v>
      </c>
      <c r="BH4143" t="s">
        <v>53</v>
      </c>
      <c r="BK4143" t="s">
        <v>59</v>
      </c>
      <c r="BL4143">
        <v>14000</v>
      </c>
      <c r="BM4143" s="1">
        <v>42917</v>
      </c>
      <c r="BN4143" s="1">
        <v>42917</v>
      </c>
      <c r="BO4143" s="1">
        <v>44504</v>
      </c>
      <c r="BP4143" s="1">
        <v>44117</v>
      </c>
      <c r="BQ4143" t="s">
        <v>51</v>
      </c>
      <c r="BS4143" t="s">
        <v>60</v>
      </c>
      <c r="BT4143" t="s">
        <v>54</v>
      </c>
      <c r="BU4143" t="s">
        <v>61</v>
      </c>
      <c r="BV4143" t="s">
        <v>62</v>
      </c>
      <c r="BX4143">
        <v>24</v>
      </c>
      <c r="BY4143">
        <v>0</v>
      </c>
      <c r="BZ4143">
        <v>0</v>
      </c>
    </row>
    <row r="4144" spans="1:78" x14ac:dyDescent="0.2">
      <c r="A4144" t="s">
        <v>112</v>
      </c>
      <c r="B4144" t="s">
        <v>113</v>
      </c>
      <c r="C4144" t="s">
        <v>114</v>
      </c>
      <c r="D4144" t="s">
        <v>1985</v>
      </c>
      <c r="F4144" t="str">
        <f>"250150"</f>
        <v>250150</v>
      </c>
      <c r="G4144" t="s">
        <v>49</v>
      </c>
      <c r="H4144" t="s">
        <v>1994</v>
      </c>
      <c r="K4144" t="s">
        <v>51</v>
      </c>
      <c r="L4144" t="s">
        <v>52</v>
      </c>
      <c r="M4144">
        <v>137414.07</v>
      </c>
      <c r="N4144">
        <v>470759.65</v>
      </c>
      <c r="O4144" t="s">
        <v>53</v>
      </c>
      <c r="P4144" t="s">
        <v>54</v>
      </c>
      <c r="Q4144" t="s">
        <v>55</v>
      </c>
      <c r="T4144" t="s">
        <v>183</v>
      </c>
      <c r="U4144">
        <v>40</v>
      </c>
      <c r="V4144" s="1">
        <v>36708</v>
      </c>
      <c r="W4144" s="1">
        <v>36708</v>
      </c>
      <c r="X4144" s="1">
        <v>36708</v>
      </c>
      <c r="Y4144" s="1">
        <v>51318</v>
      </c>
      <c r="Z4144" t="s">
        <v>51</v>
      </c>
      <c r="AB4144" t="s">
        <v>54</v>
      </c>
      <c r="AC4144">
        <v>1</v>
      </c>
      <c r="AE4144" t="s">
        <v>84</v>
      </c>
      <c r="AF4144">
        <v>20</v>
      </c>
      <c r="AG4144" s="1">
        <v>36708</v>
      </c>
      <c r="AH4144" s="1">
        <v>36708</v>
      </c>
      <c r="AI4144" s="1">
        <v>36708</v>
      </c>
      <c r="AJ4144" s="1">
        <v>44013</v>
      </c>
      <c r="AK4144" t="s">
        <v>51</v>
      </c>
      <c r="AN4144">
        <v>0</v>
      </c>
      <c r="AO4144" t="s">
        <v>54</v>
      </c>
      <c r="AP4144" t="s">
        <v>53</v>
      </c>
      <c r="AQ4144">
        <v>0</v>
      </c>
      <c r="AR4144" t="s">
        <v>53</v>
      </c>
      <c r="AS4144">
        <v>0</v>
      </c>
      <c r="AT4144">
        <v>0</v>
      </c>
      <c r="AW4144" t="s">
        <v>58</v>
      </c>
      <c r="AX4144">
        <v>20</v>
      </c>
      <c r="AY4144" s="1">
        <v>36708</v>
      </c>
      <c r="AZ4144" s="1">
        <v>36708</v>
      </c>
      <c r="BA4144" s="1">
        <v>36708</v>
      </c>
      <c r="BB4144" s="1">
        <v>44013</v>
      </c>
      <c r="BC4144" t="s">
        <v>51</v>
      </c>
      <c r="BE4144" t="s">
        <v>54</v>
      </c>
      <c r="BF4144">
        <v>2</v>
      </c>
      <c r="BG4144">
        <v>0</v>
      </c>
      <c r="BH4144" t="s">
        <v>53</v>
      </c>
      <c r="BK4144" t="s">
        <v>59</v>
      </c>
      <c r="BL4144">
        <v>14000</v>
      </c>
      <c r="BM4144" s="1">
        <v>42917</v>
      </c>
      <c r="BN4144" s="1">
        <v>42917</v>
      </c>
      <c r="BO4144" s="1">
        <v>42917</v>
      </c>
      <c r="BP4144" s="1">
        <v>44117</v>
      </c>
      <c r="BQ4144" t="s">
        <v>51</v>
      </c>
      <c r="BS4144" t="s">
        <v>60</v>
      </c>
      <c r="BT4144" t="s">
        <v>54</v>
      </c>
      <c r="BU4144" t="s">
        <v>61</v>
      </c>
      <c r="BV4144" t="s">
        <v>62</v>
      </c>
      <c r="BX4144">
        <v>24</v>
      </c>
      <c r="BY4144">
        <v>0</v>
      </c>
      <c r="BZ4144">
        <v>0</v>
      </c>
    </row>
    <row r="4145" spans="1:78" x14ac:dyDescent="0.2">
      <c r="A4145" t="s">
        <v>112</v>
      </c>
      <c r="B4145" t="s">
        <v>113</v>
      </c>
      <c r="C4145" t="s">
        <v>114</v>
      </c>
      <c r="D4145" t="s">
        <v>1985</v>
      </c>
      <c r="F4145" t="str">
        <f>"250151"</f>
        <v>250151</v>
      </c>
      <c r="G4145" t="s">
        <v>49</v>
      </c>
      <c r="K4145" t="s">
        <v>51</v>
      </c>
      <c r="L4145" t="s">
        <v>52</v>
      </c>
      <c r="M4145">
        <v>137446.13</v>
      </c>
      <c r="N4145">
        <v>470760.6</v>
      </c>
      <c r="O4145" t="s">
        <v>53</v>
      </c>
      <c r="P4145" t="s">
        <v>54</v>
      </c>
      <c r="Q4145" t="s">
        <v>55</v>
      </c>
      <c r="T4145" t="s">
        <v>183</v>
      </c>
      <c r="U4145">
        <v>40</v>
      </c>
      <c r="V4145" s="1">
        <v>37073</v>
      </c>
      <c r="W4145" s="1">
        <v>37073</v>
      </c>
      <c r="X4145" s="1">
        <v>37073</v>
      </c>
      <c r="Y4145" s="1">
        <v>51683</v>
      </c>
      <c r="Z4145" t="s">
        <v>51</v>
      </c>
      <c r="AB4145" t="s">
        <v>54</v>
      </c>
      <c r="AC4145">
        <v>1</v>
      </c>
      <c r="AE4145" t="s">
        <v>84</v>
      </c>
      <c r="AF4145">
        <v>20</v>
      </c>
      <c r="AG4145" s="1">
        <v>37073</v>
      </c>
      <c r="AH4145" s="1">
        <v>37073</v>
      </c>
      <c r="AI4145" s="1">
        <v>37073</v>
      </c>
      <c r="AJ4145" s="1">
        <v>44378</v>
      </c>
      <c r="AK4145" t="s">
        <v>51</v>
      </c>
      <c r="AN4145">
        <v>0</v>
      </c>
      <c r="AO4145" t="s">
        <v>54</v>
      </c>
      <c r="AP4145" t="s">
        <v>53</v>
      </c>
      <c r="AQ4145">
        <v>0</v>
      </c>
      <c r="AR4145" t="s">
        <v>53</v>
      </c>
      <c r="AS4145">
        <v>0</v>
      </c>
      <c r="AT4145">
        <v>0</v>
      </c>
      <c r="AW4145" t="s">
        <v>58</v>
      </c>
      <c r="AX4145">
        <v>20</v>
      </c>
      <c r="AY4145" s="1">
        <v>37073</v>
      </c>
      <c r="AZ4145" s="1">
        <v>37073</v>
      </c>
      <c r="BA4145" s="1">
        <v>37073</v>
      </c>
      <c r="BB4145" s="1">
        <v>44378</v>
      </c>
      <c r="BC4145" t="s">
        <v>51</v>
      </c>
      <c r="BE4145" t="s">
        <v>54</v>
      </c>
      <c r="BF4145">
        <v>2</v>
      </c>
      <c r="BG4145">
        <v>0</v>
      </c>
      <c r="BH4145" t="s">
        <v>53</v>
      </c>
      <c r="BK4145" t="s">
        <v>59</v>
      </c>
      <c r="BL4145">
        <v>14000</v>
      </c>
      <c r="BM4145" s="1">
        <v>42917</v>
      </c>
      <c r="BN4145" s="1">
        <v>42917</v>
      </c>
      <c r="BO4145" s="1">
        <v>42917</v>
      </c>
      <c r="BP4145" s="1">
        <v>44117</v>
      </c>
      <c r="BQ4145" t="s">
        <v>51</v>
      </c>
      <c r="BS4145" t="s">
        <v>60</v>
      </c>
      <c r="BT4145" t="s">
        <v>54</v>
      </c>
      <c r="BU4145" t="s">
        <v>61</v>
      </c>
      <c r="BV4145" t="s">
        <v>62</v>
      </c>
      <c r="BX4145">
        <v>24</v>
      </c>
      <c r="BY4145">
        <v>0</v>
      </c>
      <c r="BZ4145">
        <v>0</v>
      </c>
    </row>
    <row r="4146" spans="1:78" x14ac:dyDescent="0.2">
      <c r="A4146" t="s">
        <v>112</v>
      </c>
      <c r="B4146" t="s">
        <v>113</v>
      </c>
      <c r="C4146" t="s">
        <v>114</v>
      </c>
      <c r="D4146" t="s">
        <v>1985</v>
      </c>
      <c r="F4146" t="str">
        <f>"250152"</f>
        <v>250152</v>
      </c>
      <c r="G4146" t="s">
        <v>49</v>
      </c>
      <c r="H4146" t="s">
        <v>1995</v>
      </c>
      <c r="K4146" t="s">
        <v>51</v>
      </c>
      <c r="L4146" t="s">
        <v>52</v>
      </c>
      <c r="M4146">
        <v>137479</v>
      </c>
      <c r="N4146">
        <v>470761.47</v>
      </c>
      <c r="O4146" t="s">
        <v>53</v>
      </c>
      <c r="P4146" t="s">
        <v>54</v>
      </c>
      <c r="Q4146" t="s">
        <v>55</v>
      </c>
      <c r="T4146" t="s">
        <v>183</v>
      </c>
      <c r="U4146">
        <v>40</v>
      </c>
      <c r="V4146" s="1">
        <v>37073</v>
      </c>
      <c r="W4146" s="1">
        <v>37073</v>
      </c>
      <c r="X4146" s="1">
        <v>37073</v>
      </c>
      <c r="Y4146" s="1">
        <v>51683</v>
      </c>
      <c r="Z4146" t="s">
        <v>51</v>
      </c>
      <c r="AB4146" t="s">
        <v>54</v>
      </c>
      <c r="AC4146">
        <v>1</v>
      </c>
      <c r="AE4146" t="s">
        <v>84</v>
      </c>
      <c r="AF4146">
        <v>20</v>
      </c>
      <c r="AG4146" s="1">
        <v>37073</v>
      </c>
      <c r="AH4146" s="1">
        <v>37073</v>
      </c>
      <c r="AI4146" s="1">
        <v>37073</v>
      </c>
      <c r="AJ4146" s="1">
        <v>44378</v>
      </c>
      <c r="AK4146" t="s">
        <v>51</v>
      </c>
      <c r="AN4146">
        <v>0</v>
      </c>
      <c r="AO4146" t="s">
        <v>54</v>
      </c>
      <c r="AP4146" t="s">
        <v>53</v>
      </c>
      <c r="AQ4146">
        <v>0</v>
      </c>
      <c r="AR4146" t="s">
        <v>53</v>
      </c>
      <c r="AS4146">
        <v>0</v>
      </c>
      <c r="AT4146">
        <v>0</v>
      </c>
      <c r="AW4146" t="s">
        <v>58</v>
      </c>
      <c r="AX4146">
        <v>20</v>
      </c>
      <c r="AY4146" s="1">
        <v>44504</v>
      </c>
      <c r="AZ4146" s="1">
        <v>44504</v>
      </c>
      <c r="BA4146" s="1">
        <v>44504</v>
      </c>
      <c r="BB4146" s="1">
        <v>51809</v>
      </c>
      <c r="BC4146" t="s">
        <v>51</v>
      </c>
      <c r="BE4146" t="s">
        <v>54</v>
      </c>
      <c r="BF4146">
        <v>2</v>
      </c>
      <c r="BG4146">
        <v>0</v>
      </c>
      <c r="BH4146" t="s">
        <v>53</v>
      </c>
      <c r="BK4146" t="s">
        <v>59</v>
      </c>
      <c r="BL4146">
        <v>14000</v>
      </c>
      <c r="BM4146" s="1">
        <v>42917</v>
      </c>
      <c r="BN4146" s="1">
        <v>42917</v>
      </c>
      <c r="BO4146" s="1">
        <v>44504</v>
      </c>
      <c r="BP4146" s="1">
        <v>44117</v>
      </c>
      <c r="BQ4146" t="s">
        <v>51</v>
      </c>
      <c r="BS4146" t="s">
        <v>60</v>
      </c>
      <c r="BT4146" t="s">
        <v>54</v>
      </c>
      <c r="BU4146" t="s">
        <v>61</v>
      </c>
      <c r="BV4146" t="s">
        <v>62</v>
      </c>
      <c r="BX4146">
        <v>24</v>
      </c>
      <c r="BY4146">
        <v>0</v>
      </c>
      <c r="BZ4146">
        <v>0</v>
      </c>
    </row>
    <row r="4147" spans="1:78" x14ac:dyDescent="0.2">
      <c r="A4147" t="s">
        <v>112</v>
      </c>
      <c r="B4147" t="s">
        <v>113</v>
      </c>
      <c r="C4147" t="s">
        <v>114</v>
      </c>
      <c r="D4147" t="s">
        <v>1985</v>
      </c>
      <c r="F4147" t="str">
        <f>"250153"</f>
        <v>250153</v>
      </c>
      <c r="G4147" t="s">
        <v>49</v>
      </c>
      <c r="H4147" t="s">
        <v>1996</v>
      </c>
      <c r="K4147" t="s">
        <v>51</v>
      </c>
      <c r="L4147" t="s">
        <v>52</v>
      </c>
      <c r="M4147">
        <v>137514.88</v>
      </c>
      <c r="N4147">
        <v>470762.26</v>
      </c>
      <c r="O4147" t="s">
        <v>53</v>
      </c>
      <c r="P4147" t="s">
        <v>54</v>
      </c>
      <c r="Q4147" t="s">
        <v>55</v>
      </c>
      <c r="T4147" t="s">
        <v>466</v>
      </c>
      <c r="U4147">
        <v>40</v>
      </c>
      <c r="V4147" s="1">
        <v>37073</v>
      </c>
      <c r="W4147" s="1">
        <v>37073</v>
      </c>
      <c r="X4147" s="1">
        <v>37073</v>
      </c>
      <c r="Y4147" s="1">
        <v>51683</v>
      </c>
      <c r="Z4147" t="s">
        <v>51</v>
      </c>
      <c r="AB4147" t="s">
        <v>54</v>
      </c>
      <c r="AC4147">
        <v>1</v>
      </c>
      <c r="AE4147" t="s">
        <v>84</v>
      </c>
      <c r="AF4147">
        <v>20</v>
      </c>
      <c r="AG4147" s="1">
        <v>37073</v>
      </c>
      <c r="AH4147" s="1">
        <v>37073</v>
      </c>
      <c r="AI4147" s="1">
        <v>37073</v>
      </c>
      <c r="AJ4147" s="1">
        <v>44378</v>
      </c>
      <c r="AK4147" t="s">
        <v>51</v>
      </c>
      <c r="AN4147">
        <v>0</v>
      </c>
      <c r="AO4147" t="s">
        <v>54</v>
      </c>
      <c r="AP4147" t="s">
        <v>53</v>
      </c>
      <c r="AQ4147">
        <v>0</v>
      </c>
      <c r="AR4147" t="s">
        <v>53</v>
      </c>
      <c r="AS4147">
        <v>0</v>
      </c>
      <c r="AT4147">
        <v>0</v>
      </c>
      <c r="AW4147" t="s">
        <v>58</v>
      </c>
      <c r="AX4147">
        <v>20</v>
      </c>
      <c r="AY4147" s="1">
        <v>43838</v>
      </c>
      <c r="AZ4147" s="1">
        <v>43838</v>
      </c>
      <c r="BA4147" s="1">
        <v>43838</v>
      </c>
      <c r="BB4147" s="1">
        <v>51143</v>
      </c>
      <c r="BC4147" t="s">
        <v>51</v>
      </c>
      <c r="BE4147" t="s">
        <v>54</v>
      </c>
      <c r="BF4147">
        <v>2</v>
      </c>
      <c r="BG4147">
        <v>0</v>
      </c>
      <c r="BH4147" t="s">
        <v>53</v>
      </c>
      <c r="BK4147" t="s">
        <v>59</v>
      </c>
      <c r="BL4147">
        <v>14000</v>
      </c>
      <c r="BM4147" s="1">
        <v>43838</v>
      </c>
      <c r="BN4147" s="1">
        <v>43838</v>
      </c>
      <c r="BO4147" s="1">
        <v>43838</v>
      </c>
      <c r="BP4147" s="1">
        <v>45005</v>
      </c>
      <c r="BQ4147" t="s">
        <v>51</v>
      </c>
      <c r="BS4147" t="s">
        <v>60</v>
      </c>
      <c r="BT4147" t="s">
        <v>54</v>
      </c>
      <c r="BU4147" t="s">
        <v>61</v>
      </c>
      <c r="BV4147" t="s">
        <v>62</v>
      </c>
      <c r="BX4147">
        <v>24</v>
      </c>
      <c r="BY4147">
        <v>0</v>
      </c>
      <c r="BZ4147">
        <v>0</v>
      </c>
    </row>
    <row r="4148" spans="1:78" x14ac:dyDescent="0.2">
      <c r="A4148" t="s">
        <v>112</v>
      </c>
      <c r="B4148" t="s">
        <v>113</v>
      </c>
      <c r="C4148" t="s">
        <v>114</v>
      </c>
      <c r="D4148" t="s">
        <v>1985</v>
      </c>
      <c r="F4148" t="str">
        <f>"250154"</f>
        <v>250154</v>
      </c>
      <c r="G4148" t="s">
        <v>49</v>
      </c>
      <c r="H4148" t="s">
        <v>1997</v>
      </c>
      <c r="K4148" t="s">
        <v>51</v>
      </c>
      <c r="L4148" t="s">
        <v>52</v>
      </c>
      <c r="M4148">
        <v>137545.57999999999</v>
      </c>
      <c r="N4148">
        <v>470763.08</v>
      </c>
      <c r="O4148" t="s">
        <v>53</v>
      </c>
      <c r="P4148" t="s">
        <v>54</v>
      </c>
      <c r="Q4148" t="s">
        <v>55</v>
      </c>
      <c r="T4148" t="s">
        <v>183</v>
      </c>
      <c r="U4148">
        <v>40</v>
      </c>
      <c r="V4148" s="1">
        <v>37073</v>
      </c>
      <c r="W4148" s="1">
        <v>37073</v>
      </c>
      <c r="X4148" s="1">
        <v>37073</v>
      </c>
      <c r="Y4148" s="1">
        <v>51683</v>
      </c>
      <c r="Z4148" t="s">
        <v>51</v>
      </c>
      <c r="AB4148" t="s">
        <v>54</v>
      </c>
      <c r="AC4148">
        <v>1</v>
      </c>
      <c r="AE4148" t="s">
        <v>84</v>
      </c>
      <c r="AF4148">
        <v>20</v>
      </c>
      <c r="AG4148" s="1">
        <v>36708</v>
      </c>
      <c r="AH4148" s="1">
        <v>36708</v>
      </c>
      <c r="AI4148" s="1">
        <v>37073</v>
      </c>
      <c r="AJ4148" s="1">
        <v>44013</v>
      </c>
      <c r="AK4148" t="s">
        <v>51</v>
      </c>
      <c r="AN4148">
        <v>0</v>
      </c>
      <c r="AO4148" t="s">
        <v>54</v>
      </c>
      <c r="AP4148" t="s">
        <v>53</v>
      </c>
      <c r="AQ4148">
        <v>0</v>
      </c>
      <c r="AR4148" t="s">
        <v>53</v>
      </c>
      <c r="AS4148">
        <v>0</v>
      </c>
      <c r="AT4148">
        <v>0</v>
      </c>
      <c r="AW4148" t="s">
        <v>58</v>
      </c>
      <c r="AX4148">
        <v>20</v>
      </c>
      <c r="AY4148" s="1">
        <v>36708</v>
      </c>
      <c r="AZ4148" s="1">
        <v>36708</v>
      </c>
      <c r="BA4148" s="1">
        <v>37073</v>
      </c>
      <c r="BB4148" s="1">
        <v>44013</v>
      </c>
      <c r="BC4148" t="s">
        <v>51</v>
      </c>
      <c r="BE4148" t="s">
        <v>54</v>
      </c>
      <c r="BF4148">
        <v>2</v>
      </c>
      <c r="BG4148">
        <v>0</v>
      </c>
      <c r="BH4148" t="s">
        <v>53</v>
      </c>
      <c r="BK4148" t="s">
        <v>59</v>
      </c>
      <c r="BL4148">
        <v>14000</v>
      </c>
      <c r="BM4148" s="1">
        <v>42917</v>
      </c>
      <c r="BN4148" s="1">
        <v>42917</v>
      </c>
      <c r="BO4148" s="1">
        <v>42917</v>
      </c>
      <c r="BP4148" s="1">
        <v>44117</v>
      </c>
      <c r="BQ4148" t="s">
        <v>51</v>
      </c>
      <c r="BS4148" t="s">
        <v>60</v>
      </c>
      <c r="BT4148" t="s">
        <v>54</v>
      </c>
      <c r="BU4148" t="s">
        <v>61</v>
      </c>
      <c r="BV4148" t="s">
        <v>62</v>
      </c>
      <c r="BX4148">
        <v>24</v>
      </c>
      <c r="BY4148">
        <v>0</v>
      </c>
      <c r="BZ4148">
        <v>0</v>
      </c>
    </row>
    <row r="4149" spans="1:78" x14ac:dyDescent="0.2">
      <c r="A4149" t="s">
        <v>112</v>
      </c>
      <c r="B4149" t="s">
        <v>113</v>
      </c>
      <c r="C4149" t="s">
        <v>114</v>
      </c>
      <c r="D4149" t="s">
        <v>1985</v>
      </c>
      <c r="F4149" t="str">
        <f>"250155"</f>
        <v>250155</v>
      </c>
      <c r="G4149" t="s">
        <v>49</v>
      </c>
      <c r="H4149" t="s">
        <v>1998</v>
      </c>
      <c r="K4149" t="s">
        <v>51</v>
      </c>
      <c r="L4149" t="s">
        <v>52</v>
      </c>
      <c r="M4149">
        <v>137582.56</v>
      </c>
      <c r="N4149">
        <v>470764.55</v>
      </c>
      <c r="O4149" t="s">
        <v>53</v>
      </c>
      <c r="P4149" t="s">
        <v>54</v>
      </c>
      <c r="Q4149" t="s">
        <v>55</v>
      </c>
      <c r="T4149" t="s">
        <v>183</v>
      </c>
      <c r="U4149">
        <v>40</v>
      </c>
      <c r="V4149" s="1">
        <v>37073</v>
      </c>
      <c r="W4149" s="1">
        <v>37073</v>
      </c>
      <c r="X4149" s="1">
        <v>37073</v>
      </c>
      <c r="Y4149" s="1">
        <v>51683</v>
      </c>
      <c r="Z4149" t="s">
        <v>51</v>
      </c>
      <c r="AB4149" t="s">
        <v>54</v>
      </c>
      <c r="AC4149">
        <v>1</v>
      </c>
      <c r="AE4149" t="s">
        <v>84</v>
      </c>
      <c r="AF4149">
        <v>20</v>
      </c>
      <c r="AG4149" s="1">
        <v>37073</v>
      </c>
      <c r="AH4149" s="1">
        <v>37073</v>
      </c>
      <c r="AI4149" s="1">
        <v>37073</v>
      </c>
      <c r="AJ4149" s="1">
        <v>44378</v>
      </c>
      <c r="AK4149" t="s">
        <v>51</v>
      </c>
      <c r="AN4149">
        <v>0</v>
      </c>
      <c r="AO4149" t="s">
        <v>54</v>
      </c>
      <c r="AP4149" t="s">
        <v>53</v>
      </c>
      <c r="AQ4149">
        <v>0</v>
      </c>
      <c r="AR4149" t="s">
        <v>53</v>
      </c>
      <c r="AS4149">
        <v>0</v>
      </c>
      <c r="AT4149">
        <v>0</v>
      </c>
      <c r="AW4149" t="s">
        <v>58</v>
      </c>
      <c r="AX4149">
        <v>20</v>
      </c>
      <c r="AY4149" s="1">
        <v>44504</v>
      </c>
      <c r="AZ4149" s="1">
        <v>44504</v>
      </c>
      <c r="BA4149" s="1">
        <v>44504</v>
      </c>
      <c r="BB4149" s="1">
        <v>51809</v>
      </c>
      <c r="BC4149" t="s">
        <v>51</v>
      </c>
      <c r="BE4149" t="s">
        <v>54</v>
      </c>
      <c r="BF4149">
        <v>2</v>
      </c>
      <c r="BG4149">
        <v>0</v>
      </c>
      <c r="BH4149" t="s">
        <v>53</v>
      </c>
      <c r="BK4149" t="s">
        <v>59</v>
      </c>
      <c r="BL4149">
        <v>14000</v>
      </c>
      <c r="BM4149" s="1">
        <v>42917</v>
      </c>
      <c r="BN4149" s="1">
        <v>42917</v>
      </c>
      <c r="BO4149" s="1">
        <v>44504</v>
      </c>
      <c r="BP4149" s="1">
        <v>44117</v>
      </c>
      <c r="BQ4149" t="s">
        <v>51</v>
      </c>
      <c r="BS4149" t="s">
        <v>60</v>
      </c>
      <c r="BT4149" t="s">
        <v>54</v>
      </c>
      <c r="BU4149" t="s">
        <v>61</v>
      </c>
      <c r="BV4149" t="s">
        <v>62</v>
      </c>
      <c r="BX4149">
        <v>24</v>
      </c>
      <c r="BY4149">
        <v>0</v>
      </c>
      <c r="BZ4149">
        <v>0</v>
      </c>
    </row>
    <row r="4150" spans="1:78" x14ac:dyDescent="0.2">
      <c r="A4150" t="s">
        <v>112</v>
      </c>
      <c r="B4150" t="s">
        <v>113</v>
      </c>
      <c r="C4150" t="s">
        <v>114</v>
      </c>
      <c r="D4150" t="s">
        <v>1985</v>
      </c>
      <c r="F4150" t="str">
        <f>"250156"</f>
        <v>250156</v>
      </c>
      <c r="G4150" t="s">
        <v>49</v>
      </c>
      <c r="H4150" t="s">
        <v>1999</v>
      </c>
      <c r="K4150" t="s">
        <v>51</v>
      </c>
      <c r="L4150" t="s">
        <v>52</v>
      </c>
      <c r="M4150">
        <v>137616.49</v>
      </c>
      <c r="N4150">
        <v>470765.86</v>
      </c>
      <c r="O4150" t="s">
        <v>53</v>
      </c>
      <c r="P4150" t="s">
        <v>54</v>
      </c>
      <c r="Q4150" t="s">
        <v>55</v>
      </c>
      <c r="T4150" t="s">
        <v>183</v>
      </c>
      <c r="U4150">
        <v>40</v>
      </c>
      <c r="V4150" s="1">
        <v>37073</v>
      </c>
      <c r="W4150" s="1">
        <v>37073</v>
      </c>
      <c r="X4150" s="1">
        <v>37073</v>
      </c>
      <c r="Y4150" s="1">
        <v>51683</v>
      </c>
      <c r="Z4150" t="s">
        <v>51</v>
      </c>
      <c r="AB4150" t="s">
        <v>54</v>
      </c>
      <c r="AC4150">
        <v>1</v>
      </c>
      <c r="AE4150" t="s">
        <v>84</v>
      </c>
      <c r="AF4150">
        <v>20</v>
      </c>
      <c r="AG4150" s="1">
        <v>37073</v>
      </c>
      <c r="AH4150" s="1">
        <v>37073</v>
      </c>
      <c r="AI4150" s="1">
        <v>37073</v>
      </c>
      <c r="AJ4150" s="1">
        <v>44378</v>
      </c>
      <c r="AK4150" t="s">
        <v>51</v>
      </c>
      <c r="AN4150">
        <v>0</v>
      </c>
      <c r="AO4150" t="s">
        <v>54</v>
      </c>
      <c r="AP4150" t="s">
        <v>53</v>
      </c>
      <c r="AQ4150">
        <v>0</v>
      </c>
      <c r="AR4150" t="s">
        <v>53</v>
      </c>
      <c r="AS4150">
        <v>0</v>
      </c>
      <c r="AT4150">
        <v>0</v>
      </c>
      <c r="AW4150" t="s">
        <v>58</v>
      </c>
      <c r="AX4150">
        <v>20</v>
      </c>
      <c r="AY4150" s="1">
        <v>37073</v>
      </c>
      <c r="AZ4150" s="1">
        <v>37073</v>
      </c>
      <c r="BA4150" s="1">
        <v>37073</v>
      </c>
      <c r="BB4150" s="1">
        <v>44378</v>
      </c>
      <c r="BC4150" t="s">
        <v>51</v>
      </c>
      <c r="BE4150" t="s">
        <v>54</v>
      </c>
      <c r="BF4150">
        <v>2</v>
      </c>
      <c r="BG4150">
        <v>0</v>
      </c>
      <c r="BH4150" t="s">
        <v>53</v>
      </c>
      <c r="BK4150" t="s">
        <v>59</v>
      </c>
      <c r="BL4150">
        <v>14000</v>
      </c>
      <c r="BM4150" s="1">
        <v>42917</v>
      </c>
      <c r="BN4150" s="1">
        <v>42917</v>
      </c>
      <c r="BO4150" s="1">
        <v>42917</v>
      </c>
      <c r="BP4150" s="1">
        <v>44117</v>
      </c>
      <c r="BQ4150" t="s">
        <v>51</v>
      </c>
      <c r="BS4150" t="s">
        <v>60</v>
      </c>
      <c r="BT4150" t="s">
        <v>54</v>
      </c>
      <c r="BU4150" t="s">
        <v>61</v>
      </c>
      <c r="BV4150" t="s">
        <v>62</v>
      </c>
      <c r="BX4150">
        <v>24</v>
      </c>
      <c r="BY4150">
        <v>0</v>
      </c>
      <c r="BZ4150">
        <v>0</v>
      </c>
    </row>
    <row r="4151" spans="1:78" x14ac:dyDescent="0.2">
      <c r="A4151" t="s">
        <v>112</v>
      </c>
      <c r="B4151" t="s">
        <v>113</v>
      </c>
      <c r="C4151" t="s">
        <v>114</v>
      </c>
      <c r="D4151" t="s">
        <v>1985</v>
      </c>
      <c r="F4151" t="str">
        <f>"250157"</f>
        <v>250157</v>
      </c>
      <c r="G4151" t="s">
        <v>49</v>
      </c>
      <c r="H4151" t="s">
        <v>2000</v>
      </c>
      <c r="K4151" t="s">
        <v>51</v>
      </c>
      <c r="L4151" t="s">
        <v>52</v>
      </c>
      <c r="M4151">
        <v>137647.67999999999</v>
      </c>
      <c r="N4151">
        <v>470766.98</v>
      </c>
      <c r="O4151" t="s">
        <v>53</v>
      </c>
      <c r="P4151" t="s">
        <v>54</v>
      </c>
      <c r="Q4151" t="s">
        <v>55</v>
      </c>
      <c r="T4151" t="s">
        <v>183</v>
      </c>
      <c r="U4151">
        <v>40</v>
      </c>
      <c r="V4151" s="1">
        <v>37073</v>
      </c>
      <c r="W4151" s="1">
        <v>37073</v>
      </c>
      <c r="X4151" s="1">
        <v>37073</v>
      </c>
      <c r="Y4151" s="1">
        <v>51683</v>
      </c>
      <c r="Z4151" t="s">
        <v>51</v>
      </c>
      <c r="AB4151" t="s">
        <v>54</v>
      </c>
      <c r="AC4151">
        <v>1</v>
      </c>
      <c r="AE4151" t="s">
        <v>84</v>
      </c>
      <c r="AF4151">
        <v>20</v>
      </c>
      <c r="AG4151" s="1">
        <v>37073</v>
      </c>
      <c r="AH4151" s="1">
        <v>37073</v>
      </c>
      <c r="AI4151" s="1">
        <v>37073</v>
      </c>
      <c r="AJ4151" s="1">
        <v>44378</v>
      </c>
      <c r="AK4151" t="s">
        <v>51</v>
      </c>
      <c r="AN4151">
        <v>0</v>
      </c>
      <c r="AO4151" t="s">
        <v>54</v>
      </c>
      <c r="AP4151" t="s">
        <v>53</v>
      </c>
      <c r="AQ4151">
        <v>0</v>
      </c>
      <c r="AR4151" t="s">
        <v>53</v>
      </c>
      <c r="AS4151">
        <v>0</v>
      </c>
      <c r="AT4151">
        <v>0</v>
      </c>
      <c r="AW4151" t="s">
        <v>58</v>
      </c>
      <c r="AX4151">
        <v>20</v>
      </c>
      <c r="AY4151" s="1">
        <v>43838</v>
      </c>
      <c r="AZ4151" s="1">
        <v>43838</v>
      </c>
      <c r="BA4151" s="1">
        <v>43838</v>
      </c>
      <c r="BB4151" s="1">
        <v>51143</v>
      </c>
      <c r="BC4151" t="s">
        <v>51</v>
      </c>
      <c r="BE4151" t="s">
        <v>54</v>
      </c>
      <c r="BF4151">
        <v>2</v>
      </c>
      <c r="BG4151">
        <v>0</v>
      </c>
      <c r="BH4151" t="s">
        <v>53</v>
      </c>
      <c r="BK4151" t="s">
        <v>59</v>
      </c>
      <c r="BL4151">
        <v>14000</v>
      </c>
      <c r="BM4151" s="1">
        <v>43838</v>
      </c>
      <c r="BN4151" s="1">
        <v>43838</v>
      </c>
      <c r="BO4151" s="1">
        <v>43838</v>
      </c>
      <c r="BP4151" s="1">
        <v>45005</v>
      </c>
      <c r="BQ4151" t="s">
        <v>51</v>
      </c>
      <c r="BS4151" t="s">
        <v>60</v>
      </c>
      <c r="BT4151" t="s">
        <v>54</v>
      </c>
      <c r="BU4151" t="s">
        <v>61</v>
      </c>
      <c r="BV4151" t="s">
        <v>62</v>
      </c>
      <c r="BX4151">
        <v>24</v>
      </c>
      <c r="BY4151">
        <v>0</v>
      </c>
      <c r="BZ4151">
        <v>0</v>
      </c>
    </row>
    <row r="4152" spans="1:78" x14ac:dyDescent="0.2">
      <c r="A4152" t="s">
        <v>112</v>
      </c>
      <c r="B4152" t="s">
        <v>113</v>
      </c>
      <c r="C4152" t="s">
        <v>114</v>
      </c>
      <c r="D4152" t="s">
        <v>1985</v>
      </c>
      <c r="F4152" t="str">
        <f>"250158"</f>
        <v>250158</v>
      </c>
      <c r="G4152" t="s">
        <v>49</v>
      </c>
      <c r="H4152" t="s">
        <v>2001</v>
      </c>
      <c r="K4152" t="s">
        <v>51</v>
      </c>
      <c r="L4152" t="s">
        <v>52</v>
      </c>
      <c r="M4152">
        <v>137682.20000000001</v>
      </c>
      <c r="N4152">
        <v>470768.66</v>
      </c>
      <c r="O4152" t="s">
        <v>53</v>
      </c>
      <c r="P4152" t="s">
        <v>54</v>
      </c>
      <c r="Q4152" t="s">
        <v>55</v>
      </c>
      <c r="T4152" t="s">
        <v>183</v>
      </c>
      <c r="U4152">
        <v>40</v>
      </c>
      <c r="V4152" s="1">
        <v>37073</v>
      </c>
      <c r="W4152" s="1">
        <v>37073</v>
      </c>
      <c r="X4152" s="1">
        <v>37073</v>
      </c>
      <c r="Y4152" s="1">
        <v>51683</v>
      </c>
      <c r="Z4152" t="s">
        <v>51</v>
      </c>
      <c r="AB4152" t="s">
        <v>54</v>
      </c>
      <c r="AC4152">
        <v>1</v>
      </c>
      <c r="AE4152" t="s">
        <v>84</v>
      </c>
      <c r="AF4152">
        <v>20</v>
      </c>
      <c r="AG4152" s="1">
        <v>37073</v>
      </c>
      <c r="AH4152" s="1">
        <v>37073</v>
      </c>
      <c r="AI4152" s="1">
        <v>37073</v>
      </c>
      <c r="AJ4152" s="1">
        <v>44378</v>
      </c>
      <c r="AK4152" t="s">
        <v>51</v>
      </c>
      <c r="AN4152">
        <v>0</v>
      </c>
      <c r="AO4152" t="s">
        <v>54</v>
      </c>
      <c r="AP4152" t="s">
        <v>53</v>
      </c>
      <c r="AQ4152">
        <v>0</v>
      </c>
      <c r="AR4152" t="s">
        <v>53</v>
      </c>
      <c r="AS4152">
        <v>0</v>
      </c>
      <c r="AT4152">
        <v>0</v>
      </c>
      <c r="AW4152" t="s">
        <v>58</v>
      </c>
      <c r="AX4152">
        <v>20</v>
      </c>
      <c r="AY4152" s="1">
        <v>43838</v>
      </c>
      <c r="AZ4152" s="1">
        <v>43838</v>
      </c>
      <c r="BA4152" s="1">
        <v>43838</v>
      </c>
      <c r="BB4152" s="1">
        <v>51143</v>
      </c>
      <c r="BC4152" t="s">
        <v>51</v>
      </c>
      <c r="BE4152" t="s">
        <v>54</v>
      </c>
      <c r="BF4152">
        <v>2</v>
      </c>
      <c r="BG4152">
        <v>0</v>
      </c>
      <c r="BH4152" t="s">
        <v>53</v>
      </c>
      <c r="BK4152" t="s">
        <v>59</v>
      </c>
      <c r="BL4152">
        <v>14000</v>
      </c>
      <c r="BM4152" s="1">
        <v>43838</v>
      </c>
      <c r="BN4152" s="1">
        <v>43838</v>
      </c>
      <c r="BO4152" s="1">
        <v>43838</v>
      </c>
      <c r="BP4152" s="1">
        <v>45005</v>
      </c>
      <c r="BQ4152" t="s">
        <v>51</v>
      </c>
      <c r="BS4152" t="s">
        <v>60</v>
      </c>
      <c r="BT4152" t="s">
        <v>54</v>
      </c>
      <c r="BU4152" t="s">
        <v>61</v>
      </c>
      <c r="BV4152" t="s">
        <v>62</v>
      </c>
      <c r="BX4152">
        <v>24</v>
      </c>
      <c r="BY4152">
        <v>0</v>
      </c>
      <c r="BZ4152">
        <v>0</v>
      </c>
    </row>
    <row r="4153" spans="1:78" x14ac:dyDescent="0.2">
      <c r="A4153" t="s">
        <v>112</v>
      </c>
      <c r="B4153" t="s">
        <v>113</v>
      </c>
      <c r="C4153" t="s">
        <v>114</v>
      </c>
      <c r="D4153" t="s">
        <v>1985</v>
      </c>
      <c r="F4153" t="str">
        <f>"250159"</f>
        <v>250159</v>
      </c>
      <c r="G4153" t="s">
        <v>49</v>
      </c>
      <c r="K4153" t="s">
        <v>51</v>
      </c>
      <c r="L4153" t="s">
        <v>52</v>
      </c>
      <c r="M4153">
        <v>137715.72</v>
      </c>
      <c r="N4153">
        <v>470769.61</v>
      </c>
      <c r="O4153" t="s">
        <v>53</v>
      </c>
      <c r="P4153" t="s">
        <v>54</v>
      </c>
      <c r="Q4153" t="s">
        <v>55</v>
      </c>
      <c r="T4153" t="s">
        <v>183</v>
      </c>
      <c r="U4153">
        <v>40</v>
      </c>
      <c r="V4153" s="1">
        <v>37073</v>
      </c>
      <c r="W4153" s="1">
        <v>37073</v>
      </c>
      <c r="X4153" s="1">
        <v>37073</v>
      </c>
      <c r="Y4153" s="1">
        <v>51683</v>
      </c>
      <c r="Z4153" t="s">
        <v>51</v>
      </c>
      <c r="AB4153" t="s">
        <v>54</v>
      </c>
      <c r="AC4153">
        <v>1</v>
      </c>
      <c r="AE4153" t="s">
        <v>84</v>
      </c>
      <c r="AF4153">
        <v>20</v>
      </c>
      <c r="AG4153" s="1">
        <v>37073</v>
      </c>
      <c r="AH4153" s="1">
        <v>37073</v>
      </c>
      <c r="AI4153" s="1">
        <v>37073</v>
      </c>
      <c r="AJ4153" s="1">
        <v>44378</v>
      </c>
      <c r="AK4153" t="s">
        <v>51</v>
      </c>
      <c r="AN4153">
        <v>0</v>
      </c>
      <c r="AO4153" t="s">
        <v>54</v>
      </c>
      <c r="AP4153" t="s">
        <v>53</v>
      </c>
      <c r="AQ4153">
        <v>0</v>
      </c>
      <c r="AR4153" t="s">
        <v>53</v>
      </c>
      <c r="AS4153">
        <v>0</v>
      </c>
      <c r="AT4153">
        <v>0</v>
      </c>
      <c r="AW4153" t="s">
        <v>58</v>
      </c>
      <c r="AX4153">
        <v>20</v>
      </c>
      <c r="AY4153" s="1">
        <v>37073</v>
      </c>
      <c r="AZ4153" s="1">
        <v>37073</v>
      </c>
      <c r="BA4153" s="1">
        <v>37073</v>
      </c>
      <c r="BB4153" s="1">
        <v>44378</v>
      </c>
      <c r="BC4153" t="s">
        <v>51</v>
      </c>
      <c r="BE4153" t="s">
        <v>54</v>
      </c>
      <c r="BF4153">
        <v>2</v>
      </c>
      <c r="BG4153">
        <v>0</v>
      </c>
      <c r="BH4153" t="s">
        <v>53</v>
      </c>
      <c r="BK4153" t="s">
        <v>59</v>
      </c>
      <c r="BL4153">
        <v>14000</v>
      </c>
      <c r="BM4153" s="1">
        <v>43139</v>
      </c>
      <c r="BN4153" s="1">
        <v>43139</v>
      </c>
      <c r="BO4153" s="1">
        <v>43139</v>
      </c>
      <c r="BP4153" s="1">
        <v>44324</v>
      </c>
      <c r="BQ4153" t="s">
        <v>51</v>
      </c>
      <c r="BS4153" t="s">
        <v>60</v>
      </c>
      <c r="BT4153" t="s">
        <v>54</v>
      </c>
      <c r="BU4153" t="s">
        <v>61</v>
      </c>
      <c r="BV4153" t="s">
        <v>62</v>
      </c>
      <c r="BX4153">
        <v>24</v>
      </c>
      <c r="BY4153">
        <v>0</v>
      </c>
      <c r="BZ4153">
        <v>0</v>
      </c>
    </row>
    <row r="4154" spans="1:78" x14ac:dyDescent="0.2">
      <c r="A4154" t="s">
        <v>112</v>
      </c>
      <c r="B4154" t="s">
        <v>113</v>
      </c>
      <c r="C4154" t="s">
        <v>114</v>
      </c>
      <c r="D4154" t="s">
        <v>1985</v>
      </c>
      <c r="F4154" t="str">
        <f>"250160"</f>
        <v>250160</v>
      </c>
      <c r="G4154" t="s">
        <v>49</v>
      </c>
      <c r="H4154" t="s">
        <v>2002</v>
      </c>
      <c r="K4154" t="s">
        <v>51</v>
      </c>
      <c r="L4154" t="s">
        <v>52</v>
      </c>
      <c r="M4154">
        <v>137749.21</v>
      </c>
      <c r="N4154">
        <v>470771.07</v>
      </c>
      <c r="O4154" t="s">
        <v>53</v>
      </c>
      <c r="P4154" t="s">
        <v>54</v>
      </c>
      <c r="Q4154" t="s">
        <v>55</v>
      </c>
      <c r="T4154" t="s">
        <v>183</v>
      </c>
      <c r="U4154">
        <v>40</v>
      </c>
      <c r="V4154" s="1">
        <v>37073</v>
      </c>
      <c r="W4154" s="1">
        <v>37073</v>
      </c>
      <c r="X4154" s="1">
        <v>37073</v>
      </c>
      <c r="Y4154" s="1">
        <v>51683</v>
      </c>
      <c r="Z4154" t="s">
        <v>51</v>
      </c>
      <c r="AB4154" t="s">
        <v>54</v>
      </c>
      <c r="AC4154">
        <v>1</v>
      </c>
      <c r="AE4154" t="s">
        <v>84</v>
      </c>
      <c r="AF4154">
        <v>20</v>
      </c>
      <c r="AG4154" s="1">
        <v>36708</v>
      </c>
      <c r="AH4154" s="1">
        <v>36708</v>
      </c>
      <c r="AI4154" s="1">
        <v>37073</v>
      </c>
      <c r="AJ4154" s="1">
        <v>44013</v>
      </c>
      <c r="AK4154" t="s">
        <v>51</v>
      </c>
      <c r="AN4154">
        <v>0</v>
      </c>
      <c r="AO4154" t="s">
        <v>54</v>
      </c>
      <c r="AP4154" t="s">
        <v>53</v>
      </c>
      <c r="AQ4154">
        <v>0</v>
      </c>
      <c r="AR4154" t="s">
        <v>53</v>
      </c>
      <c r="AS4154">
        <v>0</v>
      </c>
      <c r="AT4154">
        <v>0</v>
      </c>
      <c r="AW4154" t="s">
        <v>58</v>
      </c>
      <c r="AX4154">
        <v>20</v>
      </c>
      <c r="AY4154" s="1">
        <v>36708</v>
      </c>
      <c r="AZ4154" s="1">
        <v>36708</v>
      </c>
      <c r="BA4154" s="1">
        <v>37073</v>
      </c>
      <c r="BB4154" s="1">
        <v>44013</v>
      </c>
      <c r="BC4154" t="s">
        <v>51</v>
      </c>
      <c r="BE4154" t="s">
        <v>54</v>
      </c>
      <c r="BF4154">
        <v>2</v>
      </c>
      <c r="BG4154">
        <v>0</v>
      </c>
      <c r="BH4154" t="s">
        <v>53</v>
      </c>
      <c r="BK4154" t="s">
        <v>59</v>
      </c>
      <c r="BL4154">
        <v>14000</v>
      </c>
      <c r="BM4154" s="1">
        <v>42917</v>
      </c>
      <c r="BN4154" s="1">
        <v>42917</v>
      </c>
      <c r="BO4154" s="1">
        <v>42917</v>
      </c>
      <c r="BP4154" s="1">
        <v>44117</v>
      </c>
      <c r="BQ4154" t="s">
        <v>51</v>
      </c>
      <c r="BS4154" t="s">
        <v>60</v>
      </c>
      <c r="BT4154" t="s">
        <v>54</v>
      </c>
      <c r="BU4154" t="s">
        <v>61</v>
      </c>
      <c r="BV4154" t="s">
        <v>62</v>
      </c>
      <c r="BX4154">
        <v>24</v>
      </c>
      <c r="BY4154">
        <v>0</v>
      </c>
      <c r="BZ4154">
        <v>0</v>
      </c>
    </row>
    <row r="4155" spans="1:78" x14ac:dyDescent="0.2">
      <c r="A4155" t="s">
        <v>112</v>
      </c>
      <c r="B4155" t="s">
        <v>113</v>
      </c>
      <c r="C4155" t="s">
        <v>114</v>
      </c>
      <c r="D4155" t="s">
        <v>1985</v>
      </c>
      <c r="F4155" t="str">
        <f>"250161"</f>
        <v>250161</v>
      </c>
      <c r="G4155" t="s">
        <v>49</v>
      </c>
      <c r="H4155" t="s">
        <v>2003</v>
      </c>
      <c r="K4155" t="s">
        <v>51</v>
      </c>
      <c r="L4155" t="s">
        <v>52</v>
      </c>
      <c r="M4155">
        <v>137783.53</v>
      </c>
      <c r="N4155">
        <v>470771.96</v>
      </c>
      <c r="O4155" t="s">
        <v>53</v>
      </c>
      <c r="P4155" t="s">
        <v>54</v>
      </c>
      <c r="Q4155" t="s">
        <v>55</v>
      </c>
      <c r="T4155" t="s">
        <v>183</v>
      </c>
      <c r="U4155">
        <v>40</v>
      </c>
      <c r="V4155" s="1">
        <v>37073</v>
      </c>
      <c r="W4155" s="1">
        <v>37073</v>
      </c>
      <c r="X4155" s="1">
        <v>37073</v>
      </c>
      <c r="Y4155" s="1">
        <v>51683</v>
      </c>
      <c r="Z4155" t="s">
        <v>51</v>
      </c>
      <c r="AB4155" t="s">
        <v>54</v>
      </c>
      <c r="AC4155">
        <v>1</v>
      </c>
      <c r="AE4155" t="s">
        <v>84</v>
      </c>
      <c r="AF4155">
        <v>20</v>
      </c>
      <c r="AG4155" s="1">
        <v>37073</v>
      </c>
      <c r="AH4155" s="1">
        <v>37073</v>
      </c>
      <c r="AI4155" s="1">
        <v>37073</v>
      </c>
      <c r="AJ4155" s="1">
        <v>44378</v>
      </c>
      <c r="AK4155" t="s">
        <v>51</v>
      </c>
      <c r="AN4155">
        <v>0</v>
      </c>
      <c r="AO4155" t="s">
        <v>54</v>
      </c>
      <c r="AP4155" t="s">
        <v>53</v>
      </c>
      <c r="AQ4155">
        <v>0</v>
      </c>
      <c r="AR4155" t="s">
        <v>53</v>
      </c>
      <c r="AS4155">
        <v>0</v>
      </c>
      <c r="AT4155">
        <v>0</v>
      </c>
      <c r="AW4155" t="s">
        <v>58</v>
      </c>
      <c r="AX4155">
        <v>20</v>
      </c>
      <c r="AY4155" s="1">
        <v>37073</v>
      </c>
      <c r="AZ4155" s="1">
        <v>37073</v>
      </c>
      <c r="BA4155" s="1">
        <v>37073</v>
      </c>
      <c r="BB4155" s="1">
        <v>44378</v>
      </c>
      <c r="BC4155" t="s">
        <v>51</v>
      </c>
      <c r="BE4155" t="s">
        <v>54</v>
      </c>
      <c r="BF4155">
        <v>2</v>
      </c>
      <c r="BG4155">
        <v>0</v>
      </c>
      <c r="BH4155" t="s">
        <v>53</v>
      </c>
      <c r="BK4155" t="s">
        <v>59</v>
      </c>
      <c r="BL4155">
        <v>14000</v>
      </c>
      <c r="BM4155" s="1">
        <v>42917</v>
      </c>
      <c r="BN4155" s="1">
        <v>42917</v>
      </c>
      <c r="BO4155" s="1">
        <v>42917</v>
      </c>
      <c r="BP4155" s="1">
        <v>44117</v>
      </c>
      <c r="BQ4155" t="s">
        <v>51</v>
      </c>
      <c r="BS4155" t="s">
        <v>60</v>
      </c>
      <c r="BT4155" t="s">
        <v>54</v>
      </c>
      <c r="BU4155" t="s">
        <v>61</v>
      </c>
      <c r="BV4155" t="s">
        <v>62</v>
      </c>
      <c r="BX4155">
        <v>24</v>
      </c>
      <c r="BY4155">
        <v>0</v>
      </c>
      <c r="BZ4155">
        <v>0</v>
      </c>
    </row>
    <row r="4156" spans="1:78" x14ac:dyDescent="0.2">
      <c r="A4156" t="s">
        <v>112</v>
      </c>
      <c r="B4156" t="s">
        <v>113</v>
      </c>
      <c r="C4156" t="s">
        <v>114</v>
      </c>
      <c r="D4156" t="s">
        <v>1985</v>
      </c>
      <c r="F4156" t="str">
        <f>"250162"</f>
        <v>250162</v>
      </c>
      <c r="G4156" t="s">
        <v>49</v>
      </c>
      <c r="H4156" t="s">
        <v>2004</v>
      </c>
      <c r="K4156" t="s">
        <v>51</v>
      </c>
      <c r="L4156" t="s">
        <v>52</v>
      </c>
      <c r="M4156">
        <v>137819.76999999999</v>
      </c>
      <c r="N4156">
        <v>470773.51</v>
      </c>
      <c r="O4156" t="s">
        <v>53</v>
      </c>
      <c r="P4156" t="s">
        <v>54</v>
      </c>
      <c r="Q4156" t="s">
        <v>55</v>
      </c>
      <c r="T4156" t="s">
        <v>183</v>
      </c>
      <c r="U4156">
        <v>40</v>
      </c>
      <c r="V4156" s="1">
        <v>37073</v>
      </c>
      <c r="W4156" s="1">
        <v>37073</v>
      </c>
      <c r="X4156" s="1">
        <v>37073</v>
      </c>
      <c r="Y4156" s="1">
        <v>51683</v>
      </c>
      <c r="Z4156" t="s">
        <v>51</v>
      </c>
      <c r="AB4156" t="s">
        <v>54</v>
      </c>
      <c r="AC4156">
        <v>1</v>
      </c>
      <c r="AE4156" t="s">
        <v>84</v>
      </c>
      <c r="AF4156">
        <v>20</v>
      </c>
      <c r="AG4156" s="1">
        <v>37073</v>
      </c>
      <c r="AH4156" s="1">
        <v>37073</v>
      </c>
      <c r="AI4156" s="1">
        <v>37073</v>
      </c>
      <c r="AJ4156" s="1">
        <v>44378</v>
      </c>
      <c r="AK4156" t="s">
        <v>51</v>
      </c>
      <c r="AN4156">
        <v>0</v>
      </c>
      <c r="AO4156" t="s">
        <v>54</v>
      </c>
      <c r="AP4156" t="s">
        <v>53</v>
      </c>
      <c r="AQ4156">
        <v>0</v>
      </c>
      <c r="AR4156" t="s">
        <v>53</v>
      </c>
      <c r="AS4156">
        <v>0</v>
      </c>
      <c r="AT4156">
        <v>0</v>
      </c>
      <c r="AW4156" t="s">
        <v>58</v>
      </c>
      <c r="AX4156">
        <v>20</v>
      </c>
      <c r="AY4156" s="1">
        <v>37073</v>
      </c>
      <c r="AZ4156" s="1">
        <v>37073</v>
      </c>
      <c r="BA4156" s="1">
        <v>37073</v>
      </c>
      <c r="BB4156" s="1">
        <v>44378</v>
      </c>
      <c r="BC4156" t="s">
        <v>51</v>
      </c>
      <c r="BE4156" t="s">
        <v>54</v>
      </c>
      <c r="BF4156">
        <v>2</v>
      </c>
      <c r="BG4156">
        <v>0</v>
      </c>
      <c r="BH4156" t="s">
        <v>53</v>
      </c>
      <c r="BK4156" t="s">
        <v>59</v>
      </c>
      <c r="BL4156">
        <v>14000</v>
      </c>
      <c r="BM4156" s="1">
        <v>42917</v>
      </c>
      <c r="BN4156" s="1">
        <v>42917</v>
      </c>
      <c r="BO4156" s="1">
        <v>42917</v>
      </c>
      <c r="BP4156" s="1">
        <v>44117</v>
      </c>
      <c r="BQ4156" t="s">
        <v>51</v>
      </c>
      <c r="BS4156" t="s">
        <v>60</v>
      </c>
      <c r="BT4156" t="s">
        <v>54</v>
      </c>
      <c r="BU4156" t="s">
        <v>61</v>
      </c>
      <c r="BV4156" t="s">
        <v>62</v>
      </c>
      <c r="BX4156">
        <v>24</v>
      </c>
      <c r="BY4156">
        <v>0</v>
      </c>
      <c r="BZ4156">
        <v>0</v>
      </c>
    </row>
    <row r="4157" spans="1:78" x14ac:dyDescent="0.2">
      <c r="A4157" t="s">
        <v>112</v>
      </c>
      <c r="B4157" t="s">
        <v>113</v>
      </c>
      <c r="C4157" t="s">
        <v>114</v>
      </c>
      <c r="D4157" t="s">
        <v>1985</v>
      </c>
      <c r="F4157" t="str">
        <f>"250163"</f>
        <v>250163</v>
      </c>
      <c r="G4157" t="s">
        <v>49</v>
      </c>
      <c r="H4157" t="s">
        <v>2005</v>
      </c>
      <c r="K4157" t="s">
        <v>51</v>
      </c>
      <c r="L4157" t="s">
        <v>52</v>
      </c>
      <c r="M4157">
        <v>137852.81</v>
      </c>
      <c r="N4157">
        <v>470773.88</v>
      </c>
      <c r="O4157" t="s">
        <v>53</v>
      </c>
      <c r="P4157" t="s">
        <v>54</v>
      </c>
      <c r="Q4157" t="s">
        <v>55</v>
      </c>
      <c r="T4157" t="s">
        <v>183</v>
      </c>
      <c r="U4157">
        <v>40</v>
      </c>
      <c r="V4157" s="1">
        <v>37073</v>
      </c>
      <c r="W4157" s="1">
        <v>37073</v>
      </c>
      <c r="X4157" s="1">
        <v>37073</v>
      </c>
      <c r="Y4157" s="1">
        <v>51683</v>
      </c>
      <c r="Z4157" t="s">
        <v>51</v>
      </c>
      <c r="AB4157" t="s">
        <v>54</v>
      </c>
      <c r="AC4157">
        <v>1</v>
      </c>
      <c r="AE4157" t="s">
        <v>84</v>
      </c>
      <c r="AF4157">
        <v>20</v>
      </c>
      <c r="AG4157" s="1">
        <v>37073</v>
      </c>
      <c r="AH4157" s="1">
        <v>37073</v>
      </c>
      <c r="AI4157" s="1">
        <v>37073</v>
      </c>
      <c r="AJ4157" s="1">
        <v>44378</v>
      </c>
      <c r="AK4157" t="s">
        <v>51</v>
      </c>
      <c r="AN4157">
        <v>0</v>
      </c>
      <c r="AO4157" t="s">
        <v>54</v>
      </c>
      <c r="AP4157" t="s">
        <v>53</v>
      </c>
      <c r="AQ4157">
        <v>0</v>
      </c>
      <c r="AR4157" t="s">
        <v>53</v>
      </c>
      <c r="AS4157">
        <v>0</v>
      </c>
      <c r="AT4157">
        <v>0</v>
      </c>
      <c r="AW4157" t="s">
        <v>58</v>
      </c>
      <c r="AX4157">
        <v>20</v>
      </c>
      <c r="AY4157" s="1">
        <v>37073</v>
      </c>
      <c r="AZ4157" s="1">
        <v>37073</v>
      </c>
      <c r="BA4157" s="1">
        <v>37073</v>
      </c>
      <c r="BB4157" s="1">
        <v>44378</v>
      </c>
      <c r="BC4157" t="s">
        <v>51</v>
      </c>
      <c r="BE4157" t="s">
        <v>54</v>
      </c>
      <c r="BF4157">
        <v>2</v>
      </c>
      <c r="BG4157">
        <v>0</v>
      </c>
      <c r="BH4157" t="s">
        <v>53</v>
      </c>
      <c r="BK4157" t="s">
        <v>59</v>
      </c>
      <c r="BL4157">
        <v>14000</v>
      </c>
      <c r="BM4157" s="1">
        <v>42917</v>
      </c>
      <c r="BN4157" s="1">
        <v>42917</v>
      </c>
      <c r="BO4157" s="1">
        <v>42917</v>
      </c>
      <c r="BP4157" s="1">
        <v>44117</v>
      </c>
      <c r="BQ4157" t="s">
        <v>51</v>
      </c>
      <c r="BS4157" t="s">
        <v>60</v>
      </c>
      <c r="BT4157" t="s">
        <v>54</v>
      </c>
      <c r="BU4157" t="s">
        <v>61</v>
      </c>
      <c r="BV4157" t="s">
        <v>62</v>
      </c>
      <c r="BX4157">
        <v>24</v>
      </c>
      <c r="BY4157">
        <v>0</v>
      </c>
      <c r="BZ4157">
        <v>0</v>
      </c>
    </row>
    <row r="4158" spans="1:78" x14ac:dyDescent="0.2">
      <c r="A4158" t="s">
        <v>112</v>
      </c>
      <c r="B4158" t="s">
        <v>113</v>
      </c>
      <c r="C4158" t="s">
        <v>114</v>
      </c>
      <c r="D4158" t="s">
        <v>1985</v>
      </c>
      <c r="F4158" t="str">
        <f>"250164"</f>
        <v>250164</v>
      </c>
      <c r="G4158" t="s">
        <v>49</v>
      </c>
      <c r="H4158" t="s">
        <v>2006</v>
      </c>
      <c r="K4158" t="s">
        <v>51</v>
      </c>
      <c r="L4158" t="s">
        <v>52</v>
      </c>
      <c r="M4158">
        <v>137886.32999999999</v>
      </c>
      <c r="N4158">
        <v>470774.68</v>
      </c>
      <c r="O4158" t="s">
        <v>53</v>
      </c>
      <c r="P4158" t="s">
        <v>54</v>
      </c>
      <c r="Q4158" t="s">
        <v>55</v>
      </c>
      <c r="T4158" t="s">
        <v>183</v>
      </c>
      <c r="U4158">
        <v>40</v>
      </c>
      <c r="V4158" s="1">
        <v>37073</v>
      </c>
      <c r="W4158" s="1">
        <v>37073</v>
      </c>
      <c r="X4158" s="1">
        <v>37073</v>
      </c>
      <c r="Y4158" s="1">
        <v>51683</v>
      </c>
      <c r="Z4158" t="s">
        <v>51</v>
      </c>
      <c r="AB4158" t="s">
        <v>54</v>
      </c>
      <c r="AC4158">
        <v>1</v>
      </c>
      <c r="AE4158" t="s">
        <v>84</v>
      </c>
      <c r="AF4158">
        <v>20</v>
      </c>
      <c r="AG4158" s="1">
        <v>37073</v>
      </c>
      <c r="AH4158" s="1">
        <v>37073</v>
      </c>
      <c r="AI4158" s="1">
        <v>37073</v>
      </c>
      <c r="AJ4158" s="1">
        <v>44378</v>
      </c>
      <c r="AK4158" t="s">
        <v>51</v>
      </c>
      <c r="AN4158">
        <v>0</v>
      </c>
      <c r="AO4158" t="s">
        <v>54</v>
      </c>
      <c r="AP4158" t="s">
        <v>53</v>
      </c>
      <c r="AQ4158">
        <v>0</v>
      </c>
      <c r="AR4158" t="s">
        <v>53</v>
      </c>
      <c r="AS4158">
        <v>0</v>
      </c>
      <c r="AT4158">
        <v>0</v>
      </c>
      <c r="AW4158" t="s">
        <v>58</v>
      </c>
      <c r="AX4158">
        <v>20</v>
      </c>
      <c r="AY4158" s="1">
        <v>44504</v>
      </c>
      <c r="AZ4158" s="1">
        <v>44504</v>
      </c>
      <c r="BA4158" s="1">
        <v>44504</v>
      </c>
      <c r="BB4158" s="1">
        <v>51809</v>
      </c>
      <c r="BC4158" t="s">
        <v>51</v>
      </c>
      <c r="BE4158" t="s">
        <v>54</v>
      </c>
      <c r="BF4158">
        <v>2</v>
      </c>
      <c r="BG4158">
        <v>0</v>
      </c>
      <c r="BH4158" t="s">
        <v>53</v>
      </c>
      <c r="BK4158" t="s">
        <v>59</v>
      </c>
      <c r="BL4158">
        <v>14000</v>
      </c>
      <c r="BM4158" s="1">
        <v>42917</v>
      </c>
      <c r="BN4158" s="1">
        <v>42917</v>
      </c>
      <c r="BO4158" s="1">
        <v>44504</v>
      </c>
      <c r="BP4158" s="1">
        <v>44117</v>
      </c>
      <c r="BQ4158" t="s">
        <v>51</v>
      </c>
      <c r="BS4158" t="s">
        <v>60</v>
      </c>
      <c r="BT4158" t="s">
        <v>54</v>
      </c>
      <c r="BU4158" t="s">
        <v>61</v>
      </c>
      <c r="BV4158" t="s">
        <v>62</v>
      </c>
      <c r="BX4158">
        <v>24</v>
      </c>
      <c r="BY4158">
        <v>0</v>
      </c>
      <c r="BZ4158">
        <v>0</v>
      </c>
    </row>
    <row r="4159" spans="1:78" x14ac:dyDescent="0.2">
      <c r="A4159" t="s">
        <v>112</v>
      </c>
      <c r="B4159" t="s">
        <v>113</v>
      </c>
      <c r="C4159" t="s">
        <v>114</v>
      </c>
      <c r="D4159" t="s">
        <v>1985</v>
      </c>
      <c r="F4159" t="str">
        <f>"250165"</f>
        <v>250165</v>
      </c>
      <c r="G4159" t="s">
        <v>49</v>
      </c>
      <c r="H4159" t="s">
        <v>2007</v>
      </c>
      <c r="K4159" t="s">
        <v>51</v>
      </c>
      <c r="L4159" t="s">
        <v>52</v>
      </c>
      <c r="M4159">
        <v>137920.91</v>
      </c>
      <c r="N4159">
        <v>470776.02</v>
      </c>
      <c r="O4159" t="s">
        <v>53</v>
      </c>
      <c r="P4159" t="s">
        <v>54</v>
      </c>
      <c r="Q4159" t="s">
        <v>55</v>
      </c>
      <c r="T4159" t="s">
        <v>183</v>
      </c>
      <c r="U4159">
        <v>40</v>
      </c>
      <c r="V4159" s="1">
        <v>37073</v>
      </c>
      <c r="W4159" s="1">
        <v>37073</v>
      </c>
      <c r="X4159" s="1">
        <v>37073</v>
      </c>
      <c r="Y4159" s="1">
        <v>51683</v>
      </c>
      <c r="Z4159" t="s">
        <v>51</v>
      </c>
      <c r="AB4159" t="s">
        <v>54</v>
      </c>
      <c r="AC4159">
        <v>1</v>
      </c>
      <c r="AE4159" t="s">
        <v>84</v>
      </c>
      <c r="AF4159">
        <v>20</v>
      </c>
      <c r="AG4159" s="1">
        <v>37073</v>
      </c>
      <c r="AH4159" s="1">
        <v>37073</v>
      </c>
      <c r="AI4159" s="1">
        <v>37073</v>
      </c>
      <c r="AJ4159" s="1">
        <v>44378</v>
      </c>
      <c r="AK4159" t="s">
        <v>51</v>
      </c>
      <c r="AN4159">
        <v>0</v>
      </c>
      <c r="AO4159" t="s">
        <v>54</v>
      </c>
      <c r="AP4159" t="s">
        <v>53</v>
      </c>
      <c r="AQ4159">
        <v>0</v>
      </c>
      <c r="AR4159" t="s">
        <v>53</v>
      </c>
      <c r="AS4159">
        <v>0</v>
      </c>
      <c r="AT4159">
        <v>0</v>
      </c>
      <c r="AW4159" t="s">
        <v>58</v>
      </c>
      <c r="AX4159">
        <v>20</v>
      </c>
      <c r="AY4159" s="1">
        <v>37073</v>
      </c>
      <c r="AZ4159" s="1">
        <v>37073</v>
      </c>
      <c r="BA4159" s="1">
        <v>37073</v>
      </c>
      <c r="BB4159" s="1">
        <v>44378</v>
      </c>
      <c r="BC4159" t="s">
        <v>51</v>
      </c>
      <c r="BE4159" t="s">
        <v>54</v>
      </c>
      <c r="BF4159">
        <v>2</v>
      </c>
      <c r="BG4159">
        <v>0</v>
      </c>
      <c r="BH4159" t="s">
        <v>53</v>
      </c>
      <c r="BK4159" t="s">
        <v>59</v>
      </c>
      <c r="BL4159">
        <v>14000</v>
      </c>
      <c r="BM4159" s="1">
        <v>42917</v>
      </c>
      <c r="BN4159" s="1">
        <v>42917</v>
      </c>
      <c r="BO4159" s="1">
        <v>42917</v>
      </c>
      <c r="BP4159" s="1">
        <v>44117</v>
      </c>
      <c r="BQ4159" t="s">
        <v>51</v>
      </c>
      <c r="BS4159" t="s">
        <v>60</v>
      </c>
      <c r="BT4159" t="s">
        <v>54</v>
      </c>
      <c r="BU4159" t="s">
        <v>61</v>
      </c>
      <c r="BV4159" t="s">
        <v>62</v>
      </c>
      <c r="BX4159">
        <v>24</v>
      </c>
      <c r="BY4159">
        <v>0</v>
      </c>
      <c r="BZ4159">
        <v>0</v>
      </c>
    </row>
    <row r="4160" spans="1:78" x14ac:dyDescent="0.2">
      <c r="A4160" t="s">
        <v>112</v>
      </c>
      <c r="B4160" t="s">
        <v>113</v>
      </c>
      <c r="C4160" t="s">
        <v>114</v>
      </c>
      <c r="D4160" t="s">
        <v>1985</v>
      </c>
      <c r="F4160" t="str">
        <f>"250166"</f>
        <v>250166</v>
      </c>
      <c r="G4160" t="s">
        <v>49</v>
      </c>
      <c r="H4160" t="s">
        <v>2008</v>
      </c>
      <c r="K4160" t="s">
        <v>51</v>
      </c>
      <c r="L4160" t="s">
        <v>52</v>
      </c>
      <c r="M4160">
        <v>137947.38</v>
      </c>
      <c r="N4160">
        <v>470777.05</v>
      </c>
      <c r="O4160" t="s">
        <v>53</v>
      </c>
      <c r="P4160" t="s">
        <v>54</v>
      </c>
      <c r="Q4160" t="s">
        <v>55</v>
      </c>
      <c r="T4160" t="s">
        <v>183</v>
      </c>
      <c r="U4160">
        <v>40</v>
      </c>
      <c r="V4160" s="1">
        <v>37073</v>
      </c>
      <c r="W4160" s="1">
        <v>37073</v>
      </c>
      <c r="X4160" s="1">
        <v>37073</v>
      </c>
      <c r="Y4160" s="1">
        <v>51683</v>
      </c>
      <c r="Z4160" t="s">
        <v>51</v>
      </c>
      <c r="AB4160" t="s">
        <v>54</v>
      </c>
      <c r="AC4160">
        <v>1</v>
      </c>
      <c r="AE4160" t="s">
        <v>84</v>
      </c>
      <c r="AF4160">
        <v>20</v>
      </c>
      <c r="AG4160" s="1">
        <v>37073</v>
      </c>
      <c r="AH4160" s="1">
        <v>37073</v>
      </c>
      <c r="AI4160" s="1">
        <v>37073</v>
      </c>
      <c r="AJ4160" s="1">
        <v>44378</v>
      </c>
      <c r="AK4160" t="s">
        <v>51</v>
      </c>
      <c r="AN4160">
        <v>0</v>
      </c>
      <c r="AO4160" t="s">
        <v>54</v>
      </c>
      <c r="AP4160" t="s">
        <v>53</v>
      </c>
      <c r="AQ4160">
        <v>0</v>
      </c>
      <c r="AR4160" t="s">
        <v>53</v>
      </c>
      <c r="AS4160">
        <v>0</v>
      </c>
      <c r="AT4160">
        <v>0</v>
      </c>
      <c r="AW4160" t="s">
        <v>58</v>
      </c>
      <c r="AX4160">
        <v>20</v>
      </c>
      <c r="AY4160" s="1">
        <v>37073</v>
      </c>
      <c r="AZ4160" s="1">
        <v>37073</v>
      </c>
      <c r="BA4160" s="1">
        <v>37073</v>
      </c>
      <c r="BB4160" s="1">
        <v>44378</v>
      </c>
      <c r="BC4160" t="s">
        <v>51</v>
      </c>
      <c r="BE4160" t="s">
        <v>54</v>
      </c>
      <c r="BF4160">
        <v>2</v>
      </c>
      <c r="BG4160">
        <v>0</v>
      </c>
      <c r="BH4160" t="s">
        <v>53</v>
      </c>
      <c r="BK4160" t="s">
        <v>59</v>
      </c>
      <c r="BL4160">
        <v>14000</v>
      </c>
      <c r="BM4160" s="1">
        <v>42917</v>
      </c>
      <c r="BN4160" s="1">
        <v>42917</v>
      </c>
      <c r="BO4160" s="1">
        <v>42917</v>
      </c>
      <c r="BP4160" s="1">
        <v>44117</v>
      </c>
      <c r="BQ4160" t="s">
        <v>51</v>
      </c>
      <c r="BS4160" t="s">
        <v>60</v>
      </c>
      <c r="BT4160" t="s">
        <v>54</v>
      </c>
      <c r="BU4160" t="s">
        <v>61</v>
      </c>
      <c r="BV4160" t="s">
        <v>62</v>
      </c>
      <c r="BX4160">
        <v>24</v>
      </c>
      <c r="BY4160">
        <v>0</v>
      </c>
      <c r="BZ4160">
        <v>0</v>
      </c>
    </row>
    <row r="4161" spans="1:78" x14ac:dyDescent="0.2">
      <c r="A4161" t="s">
        <v>112</v>
      </c>
      <c r="B4161" t="s">
        <v>113</v>
      </c>
      <c r="C4161" t="s">
        <v>114</v>
      </c>
      <c r="D4161" t="s">
        <v>1985</v>
      </c>
      <c r="F4161" t="str">
        <f>"250167"</f>
        <v>250167</v>
      </c>
      <c r="G4161" t="s">
        <v>49</v>
      </c>
      <c r="H4161" t="s">
        <v>2009</v>
      </c>
      <c r="K4161" t="s">
        <v>51</v>
      </c>
      <c r="L4161" t="s">
        <v>52</v>
      </c>
      <c r="M4161">
        <v>137979.07999999999</v>
      </c>
      <c r="N4161">
        <v>470777.82</v>
      </c>
      <c r="O4161" t="s">
        <v>53</v>
      </c>
      <c r="P4161" t="s">
        <v>54</v>
      </c>
      <c r="Q4161" t="s">
        <v>55</v>
      </c>
      <c r="T4161" t="s">
        <v>183</v>
      </c>
      <c r="U4161">
        <v>40</v>
      </c>
      <c r="V4161" s="1">
        <v>37073</v>
      </c>
      <c r="W4161" s="1">
        <v>37073</v>
      </c>
      <c r="X4161" s="1">
        <v>37073</v>
      </c>
      <c r="Y4161" s="1">
        <v>51683</v>
      </c>
      <c r="Z4161" t="s">
        <v>51</v>
      </c>
      <c r="AB4161" t="s">
        <v>54</v>
      </c>
      <c r="AC4161">
        <v>1</v>
      </c>
      <c r="AE4161" t="s">
        <v>84</v>
      </c>
      <c r="AF4161">
        <v>20</v>
      </c>
      <c r="AG4161" s="1">
        <v>37073</v>
      </c>
      <c r="AH4161" s="1">
        <v>37073</v>
      </c>
      <c r="AI4161" s="1">
        <v>37073</v>
      </c>
      <c r="AJ4161" s="1">
        <v>44378</v>
      </c>
      <c r="AK4161" t="s">
        <v>51</v>
      </c>
      <c r="AN4161">
        <v>0</v>
      </c>
      <c r="AO4161" t="s">
        <v>54</v>
      </c>
      <c r="AP4161" t="s">
        <v>53</v>
      </c>
      <c r="AQ4161">
        <v>0</v>
      </c>
      <c r="AR4161" t="s">
        <v>53</v>
      </c>
      <c r="AS4161">
        <v>0</v>
      </c>
      <c r="AT4161">
        <v>0</v>
      </c>
      <c r="AW4161" t="s">
        <v>58</v>
      </c>
      <c r="AX4161">
        <v>20</v>
      </c>
      <c r="AY4161" s="1">
        <v>44504</v>
      </c>
      <c r="AZ4161" s="1">
        <v>44504</v>
      </c>
      <c r="BA4161" s="1">
        <v>44504</v>
      </c>
      <c r="BB4161" s="1">
        <v>51809</v>
      </c>
      <c r="BC4161" t="s">
        <v>51</v>
      </c>
      <c r="BE4161" t="s">
        <v>54</v>
      </c>
      <c r="BF4161">
        <v>2</v>
      </c>
      <c r="BG4161">
        <v>0</v>
      </c>
      <c r="BH4161" t="s">
        <v>53</v>
      </c>
      <c r="BK4161" t="s">
        <v>59</v>
      </c>
      <c r="BL4161">
        <v>14000</v>
      </c>
      <c r="BM4161" s="1">
        <v>42917</v>
      </c>
      <c r="BN4161" s="1">
        <v>42917</v>
      </c>
      <c r="BO4161" s="1">
        <v>44504</v>
      </c>
      <c r="BP4161" s="1">
        <v>44117</v>
      </c>
      <c r="BQ4161" t="s">
        <v>51</v>
      </c>
      <c r="BS4161" t="s">
        <v>60</v>
      </c>
      <c r="BT4161" t="s">
        <v>54</v>
      </c>
      <c r="BU4161" t="s">
        <v>61</v>
      </c>
      <c r="BV4161" t="s">
        <v>62</v>
      </c>
      <c r="BX4161">
        <v>24</v>
      </c>
      <c r="BY4161">
        <v>0</v>
      </c>
      <c r="BZ4161">
        <v>0</v>
      </c>
    </row>
    <row r="4162" spans="1:78" x14ac:dyDescent="0.2">
      <c r="A4162" t="s">
        <v>112</v>
      </c>
      <c r="B4162" t="s">
        <v>113</v>
      </c>
      <c r="C4162" t="s">
        <v>114</v>
      </c>
      <c r="D4162" t="s">
        <v>2010</v>
      </c>
      <c r="F4162" t="str">
        <f>"250174"</f>
        <v>250174</v>
      </c>
      <c r="G4162" t="s">
        <v>49</v>
      </c>
      <c r="K4162" t="s">
        <v>51</v>
      </c>
      <c r="L4162" t="s">
        <v>52</v>
      </c>
      <c r="M4162">
        <v>136934.63</v>
      </c>
      <c r="N4162">
        <v>470715</v>
      </c>
      <c r="O4162" t="s">
        <v>53</v>
      </c>
      <c r="P4162" t="s">
        <v>54</v>
      </c>
      <c r="Q4162" t="s">
        <v>55</v>
      </c>
      <c r="T4162" t="s">
        <v>660</v>
      </c>
      <c r="U4162">
        <v>40</v>
      </c>
      <c r="V4162" s="1">
        <v>35612</v>
      </c>
      <c r="W4162" s="1">
        <v>35612</v>
      </c>
      <c r="X4162" s="1">
        <v>35612</v>
      </c>
      <c r="Y4162" s="1">
        <v>50222</v>
      </c>
      <c r="Z4162" t="s">
        <v>51</v>
      </c>
      <c r="AB4162" t="s">
        <v>54</v>
      </c>
      <c r="AC4162">
        <v>1</v>
      </c>
      <c r="AE4162" t="s">
        <v>84</v>
      </c>
      <c r="AF4162">
        <v>20</v>
      </c>
      <c r="AG4162" s="1">
        <v>35612</v>
      </c>
      <c r="AH4162" s="1">
        <v>35612</v>
      </c>
      <c r="AI4162" s="1">
        <v>35612</v>
      </c>
      <c r="AJ4162" s="1">
        <v>42917</v>
      </c>
      <c r="AK4162" t="s">
        <v>51</v>
      </c>
      <c r="AN4162">
        <v>0</v>
      </c>
      <c r="AO4162" t="s">
        <v>54</v>
      </c>
      <c r="AP4162" t="s">
        <v>53</v>
      </c>
      <c r="AQ4162">
        <v>0</v>
      </c>
      <c r="AR4162" t="s">
        <v>53</v>
      </c>
      <c r="AS4162">
        <v>0</v>
      </c>
      <c r="AT4162">
        <v>0</v>
      </c>
      <c r="AW4162" t="s">
        <v>58</v>
      </c>
      <c r="AX4162">
        <v>20</v>
      </c>
      <c r="AY4162" s="1">
        <v>35612</v>
      </c>
      <c r="AZ4162" s="1">
        <v>35612</v>
      </c>
      <c r="BA4162" s="1">
        <v>35612</v>
      </c>
      <c r="BB4162" s="1">
        <v>42917</v>
      </c>
      <c r="BC4162" t="s">
        <v>51</v>
      </c>
      <c r="BE4162" t="s">
        <v>54</v>
      </c>
      <c r="BF4162">
        <v>2</v>
      </c>
      <c r="BG4162">
        <v>0</v>
      </c>
      <c r="BH4162" t="s">
        <v>53</v>
      </c>
      <c r="BK4162" t="s">
        <v>59</v>
      </c>
      <c r="BL4162">
        <v>14000</v>
      </c>
      <c r="BM4162" s="1">
        <v>42917</v>
      </c>
      <c r="BN4162" s="1">
        <v>42917</v>
      </c>
      <c r="BO4162" s="1">
        <v>42917</v>
      </c>
      <c r="BP4162" s="1">
        <v>44117</v>
      </c>
      <c r="BQ4162" t="s">
        <v>51</v>
      </c>
      <c r="BS4162" t="s">
        <v>60</v>
      </c>
      <c r="BT4162" t="s">
        <v>54</v>
      </c>
      <c r="BU4162" t="s">
        <v>61</v>
      </c>
      <c r="BV4162" t="s">
        <v>62</v>
      </c>
      <c r="BX4162">
        <v>24</v>
      </c>
      <c r="BY4162">
        <v>0</v>
      </c>
      <c r="BZ4162">
        <v>0</v>
      </c>
    </row>
    <row r="4163" spans="1:78" x14ac:dyDescent="0.2">
      <c r="A4163" t="s">
        <v>112</v>
      </c>
      <c r="B4163" t="s">
        <v>113</v>
      </c>
      <c r="C4163" t="s">
        <v>114</v>
      </c>
      <c r="D4163" t="s">
        <v>2010</v>
      </c>
      <c r="F4163" t="str">
        <f>"250175"</f>
        <v>250175</v>
      </c>
      <c r="G4163" t="s">
        <v>49</v>
      </c>
      <c r="K4163" t="s">
        <v>51</v>
      </c>
      <c r="L4163" t="s">
        <v>52</v>
      </c>
      <c r="M4163">
        <v>136965.16</v>
      </c>
      <c r="N4163">
        <v>470718.42</v>
      </c>
      <c r="O4163" t="s">
        <v>53</v>
      </c>
      <c r="P4163" t="s">
        <v>54</v>
      </c>
      <c r="Q4163" t="s">
        <v>55</v>
      </c>
      <c r="T4163" t="s">
        <v>660</v>
      </c>
      <c r="U4163">
        <v>40</v>
      </c>
      <c r="V4163" s="1">
        <v>35612</v>
      </c>
      <c r="W4163" s="1">
        <v>35612</v>
      </c>
      <c r="X4163" s="1">
        <v>35612</v>
      </c>
      <c r="Y4163" s="1">
        <v>50222</v>
      </c>
      <c r="Z4163" t="s">
        <v>51</v>
      </c>
      <c r="AB4163" t="s">
        <v>54</v>
      </c>
      <c r="AC4163">
        <v>1</v>
      </c>
      <c r="AE4163" t="s">
        <v>356</v>
      </c>
      <c r="AF4163">
        <v>20</v>
      </c>
      <c r="AG4163" s="1">
        <v>44858</v>
      </c>
      <c r="AH4163" s="1">
        <v>44858</v>
      </c>
      <c r="AI4163" s="1">
        <v>44858</v>
      </c>
      <c r="AJ4163" s="1">
        <v>52163</v>
      </c>
      <c r="AK4163" t="s">
        <v>51</v>
      </c>
      <c r="AN4163">
        <v>0</v>
      </c>
      <c r="AO4163" t="s">
        <v>54</v>
      </c>
      <c r="AP4163" t="s">
        <v>53</v>
      </c>
      <c r="AQ4163">
        <v>0</v>
      </c>
      <c r="AR4163" t="s">
        <v>145</v>
      </c>
      <c r="AS4163">
        <v>0</v>
      </c>
      <c r="AT4163">
        <v>0</v>
      </c>
      <c r="AW4163" t="s">
        <v>58</v>
      </c>
      <c r="AX4163">
        <v>20</v>
      </c>
      <c r="AY4163" s="1">
        <v>35612</v>
      </c>
      <c r="AZ4163" s="1">
        <v>35612</v>
      </c>
      <c r="BA4163" s="1">
        <v>44858</v>
      </c>
      <c r="BB4163" s="1">
        <v>42917</v>
      </c>
      <c r="BC4163" t="s">
        <v>51</v>
      </c>
      <c r="BE4163" t="s">
        <v>54</v>
      </c>
      <c r="BF4163">
        <v>2</v>
      </c>
      <c r="BG4163">
        <v>0</v>
      </c>
      <c r="BH4163" t="s">
        <v>53</v>
      </c>
      <c r="BK4163" t="s">
        <v>59</v>
      </c>
      <c r="BL4163">
        <v>14000</v>
      </c>
      <c r="BM4163" s="1">
        <v>42917</v>
      </c>
      <c r="BN4163" s="1">
        <v>42917</v>
      </c>
      <c r="BO4163" s="1">
        <v>44858</v>
      </c>
      <c r="BP4163" s="1">
        <v>44117</v>
      </c>
      <c r="BQ4163" t="s">
        <v>51</v>
      </c>
      <c r="BS4163" t="s">
        <v>60</v>
      </c>
      <c r="BT4163" t="s">
        <v>54</v>
      </c>
      <c r="BU4163" t="s">
        <v>61</v>
      </c>
      <c r="BV4163" t="s">
        <v>62</v>
      </c>
      <c r="BX4163">
        <v>24</v>
      </c>
      <c r="BY4163">
        <v>0</v>
      </c>
      <c r="BZ4163">
        <v>0</v>
      </c>
    </row>
    <row r="4164" spans="1:78" x14ac:dyDescent="0.2">
      <c r="A4164" t="s">
        <v>112</v>
      </c>
      <c r="B4164" t="s">
        <v>113</v>
      </c>
      <c r="C4164" t="s">
        <v>114</v>
      </c>
      <c r="D4164" t="s">
        <v>2010</v>
      </c>
      <c r="F4164" t="str">
        <f>"250176"</f>
        <v>250176</v>
      </c>
      <c r="G4164" t="s">
        <v>49</v>
      </c>
      <c r="K4164" t="s">
        <v>51</v>
      </c>
      <c r="L4164" t="s">
        <v>52</v>
      </c>
      <c r="M4164">
        <v>137002.5</v>
      </c>
      <c r="N4164">
        <v>470719.47</v>
      </c>
      <c r="O4164" t="s">
        <v>53</v>
      </c>
      <c r="P4164" t="s">
        <v>54</v>
      </c>
      <c r="Q4164" t="s">
        <v>55</v>
      </c>
      <c r="T4164" t="s">
        <v>660</v>
      </c>
      <c r="U4164">
        <v>40</v>
      </c>
      <c r="V4164" s="1">
        <v>35612</v>
      </c>
      <c r="W4164" s="1">
        <v>35612</v>
      </c>
      <c r="X4164" s="1">
        <v>35612</v>
      </c>
      <c r="Y4164" s="1">
        <v>50222</v>
      </c>
      <c r="Z4164" t="s">
        <v>51</v>
      </c>
      <c r="AB4164" t="s">
        <v>54</v>
      </c>
      <c r="AC4164">
        <v>1</v>
      </c>
      <c r="AE4164" t="s">
        <v>84</v>
      </c>
      <c r="AF4164">
        <v>20</v>
      </c>
      <c r="AG4164" s="1">
        <v>35612</v>
      </c>
      <c r="AH4164" s="1">
        <v>35612</v>
      </c>
      <c r="AI4164" s="1">
        <v>35612</v>
      </c>
      <c r="AJ4164" s="1">
        <v>42917</v>
      </c>
      <c r="AK4164" t="s">
        <v>51</v>
      </c>
      <c r="AN4164">
        <v>0</v>
      </c>
      <c r="AO4164" t="s">
        <v>54</v>
      </c>
      <c r="AP4164" t="s">
        <v>53</v>
      </c>
      <c r="AQ4164">
        <v>0</v>
      </c>
      <c r="AR4164" t="s">
        <v>53</v>
      </c>
      <c r="AS4164">
        <v>0</v>
      </c>
      <c r="AT4164">
        <v>0</v>
      </c>
      <c r="AW4164" t="s">
        <v>58</v>
      </c>
      <c r="AX4164">
        <v>20</v>
      </c>
      <c r="AY4164" s="1">
        <v>35612</v>
      </c>
      <c r="AZ4164" s="1">
        <v>35612</v>
      </c>
      <c r="BA4164" s="1">
        <v>35612</v>
      </c>
      <c r="BB4164" s="1">
        <v>42917</v>
      </c>
      <c r="BC4164" t="s">
        <v>51</v>
      </c>
      <c r="BE4164" t="s">
        <v>54</v>
      </c>
      <c r="BF4164">
        <v>2</v>
      </c>
      <c r="BG4164">
        <v>0</v>
      </c>
      <c r="BH4164" t="s">
        <v>53</v>
      </c>
      <c r="BK4164" t="s">
        <v>59</v>
      </c>
      <c r="BL4164">
        <v>14000</v>
      </c>
      <c r="BM4164" s="1">
        <v>42917</v>
      </c>
      <c r="BN4164" s="1">
        <v>42917</v>
      </c>
      <c r="BO4164" s="1">
        <v>42917</v>
      </c>
      <c r="BP4164" s="1">
        <v>44117</v>
      </c>
      <c r="BQ4164" t="s">
        <v>51</v>
      </c>
      <c r="BS4164" t="s">
        <v>60</v>
      </c>
      <c r="BT4164" t="s">
        <v>54</v>
      </c>
      <c r="BU4164" t="s">
        <v>61</v>
      </c>
      <c r="BV4164" t="s">
        <v>62</v>
      </c>
      <c r="BX4164">
        <v>24</v>
      </c>
      <c r="BY4164">
        <v>0</v>
      </c>
      <c r="BZ4164">
        <v>0</v>
      </c>
    </row>
    <row r="4165" spans="1:78" x14ac:dyDescent="0.2">
      <c r="A4165" t="s">
        <v>112</v>
      </c>
      <c r="B4165" t="s">
        <v>113</v>
      </c>
      <c r="C4165" t="s">
        <v>114</v>
      </c>
      <c r="D4165" t="s">
        <v>2010</v>
      </c>
      <c r="F4165" t="str">
        <f>"250177"</f>
        <v>250177</v>
      </c>
      <c r="G4165" t="s">
        <v>49</v>
      </c>
      <c r="K4165" t="s">
        <v>51</v>
      </c>
      <c r="L4165" t="s">
        <v>52</v>
      </c>
      <c r="M4165">
        <v>137036.64000000001</v>
      </c>
      <c r="N4165">
        <v>470720.32</v>
      </c>
      <c r="O4165" t="s">
        <v>53</v>
      </c>
      <c r="P4165" t="s">
        <v>54</v>
      </c>
      <c r="Q4165" t="s">
        <v>55</v>
      </c>
      <c r="T4165" t="s">
        <v>660</v>
      </c>
      <c r="U4165">
        <v>40</v>
      </c>
      <c r="V4165" s="1">
        <v>35612</v>
      </c>
      <c r="W4165" s="1">
        <v>35612</v>
      </c>
      <c r="X4165" s="1">
        <v>35612</v>
      </c>
      <c r="Y4165" s="1">
        <v>50222</v>
      </c>
      <c r="Z4165" t="s">
        <v>51</v>
      </c>
      <c r="AB4165" t="s">
        <v>54</v>
      </c>
      <c r="AC4165">
        <v>1</v>
      </c>
      <c r="AE4165" t="s">
        <v>84</v>
      </c>
      <c r="AF4165">
        <v>20</v>
      </c>
      <c r="AG4165" s="1">
        <v>35612</v>
      </c>
      <c r="AH4165" s="1">
        <v>35612</v>
      </c>
      <c r="AI4165" s="1">
        <v>35612</v>
      </c>
      <c r="AJ4165" s="1">
        <v>42917</v>
      </c>
      <c r="AK4165" t="s">
        <v>51</v>
      </c>
      <c r="AN4165">
        <v>0</v>
      </c>
      <c r="AO4165" t="s">
        <v>54</v>
      </c>
      <c r="AP4165" t="s">
        <v>53</v>
      </c>
      <c r="AQ4165">
        <v>0</v>
      </c>
      <c r="AR4165" t="s">
        <v>53</v>
      </c>
      <c r="AS4165">
        <v>0</v>
      </c>
      <c r="AT4165">
        <v>0</v>
      </c>
      <c r="AW4165" t="s">
        <v>58</v>
      </c>
      <c r="AX4165">
        <v>20</v>
      </c>
      <c r="AY4165" s="1">
        <v>35612</v>
      </c>
      <c r="AZ4165" s="1">
        <v>35612</v>
      </c>
      <c r="BA4165" s="1">
        <v>35612</v>
      </c>
      <c r="BB4165" s="1">
        <v>42917</v>
      </c>
      <c r="BC4165" t="s">
        <v>51</v>
      </c>
      <c r="BE4165" t="s">
        <v>54</v>
      </c>
      <c r="BF4165">
        <v>2</v>
      </c>
      <c r="BG4165">
        <v>0</v>
      </c>
      <c r="BH4165" t="s">
        <v>53</v>
      </c>
      <c r="BK4165" t="s">
        <v>59</v>
      </c>
      <c r="BL4165">
        <v>14000</v>
      </c>
      <c r="BM4165" s="1">
        <v>44606</v>
      </c>
      <c r="BN4165" s="1">
        <v>44606</v>
      </c>
      <c r="BO4165" s="1">
        <v>44606</v>
      </c>
      <c r="BP4165" s="1">
        <v>45795</v>
      </c>
      <c r="BQ4165" t="s">
        <v>51</v>
      </c>
      <c r="BS4165" t="s">
        <v>60</v>
      </c>
      <c r="BT4165" t="s">
        <v>54</v>
      </c>
      <c r="BU4165" t="s">
        <v>61</v>
      </c>
      <c r="BV4165" t="s">
        <v>62</v>
      </c>
      <c r="BX4165">
        <v>24</v>
      </c>
      <c r="BY4165">
        <v>0</v>
      </c>
      <c r="BZ4165">
        <v>0</v>
      </c>
    </row>
    <row r="4166" spans="1:78" x14ac:dyDescent="0.2">
      <c r="A4166" t="s">
        <v>112</v>
      </c>
      <c r="B4166" t="s">
        <v>113</v>
      </c>
      <c r="C4166" t="s">
        <v>114</v>
      </c>
      <c r="D4166" t="s">
        <v>2010</v>
      </c>
      <c r="F4166" t="str">
        <f>"250178"</f>
        <v>250178</v>
      </c>
      <c r="G4166" t="s">
        <v>49</v>
      </c>
      <c r="K4166" t="s">
        <v>51</v>
      </c>
      <c r="L4166" t="s">
        <v>52</v>
      </c>
      <c r="M4166">
        <v>137070.92000000001</v>
      </c>
      <c r="N4166">
        <v>470721.63</v>
      </c>
      <c r="O4166" t="s">
        <v>53</v>
      </c>
      <c r="P4166" t="s">
        <v>54</v>
      </c>
      <c r="Q4166" t="s">
        <v>55</v>
      </c>
      <c r="T4166" t="s">
        <v>660</v>
      </c>
      <c r="U4166">
        <v>40</v>
      </c>
      <c r="V4166" s="1">
        <v>35612</v>
      </c>
      <c r="W4166" s="1">
        <v>35612</v>
      </c>
      <c r="X4166" s="1">
        <v>35612</v>
      </c>
      <c r="Y4166" s="1">
        <v>50222</v>
      </c>
      <c r="Z4166" t="s">
        <v>51</v>
      </c>
      <c r="AB4166" t="s">
        <v>54</v>
      </c>
      <c r="AC4166">
        <v>1</v>
      </c>
      <c r="AE4166" t="s">
        <v>356</v>
      </c>
      <c r="AF4166">
        <v>20</v>
      </c>
      <c r="AG4166" s="1">
        <v>44592</v>
      </c>
      <c r="AH4166" s="1">
        <v>44592</v>
      </c>
      <c r="AI4166" s="1">
        <v>44592</v>
      </c>
      <c r="AJ4166" s="1">
        <v>51897</v>
      </c>
      <c r="AK4166" t="s">
        <v>51</v>
      </c>
      <c r="AN4166">
        <v>0</v>
      </c>
      <c r="AO4166" t="s">
        <v>54</v>
      </c>
      <c r="AP4166" t="s">
        <v>53</v>
      </c>
      <c r="AQ4166">
        <v>0</v>
      </c>
      <c r="AR4166" t="s">
        <v>145</v>
      </c>
      <c r="AS4166">
        <v>0</v>
      </c>
      <c r="AT4166">
        <v>0</v>
      </c>
      <c r="AW4166" t="s">
        <v>58</v>
      </c>
      <c r="AX4166">
        <v>20</v>
      </c>
      <c r="AY4166" s="1">
        <v>35612</v>
      </c>
      <c r="AZ4166" s="1">
        <v>35612</v>
      </c>
      <c r="BA4166" s="1">
        <v>44592</v>
      </c>
      <c r="BB4166" s="1">
        <v>42917</v>
      </c>
      <c r="BC4166" t="s">
        <v>51</v>
      </c>
      <c r="BE4166" t="s">
        <v>54</v>
      </c>
      <c r="BF4166">
        <v>2</v>
      </c>
      <c r="BG4166">
        <v>0</v>
      </c>
      <c r="BH4166" t="s">
        <v>53</v>
      </c>
      <c r="BK4166" t="s">
        <v>59</v>
      </c>
      <c r="BL4166">
        <v>14000</v>
      </c>
      <c r="BM4166" s="1">
        <v>42917</v>
      </c>
      <c r="BN4166" s="1">
        <v>42917</v>
      </c>
      <c r="BO4166" s="1">
        <v>44592</v>
      </c>
      <c r="BP4166" s="1">
        <v>44117</v>
      </c>
      <c r="BQ4166" t="s">
        <v>51</v>
      </c>
      <c r="BS4166" t="s">
        <v>60</v>
      </c>
      <c r="BT4166" t="s">
        <v>54</v>
      </c>
      <c r="BU4166" t="s">
        <v>61</v>
      </c>
      <c r="BV4166" t="s">
        <v>62</v>
      </c>
      <c r="BX4166">
        <v>24</v>
      </c>
      <c r="BY4166">
        <v>0</v>
      </c>
      <c r="BZ4166">
        <v>0</v>
      </c>
    </row>
    <row r="4167" spans="1:78" x14ac:dyDescent="0.2">
      <c r="A4167" t="s">
        <v>112</v>
      </c>
      <c r="B4167" t="s">
        <v>113</v>
      </c>
      <c r="C4167" t="s">
        <v>114</v>
      </c>
      <c r="D4167" t="s">
        <v>2010</v>
      </c>
      <c r="F4167" t="str">
        <f>"250179"</f>
        <v>250179</v>
      </c>
      <c r="G4167" t="s">
        <v>49</v>
      </c>
      <c r="K4167" t="s">
        <v>51</v>
      </c>
      <c r="L4167" t="s">
        <v>52</v>
      </c>
      <c r="M4167">
        <v>137094.75</v>
      </c>
      <c r="N4167">
        <v>470721.83</v>
      </c>
      <c r="O4167" t="s">
        <v>53</v>
      </c>
      <c r="P4167" t="s">
        <v>54</v>
      </c>
      <c r="Q4167" t="s">
        <v>55</v>
      </c>
      <c r="T4167" t="s">
        <v>660</v>
      </c>
      <c r="U4167">
        <v>40</v>
      </c>
      <c r="V4167" s="1">
        <v>35612</v>
      </c>
      <c r="W4167" s="1">
        <v>35612</v>
      </c>
      <c r="X4167" s="1">
        <v>35612</v>
      </c>
      <c r="Y4167" s="1">
        <v>50222</v>
      </c>
      <c r="Z4167" t="s">
        <v>51</v>
      </c>
      <c r="AB4167" t="s">
        <v>54</v>
      </c>
      <c r="AC4167">
        <v>1</v>
      </c>
      <c r="AE4167" t="s">
        <v>84</v>
      </c>
      <c r="AF4167">
        <v>20</v>
      </c>
      <c r="AG4167" s="1">
        <v>35612</v>
      </c>
      <c r="AH4167" s="1">
        <v>35612</v>
      </c>
      <c r="AI4167" s="1">
        <v>35612</v>
      </c>
      <c r="AJ4167" s="1">
        <v>42917</v>
      </c>
      <c r="AK4167" t="s">
        <v>51</v>
      </c>
      <c r="AN4167">
        <v>0</v>
      </c>
      <c r="AO4167" t="s">
        <v>54</v>
      </c>
      <c r="AP4167" t="s">
        <v>53</v>
      </c>
      <c r="AQ4167">
        <v>0</v>
      </c>
      <c r="AR4167" t="s">
        <v>53</v>
      </c>
      <c r="AS4167">
        <v>0</v>
      </c>
      <c r="AT4167">
        <v>0</v>
      </c>
      <c r="AW4167" t="s">
        <v>58</v>
      </c>
      <c r="AX4167">
        <v>20</v>
      </c>
      <c r="AY4167" s="1">
        <v>35612</v>
      </c>
      <c r="AZ4167" s="1">
        <v>35612</v>
      </c>
      <c r="BA4167" s="1">
        <v>35612</v>
      </c>
      <c r="BB4167" s="1">
        <v>42917</v>
      </c>
      <c r="BC4167" t="s">
        <v>51</v>
      </c>
      <c r="BE4167" t="s">
        <v>54</v>
      </c>
      <c r="BF4167">
        <v>2</v>
      </c>
      <c r="BG4167">
        <v>0</v>
      </c>
      <c r="BH4167" t="s">
        <v>53</v>
      </c>
      <c r="BK4167" t="s">
        <v>59</v>
      </c>
      <c r="BL4167">
        <v>14000</v>
      </c>
      <c r="BM4167" s="1">
        <v>42917</v>
      </c>
      <c r="BN4167" s="1">
        <v>42917</v>
      </c>
      <c r="BO4167" s="1">
        <v>42917</v>
      </c>
      <c r="BP4167" s="1">
        <v>44117</v>
      </c>
      <c r="BQ4167" t="s">
        <v>51</v>
      </c>
      <c r="BS4167" t="s">
        <v>60</v>
      </c>
      <c r="BT4167" t="s">
        <v>54</v>
      </c>
      <c r="BU4167" t="s">
        <v>61</v>
      </c>
      <c r="BV4167" t="s">
        <v>62</v>
      </c>
      <c r="BX4167">
        <v>24</v>
      </c>
      <c r="BY4167">
        <v>0</v>
      </c>
      <c r="BZ4167">
        <v>0</v>
      </c>
    </row>
    <row r="4168" spans="1:78" x14ac:dyDescent="0.2">
      <c r="A4168" t="s">
        <v>112</v>
      </c>
      <c r="B4168" t="s">
        <v>113</v>
      </c>
      <c r="C4168" t="s">
        <v>114</v>
      </c>
      <c r="D4168" t="s">
        <v>2010</v>
      </c>
      <c r="F4168" t="str">
        <f>"250180"</f>
        <v>250180</v>
      </c>
      <c r="G4168" t="s">
        <v>49</v>
      </c>
      <c r="K4168" t="s">
        <v>51</v>
      </c>
      <c r="L4168" t="s">
        <v>52</v>
      </c>
      <c r="M4168">
        <v>137120.29999999999</v>
      </c>
      <c r="N4168">
        <v>470722.91</v>
      </c>
      <c r="O4168" t="s">
        <v>53</v>
      </c>
      <c r="P4168" t="s">
        <v>54</v>
      </c>
      <c r="Q4168" t="s">
        <v>55</v>
      </c>
      <c r="T4168" t="s">
        <v>660</v>
      </c>
      <c r="U4168">
        <v>40</v>
      </c>
      <c r="V4168" s="1">
        <v>35612</v>
      </c>
      <c r="W4168" s="1">
        <v>35612</v>
      </c>
      <c r="X4168" s="1">
        <v>35612</v>
      </c>
      <c r="Y4168" s="1">
        <v>50222</v>
      </c>
      <c r="Z4168" t="s">
        <v>51</v>
      </c>
      <c r="AB4168" t="s">
        <v>54</v>
      </c>
      <c r="AC4168">
        <v>1</v>
      </c>
      <c r="AE4168" t="s">
        <v>84</v>
      </c>
      <c r="AF4168">
        <v>20</v>
      </c>
      <c r="AG4168" s="1">
        <v>35612</v>
      </c>
      <c r="AH4168" s="1">
        <v>35612</v>
      </c>
      <c r="AI4168" s="1">
        <v>35612</v>
      </c>
      <c r="AJ4168" s="1">
        <v>42917</v>
      </c>
      <c r="AK4168" t="s">
        <v>51</v>
      </c>
      <c r="AN4168">
        <v>0</v>
      </c>
      <c r="AO4168" t="s">
        <v>54</v>
      </c>
      <c r="AP4168" t="s">
        <v>53</v>
      </c>
      <c r="AQ4168">
        <v>0</v>
      </c>
      <c r="AR4168" t="s">
        <v>53</v>
      </c>
      <c r="AS4168">
        <v>0</v>
      </c>
      <c r="AT4168">
        <v>0</v>
      </c>
      <c r="AW4168" t="s">
        <v>58</v>
      </c>
      <c r="AX4168">
        <v>20</v>
      </c>
      <c r="AY4168" s="1">
        <v>35612</v>
      </c>
      <c r="AZ4168" s="1">
        <v>35612</v>
      </c>
      <c r="BA4168" s="1">
        <v>35612</v>
      </c>
      <c r="BB4168" s="1">
        <v>42917</v>
      </c>
      <c r="BC4168" t="s">
        <v>51</v>
      </c>
      <c r="BE4168" t="s">
        <v>54</v>
      </c>
      <c r="BF4168">
        <v>2</v>
      </c>
      <c r="BG4168">
        <v>0</v>
      </c>
      <c r="BH4168" t="s">
        <v>53</v>
      </c>
      <c r="BK4168" t="s">
        <v>59</v>
      </c>
      <c r="BL4168">
        <v>14000</v>
      </c>
      <c r="BM4168" s="1">
        <v>42917</v>
      </c>
      <c r="BN4168" s="1">
        <v>42917</v>
      </c>
      <c r="BO4168" s="1">
        <v>42917</v>
      </c>
      <c r="BP4168" s="1">
        <v>44117</v>
      </c>
      <c r="BQ4168" t="s">
        <v>51</v>
      </c>
      <c r="BS4168" t="s">
        <v>60</v>
      </c>
      <c r="BT4168" t="s">
        <v>54</v>
      </c>
      <c r="BU4168" t="s">
        <v>61</v>
      </c>
      <c r="BV4168" t="s">
        <v>62</v>
      </c>
      <c r="BX4168">
        <v>24</v>
      </c>
      <c r="BY4168">
        <v>0</v>
      </c>
      <c r="BZ4168">
        <v>0</v>
      </c>
    </row>
    <row r="4169" spans="1:78" x14ac:dyDescent="0.2">
      <c r="A4169" t="s">
        <v>112</v>
      </c>
      <c r="B4169" t="s">
        <v>113</v>
      </c>
      <c r="C4169" t="s">
        <v>114</v>
      </c>
      <c r="D4169" t="s">
        <v>2010</v>
      </c>
      <c r="F4169" t="str">
        <f>"250181"</f>
        <v>250181</v>
      </c>
      <c r="G4169" t="s">
        <v>49</v>
      </c>
      <c r="K4169" t="s">
        <v>51</v>
      </c>
      <c r="L4169" t="s">
        <v>52</v>
      </c>
      <c r="M4169">
        <v>137148.06</v>
      </c>
      <c r="N4169">
        <v>470723.41</v>
      </c>
      <c r="O4169" t="s">
        <v>53</v>
      </c>
      <c r="P4169" t="s">
        <v>54</v>
      </c>
      <c r="Q4169" t="s">
        <v>55</v>
      </c>
      <c r="T4169" t="s">
        <v>660</v>
      </c>
      <c r="U4169">
        <v>40</v>
      </c>
      <c r="V4169" s="1">
        <v>35612</v>
      </c>
      <c r="W4169" s="1">
        <v>35612</v>
      </c>
      <c r="X4169" s="1">
        <v>35612</v>
      </c>
      <c r="Y4169" s="1">
        <v>50222</v>
      </c>
      <c r="Z4169" t="s">
        <v>51</v>
      </c>
      <c r="AB4169" t="s">
        <v>54</v>
      </c>
      <c r="AC4169">
        <v>1</v>
      </c>
      <c r="AE4169" t="s">
        <v>84</v>
      </c>
      <c r="AF4169">
        <v>20</v>
      </c>
      <c r="AG4169" s="1">
        <v>35612</v>
      </c>
      <c r="AH4169" s="1">
        <v>35612</v>
      </c>
      <c r="AI4169" s="1">
        <v>35612</v>
      </c>
      <c r="AJ4169" s="1">
        <v>42917</v>
      </c>
      <c r="AK4169" t="s">
        <v>51</v>
      </c>
      <c r="AN4169">
        <v>0</v>
      </c>
      <c r="AO4169" t="s">
        <v>54</v>
      </c>
      <c r="AP4169" t="s">
        <v>53</v>
      </c>
      <c r="AQ4169">
        <v>0</v>
      </c>
      <c r="AR4169" t="s">
        <v>53</v>
      </c>
      <c r="AS4169">
        <v>0</v>
      </c>
      <c r="AT4169">
        <v>0</v>
      </c>
      <c r="AW4169" t="s">
        <v>58</v>
      </c>
      <c r="AX4169">
        <v>20</v>
      </c>
      <c r="AY4169" s="1">
        <v>35612</v>
      </c>
      <c r="AZ4169" s="1">
        <v>35612</v>
      </c>
      <c r="BA4169" s="1">
        <v>35612</v>
      </c>
      <c r="BB4169" s="1">
        <v>42917</v>
      </c>
      <c r="BC4169" t="s">
        <v>51</v>
      </c>
      <c r="BE4169" t="s">
        <v>54</v>
      </c>
      <c r="BF4169">
        <v>2</v>
      </c>
      <c r="BG4169">
        <v>0</v>
      </c>
      <c r="BH4169" t="s">
        <v>53</v>
      </c>
      <c r="BK4169" t="s">
        <v>59</v>
      </c>
      <c r="BL4169">
        <v>14000</v>
      </c>
      <c r="BM4169" s="1">
        <v>42917</v>
      </c>
      <c r="BN4169" s="1">
        <v>42917</v>
      </c>
      <c r="BO4169" s="1">
        <v>42917</v>
      </c>
      <c r="BP4169" s="1">
        <v>44117</v>
      </c>
      <c r="BQ4169" t="s">
        <v>51</v>
      </c>
      <c r="BS4169" t="s">
        <v>60</v>
      </c>
      <c r="BT4169" t="s">
        <v>54</v>
      </c>
      <c r="BU4169" t="s">
        <v>61</v>
      </c>
      <c r="BV4169" t="s">
        <v>62</v>
      </c>
      <c r="BX4169">
        <v>24</v>
      </c>
      <c r="BY4169">
        <v>0</v>
      </c>
      <c r="BZ4169">
        <v>0</v>
      </c>
    </row>
    <row r="4170" spans="1:78" x14ac:dyDescent="0.2">
      <c r="A4170" t="s">
        <v>112</v>
      </c>
      <c r="B4170" t="s">
        <v>113</v>
      </c>
      <c r="C4170" t="s">
        <v>114</v>
      </c>
      <c r="D4170" t="s">
        <v>2010</v>
      </c>
      <c r="F4170" t="str">
        <f>"250182"</f>
        <v>250182</v>
      </c>
      <c r="G4170" t="s">
        <v>49</v>
      </c>
      <c r="K4170" t="s">
        <v>51</v>
      </c>
      <c r="L4170" t="s">
        <v>52</v>
      </c>
      <c r="M4170">
        <v>137172.53</v>
      </c>
      <c r="N4170">
        <v>470724.22</v>
      </c>
      <c r="O4170" t="s">
        <v>53</v>
      </c>
      <c r="P4170" t="s">
        <v>54</v>
      </c>
      <c r="Q4170" t="s">
        <v>55</v>
      </c>
      <c r="T4170" t="s">
        <v>660</v>
      </c>
      <c r="U4170">
        <v>40</v>
      </c>
      <c r="V4170" s="1">
        <v>35612</v>
      </c>
      <c r="W4170" s="1">
        <v>35612</v>
      </c>
      <c r="X4170" s="1">
        <v>35612</v>
      </c>
      <c r="Y4170" s="1">
        <v>50222</v>
      </c>
      <c r="Z4170" t="s">
        <v>51</v>
      </c>
      <c r="AB4170" t="s">
        <v>54</v>
      </c>
      <c r="AC4170">
        <v>1</v>
      </c>
      <c r="AE4170" t="s">
        <v>84</v>
      </c>
      <c r="AF4170">
        <v>20</v>
      </c>
      <c r="AG4170" s="1">
        <v>35612</v>
      </c>
      <c r="AH4170" s="1">
        <v>35612</v>
      </c>
      <c r="AI4170" s="1">
        <v>35612</v>
      </c>
      <c r="AJ4170" s="1">
        <v>42917</v>
      </c>
      <c r="AK4170" t="s">
        <v>51</v>
      </c>
      <c r="AN4170">
        <v>0</v>
      </c>
      <c r="AO4170" t="s">
        <v>54</v>
      </c>
      <c r="AP4170" t="s">
        <v>53</v>
      </c>
      <c r="AQ4170">
        <v>0</v>
      </c>
      <c r="AR4170" t="s">
        <v>53</v>
      </c>
      <c r="AS4170">
        <v>0</v>
      </c>
      <c r="AT4170">
        <v>0</v>
      </c>
      <c r="AW4170" t="s">
        <v>58</v>
      </c>
      <c r="AX4170">
        <v>20</v>
      </c>
      <c r="AY4170" s="1">
        <v>35612</v>
      </c>
      <c r="AZ4170" s="1">
        <v>35612</v>
      </c>
      <c r="BA4170" s="1">
        <v>35612</v>
      </c>
      <c r="BB4170" s="1">
        <v>42917</v>
      </c>
      <c r="BC4170" t="s">
        <v>51</v>
      </c>
      <c r="BE4170" t="s">
        <v>54</v>
      </c>
      <c r="BF4170">
        <v>2</v>
      </c>
      <c r="BG4170">
        <v>0</v>
      </c>
      <c r="BH4170" t="s">
        <v>53</v>
      </c>
      <c r="BK4170" t="s">
        <v>59</v>
      </c>
      <c r="BL4170">
        <v>14000</v>
      </c>
      <c r="BM4170" s="1">
        <v>42917</v>
      </c>
      <c r="BN4170" s="1">
        <v>42917</v>
      </c>
      <c r="BO4170" s="1">
        <v>42917</v>
      </c>
      <c r="BP4170" s="1">
        <v>44117</v>
      </c>
      <c r="BQ4170" t="s">
        <v>51</v>
      </c>
      <c r="BS4170" t="s">
        <v>60</v>
      </c>
      <c r="BT4170" t="s">
        <v>54</v>
      </c>
      <c r="BU4170" t="s">
        <v>61</v>
      </c>
      <c r="BV4170" t="s">
        <v>62</v>
      </c>
      <c r="BX4170">
        <v>24</v>
      </c>
      <c r="BY4170">
        <v>0</v>
      </c>
      <c r="BZ4170">
        <v>0</v>
      </c>
    </row>
    <row r="4171" spans="1:78" x14ac:dyDescent="0.2">
      <c r="A4171" t="s">
        <v>112</v>
      </c>
      <c r="B4171" t="s">
        <v>113</v>
      </c>
      <c r="C4171" t="s">
        <v>114</v>
      </c>
      <c r="D4171" t="s">
        <v>2010</v>
      </c>
      <c r="F4171" t="str">
        <f>"250183"</f>
        <v>250183</v>
      </c>
      <c r="G4171" t="s">
        <v>49</v>
      </c>
      <c r="K4171" t="s">
        <v>51</v>
      </c>
      <c r="L4171" t="s">
        <v>52</v>
      </c>
      <c r="M4171">
        <v>137196.62</v>
      </c>
      <c r="N4171">
        <v>470724.41</v>
      </c>
      <c r="O4171" t="s">
        <v>53</v>
      </c>
      <c r="P4171" t="s">
        <v>54</v>
      </c>
      <c r="Q4171" t="s">
        <v>55</v>
      </c>
      <c r="T4171" t="s">
        <v>660</v>
      </c>
      <c r="U4171">
        <v>40</v>
      </c>
      <c r="V4171" s="1">
        <v>35612</v>
      </c>
      <c r="W4171" s="1">
        <v>35612</v>
      </c>
      <c r="X4171" s="1">
        <v>35612</v>
      </c>
      <c r="Y4171" s="1">
        <v>50222</v>
      </c>
      <c r="Z4171" t="s">
        <v>51</v>
      </c>
      <c r="AB4171" t="s">
        <v>54</v>
      </c>
      <c r="AC4171">
        <v>1</v>
      </c>
      <c r="AE4171" t="s">
        <v>84</v>
      </c>
      <c r="AF4171">
        <v>20</v>
      </c>
      <c r="AG4171" s="1">
        <v>35612</v>
      </c>
      <c r="AH4171" s="1">
        <v>35612</v>
      </c>
      <c r="AI4171" s="1">
        <v>35612</v>
      </c>
      <c r="AJ4171" s="1">
        <v>42917</v>
      </c>
      <c r="AK4171" t="s">
        <v>51</v>
      </c>
      <c r="AN4171">
        <v>0</v>
      </c>
      <c r="AO4171" t="s">
        <v>54</v>
      </c>
      <c r="AP4171" t="s">
        <v>53</v>
      </c>
      <c r="AQ4171">
        <v>0</v>
      </c>
      <c r="AR4171" t="s">
        <v>53</v>
      </c>
      <c r="AS4171">
        <v>0</v>
      </c>
      <c r="AT4171">
        <v>0</v>
      </c>
      <c r="AW4171" t="s">
        <v>58</v>
      </c>
      <c r="AX4171">
        <v>20</v>
      </c>
      <c r="AY4171" s="1">
        <v>35612</v>
      </c>
      <c r="AZ4171" s="1">
        <v>35612</v>
      </c>
      <c r="BA4171" s="1">
        <v>35612</v>
      </c>
      <c r="BB4171" s="1">
        <v>42917</v>
      </c>
      <c r="BC4171" t="s">
        <v>51</v>
      </c>
      <c r="BE4171" t="s">
        <v>54</v>
      </c>
      <c r="BF4171">
        <v>2</v>
      </c>
      <c r="BG4171">
        <v>0</v>
      </c>
      <c r="BH4171" t="s">
        <v>53</v>
      </c>
      <c r="BK4171" t="s">
        <v>59</v>
      </c>
      <c r="BL4171">
        <v>14000</v>
      </c>
      <c r="BM4171" s="1">
        <v>42917</v>
      </c>
      <c r="BN4171" s="1">
        <v>42917</v>
      </c>
      <c r="BO4171" s="1">
        <v>42917</v>
      </c>
      <c r="BP4171" s="1">
        <v>44117</v>
      </c>
      <c r="BQ4171" t="s">
        <v>51</v>
      </c>
      <c r="BS4171" t="s">
        <v>60</v>
      </c>
      <c r="BT4171" t="s">
        <v>54</v>
      </c>
      <c r="BU4171" t="s">
        <v>61</v>
      </c>
      <c r="BV4171" t="s">
        <v>62</v>
      </c>
      <c r="BX4171">
        <v>24</v>
      </c>
      <c r="BY4171">
        <v>0</v>
      </c>
      <c r="BZ4171">
        <v>0</v>
      </c>
    </row>
    <row r="4172" spans="1:78" x14ac:dyDescent="0.2">
      <c r="A4172" t="s">
        <v>112</v>
      </c>
      <c r="B4172" t="s">
        <v>113</v>
      </c>
      <c r="C4172" t="s">
        <v>114</v>
      </c>
      <c r="D4172" t="s">
        <v>2010</v>
      </c>
      <c r="F4172" t="str">
        <f>"250184"</f>
        <v>250184</v>
      </c>
      <c r="G4172" t="s">
        <v>49</v>
      </c>
      <c r="K4172" t="s">
        <v>51</v>
      </c>
      <c r="L4172" t="s">
        <v>52</v>
      </c>
      <c r="M4172">
        <v>137227.49</v>
      </c>
      <c r="N4172">
        <v>470730.39</v>
      </c>
      <c r="O4172" t="s">
        <v>53</v>
      </c>
      <c r="P4172" t="s">
        <v>54</v>
      </c>
      <c r="Q4172" t="s">
        <v>55</v>
      </c>
      <c r="T4172" t="s">
        <v>660</v>
      </c>
      <c r="U4172">
        <v>40</v>
      </c>
      <c r="V4172" s="1">
        <v>35612</v>
      </c>
      <c r="W4172" s="1">
        <v>35612</v>
      </c>
      <c r="X4172" s="1">
        <v>35612</v>
      </c>
      <c r="Y4172" s="1">
        <v>50222</v>
      </c>
      <c r="Z4172" t="s">
        <v>51</v>
      </c>
      <c r="AB4172" t="s">
        <v>54</v>
      </c>
      <c r="AC4172">
        <v>1</v>
      </c>
      <c r="AE4172" t="s">
        <v>84</v>
      </c>
      <c r="AF4172">
        <v>20</v>
      </c>
      <c r="AG4172" s="1">
        <v>35612</v>
      </c>
      <c r="AH4172" s="1">
        <v>35612</v>
      </c>
      <c r="AI4172" s="1">
        <v>35612</v>
      </c>
      <c r="AJ4172" s="1">
        <v>42917</v>
      </c>
      <c r="AK4172" t="s">
        <v>51</v>
      </c>
      <c r="AN4172">
        <v>0</v>
      </c>
      <c r="AO4172" t="s">
        <v>54</v>
      </c>
      <c r="AP4172" t="s">
        <v>53</v>
      </c>
      <c r="AQ4172">
        <v>0</v>
      </c>
      <c r="AR4172" t="s">
        <v>53</v>
      </c>
      <c r="AS4172">
        <v>0</v>
      </c>
      <c r="AT4172">
        <v>0</v>
      </c>
      <c r="AW4172" t="s">
        <v>58</v>
      </c>
      <c r="AX4172">
        <v>20</v>
      </c>
      <c r="AY4172" s="1">
        <v>35612</v>
      </c>
      <c r="AZ4172" s="1">
        <v>35612</v>
      </c>
      <c r="BA4172" s="1">
        <v>35612</v>
      </c>
      <c r="BB4172" s="1">
        <v>42917</v>
      </c>
      <c r="BC4172" t="s">
        <v>51</v>
      </c>
      <c r="BE4172" t="s">
        <v>54</v>
      </c>
      <c r="BF4172">
        <v>2</v>
      </c>
      <c r="BG4172">
        <v>0</v>
      </c>
      <c r="BH4172" t="s">
        <v>53</v>
      </c>
      <c r="BK4172" t="s">
        <v>59</v>
      </c>
      <c r="BL4172">
        <v>14000</v>
      </c>
      <c r="BM4172" s="1">
        <v>42917</v>
      </c>
      <c r="BN4172" s="1">
        <v>42917</v>
      </c>
      <c r="BO4172" s="1">
        <v>42917</v>
      </c>
      <c r="BP4172" s="1">
        <v>44117</v>
      </c>
      <c r="BQ4172" t="s">
        <v>51</v>
      </c>
      <c r="BS4172" t="s">
        <v>60</v>
      </c>
      <c r="BT4172" t="s">
        <v>54</v>
      </c>
      <c r="BU4172" t="s">
        <v>61</v>
      </c>
      <c r="BV4172" t="s">
        <v>62</v>
      </c>
      <c r="BX4172">
        <v>24</v>
      </c>
      <c r="BY4172">
        <v>0</v>
      </c>
      <c r="BZ4172">
        <v>0</v>
      </c>
    </row>
    <row r="4173" spans="1:78" x14ac:dyDescent="0.2">
      <c r="A4173" t="s">
        <v>112</v>
      </c>
      <c r="B4173" t="s">
        <v>113</v>
      </c>
      <c r="C4173" t="s">
        <v>114</v>
      </c>
      <c r="D4173" t="s">
        <v>2010</v>
      </c>
      <c r="F4173" t="str">
        <f>"250185"</f>
        <v>250185</v>
      </c>
      <c r="G4173" t="s">
        <v>49</v>
      </c>
      <c r="K4173" t="s">
        <v>51</v>
      </c>
      <c r="L4173" t="s">
        <v>52</v>
      </c>
      <c r="M4173">
        <v>137236.26</v>
      </c>
      <c r="N4173">
        <v>470708.96</v>
      </c>
      <c r="O4173" t="s">
        <v>53</v>
      </c>
      <c r="P4173" t="s">
        <v>54</v>
      </c>
      <c r="Q4173" t="s">
        <v>55</v>
      </c>
      <c r="T4173" t="s">
        <v>660</v>
      </c>
      <c r="U4173">
        <v>40</v>
      </c>
      <c r="V4173" s="1">
        <v>35612</v>
      </c>
      <c r="W4173" s="1">
        <v>35612</v>
      </c>
      <c r="X4173" s="1">
        <v>35612</v>
      </c>
      <c r="Y4173" s="1">
        <v>50222</v>
      </c>
      <c r="Z4173" t="s">
        <v>51</v>
      </c>
      <c r="AB4173" t="s">
        <v>54</v>
      </c>
      <c r="AC4173">
        <v>1</v>
      </c>
      <c r="AE4173" t="s">
        <v>84</v>
      </c>
      <c r="AF4173">
        <v>20</v>
      </c>
      <c r="AG4173" s="1">
        <v>35612</v>
      </c>
      <c r="AH4173" s="1">
        <v>35612</v>
      </c>
      <c r="AI4173" s="1">
        <v>35612</v>
      </c>
      <c r="AJ4173" s="1">
        <v>42917</v>
      </c>
      <c r="AK4173" t="s">
        <v>51</v>
      </c>
      <c r="AN4173">
        <v>0</v>
      </c>
      <c r="AO4173" t="s">
        <v>54</v>
      </c>
      <c r="AP4173" t="s">
        <v>53</v>
      </c>
      <c r="AQ4173">
        <v>0</v>
      </c>
      <c r="AR4173" t="s">
        <v>53</v>
      </c>
      <c r="AS4173">
        <v>0</v>
      </c>
      <c r="AT4173">
        <v>0</v>
      </c>
      <c r="AW4173" t="s">
        <v>58</v>
      </c>
      <c r="AX4173">
        <v>20</v>
      </c>
      <c r="AY4173" s="1">
        <v>35612</v>
      </c>
      <c r="AZ4173" s="1">
        <v>35612</v>
      </c>
      <c r="BA4173" s="1">
        <v>35612</v>
      </c>
      <c r="BB4173" s="1">
        <v>42917</v>
      </c>
      <c r="BC4173" t="s">
        <v>51</v>
      </c>
      <c r="BE4173" t="s">
        <v>54</v>
      </c>
      <c r="BF4173">
        <v>2</v>
      </c>
      <c r="BG4173">
        <v>0</v>
      </c>
      <c r="BH4173" t="s">
        <v>53</v>
      </c>
      <c r="BK4173" t="s">
        <v>59</v>
      </c>
      <c r="BL4173">
        <v>14000</v>
      </c>
      <c r="BM4173" s="1">
        <v>42917</v>
      </c>
      <c r="BN4173" s="1">
        <v>42917</v>
      </c>
      <c r="BO4173" s="1">
        <v>42917</v>
      </c>
      <c r="BP4173" s="1">
        <v>44117</v>
      </c>
      <c r="BQ4173" t="s">
        <v>51</v>
      </c>
      <c r="BS4173" t="s">
        <v>60</v>
      </c>
      <c r="BT4173" t="s">
        <v>54</v>
      </c>
      <c r="BU4173" t="s">
        <v>61</v>
      </c>
      <c r="BV4173" t="s">
        <v>62</v>
      </c>
      <c r="BX4173">
        <v>24</v>
      </c>
      <c r="BY4173">
        <v>0</v>
      </c>
      <c r="BZ4173">
        <v>0</v>
      </c>
    </row>
    <row r="4174" spans="1:78" x14ac:dyDescent="0.2">
      <c r="A4174" t="s">
        <v>112</v>
      </c>
      <c r="B4174" t="s">
        <v>113</v>
      </c>
      <c r="C4174" t="s">
        <v>114</v>
      </c>
      <c r="D4174" t="s">
        <v>2010</v>
      </c>
      <c r="F4174" t="str">
        <f>"250186"</f>
        <v>250186</v>
      </c>
      <c r="G4174" t="s">
        <v>49</v>
      </c>
      <c r="K4174" t="s">
        <v>51</v>
      </c>
      <c r="L4174" t="s">
        <v>52</v>
      </c>
      <c r="M4174">
        <v>137243.64000000001</v>
      </c>
      <c r="N4174">
        <v>470687.53</v>
      </c>
      <c r="O4174" t="s">
        <v>53</v>
      </c>
      <c r="P4174" t="s">
        <v>54</v>
      </c>
      <c r="Q4174" t="s">
        <v>55</v>
      </c>
      <c r="T4174" t="s">
        <v>660</v>
      </c>
      <c r="U4174">
        <v>40</v>
      </c>
      <c r="V4174" s="1">
        <v>35612</v>
      </c>
      <c r="W4174" s="1">
        <v>35612</v>
      </c>
      <c r="X4174" s="1">
        <v>35612</v>
      </c>
      <c r="Y4174" s="1">
        <v>50222</v>
      </c>
      <c r="Z4174" t="s">
        <v>51</v>
      </c>
      <c r="AB4174" t="s">
        <v>54</v>
      </c>
      <c r="AC4174">
        <v>1</v>
      </c>
      <c r="AE4174" t="s">
        <v>84</v>
      </c>
      <c r="AF4174">
        <v>20</v>
      </c>
      <c r="AG4174" s="1">
        <v>35612</v>
      </c>
      <c r="AH4174" s="1">
        <v>35612</v>
      </c>
      <c r="AI4174" s="1">
        <v>35612</v>
      </c>
      <c r="AJ4174" s="1">
        <v>42917</v>
      </c>
      <c r="AK4174" t="s">
        <v>51</v>
      </c>
      <c r="AN4174">
        <v>0</v>
      </c>
      <c r="AO4174" t="s">
        <v>54</v>
      </c>
      <c r="AP4174" t="s">
        <v>53</v>
      </c>
      <c r="AQ4174">
        <v>0</v>
      </c>
      <c r="AR4174" t="s">
        <v>53</v>
      </c>
      <c r="AS4174">
        <v>0</v>
      </c>
      <c r="AT4174">
        <v>0</v>
      </c>
      <c r="AW4174" t="s">
        <v>58</v>
      </c>
      <c r="AX4174">
        <v>20</v>
      </c>
      <c r="AY4174" s="1">
        <v>35612</v>
      </c>
      <c r="AZ4174" s="1">
        <v>35612</v>
      </c>
      <c r="BA4174" s="1">
        <v>35612</v>
      </c>
      <c r="BB4174" s="1">
        <v>42917</v>
      </c>
      <c r="BC4174" t="s">
        <v>51</v>
      </c>
      <c r="BE4174" t="s">
        <v>54</v>
      </c>
      <c r="BF4174">
        <v>2</v>
      </c>
      <c r="BG4174">
        <v>0</v>
      </c>
      <c r="BH4174" t="s">
        <v>53</v>
      </c>
      <c r="BK4174" t="s">
        <v>59</v>
      </c>
      <c r="BL4174">
        <v>14000</v>
      </c>
      <c r="BM4174" s="1">
        <v>42917</v>
      </c>
      <c r="BN4174" s="1">
        <v>42917</v>
      </c>
      <c r="BO4174" s="1">
        <v>42917</v>
      </c>
      <c r="BP4174" s="1">
        <v>44117</v>
      </c>
      <c r="BQ4174" t="s">
        <v>51</v>
      </c>
      <c r="BS4174" t="s">
        <v>60</v>
      </c>
      <c r="BT4174" t="s">
        <v>54</v>
      </c>
      <c r="BU4174" t="s">
        <v>61</v>
      </c>
      <c r="BV4174" t="s">
        <v>62</v>
      </c>
      <c r="BX4174">
        <v>24</v>
      </c>
      <c r="BY4174">
        <v>0</v>
      </c>
      <c r="BZ4174">
        <v>0</v>
      </c>
    </row>
    <row r="4175" spans="1:78" x14ac:dyDescent="0.2">
      <c r="A4175" t="s">
        <v>112</v>
      </c>
      <c r="B4175" t="s">
        <v>113</v>
      </c>
      <c r="C4175" t="s">
        <v>114</v>
      </c>
      <c r="D4175" t="s">
        <v>2010</v>
      </c>
      <c r="F4175" t="str">
        <f>"250187"</f>
        <v>250187</v>
      </c>
      <c r="G4175" t="s">
        <v>49</v>
      </c>
      <c r="K4175" t="s">
        <v>51</v>
      </c>
      <c r="L4175" t="s">
        <v>52</v>
      </c>
      <c r="M4175">
        <v>137256.45000000001</v>
      </c>
      <c r="N4175">
        <v>470726.89</v>
      </c>
      <c r="O4175" t="s">
        <v>53</v>
      </c>
      <c r="P4175" t="s">
        <v>54</v>
      </c>
      <c r="Q4175" t="s">
        <v>55</v>
      </c>
      <c r="T4175" t="s">
        <v>660</v>
      </c>
      <c r="U4175">
        <v>40</v>
      </c>
      <c r="V4175" s="1">
        <v>35612</v>
      </c>
      <c r="W4175" s="1">
        <v>35612</v>
      </c>
      <c r="X4175" s="1">
        <v>35612</v>
      </c>
      <c r="Y4175" s="1">
        <v>50222</v>
      </c>
      <c r="Z4175" t="s">
        <v>51</v>
      </c>
      <c r="AB4175" t="s">
        <v>54</v>
      </c>
      <c r="AC4175">
        <v>1</v>
      </c>
      <c r="AE4175" t="s">
        <v>84</v>
      </c>
      <c r="AF4175">
        <v>20</v>
      </c>
      <c r="AG4175" s="1">
        <v>35612</v>
      </c>
      <c r="AH4175" s="1">
        <v>35612</v>
      </c>
      <c r="AI4175" s="1">
        <v>35612</v>
      </c>
      <c r="AJ4175" s="1">
        <v>42917</v>
      </c>
      <c r="AK4175" t="s">
        <v>51</v>
      </c>
      <c r="AN4175">
        <v>0</v>
      </c>
      <c r="AO4175" t="s">
        <v>54</v>
      </c>
      <c r="AP4175" t="s">
        <v>53</v>
      </c>
      <c r="AQ4175">
        <v>0</v>
      </c>
      <c r="AR4175" t="s">
        <v>53</v>
      </c>
      <c r="AS4175">
        <v>0</v>
      </c>
      <c r="AT4175">
        <v>0</v>
      </c>
      <c r="AW4175" t="s">
        <v>58</v>
      </c>
      <c r="AX4175">
        <v>20</v>
      </c>
      <c r="AY4175" s="1">
        <v>35612</v>
      </c>
      <c r="AZ4175" s="1">
        <v>35612</v>
      </c>
      <c r="BA4175" s="1">
        <v>35612</v>
      </c>
      <c r="BB4175" s="1">
        <v>42917</v>
      </c>
      <c r="BC4175" t="s">
        <v>51</v>
      </c>
      <c r="BE4175" t="s">
        <v>54</v>
      </c>
      <c r="BF4175">
        <v>2</v>
      </c>
      <c r="BG4175">
        <v>0</v>
      </c>
      <c r="BH4175" t="s">
        <v>53</v>
      </c>
      <c r="BK4175" t="s">
        <v>59</v>
      </c>
      <c r="BL4175">
        <v>14000</v>
      </c>
      <c r="BM4175" s="1">
        <v>42917</v>
      </c>
      <c r="BN4175" s="1">
        <v>42917</v>
      </c>
      <c r="BO4175" s="1">
        <v>42917</v>
      </c>
      <c r="BP4175" s="1">
        <v>44117</v>
      </c>
      <c r="BQ4175" t="s">
        <v>51</v>
      </c>
      <c r="BS4175" t="s">
        <v>60</v>
      </c>
      <c r="BT4175" t="s">
        <v>54</v>
      </c>
      <c r="BU4175" t="s">
        <v>61</v>
      </c>
      <c r="BV4175" t="s">
        <v>62</v>
      </c>
      <c r="BX4175">
        <v>24</v>
      </c>
      <c r="BY4175">
        <v>0</v>
      </c>
      <c r="BZ4175">
        <v>0</v>
      </c>
    </row>
    <row r="4176" spans="1:78" x14ac:dyDescent="0.2">
      <c r="A4176" t="s">
        <v>112</v>
      </c>
      <c r="B4176" t="s">
        <v>113</v>
      </c>
      <c r="C4176" t="s">
        <v>114</v>
      </c>
      <c r="D4176" t="s">
        <v>2010</v>
      </c>
      <c r="F4176" t="str">
        <f>"250188"</f>
        <v>250188</v>
      </c>
      <c r="G4176" t="s">
        <v>49</v>
      </c>
      <c r="K4176" t="s">
        <v>51</v>
      </c>
      <c r="L4176" t="s">
        <v>52</v>
      </c>
      <c r="M4176">
        <v>137281.17000000001</v>
      </c>
      <c r="N4176">
        <v>470727.46</v>
      </c>
      <c r="O4176" t="s">
        <v>53</v>
      </c>
      <c r="P4176" t="s">
        <v>54</v>
      </c>
      <c r="Q4176" t="s">
        <v>55</v>
      </c>
      <c r="T4176" t="s">
        <v>660</v>
      </c>
      <c r="U4176">
        <v>40</v>
      </c>
      <c r="V4176" s="1">
        <v>35612</v>
      </c>
      <c r="W4176" s="1">
        <v>35612</v>
      </c>
      <c r="X4176" s="1">
        <v>35612</v>
      </c>
      <c r="Y4176" s="1">
        <v>50222</v>
      </c>
      <c r="Z4176" t="s">
        <v>51</v>
      </c>
      <c r="AB4176" t="s">
        <v>54</v>
      </c>
      <c r="AC4176">
        <v>1</v>
      </c>
      <c r="AE4176" t="s">
        <v>84</v>
      </c>
      <c r="AF4176">
        <v>20</v>
      </c>
      <c r="AG4176" s="1">
        <v>35612</v>
      </c>
      <c r="AH4176" s="1">
        <v>35612</v>
      </c>
      <c r="AI4176" s="1">
        <v>35612</v>
      </c>
      <c r="AJ4176" s="1">
        <v>42917</v>
      </c>
      <c r="AK4176" t="s">
        <v>51</v>
      </c>
      <c r="AN4176">
        <v>0</v>
      </c>
      <c r="AO4176" t="s">
        <v>54</v>
      </c>
      <c r="AP4176" t="s">
        <v>53</v>
      </c>
      <c r="AQ4176">
        <v>0</v>
      </c>
      <c r="AR4176" t="s">
        <v>53</v>
      </c>
      <c r="AS4176">
        <v>0</v>
      </c>
      <c r="AT4176">
        <v>0</v>
      </c>
      <c r="AW4176" t="s">
        <v>58</v>
      </c>
      <c r="AX4176">
        <v>20</v>
      </c>
      <c r="AY4176" s="1">
        <v>35612</v>
      </c>
      <c r="AZ4176" s="1">
        <v>35612</v>
      </c>
      <c r="BA4176" s="1">
        <v>35612</v>
      </c>
      <c r="BB4176" s="1">
        <v>42917</v>
      </c>
      <c r="BC4176" t="s">
        <v>51</v>
      </c>
      <c r="BE4176" t="s">
        <v>54</v>
      </c>
      <c r="BF4176">
        <v>2</v>
      </c>
      <c r="BG4176">
        <v>0</v>
      </c>
      <c r="BH4176" t="s">
        <v>53</v>
      </c>
      <c r="BK4176" t="s">
        <v>59</v>
      </c>
      <c r="BL4176">
        <v>14000</v>
      </c>
      <c r="BM4176" s="1">
        <v>42917</v>
      </c>
      <c r="BN4176" s="1">
        <v>42917</v>
      </c>
      <c r="BO4176" s="1">
        <v>42917</v>
      </c>
      <c r="BP4176" s="1">
        <v>44117</v>
      </c>
      <c r="BQ4176" t="s">
        <v>51</v>
      </c>
      <c r="BS4176" t="s">
        <v>60</v>
      </c>
      <c r="BT4176" t="s">
        <v>54</v>
      </c>
      <c r="BU4176" t="s">
        <v>61</v>
      </c>
      <c r="BV4176" t="s">
        <v>62</v>
      </c>
      <c r="BX4176">
        <v>24</v>
      </c>
      <c r="BY4176">
        <v>0</v>
      </c>
      <c r="BZ4176">
        <v>0</v>
      </c>
    </row>
    <row r="4177" spans="1:99" x14ac:dyDescent="0.2">
      <c r="A4177" t="s">
        <v>425</v>
      </c>
      <c r="B4177" t="s">
        <v>425</v>
      </c>
      <c r="C4177" t="s">
        <v>425</v>
      </c>
      <c r="D4177" t="s">
        <v>2010</v>
      </c>
      <c r="F4177" t="str">
        <f>"250189"</f>
        <v>250189</v>
      </c>
      <c r="G4177" t="s">
        <v>49</v>
      </c>
      <c r="K4177" t="s">
        <v>51</v>
      </c>
      <c r="L4177" t="s">
        <v>52</v>
      </c>
      <c r="M4177">
        <v>137307.35999999999</v>
      </c>
      <c r="N4177">
        <v>470728.27</v>
      </c>
      <c r="O4177" t="s">
        <v>53</v>
      </c>
      <c r="P4177" t="s">
        <v>54</v>
      </c>
      <c r="Q4177" t="s">
        <v>55</v>
      </c>
      <c r="T4177" t="s">
        <v>660</v>
      </c>
      <c r="U4177">
        <v>40</v>
      </c>
      <c r="V4177" s="1">
        <v>35612</v>
      </c>
      <c r="W4177" s="1">
        <v>35612</v>
      </c>
      <c r="X4177" s="1">
        <v>35612</v>
      </c>
      <c r="Y4177" s="1">
        <v>50222</v>
      </c>
      <c r="Z4177" t="s">
        <v>51</v>
      </c>
      <c r="AB4177" t="s">
        <v>54</v>
      </c>
      <c r="AC4177">
        <v>1</v>
      </c>
      <c r="AE4177" t="s">
        <v>84</v>
      </c>
      <c r="AF4177">
        <v>20</v>
      </c>
      <c r="AG4177" s="1">
        <v>35612</v>
      </c>
      <c r="AH4177" s="1">
        <v>35612</v>
      </c>
      <c r="AI4177" s="1">
        <v>35612</v>
      </c>
      <c r="AJ4177" s="1">
        <v>42917</v>
      </c>
      <c r="AK4177" t="s">
        <v>51</v>
      </c>
      <c r="AN4177">
        <v>0</v>
      </c>
      <c r="AO4177" t="s">
        <v>54</v>
      </c>
      <c r="AP4177" t="s">
        <v>53</v>
      </c>
      <c r="AQ4177">
        <v>0</v>
      </c>
      <c r="AR4177" t="s">
        <v>53</v>
      </c>
      <c r="AS4177">
        <v>0</v>
      </c>
      <c r="AT4177">
        <v>0</v>
      </c>
      <c r="AW4177" t="s">
        <v>58</v>
      </c>
      <c r="AX4177">
        <v>20</v>
      </c>
      <c r="AY4177" s="1">
        <v>35612</v>
      </c>
      <c r="AZ4177" s="1">
        <v>35612</v>
      </c>
      <c r="BA4177" s="1">
        <v>35612</v>
      </c>
      <c r="BB4177" s="1">
        <v>42917</v>
      </c>
      <c r="BC4177" t="s">
        <v>51</v>
      </c>
      <c r="BE4177" t="s">
        <v>54</v>
      </c>
      <c r="BF4177">
        <v>2</v>
      </c>
      <c r="BG4177">
        <v>0</v>
      </c>
      <c r="BH4177" t="s">
        <v>53</v>
      </c>
      <c r="BK4177" t="s">
        <v>59</v>
      </c>
      <c r="BL4177">
        <v>14000</v>
      </c>
      <c r="BM4177" s="1">
        <v>42917</v>
      </c>
      <c r="BN4177" s="1">
        <v>42917</v>
      </c>
      <c r="BO4177" s="1">
        <v>42917</v>
      </c>
      <c r="BP4177" s="1">
        <v>44117</v>
      </c>
      <c r="BQ4177" t="s">
        <v>51</v>
      </c>
      <c r="BS4177" t="s">
        <v>60</v>
      </c>
      <c r="BT4177" t="s">
        <v>54</v>
      </c>
      <c r="BU4177" t="s">
        <v>61</v>
      </c>
      <c r="BV4177" t="s">
        <v>62</v>
      </c>
      <c r="BX4177">
        <v>24</v>
      </c>
      <c r="BY4177">
        <v>0</v>
      </c>
      <c r="BZ4177">
        <v>0</v>
      </c>
    </row>
    <row r="4178" spans="1:99" x14ac:dyDescent="0.2">
      <c r="A4178" t="s">
        <v>425</v>
      </c>
      <c r="B4178" t="s">
        <v>425</v>
      </c>
      <c r="C4178" t="s">
        <v>425</v>
      </c>
      <c r="D4178" t="s">
        <v>2010</v>
      </c>
      <c r="F4178" t="str">
        <f>"250190"</f>
        <v>250190</v>
      </c>
      <c r="G4178" t="s">
        <v>49</v>
      </c>
      <c r="K4178" t="s">
        <v>51</v>
      </c>
      <c r="L4178" t="s">
        <v>52</v>
      </c>
      <c r="M4178">
        <v>137332.78</v>
      </c>
      <c r="N4178">
        <v>470729.49</v>
      </c>
      <c r="O4178" t="s">
        <v>53</v>
      </c>
      <c r="P4178" t="s">
        <v>54</v>
      </c>
      <c r="Q4178" t="s">
        <v>55</v>
      </c>
      <c r="T4178" t="s">
        <v>660</v>
      </c>
      <c r="U4178">
        <v>40</v>
      </c>
      <c r="V4178" s="1">
        <v>35612</v>
      </c>
      <c r="W4178" s="1">
        <v>35612</v>
      </c>
      <c r="X4178" s="1">
        <v>35612</v>
      </c>
      <c r="Y4178" s="1">
        <v>50222</v>
      </c>
      <c r="Z4178" t="s">
        <v>51</v>
      </c>
      <c r="AB4178" t="s">
        <v>54</v>
      </c>
      <c r="AC4178">
        <v>1</v>
      </c>
      <c r="AE4178" t="s">
        <v>84</v>
      </c>
      <c r="AF4178">
        <v>20</v>
      </c>
      <c r="AG4178" s="1">
        <v>35612</v>
      </c>
      <c r="AH4178" s="1">
        <v>35612</v>
      </c>
      <c r="AI4178" s="1">
        <v>35612</v>
      </c>
      <c r="AJ4178" s="1">
        <v>42917</v>
      </c>
      <c r="AK4178" t="s">
        <v>51</v>
      </c>
      <c r="AN4178">
        <v>0</v>
      </c>
      <c r="AO4178" t="s">
        <v>54</v>
      </c>
      <c r="AP4178" t="s">
        <v>53</v>
      </c>
      <c r="AQ4178">
        <v>0</v>
      </c>
      <c r="AR4178" t="s">
        <v>53</v>
      </c>
      <c r="AS4178">
        <v>0</v>
      </c>
      <c r="AT4178">
        <v>0</v>
      </c>
      <c r="AW4178" t="s">
        <v>58</v>
      </c>
      <c r="AX4178">
        <v>20</v>
      </c>
      <c r="AY4178" s="1">
        <v>35612</v>
      </c>
      <c r="AZ4178" s="1">
        <v>35612</v>
      </c>
      <c r="BA4178" s="1">
        <v>35612</v>
      </c>
      <c r="BB4178" s="1">
        <v>42917</v>
      </c>
      <c r="BC4178" t="s">
        <v>51</v>
      </c>
      <c r="BE4178" t="s">
        <v>54</v>
      </c>
      <c r="BF4178">
        <v>2</v>
      </c>
      <c r="BG4178">
        <v>0</v>
      </c>
      <c r="BH4178" t="s">
        <v>53</v>
      </c>
      <c r="BK4178" t="s">
        <v>59</v>
      </c>
      <c r="BL4178">
        <v>14000</v>
      </c>
      <c r="BM4178" s="1">
        <v>42917</v>
      </c>
      <c r="BN4178" s="1">
        <v>42917</v>
      </c>
      <c r="BO4178" s="1">
        <v>42917</v>
      </c>
      <c r="BP4178" s="1">
        <v>44117</v>
      </c>
      <c r="BQ4178" t="s">
        <v>51</v>
      </c>
      <c r="BS4178" t="s">
        <v>60</v>
      </c>
      <c r="BT4178" t="s">
        <v>54</v>
      </c>
      <c r="BU4178" t="s">
        <v>61</v>
      </c>
      <c r="BV4178" t="s">
        <v>62</v>
      </c>
      <c r="BX4178">
        <v>24</v>
      </c>
      <c r="BY4178">
        <v>0</v>
      </c>
      <c r="BZ4178">
        <v>0</v>
      </c>
    </row>
    <row r="4179" spans="1:99" x14ac:dyDescent="0.2">
      <c r="A4179" t="s">
        <v>112</v>
      </c>
      <c r="B4179" t="s">
        <v>113</v>
      </c>
      <c r="C4179" t="s">
        <v>114</v>
      </c>
      <c r="D4179" t="s">
        <v>677</v>
      </c>
      <c r="F4179" t="str">
        <f>"250918"</f>
        <v>250918</v>
      </c>
      <c r="G4179" t="s">
        <v>49</v>
      </c>
      <c r="K4179" t="s">
        <v>51</v>
      </c>
      <c r="L4179" t="s">
        <v>52</v>
      </c>
      <c r="M4179">
        <v>136223.70000000001</v>
      </c>
      <c r="N4179">
        <v>472195.88</v>
      </c>
      <c r="O4179" t="s">
        <v>145</v>
      </c>
      <c r="P4179" t="s">
        <v>54</v>
      </c>
      <c r="Q4179" t="s">
        <v>55</v>
      </c>
      <c r="T4179" t="s">
        <v>241</v>
      </c>
      <c r="U4179">
        <v>40</v>
      </c>
      <c r="V4179" s="1">
        <v>38169</v>
      </c>
      <c r="W4179" s="1">
        <v>38169</v>
      </c>
      <c r="X4179" s="1">
        <v>38169</v>
      </c>
      <c r="Y4179" s="1">
        <v>52779</v>
      </c>
      <c r="Z4179" t="s">
        <v>51</v>
      </c>
      <c r="AB4179" t="s">
        <v>54</v>
      </c>
      <c r="AC4179">
        <v>1</v>
      </c>
      <c r="AE4179" t="s">
        <v>222</v>
      </c>
      <c r="AF4179">
        <v>20</v>
      </c>
      <c r="AG4179" s="1">
        <v>38169</v>
      </c>
      <c r="AH4179" s="1">
        <v>38169</v>
      </c>
      <c r="AI4179" s="1">
        <v>38169</v>
      </c>
      <c r="AJ4179" s="1">
        <v>45474</v>
      </c>
      <c r="AK4179" t="s">
        <v>51</v>
      </c>
      <c r="AN4179">
        <v>0</v>
      </c>
      <c r="AO4179" t="s">
        <v>54</v>
      </c>
      <c r="AP4179" t="s">
        <v>53</v>
      </c>
      <c r="AQ4179">
        <v>0</v>
      </c>
      <c r="AR4179" t="s">
        <v>53</v>
      </c>
      <c r="AS4179">
        <v>0</v>
      </c>
      <c r="AT4179">
        <v>0</v>
      </c>
      <c r="AW4179" t="s">
        <v>58</v>
      </c>
      <c r="AX4179">
        <v>20</v>
      </c>
      <c r="AY4179" s="1">
        <v>44109</v>
      </c>
      <c r="AZ4179" s="1">
        <v>44109</v>
      </c>
      <c r="BA4179" s="1">
        <v>44109</v>
      </c>
      <c r="BB4179" s="1">
        <v>51414</v>
      </c>
      <c r="BC4179" t="s">
        <v>51</v>
      </c>
      <c r="BE4179" t="s">
        <v>54</v>
      </c>
      <c r="BF4179">
        <v>2</v>
      </c>
      <c r="BG4179">
        <v>0</v>
      </c>
      <c r="BH4179" t="s">
        <v>53</v>
      </c>
      <c r="BK4179" t="s">
        <v>59</v>
      </c>
      <c r="BL4179">
        <v>14000</v>
      </c>
      <c r="BM4179" s="1">
        <v>44109</v>
      </c>
      <c r="BN4179" s="1">
        <v>44109</v>
      </c>
      <c r="BO4179" s="1">
        <v>44109</v>
      </c>
      <c r="BP4179" s="1">
        <v>45273</v>
      </c>
      <c r="BQ4179" t="s">
        <v>51</v>
      </c>
      <c r="BS4179" t="s">
        <v>60</v>
      </c>
      <c r="BT4179" t="s">
        <v>54</v>
      </c>
      <c r="BU4179" t="s">
        <v>61</v>
      </c>
      <c r="BV4179" t="s">
        <v>62</v>
      </c>
      <c r="BX4179">
        <v>24</v>
      </c>
      <c r="BY4179">
        <v>0</v>
      </c>
      <c r="BZ4179">
        <v>0</v>
      </c>
    </row>
    <row r="4180" spans="1:99" x14ac:dyDescent="0.2">
      <c r="A4180" t="s">
        <v>112</v>
      </c>
      <c r="B4180" t="s">
        <v>113</v>
      </c>
      <c r="C4180" t="s">
        <v>114</v>
      </c>
      <c r="D4180" t="s">
        <v>428</v>
      </c>
      <c r="F4180" t="str">
        <f>"251204"</f>
        <v>251204</v>
      </c>
      <c r="G4180" t="s">
        <v>49</v>
      </c>
      <c r="H4180" t="s">
        <v>2011</v>
      </c>
      <c r="K4180" t="s">
        <v>51</v>
      </c>
      <c r="L4180" t="s">
        <v>52</v>
      </c>
      <c r="M4180">
        <v>136922.18</v>
      </c>
      <c r="N4180">
        <v>470383.15</v>
      </c>
      <c r="O4180" t="s">
        <v>53</v>
      </c>
      <c r="P4180" t="s">
        <v>54</v>
      </c>
      <c r="Q4180" t="s">
        <v>55</v>
      </c>
      <c r="T4180" t="s">
        <v>183</v>
      </c>
      <c r="U4180">
        <v>40</v>
      </c>
      <c r="V4180" s="1">
        <v>42552</v>
      </c>
      <c r="W4180" s="1">
        <v>42552</v>
      </c>
      <c r="X4180" s="1">
        <v>42552</v>
      </c>
      <c r="Y4180" s="1">
        <v>57162</v>
      </c>
      <c r="Z4180" t="s">
        <v>51</v>
      </c>
      <c r="AB4180" t="s">
        <v>54</v>
      </c>
      <c r="AC4180">
        <v>1</v>
      </c>
      <c r="AE4180" t="s">
        <v>79</v>
      </c>
      <c r="AF4180">
        <v>20</v>
      </c>
      <c r="AG4180" s="1">
        <v>42552</v>
      </c>
      <c r="AH4180" s="1">
        <v>42552</v>
      </c>
      <c r="AI4180" s="1">
        <v>42552</v>
      </c>
      <c r="AJ4180" s="1">
        <v>49857</v>
      </c>
      <c r="AK4180" t="s">
        <v>51</v>
      </c>
      <c r="AN4180">
        <v>0</v>
      </c>
      <c r="AO4180" t="s">
        <v>54</v>
      </c>
      <c r="AP4180" t="s">
        <v>53</v>
      </c>
      <c r="AQ4180">
        <v>0</v>
      </c>
      <c r="AR4180" t="s">
        <v>145</v>
      </c>
      <c r="AS4180">
        <v>0</v>
      </c>
      <c r="AT4180">
        <v>0</v>
      </c>
      <c r="CC4180" t="s">
        <v>185</v>
      </c>
      <c r="CD4180">
        <v>85000</v>
      </c>
      <c r="CE4180" s="1">
        <v>43172</v>
      </c>
      <c r="CF4180" s="1">
        <v>43172</v>
      </c>
      <c r="CG4180" s="1">
        <v>43172</v>
      </c>
      <c r="CH4180" s="1">
        <v>50796</v>
      </c>
      <c r="CI4180" t="s">
        <v>51</v>
      </c>
      <c r="CK4180" t="s">
        <v>78</v>
      </c>
      <c r="CM4180" t="s">
        <v>54</v>
      </c>
      <c r="CN4180" t="s">
        <v>174</v>
      </c>
      <c r="CO4180" t="s">
        <v>86</v>
      </c>
      <c r="CR4180">
        <v>15</v>
      </c>
      <c r="CS4180">
        <v>0</v>
      </c>
      <c r="CT4180">
        <v>0</v>
      </c>
      <c r="CU4180">
        <v>0</v>
      </c>
    </row>
    <row r="4181" spans="1:99" x14ac:dyDescent="0.2">
      <c r="A4181" t="s">
        <v>112</v>
      </c>
      <c r="B4181" t="s">
        <v>113</v>
      </c>
      <c r="C4181" t="s">
        <v>114</v>
      </c>
      <c r="D4181" t="s">
        <v>428</v>
      </c>
      <c r="F4181" t="str">
        <f>"251205"</f>
        <v>251205</v>
      </c>
      <c r="G4181" t="s">
        <v>49</v>
      </c>
      <c r="H4181" t="s">
        <v>2012</v>
      </c>
      <c r="K4181" t="s">
        <v>51</v>
      </c>
      <c r="L4181" t="s">
        <v>52</v>
      </c>
      <c r="M4181">
        <v>136908.63</v>
      </c>
      <c r="N4181">
        <v>470402.61</v>
      </c>
      <c r="O4181" t="s">
        <v>53</v>
      </c>
      <c r="P4181" t="s">
        <v>54</v>
      </c>
      <c r="Q4181" t="s">
        <v>55</v>
      </c>
      <c r="T4181" t="s">
        <v>183</v>
      </c>
      <c r="U4181">
        <v>40</v>
      </c>
      <c r="V4181" s="1">
        <v>42552</v>
      </c>
      <c r="W4181" s="1">
        <v>42552</v>
      </c>
      <c r="X4181" s="1">
        <v>42552</v>
      </c>
      <c r="Y4181" s="1">
        <v>57162</v>
      </c>
      <c r="Z4181" t="s">
        <v>51</v>
      </c>
      <c r="AB4181" t="s">
        <v>54</v>
      </c>
      <c r="AC4181">
        <v>1</v>
      </c>
      <c r="AE4181" t="s">
        <v>79</v>
      </c>
      <c r="AF4181">
        <v>20</v>
      </c>
      <c r="AG4181" s="1">
        <v>42552</v>
      </c>
      <c r="AH4181" s="1">
        <v>42552</v>
      </c>
      <c r="AI4181" s="1">
        <v>42552</v>
      </c>
      <c r="AJ4181" s="1">
        <v>49857</v>
      </c>
      <c r="AK4181" t="s">
        <v>51</v>
      </c>
      <c r="AN4181">
        <v>0</v>
      </c>
      <c r="AO4181" t="s">
        <v>54</v>
      </c>
      <c r="AP4181" t="s">
        <v>53</v>
      </c>
      <c r="AQ4181">
        <v>0</v>
      </c>
      <c r="AR4181" t="s">
        <v>145</v>
      </c>
      <c r="AS4181">
        <v>0</v>
      </c>
      <c r="AT4181">
        <v>0</v>
      </c>
      <c r="CC4181" t="s">
        <v>185</v>
      </c>
      <c r="CD4181">
        <v>85000</v>
      </c>
      <c r="CE4181" s="1">
        <v>42552</v>
      </c>
      <c r="CF4181" s="1">
        <v>42552</v>
      </c>
      <c r="CG4181" s="1">
        <v>42552</v>
      </c>
      <c r="CH4181" s="1">
        <v>49714</v>
      </c>
      <c r="CI4181" t="s">
        <v>51</v>
      </c>
      <c r="CK4181" t="s">
        <v>78</v>
      </c>
      <c r="CM4181" t="s">
        <v>54</v>
      </c>
      <c r="CN4181" t="s">
        <v>174</v>
      </c>
      <c r="CO4181" t="s">
        <v>86</v>
      </c>
      <c r="CR4181">
        <v>15</v>
      </c>
      <c r="CS4181">
        <v>0</v>
      </c>
      <c r="CT4181">
        <v>0</v>
      </c>
      <c r="CU4181">
        <v>0</v>
      </c>
    </row>
    <row r="4182" spans="1:99" x14ac:dyDescent="0.2">
      <c r="A4182" t="s">
        <v>112</v>
      </c>
      <c r="B4182" t="s">
        <v>113</v>
      </c>
      <c r="C4182" t="s">
        <v>114</v>
      </c>
      <c r="D4182" t="s">
        <v>428</v>
      </c>
      <c r="F4182" t="str">
        <f>"251206"</f>
        <v>251206</v>
      </c>
      <c r="G4182" t="s">
        <v>49</v>
      </c>
      <c r="H4182" t="s">
        <v>2013</v>
      </c>
      <c r="K4182" t="s">
        <v>51</v>
      </c>
      <c r="L4182" t="s">
        <v>52</v>
      </c>
      <c r="M4182">
        <v>136915.35999999999</v>
      </c>
      <c r="N4182">
        <v>470433.79</v>
      </c>
      <c r="O4182" t="s">
        <v>53</v>
      </c>
      <c r="P4182" t="s">
        <v>54</v>
      </c>
      <c r="Q4182" t="s">
        <v>55</v>
      </c>
      <c r="T4182" t="s">
        <v>183</v>
      </c>
      <c r="U4182">
        <v>40</v>
      </c>
      <c r="V4182" s="1">
        <v>42552</v>
      </c>
      <c r="W4182" s="1">
        <v>42552</v>
      </c>
      <c r="X4182" s="1">
        <v>42552</v>
      </c>
      <c r="Y4182" s="1">
        <v>57162</v>
      </c>
      <c r="Z4182" t="s">
        <v>51</v>
      </c>
      <c r="AB4182" t="s">
        <v>54</v>
      </c>
      <c r="AC4182">
        <v>1</v>
      </c>
      <c r="AE4182" t="s">
        <v>79</v>
      </c>
      <c r="AF4182">
        <v>20</v>
      </c>
      <c r="AG4182" s="1">
        <v>42552</v>
      </c>
      <c r="AH4182" s="1">
        <v>42552</v>
      </c>
      <c r="AI4182" s="1">
        <v>42552</v>
      </c>
      <c r="AJ4182" s="1">
        <v>49857</v>
      </c>
      <c r="AK4182" t="s">
        <v>51</v>
      </c>
      <c r="AN4182">
        <v>0</v>
      </c>
      <c r="AO4182" t="s">
        <v>54</v>
      </c>
      <c r="AP4182" t="s">
        <v>53</v>
      </c>
      <c r="AQ4182">
        <v>0</v>
      </c>
      <c r="AR4182" t="s">
        <v>145</v>
      </c>
      <c r="AS4182">
        <v>0</v>
      </c>
      <c r="AT4182">
        <v>0</v>
      </c>
      <c r="CC4182" t="s">
        <v>185</v>
      </c>
      <c r="CD4182">
        <v>85000</v>
      </c>
      <c r="CE4182" s="1">
        <v>42552</v>
      </c>
      <c r="CF4182" s="1">
        <v>42552</v>
      </c>
      <c r="CG4182" s="1">
        <v>42552</v>
      </c>
      <c r="CH4182" s="1">
        <v>49714</v>
      </c>
      <c r="CI4182" t="s">
        <v>51</v>
      </c>
      <c r="CK4182" t="s">
        <v>78</v>
      </c>
      <c r="CM4182" t="s">
        <v>54</v>
      </c>
      <c r="CN4182" t="s">
        <v>174</v>
      </c>
      <c r="CO4182" t="s">
        <v>86</v>
      </c>
      <c r="CR4182">
        <v>15</v>
      </c>
      <c r="CS4182">
        <v>0</v>
      </c>
      <c r="CT4182">
        <v>0</v>
      </c>
      <c r="CU4182">
        <v>0</v>
      </c>
    </row>
    <row r="4183" spans="1:99" x14ac:dyDescent="0.2">
      <c r="A4183" t="s">
        <v>112</v>
      </c>
      <c r="B4183" t="s">
        <v>113</v>
      </c>
      <c r="C4183" t="s">
        <v>114</v>
      </c>
      <c r="D4183" t="s">
        <v>428</v>
      </c>
      <c r="F4183" t="str">
        <f>"251207"</f>
        <v>251207</v>
      </c>
      <c r="G4183" t="s">
        <v>49</v>
      </c>
      <c r="H4183" t="s">
        <v>2014</v>
      </c>
      <c r="K4183" t="s">
        <v>51</v>
      </c>
      <c r="L4183" t="s">
        <v>52</v>
      </c>
      <c r="M4183">
        <v>136914.99</v>
      </c>
      <c r="N4183">
        <v>470480.17</v>
      </c>
      <c r="O4183" t="s">
        <v>53</v>
      </c>
      <c r="P4183" t="s">
        <v>54</v>
      </c>
      <c r="Q4183" t="s">
        <v>55</v>
      </c>
      <c r="T4183" t="s">
        <v>466</v>
      </c>
      <c r="U4183">
        <v>40</v>
      </c>
      <c r="V4183" s="1">
        <v>42552</v>
      </c>
      <c r="W4183" s="1">
        <v>42552</v>
      </c>
      <c r="X4183" s="1">
        <v>42552</v>
      </c>
      <c r="Y4183" s="1">
        <v>57162</v>
      </c>
      <c r="Z4183" t="s">
        <v>51</v>
      </c>
      <c r="AB4183" t="s">
        <v>54</v>
      </c>
      <c r="AC4183">
        <v>1</v>
      </c>
      <c r="AE4183" t="s">
        <v>79</v>
      </c>
      <c r="AF4183">
        <v>20</v>
      </c>
      <c r="AG4183" s="1">
        <v>42552</v>
      </c>
      <c r="AH4183" s="1">
        <v>42552</v>
      </c>
      <c r="AI4183" s="1">
        <v>42552</v>
      </c>
      <c r="AJ4183" s="1">
        <v>49857</v>
      </c>
      <c r="AK4183" t="s">
        <v>51</v>
      </c>
      <c r="AN4183">
        <v>0</v>
      </c>
      <c r="AO4183" t="s">
        <v>54</v>
      </c>
      <c r="AP4183" t="s">
        <v>53</v>
      </c>
      <c r="AQ4183">
        <v>0</v>
      </c>
      <c r="AR4183" t="s">
        <v>145</v>
      </c>
      <c r="AS4183">
        <v>0</v>
      </c>
      <c r="AT4183">
        <v>0</v>
      </c>
      <c r="CC4183" t="s">
        <v>432</v>
      </c>
      <c r="CD4183">
        <v>85000</v>
      </c>
      <c r="CE4183" s="1">
        <v>42552</v>
      </c>
      <c r="CF4183" s="1">
        <v>42552</v>
      </c>
      <c r="CG4183" s="1">
        <v>42552</v>
      </c>
      <c r="CH4183" s="1">
        <v>49714</v>
      </c>
      <c r="CI4183" t="s">
        <v>51</v>
      </c>
      <c r="CK4183" t="s">
        <v>78</v>
      </c>
      <c r="CM4183" t="s">
        <v>54</v>
      </c>
      <c r="CN4183" t="s">
        <v>174</v>
      </c>
      <c r="CO4183" t="s">
        <v>86</v>
      </c>
      <c r="CR4183">
        <v>24</v>
      </c>
      <c r="CS4183">
        <v>0</v>
      </c>
      <c r="CT4183">
        <v>0</v>
      </c>
      <c r="CU4183">
        <v>0</v>
      </c>
    </row>
    <row r="4184" spans="1:99" x14ac:dyDescent="0.2">
      <c r="A4184" t="s">
        <v>112</v>
      </c>
      <c r="B4184" t="s">
        <v>113</v>
      </c>
      <c r="C4184" t="s">
        <v>114</v>
      </c>
      <c r="D4184" t="s">
        <v>428</v>
      </c>
      <c r="F4184" t="str">
        <f>"251208"</f>
        <v>251208</v>
      </c>
      <c r="G4184" t="s">
        <v>49</v>
      </c>
      <c r="H4184" t="s">
        <v>522</v>
      </c>
      <c r="K4184" t="s">
        <v>51</v>
      </c>
      <c r="L4184" t="s">
        <v>52</v>
      </c>
      <c r="M4184">
        <v>136914.39000000001</v>
      </c>
      <c r="N4184">
        <v>470527.72</v>
      </c>
      <c r="O4184" t="s">
        <v>53</v>
      </c>
      <c r="P4184" t="s">
        <v>54</v>
      </c>
      <c r="Q4184" t="s">
        <v>55</v>
      </c>
      <c r="T4184" t="s">
        <v>183</v>
      </c>
      <c r="U4184">
        <v>40</v>
      </c>
      <c r="V4184" s="1">
        <v>42552</v>
      </c>
      <c r="W4184" s="1">
        <v>42552</v>
      </c>
      <c r="X4184" s="1">
        <v>42552</v>
      </c>
      <c r="Y4184" s="1">
        <v>57162</v>
      </c>
      <c r="Z4184" t="s">
        <v>51</v>
      </c>
      <c r="AB4184" t="s">
        <v>54</v>
      </c>
      <c r="AC4184">
        <v>1</v>
      </c>
      <c r="AE4184" t="s">
        <v>79</v>
      </c>
      <c r="AF4184">
        <v>20</v>
      </c>
      <c r="AG4184" s="1">
        <v>42552</v>
      </c>
      <c r="AH4184" s="1">
        <v>42552</v>
      </c>
      <c r="AI4184" s="1">
        <v>42552</v>
      </c>
      <c r="AJ4184" s="1">
        <v>49857</v>
      </c>
      <c r="AK4184" t="s">
        <v>51</v>
      </c>
      <c r="AN4184">
        <v>0</v>
      </c>
      <c r="AO4184" t="s">
        <v>54</v>
      </c>
      <c r="AP4184" t="s">
        <v>53</v>
      </c>
      <c r="AQ4184">
        <v>0</v>
      </c>
      <c r="AR4184" t="s">
        <v>145</v>
      </c>
      <c r="AS4184">
        <v>0</v>
      </c>
      <c r="AT4184">
        <v>0</v>
      </c>
      <c r="CC4184" t="s">
        <v>185</v>
      </c>
      <c r="CD4184">
        <v>85000</v>
      </c>
      <c r="CE4184" s="1">
        <v>42552</v>
      </c>
      <c r="CF4184" s="1">
        <v>42552</v>
      </c>
      <c r="CG4184" s="1">
        <v>42552</v>
      </c>
      <c r="CH4184" s="1">
        <v>49714</v>
      </c>
      <c r="CI4184" t="s">
        <v>51</v>
      </c>
      <c r="CK4184" t="s">
        <v>78</v>
      </c>
      <c r="CM4184" t="s">
        <v>54</v>
      </c>
      <c r="CN4184" t="s">
        <v>174</v>
      </c>
      <c r="CO4184" t="s">
        <v>86</v>
      </c>
      <c r="CR4184">
        <v>15</v>
      </c>
      <c r="CS4184">
        <v>0</v>
      </c>
      <c r="CT4184">
        <v>0</v>
      </c>
      <c r="CU4184">
        <v>0</v>
      </c>
    </row>
    <row r="4185" spans="1:99" x14ac:dyDescent="0.2">
      <c r="A4185" t="s">
        <v>112</v>
      </c>
      <c r="B4185" t="s">
        <v>113</v>
      </c>
      <c r="C4185" t="s">
        <v>114</v>
      </c>
      <c r="D4185" t="s">
        <v>428</v>
      </c>
      <c r="F4185" t="str">
        <f>"251209"</f>
        <v>251209</v>
      </c>
      <c r="G4185" t="s">
        <v>49</v>
      </c>
      <c r="H4185" t="s">
        <v>2015</v>
      </c>
      <c r="K4185" t="s">
        <v>51</v>
      </c>
      <c r="L4185" t="s">
        <v>52</v>
      </c>
      <c r="M4185">
        <v>136912.78</v>
      </c>
      <c r="N4185">
        <v>470568.06</v>
      </c>
      <c r="O4185" t="s">
        <v>53</v>
      </c>
      <c r="P4185" t="s">
        <v>54</v>
      </c>
      <c r="Q4185" t="s">
        <v>55</v>
      </c>
      <c r="T4185" t="s">
        <v>183</v>
      </c>
      <c r="U4185">
        <v>40</v>
      </c>
      <c r="V4185" s="1">
        <v>42552</v>
      </c>
      <c r="W4185" s="1">
        <v>42552</v>
      </c>
      <c r="X4185" s="1">
        <v>42552</v>
      </c>
      <c r="Y4185" s="1">
        <v>57162</v>
      </c>
      <c r="Z4185" t="s">
        <v>51</v>
      </c>
      <c r="AB4185" t="s">
        <v>54</v>
      </c>
      <c r="AC4185">
        <v>1</v>
      </c>
      <c r="AE4185" t="s">
        <v>79</v>
      </c>
      <c r="AF4185">
        <v>20</v>
      </c>
      <c r="AG4185" s="1">
        <v>42552</v>
      </c>
      <c r="AH4185" s="1">
        <v>42552</v>
      </c>
      <c r="AI4185" s="1">
        <v>42552</v>
      </c>
      <c r="AJ4185" s="1">
        <v>49857</v>
      </c>
      <c r="AK4185" t="s">
        <v>51</v>
      </c>
      <c r="AN4185">
        <v>0</v>
      </c>
      <c r="AO4185" t="s">
        <v>54</v>
      </c>
      <c r="AP4185" t="s">
        <v>53</v>
      </c>
      <c r="AQ4185">
        <v>0</v>
      </c>
      <c r="AR4185" t="s">
        <v>145</v>
      </c>
      <c r="AS4185">
        <v>0</v>
      </c>
      <c r="AT4185">
        <v>0</v>
      </c>
      <c r="CC4185" t="s">
        <v>185</v>
      </c>
      <c r="CD4185">
        <v>85000</v>
      </c>
      <c r="CE4185" s="1">
        <v>42552</v>
      </c>
      <c r="CF4185" s="1">
        <v>42552</v>
      </c>
      <c r="CG4185" s="1">
        <v>42552</v>
      </c>
      <c r="CH4185" s="1">
        <v>49714</v>
      </c>
      <c r="CI4185" t="s">
        <v>51</v>
      </c>
      <c r="CK4185" t="s">
        <v>78</v>
      </c>
      <c r="CM4185" t="s">
        <v>54</v>
      </c>
      <c r="CN4185" t="s">
        <v>174</v>
      </c>
      <c r="CO4185" t="s">
        <v>86</v>
      </c>
      <c r="CR4185">
        <v>15</v>
      </c>
      <c r="CS4185">
        <v>0</v>
      </c>
      <c r="CT4185">
        <v>0</v>
      </c>
      <c r="CU4185">
        <v>0</v>
      </c>
    </row>
    <row r="4186" spans="1:99" x14ac:dyDescent="0.2">
      <c r="A4186" t="s">
        <v>112</v>
      </c>
      <c r="B4186" t="s">
        <v>113</v>
      </c>
      <c r="C4186" t="s">
        <v>114</v>
      </c>
      <c r="D4186" t="s">
        <v>428</v>
      </c>
      <c r="F4186" t="str">
        <f>"251210"</f>
        <v>251210</v>
      </c>
      <c r="G4186" t="s">
        <v>49</v>
      </c>
      <c r="H4186" t="s">
        <v>2016</v>
      </c>
      <c r="K4186" t="s">
        <v>51</v>
      </c>
      <c r="L4186" t="s">
        <v>52</v>
      </c>
      <c r="M4186">
        <v>136911.5</v>
      </c>
      <c r="N4186">
        <v>470628.57</v>
      </c>
      <c r="O4186" t="s">
        <v>53</v>
      </c>
      <c r="P4186" t="s">
        <v>54</v>
      </c>
      <c r="Q4186" t="s">
        <v>55</v>
      </c>
      <c r="T4186" t="s">
        <v>183</v>
      </c>
      <c r="U4186">
        <v>40</v>
      </c>
      <c r="V4186" s="1">
        <v>42552</v>
      </c>
      <c r="W4186" s="1">
        <v>42552</v>
      </c>
      <c r="X4186" s="1">
        <v>42552</v>
      </c>
      <c r="Y4186" s="1">
        <v>57162</v>
      </c>
      <c r="Z4186" t="s">
        <v>51</v>
      </c>
      <c r="AB4186" t="s">
        <v>54</v>
      </c>
      <c r="AC4186">
        <v>1</v>
      </c>
      <c r="AE4186" t="s">
        <v>79</v>
      </c>
      <c r="AF4186">
        <v>20</v>
      </c>
      <c r="AG4186" s="1">
        <v>42552</v>
      </c>
      <c r="AH4186" s="1">
        <v>42552</v>
      </c>
      <c r="AI4186" s="1">
        <v>42552</v>
      </c>
      <c r="AJ4186" s="1">
        <v>49857</v>
      </c>
      <c r="AK4186" t="s">
        <v>51</v>
      </c>
      <c r="AN4186">
        <v>0</v>
      </c>
      <c r="AO4186" t="s">
        <v>54</v>
      </c>
      <c r="AP4186" t="s">
        <v>53</v>
      </c>
      <c r="AQ4186">
        <v>0</v>
      </c>
      <c r="AR4186" t="s">
        <v>145</v>
      </c>
      <c r="AS4186">
        <v>0</v>
      </c>
      <c r="AT4186">
        <v>0</v>
      </c>
      <c r="CC4186" t="s">
        <v>185</v>
      </c>
      <c r="CD4186">
        <v>85000</v>
      </c>
      <c r="CE4186" s="1">
        <v>42552</v>
      </c>
      <c r="CF4186" s="1">
        <v>42552</v>
      </c>
      <c r="CG4186" s="1">
        <v>42552</v>
      </c>
      <c r="CH4186" s="1">
        <v>49714</v>
      </c>
      <c r="CI4186" t="s">
        <v>51</v>
      </c>
      <c r="CK4186" t="s">
        <v>78</v>
      </c>
      <c r="CM4186" t="s">
        <v>54</v>
      </c>
      <c r="CN4186" t="s">
        <v>174</v>
      </c>
      <c r="CO4186" t="s">
        <v>86</v>
      </c>
      <c r="CR4186">
        <v>15</v>
      </c>
      <c r="CS4186">
        <v>0</v>
      </c>
      <c r="CT4186">
        <v>0</v>
      </c>
      <c r="CU4186">
        <v>0</v>
      </c>
    </row>
    <row r="4187" spans="1:99" x14ac:dyDescent="0.2">
      <c r="A4187" t="s">
        <v>112</v>
      </c>
      <c r="B4187" t="s">
        <v>113</v>
      </c>
      <c r="C4187" t="s">
        <v>114</v>
      </c>
      <c r="D4187" t="s">
        <v>428</v>
      </c>
      <c r="F4187" t="str">
        <f>"251211"</f>
        <v>251211</v>
      </c>
      <c r="G4187" t="s">
        <v>49</v>
      </c>
      <c r="H4187" t="s">
        <v>2017</v>
      </c>
      <c r="K4187" t="s">
        <v>51</v>
      </c>
      <c r="L4187" t="s">
        <v>52</v>
      </c>
      <c r="M4187">
        <v>136904.26999999999</v>
      </c>
      <c r="N4187">
        <v>470605.72</v>
      </c>
      <c r="O4187" t="s">
        <v>53</v>
      </c>
      <c r="P4187" t="s">
        <v>54</v>
      </c>
      <c r="Q4187" t="s">
        <v>55</v>
      </c>
      <c r="T4187" t="s">
        <v>183</v>
      </c>
      <c r="U4187">
        <v>40</v>
      </c>
      <c r="V4187" s="1">
        <v>42552</v>
      </c>
      <c r="W4187" s="1">
        <v>42552</v>
      </c>
      <c r="X4187" s="1">
        <v>42552</v>
      </c>
      <c r="Y4187" s="1">
        <v>57162</v>
      </c>
      <c r="Z4187" t="s">
        <v>51</v>
      </c>
      <c r="AB4187" t="s">
        <v>54</v>
      </c>
      <c r="AC4187">
        <v>1</v>
      </c>
      <c r="AE4187" t="s">
        <v>79</v>
      </c>
      <c r="AF4187">
        <v>20</v>
      </c>
      <c r="AG4187" s="1">
        <v>42552</v>
      </c>
      <c r="AH4187" s="1">
        <v>42552</v>
      </c>
      <c r="AI4187" s="1">
        <v>42552</v>
      </c>
      <c r="AJ4187" s="1">
        <v>49857</v>
      </c>
      <c r="AK4187" t="s">
        <v>51</v>
      </c>
      <c r="AN4187">
        <v>0</v>
      </c>
      <c r="AO4187" t="s">
        <v>54</v>
      </c>
      <c r="AP4187" t="s">
        <v>53</v>
      </c>
      <c r="AQ4187">
        <v>0</v>
      </c>
      <c r="AR4187" t="s">
        <v>145</v>
      </c>
      <c r="AS4187">
        <v>0</v>
      </c>
      <c r="AT4187">
        <v>0</v>
      </c>
      <c r="CC4187" t="s">
        <v>185</v>
      </c>
      <c r="CD4187">
        <v>85000</v>
      </c>
      <c r="CE4187" s="1">
        <v>42552</v>
      </c>
      <c r="CF4187" s="1">
        <v>42552</v>
      </c>
      <c r="CG4187" s="1">
        <v>42552</v>
      </c>
      <c r="CH4187" s="1">
        <v>49714</v>
      </c>
      <c r="CI4187" t="s">
        <v>51</v>
      </c>
      <c r="CK4187" t="s">
        <v>78</v>
      </c>
      <c r="CM4187" t="s">
        <v>54</v>
      </c>
      <c r="CN4187" t="s">
        <v>174</v>
      </c>
      <c r="CO4187" t="s">
        <v>86</v>
      </c>
      <c r="CR4187">
        <v>15</v>
      </c>
      <c r="CS4187">
        <v>0</v>
      </c>
      <c r="CT4187">
        <v>0</v>
      </c>
      <c r="CU4187">
        <v>0</v>
      </c>
    </row>
    <row r="4188" spans="1:99" x14ac:dyDescent="0.2">
      <c r="A4188" t="s">
        <v>112</v>
      </c>
      <c r="B4188" t="s">
        <v>113</v>
      </c>
      <c r="C4188" t="s">
        <v>114</v>
      </c>
      <c r="D4188" t="s">
        <v>428</v>
      </c>
      <c r="F4188" t="str">
        <f>"251212"</f>
        <v>251212</v>
      </c>
      <c r="G4188" t="s">
        <v>49</v>
      </c>
      <c r="H4188" t="s">
        <v>2018</v>
      </c>
      <c r="K4188" t="s">
        <v>51</v>
      </c>
      <c r="L4188" t="s">
        <v>52</v>
      </c>
      <c r="M4188">
        <v>136909.60800000001</v>
      </c>
      <c r="N4188">
        <v>470694.804</v>
      </c>
      <c r="O4188" t="s">
        <v>53</v>
      </c>
      <c r="P4188" t="s">
        <v>54</v>
      </c>
      <c r="Q4188" t="s">
        <v>55</v>
      </c>
      <c r="T4188" t="s">
        <v>183</v>
      </c>
      <c r="U4188">
        <v>40</v>
      </c>
      <c r="V4188" s="1">
        <v>42552</v>
      </c>
      <c r="W4188" s="1">
        <v>42552</v>
      </c>
      <c r="X4188" s="1">
        <v>42552</v>
      </c>
      <c r="Y4188" s="1">
        <v>57162</v>
      </c>
      <c r="Z4188" t="s">
        <v>51</v>
      </c>
      <c r="AB4188" t="s">
        <v>54</v>
      </c>
      <c r="AC4188">
        <v>1</v>
      </c>
      <c r="AE4188" t="s">
        <v>79</v>
      </c>
      <c r="AF4188">
        <v>20</v>
      </c>
      <c r="AG4188" s="1">
        <v>42552</v>
      </c>
      <c r="AH4188" s="1">
        <v>42552</v>
      </c>
      <c r="AI4188" s="1">
        <v>42552</v>
      </c>
      <c r="AJ4188" s="1">
        <v>49857</v>
      </c>
      <c r="AK4188" t="s">
        <v>51</v>
      </c>
      <c r="AN4188">
        <v>0</v>
      </c>
      <c r="AO4188" t="s">
        <v>54</v>
      </c>
      <c r="AP4188" t="s">
        <v>53</v>
      </c>
      <c r="AQ4188">
        <v>0</v>
      </c>
      <c r="AR4188" t="s">
        <v>145</v>
      </c>
      <c r="AS4188">
        <v>0</v>
      </c>
      <c r="AT4188">
        <v>0</v>
      </c>
      <c r="CC4188" t="s">
        <v>185</v>
      </c>
      <c r="CD4188">
        <v>85000</v>
      </c>
      <c r="CE4188" s="1">
        <v>43130</v>
      </c>
      <c r="CF4188" s="1">
        <v>43130</v>
      </c>
      <c r="CG4188" s="1">
        <v>43130</v>
      </c>
      <c r="CH4188" s="1">
        <v>50346</v>
      </c>
      <c r="CI4188" t="s">
        <v>51</v>
      </c>
      <c r="CK4188" t="s">
        <v>78</v>
      </c>
      <c r="CM4188" t="s">
        <v>54</v>
      </c>
      <c r="CN4188" t="s">
        <v>174</v>
      </c>
      <c r="CO4188" t="s">
        <v>86</v>
      </c>
      <c r="CR4188">
        <v>15</v>
      </c>
      <c r="CS4188">
        <v>0</v>
      </c>
      <c r="CT4188">
        <v>0</v>
      </c>
      <c r="CU4188">
        <v>0</v>
      </c>
    </row>
    <row r="4189" spans="1:99" x14ac:dyDescent="0.2">
      <c r="A4189" t="s">
        <v>112</v>
      </c>
      <c r="B4189" t="s">
        <v>113</v>
      </c>
      <c r="C4189" t="s">
        <v>114</v>
      </c>
      <c r="D4189" t="s">
        <v>428</v>
      </c>
      <c r="F4189" t="str">
        <f>"251213"</f>
        <v>251213</v>
      </c>
      <c r="G4189" t="s">
        <v>49</v>
      </c>
      <c r="K4189" t="s">
        <v>51</v>
      </c>
      <c r="L4189" t="s">
        <v>52</v>
      </c>
      <c r="M4189">
        <v>136900.59</v>
      </c>
      <c r="N4189">
        <v>470746.03</v>
      </c>
      <c r="O4189" t="s">
        <v>53</v>
      </c>
      <c r="P4189" t="s">
        <v>54</v>
      </c>
      <c r="Q4189" t="s">
        <v>55</v>
      </c>
      <c r="T4189" t="s">
        <v>183</v>
      </c>
      <c r="U4189">
        <v>40</v>
      </c>
      <c r="V4189" s="1">
        <v>42552</v>
      </c>
      <c r="W4189" s="1">
        <v>42552</v>
      </c>
      <c r="X4189" s="1">
        <v>42552</v>
      </c>
      <c r="Y4189" s="1">
        <v>57162</v>
      </c>
      <c r="Z4189" t="s">
        <v>51</v>
      </c>
      <c r="AB4189" t="s">
        <v>54</v>
      </c>
      <c r="AC4189">
        <v>1</v>
      </c>
      <c r="AE4189" t="s">
        <v>79</v>
      </c>
      <c r="AF4189">
        <v>20</v>
      </c>
      <c r="AG4189" s="1">
        <v>43920</v>
      </c>
      <c r="AH4189" s="1">
        <v>43920</v>
      </c>
      <c r="AI4189" s="1">
        <v>43920</v>
      </c>
      <c r="AJ4189" s="1">
        <v>51225</v>
      </c>
      <c r="AK4189" t="s">
        <v>51</v>
      </c>
      <c r="AN4189">
        <v>0</v>
      </c>
      <c r="AO4189" t="s">
        <v>54</v>
      </c>
      <c r="AP4189" t="s">
        <v>53</v>
      </c>
      <c r="AQ4189">
        <v>0</v>
      </c>
      <c r="AR4189" t="s">
        <v>145</v>
      </c>
      <c r="AS4189">
        <v>0</v>
      </c>
      <c r="AT4189">
        <v>0</v>
      </c>
      <c r="CC4189" t="s">
        <v>185</v>
      </c>
      <c r="CD4189">
        <v>85000</v>
      </c>
      <c r="CE4189" s="1">
        <v>42552</v>
      </c>
      <c r="CF4189" s="1">
        <v>42552</v>
      </c>
      <c r="CG4189" s="1">
        <v>43920</v>
      </c>
      <c r="CH4189" s="1">
        <v>49714</v>
      </c>
      <c r="CI4189" t="s">
        <v>51</v>
      </c>
      <c r="CK4189" t="s">
        <v>78</v>
      </c>
      <c r="CM4189" t="s">
        <v>54</v>
      </c>
      <c r="CN4189" t="s">
        <v>174</v>
      </c>
      <c r="CO4189" t="s">
        <v>86</v>
      </c>
      <c r="CR4189">
        <v>15</v>
      </c>
      <c r="CS4189">
        <v>0</v>
      </c>
      <c r="CT4189">
        <v>0</v>
      </c>
      <c r="CU4189">
        <v>0</v>
      </c>
    </row>
    <row r="4190" spans="1:99" x14ac:dyDescent="0.2">
      <c r="A4190" t="s">
        <v>112</v>
      </c>
      <c r="B4190" t="s">
        <v>113</v>
      </c>
      <c r="C4190" t="s">
        <v>114</v>
      </c>
      <c r="D4190" t="s">
        <v>428</v>
      </c>
      <c r="F4190" t="str">
        <f>"251214"</f>
        <v>251214</v>
      </c>
      <c r="G4190" t="s">
        <v>49</v>
      </c>
      <c r="H4190" t="s">
        <v>2019</v>
      </c>
      <c r="K4190" t="s">
        <v>51</v>
      </c>
      <c r="L4190" t="s">
        <v>52</v>
      </c>
      <c r="M4190">
        <v>136907.13</v>
      </c>
      <c r="N4190">
        <v>470779.16</v>
      </c>
      <c r="O4190" t="s">
        <v>53</v>
      </c>
      <c r="P4190" t="s">
        <v>54</v>
      </c>
      <c r="Q4190" t="s">
        <v>55</v>
      </c>
      <c r="T4190" t="s">
        <v>466</v>
      </c>
      <c r="U4190">
        <v>40</v>
      </c>
      <c r="V4190" s="1">
        <v>42552</v>
      </c>
      <c r="W4190" s="1">
        <v>42552</v>
      </c>
      <c r="X4190" s="1">
        <v>42552</v>
      </c>
      <c r="Y4190" s="1">
        <v>57162</v>
      </c>
      <c r="Z4190" t="s">
        <v>51</v>
      </c>
      <c r="AB4190" t="s">
        <v>54</v>
      </c>
      <c r="AC4190">
        <v>1</v>
      </c>
      <c r="AE4190" t="s">
        <v>79</v>
      </c>
      <c r="AF4190">
        <v>20</v>
      </c>
      <c r="AG4190" s="1">
        <v>42552</v>
      </c>
      <c r="AH4190" s="1">
        <v>42552</v>
      </c>
      <c r="AI4190" s="1">
        <v>42552</v>
      </c>
      <c r="AJ4190" s="1">
        <v>49857</v>
      </c>
      <c r="AK4190" t="s">
        <v>51</v>
      </c>
      <c r="AN4190">
        <v>0</v>
      </c>
      <c r="AO4190" t="s">
        <v>54</v>
      </c>
      <c r="AP4190" t="s">
        <v>53</v>
      </c>
      <c r="AQ4190">
        <v>0</v>
      </c>
      <c r="AR4190" t="s">
        <v>145</v>
      </c>
      <c r="AS4190">
        <v>0</v>
      </c>
      <c r="AT4190">
        <v>0</v>
      </c>
      <c r="CC4190" t="s">
        <v>185</v>
      </c>
      <c r="CD4190">
        <v>85000</v>
      </c>
      <c r="CE4190" s="1">
        <v>42552</v>
      </c>
      <c r="CF4190" s="1">
        <v>42552</v>
      </c>
      <c r="CG4190" s="1">
        <v>42552</v>
      </c>
      <c r="CH4190" s="1">
        <v>49714</v>
      </c>
      <c r="CI4190" t="s">
        <v>51</v>
      </c>
      <c r="CK4190" t="s">
        <v>78</v>
      </c>
      <c r="CM4190" t="s">
        <v>54</v>
      </c>
      <c r="CN4190" t="s">
        <v>174</v>
      </c>
      <c r="CO4190" t="s">
        <v>86</v>
      </c>
      <c r="CR4190">
        <v>15</v>
      </c>
      <c r="CS4190">
        <v>0</v>
      </c>
      <c r="CT4190">
        <v>0</v>
      </c>
      <c r="CU4190">
        <v>0</v>
      </c>
    </row>
    <row r="4191" spans="1:99" x14ac:dyDescent="0.2">
      <c r="A4191" t="s">
        <v>112</v>
      </c>
      <c r="B4191" t="s">
        <v>113</v>
      </c>
      <c r="C4191" t="s">
        <v>114</v>
      </c>
      <c r="D4191" t="s">
        <v>428</v>
      </c>
      <c r="F4191" t="str">
        <f>"251215"</f>
        <v>251215</v>
      </c>
      <c r="G4191" t="s">
        <v>49</v>
      </c>
      <c r="K4191" t="s">
        <v>51</v>
      </c>
      <c r="L4191" t="s">
        <v>52</v>
      </c>
      <c r="M4191">
        <v>136935.81</v>
      </c>
      <c r="N4191">
        <v>470782.09</v>
      </c>
      <c r="O4191" t="s">
        <v>53</v>
      </c>
      <c r="P4191" t="s">
        <v>54</v>
      </c>
      <c r="Q4191" t="s">
        <v>55</v>
      </c>
      <c r="T4191" t="s">
        <v>2020</v>
      </c>
      <c r="U4191">
        <v>40</v>
      </c>
      <c r="V4191" s="1">
        <v>42552</v>
      </c>
      <c r="W4191" s="1">
        <v>42552</v>
      </c>
      <c r="X4191" s="1">
        <v>42552</v>
      </c>
      <c r="Y4191" s="1">
        <v>57162</v>
      </c>
      <c r="Z4191" t="s">
        <v>51</v>
      </c>
      <c r="AB4191" t="s">
        <v>54</v>
      </c>
      <c r="AC4191">
        <v>1</v>
      </c>
      <c r="AE4191" t="s">
        <v>79</v>
      </c>
      <c r="AF4191">
        <v>20</v>
      </c>
      <c r="AG4191" s="1">
        <v>42552</v>
      </c>
      <c r="AH4191" s="1">
        <v>42552</v>
      </c>
      <c r="AI4191" s="1">
        <v>42552</v>
      </c>
      <c r="AJ4191" s="1">
        <v>49857</v>
      </c>
      <c r="AK4191" t="s">
        <v>51</v>
      </c>
      <c r="AN4191">
        <v>0</v>
      </c>
      <c r="AO4191" t="s">
        <v>54</v>
      </c>
      <c r="AP4191" t="s">
        <v>53</v>
      </c>
      <c r="AQ4191">
        <v>0</v>
      </c>
      <c r="AR4191" t="s">
        <v>145</v>
      </c>
      <c r="AS4191">
        <v>0</v>
      </c>
      <c r="AT4191">
        <v>0</v>
      </c>
      <c r="CC4191" t="s">
        <v>850</v>
      </c>
      <c r="CD4191">
        <v>1</v>
      </c>
      <c r="CE4191" s="1">
        <v>42552</v>
      </c>
      <c r="CF4191" s="1">
        <v>42552</v>
      </c>
      <c r="CG4191" s="1">
        <v>42552</v>
      </c>
      <c r="CH4191" s="1">
        <v>49714</v>
      </c>
      <c r="CI4191" t="s">
        <v>51</v>
      </c>
      <c r="CK4191" t="s">
        <v>78</v>
      </c>
      <c r="CM4191" t="s">
        <v>54</v>
      </c>
      <c r="CN4191" t="s">
        <v>174</v>
      </c>
      <c r="CO4191" t="s">
        <v>86</v>
      </c>
      <c r="CR4191">
        <v>18</v>
      </c>
      <c r="CS4191">
        <v>0</v>
      </c>
      <c r="CT4191">
        <v>0</v>
      </c>
      <c r="CU4191">
        <v>0</v>
      </c>
    </row>
    <row r="4192" spans="1:99" x14ac:dyDescent="0.2">
      <c r="A4192" t="s">
        <v>112</v>
      </c>
      <c r="B4192" t="s">
        <v>113</v>
      </c>
      <c r="C4192" t="s">
        <v>114</v>
      </c>
      <c r="D4192" t="s">
        <v>428</v>
      </c>
      <c r="F4192" t="str">
        <f>"251216"</f>
        <v>251216</v>
      </c>
      <c r="G4192" t="s">
        <v>49</v>
      </c>
      <c r="K4192" t="s">
        <v>51</v>
      </c>
      <c r="L4192" t="s">
        <v>52</v>
      </c>
      <c r="M4192">
        <v>136934.70000000001</v>
      </c>
      <c r="N4192">
        <v>470807.41</v>
      </c>
      <c r="O4192" t="s">
        <v>53</v>
      </c>
      <c r="P4192" t="s">
        <v>54</v>
      </c>
      <c r="Q4192" t="s">
        <v>55</v>
      </c>
      <c r="T4192" t="s">
        <v>2020</v>
      </c>
      <c r="U4192">
        <v>40</v>
      </c>
      <c r="V4192" s="1">
        <v>42552</v>
      </c>
      <c r="W4192" s="1">
        <v>42552</v>
      </c>
      <c r="X4192" s="1">
        <v>42552</v>
      </c>
      <c r="Y4192" s="1">
        <v>57162</v>
      </c>
      <c r="Z4192" t="s">
        <v>51</v>
      </c>
      <c r="AB4192" t="s">
        <v>54</v>
      </c>
      <c r="AC4192">
        <v>1</v>
      </c>
      <c r="AE4192" t="s">
        <v>79</v>
      </c>
      <c r="AF4192">
        <v>20</v>
      </c>
      <c r="AG4192" s="1">
        <v>42552</v>
      </c>
      <c r="AH4192" s="1">
        <v>42552</v>
      </c>
      <c r="AI4192" s="1">
        <v>42552</v>
      </c>
      <c r="AJ4192" s="1">
        <v>49857</v>
      </c>
      <c r="AK4192" t="s">
        <v>51</v>
      </c>
      <c r="AN4192">
        <v>0</v>
      </c>
      <c r="AO4192" t="s">
        <v>54</v>
      </c>
      <c r="AP4192" t="s">
        <v>53</v>
      </c>
      <c r="AQ4192">
        <v>0</v>
      </c>
      <c r="AR4192" t="s">
        <v>145</v>
      </c>
      <c r="AS4192">
        <v>0</v>
      </c>
      <c r="AT4192">
        <v>0</v>
      </c>
      <c r="CA4192">
        <v>1</v>
      </c>
      <c r="CC4192" t="s">
        <v>432</v>
      </c>
      <c r="CD4192">
        <v>85000</v>
      </c>
      <c r="CE4192" s="1">
        <v>42552</v>
      </c>
      <c r="CF4192" s="1">
        <v>42552</v>
      </c>
      <c r="CG4192" s="1">
        <v>42552</v>
      </c>
      <c r="CH4192" s="1">
        <v>49714</v>
      </c>
      <c r="CI4192" t="s">
        <v>51</v>
      </c>
      <c r="CK4192" t="s">
        <v>78</v>
      </c>
      <c r="CM4192" t="s">
        <v>54</v>
      </c>
      <c r="CN4192" t="s">
        <v>174</v>
      </c>
      <c r="CO4192" t="s">
        <v>86</v>
      </c>
      <c r="CR4192">
        <v>24</v>
      </c>
      <c r="CS4192">
        <v>0</v>
      </c>
      <c r="CT4192">
        <v>0</v>
      </c>
      <c r="CU4192">
        <v>0</v>
      </c>
    </row>
    <row r="4193" spans="1:99" x14ac:dyDescent="0.2">
      <c r="A4193" t="s">
        <v>112</v>
      </c>
      <c r="B4193" t="s">
        <v>113</v>
      </c>
      <c r="C4193" t="s">
        <v>114</v>
      </c>
      <c r="D4193" t="s">
        <v>428</v>
      </c>
      <c r="F4193" t="str">
        <f>"251217"</f>
        <v>251217</v>
      </c>
      <c r="G4193" t="s">
        <v>49</v>
      </c>
      <c r="K4193" t="s">
        <v>51</v>
      </c>
      <c r="L4193" t="s">
        <v>52</v>
      </c>
      <c r="M4193">
        <v>136915.07</v>
      </c>
      <c r="N4193">
        <v>470795.88</v>
      </c>
      <c r="O4193" t="s">
        <v>53</v>
      </c>
      <c r="P4193" t="s">
        <v>54</v>
      </c>
      <c r="Q4193" t="s">
        <v>55</v>
      </c>
      <c r="T4193" t="s">
        <v>738</v>
      </c>
      <c r="U4193">
        <v>40</v>
      </c>
      <c r="V4193" s="1">
        <v>42552</v>
      </c>
      <c r="W4193" s="1">
        <v>42552</v>
      </c>
      <c r="X4193" s="1">
        <v>42552</v>
      </c>
      <c r="Y4193" s="1">
        <v>57162</v>
      </c>
      <c r="Z4193" t="s">
        <v>51</v>
      </c>
      <c r="AB4193" t="s">
        <v>54</v>
      </c>
      <c r="AC4193">
        <v>1</v>
      </c>
      <c r="AE4193" t="s">
        <v>79</v>
      </c>
      <c r="AF4193">
        <v>20</v>
      </c>
      <c r="AG4193" s="1">
        <v>42552</v>
      </c>
      <c r="AH4193" s="1">
        <v>42552</v>
      </c>
      <c r="AI4193" s="1">
        <v>42552</v>
      </c>
      <c r="AJ4193" s="1">
        <v>49857</v>
      </c>
      <c r="AK4193" t="s">
        <v>51</v>
      </c>
      <c r="AN4193">
        <v>0</v>
      </c>
      <c r="AO4193" t="s">
        <v>54</v>
      </c>
      <c r="AP4193" t="s">
        <v>53</v>
      </c>
      <c r="AQ4193">
        <v>0</v>
      </c>
      <c r="AR4193" t="s">
        <v>145</v>
      </c>
      <c r="AS4193">
        <v>0</v>
      </c>
      <c r="AT4193">
        <v>0</v>
      </c>
      <c r="CC4193" t="s">
        <v>185</v>
      </c>
      <c r="CD4193">
        <v>85000</v>
      </c>
      <c r="CE4193" s="1">
        <v>42552</v>
      </c>
      <c r="CF4193" s="1">
        <v>42552</v>
      </c>
      <c r="CG4193" s="1">
        <v>42552</v>
      </c>
      <c r="CH4193" s="1">
        <v>49714</v>
      </c>
      <c r="CI4193" t="s">
        <v>51</v>
      </c>
      <c r="CK4193" t="s">
        <v>78</v>
      </c>
      <c r="CM4193" t="s">
        <v>54</v>
      </c>
      <c r="CN4193" t="s">
        <v>174</v>
      </c>
      <c r="CO4193" t="s">
        <v>86</v>
      </c>
      <c r="CR4193">
        <v>15</v>
      </c>
      <c r="CS4193">
        <v>0</v>
      </c>
      <c r="CT4193">
        <v>0</v>
      </c>
      <c r="CU4193">
        <v>0</v>
      </c>
    </row>
    <row r="4194" spans="1:99" x14ac:dyDescent="0.2">
      <c r="A4194" t="s">
        <v>112</v>
      </c>
      <c r="B4194" t="s">
        <v>113</v>
      </c>
      <c r="C4194" t="s">
        <v>114</v>
      </c>
      <c r="D4194" t="s">
        <v>428</v>
      </c>
      <c r="F4194" t="str">
        <f>"251218"</f>
        <v>251218</v>
      </c>
      <c r="G4194" t="s">
        <v>49</v>
      </c>
      <c r="H4194" t="s">
        <v>2021</v>
      </c>
      <c r="K4194" t="s">
        <v>51</v>
      </c>
      <c r="L4194" t="s">
        <v>52</v>
      </c>
      <c r="M4194">
        <v>136914.26999999999</v>
      </c>
      <c r="N4194">
        <v>470819.88</v>
      </c>
      <c r="O4194" t="s">
        <v>53</v>
      </c>
      <c r="P4194" t="s">
        <v>54</v>
      </c>
      <c r="Q4194" t="s">
        <v>55</v>
      </c>
      <c r="T4194" t="s">
        <v>588</v>
      </c>
      <c r="U4194">
        <v>40</v>
      </c>
      <c r="V4194" s="1">
        <v>42552</v>
      </c>
      <c r="W4194" s="1">
        <v>42552</v>
      </c>
      <c r="X4194" s="1">
        <v>42552</v>
      </c>
      <c r="Y4194" s="1">
        <v>57162</v>
      </c>
      <c r="Z4194" t="s">
        <v>51</v>
      </c>
      <c r="AB4194" t="s">
        <v>54</v>
      </c>
      <c r="AC4194">
        <v>1</v>
      </c>
      <c r="AE4194" t="s">
        <v>79</v>
      </c>
      <c r="AF4194">
        <v>20</v>
      </c>
      <c r="AG4194" s="1">
        <v>42552</v>
      </c>
      <c r="AH4194" s="1">
        <v>42552</v>
      </c>
      <c r="AI4194" s="1">
        <v>42552</v>
      </c>
      <c r="AJ4194" s="1">
        <v>49857</v>
      </c>
      <c r="AK4194" t="s">
        <v>51</v>
      </c>
      <c r="AN4194">
        <v>0</v>
      </c>
      <c r="AO4194" t="s">
        <v>54</v>
      </c>
      <c r="AP4194" t="s">
        <v>53</v>
      </c>
      <c r="AQ4194">
        <v>0</v>
      </c>
      <c r="AR4194" t="s">
        <v>145</v>
      </c>
      <c r="AS4194">
        <v>0</v>
      </c>
      <c r="AT4194">
        <v>0</v>
      </c>
      <c r="CC4194" t="s">
        <v>432</v>
      </c>
      <c r="CD4194">
        <v>85000</v>
      </c>
      <c r="CE4194" s="1">
        <v>42552</v>
      </c>
      <c r="CF4194" s="1">
        <v>42552</v>
      </c>
      <c r="CG4194" s="1">
        <v>42552</v>
      </c>
      <c r="CH4194" s="1">
        <v>49714</v>
      </c>
      <c r="CI4194" t="s">
        <v>51</v>
      </c>
      <c r="CK4194" t="s">
        <v>78</v>
      </c>
      <c r="CM4194" t="s">
        <v>54</v>
      </c>
      <c r="CN4194" t="s">
        <v>174</v>
      </c>
      <c r="CO4194" t="s">
        <v>86</v>
      </c>
      <c r="CR4194">
        <v>24</v>
      </c>
      <c r="CS4194">
        <v>0</v>
      </c>
      <c r="CT4194">
        <v>0</v>
      </c>
      <c r="CU4194">
        <v>0</v>
      </c>
    </row>
    <row r="4195" spans="1:99" x14ac:dyDescent="0.2">
      <c r="A4195" t="s">
        <v>112</v>
      </c>
      <c r="B4195" t="s">
        <v>113</v>
      </c>
      <c r="C4195" t="s">
        <v>114</v>
      </c>
      <c r="D4195" t="s">
        <v>428</v>
      </c>
      <c r="F4195" t="str">
        <f>"251219"</f>
        <v>251219</v>
      </c>
      <c r="G4195" t="s">
        <v>49</v>
      </c>
      <c r="H4195" t="s">
        <v>2022</v>
      </c>
      <c r="K4195" t="s">
        <v>51</v>
      </c>
      <c r="L4195" t="s">
        <v>52</v>
      </c>
      <c r="M4195">
        <v>136896.60999999999</v>
      </c>
      <c r="N4195">
        <v>470835.51</v>
      </c>
      <c r="O4195" t="s">
        <v>53</v>
      </c>
      <c r="P4195" t="s">
        <v>54</v>
      </c>
      <c r="Q4195" t="s">
        <v>55</v>
      </c>
      <c r="T4195" t="s">
        <v>183</v>
      </c>
      <c r="U4195">
        <v>40</v>
      </c>
      <c r="V4195" s="1">
        <v>42552</v>
      </c>
      <c r="W4195" s="1">
        <v>42552</v>
      </c>
      <c r="X4195" s="1">
        <v>42552</v>
      </c>
      <c r="Y4195" s="1">
        <v>57162</v>
      </c>
      <c r="Z4195" t="s">
        <v>51</v>
      </c>
      <c r="AB4195" t="s">
        <v>54</v>
      </c>
      <c r="AC4195">
        <v>1</v>
      </c>
      <c r="AE4195" t="s">
        <v>79</v>
      </c>
      <c r="AF4195">
        <v>20</v>
      </c>
      <c r="AG4195" s="1">
        <v>42552</v>
      </c>
      <c r="AH4195" s="1">
        <v>42552</v>
      </c>
      <c r="AI4195" s="1">
        <v>42552</v>
      </c>
      <c r="AJ4195" s="1">
        <v>49857</v>
      </c>
      <c r="AK4195" t="s">
        <v>51</v>
      </c>
      <c r="AN4195">
        <v>0</v>
      </c>
      <c r="AO4195" t="s">
        <v>54</v>
      </c>
      <c r="AP4195" t="s">
        <v>53</v>
      </c>
      <c r="AQ4195">
        <v>0</v>
      </c>
      <c r="AR4195" t="s">
        <v>145</v>
      </c>
      <c r="AS4195">
        <v>0</v>
      </c>
      <c r="AT4195">
        <v>0</v>
      </c>
      <c r="CC4195" t="s">
        <v>185</v>
      </c>
      <c r="CD4195">
        <v>85000</v>
      </c>
      <c r="CE4195" s="1">
        <v>42552</v>
      </c>
      <c r="CF4195" s="1">
        <v>42552</v>
      </c>
      <c r="CG4195" s="1">
        <v>42552</v>
      </c>
      <c r="CH4195" s="1">
        <v>49714</v>
      </c>
      <c r="CI4195" t="s">
        <v>51</v>
      </c>
      <c r="CK4195" t="s">
        <v>78</v>
      </c>
      <c r="CM4195" t="s">
        <v>54</v>
      </c>
      <c r="CN4195" t="s">
        <v>174</v>
      </c>
      <c r="CO4195" t="s">
        <v>86</v>
      </c>
      <c r="CR4195">
        <v>15</v>
      </c>
      <c r="CS4195">
        <v>0</v>
      </c>
      <c r="CT4195">
        <v>0</v>
      </c>
      <c r="CU4195">
        <v>0</v>
      </c>
    </row>
    <row r="4196" spans="1:99" x14ac:dyDescent="0.2">
      <c r="A4196" t="s">
        <v>112</v>
      </c>
      <c r="B4196" t="s">
        <v>113</v>
      </c>
      <c r="C4196" t="s">
        <v>114</v>
      </c>
      <c r="D4196" t="s">
        <v>428</v>
      </c>
      <c r="F4196" t="str">
        <f>"251220"</f>
        <v>251220</v>
      </c>
      <c r="G4196" t="s">
        <v>49</v>
      </c>
      <c r="H4196" t="s">
        <v>2023</v>
      </c>
      <c r="K4196" t="s">
        <v>51</v>
      </c>
      <c r="L4196" t="s">
        <v>52</v>
      </c>
      <c r="M4196">
        <v>136913.85999999999</v>
      </c>
      <c r="N4196">
        <v>470844.2</v>
      </c>
      <c r="O4196" t="s">
        <v>53</v>
      </c>
      <c r="P4196" t="s">
        <v>54</v>
      </c>
      <c r="Q4196" t="s">
        <v>55</v>
      </c>
      <c r="T4196" t="s">
        <v>588</v>
      </c>
      <c r="U4196">
        <v>40</v>
      </c>
      <c r="V4196" s="1">
        <v>42552</v>
      </c>
      <c r="W4196" s="1">
        <v>42552</v>
      </c>
      <c r="X4196" s="1">
        <v>42552</v>
      </c>
      <c r="Y4196" s="1">
        <v>57162</v>
      </c>
      <c r="Z4196" t="s">
        <v>51</v>
      </c>
      <c r="AB4196" t="s">
        <v>54</v>
      </c>
      <c r="AC4196">
        <v>1</v>
      </c>
      <c r="AE4196" t="s">
        <v>79</v>
      </c>
      <c r="AF4196">
        <v>20</v>
      </c>
      <c r="AG4196" s="1">
        <v>42552</v>
      </c>
      <c r="AH4196" s="1">
        <v>42552</v>
      </c>
      <c r="AI4196" s="1">
        <v>42552</v>
      </c>
      <c r="AJ4196" s="1">
        <v>49857</v>
      </c>
      <c r="AK4196" t="s">
        <v>51</v>
      </c>
      <c r="AN4196">
        <v>0</v>
      </c>
      <c r="AO4196" t="s">
        <v>54</v>
      </c>
      <c r="AP4196" t="s">
        <v>53</v>
      </c>
      <c r="AQ4196">
        <v>0</v>
      </c>
      <c r="AR4196" t="s">
        <v>145</v>
      </c>
      <c r="AS4196">
        <v>0</v>
      </c>
      <c r="AT4196">
        <v>0</v>
      </c>
      <c r="CC4196" t="s">
        <v>432</v>
      </c>
      <c r="CD4196">
        <v>85000</v>
      </c>
      <c r="CE4196" s="1">
        <v>42552</v>
      </c>
      <c r="CF4196" s="1">
        <v>42552</v>
      </c>
      <c r="CG4196" s="1">
        <v>42552</v>
      </c>
      <c r="CH4196" s="1">
        <v>49714</v>
      </c>
      <c r="CI4196" t="s">
        <v>51</v>
      </c>
      <c r="CK4196" t="s">
        <v>78</v>
      </c>
      <c r="CM4196" t="s">
        <v>54</v>
      </c>
      <c r="CN4196" t="s">
        <v>174</v>
      </c>
      <c r="CO4196" t="s">
        <v>86</v>
      </c>
      <c r="CR4196">
        <v>24</v>
      </c>
      <c r="CS4196">
        <v>0</v>
      </c>
      <c r="CT4196">
        <v>0</v>
      </c>
      <c r="CU4196">
        <v>0</v>
      </c>
    </row>
    <row r="4197" spans="1:99" x14ac:dyDescent="0.2">
      <c r="A4197" t="s">
        <v>112</v>
      </c>
      <c r="B4197" t="s">
        <v>113</v>
      </c>
      <c r="C4197" t="s">
        <v>114</v>
      </c>
      <c r="D4197" t="s">
        <v>428</v>
      </c>
      <c r="F4197" t="str">
        <f>"251221"</f>
        <v>251221</v>
      </c>
      <c r="G4197" t="s">
        <v>49</v>
      </c>
      <c r="K4197" t="s">
        <v>51</v>
      </c>
      <c r="L4197" t="s">
        <v>52</v>
      </c>
      <c r="M4197">
        <v>136903.76</v>
      </c>
      <c r="N4197">
        <v>470859.53</v>
      </c>
      <c r="O4197" t="s">
        <v>53</v>
      </c>
      <c r="P4197" t="s">
        <v>54</v>
      </c>
      <c r="Q4197" t="s">
        <v>55</v>
      </c>
      <c r="T4197" t="s">
        <v>183</v>
      </c>
      <c r="U4197">
        <v>40</v>
      </c>
      <c r="V4197" s="1">
        <v>42552</v>
      </c>
      <c r="W4197" s="1">
        <v>42552</v>
      </c>
      <c r="X4197" s="1">
        <v>42552</v>
      </c>
      <c r="Y4197" s="1">
        <v>57162</v>
      </c>
      <c r="Z4197" t="s">
        <v>51</v>
      </c>
      <c r="AB4197" t="s">
        <v>54</v>
      </c>
      <c r="AC4197">
        <v>1</v>
      </c>
      <c r="AE4197" t="s">
        <v>79</v>
      </c>
      <c r="AF4197">
        <v>20</v>
      </c>
      <c r="AG4197" s="1">
        <v>42552</v>
      </c>
      <c r="AH4197" s="1">
        <v>42552</v>
      </c>
      <c r="AI4197" s="1">
        <v>42552</v>
      </c>
      <c r="AJ4197" s="1">
        <v>49857</v>
      </c>
      <c r="AK4197" t="s">
        <v>51</v>
      </c>
      <c r="AN4197">
        <v>0</v>
      </c>
      <c r="AO4197" t="s">
        <v>54</v>
      </c>
      <c r="AP4197" t="s">
        <v>53</v>
      </c>
      <c r="AQ4197">
        <v>0</v>
      </c>
      <c r="AR4197" t="s">
        <v>145</v>
      </c>
      <c r="AS4197">
        <v>0</v>
      </c>
      <c r="AT4197">
        <v>0</v>
      </c>
      <c r="CC4197" t="s">
        <v>185</v>
      </c>
      <c r="CD4197">
        <v>85000</v>
      </c>
      <c r="CE4197" s="1">
        <v>42552</v>
      </c>
      <c r="CF4197" s="1">
        <v>42552</v>
      </c>
      <c r="CG4197" s="1">
        <v>42552</v>
      </c>
      <c r="CH4197" s="1">
        <v>49714</v>
      </c>
      <c r="CI4197" t="s">
        <v>51</v>
      </c>
      <c r="CK4197" t="s">
        <v>78</v>
      </c>
      <c r="CM4197" t="s">
        <v>54</v>
      </c>
      <c r="CN4197" t="s">
        <v>174</v>
      </c>
      <c r="CO4197" t="s">
        <v>86</v>
      </c>
      <c r="CR4197">
        <v>15</v>
      </c>
      <c r="CS4197">
        <v>0</v>
      </c>
      <c r="CT4197">
        <v>0</v>
      </c>
      <c r="CU4197">
        <v>0</v>
      </c>
    </row>
    <row r="4198" spans="1:99" x14ac:dyDescent="0.2">
      <c r="A4198" t="s">
        <v>112</v>
      </c>
      <c r="B4198" t="s">
        <v>113</v>
      </c>
      <c r="C4198" t="s">
        <v>114</v>
      </c>
      <c r="D4198" t="s">
        <v>428</v>
      </c>
      <c r="F4198" t="str">
        <f>"251222"</f>
        <v>251222</v>
      </c>
      <c r="G4198" t="s">
        <v>49</v>
      </c>
      <c r="H4198" t="s">
        <v>2024</v>
      </c>
      <c r="K4198" t="s">
        <v>51</v>
      </c>
      <c r="L4198" t="s">
        <v>52</v>
      </c>
      <c r="M4198">
        <v>136912.70000000001</v>
      </c>
      <c r="N4198">
        <v>470884.09</v>
      </c>
      <c r="O4198" t="s">
        <v>53</v>
      </c>
      <c r="P4198" t="s">
        <v>54</v>
      </c>
      <c r="Q4198" t="s">
        <v>55</v>
      </c>
      <c r="T4198" t="s">
        <v>700</v>
      </c>
      <c r="U4198">
        <v>40</v>
      </c>
      <c r="V4198" s="1">
        <v>42552</v>
      </c>
      <c r="W4198" s="1">
        <v>42552</v>
      </c>
      <c r="X4198" s="1">
        <v>42552</v>
      </c>
      <c r="Y4198" s="1">
        <v>57162</v>
      </c>
      <c r="Z4198" t="s">
        <v>51</v>
      </c>
      <c r="AB4198" t="s">
        <v>54</v>
      </c>
      <c r="AC4198">
        <v>1</v>
      </c>
      <c r="AE4198" t="s">
        <v>79</v>
      </c>
      <c r="AF4198">
        <v>20</v>
      </c>
      <c r="AG4198" s="1">
        <v>42552</v>
      </c>
      <c r="AH4198" s="1">
        <v>42552</v>
      </c>
      <c r="AI4198" s="1">
        <v>42552</v>
      </c>
      <c r="AJ4198" s="1">
        <v>49857</v>
      </c>
      <c r="AK4198" t="s">
        <v>51</v>
      </c>
      <c r="AN4198">
        <v>0</v>
      </c>
      <c r="AO4198" t="s">
        <v>54</v>
      </c>
      <c r="AP4198" t="s">
        <v>53</v>
      </c>
      <c r="AQ4198">
        <v>0</v>
      </c>
      <c r="AR4198" t="s">
        <v>145</v>
      </c>
      <c r="AS4198">
        <v>0</v>
      </c>
      <c r="AT4198">
        <v>0</v>
      </c>
      <c r="CA4198">
        <v>1</v>
      </c>
      <c r="CC4198" t="s">
        <v>432</v>
      </c>
      <c r="CD4198">
        <v>85000</v>
      </c>
      <c r="CE4198" s="1">
        <v>42552</v>
      </c>
      <c r="CF4198" s="1">
        <v>42552</v>
      </c>
      <c r="CG4198" s="1">
        <v>42552</v>
      </c>
      <c r="CH4198" s="1">
        <v>49714</v>
      </c>
      <c r="CI4198" t="s">
        <v>51</v>
      </c>
      <c r="CK4198" t="s">
        <v>78</v>
      </c>
      <c r="CM4198" t="s">
        <v>54</v>
      </c>
      <c r="CN4198" t="s">
        <v>174</v>
      </c>
      <c r="CO4198" t="s">
        <v>86</v>
      </c>
      <c r="CR4198">
        <v>24</v>
      </c>
      <c r="CS4198">
        <v>0</v>
      </c>
      <c r="CT4198">
        <v>0</v>
      </c>
      <c r="CU4198">
        <v>0</v>
      </c>
    </row>
    <row r="4199" spans="1:99" x14ac:dyDescent="0.2">
      <c r="A4199" t="s">
        <v>112</v>
      </c>
      <c r="B4199" t="s">
        <v>113</v>
      </c>
      <c r="C4199" t="s">
        <v>114</v>
      </c>
      <c r="D4199" t="s">
        <v>428</v>
      </c>
      <c r="F4199" t="str">
        <f>"254363"</f>
        <v>254363</v>
      </c>
      <c r="G4199" t="s">
        <v>49</v>
      </c>
      <c r="H4199" t="s">
        <v>2025</v>
      </c>
      <c r="K4199" t="s">
        <v>51</v>
      </c>
      <c r="L4199" t="s">
        <v>52</v>
      </c>
      <c r="M4199">
        <v>136895.97</v>
      </c>
      <c r="N4199">
        <v>470903.69</v>
      </c>
      <c r="O4199" t="s">
        <v>53</v>
      </c>
      <c r="P4199" t="s">
        <v>54</v>
      </c>
      <c r="Q4199" t="s">
        <v>55</v>
      </c>
      <c r="T4199" t="s">
        <v>183</v>
      </c>
      <c r="U4199">
        <v>40</v>
      </c>
      <c r="V4199" s="1">
        <v>42552</v>
      </c>
      <c r="W4199" s="1">
        <v>42552</v>
      </c>
      <c r="X4199" s="1">
        <v>42552</v>
      </c>
      <c r="Y4199" s="1">
        <v>57162</v>
      </c>
      <c r="Z4199" t="s">
        <v>51</v>
      </c>
      <c r="AB4199" t="s">
        <v>54</v>
      </c>
      <c r="AC4199">
        <v>1</v>
      </c>
      <c r="AE4199" t="s">
        <v>79</v>
      </c>
      <c r="AF4199">
        <v>20</v>
      </c>
      <c r="AG4199" s="1">
        <v>42552</v>
      </c>
      <c r="AH4199" s="1">
        <v>42552</v>
      </c>
      <c r="AI4199" s="1">
        <v>42552</v>
      </c>
      <c r="AJ4199" s="1">
        <v>49857</v>
      </c>
      <c r="AK4199" t="s">
        <v>51</v>
      </c>
      <c r="AN4199">
        <v>0</v>
      </c>
      <c r="AO4199" t="s">
        <v>54</v>
      </c>
      <c r="AP4199" t="s">
        <v>53</v>
      </c>
      <c r="AQ4199">
        <v>0</v>
      </c>
      <c r="AR4199" t="s">
        <v>145</v>
      </c>
      <c r="AS4199">
        <v>0</v>
      </c>
      <c r="AT4199">
        <v>0</v>
      </c>
      <c r="CC4199" t="s">
        <v>185</v>
      </c>
      <c r="CD4199">
        <v>85000</v>
      </c>
      <c r="CE4199" s="1">
        <v>42552</v>
      </c>
      <c r="CF4199" s="1">
        <v>42552</v>
      </c>
      <c r="CG4199" s="1">
        <v>42552</v>
      </c>
      <c r="CH4199" s="1">
        <v>50139</v>
      </c>
      <c r="CI4199" t="s">
        <v>51</v>
      </c>
      <c r="CK4199" t="s">
        <v>78</v>
      </c>
      <c r="CM4199" t="s">
        <v>54</v>
      </c>
      <c r="CN4199" t="s">
        <v>174</v>
      </c>
      <c r="CO4199" t="s">
        <v>86</v>
      </c>
      <c r="CR4199">
        <v>15</v>
      </c>
      <c r="CS4199">
        <v>0</v>
      </c>
      <c r="CT4199">
        <v>0</v>
      </c>
      <c r="CU4199">
        <v>0</v>
      </c>
    </row>
    <row r="4200" spans="1:99" x14ac:dyDescent="0.2">
      <c r="A4200" t="s">
        <v>112</v>
      </c>
      <c r="B4200" t="s">
        <v>113</v>
      </c>
      <c r="C4200" t="s">
        <v>114</v>
      </c>
      <c r="D4200" t="s">
        <v>428</v>
      </c>
      <c r="F4200" t="str">
        <f>"251224"</f>
        <v>251224</v>
      </c>
      <c r="G4200" t="s">
        <v>49</v>
      </c>
      <c r="H4200" t="s">
        <v>2026</v>
      </c>
      <c r="K4200" t="s">
        <v>51</v>
      </c>
      <c r="L4200" t="s">
        <v>52</v>
      </c>
      <c r="M4200">
        <v>136902.48000000001</v>
      </c>
      <c r="N4200">
        <v>470936.22</v>
      </c>
      <c r="O4200" t="s">
        <v>53</v>
      </c>
      <c r="P4200" t="s">
        <v>54</v>
      </c>
      <c r="Q4200" t="s">
        <v>55</v>
      </c>
      <c r="T4200" t="s">
        <v>183</v>
      </c>
      <c r="U4200">
        <v>40</v>
      </c>
      <c r="V4200" s="1">
        <v>37803</v>
      </c>
      <c r="W4200" s="1">
        <v>37803</v>
      </c>
      <c r="X4200" s="1">
        <v>37803</v>
      </c>
      <c r="Y4200" s="1">
        <v>52413</v>
      </c>
      <c r="Z4200" t="s">
        <v>51</v>
      </c>
      <c r="AB4200" t="s">
        <v>54</v>
      </c>
      <c r="AC4200">
        <v>1</v>
      </c>
      <c r="AE4200" t="s">
        <v>57</v>
      </c>
      <c r="AF4200">
        <v>20</v>
      </c>
      <c r="AG4200" s="1">
        <v>37803</v>
      </c>
      <c r="AH4200" s="1">
        <v>37803</v>
      </c>
      <c r="AI4200" s="1">
        <v>37803</v>
      </c>
      <c r="AJ4200" s="1">
        <v>45108</v>
      </c>
      <c r="AK4200" t="s">
        <v>51</v>
      </c>
      <c r="AN4200">
        <v>0</v>
      </c>
      <c r="AO4200" t="s">
        <v>54</v>
      </c>
      <c r="AP4200" t="s">
        <v>53</v>
      </c>
      <c r="AQ4200">
        <v>0</v>
      </c>
      <c r="AR4200" t="s">
        <v>53</v>
      </c>
      <c r="AS4200">
        <v>0</v>
      </c>
      <c r="AT4200">
        <v>0</v>
      </c>
      <c r="AW4200" t="s">
        <v>58</v>
      </c>
      <c r="AX4200">
        <v>20</v>
      </c>
      <c r="AY4200" s="1">
        <v>37803</v>
      </c>
      <c r="AZ4200" s="1">
        <v>37803</v>
      </c>
      <c r="BA4200" s="1">
        <v>37803</v>
      </c>
      <c r="BB4200" s="1">
        <v>45108</v>
      </c>
      <c r="BC4200" t="s">
        <v>51</v>
      </c>
      <c r="BE4200" t="s">
        <v>54</v>
      </c>
      <c r="BF4200">
        <v>2</v>
      </c>
      <c r="BG4200">
        <v>0</v>
      </c>
      <c r="BH4200" t="s">
        <v>53</v>
      </c>
      <c r="BK4200" t="s">
        <v>59</v>
      </c>
      <c r="BL4200">
        <v>14000</v>
      </c>
      <c r="BM4200" s="1">
        <v>42917</v>
      </c>
      <c r="BN4200" s="1">
        <v>42917</v>
      </c>
      <c r="BO4200" s="1">
        <v>42917</v>
      </c>
      <c r="BP4200" s="1">
        <v>44117</v>
      </c>
      <c r="BQ4200" t="s">
        <v>51</v>
      </c>
      <c r="BS4200" t="s">
        <v>60</v>
      </c>
      <c r="BT4200" t="s">
        <v>54</v>
      </c>
      <c r="BU4200" t="s">
        <v>61</v>
      </c>
      <c r="BV4200" t="s">
        <v>62</v>
      </c>
      <c r="BX4200">
        <v>24</v>
      </c>
      <c r="BY4200">
        <v>0</v>
      </c>
      <c r="BZ4200">
        <v>0</v>
      </c>
    </row>
    <row r="4201" spans="1:99" x14ac:dyDescent="0.2">
      <c r="A4201" t="s">
        <v>112</v>
      </c>
      <c r="B4201" t="s">
        <v>113</v>
      </c>
      <c r="C4201" t="s">
        <v>114</v>
      </c>
      <c r="D4201" t="s">
        <v>428</v>
      </c>
      <c r="F4201" t="str">
        <f>"251225"</f>
        <v>251225</v>
      </c>
      <c r="G4201" t="s">
        <v>49</v>
      </c>
      <c r="H4201" t="s">
        <v>2027</v>
      </c>
      <c r="K4201" t="s">
        <v>51</v>
      </c>
      <c r="L4201" t="s">
        <v>52</v>
      </c>
      <c r="M4201">
        <v>136910.84</v>
      </c>
      <c r="N4201">
        <v>470954.35</v>
      </c>
      <c r="O4201" t="s">
        <v>53</v>
      </c>
      <c r="P4201" t="s">
        <v>54</v>
      </c>
      <c r="Q4201" t="s">
        <v>55</v>
      </c>
      <c r="T4201" t="s">
        <v>700</v>
      </c>
      <c r="U4201">
        <v>40</v>
      </c>
      <c r="V4201" s="1">
        <v>35977</v>
      </c>
      <c r="W4201" s="1">
        <v>35977</v>
      </c>
      <c r="X4201" s="1">
        <v>35977</v>
      </c>
      <c r="Y4201" s="1">
        <v>50587</v>
      </c>
      <c r="Z4201" t="s">
        <v>51</v>
      </c>
      <c r="AB4201" t="s">
        <v>54</v>
      </c>
      <c r="AC4201">
        <v>1</v>
      </c>
      <c r="AE4201" t="s">
        <v>564</v>
      </c>
      <c r="AF4201">
        <v>20</v>
      </c>
      <c r="AG4201" s="1">
        <v>35977</v>
      </c>
      <c r="AH4201" s="1">
        <v>35977</v>
      </c>
      <c r="AI4201" s="1">
        <v>35977</v>
      </c>
      <c r="AJ4201" s="1">
        <v>43282</v>
      </c>
      <c r="AK4201" t="s">
        <v>51</v>
      </c>
      <c r="AN4201">
        <v>0</v>
      </c>
      <c r="AO4201" t="s">
        <v>54</v>
      </c>
      <c r="AP4201" t="s">
        <v>53</v>
      </c>
      <c r="AQ4201">
        <v>0</v>
      </c>
      <c r="AR4201" t="s">
        <v>53</v>
      </c>
      <c r="AS4201">
        <v>0</v>
      </c>
      <c r="AT4201">
        <v>0</v>
      </c>
      <c r="AW4201" t="s">
        <v>58</v>
      </c>
      <c r="AX4201">
        <v>20</v>
      </c>
      <c r="AY4201" s="1">
        <v>35977</v>
      </c>
      <c r="AZ4201" s="1">
        <v>35977</v>
      </c>
      <c r="BA4201" s="1">
        <v>35977</v>
      </c>
      <c r="BB4201" s="1">
        <v>43282</v>
      </c>
      <c r="BC4201" t="s">
        <v>51</v>
      </c>
      <c r="BE4201" t="s">
        <v>54</v>
      </c>
      <c r="BF4201">
        <v>2</v>
      </c>
      <c r="BG4201">
        <v>0</v>
      </c>
      <c r="BH4201" t="s">
        <v>53</v>
      </c>
      <c r="BI4201">
        <v>1</v>
      </c>
      <c r="BK4201" t="s">
        <v>59</v>
      </c>
      <c r="BL4201">
        <v>14000</v>
      </c>
      <c r="BM4201" s="1">
        <v>41456</v>
      </c>
      <c r="BN4201" s="1">
        <v>41456</v>
      </c>
      <c r="BO4201" s="1">
        <v>41456</v>
      </c>
      <c r="BP4201" s="1">
        <v>42656</v>
      </c>
      <c r="BQ4201" t="s">
        <v>51</v>
      </c>
      <c r="BS4201" t="s">
        <v>60</v>
      </c>
      <c r="BT4201" t="s">
        <v>54</v>
      </c>
      <c r="BU4201" t="s">
        <v>61</v>
      </c>
      <c r="BV4201" t="s">
        <v>62</v>
      </c>
      <c r="BX4201">
        <v>24</v>
      </c>
      <c r="BY4201">
        <v>0</v>
      </c>
      <c r="BZ4201">
        <v>0</v>
      </c>
    </row>
    <row r="4202" spans="1:99" x14ac:dyDescent="0.2">
      <c r="A4202" t="s">
        <v>112</v>
      </c>
      <c r="B4202" t="s">
        <v>113</v>
      </c>
      <c r="C4202" t="s">
        <v>114</v>
      </c>
      <c r="D4202" t="s">
        <v>428</v>
      </c>
      <c r="F4202" t="str">
        <f>"251226"</f>
        <v>251226</v>
      </c>
      <c r="G4202" t="s">
        <v>49</v>
      </c>
      <c r="H4202" t="s">
        <v>2028</v>
      </c>
      <c r="K4202" t="s">
        <v>51</v>
      </c>
      <c r="L4202" t="s">
        <v>52</v>
      </c>
      <c r="M4202">
        <v>136894.82999999999</v>
      </c>
      <c r="N4202">
        <v>470971.72</v>
      </c>
      <c r="O4202" t="s">
        <v>53</v>
      </c>
      <c r="P4202" t="s">
        <v>54</v>
      </c>
      <c r="Q4202" t="s">
        <v>55</v>
      </c>
      <c r="T4202" t="s">
        <v>183</v>
      </c>
      <c r="U4202">
        <v>40</v>
      </c>
      <c r="V4202" s="1">
        <v>27395</v>
      </c>
      <c r="W4202" s="1">
        <v>27395</v>
      </c>
      <c r="X4202" s="1">
        <v>27395</v>
      </c>
      <c r="Y4202" s="1">
        <v>42005</v>
      </c>
      <c r="Z4202" t="s">
        <v>51</v>
      </c>
      <c r="AB4202" t="s">
        <v>54</v>
      </c>
      <c r="AC4202">
        <v>1</v>
      </c>
      <c r="AE4202" t="s">
        <v>84</v>
      </c>
      <c r="AF4202">
        <v>20</v>
      </c>
      <c r="AG4202" s="1">
        <v>33786</v>
      </c>
      <c r="AH4202" s="1">
        <v>33786</v>
      </c>
      <c r="AI4202" s="1">
        <v>33786</v>
      </c>
      <c r="AJ4202" s="1">
        <v>41091</v>
      </c>
      <c r="AK4202" t="s">
        <v>51</v>
      </c>
      <c r="AN4202">
        <v>0</v>
      </c>
      <c r="AO4202" t="s">
        <v>54</v>
      </c>
      <c r="AP4202" t="s">
        <v>53</v>
      </c>
      <c r="AQ4202">
        <v>0</v>
      </c>
      <c r="AR4202" t="s">
        <v>53</v>
      </c>
      <c r="AS4202">
        <v>0</v>
      </c>
      <c r="AT4202">
        <v>0</v>
      </c>
      <c r="AW4202" t="s">
        <v>58</v>
      </c>
      <c r="AX4202">
        <v>20</v>
      </c>
      <c r="AY4202" s="1">
        <v>33786</v>
      </c>
      <c r="AZ4202" s="1">
        <v>33786</v>
      </c>
      <c r="BA4202" s="1">
        <v>33786</v>
      </c>
      <c r="BB4202" s="1">
        <v>41091</v>
      </c>
      <c r="BC4202" t="s">
        <v>51</v>
      </c>
      <c r="BE4202" t="s">
        <v>54</v>
      </c>
      <c r="BF4202">
        <v>2</v>
      </c>
      <c r="BG4202">
        <v>0</v>
      </c>
      <c r="BH4202" t="s">
        <v>53</v>
      </c>
      <c r="BK4202" t="s">
        <v>59</v>
      </c>
      <c r="BL4202">
        <v>14000</v>
      </c>
      <c r="BM4202" s="1">
        <v>42917</v>
      </c>
      <c r="BN4202" s="1">
        <v>42917</v>
      </c>
      <c r="BO4202" s="1">
        <v>42917</v>
      </c>
      <c r="BP4202" s="1">
        <v>44117</v>
      </c>
      <c r="BQ4202" t="s">
        <v>51</v>
      </c>
      <c r="BS4202" t="s">
        <v>60</v>
      </c>
      <c r="BT4202" t="s">
        <v>54</v>
      </c>
      <c r="BU4202" t="s">
        <v>61</v>
      </c>
      <c r="BV4202" t="s">
        <v>62</v>
      </c>
      <c r="BX4202">
        <v>24</v>
      </c>
      <c r="BY4202">
        <v>0</v>
      </c>
      <c r="BZ4202">
        <v>0</v>
      </c>
    </row>
    <row r="4203" spans="1:99" x14ac:dyDescent="0.2">
      <c r="A4203" t="s">
        <v>112</v>
      </c>
      <c r="B4203" t="s">
        <v>113</v>
      </c>
      <c r="C4203" t="s">
        <v>114</v>
      </c>
      <c r="D4203" t="s">
        <v>428</v>
      </c>
      <c r="F4203" t="str">
        <f>"251227"</f>
        <v>251227</v>
      </c>
      <c r="G4203" t="s">
        <v>49</v>
      </c>
      <c r="H4203" t="s">
        <v>2029</v>
      </c>
      <c r="K4203" t="s">
        <v>51</v>
      </c>
      <c r="L4203" t="s">
        <v>52</v>
      </c>
      <c r="M4203">
        <v>136900.82999999999</v>
      </c>
      <c r="N4203">
        <v>471009.53</v>
      </c>
      <c r="O4203" t="s">
        <v>53</v>
      </c>
      <c r="P4203" t="s">
        <v>54</v>
      </c>
      <c r="Q4203" t="s">
        <v>55</v>
      </c>
      <c r="T4203" t="s">
        <v>183</v>
      </c>
      <c r="U4203">
        <v>40</v>
      </c>
      <c r="V4203" s="1">
        <v>34700</v>
      </c>
      <c r="W4203" s="1">
        <v>34700</v>
      </c>
      <c r="X4203" s="1">
        <v>34700</v>
      </c>
      <c r="Y4203" s="1">
        <v>49310</v>
      </c>
      <c r="Z4203" t="s">
        <v>51</v>
      </c>
      <c r="AB4203" t="s">
        <v>54</v>
      </c>
      <c r="AC4203">
        <v>1</v>
      </c>
      <c r="AE4203" t="s">
        <v>84</v>
      </c>
      <c r="AF4203">
        <v>20</v>
      </c>
      <c r="AG4203" s="1">
        <v>29221</v>
      </c>
      <c r="AH4203" s="1">
        <v>29221</v>
      </c>
      <c r="AI4203" s="1">
        <v>34700</v>
      </c>
      <c r="AJ4203" s="1">
        <v>36526</v>
      </c>
      <c r="AK4203" t="s">
        <v>51</v>
      </c>
      <c r="AN4203">
        <v>0</v>
      </c>
      <c r="AO4203" t="s">
        <v>54</v>
      </c>
      <c r="AP4203" t="s">
        <v>53</v>
      </c>
      <c r="AQ4203">
        <v>0</v>
      </c>
      <c r="AR4203" t="s">
        <v>53</v>
      </c>
      <c r="AS4203">
        <v>0</v>
      </c>
      <c r="AT4203">
        <v>0</v>
      </c>
      <c r="AW4203" t="s">
        <v>58</v>
      </c>
      <c r="AX4203">
        <v>20</v>
      </c>
      <c r="AY4203" s="1">
        <v>29221</v>
      </c>
      <c r="AZ4203" s="1">
        <v>29221</v>
      </c>
      <c r="BA4203" s="1">
        <v>34700</v>
      </c>
      <c r="BB4203" s="1">
        <v>36526</v>
      </c>
      <c r="BC4203" t="s">
        <v>51</v>
      </c>
      <c r="BE4203" t="s">
        <v>54</v>
      </c>
      <c r="BF4203">
        <v>2</v>
      </c>
      <c r="BG4203">
        <v>0</v>
      </c>
      <c r="BH4203" t="s">
        <v>53</v>
      </c>
      <c r="BK4203" t="s">
        <v>59</v>
      </c>
      <c r="BL4203">
        <v>14000</v>
      </c>
      <c r="BM4203" s="1">
        <v>42917</v>
      </c>
      <c r="BN4203" s="1">
        <v>42917</v>
      </c>
      <c r="BO4203" s="1">
        <v>42917</v>
      </c>
      <c r="BP4203" s="1">
        <v>44117</v>
      </c>
      <c r="BQ4203" t="s">
        <v>51</v>
      </c>
      <c r="BS4203" t="s">
        <v>60</v>
      </c>
      <c r="BT4203" t="s">
        <v>54</v>
      </c>
      <c r="BU4203" t="s">
        <v>61</v>
      </c>
      <c r="BV4203" t="s">
        <v>62</v>
      </c>
      <c r="BX4203">
        <v>24</v>
      </c>
      <c r="BY4203">
        <v>0</v>
      </c>
      <c r="BZ4203">
        <v>0</v>
      </c>
    </row>
    <row r="4204" spans="1:99" x14ac:dyDescent="0.2">
      <c r="A4204" t="s">
        <v>112</v>
      </c>
      <c r="B4204" t="s">
        <v>113</v>
      </c>
      <c r="C4204" t="s">
        <v>114</v>
      </c>
      <c r="D4204" t="s">
        <v>428</v>
      </c>
      <c r="F4204" t="str">
        <f>"251228"</f>
        <v>251228</v>
      </c>
      <c r="G4204" t="s">
        <v>49</v>
      </c>
      <c r="H4204" t="s">
        <v>2030</v>
      </c>
      <c r="K4204" t="s">
        <v>51</v>
      </c>
      <c r="L4204" t="s">
        <v>52</v>
      </c>
      <c r="M4204">
        <v>136892.70000000001</v>
      </c>
      <c r="N4204">
        <v>471046.47</v>
      </c>
      <c r="O4204" t="s">
        <v>53</v>
      </c>
      <c r="P4204" t="s">
        <v>54</v>
      </c>
      <c r="Q4204" t="s">
        <v>55</v>
      </c>
      <c r="T4204" t="s">
        <v>183</v>
      </c>
      <c r="U4204">
        <v>40</v>
      </c>
      <c r="V4204" s="1">
        <v>27395</v>
      </c>
      <c r="W4204" s="1">
        <v>27395</v>
      </c>
      <c r="X4204" s="1">
        <v>27395</v>
      </c>
      <c r="Y4204" s="1">
        <v>42005</v>
      </c>
      <c r="Z4204" t="s">
        <v>51</v>
      </c>
      <c r="AB4204" t="s">
        <v>54</v>
      </c>
      <c r="AC4204">
        <v>1</v>
      </c>
      <c r="AE4204" t="s">
        <v>84</v>
      </c>
      <c r="AF4204">
        <v>20</v>
      </c>
      <c r="AG4204" s="1">
        <v>33786</v>
      </c>
      <c r="AH4204" s="1">
        <v>33786</v>
      </c>
      <c r="AI4204" s="1">
        <v>33786</v>
      </c>
      <c r="AJ4204" s="1">
        <v>41091</v>
      </c>
      <c r="AK4204" t="s">
        <v>51</v>
      </c>
      <c r="AN4204">
        <v>0</v>
      </c>
      <c r="AO4204" t="s">
        <v>54</v>
      </c>
      <c r="AP4204" t="s">
        <v>53</v>
      </c>
      <c r="AQ4204">
        <v>0</v>
      </c>
      <c r="AR4204" t="s">
        <v>53</v>
      </c>
      <c r="AS4204">
        <v>0</v>
      </c>
      <c r="AT4204">
        <v>0</v>
      </c>
      <c r="AW4204" t="s">
        <v>58</v>
      </c>
      <c r="AX4204">
        <v>20</v>
      </c>
      <c r="AY4204" s="1">
        <v>33786</v>
      </c>
      <c r="AZ4204" s="1">
        <v>33786</v>
      </c>
      <c r="BA4204" s="1">
        <v>33786</v>
      </c>
      <c r="BB4204" s="1">
        <v>41091</v>
      </c>
      <c r="BC4204" t="s">
        <v>51</v>
      </c>
      <c r="BE4204" t="s">
        <v>54</v>
      </c>
      <c r="BF4204">
        <v>2</v>
      </c>
      <c r="BG4204">
        <v>0</v>
      </c>
      <c r="BH4204" t="s">
        <v>53</v>
      </c>
      <c r="BK4204" t="s">
        <v>59</v>
      </c>
      <c r="BL4204">
        <v>14000</v>
      </c>
      <c r="BM4204" s="1">
        <v>42917</v>
      </c>
      <c r="BN4204" s="1">
        <v>42917</v>
      </c>
      <c r="BO4204" s="1">
        <v>42917</v>
      </c>
      <c r="BP4204" s="1">
        <v>44117</v>
      </c>
      <c r="BQ4204" t="s">
        <v>51</v>
      </c>
      <c r="BS4204" t="s">
        <v>60</v>
      </c>
      <c r="BT4204" t="s">
        <v>54</v>
      </c>
      <c r="BU4204" t="s">
        <v>61</v>
      </c>
      <c r="BV4204" t="s">
        <v>62</v>
      </c>
      <c r="BX4204">
        <v>24</v>
      </c>
      <c r="BY4204">
        <v>0</v>
      </c>
      <c r="BZ4204">
        <v>0</v>
      </c>
    </row>
    <row r="4205" spans="1:99" x14ac:dyDescent="0.2">
      <c r="A4205" t="s">
        <v>112</v>
      </c>
      <c r="B4205" t="s">
        <v>113</v>
      </c>
      <c r="C4205" t="s">
        <v>114</v>
      </c>
      <c r="D4205" t="s">
        <v>428</v>
      </c>
      <c r="F4205" t="str">
        <f>"251229"</f>
        <v>251229</v>
      </c>
      <c r="G4205" t="s">
        <v>49</v>
      </c>
      <c r="H4205" t="s">
        <v>2031</v>
      </c>
      <c r="K4205" t="s">
        <v>51</v>
      </c>
      <c r="L4205" t="s">
        <v>52</v>
      </c>
      <c r="M4205">
        <v>136899.38</v>
      </c>
      <c r="N4205">
        <v>471086.63</v>
      </c>
      <c r="O4205" t="s">
        <v>53</v>
      </c>
      <c r="P4205" t="s">
        <v>54</v>
      </c>
      <c r="Q4205" t="s">
        <v>55</v>
      </c>
      <c r="T4205" t="s">
        <v>183</v>
      </c>
      <c r="U4205">
        <v>40</v>
      </c>
      <c r="V4205" s="1">
        <v>27395</v>
      </c>
      <c r="W4205" s="1">
        <v>27395</v>
      </c>
      <c r="X4205" s="1">
        <v>27395</v>
      </c>
      <c r="Y4205" s="1">
        <v>42005</v>
      </c>
      <c r="Z4205" t="s">
        <v>51</v>
      </c>
      <c r="AB4205" t="s">
        <v>54</v>
      </c>
      <c r="AC4205">
        <v>1</v>
      </c>
      <c r="AE4205" t="s">
        <v>84</v>
      </c>
      <c r="AF4205">
        <v>20</v>
      </c>
      <c r="AG4205" s="1">
        <v>33786</v>
      </c>
      <c r="AH4205" s="1">
        <v>33786</v>
      </c>
      <c r="AI4205" s="1">
        <v>33786</v>
      </c>
      <c r="AJ4205" s="1">
        <v>41091</v>
      </c>
      <c r="AK4205" t="s">
        <v>51</v>
      </c>
      <c r="AN4205">
        <v>0</v>
      </c>
      <c r="AO4205" t="s">
        <v>54</v>
      </c>
      <c r="AP4205" t="s">
        <v>53</v>
      </c>
      <c r="AQ4205">
        <v>0</v>
      </c>
      <c r="AR4205" t="s">
        <v>53</v>
      </c>
      <c r="AS4205">
        <v>0</v>
      </c>
      <c r="AT4205">
        <v>0</v>
      </c>
      <c r="AW4205" t="s">
        <v>58</v>
      </c>
      <c r="AX4205">
        <v>20</v>
      </c>
      <c r="AY4205" s="1">
        <v>33786</v>
      </c>
      <c r="AZ4205" s="1">
        <v>33786</v>
      </c>
      <c r="BA4205" s="1">
        <v>33786</v>
      </c>
      <c r="BB4205" s="1">
        <v>41091</v>
      </c>
      <c r="BC4205" t="s">
        <v>51</v>
      </c>
      <c r="BE4205" t="s">
        <v>54</v>
      </c>
      <c r="BF4205">
        <v>2</v>
      </c>
      <c r="BG4205">
        <v>0</v>
      </c>
      <c r="BH4205" t="s">
        <v>53</v>
      </c>
      <c r="BK4205" t="s">
        <v>59</v>
      </c>
      <c r="BL4205">
        <v>14000</v>
      </c>
      <c r="BM4205" s="1">
        <v>43144</v>
      </c>
      <c r="BN4205" s="1">
        <v>43144</v>
      </c>
      <c r="BO4205" s="1">
        <v>43144</v>
      </c>
      <c r="BP4205" s="1">
        <v>44333</v>
      </c>
      <c r="BQ4205" t="s">
        <v>51</v>
      </c>
      <c r="BS4205" t="s">
        <v>60</v>
      </c>
      <c r="BT4205" t="s">
        <v>54</v>
      </c>
      <c r="BU4205" t="s">
        <v>61</v>
      </c>
      <c r="BV4205" t="s">
        <v>62</v>
      </c>
      <c r="BX4205">
        <v>24</v>
      </c>
      <c r="BY4205">
        <v>0</v>
      </c>
      <c r="BZ4205">
        <v>0</v>
      </c>
    </row>
    <row r="4206" spans="1:99" x14ac:dyDescent="0.2">
      <c r="A4206" t="s">
        <v>112</v>
      </c>
      <c r="B4206" t="s">
        <v>113</v>
      </c>
      <c r="C4206" t="s">
        <v>114</v>
      </c>
      <c r="D4206" t="s">
        <v>428</v>
      </c>
      <c r="F4206" t="str">
        <f>"251230"</f>
        <v>251230</v>
      </c>
      <c r="G4206" t="s">
        <v>49</v>
      </c>
      <c r="H4206" t="s">
        <v>2032</v>
      </c>
      <c r="K4206" t="s">
        <v>51</v>
      </c>
      <c r="L4206" t="s">
        <v>52</v>
      </c>
      <c r="M4206">
        <v>136897.24</v>
      </c>
      <c r="N4206">
        <v>471136.42</v>
      </c>
      <c r="O4206" t="s">
        <v>53</v>
      </c>
      <c r="P4206" t="s">
        <v>54</v>
      </c>
      <c r="Q4206" t="s">
        <v>55</v>
      </c>
      <c r="T4206" t="s">
        <v>183</v>
      </c>
      <c r="U4206">
        <v>40</v>
      </c>
      <c r="V4206" s="1">
        <v>27395</v>
      </c>
      <c r="W4206" s="1">
        <v>27395</v>
      </c>
      <c r="X4206" s="1">
        <v>27395</v>
      </c>
      <c r="Y4206" s="1">
        <v>42005</v>
      </c>
      <c r="Z4206" t="s">
        <v>51</v>
      </c>
      <c r="AB4206" t="s">
        <v>54</v>
      </c>
      <c r="AC4206">
        <v>1</v>
      </c>
      <c r="AE4206" t="s">
        <v>84</v>
      </c>
      <c r="AF4206">
        <v>20</v>
      </c>
      <c r="AG4206" s="1">
        <v>33786</v>
      </c>
      <c r="AH4206" s="1">
        <v>33786</v>
      </c>
      <c r="AI4206" s="1">
        <v>33786</v>
      </c>
      <c r="AJ4206" s="1">
        <v>41091</v>
      </c>
      <c r="AK4206" t="s">
        <v>51</v>
      </c>
      <c r="AN4206">
        <v>0</v>
      </c>
      <c r="AO4206" t="s">
        <v>54</v>
      </c>
      <c r="AP4206" t="s">
        <v>53</v>
      </c>
      <c r="AQ4206">
        <v>0</v>
      </c>
      <c r="AR4206" t="s">
        <v>53</v>
      </c>
      <c r="AS4206">
        <v>0</v>
      </c>
      <c r="AT4206">
        <v>0</v>
      </c>
      <c r="AW4206" t="s">
        <v>58</v>
      </c>
      <c r="AX4206">
        <v>20</v>
      </c>
      <c r="AY4206" s="1">
        <v>33786</v>
      </c>
      <c r="AZ4206" s="1">
        <v>33786</v>
      </c>
      <c r="BA4206" s="1">
        <v>33786</v>
      </c>
      <c r="BB4206" s="1">
        <v>41091</v>
      </c>
      <c r="BC4206" t="s">
        <v>51</v>
      </c>
      <c r="BE4206" t="s">
        <v>54</v>
      </c>
      <c r="BF4206">
        <v>2</v>
      </c>
      <c r="BG4206">
        <v>0</v>
      </c>
      <c r="BH4206" t="s">
        <v>53</v>
      </c>
      <c r="BK4206" t="s">
        <v>59</v>
      </c>
      <c r="BL4206">
        <v>14000</v>
      </c>
      <c r="BM4206" s="1">
        <v>42917</v>
      </c>
      <c r="BN4206" s="1">
        <v>42917</v>
      </c>
      <c r="BO4206" s="1">
        <v>42917</v>
      </c>
      <c r="BP4206" s="1">
        <v>44117</v>
      </c>
      <c r="BQ4206" t="s">
        <v>51</v>
      </c>
      <c r="BS4206" t="s">
        <v>60</v>
      </c>
      <c r="BT4206" t="s">
        <v>54</v>
      </c>
      <c r="BU4206" t="s">
        <v>61</v>
      </c>
      <c r="BV4206" t="s">
        <v>62</v>
      </c>
      <c r="BX4206">
        <v>24</v>
      </c>
      <c r="BY4206">
        <v>0</v>
      </c>
      <c r="BZ4206">
        <v>0</v>
      </c>
    </row>
    <row r="4207" spans="1:99" x14ac:dyDescent="0.2">
      <c r="A4207" t="s">
        <v>112</v>
      </c>
      <c r="B4207" t="s">
        <v>113</v>
      </c>
      <c r="C4207" t="s">
        <v>114</v>
      </c>
      <c r="D4207" t="s">
        <v>428</v>
      </c>
      <c r="F4207" t="str">
        <f>"251231"</f>
        <v>251231</v>
      </c>
      <c r="G4207" t="s">
        <v>49</v>
      </c>
      <c r="H4207" t="s">
        <v>2033</v>
      </c>
      <c r="K4207" t="s">
        <v>51</v>
      </c>
      <c r="L4207" t="s">
        <v>52</v>
      </c>
      <c r="M4207">
        <v>136896.38</v>
      </c>
      <c r="N4207">
        <v>471169.72</v>
      </c>
      <c r="O4207" t="s">
        <v>53</v>
      </c>
      <c r="P4207" t="s">
        <v>54</v>
      </c>
      <c r="Q4207" t="s">
        <v>55</v>
      </c>
      <c r="T4207" t="s">
        <v>183</v>
      </c>
      <c r="U4207">
        <v>40</v>
      </c>
      <c r="V4207" s="1">
        <v>29221</v>
      </c>
      <c r="W4207" s="1">
        <v>29221</v>
      </c>
      <c r="X4207" s="1">
        <v>29221</v>
      </c>
      <c r="Y4207" s="1">
        <v>43831</v>
      </c>
      <c r="Z4207" t="s">
        <v>51</v>
      </c>
      <c r="AB4207" t="s">
        <v>54</v>
      </c>
      <c r="AC4207">
        <v>1</v>
      </c>
      <c r="AE4207" t="s">
        <v>84</v>
      </c>
      <c r="AF4207">
        <v>20</v>
      </c>
      <c r="AG4207" s="1">
        <v>34700</v>
      </c>
      <c r="AH4207" s="1">
        <v>34700</v>
      </c>
      <c r="AI4207" s="1">
        <v>34700</v>
      </c>
      <c r="AJ4207" s="1">
        <v>42005</v>
      </c>
      <c r="AK4207" t="s">
        <v>51</v>
      </c>
      <c r="AN4207">
        <v>0</v>
      </c>
      <c r="AO4207" t="s">
        <v>54</v>
      </c>
      <c r="AP4207" t="s">
        <v>53</v>
      </c>
      <c r="AQ4207">
        <v>0</v>
      </c>
      <c r="AR4207" t="s">
        <v>53</v>
      </c>
      <c r="AS4207">
        <v>0</v>
      </c>
      <c r="AT4207">
        <v>0</v>
      </c>
      <c r="AW4207" t="s">
        <v>58</v>
      </c>
      <c r="AX4207">
        <v>20</v>
      </c>
      <c r="AY4207" s="1">
        <v>34700</v>
      </c>
      <c r="AZ4207" s="1">
        <v>34700</v>
      </c>
      <c r="BA4207" s="1">
        <v>34700</v>
      </c>
      <c r="BB4207" s="1">
        <v>42005</v>
      </c>
      <c r="BC4207" t="s">
        <v>51</v>
      </c>
      <c r="BE4207" t="s">
        <v>54</v>
      </c>
      <c r="BF4207">
        <v>2</v>
      </c>
      <c r="BG4207">
        <v>0</v>
      </c>
      <c r="BH4207" t="s">
        <v>53</v>
      </c>
      <c r="BK4207" t="s">
        <v>59</v>
      </c>
      <c r="BL4207">
        <v>14000</v>
      </c>
      <c r="BM4207" s="1">
        <v>42917</v>
      </c>
      <c r="BN4207" s="1">
        <v>42917</v>
      </c>
      <c r="BO4207" s="1">
        <v>42917</v>
      </c>
      <c r="BP4207" s="1">
        <v>44117</v>
      </c>
      <c r="BQ4207" t="s">
        <v>51</v>
      </c>
      <c r="BS4207" t="s">
        <v>60</v>
      </c>
      <c r="BT4207" t="s">
        <v>54</v>
      </c>
      <c r="BU4207" t="s">
        <v>61</v>
      </c>
      <c r="BV4207" t="s">
        <v>62</v>
      </c>
      <c r="BX4207">
        <v>24</v>
      </c>
      <c r="BY4207">
        <v>0</v>
      </c>
      <c r="BZ4207">
        <v>0</v>
      </c>
    </row>
    <row r="4208" spans="1:99" x14ac:dyDescent="0.2">
      <c r="A4208" t="s">
        <v>112</v>
      </c>
      <c r="B4208" t="s">
        <v>113</v>
      </c>
      <c r="C4208" t="s">
        <v>114</v>
      </c>
      <c r="D4208" t="s">
        <v>428</v>
      </c>
      <c r="F4208" t="str">
        <f>"251232"</f>
        <v>251232</v>
      </c>
      <c r="G4208" t="s">
        <v>49</v>
      </c>
      <c r="H4208" t="s">
        <v>527</v>
      </c>
      <c r="K4208" t="s">
        <v>51</v>
      </c>
      <c r="L4208" t="s">
        <v>52</v>
      </c>
      <c r="M4208">
        <v>136888.72</v>
      </c>
      <c r="N4208">
        <v>471192.03</v>
      </c>
      <c r="O4208" t="s">
        <v>53</v>
      </c>
      <c r="P4208" t="s">
        <v>54</v>
      </c>
      <c r="Q4208" t="s">
        <v>55</v>
      </c>
      <c r="T4208" t="s">
        <v>183</v>
      </c>
      <c r="U4208">
        <v>40</v>
      </c>
      <c r="V4208" s="1">
        <v>29221</v>
      </c>
      <c r="W4208" s="1">
        <v>29221</v>
      </c>
      <c r="X4208" s="1">
        <v>29221</v>
      </c>
      <c r="Y4208" s="1">
        <v>43831</v>
      </c>
      <c r="Z4208" t="s">
        <v>51</v>
      </c>
      <c r="AB4208" t="s">
        <v>54</v>
      </c>
      <c r="AC4208">
        <v>1</v>
      </c>
      <c r="AE4208" t="s">
        <v>84</v>
      </c>
      <c r="AF4208">
        <v>20</v>
      </c>
      <c r="AG4208" s="1">
        <v>34700</v>
      </c>
      <c r="AH4208" s="1">
        <v>34700</v>
      </c>
      <c r="AI4208" s="1">
        <v>34700</v>
      </c>
      <c r="AJ4208" s="1">
        <v>42005</v>
      </c>
      <c r="AK4208" t="s">
        <v>51</v>
      </c>
      <c r="AN4208">
        <v>0</v>
      </c>
      <c r="AO4208" t="s">
        <v>54</v>
      </c>
      <c r="AP4208" t="s">
        <v>53</v>
      </c>
      <c r="AQ4208">
        <v>0</v>
      </c>
      <c r="AR4208" t="s">
        <v>53</v>
      </c>
      <c r="AS4208">
        <v>0</v>
      </c>
      <c r="AT4208">
        <v>0</v>
      </c>
      <c r="AW4208" t="s">
        <v>58</v>
      </c>
      <c r="AX4208">
        <v>20</v>
      </c>
      <c r="AY4208" s="1">
        <v>34700</v>
      </c>
      <c r="AZ4208" s="1">
        <v>34700</v>
      </c>
      <c r="BA4208" s="1">
        <v>34700</v>
      </c>
      <c r="BB4208" s="1">
        <v>42005</v>
      </c>
      <c r="BC4208" t="s">
        <v>51</v>
      </c>
      <c r="BE4208" t="s">
        <v>54</v>
      </c>
      <c r="BF4208">
        <v>2</v>
      </c>
      <c r="BG4208">
        <v>0</v>
      </c>
      <c r="BH4208" t="s">
        <v>53</v>
      </c>
      <c r="BK4208" t="s">
        <v>59</v>
      </c>
      <c r="BL4208">
        <v>14000</v>
      </c>
      <c r="BM4208" s="1">
        <v>42917</v>
      </c>
      <c r="BN4208" s="1">
        <v>42917</v>
      </c>
      <c r="BO4208" s="1">
        <v>42917</v>
      </c>
      <c r="BP4208" s="1">
        <v>44117</v>
      </c>
      <c r="BQ4208" t="s">
        <v>51</v>
      </c>
      <c r="BS4208" t="s">
        <v>60</v>
      </c>
      <c r="BT4208" t="s">
        <v>54</v>
      </c>
      <c r="BU4208" t="s">
        <v>61</v>
      </c>
      <c r="BV4208" t="s">
        <v>62</v>
      </c>
      <c r="BX4208">
        <v>24</v>
      </c>
      <c r="BY4208">
        <v>0</v>
      </c>
      <c r="BZ4208">
        <v>0</v>
      </c>
    </row>
    <row r="4209" spans="1:78" x14ac:dyDescent="0.2">
      <c r="A4209" t="s">
        <v>112</v>
      </c>
      <c r="B4209" t="s">
        <v>113</v>
      </c>
      <c r="C4209" t="s">
        <v>114</v>
      </c>
      <c r="D4209" t="s">
        <v>428</v>
      </c>
      <c r="F4209" t="str">
        <f>"251233"</f>
        <v>251233</v>
      </c>
      <c r="G4209" t="s">
        <v>49</v>
      </c>
      <c r="H4209" t="s">
        <v>2034</v>
      </c>
      <c r="K4209" t="s">
        <v>51</v>
      </c>
      <c r="L4209" t="s">
        <v>52</v>
      </c>
      <c r="M4209">
        <v>136906.56</v>
      </c>
      <c r="N4209">
        <v>470998.32</v>
      </c>
      <c r="O4209" t="s">
        <v>53</v>
      </c>
      <c r="P4209" t="s">
        <v>54</v>
      </c>
      <c r="Q4209" t="s">
        <v>55</v>
      </c>
      <c r="T4209" t="s">
        <v>700</v>
      </c>
      <c r="U4209">
        <v>40</v>
      </c>
      <c r="V4209" s="1">
        <v>35977</v>
      </c>
      <c r="W4209" s="1">
        <v>35977</v>
      </c>
      <c r="X4209" s="1">
        <v>35977</v>
      </c>
      <c r="Y4209" s="1">
        <v>50587</v>
      </c>
      <c r="Z4209" t="s">
        <v>51</v>
      </c>
      <c r="AB4209" t="s">
        <v>54</v>
      </c>
      <c r="AC4209">
        <v>1</v>
      </c>
      <c r="AE4209" t="s">
        <v>564</v>
      </c>
      <c r="AF4209">
        <v>20</v>
      </c>
      <c r="AG4209" s="1">
        <v>35977</v>
      </c>
      <c r="AH4209" s="1">
        <v>35977</v>
      </c>
      <c r="AI4209" s="1">
        <v>35977</v>
      </c>
      <c r="AJ4209" s="1">
        <v>43282</v>
      </c>
      <c r="AK4209" t="s">
        <v>51</v>
      </c>
      <c r="AN4209">
        <v>0</v>
      </c>
      <c r="AO4209" t="s">
        <v>54</v>
      </c>
      <c r="AP4209" t="s">
        <v>53</v>
      </c>
      <c r="AQ4209">
        <v>0</v>
      </c>
      <c r="AR4209" t="s">
        <v>53</v>
      </c>
      <c r="AS4209">
        <v>0</v>
      </c>
      <c r="AT4209">
        <v>0</v>
      </c>
      <c r="AW4209" t="s">
        <v>58</v>
      </c>
      <c r="AX4209">
        <v>20</v>
      </c>
      <c r="AY4209" s="1">
        <v>35977</v>
      </c>
      <c r="AZ4209" s="1">
        <v>35977</v>
      </c>
      <c r="BA4209" s="1">
        <v>35977</v>
      </c>
      <c r="BB4209" s="1">
        <v>43282</v>
      </c>
      <c r="BC4209" t="s">
        <v>51</v>
      </c>
      <c r="BE4209" t="s">
        <v>54</v>
      </c>
      <c r="BF4209">
        <v>2</v>
      </c>
      <c r="BG4209">
        <v>0</v>
      </c>
      <c r="BH4209" t="s">
        <v>53</v>
      </c>
      <c r="BI4209">
        <v>1</v>
      </c>
      <c r="BK4209" t="s">
        <v>59</v>
      </c>
      <c r="BL4209">
        <v>14000</v>
      </c>
      <c r="BM4209" s="1">
        <v>41456</v>
      </c>
      <c r="BN4209" s="1">
        <v>41456</v>
      </c>
      <c r="BO4209" s="1">
        <v>41456</v>
      </c>
      <c r="BP4209" s="1">
        <v>42656</v>
      </c>
      <c r="BQ4209" t="s">
        <v>51</v>
      </c>
      <c r="BS4209" t="s">
        <v>60</v>
      </c>
      <c r="BT4209" t="s">
        <v>54</v>
      </c>
      <c r="BU4209" t="s">
        <v>61</v>
      </c>
      <c r="BV4209" t="s">
        <v>62</v>
      </c>
      <c r="BX4209">
        <v>24</v>
      </c>
      <c r="BY4209">
        <v>0</v>
      </c>
      <c r="BZ4209">
        <v>0</v>
      </c>
    </row>
    <row r="4210" spans="1:78" x14ac:dyDescent="0.2">
      <c r="A4210" t="s">
        <v>112</v>
      </c>
      <c r="B4210" t="s">
        <v>113</v>
      </c>
      <c r="C4210" t="s">
        <v>114</v>
      </c>
      <c r="D4210" t="s">
        <v>428</v>
      </c>
      <c r="F4210" t="str">
        <f>"251234"</f>
        <v>251234</v>
      </c>
      <c r="G4210" t="s">
        <v>49</v>
      </c>
      <c r="H4210" t="s">
        <v>2034</v>
      </c>
      <c r="K4210" t="s">
        <v>51</v>
      </c>
      <c r="L4210" t="s">
        <v>52</v>
      </c>
      <c r="M4210">
        <v>136926.99</v>
      </c>
      <c r="N4210">
        <v>471013.06</v>
      </c>
      <c r="O4210" t="s">
        <v>53</v>
      </c>
      <c r="P4210" t="s">
        <v>54</v>
      </c>
      <c r="Q4210" t="s">
        <v>55</v>
      </c>
      <c r="T4210" t="s">
        <v>700</v>
      </c>
      <c r="U4210">
        <v>40</v>
      </c>
      <c r="V4210" s="1">
        <v>35977</v>
      </c>
      <c r="W4210" s="1">
        <v>35977</v>
      </c>
      <c r="X4210" s="1">
        <v>35977</v>
      </c>
      <c r="Y4210" s="1">
        <v>50587</v>
      </c>
      <c r="Z4210" t="s">
        <v>51</v>
      </c>
      <c r="AB4210" t="s">
        <v>54</v>
      </c>
      <c r="AC4210">
        <v>1</v>
      </c>
      <c r="AE4210" t="s">
        <v>564</v>
      </c>
      <c r="AF4210">
        <v>20</v>
      </c>
      <c r="AG4210" s="1">
        <v>35977</v>
      </c>
      <c r="AH4210" s="1">
        <v>35977</v>
      </c>
      <c r="AI4210" s="1">
        <v>35977</v>
      </c>
      <c r="AJ4210" s="1">
        <v>43282</v>
      </c>
      <c r="AK4210" t="s">
        <v>51</v>
      </c>
      <c r="AN4210">
        <v>0</v>
      </c>
      <c r="AO4210" t="s">
        <v>54</v>
      </c>
      <c r="AP4210" t="s">
        <v>53</v>
      </c>
      <c r="AQ4210">
        <v>0</v>
      </c>
      <c r="AR4210" t="s">
        <v>53</v>
      </c>
      <c r="AS4210">
        <v>0</v>
      </c>
      <c r="AT4210">
        <v>0</v>
      </c>
      <c r="AW4210" t="s">
        <v>58</v>
      </c>
      <c r="AX4210">
        <v>20</v>
      </c>
      <c r="AY4210" s="1">
        <v>35977</v>
      </c>
      <c r="AZ4210" s="1">
        <v>35977</v>
      </c>
      <c r="BA4210" s="1">
        <v>35977</v>
      </c>
      <c r="BB4210" s="1">
        <v>43282</v>
      </c>
      <c r="BC4210" t="s">
        <v>51</v>
      </c>
      <c r="BE4210" t="s">
        <v>54</v>
      </c>
      <c r="BF4210">
        <v>2</v>
      </c>
      <c r="BG4210">
        <v>0</v>
      </c>
      <c r="BH4210" t="s">
        <v>53</v>
      </c>
      <c r="BI4210">
        <v>1</v>
      </c>
      <c r="BK4210" t="s">
        <v>59</v>
      </c>
      <c r="BL4210">
        <v>14000</v>
      </c>
      <c r="BM4210" s="1">
        <v>41456</v>
      </c>
      <c r="BN4210" s="1">
        <v>41456</v>
      </c>
      <c r="BO4210" s="1">
        <v>41456</v>
      </c>
      <c r="BP4210" s="1">
        <v>42656</v>
      </c>
      <c r="BQ4210" t="s">
        <v>51</v>
      </c>
      <c r="BS4210" t="s">
        <v>60</v>
      </c>
      <c r="BT4210" t="s">
        <v>54</v>
      </c>
      <c r="BU4210" t="s">
        <v>61</v>
      </c>
      <c r="BV4210" t="s">
        <v>62</v>
      </c>
      <c r="BX4210">
        <v>24</v>
      </c>
      <c r="BY4210">
        <v>0</v>
      </c>
      <c r="BZ4210">
        <v>0</v>
      </c>
    </row>
    <row r="4211" spans="1:78" x14ac:dyDescent="0.2">
      <c r="A4211" t="s">
        <v>112</v>
      </c>
      <c r="B4211" t="s">
        <v>113</v>
      </c>
      <c r="C4211" t="s">
        <v>114</v>
      </c>
      <c r="D4211" t="s">
        <v>428</v>
      </c>
      <c r="F4211" t="str">
        <f>"251235"</f>
        <v>251235</v>
      </c>
      <c r="G4211" t="s">
        <v>49</v>
      </c>
      <c r="H4211" t="s">
        <v>2034</v>
      </c>
      <c r="K4211" t="s">
        <v>51</v>
      </c>
      <c r="L4211" t="s">
        <v>52</v>
      </c>
      <c r="M4211">
        <v>136927.32</v>
      </c>
      <c r="N4211">
        <v>471041.46</v>
      </c>
      <c r="O4211" t="s">
        <v>53</v>
      </c>
      <c r="P4211" t="s">
        <v>54</v>
      </c>
      <c r="Q4211" t="s">
        <v>55</v>
      </c>
      <c r="T4211" t="s">
        <v>700</v>
      </c>
      <c r="U4211">
        <v>40</v>
      </c>
      <c r="V4211" s="1">
        <v>35977</v>
      </c>
      <c r="W4211" s="1">
        <v>35977</v>
      </c>
      <c r="X4211" s="1">
        <v>35977</v>
      </c>
      <c r="Y4211" s="1">
        <v>50587</v>
      </c>
      <c r="Z4211" t="s">
        <v>51</v>
      </c>
      <c r="AB4211" t="s">
        <v>54</v>
      </c>
      <c r="AC4211">
        <v>1</v>
      </c>
      <c r="AE4211" t="s">
        <v>564</v>
      </c>
      <c r="AF4211">
        <v>20</v>
      </c>
      <c r="AG4211" s="1">
        <v>35977</v>
      </c>
      <c r="AH4211" s="1">
        <v>35977</v>
      </c>
      <c r="AI4211" s="1">
        <v>35977</v>
      </c>
      <c r="AJ4211" s="1">
        <v>43282</v>
      </c>
      <c r="AK4211" t="s">
        <v>51</v>
      </c>
      <c r="AN4211">
        <v>0</v>
      </c>
      <c r="AO4211" t="s">
        <v>54</v>
      </c>
      <c r="AP4211" t="s">
        <v>53</v>
      </c>
      <c r="AQ4211">
        <v>0</v>
      </c>
      <c r="AR4211" t="s">
        <v>53</v>
      </c>
      <c r="AS4211">
        <v>0</v>
      </c>
      <c r="AT4211">
        <v>0</v>
      </c>
      <c r="AW4211" t="s">
        <v>58</v>
      </c>
      <c r="AX4211">
        <v>20</v>
      </c>
      <c r="AY4211" s="1">
        <v>35977</v>
      </c>
      <c r="AZ4211" s="1">
        <v>35977</v>
      </c>
      <c r="BA4211" s="1">
        <v>35977</v>
      </c>
      <c r="BB4211" s="1">
        <v>43282</v>
      </c>
      <c r="BC4211" t="s">
        <v>51</v>
      </c>
      <c r="BE4211" t="s">
        <v>54</v>
      </c>
      <c r="BF4211">
        <v>2</v>
      </c>
      <c r="BG4211">
        <v>0</v>
      </c>
      <c r="BH4211" t="s">
        <v>53</v>
      </c>
      <c r="BI4211">
        <v>1</v>
      </c>
      <c r="BK4211" t="s">
        <v>59</v>
      </c>
      <c r="BL4211">
        <v>14000</v>
      </c>
      <c r="BM4211" s="1">
        <v>41456</v>
      </c>
      <c r="BN4211" s="1">
        <v>41456</v>
      </c>
      <c r="BO4211" s="1">
        <v>41456</v>
      </c>
      <c r="BP4211" s="1">
        <v>42656</v>
      </c>
      <c r="BQ4211" t="s">
        <v>51</v>
      </c>
      <c r="BS4211" t="s">
        <v>60</v>
      </c>
      <c r="BT4211" t="s">
        <v>54</v>
      </c>
      <c r="BU4211" t="s">
        <v>61</v>
      </c>
      <c r="BV4211" t="s">
        <v>62</v>
      </c>
      <c r="BX4211">
        <v>24</v>
      </c>
      <c r="BY4211">
        <v>0</v>
      </c>
      <c r="BZ4211">
        <v>0</v>
      </c>
    </row>
    <row r="4212" spans="1:78" x14ac:dyDescent="0.2">
      <c r="A4212" t="s">
        <v>112</v>
      </c>
      <c r="B4212" t="s">
        <v>113</v>
      </c>
      <c r="C4212" t="s">
        <v>114</v>
      </c>
      <c r="D4212" t="s">
        <v>428</v>
      </c>
      <c r="F4212" t="str">
        <f>"251238"</f>
        <v>251238</v>
      </c>
      <c r="G4212" t="s">
        <v>49</v>
      </c>
      <c r="H4212" t="s">
        <v>2035</v>
      </c>
      <c r="K4212" t="s">
        <v>51</v>
      </c>
      <c r="L4212" t="s">
        <v>52</v>
      </c>
      <c r="M4212">
        <v>136907.57999999999</v>
      </c>
      <c r="N4212">
        <v>471113.97</v>
      </c>
      <c r="O4212" t="s">
        <v>53</v>
      </c>
      <c r="P4212" t="s">
        <v>54</v>
      </c>
      <c r="Q4212" t="s">
        <v>55</v>
      </c>
      <c r="T4212" t="s">
        <v>239</v>
      </c>
      <c r="U4212">
        <v>40</v>
      </c>
      <c r="V4212" s="1">
        <v>29221</v>
      </c>
      <c r="W4212" s="1">
        <v>29221</v>
      </c>
      <c r="X4212" s="1">
        <v>29221</v>
      </c>
      <c r="Y4212" s="1">
        <v>43831</v>
      </c>
      <c r="Z4212" t="s">
        <v>51</v>
      </c>
      <c r="AB4212" t="s">
        <v>54</v>
      </c>
      <c r="AC4212">
        <v>1</v>
      </c>
      <c r="AE4212" t="s">
        <v>222</v>
      </c>
      <c r="AF4212">
        <v>20</v>
      </c>
      <c r="AG4212" s="1">
        <v>38169</v>
      </c>
      <c r="AH4212" s="1">
        <v>38169</v>
      </c>
      <c r="AI4212" s="1">
        <v>38169</v>
      </c>
      <c r="AJ4212" s="1">
        <v>45474</v>
      </c>
      <c r="AK4212" t="s">
        <v>51</v>
      </c>
      <c r="AN4212">
        <v>0</v>
      </c>
      <c r="AO4212" t="s">
        <v>54</v>
      </c>
      <c r="AP4212" t="s">
        <v>53</v>
      </c>
      <c r="AQ4212">
        <v>0</v>
      </c>
      <c r="AR4212" t="s">
        <v>53</v>
      </c>
      <c r="AS4212">
        <v>0</v>
      </c>
      <c r="AT4212">
        <v>0</v>
      </c>
      <c r="AW4212" t="s">
        <v>58</v>
      </c>
      <c r="AX4212">
        <v>20</v>
      </c>
      <c r="AY4212" s="1">
        <v>38169</v>
      </c>
      <c r="AZ4212" s="1">
        <v>38169</v>
      </c>
      <c r="BA4212" s="1">
        <v>38169</v>
      </c>
      <c r="BB4212" s="1">
        <v>45474</v>
      </c>
      <c r="BC4212" t="s">
        <v>51</v>
      </c>
      <c r="BE4212" t="s">
        <v>54</v>
      </c>
      <c r="BF4212">
        <v>2</v>
      </c>
      <c r="BG4212">
        <v>0</v>
      </c>
      <c r="BH4212" t="s">
        <v>53</v>
      </c>
      <c r="BK4212" t="s">
        <v>59</v>
      </c>
      <c r="BL4212">
        <v>14000</v>
      </c>
      <c r="BM4212" s="1">
        <v>41456</v>
      </c>
      <c r="BN4212" s="1">
        <v>41456</v>
      </c>
      <c r="BO4212" s="1">
        <v>41456</v>
      </c>
      <c r="BP4212" s="1">
        <v>42656</v>
      </c>
      <c r="BQ4212" t="s">
        <v>51</v>
      </c>
      <c r="BS4212" t="s">
        <v>60</v>
      </c>
      <c r="BT4212" t="s">
        <v>54</v>
      </c>
      <c r="BU4212" t="s">
        <v>61</v>
      </c>
      <c r="BV4212" t="s">
        <v>62</v>
      </c>
      <c r="BX4212">
        <v>24</v>
      </c>
      <c r="BY4212">
        <v>0</v>
      </c>
      <c r="BZ4212">
        <v>0</v>
      </c>
    </row>
    <row r="4213" spans="1:78" x14ac:dyDescent="0.2">
      <c r="A4213" t="s">
        <v>112</v>
      </c>
      <c r="B4213" t="s">
        <v>113</v>
      </c>
      <c r="C4213" t="s">
        <v>114</v>
      </c>
      <c r="D4213" t="s">
        <v>428</v>
      </c>
      <c r="F4213" t="str">
        <f>"251242"</f>
        <v>251242</v>
      </c>
      <c r="G4213" t="s">
        <v>49</v>
      </c>
      <c r="H4213" t="s">
        <v>2036</v>
      </c>
      <c r="K4213" t="s">
        <v>51</v>
      </c>
      <c r="L4213" t="s">
        <v>52</v>
      </c>
      <c r="M4213">
        <v>136894.63</v>
      </c>
      <c r="N4213">
        <v>471226.96</v>
      </c>
      <c r="O4213" t="s">
        <v>53</v>
      </c>
      <c r="P4213" t="s">
        <v>54</v>
      </c>
      <c r="Q4213" t="s">
        <v>55</v>
      </c>
      <c r="T4213" t="s">
        <v>183</v>
      </c>
      <c r="U4213">
        <v>40</v>
      </c>
      <c r="V4213" s="1">
        <v>29221</v>
      </c>
      <c r="W4213" s="1">
        <v>29221</v>
      </c>
      <c r="X4213" s="1">
        <v>29221</v>
      </c>
      <c r="Y4213" s="1">
        <v>43831</v>
      </c>
      <c r="Z4213" t="s">
        <v>51</v>
      </c>
      <c r="AB4213" t="s">
        <v>54</v>
      </c>
      <c r="AC4213">
        <v>1</v>
      </c>
      <c r="AE4213" t="s">
        <v>84</v>
      </c>
      <c r="AF4213">
        <v>20</v>
      </c>
      <c r="AG4213" s="1">
        <v>34700</v>
      </c>
      <c r="AH4213" s="1">
        <v>34700</v>
      </c>
      <c r="AI4213" s="1">
        <v>34700</v>
      </c>
      <c r="AJ4213" s="1">
        <v>42005</v>
      </c>
      <c r="AK4213" t="s">
        <v>51</v>
      </c>
      <c r="AN4213">
        <v>0</v>
      </c>
      <c r="AO4213" t="s">
        <v>54</v>
      </c>
      <c r="AP4213" t="s">
        <v>53</v>
      </c>
      <c r="AQ4213">
        <v>0</v>
      </c>
      <c r="AR4213" t="s">
        <v>53</v>
      </c>
      <c r="AS4213">
        <v>0</v>
      </c>
      <c r="AT4213">
        <v>0</v>
      </c>
      <c r="AW4213" t="s">
        <v>58</v>
      </c>
      <c r="AX4213">
        <v>20</v>
      </c>
      <c r="AY4213" s="1">
        <v>34700</v>
      </c>
      <c r="AZ4213" s="1">
        <v>34700</v>
      </c>
      <c r="BA4213" s="1">
        <v>34700</v>
      </c>
      <c r="BB4213" s="1">
        <v>42005</v>
      </c>
      <c r="BC4213" t="s">
        <v>51</v>
      </c>
      <c r="BE4213" t="s">
        <v>54</v>
      </c>
      <c r="BF4213">
        <v>2</v>
      </c>
      <c r="BG4213">
        <v>0</v>
      </c>
      <c r="BH4213" t="s">
        <v>53</v>
      </c>
      <c r="BK4213" t="s">
        <v>59</v>
      </c>
      <c r="BL4213">
        <v>14000</v>
      </c>
      <c r="BM4213" s="1">
        <v>42917</v>
      </c>
      <c r="BN4213" s="1">
        <v>42917</v>
      </c>
      <c r="BO4213" s="1">
        <v>42917</v>
      </c>
      <c r="BP4213" s="1">
        <v>44117</v>
      </c>
      <c r="BQ4213" t="s">
        <v>51</v>
      </c>
      <c r="BS4213" t="s">
        <v>60</v>
      </c>
      <c r="BT4213" t="s">
        <v>54</v>
      </c>
      <c r="BU4213" t="s">
        <v>61</v>
      </c>
      <c r="BV4213" t="s">
        <v>62</v>
      </c>
      <c r="BX4213">
        <v>24</v>
      </c>
      <c r="BY4213">
        <v>0</v>
      </c>
      <c r="BZ4213">
        <v>0</v>
      </c>
    </row>
    <row r="4214" spans="1:78" x14ac:dyDescent="0.2">
      <c r="A4214" t="s">
        <v>112</v>
      </c>
      <c r="B4214" t="s">
        <v>113</v>
      </c>
      <c r="C4214" t="s">
        <v>114</v>
      </c>
      <c r="D4214" t="s">
        <v>428</v>
      </c>
      <c r="F4214" t="str">
        <f>"251243"</f>
        <v>251243</v>
      </c>
      <c r="G4214" t="s">
        <v>49</v>
      </c>
      <c r="H4214" t="s">
        <v>2037</v>
      </c>
      <c r="K4214" t="s">
        <v>51</v>
      </c>
      <c r="L4214" t="s">
        <v>52</v>
      </c>
      <c r="M4214">
        <v>136886.89000000001</v>
      </c>
      <c r="N4214">
        <v>471264.63</v>
      </c>
      <c r="O4214" t="s">
        <v>53</v>
      </c>
      <c r="P4214" t="s">
        <v>54</v>
      </c>
      <c r="Q4214" t="s">
        <v>55</v>
      </c>
      <c r="T4214" t="s">
        <v>183</v>
      </c>
      <c r="U4214">
        <v>40</v>
      </c>
      <c r="V4214" s="1">
        <v>29221</v>
      </c>
      <c r="W4214" s="1">
        <v>29221</v>
      </c>
      <c r="X4214" s="1">
        <v>29221</v>
      </c>
      <c r="Y4214" s="1">
        <v>43831</v>
      </c>
      <c r="Z4214" t="s">
        <v>51</v>
      </c>
      <c r="AB4214" t="s">
        <v>54</v>
      </c>
      <c r="AC4214">
        <v>1</v>
      </c>
      <c r="AE4214" t="s">
        <v>84</v>
      </c>
      <c r="AF4214">
        <v>20</v>
      </c>
      <c r="AG4214" s="1">
        <v>34700</v>
      </c>
      <c r="AH4214" s="1">
        <v>34700</v>
      </c>
      <c r="AI4214" s="1">
        <v>34700</v>
      </c>
      <c r="AJ4214" s="1">
        <v>42005</v>
      </c>
      <c r="AK4214" t="s">
        <v>51</v>
      </c>
      <c r="AN4214">
        <v>0</v>
      </c>
      <c r="AO4214" t="s">
        <v>54</v>
      </c>
      <c r="AP4214" t="s">
        <v>53</v>
      </c>
      <c r="AQ4214">
        <v>0</v>
      </c>
      <c r="AR4214" t="s">
        <v>53</v>
      </c>
      <c r="AS4214">
        <v>0</v>
      </c>
      <c r="AT4214">
        <v>0</v>
      </c>
      <c r="AW4214" t="s">
        <v>58</v>
      </c>
      <c r="AX4214">
        <v>20</v>
      </c>
      <c r="AY4214" s="1">
        <v>34700</v>
      </c>
      <c r="AZ4214" s="1">
        <v>34700</v>
      </c>
      <c r="BA4214" s="1">
        <v>34700</v>
      </c>
      <c r="BB4214" s="1">
        <v>42005</v>
      </c>
      <c r="BC4214" t="s">
        <v>51</v>
      </c>
      <c r="BE4214" t="s">
        <v>54</v>
      </c>
      <c r="BF4214">
        <v>2</v>
      </c>
      <c r="BG4214">
        <v>0</v>
      </c>
      <c r="BH4214" t="s">
        <v>53</v>
      </c>
      <c r="BK4214" t="s">
        <v>59</v>
      </c>
      <c r="BL4214">
        <v>14000</v>
      </c>
      <c r="BM4214" s="1">
        <v>42917</v>
      </c>
      <c r="BN4214" s="1">
        <v>42917</v>
      </c>
      <c r="BO4214" s="1">
        <v>42917</v>
      </c>
      <c r="BP4214" s="1">
        <v>44117</v>
      </c>
      <c r="BQ4214" t="s">
        <v>51</v>
      </c>
      <c r="BS4214" t="s">
        <v>60</v>
      </c>
      <c r="BT4214" t="s">
        <v>54</v>
      </c>
      <c r="BU4214" t="s">
        <v>61</v>
      </c>
      <c r="BV4214" t="s">
        <v>62</v>
      </c>
      <c r="BX4214">
        <v>24</v>
      </c>
      <c r="BY4214">
        <v>0</v>
      </c>
      <c r="BZ4214">
        <v>0</v>
      </c>
    </row>
    <row r="4215" spans="1:78" x14ac:dyDescent="0.2">
      <c r="A4215" t="s">
        <v>112</v>
      </c>
      <c r="B4215" t="s">
        <v>113</v>
      </c>
      <c r="C4215" t="s">
        <v>114</v>
      </c>
      <c r="D4215" t="s">
        <v>428</v>
      </c>
      <c r="F4215" t="str">
        <f>"251244"</f>
        <v>251244</v>
      </c>
      <c r="G4215" t="s">
        <v>49</v>
      </c>
      <c r="H4215" t="s">
        <v>2038</v>
      </c>
      <c r="K4215" t="s">
        <v>51</v>
      </c>
      <c r="L4215" t="s">
        <v>52</v>
      </c>
      <c r="M4215">
        <v>136892.65</v>
      </c>
      <c r="N4215">
        <v>471302.68</v>
      </c>
      <c r="O4215" t="s">
        <v>53</v>
      </c>
      <c r="P4215" t="s">
        <v>54</v>
      </c>
      <c r="Q4215" t="s">
        <v>55</v>
      </c>
      <c r="T4215" t="s">
        <v>183</v>
      </c>
      <c r="U4215">
        <v>40</v>
      </c>
      <c r="V4215" s="1">
        <v>29221</v>
      </c>
      <c r="W4215" s="1">
        <v>29221</v>
      </c>
      <c r="X4215" s="1">
        <v>29221</v>
      </c>
      <c r="Y4215" s="1">
        <v>43831</v>
      </c>
      <c r="Z4215" t="s">
        <v>51</v>
      </c>
      <c r="AB4215" t="s">
        <v>54</v>
      </c>
      <c r="AC4215">
        <v>1</v>
      </c>
      <c r="AE4215" t="s">
        <v>84</v>
      </c>
      <c r="AF4215">
        <v>20</v>
      </c>
      <c r="AG4215" s="1">
        <v>34700</v>
      </c>
      <c r="AH4215" s="1">
        <v>34700</v>
      </c>
      <c r="AI4215" s="1">
        <v>34700</v>
      </c>
      <c r="AJ4215" s="1">
        <v>42005</v>
      </c>
      <c r="AK4215" t="s">
        <v>51</v>
      </c>
      <c r="AN4215">
        <v>0</v>
      </c>
      <c r="AO4215" t="s">
        <v>54</v>
      </c>
      <c r="AP4215" t="s">
        <v>53</v>
      </c>
      <c r="AQ4215">
        <v>0</v>
      </c>
      <c r="AR4215" t="s">
        <v>53</v>
      </c>
      <c r="AS4215">
        <v>0</v>
      </c>
      <c r="AT4215">
        <v>0</v>
      </c>
      <c r="AW4215" t="s">
        <v>58</v>
      </c>
      <c r="AX4215">
        <v>20</v>
      </c>
      <c r="AY4215" s="1">
        <v>34700</v>
      </c>
      <c r="AZ4215" s="1">
        <v>34700</v>
      </c>
      <c r="BA4215" s="1">
        <v>34700</v>
      </c>
      <c r="BB4215" s="1">
        <v>42005</v>
      </c>
      <c r="BC4215" t="s">
        <v>51</v>
      </c>
      <c r="BE4215" t="s">
        <v>54</v>
      </c>
      <c r="BF4215">
        <v>2</v>
      </c>
      <c r="BG4215">
        <v>0</v>
      </c>
      <c r="BH4215" t="s">
        <v>53</v>
      </c>
      <c r="BK4215" t="s">
        <v>59</v>
      </c>
      <c r="BL4215">
        <v>14000</v>
      </c>
      <c r="BM4215" s="1">
        <v>42917</v>
      </c>
      <c r="BN4215" s="1">
        <v>42917</v>
      </c>
      <c r="BO4215" s="1">
        <v>42917</v>
      </c>
      <c r="BP4215" s="1">
        <v>44117</v>
      </c>
      <c r="BQ4215" t="s">
        <v>51</v>
      </c>
      <c r="BS4215" t="s">
        <v>60</v>
      </c>
      <c r="BT4215" t="s">
        <v>54</v>
      </c>
      <c r="BU4215" t="s">
        <v>61</v>
      </c>
      <c r="BV4215" t="s">
        <v>62</v>
      </c>
      <c r="BX4215">
        <v>24</v>
      </c>
      <c r="BY4215">
        <v>0</v>
      </c>
      <c r="BZ4215">
        <v>0</v>
      </c>
    </row>
    <row r="4216" spans="1:78" x14ac:dyDescent="0.2">
      <c r="A4216" t="s">
        <v>112</v>
      </c>
      <c r="B4216" t="s">
        <v>113</v>
      </c>
      <c r="C4216" t="s">
        <v>114</v>
      </c>
      <c r="D4216" t="s">
        <v>428</v>
      </c>
      <c r="F4216" t="str">
        <f>"251245"</f>
        <v>251245</v>
      </c>
      <c r="G4216" t="s">
        <v>49</v>
      </c>
      <c r="H4216" t="s">
        <v>2039</v>
      </c>
      <c r="K4216" t="s">
        <v>51</v>
      </c>
      <c r="L4216" t="s">
        <v>52</v>
      </c>
      <c r="M4216">
        <v>136884.84</v>
      </c>
      <c r="N4216">
        <v>471337.05</v>
      </c>
      <c r="O4216" t="s">
        <v>53</v>
      </c>
      <c r="P4216" t="s">
        <v>54</v>
      </c>
      <c r="Q4216" t="s">
        <v>55</v>
      </c>
      <c r="T4216" t="s">
        <v>183</v>
      </c>
      <c r="U4216">
        <v>40</v>
      </c>
      <c r="V4216" s="1">
        <v>29221</v>
      </c>
      <c r="W4216" s="1">
        <v>29221</v>
      </c>
      <c r="X4216" s="1">
        <v>29221</v>
      </c>
      <c r="Y4216" s="1">
        <v>43831</v>
      </c>
      <c r="Z4216" t="s">
        <v>51</v>
      </c>
      <c r="AB4216" t="s">
        <v>54</v>
      </c>
      <c r="AC4216">
        <v>1</v>
      </c>
      <c r="AE4216" t="s">
        <v>84</v>
      </c>
      <c r="AF4216">
        <v>20</v>
      </c>
      <c r="AG4216" s="1">
        <v>34700</v>
      </c>
      <c r="AH4216" s="1">
        <v>34700</v>
      </c>
      <c r="AI4216" s="1">
        <v>34700</v>
      </c>
      <c r="AJ4216" s="1">
        <v>42005</v>
      </c>
      <c r="AK4216" t="s">
        <v>51</v>
      </c>
      <c r="AN4216">
        <v>0</v>
      </c>
      <c r="AO4216" t="s">
        <v>54</v>
      </c>
      <c r="AP4216" t="s">
        <v>53</v>
      </c>
      <c r="AQ4216">
        <v>0</v>
      </c>
      <c r="AR4216" t="s">
        <v>53</v>
      </c>
      <c r="AS4216">
        <v>0</v>
      </c>
      <c r="AT4216">
        <v>0</v>
      </c>
      <c r="AW4216" t="s">
        <v>58</v>
      </c>
      <c r="AX4216">
        <v>20</v>
      </c>
      <c r="AY4216" s="1">
        <v>34700</v>
      </c>
      <c r="AZ4216" s="1">
        <v>34700</v>
      </c>
      <c r="BA4216" s="1">
        <v>34700</v>
      </c>
      <c r="BB4216" s="1">
        <v>42005</v>
      </c>
      <c r="BC4216" t="s">
        <v>51</v>
      </c>
      <c r="BE4216" t="s">
        <v>54</v>
      </c>
      <c r="BF4216">
        <v>2</v>
      </c>
      <c r="BG4216">
        <v>0</v>
      </c>
      <c r="BH4216" t="s">
        <v>53</v>
      </c>
      <c r="BK4216" t="s">
        <v>59</v>
      </c>
      <c r="BL4216">
        <v>14000</v>
      </c>
      <c r="BM4216" s="1">
        <v>42917</v>
      </c>
      <c r="BN4216" s="1">
        <v>42917</v>
      </c>
      <c r="BO4216" s="1">
        <v>42917</v>
      </c>
      <c r="BP4216" s="1">
        <v>44117</v>
      </c>
      <c r="BQ4216" t="s">
        <v>51</v>
      </c>
      <c r="BS4216" t="s">
        <v>60</v>
      </c>
      <c r="BT4216" t="s">
        <v>54</v>
      </c>
      <c r="BU4216" t="s">
        <v>61</v>
      </c>
      <c r="BV4216" t="s">
        <v>62</v>
      </c>
      <c r="BX4216">
        <v>24</v>
      </c>
      <c r="BY4216">
        <v>0</v>
      </c>
      <c r="BZ4216">
        <v>0</v>
      </c>
    </row>
    <row r="4217" spans="1:78" x14ac:dyDescent="0.2">
      <c r="A4217" t="s">
        <v>112</v>
      </c>
      <c r="B4217" t="s">
        <v>113</v>
      </c>
      <c r="C4217" t="s">
        <v>114</v>
      </c>
      <c r="D4217" t="s">
        <v>428</v>
      </c>
      <c r="F4217" t="str">
        <f>"251246"</f>
        <v>251246</v>
      </c>
      <c r="G4217" t="s">
        <v>49</v>
      </c>
      <c r="H4217" t="s">
        <v>187</v>
      </c>
      <c r="K4217" t="s">
        <v>51</v>
      </c>
      <c r="L4217" t="s">
        <v>52</v>
      </c>
      <c r="M4217">
        <v>136891.41</v>
      </c>
      <c r="N4217">
        <v>471374.41</v>
      </c>
      <c r="O4217" t="s">
        <v>53</v>
      </c>
      <c r="P4217" t="s">
        <v>54</v>
      </c>
      <c r="Q4217" t="s">
        <v>55</v>
      </c>
      <c r="T4217" t="s">
        <v>183</v>
      </c>
      <c r="U4217">
        <v>40</v>
      </c>
      <c r="V4217" s="1">
        <v>29221</v>
      </c>
      <c r="W4217" s="1">
        <v>29221</v>
      </c>
      <c r="X4217" s="1">
        <v>29221</v>
      </c>
      <c r="Y4217" s="1">
        <v>43831</v>
      </c>
      <c r="Z4217" t="s">
        <v>51</v>
      </c>
      <c r="AB4217" t="s">
        <v>54</v>
      </c>
      <c r="AC4217">
        <v>1</v>
      </c>
      <c r="AE4217" t="s">
        <v>84</v>
      </c>
      <c r="AF4217">
        <v>20</v>
      </c>
      <c r="AG4217" s="1">
        <v>34700</v>
      </c>
      <c r="AH4217" s="1">
        <v>34700</v>
      </c>
      <c r="AI4217" s="1">
        <v>34700</v>
      </c>
      <c r="AJ4217" s="1">
        <v>42005</v>
      </c>
      <c r="AK4217" t="s">
        <v>51</v>
      </c>
      <c r="AN4217">
        <v>0</v>
      </c>
      <c r="AO4217" t="s">
        <v>54</v>
      </c>
      <c r="AP4217" t="s">
        <v>53</v>
      </c>
      <c r="AQ4217">
        <v>0</v>
      </c>
      <c r="AR4217" t="s">
        <v>53</v>
      </c>
      <c r="AS4217">
        <v>0</v>
      </c>
      <c r="AT4217">
        <v>0</v>
      </c>
      <c r="AW4217" t="s">
        <v>58</v>
      </c>
      <c r="AX4217">
        <v>20</v>
      </c>
      <c r="AY4217" s="1">
        <v>34700</v>
      </c>
      <c r="AZ4217" s="1">
        <v>34700</v>
      </c>
      <c r="BA4217" s="1">
        <v>34700</v>
      </c>
      <c r="BB4217" s="1">
        <v>42005</v>
      </c>
      <c r="BC4217" t="s">
        <v>51</v>
      </c>
      <c r="BE4217" t="s">
        <v>54</v>
      </c>
      <c r="BF4217">
        <v>2</v>
      </c>
      <c r="BG4217">
        <v>0</v>
      </c>
      <c r="BH4217" t="s">
        <v>53</v>
      </c>
      <c r="BK4217" t="s">
        <v>59</v>
      </c>
      <c r="BL4217">
        <v>14000</v>
      </c>
      <c r="BM4217" s="1">
        <v>42917</v>
      </c>
      <c r="BN4217" s="1">
        <v>42917</v>
      </c>
      <c r="BO4217" s="1">
        <v>42917</v>
      </c>
      <c r="BP4217" s="1">
        <v>44117</v>
      </c>
      <c r="BQ4217" t="s">
        <v>51</v>
      </c>
      <c r="BS4217" t="s">
        <v>60</v>
      </c>
      <c r="BT4217" t="s">
        <v>54</v>
      </c>
      <c r="BU4217" t="s">
        <v>61</v>
      </c>
      <c r="BV4217" t="s">
        <v>62</v>
      </c>
      <c r="BX4217">
        <v>24</v>
      </c>
      <c r="BY4217">
        <v>0</v>
      </c>
      <c r="BZ4217">
        <v>0</v>
      </c>
    </row>
    <row r="4218" spans="1:78" x14ac:dyDescent="0.2">
      <c r="A4218" t="s">
        <v>112</v>
      </c>
      <c r="B4218" t="s">
        <v>113</v>
      </c>
      <c r="C4218" t="s">
        <v>114</v>
      </c>
      <c r="D4218" t="s">
        <v>428</v>
      </c>
      <c r="F4218" t="str">
        <f>"251247"</f>
        <v>251247</v>
      </c>
      <c r="G4218" t="s">
        <v>49</v>
      </c>
      <c r="H4218" t="s">
        <v>2040</v>
      </c>
      <c r="K4218" t="s">
        <v>51</v>
      </c>
      <c r="L4218" t="s">
        <v>52</v>
      </c>
      <c r="M4218">
        <v>136883.75</v>
      </c>
      <c r="N4218">
        <v>471403.88</v>
      </c>
      <c r="O4218" t="s">
        <v>53</v>
      </c>
      <c r="P4218" t="s">
        <v>54</v>
      </c>
      <c r="Q4218" t="s">
        <v>55</v>
      </c>
      <c r="T4218" t="s">
        <v>183</v>
      </c>
      <c r="U4218">
        <v>40</v>
      </c>
      <c r="V4218" s="1">
        <v>29221</v>
      </c>
      <c r="W4218" s="1">
        <v>29221</v>
      </c>
      <c r="X4218" s="1">
        <v>29221</v>
      </c>
      <c r="Y4218" s="1">
        <v>43831</v>
      </c>
      <c r="Z4218" t="s">
        <v>51</v>
      </c>
      <c r="AB4218" t="s">
        <v>54</v>
      </c>
      <c r="AC4218">
        <v>1</v>
      </c>
      <c r="AE4218" t="s">
        <v>84</v>
      </c>
      <c r="AF4218">
        <v>20</v>
      </c>
      <c r="AG4218" s="1">
        <v>34700</v>
      </c>
      <c r="AH4218" s="1">
        <v>34700</v>
      </c>
      <c r="AI4218" s="1">
        <v>34700</v>
      </c>
      <c r="AJ4218" s="1">
        <v>42005</v>
      </c>
      <c r="AK4218" t="s">
        <v>51</v>
      </c>
      <c r="AN4218">
        <v>0</v>
      </c>
      <c r="AO4218" t="s">
        <v>54</v>
      </c>
      <c r="AP4218" t="s">
        <v>53</v>
      </c>
      <c r="AQ4218">
        <v>0</v>
      </c>
      <c r="AR4218" t="s">
        <v>53</v>
      </c>
      <c r="AS4218">
        <v>0</v>
      </c>
      <c r="AT4218">
        <v>0</v>
      </c>
      <c r="AW4218" t="s">
        <v>58</v>
      </c>
      <c r="AX4218">
        <v>20</v>
      </c>
      <c r="AY4218" s="1">
        <v>34700</v>
      </c>
      <c r="AZ4218" s="1">
        <v>34700</v>
      </c>
      <c r="BA4218" s="1">
        <v>34700</v>
      </c>
      <c r="BB4218" s="1">
        <v>42005</v>
      </c>
      <c r="BC4218" t="s">
        <v>51</v>
      </c>
      <c r="BE4218" t="s">
        <v>54</v>
      </c>
      <c r="BF4218">
        <v>2</v>
      </c>
      <c r="BG4218">
        <v>0</v>
      </c>
      <c r="BH4218" t="s">
        <v>53</v>
      </c>
      <c r="BK4218" t="s">
        <v>59</v>
      </c>
      <c r="BL4218">
        <v>14000</v>
      </c>
      <c r="BM4218" s="1">
        <v>42917</v>
      </c>
      <c r="BN4218" s="1">
        <v>42917</v>
      </c>
      <c r="BO4218" s="1">
        <v>42917</v>
      </c>
      <c r="BP4218" s="1">
        <v>44117</v>
      </c>
      <c r="BQ4218" t="s">
        <v>51</v>
      </c>
      <c r="BS4218" t="s">
        <v>60</v>
      </c>
      <c r="BT4218" t="s">
        <v>54</v>
      </c>
      <c r="BU4218" t="s">
        <v>61</v>
      </c>
      <c r="BV4218" t="s">
        <v>62</v>
      </c>
      <c r="BX4218">
        <v>24</v>
      </c>
      <c r="BY4218">
        <v>0</v>
      </c>
      <c r="BZ4218">
        <v>0</v>
      </c>
    </row>
    <row r="4219" spans="1:78" x14ac:dyDescent="0.2">
      <c r="A4219" t="s">
        <v>112</v>
      </c>
      <c r="B4219" t="s">
        <v>113</v>
      </c>
      <c r="C4219" t="s">
        <v>114</v>
      </c>
      <c r="D4219" t="s">
        <v>428</v>
      </c>
      <c r="F4219" t="str">
        <f>"251248"</f>
        <v>251248</v>
      </c>
      <c r="G4219" t="s">
        <v>49</v>
      </c>
      <c r="H4219" t="s">
        <v>2041</v>
      </c>
      <c r="K4219" t="s">
        <v>51</v>
      </c>
      <c r="L4219" t="s">
        <v>52</v>
      </c>
      <c r="M4219">
        <v>136890.06</v>
      </c>
      <c r="N4219">
        <v>471442.34</v>
      </c>
      <c r="O4219" t="s">
        <v>53</v>
      </c>
      <c r="P4219" t="s">
        <v>54</v>
      </c>
      <c r="Q4219" t="s">
        <v>55</v>
      </c>
      <c r="T4219" t="s">
        <v>183</v>
      </c>
      <c r="U4219">
        <v>40</v>
      </c>
      <c r="V4219" s="1">
        <v>27395</v>
      </c>
      <c r="W4219" s="1">
        <v>27395</v>
      </c>
      <c r="X4219" s="1">
        <v>27395</v>
      </c>
      <c r="Y4219" s="1">
        <v>42005</v>
      </c>
      <c r="Z4219" t="s">
        <v>51</v>
      </c>
      <c r="AB4219" t="s">
        <v>54</v>
      </c>
      <c r="AC4219">
        <v>1</v>
      </c>
      <c r="AE4219" t="s">
        <v>84</v>
      </c>
      <c r="AF4219">
        <v>20</v>
      </c>
      <c r="AG4219" s="1">
        <v>33786</v>
      </c>
      <c r="AH4219" s="1">
        <v>33786</v>
      </c>
      <c r="AI4219" s="1">
        <v>33786</v>
      </c>
      <c r="AJ4219" s="1">
        <v>41091</v>
      </c>
      <c r="AK4219" t="s">
        <v>51</v>
      </c>
      <c r="AN4219">
        <v>0</v>
      </c>
      <c r="AO4219" t="s">
        <v>54</v>
      </c>
      <c r="AP4219" t="s">
        <v>53</v>
      </c>
      <c r="AQ4219">
        <v>0</v>
      </c>
      <c r="AR4219" t="s">
        <v>53</v>
      </c>
      <c r="AS4219">
        <v>0</v>
      </c>
      <c r="AT4219">
        <v>0</v>
      </c>
      <c r="AW4219" t="s">
        <v>58</v>
      </c>
      <c r="AX4219">
        <v>20</v>
      </c>
      <c r="AY4219" s="1">
        <v>33786</v>
      </c>
      <c r="AZ4219" s="1">
        <v>33786</v>
      </c>
      <c r="BA4219" s="1">
        <v>33786</v>
      </c>
      <c r="BB4219" s="1">
        <v>41091</v>
      </c>
      <c r="BC4219" t="s">
        <v>51</v>
      </c>
      <c r="BE4219" t="s">
        <v>54</v>
      </c>
      <c r="BF4219">
        <v>2</v>
      </c>
      <c r="BG4219">
        <v>0</v>
      </c>
      <c r="BH4219" t="s">
        <v>53</v>
      </c>
      <c r="BK4219" t="s">
        <v>59</v>
      </c>
      <c r="BL4219">
        <v>14000</v>
      </c>
      <c r="BM4219" s="1">
        <v>43199</v>
      </c>
      <c r="BN4219" s="1">
        <v>43199</v>
      </c>
      <c r="BO4219" s="1">
        <v>43199</v>
      </c>
      <c r="BP4219" s="1">
        <v>44422</v>
      </c>
      <c r="BQ4219" t="s">
        <v>51</v>
      </c>
      <c r="BS4219" t="s">
        <v>60</v>
      </c>
      <c r="BT4219" t="s">
        <v>54</v>
      </c>
      <c r="BU4219" t="s">
        <v>61</v>
      </c>
      <c r="BV4219" t="s">
        <v>62</v>
      </c>
      <c r="BX4219">
        <v>24</v>
      </c>
      <c r="BY4219">
        <v>0</v>
      </c>
      <c r="BZ4219">
        <v>0</v>
      </c>
    </row>
    <row r="4220" spans="1:78" x14ac:dyDescent="0.2">
      <c r="A4220" t="s">
        <v>112</v>
      </c>
      <c r="B4220" t="s">
        <v>113</v>
      </c>
      <c r="C4220" t="s">
        <v>114</v>
      </c>
      <c r="D4220" t="s">
        <v>428</v>
      </c>
      <c r="F4220" t="str">
        <f>"251249"</f>
        <v>251249</v>
      </c>
      <c r="G4220" t="s">
        <v>49</v>
      </c>
      <c r="H4220" t="s">
        <v>318</v>
      </c>
      <c r="K4220" t="s">
        <v>51</v>
      </c>
      <c r="L4220" t="s">
        <v>52</v>
      </c>
      <c r="M4220">
        <v>136881.79</v>
      </c>
      <c r="N4220">
        <v>471474.5</v>
      </c>
      <c r="O4220" t="s">
        <v>53</v>
      </c>
      <c r="P4220" t="s">
        <v>54</v>
      </c>
      <c r="Q4220" t="s">
        <v>55</v>
      </c>
      <c r="T4220" t="s">
        <v>183</v>
      </c>
      <c r="U4220">
        <v>40</v>
      </c>
      <c r="V4220" s="1">
        <v>29221</v>
      </c>
      <c r="W4220" s="1">
        <v>29221</v>
      </c>
      <c r="X4220" s="1">
        <v>29221</v>
      </c>
      <c r="Y4220" s="1">
        <v>43831</v>
      </c>
      <c r="Z4220" t="s">
        <v>51</v>
      </c>
      <c r="AB4220" t="s">
        <v>54</v>
      </c>
      <c r="AC4220">
        <v>1</v>
      </c>
      <c r="AE4220" t="s">
        <v>84</v>
      </c>
      <c r="AF4220">
        <v>20</v>
      </c>
      <c r="AG4220" s="1">
        <v>34700</v>
      </c>
      <c r="AH4220" s="1">
        <v>34700</v>
      </c>
      <c r="AI4220" s="1">
        <v>34700</v>
      </c>
      <c r="AJ4220" s="1">
        <v>42005</v>
      </c>
      <c r="AK4220" t="s">
        <v>51</v>
      </c>
      <c r="AN4220">
        <v>0</v>
      </c>
      <c r="AO4220" t="s">
        <v>54</v>
      </c>
      <c r="AP4220" t="s">
        <v>53</v>
      </c>
      <c r="AQ4220">
        <v>0</v>
      </c>
      <c r="AR4220" t="s">
        <v>53</v>
      </c>
      <c r="AS4220">
        <v>0</v>
      </c>
      <c r="AT4220">
        <v>0</v>
      </c>
      <c r="AW4220" t="s">
        <v>58</v>
      </c>
      <c r="AX4220">
        <v>20</v>
      </c>
      <c r="AY4220" s="1">
        <v>34700</v>
      </c>
      <c r="AZ4220" s="1">
        <v>34700</v>
      </c>
      <c r="BA4220" s="1">
        <v>34700</v>
      </c>
      <c r="BB4220" s="1">
        <v>42005</v>
      </c>
      <c r="BC4220" t="s">
        <v>51</v>
      </c>
      <c r="BE4220" t="s">
        <v>54</v>
      </c>
      <c r="BF4220">
        <v>2</v>
      </c>
      <c r="BG4220">
        <v>0</v>
      </c>
      <c r="BH4220" t="s">
        <v>53</v>
      </c>
      <c r="BK4220" t="s">
        <v>59</v>
      </c>
      <c r="BL4220">
        <v>14000</v>
      </c>
      <c r="BM4220" s="1">
        <v>42917</v>
      </c>
      <c r="BN4220" s="1">
        <v>42917</v>
      </c>
      <c r="BO4220" s="1">
        <v>42917</v>
      </c>
      <c r="BP4220" s="1">
        <v>44117</v>
      </c>
      <c r="BQ4220" t="s">
        <v>51</v>
      </c>
      <c r="BS4220" t="s">
        <v>60</v>
      </c>
      <c r="BT4220" t="s">
        <v>54</v>
      </c>
      <c r="BU4220" t="s">
        <v>61</v>
      </c>
      <c r="BV4220" t="s">
        <v>62</v>
      </c>
      <c r="BX4220">
        <v>24</v>
      </c>
      <c r="BY4220">
        <v>0</v>
      </c>
      <c r="BZ4220">
        <v>0</v>
      </c>
    </row>
    <row r="4221" spans="1:78" x14ac:dyDescent="0.2">
      <c r="A4221" t="s">
        <v>112</v>
      </c>
      <c r="B4221" t="s">
        <v>113</v>
      </c>
      <c r="C4221" t="s">
        <v>114</v>
      </c>
      <c r="D4221" t="s">
        <v>428</v>
      </c>
      <c r="F4221" t="str">
        <f>"251250"</f>
        <v>251250</v>
      </c>
      <c r="G4221" t="s">
        <v>49</v>
      </c>
      <c r="H4221" t="s">
        <v>2042</v>
      </c>
      <c r="K4221" t="s">
        <v>51</v>
      </c>
      <c r="L4221" t="s">
        <v>52</v>
      </c>
      <c r="M4221">
        <v>136888.03</v>
      </c>
      <c r="N4221">
        <v>471513.84</v>
      </c>
      <c r="O4221" t="s">
        <v>53</v>
      </c>
      <c r="P4221" t="s">
        <v>54</v>
      </c>
      <c r="Q4221" t="s">
        <v>55</v>
      </c>
      <c r="T4221" t="s">
        <v>466</v>
      </c>
      <c r="U4221">
        <v>40</v>
      </c>
      <c r="V4221" s="1">
        <v>37803</v>
      </c>
      <c r="W4221" s="1">
        <v>37803</v>
      </c>
      <c r="X4221" s="1">
        <v>37803</v>
      </c>
      <c r="Y4221" s="1">
        <v>52413</v>
      </c>
      <c r="Z4221" t="s">
        <v>51</v>
      </c>
      <c r="AB4221" t="s">
        <v>54</v>
      </c>
      <c r="AC4221">
        <v>1</v>
      </c>
      <c r="AE4221" t="s">
        <v>57</v>
      </c>
      <c r="AF4221">
        <v>20</v>
      </c>
      <c r="AG4221" s="1">
        <v>37803</v>
      </c>
      <c r="AH4221" s="1">
        <v>37803</v>
      </c>
      <c r="AI4221" s="1">
        <v>37803</v>
      </c>
      <c r="AJ4221" s="1">
        <v>45108</v>
      </c>
      <c r="AK4221" t="s">
        <v>51</v>
      </c>
      <c r="AN4221">
        <v>0</v>
      </c>
      <c r="AO4221" t="s">
        <v>54</v>
      </c>
      <c r="AP4221" t="s">
        <v>53</v>
      </c>
      <c r="AQ4221">
        <v>0</v>
      </c>
      <c r="AR4221" t="s">
        <v>53</v>
      </c>
      <c r="AS4221">
        <v>0</v>
      </c>
      <c r="AT4221">
        <v>0</v>
      </c>
      <c r="AW4221" t="s">
        <v>58</v>
      </c>
      <c r="AX4221">
        <v>20</v>
      </c>
      <c r="AY4221" s="1">
        <v>37803</v>
      </c>
      <c r="AZ4221" s="1">
        <v>37803</v>
      </c>
      <c r="BA4221" s="1">
        <v>37803</v>
      </c>
      <c r="BB4221" s="1">
        <v>45108</v>
      </c>
      <c r="BC4221" t="s">
        <v>51</v>
      </c>
      <c r="BE4221" t="s">
        <v>54</v>
      </c>
      <c r="BF4221">
        <v>2</v>
      </c>
      <c r="BG4221">
        <v>0</v>
      </c>
      <c r="BH4221" t="s">
        <v>53</v>
      </c>
      <c r="BK4221" t="s">
        <v>59</v>
      </c>
      <c r="BL4221">
        <v>14000</v>
      </c>
      <c r="BM4221" s="1">
        <v>42917</v>
      </c>
      <c r="BN4221" s="1">
        <v>42917</v>
      </c>
      <c r="BO4221" s="1">
        <v>42917</v>
      </c>
      <c r="BP4221" s="1">
        <v>44117</v>
      </c>
      <c r="BQ4221" t="s">
        <v>51</v>
      </c>
      <c r="BS4221" t="s">
        <v>60</v>
      </c>
      <c r="BT4221" t="s">
        <v>54</v>
      </c>
      <c r="BU4221" t="s">
        <v>61</v>
      </c>
      <c r="BV4221" t="s">
        <v>62</v>
      </c>
      <c r="BX4221">
        <v>24</v>
      </c>
      <c r="BY4221">
        <v>0</v>
      </c>
      <c r="BZ4221">
        <v>0</v>
      </c>
    </row>
    <row r="4222" spans="1:78" x14ac:dyDescent="0.2">
      <c r="A4222" t="s">
        <v>112</v>
      </c>
      <c r="B4222" t="s">
        <v>113</v>
      </c>
      <c r="C4222" t="s">
        <v>114</v>
      </c>
      <c r="D4222" t="s">
        <v>428</v>
      </c>
      <c r="F4222" t="str">
        <f>"251251"</f>
        <v>251251</v>
      </c>
      <c r="G4222" t="s">
        <v>49</v>
      </c>
      <c r="H4222" t="s">
        <v>2043</v>
      </c>
      <c r="K4222" t="s">
        <v>51</v>
      </c>
      <c r="L4222" t="s">
        <v>52</v>
      </c>
      <c r="M4222">
        <v>136877.82999999999</v>
      </c>
      <c r="N4222">
        <v>471547.87</v>
      </c>
      <c r="O4222" t="s">
        <v>53</v>
      </c>
      <c r="P4222" t="s">
        <v>54</v>
      </c>
      <c r="Q4222" t="s">
        <v>55</v>
      </c>
      <c r="T4222" t="s">
        <v>183</v>
      </c>
      <c r="U4222">
        <v>40</v>
      </c>
      <c r="V4222" s="1">
        <v>29221</v>
      </c>
      <c r="W4222" s="1">
        <v>29221</v>
      </c>
      <c r="X4222" s="1">
        <v>29221</v>
      </c>
      <c r="Y4222" s="1">
        <v>43831</v>
      </c>
      <c r="Z4222" t="s">
        <v>51</v>
      </c>
      <c r="AB4222" t="s">
        <v>54</v>
      </c>
      <c r="AC4222">
        <v>1</v>
      </c>
      <c r="AE4222" t="s">
        <v>84</v>
      </c>
      <c r="AF4222">
        <v>20</v>
      </c>
      <c r="AG4222" s="1">
        <v>34700</v>
      </c>
      <c r="AH4222" s="1">
        <v>34700</v>
      </c>
      <c r="AI4222" s="1">
        <v>34700</v>
      </c>
      <c r="AJ4222" s="1">
        <v>42005</v>
      </c>
      <c r="AK4222" t="s">
        <v>51</v>
      </c>
      <c r="AN4222">
        <v>0</v>
      </c>
      <c r="AO4222" t="s">
        <v>54</v>
      </c>
      <c r="AP4222" t="s">
        <v>53</v>
      </c>
      <c r="AQ4222">
        <v>0</v>
      </c>
      <c r="AR4222" t="s">
        <v>53</v>
      </c>
      <c r="AS4222">
        <v>0</v>
      </c>
      <c r="AT4222">
        <v>0</v>
      </c>
      <c r="AW4222" t="s">
        <v>58</v>
      </c>
      <c r="AX4222">
        <v>20</v>
      </c>
      <c r="AY4222" s="1">
        <v>34700</v>
      </c>
      <c r="AZ4222" s="1">
        <v>34700</v>
      </c>
      <c r="BA4222" s="1">
        <v>34700</v>
      </c>
      <c r="BB4222" s="1">
        <v>42005</v>
      </c>
      <c r="BC4222" t="s">
        <v>51</v>
      </c>
      <c r="BE4222" t="s">
        <v>54</v>
      </c>
      <c r="BF4222">
        <v>2</v>
      </c>
      <c r="BG4222">
        <v>0</v>
      </c>
      <c r="BH4222" t="s">
        <v>53</v>
      </c>
      <c r="BK4222" t="s">
        <v>59</v>
      </c>
      <c r="BL4222">
        <v>14000</v>
      </c>
      <c r="BM4222" s="1">
        <v>42917</v>
      </c>
      <c r="BN4222" s="1">
        <v>42917</v>
      </c>
      <c r="BO4222" s="1">
        <v>42917</v>
      </c>
      <c r="BP4222" s="1">
        <v>44117</v>
      </c>
      <c r="BQ4222" t="s">
        <v>51</v>
      </c>
      <c r="BS4222" t="s">
        <v>60</v>
      </c>
      <c r="BT4222" t="s">
        <v>54</v>
      </c>
      <c r="BU4222" t="s">
        <v>61</v>
      </c>
      <c r="BV4222" t="s">
        <v>62</v>
      </c>
      <c r="BX4222">
        <v>24</v>
      </c>
      <c r="BY4222">
        <v>0</v>
      </c>
      <c r="BZ4222">
        <v>0</v>
      </c>
    </row>
    <row r="4223" spans="1:78" x14ac:dyDescent="0.2">
      <c r="A4223" t="s">
        <v>112</v>
      </c>
      <c r="B4223" t="s">
        <v>113</v>
      </c>
      <c r="C4223" t="s">
        <v>114</v>
      </c>
      <c r="D4223" t="s">
        <v>428</v>
      </c>
      <c r="F4223" t="str">
        <f>"251252"</f>
        <v>251252</v>
      </c>
      <c r="G4223" t="s">
        <v>49</v>
      </c>
      <c r="H4223" t="s">
        <v>2044</v>
      </c>
      <c r="K4223" t="s">
        <v>51</v>
      </c>
      <c r="L4223" t="s">
        <v>52</v>
      </c>
      <c r="M4223">
        <v>136886</v>
      </c>
      <c r="N4223">
        <v>471583.25</v>
      </c>
      <c r="O4223" t="s">
        <v>53</v>
      </c>
      <c r="P4223" t="s">
        <v>54</v>
      </c>
      <c r="Q4223" t="s">
        <v>55</v>
      </c>
      <c r="T4223" t="s">
        <v>466</v>
      </c>
      <c r="U4223">
        <v>40</v>
      </c>
      <c r="V4223" s="1">
        <v>29221</v>
      </c>
      <c r="W4223" s="1">
        <v>29221</v>
      </c>
      <c r="X4223" s="1">
        <v>29221</v>
      </c>
      <c r="Y4223" s="1">
        <v>43831</v>
      </c>
      <c r="Z4223" t="s">
        <v>51</v>
      </c>
      <c r="AB4223" t="s">
        <v>54</v>
      </c>
      <c r="AC4223">
        <v>1</v>
      </c>
      <c r="AE4223" t="s">
        <v>84</v>
      </c>
      <c r="AF4223">
        <v>20</v>
      </c>
      <c r="AG4223" s="1">
        <v>34700</v>
      </c>
      <c r="AH4223" s="1">
        <v>34700</v>
      </c>
      <c r="AI4223" s="1">
        <v>34700</v>
      </c>
      <c r="AJ4223" s="1">
        <v>42005</v>
      </c>
      <c r="AK4223" t="s">
        <v>51</v>
      </c>
      <c r="AN4223">
        <v>0</v>
      </c>
      <c r="AO4223" t="s">
        <v>54</v>
      </c>
      <c r="AP4223" t="s">
        <v>53</v>
      </c>
      <c r="AQ4223">
        <v>0</v>
      </c>
      <c r="AR4223" t="s">
        <v>53</v>
      </c>
      <c r="AS4223">
        <v>0</v>
      </c>
      <c r="AT4223">
        <v>0</v>
      </c>
      <c r="AW4223" t="s">
        <v>58</v>
      </c>
      <c r="AX4223">
        <v>20</v>
      </c>
      <c r="AY4223" s="1">
        <v>34700</v>
      </c>
      <c r="AZ4223" s="1">
        <v>34700</v>
      </c>
      <c r="BA4223" s="1">
        <v>34700</v>
      </c>
      <c r="BB4223" s="1">
        <v>42005</v>
      </c>
      <c r="BC4223" t="s">
        <v>51</v>
      </c>
      <c r="BE4223" t="s">
        <v>54</v>
      </c>
      <c r="BF4223">
        <v>2</v>
      </c>
      <c r="BG4223">
        <v>0</v>
      </c>
      <c r="BH4223" t="s">
        <v>53</v>
      </c>
      <c r="BK4223" t="s">
        <v>59</v>
      </c>
      <c r="BL4223">
        <v>14000</v>
      </c>
      <c r="BM4223" s="1">
        <v>42917</v>
      </c>
      <c r="BN4223" s="1">
        <v>42917</v>
      </c>
      <c r="BO4223" s="1">
        <v>42917</v>
      </c>
      <c r="BP4223" s="1">
        <v>44117</v>
      </c>
      <c r="BQ4223" t="s">
        <v>51</v>
      </c>
      <c r="BS4223" t="s">
        <v>60</v>
      </c>
      <c r="BT4223" t="s">
        <v>54</v>
      </c>
      <c r="BU4223" t="s">
        <v>61</v>
      </c>
      <c r="BV4223" t="s">
        <v>62</v>
      </c>
      <c r="BX4223">
        <v>24</v>
      </c>
      <c r="BY4223">
        <v>0</v>
      </c>
      <c r="BZ4223">
        <v>0</v>
      </c>
    </row>
    <row r="4224" spans="1:78" x14ac:dyDescent="0.2">
      <c r="A4224" t="s">
        <v>112</v>
      </c>
      <c r="B4224" t="s">
        <v>113</v>
      </c>
      <c r="C4224" t="s">
        <v>114</v>
      </c>
      <c r="D4224" t="s">
        <v>428</v>
      </c>
      <c r="F4224" t="str">
        <f>"251253"</f>
        <v>251253</v>
      </c>
      <c r="G4224" t="s">
        <v>49</v>
      </c>
      <c r="K4224" t="s">
        <v>51</v>
      </c>
      <c r="L4224" t="s">
        <v>52</v>
      </c>
      <c r="M4224">
        <v>136878.94</v>
      </c>
      <c r="N4224">
        <v>471616.28</v>
      </c>
      <c r="O4224" t="s">
        <v>53</v>
      </c>
      <c r="P4224" t="s">
        <v>54</v>
      </c>
      <c r="Q4224" t="s">
        <v>55</v>
      </c>
      <c r="T4224" t="s">
        <v>183</v>
      </c>
      <c r="U4224">
        <v>40</v>
      </c>
      <c r="V4224" s="1">
        <v>29221</v>
      </c>
      <c r="W4224" s="1">
        <v>29221</v>
      </c>
      <c r="X4224" s="1">
        <v>29221</v>
      </c>
      <c r="Y4224" s="1">
        <v>43831</v>
      </c>
      <c r="Z4224" t="s">
        <v>51</v>
      </c>
      <c r="AB4224" t="s">
        <v>54</v>
      </c>
      <c r="AC4224">
        <v>1</v>
      </c>
      <c r="AE4224" t="s">
        <v>84</v>
      </c>
      <c r="AF4224">
        <v>20</v>
      </c>
      <c r="AG4224" s="1">
        <v>43507</v>
      </c>
      <c r="AH4224" s="1">
        <v>43507</v>
      </c>
      <c r="AI4224" s="1">
        <v>43507</v>
      </c>
      <c r="AJ4224" s="1">
        <v>50812</v>
      </c>
      <c r="AK4224" t="s">
        <v>51</v>
      </c>
      <c r="AN4224">
        <v>0</v>
      </c>
      <c r="AO4224" t="s">
        <v>54</v>
      </c>
      <c r="AP4224" t="s">
        <v>53</v>
      </c>
      <c r="AQ4224">
        <v>0</v>
      </c>
      <c r="AR4224" t="s">
        <v>53</v>
      </c>
      <c r="AS4224">
        <v>0</v>
      </c>
      <c r="AT4224">
        <v>0</v>
      </c>
      <c r="AW4224" t="s">
        <v>58</v>
      </c>
      <c r="AX4224">
        <v>20</v>
      </c>
      <c r="AY4224" s="1">
        <v>34700</v>
      </c>
      <c r="AZ4224" s="1">
        <v>34700</v>
      </c>
      <c r="BA4224" s="1">
        <v>43507</v>
      </c>
      <c r="BB4224" s="1">
        <v>42005</v>
      </c>
      <c r="BC4224" t="s">
        <v>51</v>
      </c>
      <c r="BE4224" t="s">
        <v>54</v>
      </c>
      <c r="BF4224">
        <v>2</v>
      </c>
      <c r="BG4224">
        <v>0</v>
      </c>
      <c r="BH4224" t="s">
        <v>53</v>
      </c>
      <c r="BK4224" t="s">
        <v>59</v>
      </c>
      <c r="BL4224">
        <v>14000</v>
      </c>
      <c r="BM4224" s="1">
        <v>42917</v>
      </c>
      <c r="BN4224" s="1">
        <v>42917</v>
      </c>
      <c r="BO4224" s="1">
        <v>43507</v>
      </c>
      <c r="BP4224" s="1">
        <v>44117</v>
      </c>
      <c r="BQ4224" t="s">
        <v>51</v>
      </c>
      <c r="BS4224" t="s">
        <v>60</v>
      </c>
      <c r="BT4224" t="s">
        <v>54</v>
      </c>
      <c r="BU4224" t="s">
        <v>61</v>
      </c>
      <c r="BV4224" t="s">
        <v>62</v>
      </c>
      <c r="BX4224">
        <v>24</v>
      </c>
      <c r="BY4224">
        <v>0</v>
      </c>
      <c r="BZ4224">
        <v>0</v>
      </c>
    </row>
    <row r="4225" spans="1:78" x14ac:dyDescent="0.2">
      <c r="A4225" t="s">
        <v>112</v>
      </c>
      <c r="B4225" t="s">
        <v>113</v>
      </c>
      <c r="C4225" t="s">
        <v>114</v>
      </c>
      <c r="D4225" t="s">
        <v>428</v>
      </c>
      <c r="F4225" t="str">
        <f>"251255"</f>
        <v>251255</v>
      </c>
      <c r="G4225" t="s">
        <v>49</v>
      </c>
      <c r="H4225" t="s">
        <v>498</v>
      </c>
      <c r="K4225" t="s">
        <v>51</v>
      </c>
      <c r="L4225" t="s">
        <v>52</v>
      </c>
      <c r="M4225">
        <v>136883.82999999999</v>
      </c>
      <c r="N4225">
        <v>471657.5</v>
      </c>
      <c r="O4225" t="s">
        <v>53</v>
      </c>
      <c r="P4225" t="s">
        <v>54</v>
      </c>
      <c r="Q4225" t="s">
        <v>55</v>
      </c>
      <c r="T4225" t="s">
        <v>183</v>
      </c>
      <c r="U4225">
        <v>40</v>
      </c>
      <c r="V4225" s="1">
        <v>27395</v>
      </c>
      <c r="W4225" s="1">
        <v>27395</v>
      </c>
      <c r="X4225" s="1">
        <v>27395</v>
      </c>
      <c r="Y4225" s="1">
        <v>42005</v>
      </c>
      <c r="Z4225" t="s">
        <v>51</v>
      </c>
      <c r="AB4225" t="s">
        <v>54</v>
      </c>
      <c r="AC4225">
        <v>1</v>
      </c>
      <c r="AE4225" t="s">
        <v>84</v>
      </c>
      <c r="AF4225">
        <v>20</v>
      </c>
      <c r="AG4225" s="1">
        <v>33786</v>
      </c>
      <c r="AH4225" s="1">
        <v>33786</v>
      </c>
      <c r="AI4225" s="1">
        <v>33786</v>
      </c>
      <c r="AJ4225" s="1">
        <v>41091</v>
      </c>
      <c r="AK4225" t="s">
        <v>51</v>
      </c>
      <c r="AN4225">
        <v>0</v>
      </c>
      <c r="AO4225" t="s">
        <v>54</v>
      </c>
      <c r="AP4225" t="s">
        <v>53</v>
      </c>
      <c r="AQ4225">
        <v>0</v>
      </c>
      <c r="AR4225" t="s">
        <v>53</v>
      </c>
      <c r="AS4225">
        <v>0</v>
      </c>
      <c r="AT4225">
        <v>0</v>
      </c>
      <c r="AW4225" t="s">
        <v>58</v>
      </c>
      <c r="AX4225">
        <v>20</v>
      </c>
      <c r="AY4225" s="1">
        <v>33786</v>
      </c>
      <c r="AZ4225" s="1">
        <v>33786</v>
      </c>
      <c r="BA4225" s="1">
        <v>33786</v>
      </c>
      <c r="BB4225" s="1">
        <v>41091</v>
      </c>
      <c r="BC4225" t="s">
        <v>51</v>
      </c>
      <c r="BE4225" t="s">
        <v>54</v>
      </c>
      <c r="BF4225">
        <v>2</v>
      </c>
      <c r="BG4225">
        <v>0</v>
      </c>
      <c r="BH4225" t="s">
        <v>53</v>
      </c>
      <c r="BK4225" t="s">
        <v>59</v>
      </c>
      <c r="BL4225">
        <v>14000</v>
      </c>
      <c r="BM4225" s="1">
        <v>42917</v>
      </c>
      <c r="BN4225" s="1">
        <v>42917</v>
      </c>
      <c r="BO4225" s="1">
        <v>42917</v>
      </c>
      <c r="BP4225" s="1">
        <v>44117</v>
      </c>
      <c r="BQ4225" t="s">
        <v>51</v>
      </c>
      <c r="BS4225" t="s">
        <v>60</v>
      </c>
      <c r="BT4225" t="s">
        <v>54</v>
      </c>
      <c r="BU4225" t="s">
        <v>61</v>
      </c>
      <c r="BV4225" t="s">
        <v>62</v>
      </c>
      <c r="BX4225">
        <v>24</v>
      </c>
      <c r="BY4225">
        <v>0</v>
      </c>
      <c r="BZ4225">
        <v>0</v>
      </c>
    </row>
    <row r="4226" spans="1:78" x14ac:dyDescent="0.2">
      <c r="A4226" t="s">
        <v>112</v>
      </c>
      <c r="B4226" t="s">
        <v>113</v>
      </c>
      <c r="C4226" t="s">
        <v>114</v>
      </c>
      <c r="D4226" t="s">
        <v>428</v>
      </c>
      <c r="F4226" t="str">
        <f>"251256"</f>
        <v>251256</v>
      </c>
      <c r="G4226" t="s">
        <v>49</v>
      </c>
      <c r="H4226" t="s">
        <v>2045</v>
      </c>
      <c r="K4226" t="s">
        <v>51</v>
      </c>
      <c r="L4226" t="s">
        <v>52</v>
      </c>
      <c r="M4226">
        <v>136882</v>
      </c>
      <c r="N4226">
        <v>471720.43</v>
      </c>
      <c r="O4226" t="s">
        <v>53</v>
      </c>
      <c r="P4226" t="s">
        <v>54</v>
      </c>
      <c r="Q4226" t="s">
        <v>55</v>
      </c>
      <c r="T4226" t="s">
        <v>183</v>
      </c>
      <c r="U4226">
        <v>40</v>
      </c>
      <c r="V4226" s="1">
        <v>29221</v>
      </c>
      <c r="W4226" s="1">
        <v>29221</v>
      </c>
      <c r="X4226" s="1">
        <v>29221</v>
      </c>
      <c r="Y4226" s="1">
        <v>43831</v>
      </c>
      <c r="Z4226" t="s">
        <v>51</v>
      </c>
      <c r="AB4226" t="s">
        <v>54</v>
      </c>
      <c r="AC4226">
        <v>1</v>
      </c>
      <c r="AE4226" t="s">
        <v>84</v>
      </c>
      <c r="AF4226">
        <v>20</v>
      </c>
      <c r="AG4226" s="1">
        <v>34700</v>
      </c>
      <c r="AH4226" s="1">
        <v>34700</v>
      </c>
      <c r="AI4226" s="1">
        <v>34700</v>
      </c>
      <c r="AJ4226" s="1">
        <v>42005</v>
      </c>
      <c r="AK4226" t="s">
        <v>51</v>
      </c>
      <c r="AN4226">
        <v>0</v>
      </c>
      <c r="AO4226" t="s">
        <v>54</v>
      </c>
      <c r="AP4226" t="s">
        <v>53</v>
      </c>
      <c r="AQ4226">
        <v>0</v>
      </c>
      <c r="AR4226" t="s">
        <v>53</v>
      </c>
      <c r="AS4226">
        <v>0</v>
      </c>
      <c r="AT4226">
        <v>0</v>
      </c>
      <c r="AW4226" t="s">
        <v>58</v>
      </c>
      <c r="AX4226">
        <v>20</v>
      </c>
      <c r="AY4226" s="1">
        <v>34700</v>
      </c>
      <c r="AZ4226" s="1">
        <v>34700</v>
      </c>
      <c r="BA4226" s="1">
        <v>34700</v>
      </c>
      <c r="BB4226" s="1">
        <v>42005</v>
      </c>
      <c r="BC4226" t="s">
        <v>51</v>
      </c>
      <c r="BE4226" t="s">
        <v>54</v>
      </c>
      <c r="BF4226">
        <v>2</v>
      </c>
      <c r="BG4226">
        <v>0</v>
      </c>
      <c r="BH4226" t="s">
        <v>53</v>
      </c>
      <c r="BK4226" t="s">
        <v>59</v>
      </c>
      <c r="BL4226">
        <v>14000</v>
      </c>
      <c r="BM4226" s="1">
        <v>42917</v>
      </c>
      <c r="BN4226" s="1">
        <v>42917</v>
      </c>
      <c r="BO4226" s="1">
        <v>42917</v>
      </c>
      <c r="BP4226" s="1">
        <v>44117</v>
      </c>
      <c r="BQ4226" t="s">
        <v>51</v>
      </c>
      <c r="BS4226" t="s">
        <v>60</v>
      </c>
      <c r="BT4226" t="s">
        <v>54</v>
      </c>
      <c r="BU4226" t="s">
        <v>61</v>
      </c>
      <c r="BV4226" t="s">
        <v>62</v>
      </c>
      <c r="BX4226">
        <v>24</v>
      </c>
      <c r="BY4226">
        <v>0</v>
      </c>
      <c r="BZ4226">
        <v>0</v>
      </c>
    </row>
    <row r="4227" spans="1:78" x14ac:dyDescent="0.2">
      <c r="A4227" t="s">
        <v>112</v>
      </c>
      <c r="B4227" t="s">
        <v>113</v>
      </c>
      <c r="C4227" t="s">
        <v>114</v>
      </c>
      <c r="D4227" t="s">
        <v>428</v>
      </c>
      <c r="F4227" t="str">
        <f>"251257"</f>
        <v>251257</v>
      </c>
      <c r="G4227" t="s">
        <v>49</v>
      </c>
      <c r="H4227" t="s">
        <v>459</v>
      </c>
      <c r="K4227" t="s">
        <v>51</v>
      </c>
      <c r="L4227" t="s">
        <v>52</v>
      </c>
      <c r="M4227">
        <v>136874.47</v>
      </c>
      <c r="N4227">
        <v>471762.11</v>
      </c>
      <c r="O4227" t="s">
        <v>53</v>
      </c>
      <c r="P4227" t="s">
        <v>54</v>
      </c>
      <c r="Q4227" t="s">
        <v>55</v>
      </c>
      <c r="T4227" t="s">
        <v>183</v>
      </c>
      <c r="U4227">
        <v>40</v>
      </c>
      <c r="V4227" s="1">
        <v>27395</v>
      </c>
      <c r="W4227" s="1">
        <v>27395</v>
      </c>
      <c r="X4227" s="1">
        <v>27395</v>
      </c>
      <c r="Y4227" s="1">
        <v>42005</v>
      </c>
      <c r="Z4227" t="s">
        <v>51</v>
      </c>
      <c r="AB4227" t="s">
        <v>54</v>
      </c>
      <c r="AC4227">
        <v>1</v>
      </c>
      <c r="AE4227" t="s">
        <v>84</v>
      </c>
      <c r="AF4227">
        <v>20</v>
      </c>
      <c r="AG4227" s="1">
        <v>33786</v>
      </c>
      <c r="AH4227" s="1">
        <v>33786</v>
      </c>
      <c r="AI4227" s="1">
        <v>33786</v>
      </c>
      <c r="AJ4227" s="1">
        <v>41091</v>
      </c>
      <c r="AK4227" t="s">
        <v>51</v>
      </c>
      <c r="AN4227">
        <v>0</v>
      </c>
      <c r="AO4227" t="s">
        <v>54</v>
      </c>
      <c r="AP4227" t="s">
        <v>53</v>
      </c>
      <c r="AQ4227">
        <v>0</v>
      </c>
      <c r="AR4227" t="s">
        <v>53</v>
      </c>
      <c r="AS4227">
        <v>0</v>
      </c>
      <c r="AT4227">
        <v>0</v>
      </c>
      <c r="AW4227" t="s">
        <v>58</v>
      </c>
      <c r="AX4227">
        <v>20</v>
      </c>
      <c r="AY4227" s="1">
        <v>33786</v>
      </c>
      <c r="AZ4227" s="1">
        <v>33786</v>
      </c>
      <c r="BA4227" s="1">
        <v>33786</v>
      </c>
      <c r="BB4227" s="1">
        <v>41091</v>
      </c>
      <c r="BC4227" t="s">
        <v>51</v>
      </c>
      <c r="BE4227" t="s">
        <v>54</v>
      </c>
      <c r="BF4227">
        <v>2</v>
      </c>
      <c r="BG4227">
        <v>0</v>
      </c>
      <c r="BH4227" t="s">
        <v>53</v>
      </c>
      <c r="BK4227" t="s">
        <v>59</v>
      </c>
      <c r="BL4227">
        <v>14000</v>
      </c>
      <c r="BM4227" s="1">
        <v>42917</v>
      </c>
      <c r="BN4227" s="1">
        <v>42917</v>
      </c>
      <c r="BO4227" s="1">
        <v>42917</v>
      </c>
      <c r="BP4227" s="1">
        <v>44117</v>
      </c>
      <c r="BQ4227" t="s">
        <v>51</v>
      </c>
      <c r="BS4227" t="s">
        <v>60</v>
      </c>
      <c r="BT4227" t="s">
        <v>54</v>
      </c>
      <c r="BU4227" t="s">
        <v>61</v>
      </c>
      <c r="BV4227" t="s">
        <v>62</v>
      </c>
      <c r="BX4227">
        <v>24</v>
      </c>
      <c r="BY4227">
        <v>0</v>
      </c>
      <c r="BZ4227">
        <v>0</v>
      </c>
    </row>
    <row r="4228" spans="1:78" x14ac:dyDescent="0.2">
      <c r="A4228" t="s">
        <v>112</v>
      </c>
      <c r="B4228" t="s">
        <v>113</v>
      </c>
      <c r="C4228" t="s">
        <v>114</v>
      </c>
      <c r="D4228" t="s">
        <v>428</v>
      </c>
      <c r="F4228" t="str">
        <f>"251258"</f>
        <v>251258</v>
      </c>
      <c r="G4228" t="s">
        <v>49</v>
      </c>
      <c r="H4228" t="s">
        <v>495</v>
      </c>
      <c r="K4228" t="s">
        <v>51</v>
      </c>
      <c r="L4228" t="s">
        <v>52</v>
      </c>
      <c r="M4228">
        <v>136872.15</v>
      </c>
      <c r="N4228">
        <v>471802.52</v>
      </c>
      <c r="O4228" t="s">
        <v>53</v>
      </c>
      <c r="P4228" t="s">
        <v>54</v>
      </c>
      <c r="Q4228" t="s">
        <v>55</v>
      </c>
      <c r="T4228" t="s">
        <v>183</v>
      </c>
      <c r="U4228">
        <v>40</v>
      </c>
      <c r="V4228" s="1">
        <v>27395</v>
      </c>
      <c r="W4228" s="1">
        <v>27395</v>
      </c>
      <c r="X4228" s="1">
        <v>27395</v>
      </c>
      <c r="Y4228" s="1">
        <v>42005</v>
      </c>
      <c r="Z4228" t="s">
        <v>51</v>
      </c>
      <c r="AB4228" t="s">
        <v>54</v>
      </c>
      <c r="AC4228">
        <v>1</v>
      </c>
      <c r="AE4228" t="s">
        <v>84</v>
      </c>
      <c r="AF4228">
        <v>20</v>
      </c>
      <c r="AG4228" s="1">
        <v>33786</v>
      </c>
      <c r="AH4228" s="1">
        <v>33786</v>
      </c>
      <c r="AI4228" s="1">
        <v>33786</v>
      </c>
      <c r="AJ4228" s="1">
        <v>41091</v>
      </c>
      <c r="AK4228" t="s">
        <v>51</v>
      </c>
      <c r="AN4228">
        <v>0</v>
      </c>
      <c r="AO4228" t="s">
        <v>54</v>
      </c>
      <c r="AP4228" t="s">
        <v>53</v>
      </c>
      <c r="AQ4228">
        <v>0</v>
      </c>
      <c r="AR4228" t="s">
        <v>53</v>
      </c>
      <c r="AS4228">
        <v>0</v>
      </c>
      <c r="AT4228">
        <v>0</v>
      </c>
      <c r="AW4228" t="s">
        <v>58</v>
      </c>
      <c r="AX4228">
        <v>20</v>
      </c>
      <c r="AY4228" s="1">
        <v>33786</v>
      </c>
      <c r="AZ4228" s="1">
        <v>33786</v>
      </c>
      <c r="BA4228" s="1">
        <v>33786</v>
      </c>
      <c r="BB4228" s="1">
        <v>41091</v>
      </c>
      <c r="BC4228" t="s">
        <v>51</v>
      </c>
      <c r="BE4228" t="s">
        <v>54</v>
      </c>
      <c r="BF4228">
        <v>2</v>
      </c>
      <c r="BG4228">
        <v>0</v>
      </c>
      <c r="BH4228" t="s">
        <v>53</v>
      </c>
      <c r="BK4228" t="s">
        <v>59</v>
      </c>
      <c r="BL4228">
        <v>14000</v>
      </c>
      <c r="BM4228" s="1">
        <v>42917</v>
      </c>
      <c r="BN4228" s="1">
        <v>42917</v>
      </c>
      <c r="BO4228" s="1">
        <v>42917</v>
      </c>
      <c r="BP4228" s="1">
        <v>44117</v>
      </c>
      <c r="BQ4228" t="s">
        <v>51</v>
      </c>
      <c r="BS4228" t="s">
        <v>60</v>
      </c>
      <c r="BT4228" t="s">
        <v>54</v>
      </c>
      <c r="BU4228" t="s">
        <v>61</v>
      </c>
      <c r="BV4228" t="s">
        <v>62</v>
      </c>
      <c r="BX4228">
        <v>24</v>
      </c>
      <c r="BY4228">
        <v>0</v>
      </c>
      <c r="BZ4228">
        <v>0</v>
      </c>
    </row>
    <row r="4229" spans="1:78" x14ac:dyDescent="0.2">
      <c r="A4229" t="s">
        <v>112</v>
      </c>
      <c r="B4229" t="s">
        <v>113</v>
      </c>
      <c r="C4229" t="s">
        <v>114</v>
      </c>
      <c r="D4229" t="s">
        <v>428</v>
      </c>
      <c r="F4229" t="str">
        <f>"251259"</f>
        <v>251259</v>
      </c>
      <c r="G4229" t="s">
        <v>49</v>
      </c>
      <c r="H4229" t="s">
        <v>678</v>
      </c>
      <c r="K4229" t="s">
        <v>51</v>
      </c>
      <c r="L4229" t="s">
        <v>52</v>
      </c>
      <c r="M4229">
        <v>136872.70000000001</v>
      </c>
      <c r="N4229">
        <v>471837.04</v>
      </c>
      <c r="O4229" t="s">
        <v>53</v>
      </c>
      <c r="P4229" t="s">
        <v>54</v>
      </c>
      <c r="Q4229" t="s">
        <v>55</v>
      </c>
      <c r="T4229" t="s">
        <v>183</v>
      </c>
      <c r="U4229">
        <v>40</v>
      </c>
      <c r="V4229" s="1">
        <v>27395</v>
      </c>
      <c r="W4229" s="1">
        <v>27395</v>
      </c>
      <c r="X4229" s="1">
        <v>27395</v>
      </c>
      <c r="Y4229" s="1">
        <v>42005</v>
      </c>
      <c r="Z4229" t="s">
        <v>51</v>
      </c>
      <c r="AB4229" t="s">
        <v>54</v>
      </c>
      <c r="AC4229">
        <v>1</v>
      </c>
      <c r="AE4229" t="s">
        <v>84</v>
      </c>
      <c r="AF4229">
        <v>20</v>
      </c>
      <c r="AG4229" s="1">
        <v>33786</v>
      </c>
      <c r="AH4229" s="1">
        <v>33786</v>
      </c>
      <c r="AI4229" s="1">
        <v>33786</v>
      </c>
      <c r="AJ4229" s="1">
        <v>41091</v>
      </c>
      <c r="AK4229" t="s">
        <v>51</v>
      </c>
      <c r="AN4229">
        <v>0</v>
      </c>
      <c r="AO4229" t="s">
        <v>54</v>
      </c>
      <c r="AP4229" t="s">
        <v>53</v>
      </c>
      <c r="AQ4229">
        <v>0</v>
      </c>
      <c r="AR4229" t="s">
        <v>53</v>
      </c>
      <c r="AS4229">
        <v>0</v>
      </c>
      <c r="AT4229">
        <v>0</v>
      </c>
      <c r="AW4229" t="s">
        <v>58</v>
      </c>
      <c r="AX4229">
        <v>20</v>
      </c>
      <c r="AY4229" s="1">
        <v>33786</v>
      </c>
      <c r="AZ4229" s="1">
        <v>33786</v>
      </c>
      <c r="BA4229" s="1">
        <v>33786</v>
      </c>
      <c r="BB4229" s="1">
        <v>41091</v>
      </c>
      <c r="BC4229" t="s">
        <v>51</v>
      </c>
      <c r="BE4229" t="s">
        <v>54</v>
      </c>
      <c r="BF4229">
        <v>2</v>
      </c>
      <c r="BG4229">
        <v>0</v>
      </c>
      <c r="BH4229" t="s">
        <v>53</v>
      </c>
      <c r="BK4229" t="s">
        <v>59</v>
      </c>
      <c r="BL4229">
        <v>14000</v>
      </c>
      <c r="BM4229" s="1">
        <v>43123</v>
      </c>
      <c r="BN4229" s="1">
        <v>43123</v>
      </c>
      <c r="BO4229" s="1">
        <v>43123</v>
      </c>
      <c r="BP4229" s="1">
        <v>44297</v>
      </c>
      <c r="BQ4229" t="s">
        <v>51</v>
      </c>
      <c r="BS4229" t="s">
        <v>60</v>
      </c>
      <c r="BT4229" t="s">
        <v>54</v>
      </c>
      <c r="BU4229" t="s">
        <v>61</v>
      </c>
      <c r="BV4229" t="s">
        <v>62</v>
      </c>
      <c r="BX4229">
        <v>24</v>
      </c>
      <c r="BY4229">
        <v>0</v>
      </c>
      <c r="BZ4229">
        <v>0</v>
      </c>
    </row>
    <row r="4230" spans="1:78" x14ac:dyDescent="0.2">
      <c r="A4230" t="s">
        <v>112</v>
      </c>
      <c r="B4230" t="s">
        <v>113</v>
      </c>
      <c r="C4230" t="s">
        <v>114</v>
      </c>
      <c r="D4230" t="s">
        <v>428</v>
      </c>
      <c r="F4230" t="str">
        <f>"251260"</f>
        <v>251260</v>
      </c>
      <c r="G4230" t="s">
        <v>49</v>
      </c>
      <c r="H4230" t="s">
        <v>461</v>
      </c>
      <c r="K4230" t="s">
        <v>51</v>
      </c>
      <c r="L4230" t="s">
        <v>52</v>
      </c>
      <c r="M4230">
        <v>136878.78</v>
      </c>
      <c r="N4230">
        <v>471870.85</v>
      </c>
      <c r="O4230" t="s">
        <v>53</v>
      </c>
      <c r="P4230" t="s">
        <v>54</v>
      </c>
      <c r="Q4230" t="s">
        <v>55</v>
      </c>
      <c r="T4230" t="s">
        <v>183</v>
      </c>
      <c r="U4230">
        <v>40</v>
      </c>
      <c r="V4230" s="1">
        <v>27395</v>
      </c>
      <c r="W4230" s="1">
        <v>27395</v>
      </c>
      <c r="X4230" s="1">
        <v>27395</v>
      </c>
      <c r="Y4230" s="1">
        <v>42005</v>
      </c>
      <c r="Z4230" t="s">
        <v>51</v>
      </c>
      <c r="AB4230" t="s">
        <v>54</v>
      </c>
      <c r="AC4230">
        <v>1</v>
      </c>
      <c r="AE4230" t="s">
        <v>84</v>
      </c>
      <c r="AF4230">
        <v>20</v>
      </c>
      <c r="AG4230" s="1">
        <v>33786</v>
      </c>
      <c r="AH4230" s="1">
        <v>33786</v>
      </c>
      <c r="AI4230" s="1">
        <v>33786</v>
      </c>
      <c r="AJ4230" s="1">
        <v>41091</v>
      </c>
      <c r="AK4230" t="s">
        <v>51</v>
      </c>
      <c r="AN4230">
        <v>0</v>
      </c>
      <c r="AO4230" t="s">
        <v>54</v>
      </c>
      <c r="AP4230" t="s">
        <v>53</v>
      </c>
      <c r="AQ4230">
        <v>0</v>
      </c>
      <c r="AR4230" t="s">
        <v>53</v>
      </c>
      <c r="AS4230">
        <v>0</v>
      </c>
      <c r="AT4230">
        <v>0</v>
      </c>
      <c r="AW4230" t="s">
        <v>58</v>
      </c>
      <c r="AX4230">
        <v>20</v>
      </c>
      <c r="AY4230" s="1">
        <v>33786</v>
      </c>
      <c r="AZ4230" s="1">
        <v>33786</v>
      </c>
      <c r="BA4230" s="1">
        <v>33786</v>
      </c>
      <c r="BB4230" s="1">
        <v>41091</v>
      </c>
      <c r="BC4230" t="s">
        <v>51</v>
      </c>
      <c r="BE4230" t="s">
        <v>54</v>
      </c>
      <c r="BF4230">
        <v>2</v>
      </c>
      <c r="BG4230">
        <v>0</v>
      </c>
      <c r="BH4230" t="s">
        <v>53</v>
      </c>
      <c r="BK4230" t="s">
        <v>59</v>
      </c>
      <c r="BL4230">
        <v>14000</v>
      </c>
      <c r="BM4230" s="1">
        <v>42917</v>
      </c>
      <c r="BN4230" s="1">
        <v>42917</v>
      </c>
      <c r="BO4230" s="1">
        <v>42917</v>
      </c>
      <c r="BP4230" s="1">
        <v>44117</v>
      </c>
      <c r="BQ4230" t="s">
        <v>51</v>
      </c>
      <c r="BS4230" t="s">
        <v>60</v>
      </c>
      <c r="BT4230" t="s">
        <v>54</v>
      </c>
      <c r="BU4230" t="s">
        <v>61</v>
      </c>
      <c r="BV4230" t="s">
        <v>62</v>
      </c>
      <c r="BX4230">
        <v>24</v>
      </c>
      <c r="BY4230">
        <v>0</v>
      </c>
      <c r="BZ4230">
        <v>0</v>
      </c>
    </row>
    <row r="4231" spans="1:78" x14ac:dyDescent="0.2">
      <c r="A4231" t="s">
        <v>112</v>
      </c>
      <c r="B4231" t="s">
        <v>113</v>
      </c>
      <c r="C4231" t="s">
        <v>114</v>
      </c>
      <c r="D4231" t="s">
        <v>428</v>
      </c>
      <c r="F4231" t="str">
        <f>"251261"</f>
        <v>251261</v>
      </c>
      <c r="G4231" t="s">
        <v>49</v>
      </c>
      <c r="H4231" t="s">
        <v>2046</v>
      </c>
      <c r="K4231" t="s">
        <v>51</v>
      </c>
      <c r="L4231" t="s">
        <v>52</v>
      </c>
      <c r="M4231">
        <v>136871.22</v>
      </c>
      <c r="N4231">
        <v>471918.34</v>
      </c>
      <c r="O4231" t="s">
        <v>53</v>
      </c>
      <c r="P4231" t="s">
        <v>54</v>
      </c>
      <c r="Q4231" t="s">
        <v>55</v>
      </c>
      <c r="T4231" t="s">
        <v>183</v>
      </c>
      <c r="U4231">
        <v>40</v>
      </c>
      <c r="V4231" s="1">
        <v>27395</v>
      </c>
      <c r="W4231" s="1">
        <v>27395</v>
      </c>
      <c r="X4231" s="1">
        <v>27395</v>
      </c>
      <c r="Y4231" s="1">
        <v>42005</v>
      </c>
      <c r="Z4231" t="s">
        <v>51</v>
      </c>
      <c r="AB4231" t="s">
        <v>54</v>
      </c>
      <c r="AC4231">
        <v>1</v>
      </c>
      <c r="AE4231" t="s">
        <v>84</v>
      </c>
      <c r="AF4231">
        <v>20</v>
      </c>
      <c r="AG4231" s="1">
        <v>33786</v>
      </c>
      <c r="AH4231" s="1">
        <v>33786</v>
      </c>
      <c r="AI4231" s="1">
        <v>33786</v>
      </c>
      <c r="AJ4231" s="1">
        <v>41091</v>
      </c>
      <c r="AK4231" t="s">
        <v>51</v>
      </c>
      <c r="AN4231">
        <v>0</v>
      </c>
      <c r="AO4231" t="s">
        <v>54</v>
      </c>
      <c r="AP4231" t="s">
        <v>53</v>
      </c>
      <c r="AQ4231">
        <v>0</v>
      </c>
      <c r="AR4231" t="s">
        <v>53</v>
      </c>
      <c r="AS4231">
        <v>0</v>
      </c>
      <c r="AT4231">
        <v>0</v>
      </c>
      <c r="AW4231" t="s">
        <v>58</v>
      </c>
      <c r="AX4231">
        <v>20</v>
      </c>
      <c r="AY4231" s="1">
        <v>33786</v>
      </c>
      <c r="AZ4231" s="1">
        <v>33786</v>
      </c>
      <c r="BA4231" s="1">
        <v>33786</v>
      </c>
      <c r="BB4231" s="1">
        <v>41091</v>
      </c>
      <c r="BC4231" t="s">
        <v>51</v>
      </c>
      <c r="BE4231" t="s">
        <v>54</v>
      </c>
      <c r="BF4231">
        <v>2</v>
      </c>
      <c r="BG4231">
        <v>0</v>
      </c>
      <c r="BH4231" t="s">
        <v>53</v>
      </c>
      <c r="BK4231" t="s">
        <v>59</v>
      </c>
      <c r="BL4231">
        <v>14000</v>
      </c>
      <c r="BM4231" s="1">
        <v>42917</v>
      </c>
      <c r="BN4231" s="1">
        <v>42917</v>
      </c>
      <c r="BO4231" s="1">
        <v>42917</v>
      </c>
      <c r="BP4231" s="1">
        <v>44117</v>
      </c>
      <c r="BQ4231" t="s">
        <v>51</v>
      </c>
      <c r="BS4231" t="s">
        <v>60</v>
      </c>
      <c r="BT4231" t="s">
        <v>54</v>
      </c>
      <c r="BU4231" t="s">
        <v>61</v>
      </c>
      <c r="BV4231" t="s">
        <v>62</v>
      </c>
      <c r="BX4231">
        <v>24</v>
      </c>
      <c r="BY4231">
        <v>0</v>
      </c>
      <c r="BZ4231">
        <v>0</v>
      </c>
    </row>
    <row r="4232" spans="1:78" x14ac:dyDescent="0.2">
      <c r="A4232" t="s">
        <v>112</v>
      </c>
      <c r="B4232" t="s">
        <v>113</v>
      </c>
      <c r="C4232" t="s">
        <v>114</v>
      </c>
      <c r="D4232" t="s">
        <v>428</v>
      </c>
      <c r="F4232" t="str">
        <f>"251262"</f>
        <v>251262</v>
      </c>
      <c r="G4232" t="s">
        <v>49</v>
      </c>
      <c r="H4232" t="s">
        <v>1098</v>
      </c>
      <c r="K4232" t="s">
        <v>51</v>
      </c>
      <c r="L4232" t="s">
        <v>52</v>
      </c>
      <c r="M4232">
        <v>136876.97</v>
      </c>
      <c r="N4232">
        <v>471950.88</v>
      </c>
      <c r="O4232" t="s">
        <v>53</v>
      </c>
      <c r="P4232" t="s">
        <v>54</v>
      </c>
      <c r="Q4232" t="s">
        <v>55</v>
      </c>
      <c r="T4232" t="s">
        <v>183</v>
      </c>
      <c r="U4232">
        <v>40</v>
      </c>
      <c r="V4232" s="1">
        <v>27395</v>
      </c>
      <c r="W4232" s="1">
        <v>27395</v>
      </c>
      <c r="X4232" s="1">
        <v>27395</v>
      </c>
      <c r="Y4232" s="1">
        <v>42005</v>
      </c>
      <c r="Z4232" t="s">
        <v>51</v>
      </c>
      <c r="AB4232" t="s">
        <v>54</v>
      </c>
      <c r="AC4232">
        <v>1</v>
      </c>
      <c r="AE4232" t="s">
        <v>84</v>
      </c>
      <c r="AF4232">
        <v>20</v>
      </c>
      <c r="AG4232" s="1">
        <v>33786</v>
      </c>
      <c r="AH4232" s="1">
        <v>33786</v>
      </c>
      <c r="AI4232" s="1">
        <v>33786</v>
      </c>
      <c r="AJ4232" s="1">
        <v>41091</v>
      </c>
      <c r="AK4232" t="s">
        <v>51</v>
      </c>
      <c r="AN4232">
        <v>0</v>
      </c>
      <c r="AO4232" t="s">
        <v>54</v>
      </c>
      <c r="AP4232" t="s">
        <v>53</v>
      </c>
      <c r="AQ4232">
        <v>0</v>
      </c>
      <c r="AR4232" t="s">
        <v>53</v>
      </c>
      <c r="AS4232">
        <v>0</v>
      </c>
      <c r="AT4232">
        <v>0</v>
      </c>
      <c r="AW4232" t="s">
        <v>58</v>
      </c>
      <c r="AX4232">
        <v>20</v>
      </c>
      <c r="AY4232" s="1">
        <v>33786</v>
      </c>
      <c r="AZ4232" s="1">
        <v>33786</v>
      </c>
      <c r="BA4232" s="1">
        <v>33786</v>
      </c>
      <c r="BB4232" s="1">
        <v>41091</v>
      </c>
      <c r="BC4232" t="s">
        <v>51</v>
      </c>
      <c r="BE4232" t="s">
        <v>54</v>
      </c>
      <c r="BF4232">
        <v>2</v>
      </c>
      <c r="BG4232">
        <v>0</v>
      </c>
      <c r="BH4232" t="s">
        <v>53</v>
      </c>
      <c r="BK4232" t="s">
        <v>59</v>
      </c>
      <c r="BL4232">
        <v>14000</v>
      </c>
      <c r="BM4232" s="1">
        <v>42917</v>
      </c>
      <c r="BN4232" s="1">
        <v>42917</v>
      </c>
      <c r="BO4232" s="1">
        <v>42917</v>
      </c>
      <c r="BP4232" s="1">
        <v>44117</v>
      </c>
      <c r="BQ4232" t="s">
        <v>51</v>
      </c>
      <c r="BS4232" t="s">
        <v>60</v>
      </c>
      <c r="BT4232" t="s">
        <v>54</v>
      </c>
      <c r="BU4232" t="s">
        <v>61</v>
      </c>
      <c r="BV4232" t="s">
        <v>62</v>
      </c>
      <c r="BX4232">
        <v>24</v>
      </c>
      <c r="BY4232">
        <v>0</v>
      </c>
      <c r="BZ4232">
        <v>0</v>
      </c>
    </row>
    <row r="4233" spans="1:78" x14ac:dyDescent="0.2">
      <c r="A4233" t="s">
        <v>112</v>
      </c>
      <c r="B4233" t="s">
        <v>113</v>
      </c>
      <c r="C4233" t="s">
        <v>114</v>
      </c>
      <c r="D4233" t="s">
        <v>428</v>
      </c>
      <c r="F4233" t="str">
        <f>"251263"</f>
        <v>251263</v>
      </c>
      <c r="G4233" t="s">
        <v>49</v>
      </c>
      <c r="H4233" t="s">
        <v>483</v>
      </c>
      <c r="K4233" t="s">
        <v>51</v>
      </c>
      <c r="L4233" t="s">
        <v>52</v>
      </c>
      <c r="M4233">
        <v>136869.29999999999</v>
      </c>
      <c r="N4233">
        <v>471987.03</v>
      </c>
      <c r="O4233" t="s">
        <v>53</v>
      </c>
      <c r="P4233" t="s">
        <v>54</v>
      </c>
      <c r="Q4233" t="s">
        <v>55</v>
      </c>
      <c r="T4233" t="s">
        <v>183</v>
      </c>
      <c r="U4233">
        <v>40</v>
      </c>
      <c r="V4233" s="1">
        <v>27395</v>
      </c>
      <c r="W4233" s="1">
        <v>27395</v>
      </c>
      <c r="X4233" s="1">
        <v>27395</v>
      </c>
      <c r="Y4233" s="1">
        <v>42005</v>
      </c>
      <c r="Z4233" t="s">
        <v>51</v>
      </c>
      <c r="AB4233" t="s">
        <v>54</v>
      </c>
      <c r="AC4233">
        <v>1</v>
      </c>
      <c r="AE4233" t="s">
        <v>84</v>
      </c>
      <c r="AF4233">
        <v>20</v>
      </c>
      <c r="AG4233" s="1">
        <v>33786</v>
      </c>
      <c r="AH4233" s="1">
        <v>33786</v>
      </c>
      <c r="AI4233" s="1">
        <v>33786</v>
      </c>
      <c r="AJ4233" s="1">
        <v>41091</v>
      </c>
      <c r="AK4233" t="s">
        <v>51</v>
      </c>
      <c r="AN4233">
        <v>0</v>
      </c>
      <c r="AO4233" t="s">
        <v>54</v>
      </c>
      <c r="AP4233" t="s">
        <v>53</v>
      </c>
      <c r="AQ4233">
        <v>0</v>
      </c>
      <c r="AR4233" t="s">
        <v>53</v>
      </c>
      <c r="AS4233">
        <v>0</v>
      </c>
      <c r="AT4233">
        <v>0</v>
      </c>
      <c r="AW4233" t="s">
        <v>58</v>
      </c>
      <c r="AX4233">
        <v>20</v>
      </c>
      <c r="AY4233" s="1">
        <v>33786</v>
      </c>
      <c r="AZ4233" s="1">
        <v>33786</v>
      </c>
      <c r="BA4233" s="1">
        <v>33786</v>
      </c>
      <c r="BB4233" s="1">
        <v>41091</v>
      </c>
      <c r="BC4233" t="s">
        <v>51</v>
      </c>
      <c r="BE4233" t="s">
        <v>54</v>
      </c>
      <c r="BF4233">
        <v>2</v>
      </c>
      <c r="BG4233">
        <v>0</v>
      </c>
      <c r="BH4233" t="s">
        <v>53</v>
      </c>
      <c r="BK4233" t="s">
        <v>59</v>
      </c>
      <c r="BL4233">
        <v>14000</v>
      </c>
      <c r="BM4233" s="1">
        <v>42917</v>
      </c>
      <c r="BN4233" s="1">
        <v>42917</v>
      </c>
      <c r="BO4233" s="1">
        <v>42917</v>
      </c>
      <c r="BP4233" s="1">
        <v>44117</v>
      </c>
      <c r="BQ4233" t="s">
        <v>51</v>
      </c>
      <c r="BS4233" t="s">
        <v>60</v>
      </c>
      <c r="BT4233" t="s">
        <v>54</v>
      </c>
      <c r="BU4233" t="s">
        <v>61</v>
      </c>
      <c r="BV4233" t="s">
        <v>62</v>
      </c>
      <c r="BX4233">
        <v>24</v>
      </c>
      <c r="BY4233">
        <v>0</v>
      </c>
      <c r="BZ4233">
        <v>0</v>
      </c>
    </row>
    <row r="4234" spans="1:78" x14ac:dyDescent="0.2">
      <c r="A4234" t="s">
        <v>112</v>
      </c>
      <c r="B4234" t="s">
        <v>113</v>
      </c>
      <c r="C4234" t="s">
        <v>114</v>
      </c>
      <c r="D4234" t="s">
        <v>428</v>
      </c>
      <c r="F4234" t="str">
        <f>"251264"</f>
        <v>251264</v>
      </c>
      <c r="G4234" t="s">
        <v>49</v>
      </c>
      <c r="H4234" t="s">
        <v>600</v>
      </c>
      <c r="K4234" t="s">
        <v>51</v>
      </c>
      <c r="L4234" t="s">
        <v>52</v>
      </c>
      <c r="M4234">
        <v>136874.98000000001</v>
      </c>
      <c r="N4234">
        <v>472026.15</v>
      </c>
      <c r="O4234" t="s">
        <v>53</v>
      </c>
      <c r="P4234" t="s">
        <v>54</v>
      </c>
      <c r="Q4234" t="s">
        <v>55</v>
      </c>
      <c r="T4234" t="s">
        <v>183</v>
      </c>
      <c r="U4234">
        <v>40</v>
      </c>
      <c r="V4234" s="1">
        <v>27395</v>
      </c>
      <c r="W4234" s="1">
        <v>27395</v>
      </c>
      <c r="X4234" s="1">
        <v>27395</v>
      </c>
      <c r="Y4234" s="1">
        <v>42005</v>
      </c>
      <c r="Z4234" t="s">
        <v>51</v>
      </c>
      <c r="AB4234" t="s">
        <v>54</v>
      </c>
      <c r="AC4234">
        <v>1</v>
      </c>
      <c r="AE4234" t="s">
        <v>84</v>
      </c>
      <c r="AF4234">
        <v>20</v>
      </c>
      <c r="AG4234" s="1">
        <v>33786</v>
      </c>
      <c r="AH4234" s="1">
        <v>33786</v>
      </c>
      <c r="AI4234" s="1">
        <v>33786</v>
      </c>
      <c r="AJ4234" s="1">
        <v>41091</v>
      </c>
      <c r="AK4234" t="s">
        <v>51</v>
      </c>
      <c r="AN4234">
        <v>0</v>
      </c>
      <c r="AO4234" t="s">
        <v>54</v>
      </c>
      <c r="AP4234" t="s">
        <v>53</v>
      </c>
      <c r="AQ4234">
        <v>0</v>
      </c>
      <c r="AR4234" t="s">
        <v>53</v>
      </c>
      <c r="AS4234">
        <v>0</v>
      </c>
      <c r="AT4234">
        <v>0</v>
      </c>
      <c r="AW4234" t="s">
        <v>58</v>
      </c>
      <c r="AX4234">
        <v>20</v>
      </c>
      <c r="AY4234" s="1">
        <v>33786</v>
      </c>
      <c r="AZ4234" s="1">
        <v>33786</v>
      </c>
      <c r="BA4234" s="1">
        <v>33786</v>
      </c>
      <c r="BB4234" s="1">
        <v>41091</v>
      </c>
      <c r="BC4234" t="s">
        <v>51</v>
      </c>
      <c r="BE4234" t="s">
        <v>54</v>
      </c>
      <c r="BF4234">
        <v>2</v>
      </c>
      <c r="BG4234">
        <v>0</v>
      </c>
      <c r="BH4234" t="s">
        <v>53</v>
      </c>
      <c r="BK4234" t="s">
        <v>59</v>
      </c>
      <c r="BL4234">
        <v>14000</v>
      </c>
      <c r="BM4234" s="1">
        <v>42917</v>
      </c>
      <c r="BN4234" s="1">
        <v>42917</v>
      </c>
      <c r="BO4234" s="1">
        <v>42917</v>
      </c>
      <c r="BP4234" s="1">
        <v>44117</v>
      </c>
      <c r="BQ4234" t="s">
        <v>51</v>
      </c>
      <c r="BS4234" t="s">
        <v>60</v>
      </c>
      <c r="BT4234" t="s">
        <v>54</v>
      </c>
      <c r="BU4234" t="s">
        <v>61</v>
      </c>
      <c r="BV4234" t="s">
        <v>62</v>
      </c>
      <c r="BX4234">
        <v>24</v>
      </c>
      <c r="BY4234">
        <v>0</v>
      </c>
      <c r="BZ4234">
        <v>0</v>
      </c>
    </row>
    <row r="4235" spans="1:78" x14ac:dyDescent="0.2">
      <c r="A4235" t="s">
        <v>112</v>
      </c>
      <c r="B4235" t="s">
        <v>113</v>
      </c>
      <c r="C4235" t="s">
        <v>114</v>
      </c>
      <c r="D4235" t="s">
        <v>428</v>
      </c>
      <c r="F4235" t="str">
        <f>"251265"</f>
        <v>251265</v>
      </c>
      <c r="G4235" t="s">
        <v>49</v>
      </c>
      <c r="K4235" t="s">
        <v>51</v>
      </c>
      <c r="L4235" t="s">
        <v>52</v>
      </c>
      <c r="M4235">
        <v>136867.59</v>
      </c>
      <c r="N4235">
        <v>472063.53</v>
      </c>
      <c r="O4235" t="s">
        <v>53</v>
      </c>
      <c r="P4235" t="s">
        <v>54</v>
      </c>
      <c r="Q4235" t="s">
        <v>55</v>
      </c>
      <c r="T4235" t="s">
        <v>183</v>
      </c>
      <c r="U4235">
        <v>40</v>
      </c>
      <c r="V4235" s="1">
        <v>27395</v>
      </c>
      <c r="W4235" s="1">
        <v>27395</v>
      </c>
      <c r="X4235" s="1">
        <v>27395</v>
      </c>
      <c r="Y4235" s="1">
        <v>42005</v>
      </c>
      <c r="Z4235" t="s">
        <v>51</v>
      </c>
      <c r="AB4235" t="s">
        <v>54</v>
      </c>
      <c r="AC4235">
        <v>1</v>
      </c>
      <c r="AE4235" t="s">
        <v>84</v>
      </c>
      <c r="AF4235">
        <v>20</v>
      </c>
      <c r="AG4235" s="1">
        <v>33786</v>
      </c>
      <c r="AH4235" s="1">
        <v>33786</v>
      </c>
      <c r="AI4235" s="1">
        <v>33786</v>
      </c>
      <c r="AJ4235" s="1">
        <v>41091</v>
      </c>
      <c r="AK4235" t="s">
        <v>51</v>
      </c>
      <c r="AN4235">
        <v>0</v>
      </c>
      <c r="AO4235" t="s">
        <v>54</v>
      </c>
      <c r="AP4235" t="s">
        <v>53</v>
      </c>
      <c r="AQ4235">
        <v>0</v>
      </c>
      <c r="AR4235" t="s">
        <v>53</v>
      </c>
      <c r="AS4235">
        <v>0</v>
      </c>
      <c r="AT4235">
        <v>0</v>
      </c>
      <c r="AW4235" t="s">
        <v>58</v>
      </c>
      <c r="AX4235">
        <v>20</v>
      </c>
      <c r="AY4235" s="1">
        <v>44599</v>
      </c>
      <c r="AZ4235" s="1">
        <v>44599</v>
      </c>
      <c r="BA4235" s="1">
        <v>44599</v>
      </c>
      <c r="BB4235" s="1">
        <v>51904</v>
      </c>
      <c r="BC4235" t="s">
        <v>51</v>
      </c>
      <c r="BE4235" t="s">
        <v>54</v>
      </c>
      <c r="BF4235">
        <v>2</v>
      </c>
      <c r="BG4235">
        <v>0</v>
      </c>
      <c r="BH4235" t="s">
        <v>53</v>
      </c>
      <c r="BK4235" t="s">
        <v>59</v>
      </c>
      <c r="BL4235">
        <v>14000</v>
      </c>
      <c r="BM4235" s="1">
        <v>44599</v>
      </c>
      <c r="BN4235" s="1">
        <v>44599</v>
      </c>
      <c r="BO4235" s="1">
        <v>44599</v>
      </c>
      <c r="BP4235" s="1">
        <v>45783</v>
      </c>
      <c r="BQ4235" t="s">
        <v>51</v>
      </c>
      <c r="BS4235" t="s">
        <v>60</v>
      </c>
      <c r="BT4235" t="s">
        <v>54</v>
      </c>
      <c r="BU4235" t="s">
        <v>61</v>
      </c>
      <c r="BV4235" t="s">
        <v>62</v>
      </c>
      <c r="BX4235">
        <v>24</v>
      </c>
      <c r="BY4235">
        <v>0</v>
      </c>
      <c r="BZ4235">
        <v>0</v>
      </c>
    </row>
    <row r="4236" spans="1:78" x14ac:dyDescent="0.2">
      <c r="A4236" t="s">
        <v>112</v>
      </c>
      <c r="B4236" t="s">
        <v>113</v>
      </c>
      <c r="C4236" t="s">
        <v>114</v>
      </c>
      <c r="D4236" t="s">
        <v>428</v>
      </c>
      <c r="F4236" t="str">
        <f>"251266"</f>
        <v>251266</v>
      </c>
      <c r="G4236" t="s">
        <v>49</v>
      </c>
      <c r="H4236" t="s">
        <v>2047</v>
      </c>
      <c r="K4236" t="s">
        <v>51</v>
      </c>
      <c r="L4236" t="s">
        <v>52</v>
      </c>
      <c r="M4236">
        <v>136873.06</v>
      </c>
      <c r="N4236">
        <v>472106</v>
      </c>
      <c r="O4236" t="s">
        <v>53</v>
      </c>
      <c r="P4236" t="s">
        <v>54</v>
      </c>
      <c r="Q4236" t="s">
        <v>55</v>
      </c>
      <c r="T4236" t="s">
        <v>183</v>
      </c>
      <c r="U4236">
        <v>40</v>
      </c>
      <c r="V4236" s="1">
        <v>27395</v>
      </c>
      <c r="W4236" s="1">
        <v>27395</v>
      </c>
      <c r="X4236" s="1">
        <v>27395</v>
      </c>
      <c r="Y4236" s="1">
        <v>42005</v>
      </c>
      <c r="Z4236" t="s">
        <v>51</v>
      </c>
      <c r="AB4236" t="s">
        <v>54</v>
      </c>
      <c r="AC4236">
        <v>1</v>
      </c>
      <c r="AE4236" t="s">
        <v>84</v>
      </c>
      <c r="AF4236">
        <v>20</v>
      </c>
      <c r="AG4236" s="1">
        <v>33786</v>
      </c>
      <c r="AH4236" s="1">
        <v>33786</v>
      </c>
      <c r="AI4236" s="1">
        <v>33786</v>
      </c>
      <c r="AJ4236" s="1">
        <v>41091</v>
      </c>
      <c r="AK4236" t="s">
        <v>51</v>
      </c>
      <c r="AN4236">
        <v>0</v>
      </c>
      <c r="AO4236" t="s">
        <v>54</v>
      </c>
      <c r="AP4236" t="s">
        <v>53</v>
      </c>
      <c r="AQ4236">
        <v>0</v>
      </c>
      <c r="AR4236" t="s">
        <v>53</v>
      </c>
      <c r="AS4236">
        <v>0</v>
      </c>
      <c r="AT4236">
        <v>0</v>
      </c>
      <c r="AW4236" t="s">
        <v>58</v>
      </c>
      <c r="AX4236">
        <v>20</v>
      </c>
      <c r="AY4236" s="1">
        <v>33786</v>
      </c>
      <c r="AZ4236" s="1">
        <v>33786</v>
      </c>
      <c r="BA4236" s="1">
        <v>33786</v>
      </c>
      <c r="BB4236" s="1">
        <v>41091</v>
      </c>
      <c r="BC4236" t="s">
        <v>51</v>
      </c>
      <c r="BE4236" t="s">
        <v>54</v>
      </c>
      <c r="BF4236">
        <v>2</v>
      </c>
      <c r="BG4236">
        <v>0</v>
      </c>
      <c r="BH4236" t="s">
        <v>53</v>
      </c>
      <c r="BK4236" t="s">
        <v>59</v>
      </c>
      <c r="BL4236">
        <v>14000</v>
      </c>
      <c r="BM4236" s="1">
        <v>42917</v>
      </c>
      <c r="BN4236" s="1">
        <v>42917</v>
      </c>
      <c r="BO4236" s="1">
        <v>42917</v>
      </c>
      <c r="BP4236" s="1">
        <v>44117</v>
      </c>
      <c r="BQ4236" t="s">
        <v>51</v>
      </c>
      <c r="BS4236" t="s">
        <v>60</v>
      </c>
      <c r="BT4236" t="s">
        <v>54</v>
      </c>
      <c r="BU4236" t="s">
        <v>61</v>
      </c>
      <c r="BV4236" t="s">
        <v>62</v>
      </c>
      <c r="BX4236">
        <v>24</v>
      </c>
      <c r="BY4236">
        <v>0</v>
      </c>
      <c r="BZ4236">
        <v>0</v>
      </c>
    </row>
    <row r="4237" spans="1:78" x14ac:dyDescent="0.2">
      <c r="A4237" t="s">
        <v>112</v>
      </c>
      <c r="B4237" t="s">
        <v>113</v>
      </c>
      <c r="C4237" t="s">
        <v>114</v>
      </c>
      <c r="D4237" t="s">
        <v>428</v>
      </c>
      <c r="F4237" t="str">
        <f>"251267"</f>
        <v>251267</v>
      </c>
      <c r="G4237" t="s">
        <v>49</v>
      </c>
      <c r="H4237" t="s">
        <v>93</v>
      </c>
      <c r="K4237" t="s">
        <v>51</v>
      </c>
      <c r="L4237" t="s">
        <v>52</v>
      </c>
      <c r="M4237">
        <v>136865.81</v>
      </c>
      <c r="N4237">
        <v>472141.63</v>
      </c>
      <c r="O4237" t="s">
        <v>53</v>
      </c>
      <c r="P4237" t="s">
        <v>54</v>
      </c>
      <c r="Q4237" t="s">
        <v>55</v>
      </c>
      <c r="T4237" t="s">
        <v>183</v>
      </c>
      <c r="U4237">
        <v>40</v>
      </c>
      <c r="V4237" s="1">
        <v>27395</v>
      </c>
      <c r="W4237" s="1">
        <v>27395</v>
      </c>
      <c r="X4237" s="1">
        <v>27395</v>
      </c>
      <c r="Y4237" s="1">
        <v>42005</v>
      </c>
      <c r="Z4237" t="s">
        <v>51</v>
      </c>
      <c r="AB4237" t="s">
        <v>54</v>
      </c>
      <c r="AC4237">
        <v>1</v>
      </c>
      <c r="AE4237" t="s">
        <v>84</v>
      </c>
      <c r="AF4237">
        <v>20</v>
      </c>
      <c r="AG4237" s="1">
        <v>33786</v>
      </c>
      <c r="AH4237" s="1">
        <v>33786</v>
      </c>
      <c r="AI4237" s="1">
        <v>33786</v>
      </c>
      <c r="AJ4237" s="1">
        <v>41091</v>
      </c>
      <c r="AK4237" t="s">
        <v>51</v>
      </c>
      <c r="AN4237">
        <v>0</v>
      </c>
      <c r="AO4237" t="s">
        <v>54</v>
      </c>
      <c r="AP4237" t="s">
        <v>53</v>
      </c>
      <c r="AQ4237">
        <v>0</v>
      </c>
      <c r="AR4237" t="s">
        <v>53</v>
      </c>
      <c r="AS4237">
        <v>0</v>
      </c>
      <c r="AT4237">
        <v>0</v>
      </c>
      <c r="AW4237" t="s">
        <v>58</v>
      </c>
      <c r="AX4237">
        <v>20</v>
      </c>
      <c r="AY4237" s="1">
        <v>33786</v>
      </c>
      <c r="AZ4237" s="1">
        <v>33786</v>
      </c>
      <c r="BA4237" s="1">
        <v>33786</v>
      </c>
      <c r="BB4237" s="1">
        <v>41091</v>
      </c>
      <c r="BC4237" t="s">
        <v>51</v>
      </c>
      <c r="BE4237" t="s">
        <v>54</v>
      </c>
      <c r="BF4237">
        <v>2</v>
      </c>
      <c r="BG4237">
        <v>0</v>
      </c>
      <c r="BH4237" t="s">
        <v>53</v>
      </c>
      <c r="BK4237" t="s">
        <v>59</v>
      </c>
      <c r="BL4237">
        <v>14000</v>
      </c>
      <c r="BM4237" s="1">
        <v>42917</v>
      </c>
      <c r="BN4237" s="1">
        <v>42917</v>
      </c>
      <c r="BO4237" s="1">
        <v>42917</v>
      </c>
      <c r="BP4237" s="1">
        <v>44117</v>
      </c>
      <c r="BQ4237" t="s">
        <v>51</v>
      </c>
      <c r="BS4237" t="s">
        <v>60</v>
      </c>
      <c r="BT4237" t="s">
        <v>54</v>
      </c>
      <c r="BU4237" t="s">
        <v>61</v>
      </c>
      <c r="BV4237" t="s">
        <v>62</v>
      </c>
      <c r="BX4237">
        <v>24</v>
      </c>
      <c r="BY4237">
        <v>0</v>
      </c>
      <c r="BZ4237">
        <v>0</v>
      </c>
    </row>
    <row r="4238" spans="1:78" x14ac:dyDescent="0.2">
      <c r="A4238" t="s">
        <v>112</v>
      </c>
      <c r="B4238" t="s">
        <v>113</v>
      </c>
      <c r="C4238" t="s">
        <v>114</v>
      </c>
      <c r="D4238" t="s">
        <v>428</v>
      </c>
      <c r="F4238" t="str">
        <f>"251268"</f>
        <v>251268</v>
      </c>
      <c r="G4238" t="s">
        <v>49</v>
      </c>
      <c r="H4238" t="s">
        <v>656</v>
      </c>
      <c r="K4238" t="s">
        <v>51</v>
      </c>
      <c r="L4238" t="s">
        <v>52</v>
      </c>
      <c r="M4238">
        <v>136871.60999999999</v>
      </c>
      <c r="N4238">
        <v>472177.54</v>
      </c>
      <c r="O4238" t="s">
        <v>53</v>
      </c>
      <c r="P4238" t="s">
        <v>54</v>
      </c>
      <c r="Q4238" t="s">
        <v>55</v>
      </c>
      <c r="T4238" t="s">
        <v>183</v>
      </c>
      <c r="U4238">
        <v>40</v>
      </c>
      <c r="V4238" s="1">
        <v>27395</v>
      </c>
      <c r="W4238" s="1">
        <v>27395</v>
      </c>
      <c r="X4238" s="1">
        <v>27395</v>
      </c>
      <c r="Y4238" s="1">
        <v>42005</v>
      </c>
      <c r="Z4238" t="s">
        <v>51</v>
      </c>
      <c r="AB4238" t="s">
        <v>54</v>
      </c>
      <c r="AC4238">
        <v>1</v>
      </c>
      <c r="AE4238" t="s">
        <v>84</v>
      </c>
      <c r="AF4238">
        <v>20</v>
      </c>
      <c r="AG4238" s="1">
        <v>33786</v>
      </c>
      <c r="AH4238" s="1">
        <v>33786</v>
      </c>
      <c r="AI4238" s="1">
        <v>33786</v>
      </c>
      <c r="AJ4238" s="1">
        <v>41091</v>
      </c>
      <c r="AK4238" t="s">
        <v>51</v>
      </c>
      <c r="AN4238">
        <v>0</v>
      </c>
      <c r="AO4238" t="s">
        <v>54</v>
      </c>
      <c r="AP4238" t="s">
        <v>53</v>
      </c>
      <c r="AQ4238">
        <v>0</v>
      </c>
      <c r="AR4238" t="s">
        <v>53</v>
      </c>
      <c r="AS4238">
        <v>0</v>
      </c>
      <c r="AT4238">
        <v>0</v>
      </c>
      <c r="AW4238" t="s">
        <v>58</v>
      </c>
      <c r="AX4238">
        <v>20</v>
      </c>
      <c r="AY4238" s="1">
        <v>33786</v>
      </c>
      <c r="AZ4238" s="1">
        <v>33786</v>
      </c>
      <c r="BA4238" s="1">
        <v>33786</v>
      </c>
      <c r="BB4238" s="1">
        <v>41091</v>
      </c>
      <c r="BC4238" t="s">
        <v>51</v>
      </c>
      <c r="BE4238" t="s">
        <v>54</v>
      </c>
      <c r="BF4238">
        <v>2</v>
      </c>
      <c r="BG4238">
        <v>0</v>
      </c>
      <c r="BH4238" t="s">
        <v>53</v>
      </c>
      <c r="BK4238" t="s">
        <v>59</v>
      </c>
      <c r="BL4238">
        <v>14000</v>
      </c>
      <c r="BM4238" s="1">
        <v>42917</v>
      </c>
      <c r="BN4238" s="1">
        <v>42917</v>
      </c>
      <c r="BO4238" s="1">
        <v>42917</v>
      </c>
      <c r="BP4238" s="1">
        <v>44117</v>
      </c>
      <c r="BQ4238" t="s">
        <v>51</v>
      </c>
      <c r="BS4238" t="s">
        <v>60</v>
      </c>
      <c r="BT4238" t="s">
        <v>54</v>
      </c>
      <c r="BU4238" t="s">
        <v>61</v>
      </c>
      <c r="BV4238" t="s">
        <v>62</v>
      </c>
      <c r="BX4238">
        <v>24</v>
      </c>
      <c r="BY4238">
        <v>0</v>
      </c>
      <c r="BZ4238">
        <v>0</v>
      </c>
    </row>
    <row r="4239" spans="1:78" x14ac:dyDescent="0.2">
      <c r="A4239" t="s">
        <v>112</v>
      </c>
      <c r="B4239" t="s">
        <v>113</v>
      </c>
      <c r="C4239" t="s">
        <v>114</v>
      </c>
      <c r="D4239" t="s">
        <v>428</v>
      </c>
      <c r="F4239" t="str">
        <f>"251269"</f>
        <v>251269</v>
      </c>
      <c r="G4239" t="s">
        <v>49</v>
      </c>
      <c r="H4239" t="s">
        <v>166</v>
      </c>
      <c r="K4239" t="s">
        <v>51</v>
      </c>
      <c r="L4239" t="s">
        <v>52</v>
      </c>
      <c r="M4239">
        <v>136863.51</v>
      </c>
      <c r="N4239">
        <v>472207.46</v>
      </c>
      <c r="O4239" t="s">
        <v>53</v>
      </c>
      <c r="P4239" t="s">
        <v>54</v>
      </c>
      <c r="Q4239" t="s">
        <v>55</v>
      </c>
      <c r="T4239" t="s">
        <v>183</v>
      </c>
      <c r="U4239">
        <v>40</v>
      </c>
      <c r="V4239" s="1">
        <v>27395</v>
      </c>
      <c r="W4239" s="1">
        <v>27395</v>
      </c>
      <c r="X4239" s="1">
        <v>27395</v>
      </c>
      <c r="Y4239" s="1">
        <v>42005</v>
      </c>
      <c r="Z4239" t="s">
        <v>51</v>
      </c>
      <c r="AB4239" t="s">
        <v>54</v>
      </c>
      <c r="AC4239">
        <v>1</v>
      </c>
      <c r="AE4239" t="s">
        <v>84</v>
      </c>
      <c r="AF4239">
        <v>20</v>
      </c>
      <c r="AG4239" s="1">
        <v>33786</v>
      </c>
      <c r="AH4239" s="1">
        <v>33786</v>
      </c>
      <c r="AI4239" s="1">
        <v>33786</v>
      </c>
      <c r="AJ4239" s="1">
        <v>41091</v>
      </c>
      <c r="AK4239" t="s">
        <v>51</v>
      </c>
      <c r="AN4239">
        <v>0</v>
      </c>
      <c r="AO4239" t="s">
        <v>54</v>
      </c>
      <c r="AP4239" t="s">
        <v>53</v>
      </c>
      <c r="AQ4239">
        <v>0</v>
      </c>
      <c r="AR4239" t="s">
        <v>53</v>
      </c>
      <c r="AS4239">
        <v>0</v>
      </c>
      <c r="AT4239">
        <v>0</v>
      </c>
      <c r="AW4239" t="s">
        <v>58</v>
      </c>
      <c r="AX4239">
        <v>20</v>
      </c>
      <c r="AY4239" s="1">
        <v>33786</v>
      </c>
      <c r="AZ4239" s="1">
        <v>33786</v>
      </c>
      <c r="BA4239" s="1">
        <v>33786</v>
      </c>
      <c r="BB4239" s="1">
        <v>41091</v>
      </c>
      <c r="BC4239" t="s">
        <v>51</v>
      </c>
      <c r="BE4239" t="s">
        <v>54</v>
      </c>
      <c r="BF4239">
        <v>2</v>
      </c>
      <c r="BG4239">
        <v>0</v>
      </c>
      <c r="BH4239" t="s">
        <v>53</v>
      </c>
      <c r="BK4239" t="s">
        <v>59</v>
      </c>
      <c r="BL4239">
        <v>14000</v>
      </c>
      <c r="BM4239" s="1">
        <v>42917</v>
      </c>
      <c r="BN4239" s="1">
        <v>42917</v>
      </c>
      <c r="BO4239" s="1">
        <v>42917</v>
      </c>
      <c r="BP4239" s="1">
        <v>44117</v>
      </c>
      <c r="BQ4239" t="s">
        <v>51</v>
      </c>
      <c r="BS4239" t="s">
        <v>60</v>
      </c>
      <c r="BT4239" t="s">
        <v>54</v>
      </c>
      <c r="BU4239" t="s">
        <v>61</v>
      </c>
      <c r="BV4239" t="s">
        <v>62</v>
      </c>
      <c r="BX4239">
        <v>24</v>
      </c>
      <c r="BY4239">
        <v>0</v>
      </c>
      <c r="BZ4239">
        <v>0</v>
      </c>
    </row>
    <row r="4240" spans="1:78" x14ac:dyDescent="0.2">
      <c r="A4240" t="s">
        <v>112</v>
      </c>
      <c r="B4240" t="s">
        <v>113</v>
      </c>
      <c r="C4240" t="s">
        <v>114</v>
      </c>
      <c r="D4240" t="s">
        <v>428</v>
      </c>
      <c r="F4240" t="str">
        <f>"251270"</f>
        <v>251270</v>
      </c>
      <c r="G4240" t="s">
        <v>49</v>
      </c>
      <c r="H4240" t="s">
        <v>297</v>
      </c>
      <c r="K4240" t="s">
        <v>51</v>
      </c>
      <c r="L4240" t="s">
        <v>52</v>
      </c>
      <c r="M4240">
        <v>136870.09</v>
      </c>
      <c r="N4240">
        <v>472241.03</v>
      </c>
      <c r="O4240" t="s">
        <v>53</v>
      </c>
      <c r="P4240" t="s">
        <v>54</v>
      </c>
      <c r="Q4240" t="s">
        <v>55</v>
      </c>
      <c r="T4240" t="s">
        <v>183</v>
      </c>
      <c r="U4240">
        <v>40</v>
      </c>
      <c r="V4240" s="1">
        <v>27395</v>
      </c>
      <c r="W4240" s="1">
        <v>27395</v>
      </c>
      <c r="X4240" s="1">
        <v>27395</v>
      </c>
      <c r="Y4240" s="1">
        <v>42005</v>
      </c>
      <c r="Z4240" t="s">
        <v>51</v>
      </c>
      <c r="AB4240" t="s">
        <v>54</v>
      </c>
      <c r="AC4240">
        <v>1</v>
      </c>
      <c r="AE4240" t="s">
        <v>84</v>
      </c>
      <c r="AF4240">
        <v>20</v>
      </c>
      <c r="AG4240" s="1">
        <v>33786</v>
      </c>
      <c r="AH4240" s="1">
        <v>33786</v>
      </c>
      <c r="AI4240" s="1">
        <v>33786</v>
      </c>
      <c r="AJ4240" s="1">
        <v>41091</v>
      </c>
      <c r="AK4240" t="s">
        <v>51</v>
      </c>
      <c r="AN4240">
        <v>0</v>
      </c>
      <c r="AO4240" t="s">
        <v>54</v>
      </c>
      <c r="AP4240" t="s">
        <v>53</v>
      </c>
      <c r="AQ4240">
        <v>0</v>
      </c>
      <c r="AR4240" t="s">
        <v>53</v>
      </c>
      <c r="AS4240">
        <v>0</v>
      </c>
      <c r="AT4240">
        <v>0</v>
      </c>
      <c r="AW4240" t="s">
        <v>58</v>
      </c>
      <c r="AX4240">
        <v>20</v>
      </c>
      <c r="AY4240" s="1">
        <v>43444</v>
      </c>
      <c r="AZ4240" s="1">
        <v>43444</v>
      </c>
      <c r="BA4240" s="1">
        <v>43444</v>
      </c>
      <c r="BB4240" s="1">
        <v>50749</v>
      </c>
      <c r="BC4240" t="s">
        <v>51</v>
      </c>
      <c r="BE4240" t="s">
        <v>54</v>
      </c>
      <c r="BF4240">
        <v>2</v>
      </c>
      <c r="BG4240">
        <v>0</v>
      </c>
      <c r="BH4240" t="s">
        <v>53</v>
      </c>
      <c r="BK4240" t="s">
        <v>59</v>
      </c>
      <c r="BL4240">
        <v>14000</v>
      </c>
      <c r="BM4240" s="1">
        <v>43381</v>
      </c>
      <c r="BN4240" s="1">
        <v>43381</v>
      </c>
      <c r="BO4240" s="1">
        <v>43444</v>
      </c>
      <c r="BP4240" s="1">
        <v>44543</v>
      </c>
      <c r="BQ4240" t="s">
        <v>51</v>
      </c>
      <c r="BS4240" t="s">
        <v>60</v>
      </c>
      <c r="BT4240" t="s">
        <v>54</v>
      </c>
      <c r="BU4240" t="s">
        <v>61</v>
      </c>
      <c r="BV4240" t="s">
        <v>62</v>
      </c>
      <c r="BX4240">
        <v>24</v>
      </c>
      <c r="BY4240">
        <v>0</v>
      </c>
      <c r="BZ4240">
        <v>0</v>
      </c>
    </row>
    <row r="4241" spans="1:78" x14ac:dyDescent="0.2">
      <c r="A4241" t="s">
        <v>112</v>
      </c>
      <c r="B4241" t="s">
        <v>113</v>
      </c>
      <c r="C4241" t="s">
        <v>114</v>
      </c>
      <c r="D4241" t="s">
        <v>428</v>
      </c>
      <c r="F4241" t="str">
        <f>"251271"</f>
        <v>251271</v>
      </c>
      <c r="G4241" t="s">
        <v>49</v>
      </c>
      <c r="K4241" t="s">
        <v>51</v>
      </c>
      <c r="L4241" t="s">
        <v>52</v>
      </c>
      <c r="M4241">
        <v>136859.56</v>
      </c>
      <c r="N4241">
        <v>472269</v>
      </c>
      <c r="O4241" t="s">
        <v>53</v>
      </c>
      <c r="P4241" t="s">
        <v>54</v>
      </c>
      <c r="Q4241" t="s">
        <v>55</v>
      </c>
      <c r="T4241" t="s">
        <v>2048</v>
      </c>
      <c r="U4241">
        <v>40</v>
      </c>
      <c r="V4241" s="1">
        <v>27395</v>
      </c>
      <c r="W4241" s="1">
        <v>27395</v>
      </c>
      <c r="X4241" s="1">
        <v>27395</v>
      </c>
      <c r="Y4241" s="1">
        <v>42005</v>
      </c>
      <c r="Z4241" t="s">
        <v>51</v>
      </c>
      <c r="AB4241" t="s">
        <v>54</v>
      </c>
      <c r="AC4241">
        <v>1</v>
      </c>
      <c r="AE4241" t="s">
        <v>559</v>
      </c>
      <c r="AF4241">
        <v>20</v>
      </c>
      <c r="AG4241" s="1">
        <v>33786</v>
      </c>
      <c r="AH4241" s="1">
        <v>33786</v>
      </c>
      <c r="AI4241" s="1">
        <v>33786</v>
      </c>
      <c r="AJ4241" s="1">
        <v>41091</v>
      </c>
      <c r="AK4241" t="s">
        <v>51</v>
      </c>
      <c r="AN4241">
        <v>0</v>
      </c>
      <c r="AO4241" t="s">
        <v>54</v>
      </c>
      <c r="AP4241" t="s">
        <v>53</v>
      </c>
      <c r="AQ4241">
        <v>0</v>
      </c>
      <c r="AR4241" t="s">
        <v>53</v>
      </c>
      <c r="AS4241">
        <v>0</v>
      </c>
      <c r="AT4241">
        <v>0</v>
      </c>
      <c r="AW4241" t="s">
        <v>58</v>
      </c>
      <c r="AX4241">
        <v>20</v>
      </c>
      <c r="AY4241" s="1">
        <v>33786</v>
      </c>
      <c r="AZ4241" s="1">
        <v>33786</v>
      </c>
      <c r="BA4241" s="1">
        <v>33786</v>
      </c>
      <c r="BB4241" s="1">
        <v>41091</v>
      </c>
      <c r="BC4241" t="s">
        <v>51</v>
      </c>
      <c r="BE4241" t="s">
        <v>54</v>
      </c>
      <c r="BF4241">
        <v>2</v>
      </c>
      <c r="BG4241">
        <v>0</v>
      </c>
      <c r="BH4241" t="s">
        <v>53</v>
      </c>
      <c r="BK4241" t="s">
        <v>361</v>
      </c>
      <c r="BL4241">
        <v>21500</v>
      </c>
      <c r="BM4241" s="1">
        <v>44956</v>
      </c>
      <c r="BN4241" s="1">
        <v>44956</v>
      </c>
      <c r="BO4241" s="1">
        <v>44956</v>
      </c>
      <c r="BP4241" s="1">
        <v>46775</v>
      </c>
      <c r="BQ4241" t="s">
        <v>51</v>
      </c>
      <c r="BS4241" t="s">
        <v>60</v>
      </c>
      <c r="BT4241" t="s">
        <v>54</v>
      </c>
      <c r="BU4241" t="s">
        <v>362</v>
      </c>
      <c r="BV4241" t="s">
        <v>354</v>
      </c>
      <c r="BX4241">
        <v>70</v>
      </c>
      <c r="BY4241">
        <v>0</v>
      </c>
      <c r="BZ4241">
        <v>0</v>
      </c>
    </row>
    <row r="4242" spans="1:78" x14ac:dyDescent="0.2">
      <c r="A4242" t="s">
        <v>112</v>
      </c>
      <c r="B4242" t="s">
        <v>113</v>
      </c>
      <c r="C4242" t="s">
        <v>114</v>
      </c>
      <c r="D4242" t="s">
        <v>428</v>
      </c>
      <c r="F4242" t="str">
        <f>"251272"</f>
        <v>251272</v>
      </c>
      <c r="G4242" t="s">
        <v>49</v>
      </c>
      <c r="H4242" t="s">
        <v>2049</v>
      </c>
      <c r="K4242" t="s">
        <v>51</v>
      </c>
      <c r="L4242" t="s">
        <v>52</v>
      </c>
      <c r="M4242">
        <v>136878.37</v>
      </c>
      <c r="N4242">
        <v>472200.28</v>
      </c>
      <c r="O4242" t="s">
        <v>53</v>
      </c>
      <c r="P4242" t="s">
        <v>54</v>
      </c>
      <c r="Q4242" t="s">
        <v>55</v>
      </c>
      <c r="T4242" t="s">
        <v>700</v>
      </c>
      <c r="U4242">
        <v>40</v>
      </c>
      <c r="V4242" s="1">
        <v>35796</v>
      </c>
      <c r="W4242" s="1">
        <v>35796</v>
      </c>
      <c r="X4242" s="1">
        <v>35796</v>
      </c>
      <c r="Y4242" s="1">
        <v>50406</v>
      </c>
      <c r="Z4242" t="s">
        <v>51</v>
      </c>
      <c r="AB4242" t="s">
        <v>54</v>
      </c>
      <c r="AC4242">
        <v>1</v>
      </c>
      <c r="AE4242" t="s">
        <v>564</v>
      </c>
      <c r="AF4242">
        <v>20</v>
      </c>
      <c r="AG4242" s="1">
        <v>35977</v>
      </c>
      <c r="AH4242" s="1">
        <v>35977</v>
      </c>
      <c r="AI4242" s="1">
        <v>35977</v>
      </c>
      <c r="AJ4242" s="1">
        <v>43282</v>
      </c>
      <c r="AK4242" t="s">
        <v>51</v>
      </c>
      <c r="AN4242">
        <v>0</v>
      </c>
      <c r="AO4242" t="s">
        <v>54</v>
      </c>
      <c r="AP4242" t="s">
        <v>53</v>
      </c>
      <c r="AQ4242">
        <v>0</v>
      </c>
      <c r="AR4242" t="s">
        <v>53</v>
      </c>
      <c r="AS4242">
        <v>0</v>
      </c>
      <c r="AT4242">
        <v>0</v>
      </c>
      <c r="AW4242" t="s">
        <v>58</v>
      </c>
      <c r="AX4242">
        <v>20</v>
      </c>
      <c r="AY4242" s="1">
        <v>35977</v>
      </c>
      <c r="AZ4242" s="1">
        <v>35977</v>
      </c>
      <c r="BA4242" s="1">
        <v>35977</v>
      </c>
      <c r="BB4242" s="1">
        <v>43282</v>
      </c>
      <c r="BC4242" t="s">
        <v>51</v>
      </c>
      <c r="BE4242" t="s">
        <v>54</v>
      </c>
      <c r="BF4242">
        <v>2</v>
      </c>
      <c r="BG4242">
        <v>0</v>
      </c>
      <c r="BH4242" t="s">
        <v>53</v>
      </c>
      <c r="BI4242">
        <v>1</v>
      </c>
      <c r="BK4242" t="s">
        <v>59</v>
      </c>
      <c r="BL4242">
        <v>14000</v>
      </c>
      <c r="BM4242" s="1">
        <v>41456</v>
      </c>
      <c r="BN4242" s="1">
        <v>41456</v>
      </c>
      <c r="BO4242" s="1">
        <v>41456</v>
      </c>
      <c r="BP4242" s="1">
        <v>42656</v>
      </c>
      <c r="BQ4242" t="s">
        <v>51</v>
      </c>
      <c r="BS4242" t="s">
        <v>60</v>
      </c>
      <c r="BT4242" t="s">
        <v>54</v>
      </c>
      <c r="BU4242" t="s">
        <v>61</v>
      </c>
      <c r="BV4242" t="s">
        <v>62</v>
      </c>
      <c r="BX4242">
        <v>24</v>
      </c>
      <c r="BY4242">
        <v>0</v>
      </c>
      <c r="BZ4242">
        <v>0</v>
      </c>
    </row>
    <row r="4243" spans="1:78" x14ac:dyDescent="0.2">
      <c r="A4243" t="s">
        <v>112</v>
      </c>
      <c r="B4243" t="s">
        <v>113</v>
      </c>
      <c r="C4243" t="s">
        <v>114</v>
      </c>
      <c r="D4243" t="s">
        <v>428</v>
      </c>
      <c r="F4243" t="str">
        <f>"251273"</f>
        <v>251273</v>
      </c>
      <c r="G4243" t="s">
        <v>49</v>
      </c>
      <c r="H4243" t="s">
        <v>2050</v>
      </c>
      <c r="K4243" t="s">
        <v>51</v>
      </c>
      <c r="L4243" t="s">
        <v>52</v>
      </c>
      <c r="M4243">
        <v>136880.98000000001</v>
      </c>
      <c r="N4243">
        <v>472142.91</v>
      </c>
      <c r="O4243" t="s">
        <v>53</v>
      </c>
      <c r="P4243" t="s">
        <v>54</v>
      </c>
      <c r="Q4243" t="s">
        <v>55</v>
      </c>
      <c r="T4243" t="s">
        <v>700</v>
      </c>
      <c r="U4243">
        <v>40</v>
      </c>
      <c r="V4243" s="1">
        <v>35796</v>
      </c>
      <c r="W4243" s="1">
        <v>35796</v>
      </c>
      <c r="X4243" s="1">
        <v>35796</v>
      </c>
      <c r="Y4243" s="1">
        <v>50406</v>
      </c>
      <c r="Z4243" t="s">
        <v>51</v>
      </c>
      <c r="AB4243" t="s">
        <v>54</v>
      </c>
      <c r="AC4243">
        <v>1</v>
      </c>
      <c r="AE4243" t="s">
        <v>564</v>
      </c>
      <c r="AF4243">
        <v>20</v>
      </c>
      <c r="AG4243" s="1">
        <v>35977</v>
      </c>
      <c r="AH4243" s="1">
        <v>35977</v>
      </c>
      <c r="AI4243" s="1">
        <v>35977</v>
      </c>
      <c r="AJ4243" s="1">
        <v>43282</v>
      </c>
      <c r="AK4243" t="s">
        <v>51</v>
      </c>
      <c r="AN4243">
        <v>0</v>
      </c>
      <c r="AO4243" t="s">
        <v>54</v>
      </c>
      <c r="AP4243" t="s">
        <v>53</v>
      </c>
      <c r="AQ4243">
        <v>0</v>
      </c>
      <c r="AR4243" t="s">
        <v>53</v>
      </c>
      <c r="AS4243">
        <v>0</v>
      </c>
      <c r="AT4243">
        <v>0</v>
      </c>
      <c r="AW4243" t="s">
        <v>58</v>
      </c>
      <c r="AX4243">
        <v>20</v>
      </c>
      <c r="AY4243" s="1">
        <v>35977</v>
      </c>
      <c r="AZ4243" s="1">
        <v>35977</v>
      </c>
      <c r="BA4243" s="1">
        <v>35977</v>
      </c>
      <c r="BB4243" s="1">
        <v>43282</v>
      </c>
      <c r="BC4243" t="s">
        <v>51</v>
      </c>
      <c r="BE4243" t="s">
        <v>54</v>
      </c>
      <c r="BF4243">
        <v>2</v>
      </c>
      <c r="BG4243">
        <v>0</v>
      </c>
      <c r="BH4243" t="s">
        <v>53</v>
      </c>
      <c r="BI4243">
        <v>1</v>
      </c>
      <c r="BK4243" t="s">
        <v>59</v>
      </c>
      <c r="BL4243">
        <v>14000</v>
      </c>
      <c r="BM4243" s="1">
        <v>41456</v>
      </c>
      <c r="BN4243" s="1">
        <v>41456</v>
      </c>
      <c r="BO4243" s="1">
        <v>41456</v>
      </c>
      <c r="BP4243" s="1">
        <v>42656</v>
      </c>
      <c r="BQ4243" t="s">
        <v>51</v>
      </c>
      <c r="BS4243" t="s">
        <v>60</v>
      </c>
      <c r="BT4243" t="s">
        <v>54</v>
      </c>
      <c r="BU4243" t="s">
        <v>61</v>
      </c>
      <c r="BV4243" t="s">
        <v>62</v>
      </c>
      <c r="BX4243">
        <v>24</v>
      </c>
      <c r="BY4243">
        <v>0</v>
      </c>
      <c r="BZ4243">
        <v>0</v>
      </c>
    </row>
    <row r="4244" spans="1:78" x14ac:dyDescent="0.2">
      <c r="A4244" t="s">
        <v>112</v>
      </c>
      <c r="B4244" t="s">
        <v>113</v>
      </c>
      <c r="C4244" t="s">
        <v>114</v>
      </c>
      <c r="D4244" t="s">
        <v>428</v>
      </c>
      <c r="F4244" t="str">
        <f>"251274"</f>
        <v>251274</v>
      </c>
      <c r="G4244" t="s">
        <v>49</v>
      </c>
      <c r="H4244" t="s">
        <v>2051</v>
      </c>
      <c r="K4244" t="s">
        <v>51</v>
      </c>
      <c r="L4244" t="s">
        <v>52</v>
      </c>
      <c r="M4244">
        <v>136881.93</v>
      </c>
      <c r="N4244">
        <v>472090.34</v>
      </c>
      <c r="O4244" t="s">
        <v>53</v>
      </c>
      <c r="P4244" t="s">
        <v>54</v>
      </c>
      <c r="Q4244" t="s">
        <v>55</v>
      </c>
      <c r="T4244" t="s">
        <v>700</v>
      </c>
      <c r="U4244">
        <v>40</v>
      </c>
      <c r="V4244" s="1">
        <v>35796</v>
      </c>
      <c r="W4244" s="1">
        <v>35796</v>
      </c>
      <c r="X4244" s="1">
        <v>35796</v>
      </c>
      <c r="Y4244" s="1">
        <v>50406</v>
      </c>
      <c r="Z4244" t="s">
        <v>51</v>
      </c>
      <c r="AB4244" t="s">
        <v>54</v>
      </c>
      <c r="AC4244">
        <v>1</v>
      </c>
      <c r="AE4244" t="s">
        <v>564</v>
      </c>
      <c r="AF4244">
        <v>20</v>
      </c>
      <c r="AG4244" s="1">
        <v>35977</v>
      </c>
      <c r="AH4244" s="1">
        <v>35977</v>
      </c>
      <c r="AI4244" s="1">
        <v>35977</v>
      </c>
      <c r="AJ4244" s="1">
        <v>43282</v>
      </c>
      <c r="AK4244" t="s">
        <v>51</v>
      </c>
      <c r="AN4244">
        <v>0</v>
      </c>
      <c r="AO4244" t="s">
        <v>54</v>
      </c>
      <c r="AP4244" t="s">
        <v>53</v>
      </c>
      <c r="AQ4244">
        <v>0</v>
      </c>
      <c r="AR4244" t="s">
        <v>53</v>
      </c>
      <c r="AS4244">
        <v>0</v>
      </c>
      <c r="AT4244">
        <v>0</v>
      </c>
      <c r="AW4244" t="s">
        <v>58</v>
      </c>
      <c r="AX4244">
        <v>20</v>
      </c>
      <c r="AY4244" s="1">
        <v>35977</v>
      </c>
      <c r="AZ4244" s="1">
        <v>35977</v>
      </c>
      <c r="BA4244" s="1">
        <v>35977</v>
      </c>
      <c r="BB4244" s="1">
        <v>43282</v>
      </c>
      <c r="BC4244" t="s">
        <v>51</v>
      </c>
      <c r="BE4244" t="s">
        <v>54</v>
      </c>
      <c r="BF4244">
        <v>2</v>
      </c>
      <c r="BG4244">
        <v>0</v>
      </c>
      <c r="BH4244" t="s">
        <v>53</v>
      </c>
      <c r="BI4244">
        <v>1</v>
      </c>
      <c r="BK4244" t="s">
        <v>59</v>
      </c>
      <c r="BL4244">
        <v>14000</v>
      </c>
      <c r="BM4244" s="1">
        <v>41456</v>
      </c>
      <c r="BN4244" s="1">
        <v>41456</v>
      </c>
      <c r="BO4244" s="1">
        <v>41456</v>
      </c>
      <c r="BP4244" s="1">
        <v>42656</v>
      </c>
      <c r="BQ4244" t="s">
        <v>51</v>
      </c>
      <c r="BS4244" t="s">
        <v>60</v>
      </c>
      <c r="BT4244" t="s">
        <v>54</v>
      </c>
      <c r="BU4244" t="s">
        <v>61</v>
      </c>
      <c r="BV4244" t="s">
        <v>62</v>
      </c>
      <c r="BX4244">
        <v>24</v>
      </c>
      <c r="BY4244">
        <v>0</v>
      </c>
      <c r="BZ4244">
        <v>0</v>
      </c>
    </row>
    <row r="4245" spans="1:78" x14ac:dyDescent="0.2">
      <c r="A4245" t="s">
        <v>112</v>
      </c>
      <c r="B4245" t="s">
        <v>113</v>
      </c>
      <c r="C4245" t="s">
        <v>114</v>
      </c>
      <c r="D4245" t="s">
        <v>428</v>
      </c>
      <c r="F4245" t="str">
        <f>"251275"</f>
        <v>251275</v>
      </c>
      <c r="G4245" t="s">
        <v>49</v>
      </c>
      <c r="H4245" t="s">
        <v>2052</v>
      </c>
      <c r="K4245" t="s">
        <v>51</v>
      </c>
      <c r="L4245" t="s">
        <v>52</v>
      </c>
      <c r="M4245">
        <v>136883.93</v>
      </c>
      <c r="N4245">
        <v>472020.05</v>
      </c>
      <c r="O4245" t="s">
        <v>53</v>
      </c>
      <c r="P4245" t="s">
        <v>54</v>
      </c>
      <c r="Q4245" t="s">
        <v>55</v>
      </c>
      <c r="T4245" t="s">
        <v>700</v>
      </c>
      <c r="U4245">
        <v>40</v>
      </c>
      <c r="V4245" s="1">
        <v>35796</v>
      </c>
      <c r="W4245" s="1">
        <v>35796</v>
      </c>
      <c r="X4245" s="1">
        <v>35796</v>
      </c>
      <c r="Y4245" s="1">
        <v>50406</v>
      </c>
      <c r="Z4245" t="s">
        <v>51</v>
      </c>
      <c r="AB4245" t="s">
        <v>54</v>
      </c>
      <c r="AC4245">
        <v>1</v>
      </c>
      <c r="AE4245" t="s">
        <v>564</v>
      </c>
      <c r="AF4245">
        <v>20</v>
      </c>
      <c r="AG4245" s="1">
        <v>35977</v>
      </c>
      <c r="AH4245" s="1">
        <v>35977</v>
      </c>
      <c r="AI4245" s="1">
        <v>35977</v>
      </c>
      <c r="AJ4245" s="1">
        <v>43282</v>
      </c>
      <c r="AK4245" t="s">
        <v>51</v>
      </c>
      <c r="AN4245">
        <v>0</v>
      </c>
      <c r="AO4245" t="s">
        <v>54</v>
      </c>
      <c r="AP4245" t="s">
        <v>53</v>
      </c>
      <c r="AQ4245">
        <v>0</v>
      </c>
      <c r="AR4245" t="s">
        <v>53</v>
      </c>
      <c r="AS4245">
        <v>0</v>
      </c>
      <c r="AT4245">
        <v>0</v>
      </c>
      <c r="AW4245" t="s">
        <v>58</v>
      </c>
      <c r="AX4245">
        <v>20</v>
      </c>
      <c r="AY4245" s="1">
        <v>35977</v>
      </c>
      <c r="AZ4245" s="1">
        <v>35977</v>
      </c>
      <c r="BA4245" s="1">
        <v>35977</v>
      </c>
      <c r="BB4245" s="1">
        <v>43282</v>
      </c>
      <c r="BC4245" t="s">
        <v>51</v>
      </c>
      <c r="BE4245" t="s">
        <v>54</v>
      </c>
      <c r="BF4245">
        <v>2</v>
      </c>
      <c r="BG4245">
        <v>0</v>
      </c>
      <c r="BH4245" t="s">
        <v>53</v>
      </c>
      <c r="BI4245">
        <v>1</v>
      </c>
      <c r="BK4245" t="s">
        <v>59</v>
      </c>
      <c r="BL4245">
        <v>14000</v>
      </c>
      <c r="BM4245" s="1">
        <v>41456</v>
      </c>
      <c r="BN4245" s="1">
        <v>41456</v>
      </c>
      <c r="BO4245" s="1">
        <v>41456</v>
      </c>
      <c r="BP4245" s="1">
        <v>42656</v>
      </c>
      <c r="BQ4245" t="s">
        <v>51</v>
      </c>
      <c r="BS4245" t="s">
        <v>60</v>
      </c>
      <c r="BT4245" t="s">
        <v>54</v>
      </c>
      <c r="BU4245" t="s">
        <v>61</v>
      </c>
      <c r="BV4245" t="s">
        <v>62</v>
      </c>
      <c r="BX4245">
        <v>24</v>
      </c>
      <c r="BY4245">
        <v>0</v>
      </c>
      <c r="BZ4245">
        <v>0</v>
      </c>
    </row>
    <row r="4246" spans="1:78" x14ac:dyDescent="0.2">
      <c r="A4246" t="s">
        <v>112</v>
      </c>
      <c r="B4246" t="s">
        <v>113</v>
      </c>
      <c r="C4246" t="s">
        <v>114</v>
      </c>
      <c r="D4246" t="s">
        <v>428</v>
      </c>
      <c r="F4246" t="str">
        <f>"251276"</f>
        <v>251276</v>
      </c>
      <c r="G4246" t="s">
        <v>49</v>
      </c>
      <c r="H4246" t="s">
        <v>2053</v>
      </c>
      <c r="K4246" t="s">
        <v>51</v>
      </c>
      <c r="L4246" t="s">
        <v>52</v>
      </c>
      <c r="M4246">
        <v>136885.06</v>
      </c>
      <c r="N4246">
        <v>471958.76</v>
      </c>
      <c r="O4246" t="s">
        <v>53</v>
      </c>
      <c r="P4246" t="s">
        <v>54</v>
      </c>
      <c r="Q4246" t="s">
        <v>55</v>
      </c>
      <c r="T4246" t="s">
        <v>700</v>
      </c>
      <c r="U4246">
        <v>40</v>
      </c>
      <c r="V4246" s="1">
        <v>35796</v>
      </c>
      <c r="W4246" s="1">
        <v>35796</v>
      </c>
      <c r="X4246" s="1">
        <v>35796</v>
      </c>
      <c r="Y4246" s="1">
        <v>50406</v>
      </c>
      <c r="Z4246" t="s">
        <v>51</v>
      </c>
      <c r="AB4246" t="s">
        <v>54</v>
      </c>
      <c r="AC4246">
        <v>1</v>
      </c>
      <c r="AE4246" t="s">
        <v>564</v>
      </c>
      <c r="AF4246">
        <v>20</v>
      </c>
      <c r="AG4246" s="1">
        <v>35977</v>
      </c>
      <c r="AH4246" s="1">
        <v>35977</v>
      </c>
      <c r="AI4246" s="1">
        <v>35977</v>
      </c>
      <c r="AJ4246" s="1">
        <v>43282</v>
      </c>
      <c r="AK4246" t="s">
        <v>51</v>
      </c>
      <c r="AN4246">
        <v>0</v>
      </c>
      <c r="AO4246" t="s">
        <v>54</v>
      </c>
      <c r="AP4246" t="s">
        <v>53</v>
      </c>
      <c r="AQ4246">
        <v>0</v>
      </c>
      <c r="AR4246" t="s">
        <v>53</v>
      </c>
      <c r="AS4246">
        <v>0</v>
      </c>
      <c r="AT4246">
        <v>0</v>
      </c>
      <c r="AW4246" t="s">
        <v>58</v>
      </c>
      <c r="AX4246">
        <v>20</v>
      </c>
      <c r="AY4246" s="1">
        <v>35977</v>
      </c>
      <c r="AZ4246" s="1">
        <v>35977</v>
      </c>
      <c r="BA4246" s="1">
        <v>35977</v>
      </c>
      <c r="BB4246" s="1">
        <v>43282</v>
      </c>
      <c r="BC4246" t="s">
        <v>51</v>
      </c>
      <c r="BE4246" t="s">
        <v>54</v>
      </c>
      <c r="BF4246">
        <v>2</v>
      </c>
      <c r="BG4246">
        <v>0</v>
      </c>
      <c r="BH4246" t="s">
        <v>53</v>
      </c>
      <c r="BI4246">
        <v>1</v>
      </c>
      <c r="BK4246" t="s">
        <v>59</v>
      </c>
      <c r="BL4246">
        <v>14000</v>
      </c>
      <c r="BM4246" s="1">
        <v>41456</v>
      </c>
      <c r="BN4246" s="1">
        <v>41456</v>
      </c>
      <c r="BO4246" s="1">
        <v>41456</v>
      </c>
      <c r="BP4246" s="1">
        <v>42656</v>
      </c>
      <c r="BQ4246" t="s">
        <v>51</v>
      </c>
      <c r="BS4246" t="s">
        <v>60</v>
      </c>
      <c r="BT4246" t="s">
        <v>54</v>
      </c>
      <c r="BU4246" t="s">
        <v>61</v>
      </c>
      <c r="BV4246" t="s">
        <v>62</v>
      </c>
      <c r="BX4246">
        <v>24</v>
      </c>
      <c r="BY4246">
        <v>0</v>
      </c>
      <c r="BZ4246">
        <v>0</v>
      </c>
    </row>
    <row r="4247" spans="1:78" x14ac:dyDescent="0.2">
      <c r="A4247" t="s">
        <v>112</v>
      </c>
      <c r="B4247" t="s">
        <v>113</v>
      </c>
      <c r="C4247" t="s">
        <v>114</v>
      </c>
      <c r="D4247" t="s">
        <v>428</v>
      </c>
      <c r="F4247" t="str">
        <f>"251277"</f>
        <v>251277</v>
      </c>
      <c r="G4247" t="s">
        <v>49</v>
      </c>
      <c r="H4247" t="s">
        <v>2054</v>
      </c>
      <c r="K4247" t="s">
        <v>51</v>
      </c>
      <c r="L4247" t="s">
        <v>52</v>
      </c>
      <c r="M4247">
        <v>136886.70000000001</v>
      </c>
      <c r="N4247">
        <v>471899.53</v>
      </c>
      <c r="O4247" t="s">
        <v>53</v>
      </c>
      <c r="P4247" t="s">
        <v>54</v>
      </c>
      <c r="Q4247" t="s">
        <v>55</v>
      </c>
      <c r="T4247" t="s">
        <v>700</v>
      </c>
      <c r="U4247">
        <v>40</v>
      </c>
      <c r="V4247" s="1">
        <v>35796</v>
      </c>
      <c r="W4247" s="1">
        <v>35796</v>
      </c>
      <c r="X4247" s="1">
        <v>35796</v>
      </c>
      <c r="Y4247" s="1">
        <v>50406</v>
      </c>
      <c r="Z4247" t="s">
        <v>51</v>
      </c>
      <c r="AB4247" t="s">
        <v>54</v>
      </c>
      <c r="AC4247">
        <v>1</v>
      </c>
      <c r="AE4247" t="s">
        <v>564</v>
      </c>
      <c r="AF4247">
        <v>20</v>
      </c>
      <c r="AG4247" s="1">
        <v>35977</v>
      </c>
      <c r="AH4247" s="1">
        <v>35977</v>
      </c>
      <c r="AI4247" s="1">
        <v>35977</v>
      </c>
      <c r="AJ4247" s="1">
        <v>43282</v>
      </c>
      <c r="AK4247" t="s">
        <v>51</v>
      </c>
      <c r="AN4247">
        <v>0</v>
      </c>
      <c r="AO4247" t="s">
        <v>54</v>
      </c>
      <c r="AP4247" t="s">
        <v>53</v>
      </c>
      <c r="AQ4247">
        <v>0</v>
      </c>
      <c r="AR4247" t="s">
        <v>53</v>
      </c>
      <c r="AS4247">
        <v>0</v>
      </c>
      <c r="AT4247">
        <v>0</v>
      </c>
      <c r="AW4247" t="s">
        <v>58</v>
      </c>
      <c r="AX4247">
        <v>20</v>
      </c>
      <c r="AY4247" s="1">
        <v>35977</v>
      </c>
      <c r="AZ4247" s="1">
        <v>35977</v>
      </c>
      <c r="BA4247" s="1">
        <v>35977</v>
      </c>
      <c r="BB4247" s="1">
        <v>43282</v>
      </c>
      <c r="BC4247" t="s">
        <v>51</v>
      </c>
      <c r="BE4247" t="s">
        <v>54</v>
      </c>
      <c r="BF4247">
        <v>2</v>
      </c>
      <c r="BG4247">
        <v>0</v>
      </c>
      <c r="BH4247" t="s">
        <v>53</v>
      </c>
      <c r="BI4247">
        <v>1</v>
      </c>
      <c r="BK4247" t="s">
        <v>59</v>
      </c>
      <c r="BL4247">
        <v>14000</v>
      </c>
      <c r="BM4247" s="1">
        <v>41456</v>
      </c>
      <c r="BN4247" s="1">
        <v>41456</v>
      </c>
      <c r="BO4247" s="1">
        <v>41456</v>
      </c>
      <c r="BP4247" s="1">
        <v>42656</v>
      </c>
      <c r="BQ4247" t="s">
        <v>51</v>
      </c>
      <c r="BS4247" t="s">
        <v>60</v>
      </c>
      <c r="BT4247" t="s">
        <v>54</v>
      </c>
      <c r="BU4247" t="s">
        <v>61</v>
      </c>
      <c r="BV4247" t="s">
        <v>62</v>
      </c>
      <c r="BX4247">
        <v>24</v>
      </c>
      <c r="BY4247">
        <v>0</v>
      </c>
      <c r="BZ4247">
        <v>0</v>
      </c>
    </row>
    <row r="4248" spans="1:78" x14ac:dyDescent="0.2">
      <c r="A4248" t="s">
        <v>112</v>
      </c>
      <c r="B4248" t="s">
        <v>113</v>
      </c>
      <c r="C4248" t="s">
        <v>114</v>
      </c>
      <c r="D4248" t="s">
        <v>428</v>
      </c>
      <c r="F4248" t="str">
        <f>"251278"</f>
        <v>251278</v>
      </c>
      <c r="G4248" t="s">
        <v>49</v>
      </c>
      <c r="H4248" t="s">
        <v>2055</v>
      </c>
      <c r="K4248" t="s">
        <v>51</v>
      </c>
      <c r="L4248" t="s">
        <v>52</v>
      </c>
      <c r="M4248">
        <v>136887.66</v>
      </c>
      <c r="N4248">
        <v>471854.42</v>
      </c>
      <c r="O4248" t="s">
        <v>53</v>
      </c>
      <c r="P4248" t="s">
        <v>54</v>
      </c>
      <c r="Q4248" t="s">
        <v>55</v>
      </c>
      <c r="T4248" t="s">
        <v>700</v>
      </c>
      <c r="U4248">
        <v>40</v>
      </c>
      <c r="V4248" s="1">
        <v>35796</v>
      </c>
      <c r="W4248" s="1">
        <v>35796</v>
      </c>
      <c r="X4248" s="1">
        <v>35796</v>
      </c>
      <c r="Y4248" s="1">
        <v>50406</v>
      </c>
      <c r="Z4248" t="s">
        <v>51</v>
      </c>
      <c r="AB4248" t="s">
        <v>54</v>
      </c>
      <c r="AC4248">
        <v>1</v>
      </c>
      <c r="AE4248" t="s">
        <v>564</v>
      </c>
      <c r="AF4248">
        <v>20</v>
      </c>
      <c r="AG4248" s="1">
        <v>35977</v>
      </c>
      <c r="AH4248" s="1">
        <v>35977</v>
      </c>
      <c r="AI4248" s="1">
        <v>35977</v>
      </c>
      <c r="AJ4248" s="1">
        <v>43282</v>
      </c>
      <c r="AK4248" t="s">
        <v>51</v>
      </c>
      <c r="AN4248">
        <v>0</v>
      </c>
      <c r="AO4248" t="s">
        <v>54</v>
      </c>
      <c r="AP4248" t="s">
        <v>53</v>
      </c>
      <c r="AQ4248">
        <v>0</v>
      </c>
      <c r="AR4248" t="s">
        <v>53</v>
      </c>
      <c r="AS4248">
        <v>0</v>
      </c>
      <c r="AT4248">
        <v>0</v>
      </c>
      <c r="AW4248" t="s">
        <v>58</v>
      </c>
      <c r="AX4248">
        <v>20</v>
      </c>
      <c r="AY4248" s="1">
        <v>35977</v>
      </c>
      <c r="AZ4248" s="1">
        <v>35977</v>
      </c>
      <c r="BA4248" s="1">
        <v>35977</v>
      </c>
      <c r="BB4248" s="1">
        <v>43282</v>
      </c>
      <c r="BC4248" t="s">
        <v>51</v>
      </c>
      <c r="BE4248" t="s">
        <v>54</v>
      </c>
      <c r="BF4248">
        <v>2</v>
      </c>
      <c r="BG4248">
        <v>0</v>
      </c>
      <c r="BH4248" t="s">
        <v>53</v>
      </c>
      <c r="BI4248">
        <v>1</v>
      </c>
      <c r="BK4248" t="s">
        <v>59</v>
      </c>
      <c r="BL4248">
        <v>14000</v>
      </c>
      <c r="BM4248" s="1">
        <v>41456</v>
      </c>
      <c r="BN4248" s="1">
        <v>41456</v>
      </c>
      <c r="BO4248" s="1">
        <v>41456</v>
      </c>
      <c r="BP4248" s="1">
        <v>42656</v>
      </c>
      <c r="BQ4248" t="s">
        <v>51</v>
      </c>
      <c r="BS4248" t="s">
        <v>60</v>
      </c>
      <c r="BT4248" t="s">
        <v>54</v>
      </c>
      <c r="BU4248" t="s">
        <v>61</v>
      </c>
      <c r="BV4248" t="s">
        <v>62</v>
      </c>
      <c r="BX4248">
        <v>24</v>
      </c>
      <c r="BY4248">
        <v>0</v>
      </c>
      <c r="BZ4248">
        <v>0</v>
      </c>
    </row>
    <row r="4249" spans="1:78" x14ac:dyDescent="0.2">
      <c r="A4249" t="s">
        <v>112</v>
      </c>
      <c r="B4249" t="s">
        <v>113</v>
      </c>
      <c r="C4249" t="s">
        <v>114</v>
      </c>
      <c r="D4249" t="s">
        <v>428</v>
      </c>
      <c r="F4249" t="str">
        <f>"251279"</f>
        <v>251279</v>
      </c>
      <c r="G4249" t="s">
        <v>49</v>
      </c>
      <c r="H4249" t="s">
        <v>2056</v>
      </c>
      <c r="K4249" t="s">
        <v>51</v>
      </c>
      <c r="L4249" t="s">
        <v>52</v>
      </c>
      <c r="M4249">
        <v>136888.81</v>
      </c>
      <c r="N4249">
        <v>471802.08</v>
      </c>
      <c r="O4249" t="s">
        <v>53</v>
      </c>
      <c r="P4249" t="s">
        <v>54</v>
      </c>
      <c r="Q4249" t="s">
        <v>55</v>
      </c>
      <c r="T4249" t="s">
        <v>700</v>
      </c>
      <c r="U4249">
        <v>40</v>
      </c>
      <c r="V4249" s="1">
        <v>35796</v>
      </c>
      <c r="W4249" s="1">
        <v>35796</v>
      </c>
      <c r="X4249" s="1">
        <v>35796</v>
      </c>
      <c r="Y4249" s="1">
        <v>50406</v>
      </c>
      <c r="Z4249" t="s">
        <v>51</v>
      </c>
      <c r="AB4249" t="s">
        <v>54</v>
      </c>
      <c r="AC4249">
        <v>1</v>
      </c>
      <c r="AE4249" t="s">
        <v>564</v>
      </c>
      <c r="AF4249">
        <v>20</v>
      </c>
      <c r="AG4249" s="1">
        <v>35977</v>
      </c>
      <c r="AH4249" s="1">
        <v>35977</v>
      </c>
      <c r="AI4249" s="1">
        <v>35977</v>
      </c>
      <c r="AJ4249" s="1">
        <v>43282</v>
      </c>
      <c r="AK4249" t="s">
        <v>51</v>
      </c>
      <c r="AN4249">
        <v>0</v>
      </c>
      <c r="AO4249" t="s">
        <v>54</v>
      </c>
      <c r="AP4249" t="s">
        <v>53</v>
      </c>
      <c r="AQ4249">
        <v>0</v>
      </c>
      <c r="AR4249" t="s">
        <v>53</v>
      </c>
      <c r="AS4249">
        <v>0</v>
      </c>
      <c r="AT4249">
        <v>0</v>
      </c>
      <c r="AW4249" t="s">
        <v>58</v>
      </c>
      <c r="AX4249">
        <v>20</v>
      </c>
      <c r="AY4249" s="1">
        <v>35977</v>
      </c>
      <c r="AZ4249" s="1">
        <v>35977</v>
      </c>
      <c r="BA4249" s="1">
        <v>35977</v>
      </c>
      <c r="BB4249" s="1">
        <v>43282</v>
      </c>
      <c r="BC4249" t="s">
        <v>51</v>
      </c>
      <c r="BE4249" t="s">
        <v>54</v>
      </c>
      <c r="BF4249">
        <v>2</v>
      </c>
      <c r="BG4249">
        <v>0</v>
      </c>
      <c r="BH4249" t="s">
        <v>53</v>
      </c>
      <c r="BI4249">
        <v>1</v>
      </c>
      <c r="BK4249" t="s">
        <v>59</v>
      </c>
      <c r="BL4249">
        <v>14000</v>
      </c>
      <c r="BM4249" s="1">
        <v>43150</v>
      </c>
      <c r="BN4249" s="1">
        <v>43150</v>
      </c>
      <c r="BO4249" s="1">
        <v>43150</v>
      </c>
      <c r="BP4249" s="1">
        <v>44344</v>
      </c>
      <c r="BQ4249" t="s">
        <v>51</v>
      </c>
      <c r="BS4249" t="s">
        <v>60</v>
      </c>
      <c r="BT4249" t="s">
        <v>54</v>
      </c>
      <c r="BU4249" t="s">
        <v>61</v>
      </c>
      <c r="BV4249" t="s">
        <v>62</v>
      </c>
      <c r="BX4249">
        <v>24</v>
      </c>
      <c r="BY4249">
        <v>0</v>
      </c>
      <c r="BZ4249">
        <v>0</v>
      </c>
    </row>
    <row r="4250" spans="1:78" x14ac:dyDescent="0.2">
      <c r="A4250" t="s">
        <v>112</v>
      </c>
      <c r="B4250" t="s">
        <v>113</v>
      </c>
      <c r="C4250" t="s">
        <v>114</v>
      </c>
      <c r="D4250" t="s">
        <v>428</v>
      </c>
      <c r="F4250" t="str">
        <f>"251280"</f>
        <v>251280</v>
      </c>
      <c r="G4250" t="s">
        <v>49</v>
      </c>
      <c r="H4250" t="s">
        <v>2057</v>
      </c>
      <c r="K4250" t="s">
        <v>51</v>
      </c>
      <c r="L4250" t="s">
        <v>52</v>
      </c>
      <c r="M4250">
        <v>136890.88</v>
      </c>
      <c r="N4250">
        <v>471725.58</v>
      </c>
      <c r="O4250" t="s">
        <v>53</v>
      </c>
      <c r="P4250" t="s">
        <v>54</v>
      </c>
      <c r="Q4250" t="s">
        <v>55</v>
      </c>
      <c r="T4250" t="s">
        <v>700</v>
      </c>
      <c r="U4250">
        <v>40</v>
      </c>
      <c r="V4250" s="1">
        <v>35796</v>
      </c>
      <c r="W4250" s="1">
        <v>35796</v>
      </c>
      <c r="X4250" s="1">
        <v>35796</v>
      </c>
      <c r="Y4250" s="1">
        <v>50406</v>
      </c>
      <c r="Z4250" t="s">
        <v>51</v>
      </c>
      <c r="AB4250" t="s">
        <v>54</v>
      </c>
      <c r="AC4250">
        <v>1</v>
      </c>
      <c r="AE4250" t="s">
        <v>564</v>
      </c>
      <c r="AF4250">
        <v>20</v>
      </c>
      <c r="AG4250" s="1">
        <v>35977</v>
      </c>
      <c r="AH4250" s="1">
        <v>35977</v>
      </c>
      <c r="AI4250" s="1">
        <v>35977</v>
      </c>
      <c r="AJ4250" s="1">
        <v>43282</v>
      </c>
      <c r="AK4250" t="s">
        <v>51</v>
      </c>
      <c r="AN4250">
        <v>0</v>
      </c>
      <c r="AO4250" t="s">
        <v>54</v>
      </c>
      <c r="AP4250" t="s">
        <v>53</v>
      </c>
      <c r="AQ4250">
        <v>0</v>
      </c>
      <c r="AR4250" t="s">
        <v>53</v>
      </c>
      <c r="AS4250">
        <v>0</v>
      </c>
      <c r="AT4250">
        <v>0</v>
      </c>
      <c r="AW4250" t="s">
        <v>58</v>
      </c>
      <c r="AX4250">
        <v>20</v>
      </c>
      <c r="AY4250" s="1">
        <v>35977</v>
      </c>
      <c r="AZ4250" s="1">
        <v>35977</v>
      </c>
      <c r="BA4250" s="1">
        <v>35977</v>
      </c>
      <c r="BB4250" s="1">
        <v>43282</v>
      </c>
      <c r="BC4250" t="s">
        <v>51</v>
      </c>
      <c r="BE4250" t="s">
        <v>54</v>
      </c>
      <c r="BF4250">
        <v>2</v>
      </c>
      <c r="BG4250">
        <v>0</v>
      </c>
      <c r="BH4250" t="s">
        <v>53</v>
      </c>
      <c r="BI4250">
        <v>1</v>
      </c>
      <c r="BK4250" t="s">
        <v>59</v>
      </c>
      <c r="BL4250">
        <v>14000</v>
      </c>
      <c r="BM4250" s="1">
        <v>41456</v>
      </c>
      <c r="BN4250" s="1">
        <v>41456</v>
      </c>
      <c r="BO4250" s="1">
        <v>41456</v>
      </c>
      <c r="BP4250" s="1">
        <v>42656</v>
      </c>
      <c r="BQ4250" t="s">
        <v>51</v>
      </c>
      <c r="BS4250" t="s">
        <v>60</v>
      </c>
      <c r="BT4250" t="s">
        <v>54</v>
      </c>
      <c r="BU4250" t="s">
        <v>61</v>
      </c>
      <c r="BV4250" t="s">
        <v>62</v>
      </c>
      <c r="BX4250">
        <v>24</v>
      </c>
      <c r="BY4250">
        <v>0</v>
      </c>
      <c r="BZ4250">
        <v>0</v>
      </c>
    </row>
    <row r="4251" spans="1:78" x14ac:dyDescent="0.2">
      <c r="A4251" t="s">
        <v>112</v>
      </c>
      <c r="B4251" t="s">
        <v>113</v>
      </c>
      <c r="C4251" t="s">
        <v>114</v>
      </c>
      <c r="D4251" t="s">
        <v>428</v>
      </c>
      <c r="F4251" t="str">
        <f>"251281"</f>
        <v>251281</v>
      </c>
      <c r="G4251" t="s">
        <v>49</v>
      </c>
      <c r="H4251" t="s">
        <v>2058</v>
      </c>
      <c r="K4251" t="s">
        <v>51</v>
      </c>
      <c r="L4251" t="s">
        <v>52</v>
      </c>
      <c r="M4251">
        <v>136892.14000000001</v>
      </c>
      <c r="N4251">
        <v>471680.36</v>
      </c>
      <c r="O4251" t="s">
        <v>53</v>
      </c>
      <c r="P4251" t="s">
        <v>54</v>
      </c>
      <c r="Q4251" t="s">
        <v>55</v>
      </c>
      <c r="T4251" t="s">
        <v>700</v>
      </c>
      <c r="U4251">
        <v>40</v>
      </c>
      <c r="V4251" s="1">
        <v>35796</v>
      </c>
      <c r="W4251" s="1">
        <v>35796</v>
      </c>
      <c r="X4251" s="1">
        <v>35796</v>
      </c>
      <c r="Y4251" s="1">
        <v>50406</v>
      </c>
      <c r="Z4251" t="s">
        <v>51</v>
      </c>
      <c r="AB4251" t="s">
        <v>54</v>
      </c>
      <c r="AC4251">
        <v>1</v>
      </c>
      <c r="AE4251" t="s">
        <v>564</v>
      </c>
      <c r="AF4251">
        <v>20</v>
      </c>
      <c r="AG4251" s="1">
        <v>35977</v>
      </c>
      <c r="AH4251" s="1">
        <v>35977</v>
      </c>
      <c r="AI4251" s="1">
        <v>35977</v>
      </c>
      <c r="AJ4251" s="1">
        <v>43282</v>
      </c>
      <c r="AK4251" t="s">
        <v>51</v>
      </c>
      <c r="AN4251">
        <v>0</v>
      </c>
      <c r="AO4251" t="s">
        <v>54</v>
      </c>
      <c r="AP4251" t="s">
        <v>53</v>
      </c>
      <c r="AQ4251">
        <v>0</v>
      </c>
      <c r="AR4251" t="s">
        <v>53</v>
      </c>
      <c r="AS4251">
        <v>0</v>
      </c>
      <c r="AT4251">
        <v>0</v>
      </c>
      <c r="AW4251" t="s">
        <v>58</v>
      </c>
      <c r="AX4251">
        <v>20</v>
      </c>
      <c r="AY4251" s="1">
        <v>35977</v>
      </c>
      <c r="AZ4251" s="1">
        <v>35977</v>
      </c>
      <c r="BA4251" s="1">
        <v>35977</v>
      </c>
      <c r="BB4251" s="1">
        <v>43282</v>
      </c>
      <c r="BC4251" t="s">
        <v>51</v>
      </c>
      <c r="BE4251" t="s">
        <v>54</v>
      </c>
      <c r="BF4251">
        <v>2</v>
      </c>
      <c r="BG4251">
        <v>0</v>
      </c>
      <c r="BH4251" t="s">
        <v>53</v>
      </c>
      <c r="BI4251">
        <v>1</v>
      </c>
      <c r="BK4251" t="s">
        <v>59</v>
      </c>
      <c r="BL4251">
        <v>14000</v>
      </c>
      <c r="BM4251" s="1">
        <v>41456</v>
      </c>
      <c r="BN4251" s="1">
        <v>41456</v>
      </c>
      <c r="BO4251" s="1">
        <v>41456</v>
      </c>
      <c r="BP4251" s="1">
        <v>42656</v>
      </c>
      <c r="BQ4251" t="s">
        <v>51</v>
      </c>
      <c r="BS4251" t="s">
        <v>60</v>
      </c>
      <c r="BT4251" t="s">
        <v>54</v>
      </c>
      <c r="BU4251" t="s">
        <v>61</v>
      </c>
      <c r="BV4251" t="s">
        <v>62</v>
      </c>
      <c r="BX4251">
        <v>24</v>
      </c>
      <c r="BY4251">
        <v>0</v>
      </c>
      <c r="BZ4251">
        <v>0</v>
      </c>
    </row>
    <row r="4252" spans="1:78" x14ac:dyDescent="0.2">
      <c r="A4252" t="s">
        <v>112</v>
      </c>
      <c r="B4252" t="s">
        <v>113</v>
      </c>
      <c r="C4252" t="s">
        <v>114</v>
      </c>
      <c r="D4252" t="s">
        <v>428</v>
      </c>
      <c r="F4252" t="str">
        <f>"251283"</f>
        <v>251283</v>
      </c>
      <c r="G4252" t="s">
        <v>49</v>
      </c>
      <c r="H4252" t="s">
        <v>2059</v>
      </c>
      <c r="K4252" t="s">
        <v>51</v>
      </c>
      <c r="L4252" t="s">
        <v>52</v>
      </c>
      <c r="M4252">
        <v>136894.04</v>
      </c>
      <c r="N4252">
        <v>471603.9</v>
      </c>
      <c r="O4252" t="s">
        <v>53</v>
      </c>
      <c r="P4252" t="s">
        <v>54</v>
      </c>
      <c r="Q4252" t="s">
        <v>55</v>
      </c>
      <c r="T4252" t="s">
        <v>700</v>
      </c>
      <c r="U4252">
        <v>40</v>
      </c>
      <c r="V4252" s="1">
        <v>35796</v>
      </c>
      <c r="W4252" s="1">
        <v>35796</v>
      </c>
      <c r="X4252" s="1">
        <v>35796</v>
      </c>
      <c r="Y4252" s="1">
        <v>50406</v>
      </c>
      <c r="Z4252" t="s">
        <v>51</v>
      </c>
      <c r="AB4252" t="s">
        <v>54</v>
      </c>
      <c r="AC4252">
        <v>1</v>
      </c>
      <c r="AE4252" t="s">
        <v>564</v>
      </c>
      <c r="AF4252">
        <v>20</v>
      </c>
      <c r="AG4252" s="1">
        <v>35977</v>
      </c>
      <c r="AH4252" s="1">
        <v>35977</v>
      </c>
      <c r="AI4252" s="1">
        <v>35977</v>
      </c>
      <c r="AJ4252" s="1">
        <v>43282</v>
      </c>
      <c r="AK4252" t="s">
        <v>51</v>
      </c>
      <c r="AN4252">
        <v>0</v>
      </c>
      <c r="AO4252" t="s">
        <v>54</v>
      </c>
      <c r="AP4252" t="s">
        <v>53</v>
      </c>
      <c r="AQ4252">
        <v>0</v>
      </c>
      <c r="AR4252" t="s">
        <v>53</v>
      </c>
      <c r="AS4252">
        <v>0</v>
      </c>
      <c r="AT4252">
        <v>0</v>
      </c>
      <c r="AW4252" t="s">
        <v>58</v>
      </c>
      <c r="AX4252">
        <v>20</v>
      </c>
      <c r="AY4252" s="1">
        <v>35977</v>
      </c>
      <c r="AZ4252" s="1">
        <v>35977</v>
      </c>
      <c r="BA4252" s="1">
        <v>35977</v>
      </c>
      <c r="BB4252" s="1">
        <v>43282</v>
      </c>
      <c r="BC4252" t="s">
        <v>51</v>
      </c>
      <c r="BE4252" t="s">
        <v>54</v>
      </c>
      <c r="BF4252">
        <v>2</v>
      </c>
      <c r="BG4252">
        <v>0</v>
      </c>
      <c r="BH4252" t="s">
        <v>53</v>
      </c>
      <c r="BI4252">
        <v>1</v>
      </c>
      <c r="BK4252" t="s">
        <v>59</v>
      </c>
      <c r="BL4252">
        <v>14000</v>
      </c>
      <c r="BM4252" s="1">
        <v>41456</v>
      </c>
      <c r="BN4252" s="1">
        <v>41456</v>
      </c>
      <c r="BO4252" s="1">
        <v>41456</v>
      </c>
      <c r="BP4252" s="1">
        <v>42656</v>
      </c>
      <c r="BQ4252" t="s">
        <v>51</v>
      </c>
      <c r="BS4252" t="s">
        <v>60</v>
      </c>
      <c r="BT4252" t="s">
        <v>54</v>
      </c>
      <c r="BU4252" t="s">
        <v>61</v>
      </c>
      <c r="BV4252" t="s">
        <v>62</v>
      </c>
      <c r="BX4252">
        <v>24</v>
      </c>
      <c r="BY4252">
        <v>0</v>
      </c>
      <c r="BZ4252">
        <v>0</v>
      </c>
    </row>
    <row r="4253" spans="1:78" x14ac:dyDescent="0.2">
      <c r="A4253" t="s">
        <v>112</v>
      </c>
      <c r="B4253" t="s">
        <v>113</v>
      </c>
      <c r="C4253" t="s">
        <v>114</v>
      </c>
      <c r="D4253" t="s">
        <v>428</v>
      </c>
      <c r="F4253" t="str">
        <f>"251284"</f>
        <v>251284</v>
      </c>
      <c r="G4253" t="s">
        <v>49</v>
      </c>
      <c r="H4253" t="s">
        <v>2059</v>
      </c>
      <c r="K4253" t="s">
        <v>51</v>
      </c>
      <c r="L4253" t="s">
        <v>52</v>
      </c>
      <c r="M4253">
        <v>136895.67000000001</v>
      </c>
      <c r="N4253">
        <v>471548.78</v>
      </c>
      <c r="O4253" t="s">
        <v>53</v>
      </c>
      <c r="P4253" t="s">
        <v>54</v>
      </c>
      <c r="Q4253" t="s">
        <v>55</v>
      </c>
      <c r="T4253" t="s">
        <v>700</v>
      </c>
      <c r="U4253">
        <v>40</v>
      </c>
      <c r="V4253" s="1">
        <v>35977</v>
      </c>
      <c r="W4253" s="1">
        <v>35977</v>
      </c>
      <c r="X4253" s="1">
        <v>35977</v>
      </c>
      <c r="Y4253" s="1">
        <v>50587</v>
      </c>
      <c r="Z4253" t="s">
        <v>51</v>
      </c>
      <c r="AB4253" t="s">
        <v>54</v>
      </c>
      <c r="AC4253">
        <v>1</v>
      </c>
      <c r="AE4253" t="s">
        <v>564</v>
      </c>
      <c r="AF4253">
        <v>20</v>
      </c>
      <c r="AG4253" s="1">
        <v>35977</v>
      </c>
      <c r="AH4253" s="1">
        <v>35977</v>
      </c>
      <c r="AI4253" s="1">
        <v>35977</v>
      </c>
      <c r="AJ4253" s="1">
        <v>43282</v>
      </c>
      <c r="AK4253" t="s">
        <v>51</v>
      </c>
      <c r="AN4253">
        <v>0</v>
      </c>
      <c r="AO4253" t="s">
        <v>54</v>
      </c>
      <c r="AP4253" t="s">
        <v>53</v>
      </c>
      <c r="AQ4253">
        <v>0</v>
      </c>
      <c r="AR4253" t="s">
        <v>53</v>
      </c>
      <c r="AS4253">
        <v>0</v>
      </c>
      <c r="AT4253">
        <v>0</v>
      </c>
      <c r="AW4253" t="s">
        <v>58</v>
      </c>
      <c r="AX4253">
        <v>20</v>
      </c>
      <c r="AY4253" s="1">
        <v>35977</v>
      </c>
      <c r="AZ4253" s="1">
        <v>35977</v>
      </c>
      <c r="BA4253" s="1">
        <v>35977</v>
      </c>
      <c r="BB4253" s="1">
        <v>43282</v>
      </c>
      <c r="BC4253" t="s">
        <v>51</v>
      </c>
      <c r="BE4253" t="s">
        <v>54</v>
      </c>
      <c r="BF4253">
        <v>2</v>
      </c>
      <c r="BG4253">
        <v>0</v>
      </c>
      <c r="BH4253" t="s">
        <v>53</v>
      </c>
      <c r="BI4253">
        <v>1</v>
      </c>
      <c r="BK4253" t="s">
        <v>59</v>
      </c>
      <c r="BL4253">
        <v>14000</v>
      </c>
      <c r="BM4253" s="1">
        <v>41456</v>
      </c>
      <c r="BN4253" s="1">
        <v>41456</v>
      </c>
      <c r="BO4253" s="1">
        <v>41456</v>
      </c>
      <c r="BP4253" s="1">
        <v>42656</v>
      </c>
      <c r="BQ4253" t="s">
        <v>51</v>
      </c>
      <c r="BS4253" t="s">
        <v>60</v>
      </c>
      <c r="BT4253" t="s">
        <v>54</v>
      </c>
      <c r="BU4253" t="s">
        <v>61</v>
      </c>
      <c r="BV4253" t="s">
        <v>62</v>
      </c>
      <c r="BX4253">
        <v>24</v>
      </c>
      <c r="BY4253">
        <v>0</v>
      </c>
      <c r="BZ4253">
        <v>0</v>
      </c>
    </row>
    <row r="4254" spans="1:78" x14ac:dyDescent="0.2">
      <c r="A4254" t="s">
        <v>112</v>
      </c>
      <c r="B4254" t="s">
        <v>113</v>
      </c>
      <c r="C4254" t="s">
        <v>114</v>
      </c>
      <c r="D4254" t="s">
        <v>428</v>
      </c>
      <c r="F4254" t="str">
        <f>"251285"</f>
        <v>251285</v>
      </c>
      <c r="G4254" t="s">
        <v>49</v>
      </c>
      <c r="H4254" t="s">
        <v>2059</v>
      </c>
      <c r="K4254" t="s">
        <v>51</v>
      </c>
      <c r="L4254" t="s">
        <v>52</v>
      </c>
      <c r="M4254">
        <v>136896.26</v>
      </c>
      <c r="N4254">
        <v>471507.66</v>
      </c>
      <c r="O4254" t="s">
        <v>53</v>
      </c>
      <c r="P4254" t="s">
        <v>54</v>
      </c>
      <c r="Q4254" t="s">
        <v>55</v>
      </c>
      <c r="T4254" t="s">
        <v>700</v>
      </c>
      <c r="U4254">
        <v>40</v>
      </c>
      <c r="V4254" s="1">
        <v>35977</v>
      </c>
      <c r="W4254" s="1">
        <v>35977</v>
      </c>
      <c r="X4254" s="1">
        <v>35977</v>
      </c>
      <c r="Y4254" s="1">
        <v>50587</v>
      </c>
      <c r="Z4254" t="s">
        <v>51</v>
      </c>
      <c r="AB4254" t="s">
        <v>54</v>
      </c>
      <c r="AC4254">
        <v>1</v>
      </c>
      <c r="AE4254" t="s">
        <v>564</v>
      </c>
      <c r="AF4254">
        <v>20</v>
      </c>
      <c r="AG4254" s="1">
        <v>35977</v>
      </c>
      <c r="AH4254" s="1">
        <v>35977</v>
      </c>
      <c r="AI4254" s="1">
        <v>35977</v>
      </c>
      <c r="AJ4254" s="1">
        <v>43282</v>
      </c>
      <c r="AK4254" t="s">
        <v>51</v>
      </c>
      <c r="AN4254">
        <v>0</v>
      </c>
      <c r="AO4254" t="s">
        <v>54</v>
      </c>
      <c r="AP4254" t="s">
        <v>53</v>
      </c>
      <c r="AQ4254">
        <v>0</v>
      </c>
      <c r="AR4254" t="s">
        <v>53</v>
      </c>
      <c r="AS4254">
        <v>0</v>
      </c>
      <c r="AT4254">
        <v>0</v>
      </c>
      <c r="AW4254" t="s">
        <v>58</v>
      </c>
      <c r="AX4254">
        <v>20</v>
      </c>
      <c r="AY4254" s="1">
        <v>35977</v>
      </c>
      <c r="AZ4254" s="1">
        <v>35977</v>
      </c>
      <c r="BA4254" s="1">
        <v>35977</v>
      </c>
      <c r="BB4254" s="1">
        <v>43282</v>
      </c>
      <c r="BC4254" t="s">
        <v>51</v>
      </c>
      <c r="BE4254" t="s">
        <v>54</v>
      </c>
      <c r="BF4254">
        <v>2</v>
      </c>
      <c r="BG4254">
        <v>0</v>
      </c>
      <c r="BH4254" t="s">
        <v>53</v>
      </c>
      <c r="BI4254">
        <v>1</v>
      </c>
      <c r="BK4254" t="s">
        <v>59</v>
      </c>
      <c r="BL4254">
        <v>14000</v>
      </c>
      <c r="BM4254" s="1">
        <v>41456</v>
      </c>
      <c r="BN4254" s="1">
        <v>41456</v>
      </c>
      <c r="BO4254" s="1">
        <v>41456</v>
      </c>
      <c r="BP4254" s="1">
        <v>42656</v>
      </c>
      <c r="BQ4254" t="s">
        <v>51</v>
      </c>
      <c r="BS4254" t="s">
        <v>60</v>
      </c>
      <c r="BT4254" t="s">
        <v>54</v>
      </c>
      <c r="BU4254" t="s">
        <v>61</v>
      </c>
      <c r="BV4254" t="s">
        <v>62</v>
      </c>
      <c r="BX4254">
        <v>24</v>
      </c>
      <c r="BY4254">
        <v>0</v>
      </c>
      <c r="BZ4254">
        <v>0</v>
      </c>
    </row>
    <row r="4255" spans="1:78" x14ac:dyDescent="0.2">
      <c r="A4255" t="s">
        <v>112</v>
      </c>
      <c r="B4255" t="s">
        <v>113</v>
      </c>
      <c r="C4255" t="s">
        <v>114</v>
      </c>
      <c r="D4255" t="s">
        <v>428</v>
      </c>
      <c r="F4255" t="str">
        <f>"251286"</f>
        <v>251286</v>
      </c>
      <c r="G4255" t="s">
        <v>49</v>
      </c>
      <c r="H4255" t="s">
        <v>2059</v>
      </c>
      <c r="K4255" t="s">
        <v>51</v>
      </c>
      <c r="L4255" t="s">
        <v>52</v>
      </c>
      <c r="M4255">
        <v>136919.19</v>
      </c>
      <c r="N4255">
        <v>471495.16</v>
      </c>
      <c r="O4255" t="s">
        <v>53</v>
      </c>
      <c r="P4255" t="s">
        <v>54</v>
      </c>
      <c r="Q4255" t="s">
        <v>55</v>
      </c>
      <c r="T4255" t="s">
        <v>2060</v>
      </c>
      <c r="U4255">
        <v>40</v>
      </c>
      <c r="V4255" s="1">
        <v>35977</v>
      </c>
      <c r="W4255" s="1">
        <v>35977</v>
      </c>
      <c r="X4255" s="1">
        <v>35977</v>
      </c>
      <c r="Y4255" s="1">
        <v>50587</v>
      </c>
      <c r="Z4255" t="s">
        <v>51</v>
      </c>
      <c r="AB4255" t="s">
        <v>54</v>
      </c>
      <c r="AC4255">
        <v>1</v>
      </c>
      <c r="AE4255" t="s">
        <v>79</v>
      </c>
      <c r="AF4255">
        <v>20</v>
      </c>
      <c r="AG4255" s="1">
        <v>35977</v>
      </c>
      <c r="AH4255" s="1">
        <v>35977</v>
      </c>
      <c r="AI4255" s="1">
        <v>35977</v>
      </c>
      <c r="AJ4255" s="1">
        <v>43282</v>
      </c>
      <c r="AK4255" t="s">
        <v>51</v>
      </c>
      <c r="AN4255">
        <v>0</v>
      </c>
      <c r="AO4255" t="s">
        <v>54</v>
      </c>
      <c r="AP4255" t="s">
        <v>53</v>
      </c>
      <c r="AQ4255">
        <v>0</v>
      </c>
      <c r="AR4255" t="s">
        <v>145</v>
      </c>
      <c r="AS4255">
        <v>0</v>
      </c>
      <c r="AT4255">
        <v>0</v>
      </c>
      <c r="AW4255" t="s">
        <v>58</v>
      </c>
      <c r="AX4255">
        <v>20</v>
      </c>
      <c r="AY4255" s="1">
        <v>35977</v>
      </c>
      <c r="AZ4255" s="1">
        <v>35977</v>
      </c>
      <c r="BA4255" s="1">
        <v>35977</v>
      </c>
      <c r="BB4255" s="1">
        <v>43282</v>
      </c>
      <c r="BC4255" t="s">
        <v>51</v>
      </c>
      <c r="BE4255" t="s">
        <v>54</v>
      </c>
      <c r="BF4255">
        <v>2</v>
      </c>
      <c r="BG4255">
        <v>0</v>
      </c>
      <c r="BH4255" t="s">
        <v>53</v>
      </c>
      <c r="BK4255" t="s">
        <v>1182</v>
      </c>
      <c r="BL4255">
        <v>14000</v>
      </c>
      <c r="BM4255" s="1">
        <v>43949</v>
      </c>
      <c r="BN4255" s="1">
        <v>43949</v>
      </c>
      <c r="BO4255" s="1">
        <v>43949</v>
      </c>
      <c r="BP4255" s="1">
        <v>45173</v>
      </c>
      <c r="BQ4255" t="s">
        <v>51</v>
      </c>
      <c r="BS4255" t="s">
        <v>60</v>
      </c>
      <c r="BT4255" t="s">
        <v>54</v>
      </c>
      <c r="BU4255" t="s">
        <v>61</v>
      </c>
      <c r="BV4255" t="s">
        <v>62</v>
      </c>
      <c r="BX4255">
        <v>18</v>
      </c>
      <c r="BY4255">
        <v>0</v>
      </c>
      <c r="BZ4255">
        <v>0</v>
      </c>
    </row>
    <row r="4256" spans="1:78" x14ac:dyDescent="0.2">
      <c r="A4256" t="s">
        <v>112</v>
      </c>
      <c r="B4256" t="s">
        <v>113</v>
      </c>
      <c r="C4256" t="s">
        <v>114</v>
      </c>
      <c r="D4256" t="s">
        <v>428</v>
      </c>
      <c r="F4256" t="str">
        <f>"251287"</f>
        <v>251287</v>
      </c>
      <c r="G4256" t="s">
        <v>49</v>
      </c>
      <c r="H4256" t="s">
        <v>2061</v>
      </c>
      <c r="K4256" t="s">
        <v>51</v>
      </c>
      <c r="L4256" t="s">
        <v>52</v>
      </c>
      <c r="M4256">
        <v>136914.88</v>
      </c>
      <c r="N4256">
        <v>471473.65</v>
      </c>
      <c r="O4256" t="s">
        <v>53</v>
      </c>
      <c r="P4256" t="s">
        <v>54</v>
      </c>
      <c r="Q4256" t="s">
        <v>55</v>
      </c>
      <c r="T4256" t="s">
        <v>2060</v>
      </c>
      <c r="U4256">
        <v>40</v>
      </c>
      <c r="V4256" s="1">
        <v>35977</v>
      </c>
      <c r="W4256" s="1">
        <v>35977</v>
      </c>
      <c r="X4256" s="1">
        <v>35977</v>
      </c>
      <c r="Y4256" s="1">
        <v>50587</v>
      </c>
      <c r="Z4256" t="s">
        <v>51</v>
      </c>
      <c r="AB4256" t="s">
        <v>54</v>
      </c>
      <c r="AC4256">
        <v>1</v>
      </c>
      <c r="AE4256" t="s">
        <v>79</v>
      </c>
      <c r="AF4256">
        <v>20</v>
      </c>
      <c r="AG4256" s="1">
        <v>35977</v>
      </c>
      <c r="AH4256" s="1">
        <v>35977</v>
      </c>
      <c r="AI4256" s="1">
        <v>35977</v>
      </c>
      <c r="AJ4256" s="1">
        <v>43282</v>
      </c>
      <c r="AK4256" t="s">
        <v>51</v>
      </c>
      <c r="AN4256">
        <v>0</v>
      </c>
      <c r="AO4256" t="s">
        <v>54</v>
      </c>
      <c r="AP4256" t="s">
        <v>53</v>
      </c>
      <c r="AQ4256">
        <v>0</v>
      </c>
      <c r="AR4256" t="s">
        <v>145</v>
      </c>
      <c r="AS4256">
        <v>0</v>
      </c>
      <c r="AT4256">
        <v>0</v>
      </c>
      <c r="AW4256" t="s">
        <v>58</v>
      </c>
      <c r="AX4256">
        <v>20</v>
      </c>
      <c r="AY4256" s="1">
        <v>35977</v>
      </c>
      <c r="AZ4256" s="1">
        <v>35977</v>
      </c>
      <c r="BA4256" s="1">
        <v>35977</v>
      </c>
      <c r="BB4256" s="1">
        <v>43282</v>
      </c>
      <c r="BC4256" t="s">
        <v>51</v>
      </c>
      <c r="BE4256" t="s">
        <v>54</v>
      </c>
      <c r="BF4256">
        <v>2</v>
      </c>
      <c r="BG4256">
        <v>0</v>
      </c>
      <c r="BH4256" t="s">
        <v>53</v>
      </c>
      <c r="BK4256" t="s">
        <v>1182</v>
      </c>
      <c r="BL4256">
        <v>14000</v>
      </c>
      <c r="BM4256" s="1">
        <v>43949</v>
      </c>
      <c r="BN4256" s="1">
        <v>43949</v>
      </c>
      <c r="BO4256" s="1">
        <v>43949</v>
      </c>
      <c r="BP4256" s="1">
        <v>45173</v>
      </c>
      <c r="BQ4256" t="s">
        <v>51</v>
      </c>
      <c r="BS4256" t="s">
        <v>60</v>
      </c>
      <c r="BT4256" t="s">
        <v>54</v>
      </c>
      <c r="BU4256" t="s">
        <v>61</v>
      </c>
      <c r="BV4256" t="s">
        <v>62</v>
      </c>
      <c r="BX4256">
        <v>18</v>
      </c>
      <c r="BY4256">
        <v>0</v>
      </c>
      <c r="BZ4256">
        <v>0</v>
      </c>
    </row>
    <row r="4257" spans="1:99" x14ac:dyDescent="0.2">
      <c r="A4257" t="s">
        <v>112</v>
      </c>
      <c r="B4257" t="s">
        <v>113</v>
      </c>
      <c r="C4257" t="s">
        <v>114</v>
      </c>
      <c r="D4257" t="s">
        <v>428</v>
      </c>
      <c r="F4257" t="str">
        <f>"251288"</f>
        <v>251288</v>
      </c>
      <c r="G4257" t="s">
        <v>49</v>
      </c>
      <c r="H4257" t="s">
        <v>2061</v>
      </c>
      <c r="K4257" t="s">
        <v>51</v>
      </c>
      <c r="L4257" t="s">
        <v>52</v>
      </c>
      <c r="M4257">
        <v>136913.75</v>
      </c>
      <c r="N4257">
        <v>471456.33</v>
      </c>
      <c r="O4257" t="s">
        <v>53</v>
      </c>
      <c r="P4257" t="s">
        <v>54</v>
      </c>
      <c r="Q4257" t="s">
        <v>55</v>
      </c>
      <c r="T4257" t="s">
        <v>2060</v>
      </c>
      <c r="U4257">
        <v>40</v>
      </c>
      <c r="V4257" s="1">
        <v>35977</v>
      </c>
      <c r="W4257" s="1">
        <v>35977</v>
      </c>
      <c r="X4257" s="1">
        <v>35977</v>
      </c>
      <c r="Y4257" s="1">
        <v>50587</v>
      </c>
      <c r="Z4257" t="s">
        <v>51</v>
      </c>
      <c r="AB4257" t="s">
        <v>54</v>
      </c>
      <c r="AC4257">
        <v>1</v>
      </c>
      <c r="AE4257" t="s">
        <v>79</v>
      </c>
      <c r="AF4257">
        <v>20</v>
      </c>
      <c r="AG4257" s="1">
        <v>35977</v>
      </c>
      <c r="AH4257" s="1">
        <v>35977</v>
      </c>
      <c r="AI4257" s="1">
        <v>35977</v>
      </c>
      <c r="AJ4257" s="1">
        <v>43282</v>
      </c>
      <c r="AK4257" t="s">
        <v>51</v>
      </c>
      <c r="AN4257">
        <v>0</v>
      </c>
      <c r="AO4257" t="s">
        <v>54</v>
      </c>
      <c r="AP4257" t="s">
        <v>53</v>
      </c>
      <c r="AQ4257">
        <v>0</v>
      </c>
      <c r="AR4257" t="s">
        <v>145</v>
      </c>
      <c r="AS4257">
        <v>0</v>
      </c>
      <c r="AT4257">
        <v>0</v>
      </c>
      <c r="AW4257" t="s">
        <v>58</v>
      </c>
      <c r="AX4257">
        <v>20</v>
      </c>
      <c r="AY4257" s="1">
        <v>35977</v>
      </c>
      <c r="AZ4257" s="1">
        <v>35977</v>
      </c>
      <c r="BA4257" s="1">
        <v>35977</v>
      </c>
      <c r="BB4257" s="1">
        <v>43282</v>
      </c>
      <c r="BC4257" t="s">
        <v>51</v>
      </c>
      <c r="BE4257" t="s">
        <v>54</v>
      </c>
      <c r="BF4257">
        <v>2</v>
      </c>
      <c r="BG4257">
        <v>0</v>
      </c>
      <c r="BH4257" t="s">
        <v>53</v>
      </c>
      <c r="BK4257" t="s">
        <v>1182</v>
      </c>
      <c r="BL4257">
        <v>14000</v>
      </c>
      <c r="BM4257" s="1">
        <v>41456</v>
      </c>
      <c r="BN4257" s="1">
        <v>41456</v>
      </c>
      <c r="BO4257" s="1">
        <v>41456</v>
      </c>
      <c r="BP4257" s="1">
        <v>42656</v>
      </c>
      <c r="BQ4257" t="s">
        <v>51</v>
      </c>
      <c r="BS4257" t="s">
        <v>60</v>
      </c>
      <c r="BT4257" t="s">
        <v>54</v>
      </c>
      <c r="BU4257" t="s">
        <v>61</v>
      </c>
      <c r="BV4257" t="s">
        <v>62</v>
      </c>
      <c r="BX4257">
        <v>18</v>
      </c>
      <c r="BY4257">
        <v>0</v>
      </c>
      <c r="BZ4257">
        <v>0</v>
      </c>
    </row>
    <row r="4258" spans="1:99" x14ac:dyDescent="0.2">
      <c r="A4258" t="s">
        <v>112</v>
      </c>
      <c r="B4258" t="s">
        <v>113</v>
      </c>
      <c r="C4258" t="s">
        <v>114</v>
      </c>
      <c r="D4258" t="s">
        <v>428</v>
      </c>
      <c r="F4258" t="str">
        <f>"251289"</f>
        <v>251289</v>
      </c>
      <c r="G4258" t="s">
        <v>49</v>
      </c>
      <c r="H4258" t="s">
        <v>2062</v>
      </c>
      <c r="K4258" t="s">
        <v>51</v>
      </c>
      <c r="L4258" t="s">
        <v>52</v>
      </c>
      <c r="M4258">
        <v>136896.22</v>
      </c>
      <c r="N4258">
        <v>471436.84</v>
      </c>
      <c r="O4258" t="s">
        <v>53</v>
      </c>
      <c r="P4258" t="s">
        <v>54</v>
      </c>
      <c r="Q4258" t="s">
        <v>55</v>
      </c>
      <c r="T4258" t="s">
        <v>700</v>
      </c>
      <c r="U4258">
        <v>40</v>
      </c>
      <c r="V4258" s="1">
        <v>35977</v>
      </c>
      <c r="W4258" s="1">
        <v>35977</v>
      </c>
      <c r="X4258" s="1">
        <v>35977</v>
      </c>
      <c r="Y4258" s="1">
        <v>50587</v>
      </c>
      <c r="Z4258" t="s">
        <v>51</v>
      </c>
      <c r="AB4258" t="s">
        <v>54</v>
      </c>
      <c r="AC4258">
        <v>1</v>
      </c>
      <c r="AE4258" t="s">
        <v>564</v>
      </c>
      <c r="AF4258">
        <v>20</v>
      </c>
      <c r="AG4258" s="1">
        <v>35977</v>
      </c>
      <c r="AH4258" s="1">
        <v>35977</v>
      </c>
      <c r="AI4258" s="1">
        <v>35977</v>
      </c>
      <c r="AJ4258" s="1">
        <v>43282</v>
      </c>
      <c r="AK4258" t="s">
        <v>51</v>
      </c>
      <c r="AN4258">
        <v>0</v>
      </c>
      <c r="AO4258" t="s">
        <v>54</v>
      </c>
      <c r="AP4258" t="s">
        <v>53</v>
      </c>
      <c r="AQ4258">
        <v>0</v>
      </c>
      <c r="AR4258" t="s">
        <v>53</v>
      </c>
      <c r="AS4258">
        <v>0</v>
      </c>
      <c r="AT4258">
        <v>0</v>
      </c>
      <c r="AW4258" t="s">
        <v>58</v>
      </c>
      <c r="AX4258">
        <v>20</v>
      </c>
      <c r="AY4258" s="1">
        <v>35977</v>
      </c>
      <c r="AZ4258" s="1">
        <v>35977</v>
      </c>
      <c r="BA4258" s="1">
        <v>35977</v>
      </c>
      <c r="BB4258" s="1">
        <v>43282</v>
      </c>
      <c r="BC4258" t="s">
        <v>51</v>
      </c>
      <c r="BE4258" t="s">
        <v>54</v>
      </c>
      <c r="BF4258">
        <v>2</v>
      </c>
      <c r="BG4258">
        <v>0</v>
      </c>
      <c r="BH4258" t="s">
        <v>53</v>
      </c>
      <c r="BI4258">
        <v>1</v>
      </c>
      <c r="BK4258" t="s">
        <v>59</v>
      </c>
      <c r="BL4258">
        <v>14000</v>
      </c>
      <c r="BM4258" s="1">
        <v>41456</v>
      </c>
      <c r="BN4258" s="1">
        <v>41456</v>
      </c>
      <c r="BO4258" s="1">
        <v>41456</v>
      </c>
      <c r="BP4258" s="1">
        <v>42656</v>
      </c>
      <c r="BQ4258" t="s">
        <v>51</v>
      </c>
      <c r="BS4258" t="s">
        <v>60</v>
      </c>
      <c r="BT4258" t="s">
        <v>54</v>
      </c>
      <c r="BU4258" t="s">
        <v>61</v>
      </c>
      <c r="BV4258" t="s">
        <v>62</v>
      </c>
      <c r="BX4258">
        <v>24</v>
      </c>
      <c r="BY4258">
        <v>0</v>
      </c>
      <c r="BZ4258">
        <v>0</v>
      </c>
    </row>
    <row r="4259" spans="1:99" x14ac:dyDescent="0.2">
      <c r="A4259" t="s">
        <v>112</v>
      </c>
      <c r="B4259" t="s">
        <v>113</v>
      </c>
      <c r="C4259" t="s">
        <v>114</v>
      </c>
      <c r="D4259" t="s">
        <v>428</v>
      </c>
      <c r="F4259" t="str">
        <f>"251290"</f>
        <v>251290</v>
      </c>
      <c r="G4259" t="s">
        <v>49</v>
      </c>
      <c r="H4259" t="s">
        <v>2063</v>
      </c>
      <c r="K4259" t="s">
        <v>51</v>
      </c>
      <c r="L4259" t="s">
        <v>52</v>
      </c>
      <c r="M4259">
        <v>136899.95000000001</v>
      </c>
      <c r="N4259">
        <v>471397.34</v>
      </c>
      <c r="O4259" t="s">
        <v>53</v>
      </c>
      <c r="P4259" t="s">
        <v>54</v>
      </c>
      <c r="Q4259" t="s">
        <v>55</v>
      </c>
      <c r="T4259" t="s">
        <v>700</v>
      </c>
      <c r="U4259">
        <v>40</v>
      </c>
      <c r="V4259" s="1">
        <v>35977</v>
      </c>
      <c r="W4259" s="1">
        <v>35977</v>
      </c>
      <c r="X4259" s="1">
        <v>35977</v>
      </c>
      <c r="Y4259" s="1">
        <v>50587</v>
      </c>
      <c r="Z4259" t="s">
        <v>51</v>
      </c>
      <c r="AB4259" t="s">
        <v>54</v>
      </c>
      <c r="AC4259">
        <v>1</v>
      </c>
      <c r="AE4259" t="s">
        <v>564</v>
      </c>
      <c r="AF4259">
        <v>20</v>
      </c>
      <c r="AG4259" s="1">
        <v>35977</v>
      </c>
      <c r="AH4259" s="1">
        <v>35977</v>
      </c>
      <c r="AI4259" s="1">
        <v>35977</v>
      </c>
      <c r="AJ4259" s="1">
        <v>43282</v>
      </c>
      <c r="AK4259" t="s">
        <v>51</v>
      </c>
      <c r="AN4259">
        <v>0</v>
      </c>
      <c r="AO4259" t="s">
        <v>54</v>
      </c>
      <c r="AP4259" t="s">
        <v>53</v>
      </c>
      <c r="AQ4259">
        <v>0</v>
      </c>
      <c r="AR4259" t="s">
        <v>53</v>
      </c>
      <c r="AS4259">
        <v>0</v>
      </c>
      <c r="AT4259">
        <v>0</v>
      </c>
      <c r="AW4259" t="s">
        <v>58</v>
      </c>
      <c r="AX4259">
        <v>20</v>
      </c>
      <c r="AY4259" s="1">
        <v>35977</v>
      </c>
      <c r="AZ4259" s="1">
        <v>35977</v>
      </c>
      <c r="BA4259" s="1">
        <v>35977</v>
      </c>
      <c r="BB4259" s="1">
        <v>43282</v>
      </c>
      <c r="BC4259" t="s">
        <v>51</v>
      </c>
      <c r="BE4259" t="s">
        <v>54</v>
      </c>
      <c r="BF4259">
        <v>2</v>
      </c>
      <c r="BG4259">
        <v>0</v>
      </c>
      <c r="BH4259" t="s">
        <v>53</v>
      </c>
      <c r="BI4259">
        <v>1</v>
      </c>
      <c r="BK4259" t="s">
        <v>59</v>
      </c>
      <c r="BL4259">
        <v>14000</v>
      </c>
      <c r="BM4259" s="1">
        <v>41456</v>
      </c>
      <c r="BN4259" s="1">
        <v>41456</v>
      </c>
      <c r="BO4259" s="1">
        <v>41456</v>
      </c>
      <c r="BP4259" s="1">
        <v>42656</v>
      </c>
      <c r="BQ4259" t="s">
        <v>51</v>
      </c>
      <c r="BS4259" t="s">
        <v>60</v>
      </c>
      <c r="BT4259" t="s">
        <v>54</v>
      </c>
      <c r="BU4259" t="s">
        <v>61</v>
      </c>
      <c r="BV4259" t="s">
        <v>62</v>
      </c>
      <c r="BX4259">
        <v>24</v>
      </c>
      <c r="BY4259">
        <v>0</v>
      </c>
      <c r="BZ4259">
        <v>0</v>
      </c>
    </row>
    <row r="4260" spans="1:99" x14ac:dyDescent="0.2">
      <c r="A4260" t="s">
        <v>112</v>
      </c>
      <c r="B4260" t="s">
        <v>113</v>
      </c>
      <c r="C4260" t="s">
        <v>114</v>
      </c>
      <c r="D4260" t="s">
        <v>428</v>
      </c>
      <c r="F4260" t="str">
        <f>"254364"</f>
        <v>254364</v>
      </c>
      <c r="G4260" t="s">
        <v>49</v>
      </c>
      <c r="H4260" t="s">
        <v>2064</v>
      </c>
      <c r="K4260" t="s">
        <v>51</v>
      </c>
      <c r="L4260" t="s">
        <v>52</v>
      </c>
      <c r="M4260">
        <v>136902.26999999999</v>
      </c>
      <c r="N4260">
        <v>471297.74</v>
      </c>
      <c r="O4260" t="s">
        <v>53</v>
      </c>
      <c r="P4260" t="s">
        <v>54</v>
      </c>
      <c r="Q4260" t="s">
        <v>55</v>
      </c>
      <c r="T4260" t="s">
        <v>700</v>
      </c>
      <c r="U4260">
        <v>40</v>
      </c>
      <c r="V4260" s="1">
        <v>35977</v>
      </c>
      <c r="W4260" s="1">
        <v>35977</v>
      </c>
      <c r="X4260" s="1">
        <v>35977</v>
      </c>
      <c r="Y4260" s="1">
        <v>50587</v>
      </c>
      <c r="Z4260" t="s">
        <v>51</v>
      </c>
      <c r="AB4260" t="s">
        <v>54</v>
      </c>
      <c r="AC4260">
        <v>1</v>
      </c>
      <c r="AE4260" t="s">
        <v>564</v>
      </c>
      <c r="AF4260">
        <v>20</v>
      </c>
      <c r="AG4260" s="1">
        <v>35977</v>
      </c>
      <c r="AH4260" s="1">
        <v>35977</v>
      </c>
      <c r="AI4260" s="1">
        <v>35977</v>
      </c>
      <c r="AJ4260" s="1">
        <v>43282</v>
      </c>
      <c r="AK4260" t="s">
        <v>51</v>
      </c>
      <c r="AN4260">
        <v>0</v>
      </c>
      <c r="AO4260" t="s">
        <v>54</v>
      </c>
      <c r="AP4260" t="s">
        <v>53</v>
      </c>
      <c r="AQ4260">
        <v>0</v>
      </c>
      <c r="AR4260" t="s">
        <v>53</v>
      </c>
      <c r="AS4260">
        <v>0</v>
      </c>
      <c r="AT4260">
        <v>0</v>
      </c>
      <c r="AW4260" t="s">
        <v>58</v>
      </c>
      <c r="AX4260">
        <v>20</v>
      </c>
      <c r="AY4260" s="1">
        <v>35977</v>
      </c>
      <c r="AZ4260" s="1">
        <v>35977</v>
      </c>
      <c r="BA4260" s="1">
        <v>35977</v>
      </c>
      <c r="BB4260" s="1">
        <v>43282</v>
      </c>
      <c r="BC4260" t="s">
        <v>51</v>
      </c>
      <c r="BE4260" t="s">
        <v>54</v>
      </c>
      <c r="BF4260">
        <v>2</v>
      </c>
      <c r="BG4260">
        <v>0</v>
      </c>
      <c r="BH4260" t="s">
        <v>53</v>
      </c>
      <c r="BI4260">
        <v>1</v>
      </c>
      <c r="BK4260" t="s">
        <v>59</v>
      </c>
      <c r="BL4260">
        <v>14000</v>
      </c>
      <c r="BM4260" s="1">
        <v>41456</v>
      </c>
      <c r="BN4260" s="1">
        <v>41456</v>
      </c>
      <c r="BO4260" s="1">
        <v>41456</v>
      </c>
      <c r="BP4260" s="1">
        <v>42656</v>
      </c>
      <c r="BQ4260" t="s">
        <v>51</v>
      </c>
      <c r="BS4260" t="s">
        <v>60</v>
      </c>
      <c r="BT4260" t="s">
        <v>54</v>
      </c>
      <c r="BU4260" t="s">
        <v>61</v>
      </c>
      <c r="BV4260" t="s">
        <v>62</v>
      </c>
      <c r="BX4260">
        <v>24</v>
      </c>
      <c r="BY4260">
        <v>0</v>
      </c>
      <c r="BZ4260">
        <v>0</v>
      </c>
    </row>
    <row r="4261" spans="1:99" x14ac:dyDescent="0.2">
      <c r="A4261" t="s">
        <v>112</v>
      </c>
      <c r="B4261" t="s">
        <v>113</v>
      </c>
      <c r="C4261" t="s">
        <v>114</v>
      </c>
      <c r="D4261" t="s">
        <v>428</v>
      </c>
      <c r="F4261" t="str">
        <f>"251293"</f>
        <v>251293</v>
      </c>
      <c r="G4261" t="s">
        <v>49</v>
      </c>
      <c r="H4261" t="s">
        <v>2065</v>
      </c>
      <c r="K4261" t="s">
        <v>51</v>
      </c>
      <c r="L4261" t="s">
        <v>52</v>
      </c>
      <c r="M4261">
        <v>136903.62</v>
      </c>
      <c r="N4261">
        <v>471244.19</v>
      </c>
      <c r="O4261" t="s">
        <v>53</v>
      </c>
      <c r="P4261" t="s">
        <v>54</v>
      </c>
      <c r="Q4261" t="s">
        <v>55</v>
      </c>
      <c r="T4261" t="s">
        <v>700</v>
      </c>
      <c r="U4261">
        <v>40</v>
      </c>
      <c r="V4261" s="1">
        <v>27395</v>
      </c>
      <c r="W4261" s="1">
        <v>27395</v>
      </c>
      <c r="X4261" s="1">
        <v>27395</v>
      </c>
      <c r="Y4261" s="1">
        <v>42005</v>
      </c>
      <c r="Z4261" t="s">
        <v>51</v>
      </c>
      <c r="AB4261" t="s">
        <v>54</v>
      </c>
      <c r="AC4261">
        <v>1</v>
      </c>
      <c r="AE4261" t="s">
        <v>564</v>
      </c>
      <c r="AF4261">
        <v>20</v>
      </c>
      <c r="AG4261" s="1">
        <v>35977</v>
      </c>
      <c r="AH4261" s="1">
        <v>35977</v>
      </c>
      <c r="AI4261" s="1">
        <v>35977</v>
      </c>
      <c r="AJ4261" s="1">
        <v>43282</v>
      </c>
      <c r="AK4261" t="s">
        <v>51</v>
      </c>
      <c r="AN4261">
        <v>0</v>
      </c>
      <c r="AO4261" t="s">
        <v>54</v>
      </c>
      <c r="AP4261" t="s">
        <v>53</v>
      </c>
      <c r="AQ4261">
        <v>0</v>
      </c>
      <c r="AR4261" t="s">
        <v>53</v>
      </c>
      <c r="AS4261">
        <v>0</v>
      </c>
      <c r="AT4261">
        <v>0</v>
      </c>
      <c r="AW4261" t="s">
        <v>58</v>
      </c>
      <c r="AX4261">
        <v>20</v>
      </c>
      <c r="AY4261" s="1">
        <v>35977</v>
      </c>
      <c r="AZ4261" s="1">
        <v>35977</v>
      </c>
      <c r="BA4261" s="1">
        <v>35977</v>
      </c>
      <c r="BB4261" s="1">
        <v>43282</v>
      </c>
      <c r="BC4261" t="s">
        <v>51</v>
      </c>
      <c r="BE4261" t="s">
        <v>54</v>
      </c>
      <c r="BF4261">
        <v>2</v>
      </c>
      <c r="BG4261">
        <v>0</v>
      </c>
      <c r="BH4261" t="s">
        <v>53</v>
      </c>
      <c r="BI4261">
        <v>1</v>
      </c>
      <c r="BK4261" t="s">
        <v>59</v>
      </c>
      <c r="BL4261">
        <v>14000</v>
      </c>
      <c r="BM4261" s="1">
        <v>41456</v>
      </c>
      <c r="BN4261" s="1">
        <v>41456</v>
      </c>
      <c r="BO4261" s="1">
        <v>41456</v>
      </c>
      <c r="BP4261" s="1">
        <v>42656</v>
      </c>
      <c r="BQ4261" t="s">
        <v>51</v>
      </c>
      <c r="BS4261" t="s">
        <v>60</v>
      </c>
      <c r="BT4261" t="s">
        <v>54</v>
      </c>
      <c r="BU4261" t="s">
        <v>61</v>
      </c>
      <c r="BV4261" t="s">
        <v>62</v>
      </c>
      <c r="BX4261">
        <v>24</v>
      </c>
      <c r="BY4261">
        <v>0</v>
      </c>
      <c r="BZ4261">
        <v>0</v>
      </c>
    </row>
    <row r="4262" spans="1:99" x14ac:dyDescent="0.2">
      <c r="A4262" t="s">
        <v>112</v>
      </c>
      <c r="B4262" t="s">
        <v>113</v>
      </c>
      <c r="C4262" t="s">
        <v>114</v>
      </c>
      <c r="D4262" t="s">
        <v>1982</v>
      </c>
      <c r="F4262" t="str">
        <f>"251296"</f>
        <v>251296</v>
      </c>
      <c r="G4262" t="s">
        <v>49</v>
      </c>
      <c r="K4262" t="s">
        <v>51</v>
      </c>
      <c r="L4262" t="s">
        <v>52</v>
      </c>
      <c r="M4262">
        <v>136961.68</v>
      </c>
      <c r="N4262">
        <v>470834.93</v>
      </c>
      <c r="O4262" t="s">
        <v>53</v>
      </c>
      <c r="P4262" t="s">
        <v>54</v>
      </c>
      <c r="Q4262" t="s">
        <v>55</v>
      </c>
      <c r="T4262" t="s">
        <v>241</v>
      </c>
      <c r="U4262">
        <v>40</v>
      </c>
      <c r="V4262" s="1">
        <v>42552</v>
      </c>
      <c r="W4262" s="1">
        <v>42552</v>
      </c>
      <c r="X4262" s="1">
        <v>42552</v>
      </c>
      <c r="Y4262" s="1">
        <v>57162</v>
      </c>
      <c r="Z4262" t="s">
        <v>51</v>
      </c>
      <c r="AB4262" t="s">
        <v>54</v>
      </c>
      <c r="AC4262">
        <v>1</v>
      </c>
      <c r="AE4262" t="s">
        <v>79</v>
      </c>
      <c r="AF4262">
        <v>20</v>
      </c>
      <c r="AG4262" s="1">
        <v>42552</v>
      </c>
      <c r="AH4262" s="1">
        <v>42552</v>
      </c>
      <c r="AI4262" s="1">
        <v>42552</v>
      </c>
      <c r="AJ4262" s="1">
        <v>49857</v>
      </c>
      <c r="AK4262" t="s">
        <v>51</v>
      </c>
      <c r="AN4262">
        <v>0</v>
      </c>
      <c r="AO4262" t="s">
        <v>54</v>
      </c>
      <c r="AP4262" t="s">
        <v>53</v>
      </c>
      <c r="AQ4262">
        <v>0</v>
      </c>
      <c r="AR4262" t="s">
        <v>145</v>
      </c>
      <c r="AS4262">
        <v>0</v>
      </c>
      <c r="AT4262">
        <v>0</v>
      </c>
      <c r="CC4262" t="s">
        <v>432</v>
      </c>
      <c r="CD4262">
        <v>85000</v>
      </c>
      <c r="CE4262" s="1">
        <v>42552</v>
      </c>
      <c r="CF4262" s="1">
        <v>42552</v>
      </c>
      <c r="CG4262" s="1">
        <v>42552</v>
      </c>
      <c r="CH4262" s="1">
        <v>49714</v>
      </c>
      <c r="CI4262" t="s">
        <v>51</v>
      </c>
      <c r="CK4262" t="s">
        <v>78</v>
      </c>
      <c r="CM4262" t="s">
        <v>54</v>
      </c>
      <c r="CN4262" t="s">
        <v>174</v>
      </c>
      <c r="CO4262" t="s">
        <v>86</v>
      </c>
      <c r="CR4262">
        <v>24</v>
      </c>
      <c r="CS4262">
        <v>0</v>
      </c>
      <c r="CT4262">
        <v>0</v>
      </c>
      <c r="CU4262">
        <v>0</v>
      </c>
    </row>
    <row r="4263" spans="1:99" x14ac:dyDescent="0.2">
      <c r="A4263" t="s">
        <v>112</v>
      </c>
      <c r="B4263" t="s">
        <v>113</v>
      </c>
      <c r="C4263" t="s">
        <v>114</v>
      </c>
      <c r="D4263" t="s">
        <v>428</v>
      </c>
      <c r="F4263" t="str">
        <f>"251298"</f>
        <v>251298</v>
      </c>
      <c r="G4263" t="s">
        <v>49</v>
      </c>
      <c r="K4263" t="s">
        <v>51</v>
      </c>
      <c r="L4263" t="s">
        <v>52</v>
      </c>
      <c r="M4263">
        <v>136930.87</v>
      </c>
      <c r="N4263">
        <v>470831.57</v>
      </c>
      <c r="O4263" t="s">
        <v>53</v>
      </c>
      <c r="P4263" t="s">
        <v>54</v>
      </c>
      <c r="Q4263" t="s">
        <v>55</v>
      </c>
      <c r="T4263" t="s">
        <v>241</v>
      </c>
      <c r="U4263">
        <v>40</v>
      </c>
      <c r="V4263" s="1">
        <v>42552</v>
      </c>
      <c r="W4263" s="1">
        <v>42552</v>
      </c>
      <c r="X4263" s="1">
        <v>42552</v>
      </c>
      <c r="Y4263" s="1">
        <v>57162</v>
      </c>
      <c r="Z4263" t="s">
        <v>51</v>
      </c>
      <c r="AB4263" t="s">
        <v>54</v>
      </c>
      <c r="AC4263">
        <v>1</v>
      </c>
      <c r="AE4263" t="s">
        <v>79</v>
      </c>
      <c r="AF4263">
        <v>20</v>
      </c>
      <c r="AG4263" s="1">
        <v>42552</v>
      </c>
      <c r="AH4263" s="1">
        <v>42552</v>
      </c>
      <c r="AI4263" s="1">
        <v>42552</v>
      </c>
      <c r="AJ4263" s="1">
        <v>49857</v>
      </c>
      <c r="AK4263" t="s">
        <v>51</v>
      </c>
      <c r="AN4263">
        <v>0</v>
      </c>
      <c r="AO4263" t="s">
        <v>54</v>
      </c>
      <c r="AP4263" t="s">
        <v>53</v>
      </c>
      <c r="AQ4263">
        <v>0</v>
      </c>
      <c r="AR4263" t="s">
        <v>145</v>
      </c>
      <c r="AS4263">
        <v>0</v>
      </c>
      <c r="AT4263">
        <v>0</v>
      </c>
      <c r="CC4263" t="s">
        <v>432</v>
      </c>
      <c r="CD4263">
        <v>85000</v>
      </c>
      <c r="CE4263" s="1">
        <v>44858</v>
      </c>
      <c r="CF4263" s="1">
        <v>44858</v>
      </c>
      <c r="CG4263" s="1">
        <v>44858</v>
      </c>
      <c r="CH4263" s="1">
        <v>52017</v>
      </c>
      <c r="CI4263" t="s">
        <v>51</v>
      </c>
      <c r="CK4263" t="s">
        <v>78</v>
      </c>
      <c r="CM4263" t="s">
        <v>54</v>
      </c>
      <c r="CN4263" t="s">
        <v>174</v>
      </c>
      <c r="CO4263" t="s">
        <v>86</v>
      </c>
      <c r="CR4263">
        <v>24</v>
      </c>
      <c r="CS4263">
        <v>0</v>
      </c>
      <c r="CT4263">
        <v>0</v>
      </c>
      <c r="CU4263">
        <v>0</v>
      </c>
    </row>
    <row r="4264" spans="1:99" x14ac:dyDescent="0.2">
      <c r="A4264" t="s">
        <v>112</v>
      </c>
      <c r="B4264" t="s">
        <v>113</v>
      </c>
      <c r="C4264" t="s">
        <v>114</v>
      </c>
      <c r="D4264" t="s">
        <v>2066</v>
      </c>
      <c r="F4264" t="str">
        <f>"251299"</f>
        <v>251299</v>
      </c>
      <c r="G4264" t="s">
        <v>49</v>
      </c>
      <c r="K4264" t="s">
        <v>51</v>
      </c>
      <c r="L4264" t="s">
        <v>52</v>
      </c>
      <c r="M4264">
        <v>136859.87</v>
      </c>
      <c r="N4264">
        <v>472341.88</v>
      </c>
      <c r="O4264" t="s">
        <v>53</v>
      </c>
      <c r="P4264" t="s">
        <v>54</v>
      </c>
      <c r="Q4264" t="s">
        <v>55</v>
      </c>
      <c r="T4264" t="s">
        <v>466</v>
      </c>
      <c r="U4264">
        <v>40</v>
      </c>
      <c r="V4264" s="1">
        <v>29221</v>
      </c>
      <c r="W4264" s="1">
        <v>29221</v>
      </c>
      <c r="X4264" s="1">
        <v>29221</v>
      </c>
      <c r="Y4264" s="1">
        <v>43831</v>
      </c>
      <c r="Z4264" t="s">
        <v>51</v>
      </c>
      <c r="AB4264" t="s">
        <v>54</v>
      </c>
      <c r="AC4264">
        <v>1</v>
      </c>
      <c r="AE4264" t="s">
        <v>84</v>
      </c>
      <c r="AF4264">
        <v>20</v>
      </c>
      <c r="AG4264" s="1">
        <v>34700</v>
      </c>
      <c r="AH4264" s="1">
        <v>34700</v>
      </c>
      <c r="AI4264" s="1">
        <v>34700</v>
      </c>
      <c r="AJ4264" s="1">
        <v>42005</v>
      </c>
      <c r="AK4264" t="s">
        <v>51</v>
      </c>
      <c r="AN4264">
        <v>0</v>
      </c>
      <c r="AO4264" t="s">
        <v>54</v>
      </c>
      <c r="AP4264" t="s">
        <v>53</v>
      </c>
      <c r="AQ4264">
        <v>0</v>
      </c>
      <c r="AR4264" t="s">
        <v>53</v>
      </c>
      <c r="AS4264">
        <v>0</v>
      </c>
      <c r="AT4264">
        <v>0</v>
      </c>
      <c r="AW4264" t="s">
        <v>58</v>
      </c>
      <c r="AX4264">
        <v>20</v>
      </c>
      <c r="AY4264" s="1">
        <v>34700</v>
      </c>
      <c r="AZ4264" s="1">
        <v>34700</v>
      </c>
      <c r="BA4264" s="1">
        <v>34700</v>
      </c>
      <c r="BB4264" s="1">
        <v>42005</v>
      </c>
      <c r="BC4264" t="s">
        <v>51</v>
      </c>
      <c r="BE4264" t="s">
        <v>54</v>
      </c>
      <c r="BF4264">
        <v>2</v>
      </c>
      <c r="BG4264">
        <v>0</v>
      </c>
      <c r="BH4264" t="s">
        <v>53</v>
      </c>
      <c r="BK4264" t="s">
        <v>59</v>
      </c>
      <c r="BL4264">
        <v>14000</v>
      </c>
      <c r="BM4264" s="1">
        <v>41456</v>
      </c>
      <c r="BN4264" s="1">
        <v>41456</v>
      </c>
      <c r="BO4264" s="1">
        <v>41456</v>
      </c>
      <c r="BP4264" s="1">
        <v>42656</v>
      </c>
      <c r="BQ4264" t="s">
        <v>51</v>
      </c>
      <c r="BS4264" t="s">
        <v>60</v>
      </c>
      <c r="BT4264" t="s">
        <v>54</v>
      </c>
      <c r="BU4264" t="s">
        <v>61</v>
      </c>
      <c r="BV4264" t="s">
        <v>62</v>
      </c>
      <c r="BX4264">
        <v>24</v>
      </c>
      <c r="BY4264">
        <v>0</v>
      </c>
      <c r="BZ4264">
        <v>0</v>
      </c>
    </row>
    <row r="4265" spans="1:99" x14ac:dyDescent="0.2">
      <c r="A4265" t="s">
        <v>112</v>
      </c>
      <c r="B4265" t="s">
        <v>113</v>
      </c>
      <c r="C4265" t="s">
        <v>114</v>
      </c>
      <c r="D4265" t="s">
        <v>2066</v>
      </c>
      <c r="F4265" t="str">
        <f>"251302"</f>
        <v>251302</v>
      </c>
      <c r="G4265" t="s">
        <v>49</v>
      </c>
      <c r="H4265" t="s">
        <v>542</v>
      </c>
      <c r="K4265" t="s">
        <v>51</v>
      </c>
      <c r="L4265" t="s">
        <v>52</v>
      </c>
      <c r="M4265">
        <v>136857.38</v>
      </c>
      <c r="N4265">
        <v>472442.77</v>
      </c>
      <c r="O4265" t="s">
        <v>53</v>
      </c>
      <c r="P4265" t="s">
        <v>54</v>
      </c>
      <c r="Q4265" t="s">
        <v>55</v>
      </c>
      <c r="T4265" t="s">
        <v>183</v>
      </c>
      <c r="U4265">
        <v>40</v>
      </c>
      <c r="V4265" s="1">
        <v>29221</v>
      </c>
      <c r="W4265" s="1">
        <v>29221</v>
      </c>
      <c r="X4265" s="1">
        <v>29221</v>
      </c>
      <c r="Y4265" s="1">
        <v>43831</v>
      </c>
      <c r="Z4265" t="s">
        <v>51</v>
      </c>
      <c r="AB4265" t="s">
        <v>54</v>
      </c>
      <c r="AC4265">
        <v>1</v>
      </c>
      <c r="AE4265" t="s">
        <v>84</v>
      </c>
      <c r="AF4265">
        <v>20</v>
      </c>
      <c r="AG4265" s="1">
        <v>34881</v>
      </c>
      <c r="AH4265" s="1">
        <v>34881</v>
      </c>
      <c r="AI4265" s="1">
        <v>34881</v>
      </c>
      <c r="AJ4265" s="1">
        <v>42186</v>
      </c>
      <c r="AK4265" t="s">
        <v>51</v>
      </c>
      <c r="AN4265">
        <v>0</v>
      </c>
      <c r="AO4265" t="s">
        <v>54</v>
      </c>
      <c r="AP4265" t="s">
        <v>53</v>
      </c>
      <c r="AQ4265">
        <v>0</v>
      </c>
      <c r="AR4265" t="s">
        <v>53</v>
      </c>
      <c r="AS4265">
        <v>0</v>
      </c>
      <c r="AT4265">
        <v>0</v>
      </c>
      <c r="AW4265" t="s">
        <v>58</v>
      </c>
      <c r="AX4265">
        <v>20</v>
      </c>
      <c r="AY4265" s="1">
        <v>34881</v>
      </c>
      <c r="AZ4265" s="1">
        <v>34881</v>
      </c>
      <c r="BA4265" s="1">
        <v>34881</v>
      </c>
      <c r="BB4265" s="1">
        <v>42186</v>
      </c>
      <c r="BC4265" t="s">
        <v>51</v>
      </c>
      <c r="BE4265" t="s">
        <v>54</v>
      </c>
      <c r="BF4265">
        <v>2</v>
      </c>
      <c r="BG4265">
        <v>0</v>
      </c>
      <c r="BH4265" t="s">
        <v>53</v>
      </c>
      <c r="BK4265" t="s">
        <v>59</v>
      </c>
      <c r="BL4265">
        <v>14000</v>
      </c>
      <c r="BM4265" s="1">
        <v>41456</v>
      </c>
      <c r="BN4265" s="1">
        <v>41456</v>
      </c>
      <c r="BO4265" s="1">
        <v>41456</v>
      </c>
      <c r="BP4265" s="1">
        <v>42656</v>
      </c>
      <c r="BQ4265" t="s">
        <v>51</v>
      </c>
      <c r="BS4265" t="s">
        <v>60</v>
      </c>
      <c r="BT4265" t="s">
        <v>54</v>
      </c>
      <c r="BU4265" t="s">
        <v>61</v>
      </c>
      <c r="BV4265" t="s">
        <v>62</v>
      </c>
      <c r="BX4265">
        <v>24</v>
      </c>
      <c r="BY4265">
        <v>0</v>
      </c>
      <c r="BZ4265">
        <v>0</v>
      </c>
    </row>
    <row r="4266" spans="1:99" x14ac:dyDescent="0.2">
      <c r="A4266" t="s">
        <v>112</v>
      </c>
      <c r="B4266" t="s">
        <v>113</v>
      </c>
      <c r="C4266" t="s">
        <v>114</v>
      </c>
      <c r="D4266" t="s">
        <v>2066</v>
      </c>
      <c r="F4266" t="str">
        <f>"251303"</f>
        <v>251303</v>
      </c>
      <c r="G4266" t="s">
        <v>49</v>
      </c>
      <c r="K4266" t="s">
        <v>51</v>
      </c>
      <c r="L4266" t="s">
        <v>52</v>
      </c>
      <c r="M4266">
        <v>136859.31</v>
      </c>
      <c r="N4266">
        <v>472367.79</v>
      </c>
      <c r="O4266" t="s">
        <v>53</v>
      </c>
      <c r="P4266" t="s">
        <v>54</v>
      </c>
      <c r="Q4266" t="s">
        <v>55</v>
      </c>
      <c r="T4266" t="s">
        <v>183</v>
      </c>
      <c r="U4266">
        <v>40</v>
      </c>
      <c r="V4266" s="1">
        <v>29221</v>
      </c>
      <c r="W4266" s="1">
        <v>29221</v>
      </c>
      <c r="X4266" s="1">
        <v>29221</v>
      </c>
      <c r="Y4266" s="1">
        <v>43831</v>
      </c>
      <c r="Z4266" t="s">
        <v>51</v>
      </c>
      <c r="AB4266" t="s">
        <v>54</v>
      </c>
      <c r="AC4266">
        <v>1</v>
      </c>
      <c r="AE4266" t="s">
        <v>84</v>
      </c>
      <c r="AF4266">
        <v>20</v>
      </c>
      <c r="AG4266" s="1">
        <v>34881</v>
      </c>
      <c r="AH4266" s="1">
        <v>34881</v>
      </c>
      <c r="AI4266" s="1">
        <v>34881</v>
      </c>
      <c r="AJ4266" s="1">
        <v>42186</v>
      </c>
      <c r="AK4266" t="s">
        <v>51</v>
      </c>
      <c r="AN4266">
        <v>0</v>
      </c>
      <c r="AO4266" t="s">
        <v>54</v>
      </c>
      <c r="AP4266" t="s">
        <v>53</v>
      </c>
      <c r="AQ4266">
        <v>0</v>
      </c>
      <c r="AR4266" t="s">
        <v>53</v>
      </c>
      <c r="AS4266">
        <v>0</v>
      </c>
      <c r="AT4266">
        <v>0</v>
      </c>
      <c r="AW4266" t="s">
        <v>58</v>
      </c>
      <c r="AX4266">
        <v>20</v>
      </c>
      <c r="AY4266" s="1">
        <v>34881</v>
      </c>
      <c r="AZ4266" s="1">
        <v>34881</v>
      </c>
      <c r="BA4266" s="1">
        <v>34881</v>
      </c>
      <c r="BB4266" s="1">
        <v>42186</v>
      </c>
      <c r="BC4266" t="s">
        <v>51</v>
      </c>
      <c r="BE4266" t="s">
        <v>54</v>
      </c>
      <c r="BF4266">
        <v>2</v>
      </c>
      <c r="BG4266">
        <v>0</v>
      </c>
      <c r="BH4266" t="s">
        <v>53</v>
      </c>
      <c r="BK4266" t="s">
        <v>59</v>
      </c>
      <c r="BL4266">
        <v>14000</v>
      </c>
      <c r="BM4266" s="1">
        <v>41456</v>
      </c>
      <c r="BN4266" s="1">
        <v>41456</v>
      </c>
      <c r="BO4266" s="1">
        <v>41456</v>
      </c>
      <c r="BP4266" s="1">
        <v>42656</v>
      </c>
      <c r="BQ4266" t="s">
        <v>51</v>
      </c>
      <c r="BS4266" t="s">
        <v>60</v>
      </c>
      <c r="BT4266" t="s">
        <v>54</v>
      </c>
      <c r="BU4266" t="s">
        <v>61</v>
      </c>
      <c r="BV4266" t="s">
        <v>62</v>
      </c>
      <c r="BX4266">
        <v>24</v>
      </c>
      <c r="BY4266">
        <v>0</v>
      </c>
      <c r="BZ4266">
        <v>0</v>
      </c>
    </row>
    <row r="4267" spans="1:99" x14ac:dyDescent="0.2">
      <c r="A4267" t="s">
        <v>112</v>
      </c>
      <c r="B4267" t="s">
        <v>113</v>
      </c>
      <c r="C4267" t="s">
        <v>114</v>
      </c>
      <c r="D4267" t="s">
        <v>2066</v>
      </c>
      <c r="F4267" t="str">
        <f>"251304"</f>
        <v>251304</v>
      </c>
      <c r="G4267" t="s">
        <v>49</v>
      </c>
      <c r="H4267" t="s">
        <v>108</v>
      </c>
      <c r="K4267" t="s">
        <v>51</v>
      </c>
      <c r="L4267" t="s">
        <v>52</v>
      </c>
      <c r="M4267">
        <v>136862.94</v>
      </c>
      <c r="N4267">
        <v>472481.53</v>
      </c>
      <c r="O4267" t="s">
        <v>53</v>
      </c>
      <c r="P4267" t="s">
        <v>54</v>
      </c>
      <c r="Q4267" t="s">
        <v>55</v>
      </c>
      <c r="T4267" t="s">
        <v>183</v>
      </c>
      <c r="U4267">
        <v>40</v>
      </c>
      <c r="V4267" s="1">
        <v>29221</v>
      </c>
      <c r="W4267" s="1">
        <v>29221</v>
      </c>
      <c r="X4267" s="1">
        <v>29221</v>
      </c>
      <c r="Y4267" s="1">
        <v>43831</v>
      </c>
      <c r="Z4267" t="s">
        <v>51</v>
      </c>
      <c r="AB4267" t="s">
        <v>54</v>
      </c>
      <c r="AC4267">
        <v>1</v>
      </c>
      <c r="AE4267" t="s">
        <v>84</v>
      </c>
      <c r="AF4267">
        <v>20</v>
      </c>
      <c r="AG4267" s="1">
        <v>34881</v>
      </c>
      <c r="AH4267" s="1">
        <v>34881</v>
      </c>
      <c r="AI4267" s="1">
        <v>34881</v>
      </c>
      <c r="AJ4267" s="1">
        <v>42186</v>
      </c>
      <c r="AK4267" t="s">
        <v>51</v>
      </c>
      <c r="AN4267">
        <v>0</v>
      </c>
      <c r="AO4267" t="s">
        <v>54</v>
      </c>
      <c r="AP4267" t="s">
        <v>53</v>
      </c>
      <c r="AQ4267">
        <v>0</v>
      </c>
      <c r="AR4267" t="s">
        <v>53</v>
      </c>
      <c r="AS4267">
        <v>0</v>
      </c>
      <c r="AT4267">
        <v>0</v>
      </c>
      <c r="AW4267" t="s">
        <v>58</v>
      </c>
      <c r="AX4267">
        <v>20</v>
      </c>
      <c r="AY4267" s="1">
        <v>34881</v>
      </c>
      <c r="AZ4267" s="1">
        <v>34881</v>
      </c>
      <c r="BA4267" s="1">
        <v>34881</v>
      </c>
      <c r="BB4267" s="1">
        <v>42186</v>
      </c>
      <c r="BC4267" t="s">
        <v>51</v>
      </c>
      <c r="BE4267" t="s">
        <v>54</v>
      </c>
      <c r="BF4267">
        <v>2</v>
      </c>
      <c r="BG4267">
        <v>0</v>
      </c>
      <c r="BH4267" t="s">
        <v>53</v>
      </c>
      <c r="BK4267" t="s">
        <v>59</v>
      </c>
      <c r="BL4267">
        <v>14000</v>
      </c>
      <c r="BM4267" s="1">
        <v>41456</v>
      </c>
      <c r="BN4267" s="1">
        <v>41456</v>
      </c>
      <c r="BO4267" s="1">
        <v>41456</v>
      </c>
      <c r="BP4267" s="1">
        <v>42656</v>
      </c>
      <c r="BQ4267" t="s">
        <v>51</v>
      </c>
      <c r="BS4267" t="s">
        <v>60</v>
      </c>
      <c r="BT4267" t="s">
        <v>54</v>
      </c>
      <c r="BU4267" t="s">
        <v>61</v>
      </c>
      <c r="BV4267" t="s">
        <v>62</v>
      </c>
      <c r="BX4267">
        <v>24</v>
      </c>
      <c r="BY4267">
        <v>0</v>
      </c>
      <c r="BZ4267">
        <v>0</v>
      </c>
    </row>
    <row r="4268" spans="1:99" x14ac:dyDescent="0.2">
      <c r="A4268" t="s">
        <v>112</v>
      </c>
      <c r="B4268" t="s">
        <v>113</v>
      </c>
      <c r="C4268" t="s">
        <v>114</v>
      </c>
      <c r="D4268" t="s">
        <v>2066</v>
      </c>
      <c r="F4268" t="str">
        <f>"251305"</f>
        <v>251305</v>
      </c>
      <c r="G4268" t="s">
        <v>49</v>
      </c>
      <c r="H4268" t="s">
        <v>723</v>
      </c>
      <c r="K4268" t="s">
        <v>51</v>
      </c>
      <c r="L4268" t="s">
        <v>52</v>
      </c>
      <c r="M4268">
        <v>136854.70000000001</v>
      </c>
      <c r="N4268">
        <v>472514</v>
      </c>
      <c r="O4268" t="s">
        <v>53</v>
      </c>
      <c r="P4268" t="s">
        <v>54</v>
      </c>
      <c r="Q4268" t="s">
        <v>55</v>
      </c>
      <c r="T4268" t="s">
        <v>183</v>
      </c>
      <c r="U4268">
        <v>40</v>
      </c>
      <c r="V4268" s="1">
        <v>29221</v>
      </c>
      <c r="W4268" s="1">
        <v>29221</v>
      </c>
      <c r="X4268" s="1">
        <v>29221</v>
      </c>
      <c r="Y4268" s="1">
        <v>43831</v>
      </c>
      <c r="Z4268" t="s">
        <v>51</v>
      </c>
      <c r="AB4268" t="s">
        <v>54</v>
      </c>
      <c r="AC4268">
        <v>1</v>
      </c>
      <c r="AE4268" t="s">
        <v>57</v>
      </c>
      <c r="AF4268">
        <v>20</v>
      </c>
      <c r="AG4268" s="1">
        <v>34881</v>
      </c>
      <c r="AH4268" s="1">
        <v>34881</v>
      </c>
      <c r="AI4268" s="1">
        <v>34881</v>
      </c>
      <c r="AJ4268" s="1">
        <v>42186</v>
      </c>
      <c r="AK4268" t="s">
        <v>51</v>
      </c>
      <c r="AN4268">
        <v>0</v>
      </c>
      <c r="AO4268" t="s">
        <v>54</v>
      </c>
      <c r="AP4268" t="s">
        <v>53</v>
      </c>
      <c r="AQ4268">
        <v>0</v>
      </c>
      <c r="AR4268" t="s">
        <v>53</v>
      </c>
      <c r="AS4268">
        <v>0</v>
      </c>
      <c r="AT4268">
        <v>0</v>
      </c>
      <c r="AW4268" t="s">
        <v>58</v>
      </c>
      <c r="AX4268">
        <v>20</v>
      </c>
      <c r="AY4268" s="1">
        <v>34881</v>
      </c>
      <c r="AZ4268" s="1">
        <v>34881</v>
      </c>
      <c r="BA4268" s="1">
        <v>34881</v>
      </c>
      <c r="BB4268" s="1">
        <v>42186</v>
      </c>
      <c r="BC4268" t="s">
        <v>51</v>
      </c>
      <c r="BE4268" t="s">
        <v>54</v>
      </c>
      <c r="BF4268">
        <v>2</v>
      </c>
      <c r="BG4268">
        <v>0</v>
      </c>
      <c r="BH4268" t="s">
        <v>53</v>
      </c>
      <c r="BK4268" t="s">
        <v>59</v>
      </c>
      <c r="BL4268">
        <v>14000</v>
      </c>
      <c r="BM4268" s="1">
        <v>41456</v>
      </c>
      <c r="BN4268" s="1">
        <v>41456</v>
      </c>
      <c r="BO4268" s="1">
        <v>41456</v>
      </c>
      <c r="BP4268" s="1">
        <v>42656</v>
      </c>
      <c r="BQ4268" t="s">
        <v>51</v>
      </c>
      <c r="BS4268" t="s">
        <v>60</v>
      </c>
      <c r="BT4268" t="s">
        <v>54</v>
      </c>
      <c r="BU4268" t="s">
        <v>61</v>
      </c>
      <c r="BV4268" t="s">
        <v>62</v>
      </c>
      <c r="BX4268">
        <v>24</v>
      </c>
      <c r="BY4268">
        <v>0</v>
      </c>
      <c r="BZ4268">
        <v>0</v>
      </c>
    </row>
    <row r="4269" spans="1:99" x14ac:dyDescent="0.2">
      <c r="A4269" t="s">
        <v>112</v>
      </c>
      <c r="B4269" t="s">
        <v>113</v>
      </c>
      <c r="C4269" t="s">
        <v>114</v>
      </c>
      <c r="D4269" t="s">
        <v>2066</v>
      </c>
      <c r="F4269" t="str">
        <f>"251308"</f>
        <v>251308</v>
      </c>
      <c r="G4269" t="s">
        <v>49</v>
      </c>
      <c r="H4269" t="s">
        <v>1102</v>
      </c>
      <c r="K4269" t="s">
        <v>51</v>
      </c>
      <c r="L4269" t="s">
        <v>52</v>
      </c>
      <c r="M4269">
        <v>136853.12</v>
      </c>
      <c r="N4269">
        <v>472588.24</v>
      </c>
      <c r="O4269" t="s">
        <v>53</v>
      </c>
      <c r="P4269" t="s">
        <v>54</v>
      </c>
      <c r="Q4269" t="s">
        <v>55</v>
      </c>
      <c r="T4269" t="s">
        <v>183</v>
      </c>
      <c r="U4269">
        <v>40</v>
      </c>
      <c r="V4269" s="1">
        <v>29221</v>
      </c>
      <c r="W4269" s="1">
        <v>29221</v>
      </c>
      <c r="X4269" s="1">
        <v>29221</v>
      </c>
      <c r="Y4269" s="1">
        <v>43831</v>
      </c>
      <c r="Z4269" t="s">
        <v>51</v>
      </c>
      <c r="AB4269" t="s">
        <v>54</v>
      </c>
      <c r="AC4269">
        <v>1</v>
      </c>
      <c r="AE4269" t="s">
        <v>84</v>
      </c>
      <c r="AF4269">
        <v>20</v>
      </c>
      <c r="AG4269" s="1">
        <v>34151</v>
      </c>
      <c r="AH4269" s="1">
        <v>34151</v>
      </c>
      <c r="AI4269" s="1">
        <v>34151</v>
      </c>
      <c r="AJ4269" s="1">
        <v>41456</v>
      </c>
      <c r="AK4269" t="s">
        <v>51</v>
      </c>
      <c r="AN4269">
        <v>0</v>
      </c>
      <c r="AO4269" t="s">
        <v>54</v>
      </c>
      <c r="AP4269" t="s">
        <v>53</v>
      </c>
      <c r="AQ4269">
        <v>0</v>
      </c>
      <c r="AR4269" t="s">
        <v>53</v>
      </c>
      <c r="AS4269">
        <v>0</v>
      </c>
      <c r="AT4269">
        <v>0</v>
      </c>
      <c r="AW4269" t="s">
        <v>58</v>
      </c>
      <c r="AX4269">
        <v>20</v>
      </c>
      <c r="AY4269" s="1">
        <v>34151</v>
      </c>
      <c r="AZ4269" s="1">
        <v>34151</v>
      </c>
      <c r="BA4269" s="1">
        <v>34151</v>
      </c>
      <c r="BB4269" s="1">
        <v>41456</v>
      </c>
      <c r="BC4269" t="s">
        <v>51</v>
      </c>
      <c r="BE4269" t="s">
        <v>54</v>
      </c>
      <c r="BF4269">
        <v>2</v>
      </c>
      <c r="BG4269">
        <v>0</v>
      </c>
      <c r="BH4269" t="s">
        <v>53</v>
      </c>
      <c r="BK4269" t="s">
        <v>59</v>
      </c>
      <c r="BL4269">
        <v>14000</v>
      </c>
      <c r="BM4269" s="1">
        <v>41456</v>
      </c>
      <c r="BN4269" s="1">
        <v>41456</v>
      </c>
      <c r="BO4269" s="1">
        <v>41456</v>
      </c>
      <c r="BP4269" s="1">
        <v>42656</v>
      </c>
      <c r="BQ4269" t="s">
        <v>51</v>
      </c>
      <c r="BS4269" t="s">
        <v>60</v>
      </c>
      <c r="BT4269" t="s">
        <v>54</v>
      </c>
      <c r="BU4269" t="s">
        <v>61</v>
      </c>
      <c r="BV4269" t="s">
        <v>62</v>
      </c>
      <c r="BX4269">
        <v>24</v>
      </c>
      <c r="BY4269">
        <v>0</v>
      </c>
      <c r="BZ4269">
        <v>0</v>
      </c>
    </row>
    <row r="4270" spans="1:99" x14ac:dyDescent="0.2">
      <c r="A4270" t="s">
        <v>112</v>
      </c>
      <c r="B4270" t="s">
        <v>113</v>
      </c>
      <c r="C4270" t="s">
        <v>114</v>
      </c>
      <c r="D4270" t="s">
        <v>2066</v>
      </c>
      <c r="F4270" t="str">
        <f>"251309"</f>
        <v>251309</v>
      </c>
      <c r="G4270" t="s">
        <v>49</v>
      </c>
      <c r="H4270" t="s">
        <v>142</v>
      </c>
      <c r="K4270" t="s">
        <v>51</v>
      </c>
      <c r="L4270" t="s">
        <v>52</v>
      </c>
      <c r="M4270">
        <v>136851.34</v>
      </c>
      <c r="N4270">
        <v>472661.19</v>
      </c>
      <c r="O4270" t="s">
        <v>53</v>
      </c>
      <c r="P4270" t="s">
        <v>54</v>
      </c>
      <c r="Q4270" t="s">
        <v>55</v>
      </c>
      <c r="T4270" t="s">
        <v>183</v>
      </c>
      <c r="U4270">
        <v>40</v>
      </c>
      <c r="V4270" s="1">
        <v>29221</v>
      </c>
      <c r="W4270" s="1">
        <v>29221</v>
      </c>
      <c r="X4270" s="1">
        <v>29221</v>
      </c>
      <c r="Y4270" s="1">
        <v>43831</v>
      </c>
      <c r="Z4270" t="s">
        <v>51</v>
      </c>
      <c r="AB4270" t="s">
        <v>54</v>
      </c>
      <c r="AC4270">
        <v>1</v>
      </c>
      <c r="AE4270" t="s">
        <v>84</v>
      </c>
      <c r="AF4270">
        <v>20</v>
      </c>
      <c r="AG4270" s="1">
        <v>34151</v>
      </c>
      <c r="AH4270" s="1">
        <v>34151</v>
      </c>
      <c r="AI4270" s="1">
        <v>34151</v>
      </c>
      <c r="AJ4270" s="1">
        <v>41456</v>
      </c>
      <c r="AK4270" t="s">
        <v>51</v>
      </c>
      <c r="AN4270">
        <v>0</v>
      </c>
      <c r="AO4270" t="s">
        <v>54</v>
      </c>
      <c r="AP4270" t="s">
        <v>53</v>
      </c>
      <c r="AQ4270">
        <v>0</v>
      </c>
      <c r="AR4270" t="s">
        <v>53</v>
      </c>
      <c r="AS4270">
        <v>0</v>
      </c>
      <c r="AT4270">
        <v>0</v>
      </c>
      <c r="AW4270" t="s">
        <v>58</v>
      </c>
      <c r="AX4270">
        <v>20</v>
      </c>
      <c r="AY4270" s="1">
        <v>34151</v>
      </c>
      <c r="AZ4270" s="1">
        <v>34151</v>
      </c>
      <c r="BA4270" s="1">
        <v>34151</v>
      </c>
      <c r="BB4270" s="1">
        <v>41456</v>
      </c>
      <c r="BC4270" t="s">
        <v>51</v>
      </c>
      <c r="BE4270" t="s">
        <v>54</v>
      </c>
      <c r="BF4270">
        <v>2</v>
      </c>
      <c r="BG4270">
        <v>0</v>
      </c>
      <c r="BH4270" t="s">
        <v>53</v>
      </c>
      <c r="BK4270" t="s">
        <v>59</v>
      </c>
      <c r="BL4270">
        <v>14000</v>
      </c>
      <c r="BM4270" s="1">
        <v>43144</v>
      </c>
      <c r="BN4270" s="1">
        <v>43144</v>
      </c>
      <c r="BO4270" s="1">
        <v>43144</v>
      </c>
      <c r="BP4270" s="1">
        <v>44333</v>
      </c>
      <c r="BQ4270" t="s">
        <v>51</v>
      </c>
      <c r="BS4270" t="s">
        <v>60</v>
      </c>
      <c r="BT4270" t="s">
        <v>54</v>
      </c>
      <c r="BU4270" t="s">
        <v>61</v>
      </c>
      <c r="BV4270" t="s">
        <v>62</v>
      </c>
      <c r="BX4270">
        <v>24</v>
      </c>
      <c r="BY4270">
        <v>0</v>
      </c>
      <c r="BZ4270">
        <v>0</v>
      </c>
    </row>
    <row r="4271" spans="1:99" x14ac:dyDescent="0.2">
      <c r="A4271" t="s">
        <v>112</v>
      </c>
      <c r="B4271" t="s">
        <v>113</v>
      </c>
      <c r="C4271" t="s">
        <v>114</v>
      </c>
      <c r="D4271" t="s">
        <v>2066</v>
      </c>
      <c r="F4271" t="str">
        <f>"251310"</f>
        <v>251310</v>
      </c>
      <c r="G4271" t="s">
        <v>49</v>
      </c>
      <c r="H4271" t="s">
        <v>144</v>
      </c>
      <c r="K4271" t="s">
        <v>51</v>
      </c>
      <c r="L4271" t="s">
        <v>52</v>
      </c>
      <c r="M4271">
        <v>136857.62</v>
      </c>
      <c r="N4271">
        <v>472695.94</v>
      </c>
      <c r="O4271" t="s">
        <v>53</v>
      </c>
      <c r="P4271" t="s">
        <v>54</v>
      </c>
      <c r="Q4271" t="s">
        <v>55</v>
      </c>
      <c r="T4271" t="s">
        <v>183</v>
      </c>
      <c r="U4271">
        <v>40</v>
      </c>
      <c r="V4271" s="1">
        <v>29221</v>
      </c>
      <c r="W4271" s="1">
        <v>29221</v>
      </c>
      <c r="X4271" s="1">
        <v>29221</v>
      </c>
      <c r="Y4271" s="1">
        <v>43831</v>
      </c>
      <c r="Z4271" t="s">
        <v>51</v>
      </c>
      <c r="AB4271" t="s">
        <v>54</v>
      </c>
      <c r="AC4271">
        <v>1</v>
      </c>
      <c r="AE4271" t="s">
        <v>84</v>
      </c>
      <c r="AF4271">
        <v>20</v>
      </c>
      <c r="AG4271" s="1">
        <v>34151</v>
      </c>
      <c r="AH4271" s="1">
        <v>34151</v>
      </c>
      <c r="AI4271" s="1">
        <v>34151</v>
      </c>
      <c r="AJ4271" s="1">
        <v>41456</v>
      </c>
      <c r="AK4271" t="s">
        <v>51</v>
      </c>
      <c r="AN4271">
        <v>0</v>
      </c>
      <c r="AO4271" t="s">
        <v>54</v>
      </c>
      <c r="AP4271" t="s">
        <v>53</v>
      </c>
      <c r="AQ4271">
        <v>0</v>
      </c>
      <c r="AR4271" t="s">
        <v>53</v>
      </c>
      <c r="AS4271">
        <v>0</v>
      </c>
      <c r="AT4271">
        <v>0</v>
      </c>
      <c r="AW4271" t="s">
        <v>58</v>
      </c>
      <c r="AX4271">
        <v>20</v>
      </c>
      <c r="AY4271" s="1">
        <v>34151</v>
      </c>
      <c r="AZ4271" s="1">
        <v>34151</v>
      </c>
      <c r="BA4271" s="1">
        <v>34151</v>
      </c>
      <c r="BB4271" s="1">
        <v>41456</v>
      </c>
      <c r="BC4271" t="s">
        <v>51</v>
      </c>
      <c r="BE4271" t="s">
        <v>54</v>
      </c>
      <c r="BF4271">
        <v>2</v>
      </c>
      <c r="BG4271">
        <v>0</v>
      </c>
      <c r="BH4271" t="s">
        <v>53</v>
      </c>
      <c r="BK4271" t="s">
        <v>59</v>
      </c>
      <c r="BL4271">
        <v>14000</v>
      </c>
      <c r="BM4271" s="1">
        <v>41456</v>
      </c>
      <c r="BN4271" s="1">
        <v>41456</v>
      </c>
      <c r="BO4271" s="1">
        <v>41456</v>
      </c>
      <c r="BP4271" s="1">
        <v>42656</v>
      </c>
      <c r="BQ4271" t="s">
        <v>51</v>
      </c>
      <c r="BS4271" t="s">
        <v>60</v>
      </c>
      <c r="BT4271" t="s">
        <v>54</v>
      </c>
      <c r="BU4271" t="s">
        <v>61</v>
      </c>
      <c r="BV4271" t="s">
        <v>62</v>
      </c>
      <c r="BX4271">
        <v>24</v>
      </c>
      <c r="BY4271">
        <v>0</v>
      </c>
      <c r="BZ4271">
        <v>0</v>
      </c>
    </row>
    <row r="4272" spans="1:99" x14ac:dyDescent="0.2">
      <c r="A4272" t="s">
        <v>112</v>
      </c>
      <c r="B4272" t="s">
        <v>113</v>
      </c>
      <c r="C4272" t="s">
        <v>114</v>
      </c>
      <c r="D4272" t="s">
        <v>2066</v>
      </c>
      <c r="F4272" t="str">
        <f>"251311"</f>
        <v>251311</v>
      </c>
      <c r="G4272" t="s">
        <v>49</v>
      </c>
      <c r="H4272" t="s">
        <v>179</v>
      </c>
      <c r="K4272" t="s">
        <v>51</v>
      </c>
      <c r="L4272" t="s">
        <v>52</v>
      </c>
      <c r="M4272">
        <v>136849.37</v>
      </c>
      <c r="N4272">
        <v>472730.48</v>
      </c>
      <c r="O4272" t="s">
        <v>53</v>
      </c>
      <c r="P4272" t="s">
        <v>54</v>
      </c>
      <c r="Q4272" t="s">
        <v>55</v>
      </c>
      <c r="T4272" t="s">
        <v>466</v>
      </c>
      <c r="U4272">
        <v>40</v>
      </c>
      <c r="V4272" s="1">
        <v>29221</v>
      </c>
      <c r="W4272" s="1">
        <v>29221</v>
      </c>
      <c r="X4272" s="1">
        <v>29221</v>
      </c>
      <c r="Y4272" s="1">
        <v>43831</v>
      </c>
      <c r="Z4272" t="s">
        <v>51</v>
      </c>
      <c r="AB4272" t="s">
        <v>54</v>
      </c>
      <c r="AC4272">
        <v>1</v>
      </c>
      <c r="AE4272" t="s">
        <v>57</v>
      </c>
      <c r="AF4272">
        <v>20</v>
      </c>
      <c r="AG4272" s="1">
        <v>34151</v>
      </c>
      <c r="AH4272" s="1">
        <v>34151</v>
      </c>
      <c r="AI4272" s="1">
        <v>34151</v>
      </c>
      <c r="AJ4272" s="1">
        <v>41456</v>
      </c>
      <c r="AK4272" t="s">
        <v>51</v>
      </c>
      <c r="AN4272">
        <v>0</v>
      </c>
      <c r="AO4272" t="s">
        <v>54</v>
      </c>
      <c r="AP4272" t="s">
        <v>53</v>
      </c>
      <c r="AQ4272">
        <v>0</v>
      </c>
      <c r="AR4272" t="s">
        <v>53</v>
      </c>
      <c r="AS4272">
        <v>0</v>
      </c>
      <c r="AT4272">
        <v>0</v>
      </c>
      <c r="AW4272" t="s">
        <v>58</v>
      </c>
      <c r="AX4272">
        <v>20</v>
      </c>
      <c r="AY4272" s="1">
        <v>34151</v>
      </c>
      <c r="AZ4272" s="1">
        <v>34151</v>
      </c>
      <c r="BA4272" s="1">
        <v>34151</v>
      </c>
      <c r="BB4272" s="1">
        <v>41456</v>
      </c>
      <c r="BC4272" t="s">
        <v>51</v>
      </c>
      <c r="BE4272" t="s">
        <v>54</v>
      </c>
      <c r="BF4272">
        <v>2</v>
      </c>
      <c r="BG4272">
        <v>0</v>
      </c>
      <c r="BH4272" t="s">
        <v>53</v>
      </c>
      <c r="BK4272" t="s">
        <v>59</v>
      </c>
      <c r="BL4272">
        <v>14000</v>
      </c>
      <c r="BM4272" s="1">
        <v>41456</v>
      </c>
      <c r="BN4272" s="1">
        <v>41456</v>
      </c>
      <c r="BO4272" s="1">
        <v>41456</v>
      </c>
      <c r="BP4272" s="1">
        <v>42656</v>
      </c>
      <c r="BQ4272" t="s">
        <v>51</v>
      </c>
      <c r="BS4272" t="s">
        <v>60</v>
      </c>
      <c r="BT4272" t="s">
        <v>54</v>
      </c>
      <c r="BU4272" t="s">
        <v>61</v>
      </c>
      <c r="BV4272" t="s">
        <v>62</v>
      </c>
      <c r="BX4272">
        <v>24</v>
      </c>
      <c r="BY4272">
        <v>0</v>
      </c>
      <c r="BZ4272">
        <v>0</v>
      </c>
    </row>
    <row r="4273" spans="1:78" x14ac:dyDescent="0.2">
      <c r="A4273" t="s">
        <v>112</v>
      </c>
      <c r="B4273" t="s">
        <v>113</v>
      </c>
      <c r="C4273" t="s">
        <v>114</v>
      </c>
      <c r="D4273" t="s">
        <v>2066</v>
      </c>
      <c r="F4273" t="str">
        <f>"251318"</f>
        <v>251318</v>
      </c>
      <c r="G4273" t="s">
        <v>49</v>
      </c>
      <c r="H4273" t="s">
        <v>2067</v>
      </c>
      <c r="K4273" t="s">
        <v>51</v>
      </c>
      <c r="L4273" t="s">
        <v>52</v>
      </c>
      <c r="M4273">
        <v>136845.48000000001</v>
      </c>
      <c r="N4273">
        <v>472877.25</v>
      </c>
      <c r="O4273" t="s">
        <v>53</v>
      </c>
      <c r="P4273" t="s">
        <v>54</v>
      </c>
      <c r="Q4273" t="s">
        <v>55</v>
      </c>
      <c r="T4273" t="s">
        <v>183</v>
      </c>
      <c r="U4273">
        <v>40</v>
      </c>
      <c r="V4273" s="1">
        <v>29221</v>
      </c>
      <c r="W4273" s="1">
        <v>29221</v>
      </c>
      <c r="X4273" s="1">
        <v>29221</v>
      </c>
      <c r="Y4273" s="1">
        <v>43831</v>
      </c>
      <c r="Z4273" t="s">
        <v>51</v>
      </c>
      <c r="AB4273" t="s">
        <v>54</v>
      </c>
      <c r="AC4273">
        <v>1</v>
      </c>
      <c r="AE4273" t="s">
        <v>84</v>
      </c>
      <c r="AF4273">
        <v>20</v>
      </c>
      <c r="AG4273" s="1">
        <v>34151</v>
      </c>
      <c r="AH4273" s="1">
        <v>34151</v>
      </c>
      <c r="AI4273" s="1">
        <v>34151</v>
      </c>
      <c r="AJ4273" s="1">
        <v>41456</v>
      </c>
      <c r="AK4273" t="s">
        <v>51</v>
      </c>
      <c r="AN4273">
        <v>0</v>
      </c>
      <c r="AO4273" t="s">
        <v>54</v>
      </c>
      <c r="AP4273" t="s">
        <v>53</v>
      </c>
      <c r="AQ4273">
        <v>0</v>
      </c>
      <c r="AR4273" t="s">
        <v>53</v>
      </c>
      <c r="AS4273">
        <v>0</v>
      </c>
      <c r="AT4273">
        <v>0</v>
      </c>
      <c r="AW4273" t="s">
        <v>58</v>
      </c>
      <c r="AX4273">
        <v>20</v>
      </c>
      <c r="AY4273" s="1">
        <v>34151</v>
      </c>
      <c r="AZ4273" s="1">
        <v>34151</v>
      </c>
      <c r="BA4273" s="1">
        <v>34151</v>
      </c>
      <c r="BB4273" s="1">
        <v>41456</v>
      </c>
      <c r="BC4273" t="s">
        <v>51</v>
      </c>
      <c r="BE4273" t="s">
        <v>54</v>
      </c>
      <c r="BF4273">
        <v>2</v>
      </c>
      <c r="BG4273">
        <v>0</v>
      </c>
      <c r="BH4273" t="s">
        <v>53</v>
      </c>
      <c r="BK4273" t="s">
        <v>59</v>
      </c>
      <c r="BL4273">
        <v>14000</v>
      </c>
      <c r="BM4273" s="1">
        <v>41456</v>
      </c>
      <c r="BN4273" s="1">
        <v>41456</v>
      </c>
      <c r="BO4273" s="1">
        <v>41456</v>
      </c>
      <c r="BP4273" s="1">
        <v>42656</v>
      </c>
      <c r="BQ4273" t="s">
        <v>51</v>
      </c>
      <c r="BS4273" t="s">
        <v>60</v>
      </c>
      <c r="BT4273" t="s">
        <v>54</v>
      </c>
      <c r="BU4273" t="s">
        <v>61</v>
      </c>
      <c r="BV4273" t="s">
        <v>62</v>
      </c>
      <c r="BX4273">
        <v>24</v>
      </c>
      <c r="BY4273">
        <v>0</v>
      </c>
      <c r="BZ4273">
        <v>0</v>
      </c>
    </row>
    <row r="4274" spans="1:78" x14ac:dyDescent="0.2">
      <c r="A4274" t="s">
        <v>112</v>
      </c>
      <c r="B4274" t="s">
        <v>113</v>
      </c>
      <c r="C4274" t="s">
        <v>114</v>
      </c>
      <c r="D4274" t="s">
        <v>2066</v>
      </c>
      <c r="F4274" t="str">
        <f>"251319"</f>
        <v>251319</v>
      </c>
      <c r="G4274" t="s">
        <v>49</v>
      </c>
      <c r="K4274" t="s">
        <v>51</v>
      </c>
      <c r="L4274" t="s">
        <v>52</v>
      </c>
      <c r="M4274">
        <v>136832.63</v>
      </c>
      <c r="N4274">
        <v>472884.03</v>
      </c>
      <c r="O4274" t="s">
        <v>53</v>
      </c>
      <c r="P4274" t="s">
        <v>54</v>
      </c>
      <c r="Q4274" t="s">
        <v>55</v>
      </c>
      <c r="T4274" t="s">
        <v>682</v>
      </c>
      <c r="U4274">
        <v>40</v>
      </c>
      <c r="V4274" s="1">
        <v>29221</v>
      </c>
      <c r="W4274" s="1">
        <v>29221</v>
      </c>
      <c r="X4274" s="1">
        <v>29221</v>
      </c>
      <c r="Y4274" s="1">
        <v>43831</v>
      </c>
      <c r="Z4274" t="s">
        <v>51</v>
      </c>
      <c r="AB4274" t="s">
        <v>54</v>
      </c>
      <c r="AC4274">
        <v>1</v>
      </c>
      <c r="AE4274" t="s">
        <v>222</v>
      </c>
      <c r="AF4274">
        <v>20</v>
      </c>
      <c r="AG4274" s="1">
        <v>34700</v>
      </c>
      <c r="AH4274" s="1">
        <v>34700</v>
      </c>
      <c r="AI4274" s="1">
        <v>34700</v>
      </c>
      <c r="AJ4274" s="1">
        <v>42005</v>
      </c>
      <c r="AK4274" t="s">
        <v>51</v>
      </c>
      <c r="AN4274">
        <v>0</v>
      </c>
      <c r="AO4274" t="s">
        <v>54</v>
      </c>
      <c r="AP4274" t="s">
        <v>53</v>
      </c>
      <c r="AQ4274">
        <v>0</v>
      </c>
      <c r="AR4274" t="s">
        <v>53</v>
      </c>
      <c r="AS4274">
        <v>0</v>
      </c>
      <c r="AT4274">
        <v>0</v>
      </c>
      <c r="AW4274" t="s">
        <v>58</v>
      </c>
      <c r="AX4274">
        <v>20</v>
      </c>
      <c r="AY4274" s="1">
        <v>34700</v>
      </c>
      <c r="AZ4274" s="1">
        <v>34700</v>
      </c>
      <c r="BA4274" s="1">
        <v>34700</v>
      </c>
      <c r="BB4274" s="1">
        <v>42005</v>
      </c>
      <c r="BC4274" t="s">
        <v>51</v>
      </c>
      <c r="BE4274" t="s">
        <v>54</v>
      </c>
      <c r="BF4274">
        <v>2</v>
      </c>
      <c r="BG4274">
        <v>0</v>
      </c>
      <c r="BH4274" t="s">
        <v>53</v>
      </c>
      <c r="BK4274" t="s">
        <v>59</v>
      </c>
      <c r="BL4274">
        <v>14000</v>
      </c>
      <c r="BM4274" s="1">
        <v>41456</v>
      </c>
      <c r="BN4274" s="1">
        <v>41456</v>
      </c>
      <c r="BO4274" s="1">
        <v>41456</v>
      </c>
      <c r="BP4274" s="1">
        <v>42656</v>
      </c>
      <c r="BQ4274" t="s">
        <v>51</v>
      </c>
      <c r="BS4274" t="s">
        <v>60</v>
      </c>
      <c r="BT4274" t="s">
        <v>54</v>
      </c>
      <c r="BU4274" t="s">
        <v>61</v>
      </c>
      <c r="BV4274" t="s">
        <v>62</v>
      </c>
      <c r="BX4274">
        <v>24</v>
      </c>
      <c r="BY4274">
        <v>0</v>
      </c>
      <c r="BZ4274">
        <v>0</v>
      </c>
    </row>
    <row r="4275" spans="1:78" x14ac:dyDescent="0.2">
      <c r="A4275" t="s">
        <v>112</v>
      </c>
      <c r="B4275" t="s">
        <v>113</v>
      </c>
      <c r="C4275" t="s">
        <v>114</v>
      </c>
      <c r="D4275" t="s">
        <v>2066</v>
      </c>
      <c r="F4275" t="str">
        <f>"251320"</f>
        <v>251320</v>
      </c>
      <c r="G4275" t="s">
        <v>49</v>
      </c>
      <c r="H4275" t="s">
        <v>2068</v>
      </c>
      <c r="K4275" t="s">
        <v>51</v>
      </c>
      <c r="L4275" t="s">
        <v>52</v>
      </c>
      <c r="M4275">
        <v>136851.59</v>
      </c>
      <c r="N4275">
        <v>472912.28</v>
      </c>
      <c r="O4275" t="s">
        <v>53</v>
      </c>
      <c r="P4275" t="s">
        <v>54</v>
      </c>
      <c r="Q4275" t="s">
        <v>55</v>
      </c>
      <c r="T4275" t="s">
        <v>183</v>
      </c>
      <c r="U4275">
        <v>40</v>
      </c>
      <c r="V4275" s="1">
        <v>29221</v>
      </c>
      <c r="W4275" s="1">
        <v>29221</v>
      </c>
      <c r="X4275" s="1">
        <v>29221</v>
      </c>
      <c r="Y4275" s="1">
        <v>43831</v>
      </c>
      <c r="Z4275" t="s">
        <v>51</v>
      </c>
      <c r="AB4275" t="s">
        <v>54</v>
      </c>
      <c r="AC4275">
        <v>1</v>
      </c>
      <c r="AE4275" t="s">
        <v>84</v>
      </c>
      <c r="AF4275">
        <v>20</v>
      </c>
      <c r="AG4275" s="1">
        <v>34151</v>
      </c>
      <c r="AH4275" s="1">
        <v>34151</v>
      </c>
      <c r="AI4275" s="1">
        <v>34151</v>
      </c>
      <c r="AJ4275" s="1">
        <v>41456</v>
      </c>
      <c r="AK4275" t="s">
        <v>51</v>
      </c>
      <c r="AN4275">
        <v>0</v>
      </c>
      <c r="AO4275" t="s">
        <v>54</v>
      </c>
      <c r="AP4275" t="s">
        <v>53</v>
      </c>
      <c r="AQ4275">
        <v>0</v>
      </c>
      <c r="AR4275" t="s">
        <v>53</v>
      </c>
      <c r="AS4275">
        <v>0</v>
      </c>
      <c r="AT4275">
        <v>0</v>
      </c>
      <c r="AW4275" t="s">
        <v>58</v>
      </c>
      <c r="AX4275">
        <v>20</v>
      </c>
      <c r="AY4275" s="1">
        <v>34151</v>
      </c>
      <c r="AZ4275" s="1">
        <v>34151</v>
      </c>
      <c r="BA4275" s="1">
        <v>34151</v>
      </c>
      <c r="BB4275" s="1">
        <v>41456</v>
      </c>
      <c r="BC4275" t="s">
        <v>51</v>
      </c>
      <c r="BE4275" t="s">
        <v>54</v>
      </c>
      <c r="BF4275">
        <v>2</v>
      </c>
      <c r="BG4275">
        <v>0</v>
      </c>
      <c r="BH4275" t="s">
        <v>53</v>
      </c>
      <c r="BK4275" t="s">
        <v>59</v>
      </c>
      <c r="BL4275">
        <v>14000</v>
      </c>
      <c r="BM4275" s="1">
        <v>41456</v>
      </c>
      <c r="BN4275" s="1">
        <v>41456</v>
      </c>
      <c r="BO4275" s="1">
        <v>41456</v>
      </c>
      <c r="BP4275" s="1">
        <v>42656</v>
      </c>
      <c r="BQ4275" t="s">
        <v>51</v>
      </c>
      <c r="BS4275" t="s">
        <v>60</v>
      </c>
      <c r="BT4275" t="s">
        <v>54</v>
      </c>
      <c r="BU4275" t="s">
        <v>61</v>
      </c>
      <c r="BV4275" t="s">
        <v>62</v>
      </c>
      <c r="BX4275">
        <v>24</v>
      </c>
      <c r="BY4275">
        <v>0</v>
      </c>
      <c r="BZ4275">
        <v>0</v>
      </c>
    </row>
    <row r="4276" spans="1:78" x14ac:dyDescent="0.2">
      <c r="A4276" t="s">
        <v>112</v>
      </c>
      <c r="B4276" t="s">
        <v>113</v>
      </c>
      <c r="C4276" t="s">
        <v>114</v>
      </c>
      <c r="D4276" t="s">
        <v>2066</v>
      </c>
      <c r="F4276" t="str">
        <f>"251321"</f>
        <v>251321</v>
      </c>
      <c r="G4276" t="s">
        <v>49</v>
      </c>
      <c r="H4276" t="s">
        <v>2069</v>
      </c>
      <c r="K4276" t="s">
        <v>51</v>
      </c>
      <c r="L4276" t="s">
        <v>52</v>
      </c>
      <c r="M4276">
        <v>136843.37</v>
      </c>
      <c r="N4276">
        <v>472948.3</v>
      </c>
      <c r="O4276" t="s">
        <v>53</v>
      </c>
      <c r="P4276" t="s">
        <v>54</v>
      </c>
      <c r="Q4276" t="s">
        <v>55</v>
      </c>
      <c r="T4276" t="s">
        <v>183</v>
      </c>
      <c r="U4276">
        <v>40</v>
      </c>
      <c r="V4276" s="1">
        <v>29221</v>
      </c>
      <c r="W4276" s="1">
        <v>29221</v>
      </c>
      <c r="X4276" s="1">
        <v>29221</v>
      </c>
      <c r="Y4276" s="1">
        <v>43831</v>
      </c>
      <c r="Z4276" t="s">
        <v>51</v>
      </c>
      <c r="AB4276" t="s">
        <v>54</v>
      </c>
      <c r="AC4276">
        <v>1</v>
      </c>
      <c r="AE4276" t="s">
        <v>84</v>
      </c>
      <c r="AF4276">
        <v>20</v>
      </c>
      <c r="AG4276" s="1">
        <v>34151</v>
      </c>
      <c r="AH4276" s="1">
        <v>34151</v>
      </c>
      <c r="AI4276" s="1">
        <v>34151</v>
      </c>
      <c r="AJ4276" s="1">
        <v>41456</v>
      </c>
      <c r="AK4276" t="s">
        <v>51</v>
      </c>
      <c r="AN4276">
        <v>0</v>
      </c>
      <c r="AO4276" t="s">
        <v>54</v>
      </c>
      <c r="AP4276" t="s">
        <v>53</v>
      </c>
      <c r="AQ4276">
        <v>0</v>
      </c>
      <c r="AR4276" t="s">
        <v>53</v>
      </c>
      <c r="AS4276">
        <v>0</v>
      </c>
      <c r="AT4276">
        <v>0</v>
      </c>
      <c r="AW4276" t="s">
        <v>58</v>
      </c>
      <c r="AX4276">
        <v>20</v>
      </c>
      <c r="AY4276" s="1">
        <v>34151</v>
      </c>
      <c r="AZ4276" s="1">
        <v>34151</v>
      </c>
      <c r="BA4276" s="1">
        <v>34151</v>
      </c>
      <c r="BB4276" s="1">
        <v>41456</v>
      </c>
      <c r="BC4276" t="s">
        <v>51</v>
      </c>
      <c r="BE4276" t="s">
        <v>54</v>
      </c>
      <c r="BF4276">
        <v>2</v>
      </c>
      <c r="BG4276">
        <v>0</v>
      </c>
      <c r="BH4276" t="s">
        <v>53</v>
      </c>
      <c r="BK4276" t="s">
        <v>59</v>
      </c>
      <c r="BL4276">
        <v>14000</v>
      </c>
      <c r="BM4276" s="1">
        <v>41456</v>
      </c>
      <c r="BN4276" s="1">
        <v>41456</v>
      </c>
      <c r="BO4276" s="1">
        <v>41456</v>
      </c>
      <c r="BP4276" s="1">
        <v>42656</v>
      </c>
      <c r="BQ4276" t="s">
        <v>51</v>
      </c>
      <c r="BS4276" t="s">
        <v>60</v>
      </c>
      <c r="BT4276" t="s">
        <v>54</v>
      </c>
      <c r="BU4276" t="s">
        <v>61</v>
      </c>
      <c r="BV4276" t="s">
        <v>62</v>
      </c>
      <c r="BX4276">
        <v>24</v>
      </c>
      <c r="BY4276">
        <v>0</v>
      </c>
      <c r="BZ4276">
        <v>0</v>
      </c>
    </row>
    <row r="4277" spans="1:78" x14ac:dyDescent="0.2">
      <c r="A4277" t="s">
        <v>112</v>
      </c>
      <c r="B4277" t="s">
        <v>113</v>
      </c>
      <c r="C4277" t="s">
        <v>114</v>
      </c>
      <c r="D4277" t="s">
        <v>2066</v>
      </c>
      <c r="F4277" t="str">
        <f>"251322"</f>
        <v>251322</v>
      </c>
      <c r="G4277" t="s">
        <v>49</v>
      </c>
      <c r="K4277" t="s">
        <v>51</v>
      </c>
      <c r="L4277" t="s">
        <v>52</v>
      </c>
      <c r="M4277">
        <v>136850.17000000001</v>
      </c>
      <c r="N4277">
        <v>472979.72</v>
      </c>
      <c r="O4277" t="s">
        <v>53</v>
      </c>
      <c r="P4277" t="s">
        <v>54</v>
      </c>
      <c r="Q4277" t="s">
        <v>55</v>
      </c>
      <c r="T4277" t="s">
        <v>183</v>
      </c>
      <c r="U4277">
        <v>40</v>
      </c>
      <c r="V4277" s="1">
        <v>29221</v>
      </c>
      <c r="W4277" s="1">
        <v>29221</v>
      </c>
      <c r="X4277" s="1">
        <v>29221</v>
      </c>
      <c r="Y4277" s="1">
        <v>43831</v>
      </c>
      <c r="Z4277" t="s">
        <v>51</v>
      </c>
      <c r="AB4277" t="s">
        <v>54</v>
      </c>
      <c r="AC4277">
        <v>1</v>
      </c>
      <c r="AE4277" t="s">
        <v>171</v>
      </c>
      <c r="AF4277">
        <v>20</v>
      </c>
      <c r="AG4277" s="1">
        <v>43627</v>
      </c>
      <c r="AH4277" s="1">
        <v>43627</v>
      </c>
      <c r="AI4277" s="1">
        <v>43627</v>
      </c>
      <c r="AJ4277" s="1">
        <v>50932</v>
      </c>
      <c r="AK4277" t="s">
        <v>51</v>
      </c>
      <c r="AN4277">
        <v>0</v>
      </c>
      <c r="AO4277" t="s">
        <v>54</v>
      </c>
      <c r="AP4277" t="s">
        <v>53</v>
      </c>
      <c r="AQ4277">
        <v>0</v>
      </c>
      <c r="AR4277" t="s">
        <v>53</v>
      </c>
      <c r="AS4277">
        <v>0</v>
      </c>
      <c r="AT4277">
        <v>0</v>
      </c>
      <c r="AW4277" t="s">
        <v>58</v>
      </c>
      <c r="AX4277">
        <v>20</v>
      </c>
      <c r="AY4277" s="1">
        <v>34151</v>
      </c>
      <c r="AZ4277" s="1">
        <v>34151</v>
      </c>
      <c r="BA4277" s="1">
        <v>43627</v>
      </c>
      <c r="BB4277" s="1">
        <v>41456</v>
      </c>
      <c r="BC4277" t="s">
        <v>51</v>
      </c>
      <c r="BE4277" t="s">
        <v>54</v>
      </c>
      <c r="BF4277">
        <v>2</v>
      </c>
      <c r="BG4277">
        <v>0</v>
      </c>
      <c r="BH4277" t="s">
        <v>53</v>
      </c>
      <c r="BK4277" t="s">
        <v>59</v>
      </c>
      <c r="BL4277">
        <v>14000</v>
      </c>
      <c r="BM4277" s="1">
        <v>41456</v>
      </c>
      <c r="BN4277" s="1">
        <v>41456</v>
      </c>
      <c r="BO4277" s="1">
        <v>43627</v>
      </c>
      <c r="BP4277" s="1">
        <v>42656</v>
      </c>
      <c r="BQ4277" t="s">
        <v>51</v>
      </c>
      <c r="BS4277" t="s">
        <v>60</v>
      </c>
      <c r="BT4277" t="s">
        <v>54</v>
      </c>
      <c r="BU4277" t="s">
        <v>61</v>
      </c>
      <c r="BV4277" t="s">
        <v>62</v>
      </c>
      <c r="BX4277">
        <v>24</v>
      </c>
      <c r="BY4277">
        <v>0</v>
      </c>
      <c r="BZ4277">
        <v>0</v>
      </c>
    </row>
    <row r="4278" spans="1:78" x14ac:dyDescent="0.2">
      <c r="A4278" t="s">
        <v>112</v>
      </c>
      <c r="B4278" t="s">
        <v>113</v>
      </c>
      <c r="C4278" t="s">
        <v>114</v>
      </c>
      <c r="D4278" t="s">
        <v>2066</v>
      </c>
      <c r="F4278" t="str">
        <f>"251323"</f>
        <v>251323</v>
      </c>
      <c r="G4278" t="s">
        <v>49</v>
      </c>
      <c r="H4278" t="s">
        <v>2070</v>
      </c>
      <c r="K4278" t="s">
        <v>51</v>
      </c>
      <c r="L4278" t="s">
        <v>52</v>
      </c>
      <c r="M4278">
        <v>136841.38</v>
      </c>
      <c r="N4278">
        <v>473017.53</v>
      </c>
      <c r="O4278" t="s">
        <v>53</v>
      </c>
      <c r="P4278" t="s">
        <v>54</v>
      </c>
      <c r="Q4278" t="s">
        <v>55</v>
      </c>
      <c r="T4278" t="s">
        <v>183</v>
      </c>
      <c r="U4278">
        <v>40</v>
      </c>
      <c r="V4278" s="1">
        <v>29221</v>
      </c>
      <c r="W4278" s="1">
        <v>29221</v>
      </c>
      <c r="X4278" s="1">
        <v>29221</v>
      </c>
      <c r="Y4278" s="1">
        <v>43831</v>
      </c>
      <c r="Z4278" t="s">
        <v>51</v>
      </c>
      <c r="AB4278" t="s">
        <v>54</v>
      </c>
      <c r="AC4278">
        <v>1</v>
      </c>
      <c r="AE4278" t="s">
        <v>84</v>
      </c>
      <c r="AF4278">
        <v>20</v>
      </c>
      <c r="AG4278" s="1">
        <v>34151</v>
      </c>
      <c r="AH4278" s="1">
        <v>34151</v>
      </c>
      <c r="AI4278" s="1">
        <v>34151</v>
      </c>
      <c r="AJ4278" s="1">
        <v>41456</v>
      </c>
      <c r="AK4278" t="s">
        <v>51</v>
      </c>
      <c r="AN4278">
        <v>0</v>
      </c>
      <c r="AO4278" t="s">
        <v>54</v>
      </c>
      <c r="AP4278" t="s">
        <v>53</v>
      </c>
      <c r="AQ4278">
        <v>0</v>
      </c>
      <c r="AR4278" t="s">
        <v>53</v>
      </c>
      <c r="AS4278">
        <v>0</v>
      </c>
      <c r="AT4278">
        <v>0</v>
      </c>
      <c r="AW4278" t="s">
        <v>58</v>
      </c>
      <c r="AX4278">
        <v>20</v>
      </c>
      <c r="AY4278" s="1">
        <v>34151</v>
      </c>
      <c r="AZ4278" s="1">
        <v>34151</v>
      </c>
      <c r="BA4278" s="1">
        <v>34151</v>
      </c>
      <c r="BB4278" s="1">
        <v>41456</v>
      </c>
      <c r="BC4278" t="s">
        <v>51</v>
      </c>
      <c r="BE4278" t="s">
        <v>54</v>
      </c>
      <c r="BF4278">
        <v>2</v>
      </c>
      <c r="BG4278">
        <v>0</v>
      </c>
      <c r="BH4278" t="s">
        <v>53</v>
      </c>
      <c r="BK4278" t="s">
        <v>59</v>
      </c>
      <c r="BL4278">
        <v>14000</v>
      </c>
      <c r="BM4278" s="1">
        <v>41456</v>
      </c>
      <c r="BN4278" s="1">
        <v>41456</v>
      </c>
      <c r="BO4278" s="1">
        <v>41456</v>
      </c>
      <c r="BP4278" s="1">
        <v>42656</v>
      </c>
      <c r="BQ4278" t="s">
        <v>51</v>
      </c>
      <c r="BS4278" t="s">
        <v>60</v>
      </c>
      <c r="BT4278" t="s">
        <v>54</v>
      </c>
      <c r="BU4278" t="s">
        <v>61</v>
      </c>
      <c r="BV4278" t="s">
        <v>62</v>
      </c>
      <c r="BX4278">
        <v>24</v>
      </c>
      <c r="BY4278">
        <v>0</v>
      </c>
      <c r="BZ4278">
        <v>0</v>
      </c>
    </row>
    <row r="4279" spans="1:78" x14ac:dyDescent="0.2">
      <c r="A4279" t="s">
        <v>112</v>
      </c>
      <c r="B4279" t="s">
        <v>113</v>
      </c>
      <c r="C4279" t="s">
        <v>114</v>
      </c>
      <c r="D4279" t="s">
        <v>2066</v>
      </c>
      <c r="F4279" t="str">
        <f>"251324"</f>
        <v>251324</v>
      </c>
      <c r="G4279" t="s">
        <v>49</v>
      </c>
      <c r="H4279" t="s">
        <v>2071</v>
      </c>
      <c r="K4279" t="s">
        <v>51</v>
      </c>
      <c r="L4279" t="s">
        <v>52</v>
      </c>
      <c r="M4279">
        <v>136848.26999999999</v>
      </c>
      <c r="N4279">
        <v>473054.19</v>
      </c>
      <c r="O4279" t="s">
        <v>53</v>
      </c>
      <c r="P4279" t="s">
        <v>54</v>
      </c>
      <c r="Q4279" t="s">
        <v>55</v>
      </c>
      <c r="T4279" t="s">
        <v>183</v>
      </c>
      <c r="U4279">
        <v>40</v>
      </c>
      <c r="V4279" s="1">
        <v>29221</v>
      </c>
      <c r="W4279" s="1">
        <v>29221</v>
      </c>
      <c r="X4279" s="1">
        <v>29221</v>
      </c>
      <c r="Y4279" s="1">
        <v>43831</v>
      </c>
      <c r="Z4279" t="s">
        <v>51</v>
      </c>
      <c r="AB4279" t="s">
        <v>54</v>
      </c>
      <c r="AC4279">
        <v>1</v>
      </c>
      <c r="AE4279" t="s">
        <v>84</v>
      </c>
      <c r="AF4279">
        <v>20</v>
      </c>
      <c r="AG4279" s="1">
        <v>34151</v>
      </c>
      <c r="AH4279" s="1">
        <v>34151</v>
      </c>
      <c r="AI4279" s="1">
        <v>34151</v>
      </c>
      <c r="AJ4279" s="1">
        <v>41456</v>
      </c>
      <c r="AK4279" t="s">
        <v>51</v>
      </c>
      <c r="AN4279">
        <v>0</v>
      </c>
      <c r="AO4279" t="s">
        <v>54</v>
      </c>
      <c r="AP4279" t="s">
        <v>53</v>
      </c>
      <c r="AQ4279">
        <v>0</v>
      </c>
      <c r="AR4279" t="s">
        <v>53</v>
      </c>
      <c r="AS4279">
        <v>0</v>
      </c>
      <c r="AT4279">
        <v>0</v>
      </c>
      <c r="AW4279" t="s">
        <v>58</v>
      </c>
      <c r="AX4279">
        <v>20</v>
      </c>
      <c r="AY4279" s="1">
        <v>34151</v>
      </c>
      <c r="AZ4279" s="1">
        <v>34151</v>
      </c>
      <c r="BA4279" s="1">
        <v>34151</v>
      </c>
      <c r="BB4279" s="1">
        <v>41456</v>
      </c>
      <c r="BC4279" t="s">
        <v>51</v>
      </c>
      <c r="BE4279" t="s">
        <v>54</v>
      </c>
      <c r="BF4279">
        <v>2</v>
      </c>
      <c r="BG4279">
        <v>0</v>
      </c>
      <c r="BH4279" t="s">
        <v>53</v>
      </c>
      <c r="BK4279" t="s">
        <v>59</v>
      </c>
      <c r="BL4279">
        <v>14000</v>
      </c>
      <c r="BM4279" s="1">
        <v>41456</v>
      </c>
      <c r="BN4279" s="1">
        <v>41456</v>
      </c>
      <c r="BO4279" s="1">
        <v>41456</v>
      </c>
      <c r="BP4279" s="1">
        <v>42656</v>
      </c>
      <c r="BQ4279" t="s">
        <v>51</v>
      </c>
      <c r="BS4279" t="s">
        <v>60</v>
      </c>
      <c r="BT4279" t="s">
        <v>54</v>
      </c>
      <c r="BU4279" t="s">
        <v>61</v>
      </c>
      <c r="BV4279" t="s">
        <v>62</v>
      </c>
      <c r="BX4279">
        <v>24</v>
      </c>
      <c r="BY4279">
        <v>0</v>
      </c>
      <c r="BZ4279">
        <v>0</v>
      </c>
    </row>
    <row r="4280" spans="1:78" x14ac:dyDescent="0.2">
      <c r="A4280" t="s">
        <v>112</v>
      </c>
      <c r="B4280" t="s">
        <v>113</v>
      </c>
      <c r="C4280" t="s">
        <v>114</v>
      </c>
      <c r="D4280" t="s">
        <v>2066</v>
      </c>
      <c r="F4280" t="str">
        <f>"251325"</f>
        <v>251325</v>
      </c>
      <c r="G4280" t="s">
        <v>49</v>
      </c>
      <c r="H4280" t="s">
        <v>2072</v>
      </c>
      <c r="K4280" t="s">
        <v>51</v>
      </c>
      <c r="L4280" t="s">
        <v>52</v>
      </c>
      <c r="M4280">
        <v>136839.73699999999</v>
      </c>
      <c r="N4280">
        <v>473089.34</v>
      </c>
      <c r="O4280" t="s">
        <v>53</v>
      </c>
      <c r="P4280" t="s">
        <v>54</v>
      </c>
      <c r="Q4280" t="s">
        <v>55</v>
      </c>
      <c r="T4280" t="s">
        <v>183</v>
      </c>
      <c r="U4280">
        <v>40</v>
      </c>
      <c r="V4280" s="1">
        <v>29221</v>
      </c>
      <c r="W4280" s="1">
        <v>29221</v>
      </c>
      <c r="X4280" s="1">
        <v>29221</v>
      </c>
      <c r="Y4280" s="1">
        <v>43831</v>
      </c>
      <c r="Z4280" t="s">
        <v>51</v>
      </c>
      <c r="AB4280" t="s">
        <v>54</v>
      </c>
      <c r="AC4280">
        <v>1</v>
      </c>
      <c r="AE4280" t="s">
        <v>84</v>
      </c>
      <c r="AF4280">
        <v>20</v>
      </c>
      <c r="AG4280" s="1">
        <v>34151</v>
      </c>
      <c r="AH4280" s="1">
        <v>34151</v>
      </c>
      <c r="AI4280" s="1">
        <v>34151</v>
      </c>
      <c r="AJ4280" s="1">
        <v>41456</v>
      </c>
      <c r="AK4280" t="s">
        <v>51</v>
      </c>
      <c r="AN4280">
        <v>0</v>
      </c>
      <c r="AO4280" t="s">
        <v>54</v>
      </c>
      <c r="AP4280" t="s">
        <v>53</v>
      </c>
      <c r="AQ4280">
        <v>0</v>
      </c>
      <c r="AR4280" t="s">
        <v>53</v>
      </c>
      <c r="AS4280">
        <v>0</v>
      </c>
      <c r="AT4280">
        <v>0</v>
      </c>
      <c r="AW4280" t="s">
        <v>58</v>
      </c>
      <c r="AX4280">
        <v>20</v>
      </c>
      <c r="AY4280" s="1">
        <v>44200</v>
      </c>
      <c r="AZ4280" s="1">
        <v>44200</v>
      </c>
      <c r="BA4280" s="1">
        <v>44200</v>
      </c>
      <c r="BB4280" s="1">
        <v>51505</v>
      </c>
      <c r="BC4280" t="s">
        <v>51</v>
      </c>
      <c r="BE4280" t="s">
        <v>54</v>
      </c>
      <c r="BF4280">
        <v>2</v>
      </c>
      <c r="BG4280">
        <v>0</v>
      </c>
      <c r="BH4280" t="s">
        <v>53</v>
      </c>
      <c r="BK4280" t="s">
        <v>65</v>
      </c>
      <c r="BL4280">
        <v>14000</v>
      </c>
      <c r="BM4280" s="1">
        <v>44200</v>
      </c>
      <c r="BN4280" s="1">
        <v>44200</v>
      </c>
      <c r="BO4280" s="1">
        <v>44200</v>
      </c>
      <c r="BP4280" s="1">
        <v>45365</v>
      </c>
      <c r="BQ4280" t="s">
        <v>51</v>
      </c>
      <c r="BS4280" t="s">
        <v>60</v>
      </c>
      <c r="BT4280" t="s">
        <v>54</v>
      </c>
      <c r="BU4280" t="s">
        <v>61</v>
      </c>
      <c r="BV4280" t="s">
        <v>62</v>
      </c>
      <c r="BX4280">
        <v>36</v>
      </c>
      <c r="BY4280">
        <v>0</v>
      </c>
      <c r="BZ4280">
        <v>0</v>
      </c>
    </row>
    <row r="4281" spans="1:78" x14ac:dyDescent="0.2">
      <c r="A4281" t="s">
        <v>112</v>
      </c>
      <c r="B4281" t="s">
        <v>113</v>
      </c>
      <c r="C4281" t="s">
        <v>114</v>
      </c>
      <c r="D4281" t="s">
        <v>2066</v>
      </c>
      <c r="F4281" t="str">
        <f>"251326"</f>
        <v>251326</v>
      </c>
      <c r="G4281" t="s">
        <v>49</v>
      </c>
      <c r="H4281" t="s">
        <v>2073</v>
      </c>
      <c r="K4281" t="s">
        <v>51</v>
      </c>
      <c r="L4281" t="s">
        <v>52</v>
      </c>
      <c r="M4281">
        <v>136847.10999999999</v>
      </c>
      <c r="N4281">
        <v>473128.2</v>
      </c>
      <c r="O4281" t="s">
        <v>53</v>
      </c>
      <c r="P4281" t="s">
        <v>54</v>
      </c>
      <c r="Q4281" t="s">
        <v>55</v>
      </c>
      <c r="T4281" t="s">
        <v>183</v>
      </c>
      <c r="U4281">
        <v>40</v>
      </c>
      <c r="V4281" s="1">
        <v>29221</v>
      </c>
      <c r="W4281" s="1">
        <v>29221</v>
      </c>
      <c r="X4281" s="1">
        <v>29221</v>
      </c>
      <c r="Y4281" s="1">
        <v>43831</v>
      </c>
      <c r="Z4281" t="s">
        <v>51</v>
      </c>
      <c r="AB4281" t="s">
        <v>54</v>
      </c>
      <c r="AC4281">
        <v>1</v>
      </c>
      <c r="AE4281" t="s">
        <v>84</v>
      </c>
      <c r="AF4281">
        <v>20</v>
      </c>
      <c r="AG4281" s="1">
        <v>34151</v>
      </c>
      <c r="AH4281" s="1">
        <v>34151</v>
      </c>
      <c r="AI4281" s="1">
        <v>34151</v>
      </c>
      <c r="AJ4281" s="1">
        <v>41456</v>
      </c>
      <c r="AK4281" t="s">
        <v>51</v>
      </c>
      <c r="AN4281">
        <v>0</v>
      </c>
      <c r="AO4281" t="s">
        <v>54</v>
      </c>
      <c r="AP4281" t="s">
        <v>53</v>
      </c>
      <c r="AQ4281">
        <v>0</v>
      </c>
      <c r="AR4281" t="s">
        <v>53</v>
      </c>
      <c r="AS4281">
        <v>0</v>
      </c>
      <c r="AT4281">
        <v>0</v>
      </c>
      <c r="AW4281" t="s">
        <v>58</v>
      </c>
      <c r="AX4281">
        <v>20</v>
      </c>
      <c r="AY4281" s="1">
        <v>43605</v>
      </c>
      <c r="AZ4281" s="1">
        <v>43605</v>
      </c>
      <c r="BA4281" s="1">
        <v>43605</v>
      </c>
      <c r="BB4281" s="1">
        <v>50910</v>
      </c>
      <c r="BC4281" t="s">
        <v>51</v>
      </c>
      <c r="BE4281" t="s">
        <v>54</v>
      </c>
      <c r="BF4281">
        <v>2</v>
      </c>
      <c r="BG4281">
        <v>0</v>
      </c>
      <c r="BH4281" t="s">
        <v>53</v>
      </c>
      <c r="BK4281" t="s">
        <v>59</v>
      </c>
      <c r="BL4281">
        <v>14000</v>
      </c>
      <c r="BM4281" s="1">
        <v>43605</v>
      </c>
      <c r="BN4281" s="1">
        <v>43605</v>
      </c>
      <c r="BO4281" s="1">
        <v>43605</v>
      </c>
      <c r="BP4281" s="1">
        <v>44823</v>
      </c>
      <c r="BQ4281" t="s">
        <v>51</v>
      </c>
      <c r="BS4281" t="s">
        <v>60</v>
      </c>
      <c r="BT4281" t="s">
        <v>54</v>
      </c>
      <c r="BU4281" t="s">
        <v>61</v>
      </c>
      <c r="BV4281" t="s">
        <v>62</v>
      </c>
      <c r="BX4281">
        <v>24</v>
      </c>
      <c r="BY4281">
        <v>0</v>
      </c>
      <c r="BZ4281">
        <v>0</v>
      </c>
    </row>
    <row r="4282" spans="1:78" x14ac:dyDescent="0.2">
      <c r="A4282" t="s">
        <v>112</v>
      </c>
      <c r="B4282" t="s">
        <v>113</v>
      </c>
      <c r="C4282" t="s">
        <v>114</v>
      </c>
      <c r="D4282" t="s">
        <v>2066</v>
      </c>
      <c r="F4282" t="str">
        <f>"251327"</f>
        <v>251327</v>
      </c>
      <c r="G4282" t="s">
        <v>49</v>
      </c>
      <c r="H4282" t="s">
        <v>2074</v>
      </c>
      <c r="K4282" t="s">
        <v>51</v>
      </c>
      <c r="L4282" t="s">
        <v>52</v>
      </c>
      <c r="M4282">
        <v>136838.09400000001</v>
      </c>
      <c r="N4282">
        <v>473159.64</v>
      </c>
      <c r="O4282" t="s">
        <v>53</v>
      </c>
      <c r="P4282" t="s">
        <v>54</v>
      </c>
      <c r="Q4282" t="s">
        <v>55</v>
      </c>
      <c r="T4282" t="s">
        <v>183</v>
      </c>
      <c r="U4282">
        <v>40</v>
      </c>
      <c r="V4282" s="1">
        <v>29221</v>
      </c>
      <c r="W4282" s="1">
        <v>29221</v>
      </c>
      <c r="X4282" s="1">
        <v>29221</v>
      </c>
      <c r="Y4282" s="1">
        <v>43831</v>
      </c>
      <c r="Z4282" t="s">
        <v>51</v>
      </c>
      <c r="AB4282" t="s">
        <v>54</v>
      </c>
      <c r="AC4282">
        <v>1</v>
      </c>
      <c r="AE4282" t="s">
        <v>84</v>
      </c>
      <c r="AF4282">
        <v>20</v>
      </c>
      <c r="AG4282" s="1">
        <v>34151</v>
      </c>
      <c r="AH4282" s="1">
        <v>34151</v>
      </c>
      <c r="AI4282" s="1">
        <v>34151</v>
      </c>
      <c r="AJ4282" s="1">
        <v>41456</v>
      </c>
      <c r="AK4282" t="s">
        <v>51</v>
      </c>
      <c r="AN4282">
        <v>0</v>
      </c>
      <c r="AO4282" t="s">
        <v>54</v>
      </c>
      <c r="AP4282" t="s">
        <v>53</v>
      </c>
      <c r="AQ4282">
        <v>0</v>
      </c>
      <c r="AR4282" t="s">
        <v>53</v>
      </c>
      <c r="AS4282">
        <v>0</v>
      </c>
      <c r="AT4282">
        <v>0</v>
      </c>
      <c r="AW4282" t="s">
        <v>58</v>
      </c>
      <c r="AX4282">
        <v>20</v>
      </c>
      <c r="AY4282" s="1">
        <v>34151</v>
      </c>
      <c r="AZ4282" s="1">
        <v>34151</v>
      </c>
      <c r="BA4282" s="1">
        <v>34151</v>
      </c>
      <c r="BB4282" s="1">
        <v>41456</v>
      </c>
      <c r="BC4282" t="s">
        <v>51</v>
      </c>
      <c r="BE4282" t="s">
        <v>54</v>
      </c>
      <c r="BF4282">
        <v>2</v>
      </c>
      <c r="BG4282">
        <v>0</v>
      </c>
      <c r="BH4282" t="s">
        <v>53</v>
      </c>
      <c r="BK4282" t="s">
        <v>59</v>
      </c>
      <c r="BL4282">
        <v>14000</v>
      </c>
      <c r="BM4282" s="1">
        <v>41456</v>
      </c>
      <c r="BN4282" s="1">
        <v>41456</v>
      </c>
      <c r="BO4282" s="1">
        <v>41456</v>
      </c>
      <c r="BP4282" s="1">
        <v>42656</v>
      </c>
      <c r="BQ4282" t="s">
        <v>51</v>
      </c>
      <c r="BS4282" t="s">
        <v>60</v>
      </c>
      <c r="BT4282" t="s">
        <v>54</v>
      </c>
      <c r="BU4282" t="s">
        <v>61</v>
      </c>
      <c r="BV4282" t="s">
        <v>62</v>
      </c>
      <c r="BX4282">
        <v>24</v>
      </c>
      <c r="BY4282">
        <v>0</v>
      </c>
      <c r="BZ4282">
        <v>0</v>
      </c>
    </row>
    <row r="4283" spans="1:78" x14ac:dyDescent="0.2">
      <c r="A4283" t="s">
        <v>112</v>
      </c>
      <c r="B4283" t="s">
        <v>113</v>
      </c>
      <c r="C4283" t="s">
        <v>114</v>
      </c>
      <c r="D4283" t="s">
        <v>2066</v>
      </c>
      <c r="F4283" t="str">
        <f>"251328"</f>
        <v>251328</v>
      </c>
      <c r="G4283" t="s">
        <v>49</v>
      </c>
      <c r="H4283" t="s">
        <v>2075</v>
      </c>
      <c r="K4283" t="s">
        <v>51</v>
      </c>
      <c r="L4283" t="s">
        <v>52</v>
      </c>
      <c r="M4283">
        <v>136844.38</v>
      </c>
      <c r="N4283">
        <v>473196.53</v>
      </c>
      <c r="O4283" t="s">
        <v>53</v>
      </c>
      <c r="P4283" t="s">
        <v>54</v>
      </c>
      <c r="Q4283" t="s">
        <v>55</v>
      </c>
      <c r="T4283" t="s">
        <v>466</v>
      </c>
      <c r="U4283">
        <v>40</v>
      </c>
      <c r="V4283" s="1">
        <v>29221</v>
      </c>
      <c r="W4283" s="1">
        <v>29221</v>
      </c>
      <c r="X4283" s="1">
        <v>29221</v>
      </c>
      <c r="Y4283" s="1">
        <v>43831</v>
      </c>
      <c r="Z4283" t="s">
        <v>51</v>
      </c>
      <c r="AB4283" t="s">
        <v>54</v>
      </c>
      <c r="AC4283">
        <v>1</v>
      </c>
      <c r="AE4283" t="s">
        <v>57</v>
      </c>
      <c r="AF4283">
        <v>20</v>
      </c>
      <c r="AG4283" s="1">
        <v>34151</v>
      </c>
      <c r="AH4283" s="1">
        <v>34151</v>
      </c>
      <c r="AI4283" s="1">
        <v>34151</v>
      </c>
      <c r="AJ4283" s="1">
        <v>41456</v>
      </c>
      <c r="AK4283" t="s">
        <v>51</v>
      </c>
      <c r="AN4283">
        <v>0</v>
      </c>
      <c r="AO4283" t="s">
        <v>54</v>
      </c>
      <c r="AP4283" t="s">
        <v>53</v>
      </c>
      <c r="AQ4283">
        <v>0</v>
      </c>
      <c r="AR4283" t="s">
        <v>53</v>
      </c>
      <c r="AS4283">
        <v>0</v>
      </c>
      <c r="AT4283">
        <v>0</v>
      </c>
      <c r="AW4283" t="s">
        <v>58</v>
      </c>
      <c r="AX4283">
        <v>20</v>
      </c>
      <c r="AY4283" s="1">
        <v>34151</v>
      </c>
      <c r="AZ4283" s="1">
        <v>34151</v>
      </c>
      <c r="BA4283" s="1">
        <v>34151</v>
      </c>
      <c r="BB4283" s="1">
        <v>41456</v>
      </c>
      <c r="BC4283" t="s">
        <v>51</v>
      </c>
      <c r="BE4283" t="s">
        <v>54</v>
      </c>
      <c r="BF4283">
        <v>2</v>
      </c>
      <c r="BG4283">
        <v>0</v>
      </c>
      <c r="BH4283" t="s">
        <v>53</v>
      </c>
      <c r="BK4283" t="s">
        <v>59</v>
      </c>
      <c r="BL4283">
        <v>14000</v>
      </c>
      <c r="BM4283" s="1">
        <v>41456</v>
      </c>
      <c r="BN4283" s="1">
        <v>41456</v>
      </c>
      <c r="BO4283" s="1">
        <v>41456</v>
      </c>
      <c r="BP4283" s="1">
        <v>42656</v>
      </c>
      <c r="BQ4283" t="s">
        <v>51</v>
      </c>
      <c r="BS4283" t="s">
        <v>60</v>
      </c>
      <c r="BT4283" t="s">
        <v>54</v>
      </c>
      <c r="BU4283" t="s">
        <v>61</v>
      </c>
      <c r="BV4283" t="s">
        <v>62</v>
      </c>
      <c r="BX4283">
        <v>24</v>
      </c>
      <c r="BY4283">
        <v>0</v>
      </c>
      <c r="BZ4283">
        <v>0</v>
      </c>
    </row>
    <row r="4284" spans="1:78" x14ac:dyDescent="0.2">
      <c r="A4284" t="s">
        <v>112</v>
      </c>
      <c r="B4284" t="s">
        <v>113</v>
      </c>
      <c r="C4284" t="s">
        <v>114</v>
      </c>
      <c r="D4284" t="s">
        <v>2066</v>
      </c>
      <c r="F4284" t="str">
        <f>"251329"</f>
        <v>251329</v>
      </c>
      <c r="G4284" t="s">
        <v>49</v>
      </c>
      <c r="H4284" t="s">
        <v>2076</v>
      </c>
      <c r="K4284" t="s">
        <v>51</v>
      </c>
      <c r="L4284" t="s">
        <v>52</v>
      </c>
      <c r="M4284">
        <v>136835.54</v>
      </c>
      <c r="N4284">
        <v>473235.22</v>
      </c>
      <c r="O4284" t="s">
        <v>53</v>
      </c>
      <c r="P4284" t="s">
        <v>54</v>
      </c>
      <c r="Q4284" t="s">
        <v>55</v>
      </c>
      <c r="T4284" t="s">
        <v>183</v>
      </c>
      <c r="U4284">
        <v>40</v>
      </c>
      <c r="V4284" s="1">
        <v>29221</v>
      </c>
      <c r="W4284" s="1">
        <v>29221</v>
      </c>
      <c r="X4284" s="1">
        <v>29221</v>
      </c>
      <c r="Y4284" s="1">
        <v>43831</v>
      </c>
      <c r="Z4284" t="s">
        <v>51</v>
      </c>
      <c r="AB4284" t="s">
        <v>54</v>
      </c>
      <c r="AC4284">
        <v>1</v>
      </c>
      <c r="AE4284" t="s">
        <v>84</v>
      </c>
      <c r="AF4284">
        <v>20</v>
      </c>
      <c r="AG4284" s="1">
        <v>34151</v>
      </c>
      <c r="AH4284" s="1">
        <v>34151</v>
      </c>
      <c r="AI4284" s="1">
        <v>34151</v>
      </c>
      <c r="AJ4284" s="1">
        <v>41456</v>
      </c>
      <c r="AK4284" t="s">
        <v>51</v>
      </c>
      <c r="AN4284">
        <v>0</v>
      </c>
      <c r="AO4284" t="s">
        <v>54</v>
      </c>
      <c r="AP4284" t="s">
        <v>53</v>
      </c>
      <c r="AQ4284">
        <v>0</v>
      </c>
      <c r="AR4284" t="s">
        <v>53</v>
      </c>
      <c r="AS4284">
        <v>0</v>
      </c>
      <c r="AT4284">
        <v>0</v>
      </c>
      <c r="AW4284" t="s">
        <v>58</v>
      </c>
      <c r="AX4284">
        <v>20</v>
      </c>
      <c r="AY4284" s="1">
        <v>44865</v>
      </c>
      <c r="AZ4284" s="1">
        <v>44865</v>
      </c>
      <c r="BA4284" s="1">
        <v>44865</v>
      </c>
      <c r="BB4284" s="1">
        <v>52170</v>
      </c>
      <c r="BC4284" t="s">
        <v>51</v>
      </c>
      <c r="BE4284" t="s">
        <v>54</v>
      </c>
      <c r="BF4284">
        <v>2</v>
      </c>
      <c r="BG4284">
        <v>0</v>
      </c>
      <c r="BH4284" t="s">
        <v>53</v>
      </c>
      <c r="BK4284" t="s">
        <v>65</v>
      </c>
      <c r="BL4284">
        <v>14000</v>
      </c>
      <c r="BM4284" s="1">
        <v>44865</v>
      </c>
      <c r="BN4284" s="1">
        <v>44865</v>
      </c>
      <c r="BO4284" s="1">
        <v>44865</v>
      </c>
      <c r="BP4284" s="1">
        <v>46025</v>
      </c>
      <c r="BQ4284" t="s">
        <v>51</v>
      </c>
      <c r="BS4284" t="s">
        <v>60</v>
      </c>
      <c r="BT4284" t="s">
        <v>54</v>
      </c>
      <c r="BU4284" t="s">
        <v>61</v>
      </c>
      <c r="BV4284" t="s">
        <v>62</v>
      </c>
      <c r="BX4284">
        <v>36</v>
      </c>
      <c r="BY4284">
        <v>0</v>
      </c>
      <c r="BZ4284">
        <v>0</v>
      </c>
    </row>
    <row r="4285" spans="1:78" x14ac:dyDescent="0.2">
      <c r="A4285" t="s">
        <v>112</v>
      </c>
      <c r="B4285" t="s">
        <v>113</v>
      </c>
      <c r="C4285" t="s">
        <v>114</v>
      </c>
      <c r="D4285" t="s">
        <v>2066</v>
      </c>
      <c r="F4285" t="str">
        <f>"251330"</f>
        <v>251330</v>
      </c>
      <c r="G4285" t="s">
        <v>49</v>
      </c>
      <c r="H4285" t="s">
        <v>2077</v>
      </c>
      <c r="K4285" t="s">
        <v>51</v>
      </c>
      <c r="L4285" t="s">
        <v>52</v>
      </c>
      <c r="M4285">
        <v>136842.13</v>
      </c>
      <c r="N4285">
        <v>473269</v>
      </c>
      <c r="O4285" t="s">
        <v>53</v>
      </c>
      <c r="P4285" t="s">
        <v>54</v>
      </c>
      <c r="Q4285" t="s">
        <v>55</v>
      </c>
      <c r="T4285" t="s">
        <v>466</v>
      </c>
      <c r="U4285">
        <v>40</v>
      </c>
      <c r="V4285" s="1">
        <v>29221</v>
      </c>
      <c r="W4285" s="1">
        <v>29221</v>
      </c>
      <c r="X4285" s="1">
        <v>29221</v>
      </c>
      <c r="Y4285" s="1">
        <v>43831</v>
      </c>
      <c r="Z4285" t="s">
        <v>51</v>
      </c>
      <c r="AB4285" t="s">
        <v>54</v>
      </c>
      <c r="AC4285">
        <v>1</v>
      </c>
      <c r="AE4285" t="s">
        <v>84</v>
      </c>
      <c r="AF4285">
        <v>20</v>
      </c>
      <c r="AG4285" s="1">
        <v>34151</v>
      </c>
      <c r="AH4285" s="1">
        <v>34151</v>
      </c>
      <c r="AI4285" s="1">
        <v>34151</v>
      </c>
      <c r="AJ4285" s="1">
        <v>41456</v>
      </c>
      <c r="AK4285" t="s">
        <v>51</v>
      </c>
      <c r="AN4285">
        <v>0</v>
      </c>
      <c r="AO4285" t="s">
        <v>54</v>
      </c>
      <c r="AP4285" t="s">
        <v>53</v>
      </c>
      <c r="AQ4285">
        <v>0</v>
      </c>
      <c r="AR4285" t="s">
        <v>53</v>
      </c>
      <c r="AS4285">
        <v>0</v>
      </c>
      <c r="AT4285">
        <v>0</v>
      </c>
      <c r="AW4285" t="s">
        <v>58</v>
      </c>
      <c r="AX4285">
        <v>20</v>
      </c>
      <c r="AY4285" s="1">
        <v>34151</v>
      </c>
      <c r="AZ4285" s="1">
        <v>34151</v>
      </c>
      <c r="BA4285" s="1">
        <v>34151</v>
      </c>
      <c r="BB4285" s="1">
        <v>41456</v>
      </c>
      <c r="BC4285" t="s">
        <v>51</v>
      </c>
      <c r="BE4285" t="s">
        <v>54</v>
      </c>
      <c r="BF4285">
        <v>2</v>
      </c>
      <c r="BG4285">
        <v>0</v>
      </c>
      <c r="BH4285" t="s">
        <v>53</v>
      </c>
      <c r="BK4285" t="s">
        <v>59</v>
      </c>
      <c r="BL4285">
        <v>14000</v>
      </c>
      <c r="BM4285" s="1">
        <v>41456</v>
      </c>
      <c r="BN4285" s="1">
        <v>41456</v>
      </c>
      <c r="BO4285" s="1">
        <v>41456</v>
      </c>
      <c r="BP4285" s="1">
        <v>42656</v>
      </c>
      <c r="BQ4285" t="s">
        <v>51</v>
      </c>
      <c r="BS4285" t="s">
        <v>60</v>
      </c>
      <c r="BT4285" t="s">
        <v>54</v>
      </c>
      <c r="BU4285" t="s">
        <v>61</v>
      </c>
      <c r="BV4285" t="s">
        <v>62</v>
      </c>
      <c r="BX4285">
        <v>24</v>
      </c>
      <c r="BY4285">
        <v>0</v>
      </c>
      <c r="BZ4285">
        <v>0</v>
      </c>
    </row>
    <row r="4286" spans="1:78" x14ac:dyDescent="0.2">
      <c r="A4286" t="s">
        <v>112</v>
      </c>
      <c r="B4286" t="s">
        <v>113</v>
      </c>
      <c r="C4286" t="s">
        <v>114</v>
      </c>
      <c r="D4286" t="s">
        <v>2066</v>
      </c>
      <c r="F4286" t="str">
        <f>"251331"</f>
        <v>251331</v>
      </c>
      <c r="G4286" t="s">
        <v>49</v>
      </c>
      <c r="H4286" t="s">
        <v>2078</v>
      </c>
      <c r="K4286" t="s">
        <v>51</v>
      </c>
      <c r="L4286" t="s">
        <v>52</v>
      </c>
      <c r="M4286">
        <v>136834.03</v>
      </c>
      <c r="N4286">
        <v>473304.78</v>
      </c>
      <c r="O4286" t="s">
        <v>53</v>
      </c>
      <c r="P4286" t="s">
        <v>54</v>
      </c>
      <c r="Q4286" t="s">
        <v>55</v>
      </c>
      <c r="T4286" t="s">
        <v>183</v>
      </c>
      <c r="U4286">
        <v>40</v>
      </c>
      <c r="V4286" s="1">
        <v>29221</v>
      </c>
      <c r="W4286" s="1">
        <v>29221</v>
      </c>
      <c r="X4286" s="1">
        <v>29221</v>
      </c>
      <c r="Y4286" s="1">
        <v>43831</v>
      </c>
      <c r="Z4286" t="s">
        <v>51</v>
      </c>
      <c r="AB4286" t="s">
        <v>54</v>
      </c>
      <c r="AC4286">
        <v>1</v>
      </c>
      <c r="AE4286" t="s">
        <v>84</v>
      </c>
      <c r="AF4286">
        <v>20</v>
      </c>
      <c r="AG4286" s="1">
        <v>34151</v>
      </c>
      <c r="AH4286" s="1">
        <v>34151</v>
      </c>
      <c r="AI4286" s="1">
        <v>34151</v>
      </c>
      <c r="AJ4286" s="1">
        <v>41456</v>
      </c>
      <c r="AK4286" t="s">
        <v>51</v>
      </c>
      <c r="AN4286">
        <v>0</v>
      </c>
      <c r="AO4286" t="s">
        <v>54</v>
      </c>
      <c r="AP4286" t="s">
        <v>53</v>
      </c>
      <c r="AQ4286">
        <v>0</v>
      </c>
      <c r="AR4286" t="s">
        <v>53</v>
      </c>
      <c r="AS4286">
        <v>0</v>
      </c>
      <c r="AT4286">
        <v>0</v>
      </c>
      <c r="AW4286" t="s">
        <v>58</v>
      </c>
      <c r="AX4286">
        <v>20</v>
      </c>
      <c r="AY4286" s="1">
        <v>34151</v>
      </c>
      <c r="AZ4286" s="1">
        <v>34151</v>
      </c>
      <c r="BA4286" s="1">
        <v>34151</v>
      </c>
      <c r="BB4286" s="1">
        <v>41456</v>
      </c>
      <c r="BC4286" t="s">
        <v>51</v>
      </c>
      <c r="BE4286" t="s">
        <v>54</v>
      </c>
      <c r="BF4286">
        <v>2</v>
      </c>
      <c r="BG4286">
        <v>0</v>
      </c>
      <c r="BH4286" t="s">
        <v>53</v>
      </c>
      <c r="BK4286" t="s">
        <v>59</v>
      </c>
      <c r="BL4286">
        <v>14000</v>
      </c>
      <c r="BM4286" s="1">
        <v>41456</v>
      </c>
      <c r="BN4286" s="1">
        <v>41456</v>
      </c>
      <c r="BO4286" s="1">
        <v>41456</v>
      </c>
      <c r="BP4286" s="1">
        <v>42656</v>
      </c>
      <c r="BQ4286" t="s">
        <v>51</v>
      </c>
      <c r="BS4286" t="s">
        <v>60</v>
      </c>
      <c r="BT4286" t="s">
        <v>54</v>
      </c>
      <c r="BU4286" t="s">
        <v>61</v>
      </c>
      <c r="BV4286" t="s">
        <v>62</v>
      </c>
      <c r="BX4286">
        <v>24</v>
      </c>
      <c r="BY4286">
        <v>0</v>
      </c>
      <c r="BZ4286">
        <v>0</v>
      </c>
    </row>
    <row r="4287" spans="1:78" x14ac:dyDescent="0.2">
      <c r="A4287" t="s">
        <v>112</v>
      </c>
      <c r="B4287" t="s">
        <v>113</v>
      </c>
      <c r="C4287" t="s">
        <v>114</v>
      </c>
      <c r="D4287" t="s">
        <v>2066</v>
      </c>
      <c r="F4287" t="str">
        <f>"251332"</f>
        <v>251332</v>
      </c>
      <c r="G4287" t="s">
        <v>49</v>
      </c>
      <c r="H4287" t="s">
        <v>2079</v>
      </c>
      <c r="K4287" t="s">
        <v>51</v>
      </c>
      <c r="L4287" t="s">
        <v>52</v>
      </c>
      <c r="M4287">
        <v>136839.31</v>
      </c>
      <c r="N4287">
        <v>473342.34</v>
      </c>
      <c r="O4287" t="s">
        <v>53</v>
      </c>
      <c r="P4287" t="s">
        <v>54</v>
      </c>
      <c r="Q4287" t="s">
        <v>55</v>
      </c>
      <c r="T4287" t="s">
        <v>183</v>
      </c>
      <c r="U4287">
        <v>40</v>
      </c>
      <c r="V4287" s="1">
        <v>29221</v>
      </c>
      <c r="W4287" s="1">
        <v>29221</v>
      </c>
      <c r="X4287" s="1">
        <v>29221</v>
      </c>
      <c r="Y4287" s="1">
        <v>43831</v>
      </c>
      <c r="Z4287" t="s">
        <v>51</v>
      </c>
      <c r="AB4287" t="s">
        <v>54</v>
      </c>
      <c r="AC4287">
        <v>1</v>
      </c>
      <c r="AE4287" t="s">
        <v>84</v>
      </c>
      <c r="AF4287">
        <v>20</v>
      </c>
      <c r="AG4287" s="1">
        <v>34151</v>
      </c>
      <c r="AH4287" s="1">
        <v>34151</v>
      </c>
      <c r="AI4287" s="1">
        <v>34151</v>
      </c>
      <c r="AJ4287" s="1">
        <v>41456</v>
      </c>
      <c r="AK4287" t="s">
        <v>51</v>
      </c>
      <c r="AN4287">
        <v>0</v>
      </c>
      <c r="AO4287" t="s">
        <v>54</v>
      </c>
      <c r="AP4287" t="s">
        <v>53</v>
      </c>
      <c r="AQ4287">
        <v>0</v>
      </c>
      <c r="AR4287" t="s">
        <v>53</v>
      </c>
      <c r="AS4287">
        <v>0</v>
      </c>
      <c r="AT4287">
        <v>0</v>
      </c>
      <c r="AW4287" t="s">
        <v>58</v>
      </c>
      <c r="AX4287">
        <v>20</v>
      </c>
      <c r="AY4287" s="1">
        <v>34151</v>
      </c>
      <c r="AZ4287" s="1">
        <v>34151</v>
      </c>
      <c r="BA4287" s="1">
        <v>34151</v>
      </c>
      <c r="BB4287" s="1">
        <v>41456</v>
      </c>
      <c r="BC4287" t="s">
        <v>51</v>
      </c>
      <c r="BE4287" t="s">
        <v>54</v>
      </c>
      <c r="BF4287">
        <v>2</v>
      </c>
      <c r="BG4287">
        <v>0</v>
      </c>
      <c r="BH4287" t="s">
        <v>53</v>
      </c>
      <c r="BK4287" t="s">
        <v>59</v>
      </c>
      <c r="BL4287">
        <v>14000</v>
      </c>
      <c r="BM4287" s="1">
        <v>41456</v>
      </c>
      <c r="BN4287" s="1">
        <v>41456</v>
      </c>
      <c r="BO4287" s="1">
        <v>41456</v>
      </c>
      <c r="BP4287" s="1">
        <v>42656</v>
      </c>
      <c r="BQ4287" t="s">
        <v>51</v>
      </c>
      <c r="BS4287" t="s">
        <v>60</v>
      </c>
      <c r="BT4287" t="s">
        <v>54</v>
      </c>
      <c r="BU4287" t="s">
        <v>61</v>
      </c>
      <c r="BV4287" t="s">
        <v>62</v>
      </c>
      <c r="BX4287">
        <v>24</v>
      </c>
      <c r="BY4287">
        <v>0</v>
      </c>
      <c r="BZ4287">
        <v>0</v>
      </c>
    </row>
    <row r="4288" spans="1:78" x14ac:dyDescent="0.2">
      <c r="A4288" t="s">
        <v>112</v>
      </c>
      <c r="B4288" t="s">
        <v>113</v>
      </c>
      <c r="C4288" t="s">
        <v>114</v>
      </c>
      <c r="D4288" t="s">
        <v>2066</v>
      </c>
      <c r="F4288" t="str">
        <f>"251333"</f>
        <v>251333</v>
      </c>
      <c r="G4288" t="s">
        <v>49</v>
      </c>
      <c r="H4288" t="s">
        <v>2080</v>
      </c>
      <c r="K4288" t="s">
        <v>51</v>
      </c>
      <c r="L4288" t="s">
        <v>52</v>
      </c>
      <c r="M4288">
        <v>136831.71</v>
      </c>
      <c r="N4288">
        <v>473378.42</v>
      </c>
      <c r="O4288" t="s">
        <v>53</v>
      </c>
      <c r="P4288" t="s">
        <v>54</v>
      </c>
      <c r="Q4288" t="s">
        <v>55</v>
      </c>
      <c r="T4288" t="s">
        <v>183</v>
      </c>
      <c r="U4288">
        <v>40</v>
      </c>
      <c r="V4288" s="1">
        <v>29221</v>
      </c>
      <c r="W4288" s="1">
        <v>29221</v>
      </c>
      <c r="X4288" s="1">
        <v>29221</v>
      </c>
      <c r="Y4288" s="1">
        <v>43831</v>
      </c>
      <c r="Z4288" t="s">
        <v>51</v>
      </c>
      <c r="AB4288" t="s">
        <v>54</v>
      </c>
      <c r="AC4288">
        <v>1</v>
      </c>
      <c r="AE4288" t="s">
        <v>57</v>
      </c>
      <c r="AF4288">
        <v>20</v>
      </c>
      <c r="AG4288" s="1">
        <v>34151</v>
      </c>
      <c r="AH4288" s="1">
        <v>34151</v>
      </c>
      <c r="AI4288" s="1">
        <v>34151</v>
      </c>
      <c r="AJ4288" s="1">
        <v>41456</v>
      </c>
      <c r="AK4288" t="s">
        <v>51</v>
      </c>
      <c r="AN4288">
        <v>0</v>
      </c>
      <c r="AO4288" t="s">
        <v>54</v>
      </c>
      <c r="AP4288" t="s">
        <v>53</v>
      </c>
      <c r="AQ4288">
        <v>0</v>
      </c>
      <c r="AR4288" t="s">
        <v>53</v>
      </c>
      <c r="AS4288">
        <v>0</v>
      </c>
      <c r="AT4288">
        <v>0</v>
      </c>
      <c r="AW4288" t="s">
        <v>58</v>
      </c>
      <c r="AX4288">
        <v>20</v>
      </c>
      <c r="AY4288" s="1">
        <v>34151</v>
      </c>
      <c r="AZ4288" s="1">
        <v>34151</v>
      </c>
      <c r="BA4288" s="1">
        <v>34151</v>
      </c>
      <c r="BB4288" s="1">
        <v>41456</v>
      </c>
      <c r="BC4288" t="s">
        <v>51</v>
      </c>
      <c r="BE4288" t="s">
        <v>54</v>
      </c>
      <c r="BF4288">
        <v>2</v>
      </c>
      <c r="BG4288">
        <v>0</v>
      </c>
      <c r="BH4288" t="s">
        <v>53</v>
      </c>
      <c r="BK4288" t="s">
        <v>59</v>
      </c>
      <c r="BL4288">
        <v>14000</v>
      </c>
      <c r="BM4288" s="1">
        <v>41456</v>
      </c>
      <c r="BN4288" s="1">
        <v>41456</v>
      </c>
      <c r="BO4288" s="1">
        <v>41456</v>
      </c>
      <c r="BP4288" s="1">
        <v>42656</v>
      </c>
      <c r="BQ4288" t="s">
        <v>51</v>
      </c>
      <c r="BS4288" t="s">
        <v>60</v>
      </c>
      <c r="BT4288" t="s">
        <v>54</v>
      </c>
      <c r="BU4288" t="s">
        <v>61</v>
      </c>
      <c r="BV4288" t="s">
        <v>62</v>
      </c>
      <c r="BX4288">
        <v>24</v>
      </c>
      <c r="BY4288">
        <v>0</v>
      </c>
      <c r="BZ4288">
        <v>0</v>
      </c>
    </row>
    <row r="4289" spans="1:99" x14ac:dyDescent="0.2">
      <c r="A4289" t="s">
        <v>112</v>
      </c>
      <c r="B4289" t="s">
        <v>113</v>
      </c>
      <c r="C4289" t="s">
        <v>114</v>
      </c>
      <c r="D4289" t="s">
        <v>2066</v>
      </c>
      <c r="F4289" t="str">
        <f>"251334"</f>
        <v>251334</v>
      </c>
      <c r="G4289" t="s">
        <v>49</v>
      </c>
      <c r="H4289" t="s">
        <v>2081</v>
      </c>
      <c r="K4289" t="s">
        <v>51</v>
      </c>
      <c r="L4289" t="s">
        <v>52</v>
      </c>
      <c r="M4289">
        <v>136838.01999999999</v>
      </c>
      <c r="N4289">
        <v>473413.44</v>
      </c>
      <c r="O4289" t="s">
        <v>53</v>
      </c>
      <c r="P4289" t="s">
        <v>54</v>
      </c>
      <c r="Q4289" t="s">
        <v>55</v>
      </c>
      <c r="T4289" t="s">
        <v>183</v>
      </c>
      <c r="U4289">
        <v>40</v>
      </c>
      <c r="V4289" s="1">
        <v>29221</v>
      </c>
      <c r="W4289" s="1">
        <v>29221</v>
      </c>
      <c r="X4289" s="1">
        <v>29221</v>
      </c>
      <c r="Y4289" s="1">
        <v>43831</v>
      </c>
      <c r="Z4289" t="s">
        <v>51</v>
      </c>
      <c r="AB4289" t="s">
        <v>54</v>
      </c>
      <c r="AC4289">
        <v>1</v>
      </c>
      <c r="AE4289" t="s">
        <v>84</v>
      </c>
      <c r="AF4289">
        <v>20</v>
      </c>
      <c r="AG4289" s="1">
        <v>34151</v>
      </c>
      <c r="AH4289" s="1">
        <v>34151</v>
      </c>
      <c r="AI4289" s="1">
        <v>34151</v>
      </c>
      <c r="AJ4289" s="1">
        <v>41456</v>
      </c>
      <c r="AK4289" t="s">
        <v>51</v>
      </c>
      <c r="AN4289">
        <v>0</v>
      </c>
      <c r="AO4289" t="s">
        <v>54</v>
      </c>
      <c r="AP4289" t="s">
        <v>53</v>
      </c>
      <c r="AQ4289">
        <v>0</v>
      </c>
      <c r="AR4289" t="s">
        <v>53</v>
      </c>
      <c r="AS4289">
        <v>0</v>
      </c>
      <c r="AT4289">
        <v>0</v>
      </c>
      <c r="AW4289" t="s">
        <v>58</v>
      </c>
      <c r="AX4289">
        <v>20</v>
      </c>
      <c r="AY4289" s="1">
        <v>34151</v>
      </c>
      <c r="AZ4289" s="1">
        <v>34151</v>
      </c>
      <c r="BA4289" s="1">
        <v>34151</v>
      </c>
      <c r="BB4289" s="1">
        <v>41456</v>
      </c>
      <c r="BC4289" t="s">
        <v>51</v>
      </c>
      <c r="BE4289" t="s">
        <v>54</v>
      </c>
      <c r="BF4289">
        <v>2</v>
      </c>
      <c r="BG4289">
        <v>0</v>
      </c>
      <c r="BH4289" t="s">
        <v>53</v>
      </c>
      <c r="BK4289" t="s">
        <v>59</v>
      </c>
      <c r="BL4289">
        <v>14000</v>
      </c>
      <c r="BM4289" s="1">
        <v>41456</v>
      </c>
      <c r="BN4289" s="1">
        <v>41456</v>
      </c>
      <c r="BO4289" s="1">
        <v>41456</v>
      </c>
      <c r="BP4289" s="1">
        <v>42656</v>
      </c>
      <c r="BQ4289" t="s">
        <v>51</v>
      </c>
      <c r="BS4289" t="s">
        <v>60</v>
      </c>
      <c r="BT4289" t="s">
        <v>54</v>
      </c>
      <c r="BU4289" t="s">
        <v>61</v>
      </c>
      <c r="BV4289" t="s">
        <v>62</v>
      </c>
      <c r="BX4289">
        <v>24</v>
      </c>
      <c r="BY4289">
        <v>0</v>
      </c>
      <c r="BZ4289">
        <v>0</v>
      </c>
    </row>
    <row r="4290" spans="1:99" x14ac:dyDescent="0.2">
      <c r="A4290" t="s">
        <v>112</v>
      </c>
      <c r="B4290" t="s">
        <v>113</v>
      </c>
      <c r="C4290" t="s">
        <v>114</v>
      </c>
      <c r="D4290" t="s">
        <v>2066</v>
      </c>
      <c r="F4290" t="str">
        <f>"251335"</f>
        <v>251335</v>
      </c>
      <c r="G4290" t="s">
        <v>49</v>
      </c>
      <c r="H4290" t="s">
        <v>2082</v>
      </c>
      <c r="K4290" t="s">
        <v>51</v>
      </c>
      <c r="L4290" t="s">
        <v>52</v>
      </c>
      <c r="M4290">
        <v>136830.34</v>
      </c>
      <c r="N4290">
        <v>473430.75</v>
      </c>
      <c r="O4290" t="s">
        <v>53</v>
      </c>
      <c r="P4290" t="s">
        <v>54</v>
      </c>
      <c r="Q4290" t="s">
        <v>55</v>
      </c>
      <c r="T4290" t="s">
        <v>2083</v>
      </c>
      <c r="U4290">
        <v>40</v>
      </c>
      <c r="V4290" s="1">
        <v>42552</v>
      </c>
      <c r="W4290" s="1">
        <v>42552</v>
      </c>
      <c r="X4290" s="1">
        <v>42552</v>
      </c>
      <c r="Y4290" s="1">
        <v>57162</v>
      </c>
      <c r="Z4290" t="s">
        <v>51</v>
      </c>
      <c r="AB4290" t="s">
        <v>54</v>
      </c>
      <c r="AC4290">
        <v>1</v>
      </c>
      <c r="AE4290" t="s">
        <v>79</v>
      </c>
      <c r="AF4290">
        <v>20</v>
      </c>
      <c r="AG4290" s="1">
        <v>42552</v>
      </c>
      <c r="AH4290" s="1">
        <v>42552</v>
      </c>
      <c r="AI4290" s="1">
        <v>42552</v>
      </c>
      <c r="AJ4290" s="1">
        <v>49857</v>
      </c>
      <c r="AK4290" t="s">
        <v>51</v>
      </c>
      <c r="AN4290">
        <v>0</v>
      </c>
      <c r="AO4290" t="s">
        <v>54</v>
      </c>
      <c r="AP4290" t="s">
        <v>53</v>
      </c>
      <c r="AQ4290">
        <v>0</v>
      </c>
      <c r="AR4290" t="s">
        <v>145</v>
      </c>
      <c r="AS4290">
        <v>0</v>
      </c>
      <c r="AT4290">
        <v>0</v>
      </c>
      <c r="CC4290" t="s">
        <v>432</v>
      </c>
      <c r="CD4290">
        <v>85000</v>
      </c>
      <c r="CE4290" s="1">
        <v>42552</v>
      </c>
      <c r="CF4290" s="1">
        <v>42552</v>
      </c>
      <c r="CG4290" s="1">
        <v>42552</v>
      </c>
      <c r="CH4290" s="1">
        <v>49714</v>
      </c>
      <c r="CI4290" t="s">
        <v>51</v>
      </c>
      <c r="CK4290" t="s">
        <v>78</v>
      </c>
      <c r="CM4290" t="s">
        <v>54</v>
      </c>
      <c r="CN4290" t="s">
        <v>174</v>
      </c>
      <c r="CO4290" t="s">
        <v>86</v>
      </c>
      <c r="CR4290">
        <v>24</v>
      </c>
      <c r="CS4290">
        <v>0</v>
      </c>
      <c r="CT4290">
        <v>0</v>
      </c>
      <c r="CU4290">
        <v>0</v>
      </c>
    </row>
    <row r="4291" spans="1:99" x14ac:dyDescent="0.2">
      <c r="A4291" t="s">
        <v>112</v>
      </c>
      <c r="B4291" t="s">
        <v>113</v>
      </c>
      <c r="C4291" t="s">
        <v>114</v>
      </c>
      <c r="D4291" t="s">
        <v>2066</v>
      </c>
      <c r="F4291" t="str">
        <f>"251338"</f>
        <v>251338</v>
      </c>
      <c r="G4291" t="s">
        <v>49</v>
      </c>
      <c r="H4291" t="s">
        <v>2084</v>
      </c>
      <c r="K4291" t="s">
        <v>51</v>
      </c>
      <c r="L4291" t="s">
        <v>52</v>
      </c>
      <c r="M4291">
        <v>136828.54999999999</v>
      </c>
      <c r="N4291">
        <v>473493.04</v>
      </c>
      <c r="O4291" t="s">
        <v>53</v>
      </c>
      <c r="P4291" t="s">
        <v>54</v>
      </c>
      <c r="Q4291" t="s">
        <v>55</v>
      </c>
      <c r="T4291" t="s">
        <v>269</v>
      </c>
      <c r="U4291">
        <v>40</v>
      </c>
      <c r="V4291" s="1">
        <v>39448</v>
      </c>
      <c r="W4291" s="1">
        <v>39448</v>
      </c>
      <c r="X4291" s="1">
        <v>39448</v>
      </c>
      <c r="Y4291" s="1">
        <v>54058</v>
      </c>
      <c r="Z4291" t="s">
        <v>51</v>
      </c>
      <c r="AB4291" t="s">
        <v>54</v>
      </c>
      <c r="AC4291">
        <v>1</v>
      </c>
      <c r="AE4291" t="s">
        <v>2085</v>
      </c>
      <c r="AF4291">
        <v>20</v>
      </c>
      <c r="AG4291" s="1">
        <v>39448</v>
      </c>
      <c r="AH4291" s="1">
        <v>39448</v>
      </c>
      <c r="AI4291" s="1">
        <v>39448</v>
      </c>
      <c r="AJ4291" s="1">
        <v>46753</v>
      </c>
      <c r="AK4291" t="s">
        <v>51</v>
      </c>
      <c r="AN4291">
        <v>0</v>
      </c>
      <c r="AO4291" t="s">
        <v>54</v>
      </c>
      <c r="AP4291" t="s">
        <v>53</v>
      </c>
      <c r="AQ4291">
        <v>0</v>
      </c>
      <c r="AR4291" t="s">
        <v>53</v>
      </c>
      <c r="AS4291">
        <v>0</v>
      </c>
      <c r="AT4291">
        <v>0</v>
      </c>
      <c r="AW4291" t="s">
        <v>58</v>
      </c>
      <c r="AX4291">
        <v>20</v>
      </c>
      <c r="AY4291" s="1">
        <v>39448</v>
      </c>
      <c r="AZ4291" s="1">
        <v>39448</v>
      </c>
      <c r="BA4291" s="1">
        <v>39448</v>
      </c>
      <c r="BB4291" s="1">
        <v>46753</v>
      </c>
      <c r="BC4291" t="s">
        <v>51</v>
      </c>
      <c r="BE4291" t="s">
        <v>54</v>
      </c>
      <c r="BF4291">
        <v>2</v>
      </c>
      <c r="BG4291">
        <v>0</v>
      </c>
      <c r="BH4291" t="s">
        <v>53</v>
      </c>
      <c r="BK4291" t="s">
        <v>59</v>
      </c>
      <c r="BL4291">
        <v>14000</v>
      </c>
      <c r="BM4291" s="1">
        <v>42917</v>
      </c>
      <c r="BN4291" s="1">
        <v>42917</v>
      </c>
      <c r="BO4291" s="1">
        <v>42917</v>
      </c>
      <c r="BP4291" s="1">
        <v>44117</v>
      </c>
      <c r="BQ4291" t="s">
        <v>51</v>
      </c>
      <c r="BS4291" t="s">
        <v>60</v>
      </c>
      <c r="BT4291" t="s">
        <v>54</v>
      </c>
      <c r="BU4291" t="s">
        <v>61</v>
      </c>
      <c r="BV4291" t="s">
        <v>62</v>
      </c>
      <c r="BX4291">
        <v>24</v>
      </c>
      <c r="BY4291">
        <v>0</v>
      </c>
      <c r="BZ4291">
        <v>0</v>
      </c>
    </row>
    <row r="4292" spans="1:99" x14ac:dyDescent="0.2">
      <c r="A4292" t="s">
        <v>112</v>
      </c>
      <c r="B4292" t="s">
        <v>113</v>
      </c>
      <c r="C4292" t="s">
        <v>114</v>
      </c>
      <c r="D4292" t="s">
        <v>2066</v>
      </c>
      <c r="F4292" t="str">
        <f>"251341"</f>
        <v>251341</v>
      </c>
      <c r="G4292" t="s">
        <v>49</v>
      </c>
      <c r="H4292" t="s">
        <v>2086</v>
      </c>
      <c r="K4292" t="s">
        <v>51</v>
      </c>
      <c r="L4292" t="s">
        <v>52</v>
      </c>
      <c r="M4292">
        <v>136833.67000000001</v>
      </c>
      <c r="N4292">
        <v>473561.34</v>
      </c>
      <c r="O4292" t="s">
        <v>53</v>
      </c>
      <c r="P4292" t="s">
        <v>54</v>
      </c>
      <c r="Q4292" t="s">
        <v>55</v>
      </c>
      <c r="T4292" t="s">
        <v>1076</v>
      </c>
      <c r="U4292">
        <v>30</v>
      </c>
      <c r="V4292" s="1">
        <v>39448</v>
      </c>
      <c r="W4292" s="1">
        <v>39448</v>
      </c>
      <c r="X4292" s="1">
        <v>39448</v>
      </c>
      <c r="Y4292" s="1">
        <v>50406</v>
      </c>
      <c r="Z4292" t="s">
        <v>51</v>
      </c>
      <c r="AB4292" t="s">
        <v>54</v>
      </c>
      <c r="AC4292">
        <v>1</v>
      </c>
      <c r="AE4292" t="s">
        <v>934</v>
      </c>
      <c r="AF4292">
        <v>20</v>
      </c>
      <c r="AG4292" s="1">
        <v>39448</v>
      </c>
      <c r="AH4292" s="1">
        <v>39448</v>
      </c>
      <c r="AI4292" s="1">
        <v>39448</v>
      </c>
      <c r="AJ4292" s="1">
        <v>46753</v>
      </c>
      <c r="AK4292" t="s">
        <v>51</v>
      </c>
      <c r="AN4292">
        <v>0</v>
      </c>
      <c r="AO4292" t="s">
        <v>54</v>
      </c>
      <c r="AP4292" t="s">
        <v>53</v>
      </c>
      <c r="AQ4292">
        <v>0</v>
      </c>
      <c r="AR4292" t="s">
        <v>53</v>
      </c>
      <c r="AS4292">
        <v>0</v>
      </c>
      <c r="AT4292">
        <v>0</v>
      </c>
      <c r="AW4292" t="s">
        <v>161</v>
      </c>
      <c r="AX4292">
        <v>50</v>
      </c>
      <c r="AY4292" s="1">
        <v>39448</v>
      </c>
      <c r="AZ4292" s="1">
        <v>39448</v>
      </c>
      <c r="BA4292" s="1">
        <v>39448</v>
      </c>
      <c r="BB4292" s="1">
        <v>57711</v>
      </c>
      <c r="BC4292" t="s">
        <v>51</v>
      </c>
      <c r="BE4292" t="s">
        <v>54</v>
      </c>
      <c r="BF4292">
        <v>0</v>
      </c>
      <c r="BG4292">
        <v>0</v>
      </c>
      <c r="BH4292" t="s">
        <v>53</v>
      </c>
      <c r="BK4292" t="s">
        <v>2087</v>
      </c>
      <c r="BL4292">
        <v>0</v>
      </c>
      <c r="BM4292" s="1">
        <v>44334</v>
      </c>
      <c r="BN4292" s="1">
        <v>44334</v>
      </c>
      <c r="BO4292" s="1">
        <v>44334</v>
      </c>
      <c r="BQ4292" t="s">
        <v>51</v>
      </c>
      <c r="BS4292" t="s">
        <v>60</v>
      </c>
      <c r="BT4292" t="s">
        <v>54</v>
      </c>
      <c r="BU4292" t="s">
        <v>362</v>
      </c>
      <c r="BX4292">
        <v>70</v>
      </c>
      <c r="BY4292">
        <v>0</v>
      </c>
      <c r="BZ4292">
        <v>0</v>
      </c>
    </row>
    <row r="4293" spans="1:99" x14ac:dyDescent="0.2">
      <c r="A4293" t="s">
        <v>112</v>
      </c>
      <c r="B4293" t="s">
        <v>113</v>
      </c>
      <c r="C4293" t="s">
        <v>114</v>
      </c>
      <c r="D4293" t="s">
        <v>2066</v>
      </c>
      <c r="F4293" t="str">
        <f>"251342"</f>
        <v>251342</v>
      </c>
      <c r="G4293" t="s">
        <v>49</v>
      </c>
      <c r="K4293" t="s">
        <v>51</v>
      </c>
      <c r="L4293" t="s">
        <v>52</v>
      </c>
      <c r="M4293">
        <v>136823.856</v>
      </c>
      <c r="N4293">
        <v>473590.62699999998</v>
      </c>
      <c r="O4293" t="s">
        <v>53</v>
      </c>
      <c r="P4293" t="s">
        <v>54</v>
      </c>
      <c r="Q4293" t="s">
        <v>55</v>
      </c>
      <c r="T4293" t="s">
        <v>1076</v>
      </c>
      <c r="U4293">
        <v>30</v>
      </c>
      <c r="V4293" s="1">
        <v>39448</v>
      </c>
      <c r="W4293" s="1">
        <v>39448</v>
      </c>
      <c r="X4293" s="1">
        <v>39448</v>
      </c>
      <c r="Y4293" s="1">
        <v>50406</v>
      </c>
      <c r="Z4293" t="s">
        <v>51</v>
      </c>
      <c r="AB4293" t="s">
        <v>54</v>
      </c>
      <c r="AC4293">
        <v>1</v>
      </c>
      <c r="AE4293" t="s">
        <v>934</v>
      </c>
      <c r="AF4293">
        <v>20</v>
      </c>
      <c r="AG4293" s="1">
        <v>39448</v>
      </c>
      <c r="AH4293" s="1">
        <v>39448</v>
      </c>
      <c r="AI4293" s="1">
        <v>39448</v>
      </c>
      <c r="AJ4293" s="1">
        <v>46753</v>
      </c>
      <c r="AK4293" t="s">
        <v>51</v>
      </c>
      <c r="AN4293">
        <v>0</v>
      </c>
      <c r="AO4293" t="s">
        <v>54</v>
      </c>
      <c r="AP4293" t="s">
        <v>53</v>
      </c>
      <c r="AQ4293">
        <v>0</v>
      </c>
      <c r="AR4293" t="s">
        <v>53</v>
      </c>
      <c r="AS4293">
        <v>0</v>
      </c>
      <c r="AT4293">
        <v>0</v>
      </c>
      <c r="AW4293" t="s">
        <v>161</v>
      </c>
      <c r="AX4293">
        <v>50</v>
      </c>
      <c r="AY4293" s="1">
        <v>39448</v>
      </c>
      <c r="AZ4293" s="1">
        <v>39448</v>
      </c>
      <c r="BA4293" s="1">
        <v>39448</v>
      </c>
      <c r="BB4293" s="1">
        <v>57711</v>
      </c>
      <c r="BC4293" t="s">
        <v>51</v>
      </c>
      <c r="BE4293" t="s">
        <v>54</v>
      </c>
      <c r="BF4293">
        <v>0</v>
      </c>
      <c r="BG4293">
        <v>0</v>
      </c>
      <c r="BH4293" t="s">
        <v>53</v>
      </c>
      <c r="BK4293" t="s">
        <v>2087</v>
      </c>
      <c r="BL4293">
        <v>0</v>
      </c>
      <c r="BM4293" s="1">
        <v>44334</v>
      </c>
      <c r="BN4293" s="1">
        <v>44334</v>
      </c>
      <c r="BO4293" s="1">
        <v>44334</v>
      </c>
      <c r="BQ4293" t="s">
        <v>51</v>
      </c>
      <c r="BS4293" t="s">
        <v>60</v>
      </c>
      <c r="BT4293" t="s">
        <v>54</v>
      </c>
      <c r="BU4293" t="s">
        <v>362</v>
      </c>
      <c r="BX4293">
        <v>70</v>
      </c>
      <c r="BY4293">
        <v>0</v>
      </c>
      <c r="BZ4293">
        <v>0</v>
      </c>
    </row>
    <row r="4294" spans="1:99" x14ac:dyDescent="0.2">
      <c r="A4294" t="s">
        <v>112</v>
      </c>
      <c r="B4294" t="s">
        <v>113</v>
      </c>
      <c r="C4294" t="s">
        <v>114</v>
      </c>
      <c r="D4294" t="s">
        <v>2066</v>
      </c>
      <c r="F4294" t="str">
        <f>"251343"</f>
        <v>251343</v>
      </c>
      <c r="G4294" t="s">
        <v>49</v>
      </c>
      <c r="H4294" t="s">
        <v>2088</v>
      </c>
      <c r="K4294" t="s">
        <v>51</v>
      </c>
      <c r="L4294" t="s">
        <v>52</v>
      </c>
      <c r="M4294">
        <v>136824.75</v>
      </c>
      <c r="N4294">
        <v>473618</v>
      </c>
      <c r="O4294" t="s">
        <v>53</v>
      </c>
      <c r="P4294" t="s">
        <v>54</v>
      </c>
      <c r="Q4294" t="s">
        <v>55</v>
      </c>
      <c r="T4294" t="s">
        <v>1076</v>
      </c>
      <c r="U4294">
        <v>30</v>
      </c>
      <c r="V4294" s="1">
        <v>39448</v>
      </c>
      <c r="W4294" s="1">
        <v>39448</v>
      </c>
      <c r="X4294" s="1">
        <v>39448</v>
      </c>
      <c r="Y4294" s="1">
        <v>50406</v>
      </c>
      <c r="Z4294" t="s">
        <v>51</v>
      </c>
      <c r="AB4294" t="s">
        <v>54</v>
      </c>
      <c r="AC4294">
        <v>1</v>
      </c>
      <c r="AE4294" t="s">
        <v>934</v>
      </c>
      <c r="AF4294">
        <v>20</v>
      </c>
      <c r="AG4294" s="1">
        <v>39448</v>
      </c>
      <c r="AH4294" s="1">
        <v>39448</v>
      </c>
      <c r="AI4294" s="1">
        <v>39448</v>
      </c>
      <c r="AJ4294" s="1">
        <v>46753</v>
      </c>
      <c r="AK4294" t="s">
        <v>51</v>
      </c>
      <c r="AN4294">
        <v>0</v>
      </c>
      <c r="AO4294" t="s">
        <v>54</v>
      </c>
      <c r="AP4294" t="s">
        <v>53</v>
      </c>
      <c r="AQ4294">
        <v>0</v>
      </c>
      <c r="AR4294" t="s">
        <v>53</v>
      </c>
      <c r="AS4294">
        <v>0</v>
      </c>
      <c r="AT4294">
        <v>0</v>
      </c>
      <c r="AW4294" t="s">
        <v>161</v>
      </c>
      <c r="AX4294">
        <v>50</v>
      </c>
      <c r="AY4294" s="1">
        <v>39448</v>
      </c>
      <c r="AZ4294" s="1">
        <v>39448</v>
      </c>
      <c r="BA4294" s="1">
        <v>39448</v>
      </c>
      <c r="BB4294" s="1">
        <v>57711</v>
      </c>
      <c r="BC4294" t="s">
        <v>51</v>
      </c>
      <c r="BE4294" t="s">
        <v>54</v>
      </c>
      <c r="BF4294">
        <v>0</v>
      </c>
      <c r="BG4294">
        <v>0</v>
      </c>
      <c r="BH4294" t="s">
        <v>53</v>
      </c>
      <c r="BK4294" t="s">
        <v>2087</v>
      </c>
      <c r="BL4294">
        <v>0</v>
      </c>
      <c r="BM4294" s="1">
        <v>44341</v>
      </c>
      <c r="BN4294" s="1">
        <v>44341</v>
      </c>
      <c r="BO4294" s="1">
        <v>44341</v>
      </c>
      <c r="BQ4294" t="s">
        <v>51</v>
      </c>
      <c r="BS4294" t="s">
        <v>60</v>
      </c>
      <c r="BT4294" t="s">
        <v>54</v>
      </c>
      <c r="BU4294" t="s">
        <v>362</v>
      </c>
      <c r="BX4294">
        <v>70</v>
      </c>
      <c r="BY4294">
        <v>0</v>
      </c>
      <c r="BZ4294">
        <v>0</v>
      </c>
    </row>
    <row r="4295" spans="1:99" x14ac:dyDescent="0.2">
      <c r="A4295" t="s">
        <v>112</v>
      </c>
      <c r="B4295" t="s">
        <v>113</v>
      </c>
      <c r="C4295" t="s">
        <v>114</v>
      </c>
      <c r="D4295" t="s">
        <v>2066</v>
      </c>
      <c r="F4295" t="str">
        <f>"251344"</f>
        <v>251344</v>
      </c>
      <c r="G4295" t="s">
        <v>49</v>
      </c>
      <c r="H4295" t="s">
        <v>2088</v>
      </c>
      <c r="K4295" t="s">
        <v>51</v>
      </c>
      <c r="L4295" t="s">
        <v>52</v>
      </c>
      <c r="M4295">
        <v>136833.14000000001</v>
      </c>
      <c r="N4295">
        <v>473583.6</v>
      </c>
      <c r="O4295" t="s">
        <v>53</v>
      </c>
      <c r="P4295" t="s">
        <v>54</v>
      </c>
      <c r="Q4295" t="s">
        <v>55</v>
      </c>
      <c r="T4295" t="s">
        <v>1076</v>
      </c>
      <c r="U4295">
        <v>30</v>
      </c>
      <c r="V4295" s="1">
        <v>39448</v>
      </c>
      <c r="W4295" s="1">
        <v>39448</v>
      </c>
      <c r="X4295" s="1">
        <v>39448</v>
      </c>
      <c r="Y4295" s="1">
        <v>50406</v>
      </c>
      <c r="Z4295" t="s">
        <v>51</v>
      </c>
      <c r="AB4295" t="s">
        <v>54</v>
      </c>
      <c r="AC4295">
        <v>1</v>
      </c>
      <c r="AE4295" t="s">
        <v>934</v>
      </c>
      <c r="AF4295">
        <v>20</v>
      </c>
      <c r="AG4295" s="1">
        <v>39448</v>
      </c>
      <c r="AH4295" s="1">
        <v>39448</v>
      </c>
      <c r="AI4295" s="1">
        <v>39448</v>
      </c>
      <c r="AJ4295" s="1">
        <v>46753</v>
      </c>
      <c r="AK4295" t="s">
        <v>51</v>
      </c>
      <c r="AN4295">
        <v>0</v>
      </c>
      <c r="AO4295" t="s">
        <v>54</v>
      </c>
      <c r="AP4295" t="s">
        <v>53</v>
      </c>
      <c r="AQ4295">
        <v>0</v>
      </c>
      <c r="AR4295" t="s">
        <v>53</v>
      </c>
      <c r="AS4295">
        <v>0</v>
      </c>
      <c r="AT4295">
        <v>0</v>
      </c>
      <c r="AW4295" t="s">
        <v>161</v>
      </c>
      <c r="AX4295">
        <v>50</v>
      </c>
      <c r="AY4295" s="1">
        <v>39448</v>
      </c>
      <c r="AZ4295" s="1">
        <v>39448</v>
      </c>
      <c r="BA4295" s="1">
        <v>39448</v>
      </c>
      <c r="BB4295" s="1">
        <v>57711</v>
      </c>
      <c r="BC4295" t="s">
        <v>51</v>
      </c>
      <c r="BE4295" t="s">
        <v>54</v>
      </c>
      <c r="BF4295">
        <v>0</v>
      </c>
      <c r="BG4295">
        <v>0</v>
      </c>
      <c r="BH4295" t="s">
        <v>53</v>
      </c>
      <c r="BK4295" t="s">
        <v>2087</v>
      </c>
      <c r="BL4295">
        <v>0</v>
      </c>
      <c r="BM4295" s="1">
        <v>44334</v>
      </c>
      <c r="BN4295" s="1">
        <v>44334</v>
      </c>
      <c r="BO4295" s="1">
        <v>44334</v>
      </c>
      <c r="BQ4295" t="s">
        <v>51</v>
      </c>
      <c r="BS4295" t="s">
        <v>60</v>
      </c>
      <c r="BT4295" t="s">
        <v>54</v>
      </c>
      <c r="BU4295" t="s">
        <v>362</v>
      </c>
      <c r="BX4295">
        <v>70</v>
      </c>
      <c r="BY4295">
        <v>0</v>
      </c>
      <c r="BZ4295">
        <v>0</v>
      </c>
    </row>
    <row r="4296" spans="1:99" x14ac:dyDescent="0.2">
      <c r="A4296" t="s">
        <v>112</v>
      </c>
      <c r="B4296" t="s">
        <v>113</v>
      </c>
      <c r="C4296" t="s">
        <v>114</v>
      </c>
      <c r="D4296" t="s">
        <v>2066</v>
      </c>
      <c r="F4296" t="str">
        <f>"251345"</f>
        <v>251345</v>
      </c>
      <c r="G4296" t="s">
        <v>49</v>
      </c>
      <c r="K4296" t="s">
        <v>51</v>
      </c>
      <c r="L4296" t="s">
        <v>52</v>
      </c>
      <c r="M4296">
        <v>136832.06</v>
      </c>
      <c r="N4296">
        <v>473635.76</v>
      </c>
      <c r="O4296" t="s">
        <v>53</v>
      </c>
      <c r="P4296" t="s">
        <v>54</v>
      </c>
      <c r="Q4296" t="s">
        <v>55</v>
      </c>
      <c r="T4296" t="s">
        <v>1076</v>
      </c>
      <c r="U4296">
        <v>30</v>
      </c>
      <c r="V4296" s="1">
        <v>39448</v>
      </c>
      <c r="W4296" s="1">
        <v>39448</v>
      </c>
      <c r="X4296" s="1">
        <v>39448</v>
      </c>
      <c r="Y4296" s="1">
        <v>50406</v>
      </c>
      <c r="Z4296" t="s">
        <v>51</v>
      </c>
      <c r="AB4296" t="s">
        <v>54</v>
      </c>
      <c r="AC4296">
        <v>1</v>
      </c>
      <c r="AE4296" t="s">
        <v>934</v>
      </c>
      <c r="AF4296">
        <v>20</v>
      </c>
      <c r="AG4296" s="1">
        <v>39448</v>
      </c>
      <c r="AH4296" s="1">
        <v>39448</v>
      </c>
      <c r="AI4296" s="1">
        <v>39448</v>
      </c>
      <c r="AJ4296" s="1">
        <v>46753</v>
      </c>
      <c r="AK4296" t="s">
        <v>51</v>
      </c>
      <c r="AN4296">
        <v>0</v>
      </c>
      <c r="AO4296" t="s">
        <v>54</v>
      </c>
      <c r="AP4296" t="s">
        <v>53</v>
      </c>
      <c r="AQ4296">
        <v>0</v>
      </c>
      <c r="AR4296" t="s">
        <v>53</v>
      </c>
      <c r="AS4296">
        <v>0</v>
      </c>
      <c r="AT4296">
        <v>0</v>
      </c>
      <c r="AW4296" t="s">
        <v>161</v>
      </c>
      <c r="AX4296">
        <v>50</v>
      </c>
      <c r="AY4296" s="1">
        <v>39448</v>
      </c>
      <c r="AZ4296" s="1">
        <v>39448</v>
      </c>
      <c r="BA4296" s="1">
        <v>39448</v>
      </c>
      <c r="BB4296" s="1">
        <v>57711</v>
      </c>
      <c r="BC4296" t="s">
        <v>51</v>
      </c>
      <c r="BE4296" t="s">
        <v>54</v>
      </c>
      <c r="BF4296">
        <v>0</v>
      </c>
      <c r="BG4296">
        <v>0</v>
      </c>
      <c r="BH4296" t="s">
        <v>53</v>
      </c>
      <c r="BK4296" t="s">
        <v>2087</v>
      </c>
      <c r="BL4296">
        <v>0</v>
      </c>
      <c r="BM4296" s="1">
        <v>44334</v>
      </c>
      <c r="BN4296" s="1">
        <v>44334</v>
      </c>
      <c r="BO4296" s="1">
        <v>44334</v>
      </c>
      <c r="BQ4296" t="s">
        <v>51</v>
      </c>
      <c r="BS4296" t="s">
        <v>60</v>
      </c>
      <c r="BT4296" t="s">
        <v>54</v>
      </c>
      <c r="BU4296" t="s">
        <v>362</v>
      </c>
      <c r="BX4296">
        <v>70</v>
      </c>
      <c r="BY4296">
        <v>0</v>
      </c>
      <c r="BZ4296">
        <v>0</v>
      </c>
    </row>
    <row r="4297" spans="1:99" x14ac:dyDescent="0.2">
      <c r="A4297" t="s">
        <v>112</v>
      </c>
      <c r="B4297" t="s">
        <v>113</v>
      </c>
      <c r="C4297" t="s">
        <v>114</v>
      </c>
      <c r="D4297" t="s">
        <v>2066</v>
      </c>
      <c r="F4297" t="str">
        <f>"251346"</f>
        <v>251346</v>
      </c>
      <c r="G4297" t="s">
        <v>49</v>
      </c>
      <c r="K4297" t="s">
        <v>51</v>
      </c>
      <c r="L4297" t="s">
        <v>52</v>
      </c>
      <c r="M4297">
        <v>136830.68</v>
      </c>
      <c r="N4297">
        <v>473683.25</v>
      </c>
      <c r="O4297" t="s">
        <v>53</v>
      </c>
      <c r="P4297" t="s">
        <v>54</v>
      </c>
      <c r="Q4297" t="s">
        <v>55</v>
      </c>
      <c r="T4297" t="s">
        <v>1076</v>
      </c>
      <c r="U4297">
        <v>30</v>
      </c>
      <c r="V4297" s="1">
        <v>39448</v>
      </c>
      <c r="W4297" s="1">
        <v>39448</v>
      </c>
      <c r="X4297" s="1">
        <v>39448</v>
      </c>
      <c r="Y4297" s="1">
        <v>50406</v>
      </c>
      <c r="Z4297" t="s">
        <v>51</v>
      </c>
      <c r="AB4297" t="s">
        <v>54</v>
      </c>
      <c r="AC4297">
        <v>1</v>
      </c>
      <c r="AE4297" t="s">
        <v>934</v>
      </c>
      <c r="AF4297">
        <v>20</v>
      </c>
      <c r="AG4297" s="1">
        <v>39448</v>
      </c>
      <c r="AH4297" s="1">
        <v>39448</v>
      </c>
      <c r="AI4297" s="1">
        <v>39448</v>
      </c>
      <c r="AJ4297" s="1">
        <v>46753</v>
      </c>
      <c r="AK4297" t="s">
        <v>51</v>
      </c>
      <c r="AN4297">
        <v>0</v>
      </c>
      <c r="AO4297" t="s">
        <v>54</v>
      </c>
      <c r="AP4297" t="s">
        <v>53</v>
      </c>
      <c r="AQ4297">
        <v>0</v>
      </c>
      <c r="AR4297" t="s">
        <v>53</v>
      </c>
      <c r="AS4297">
        <v>0</v>
      </c>
      <c r="AT4297">
        <v>0</v>
      </c>
      <c r="AW4297" t="s">
        <v>161</v>
      </c>
      <c r="AX4297">
        <v>50</v>
      </c>
      <c r="AY4297" s="1">
        <v>39448</v>
      </c>
      <c r="AZ4297" s="1">
        <v>39448</v>
      </c>
      <c r="BA4297" s="1">
        <v>39448</v>
      </c>
      <c r="BB4297" s="1">
        <v>57711</v>
      </c>
      <c r="BC4297" t="s">
        <v>51</v>
      </c>
      <c r="BE4297" t="s">
        <v>54</v>
      </c>
      <c r="BF4297">
        <v>0</v>
      </c>
      <c r="BG4297">
        <v>0</v>
      </c>
      <c r="BH4297" t="s">
        <v>53</v>
      </c>
      <c r="BI4297">
        <v>2</v>
      </c>
      <c r="BK4297" t="s">
        <v>2087</v>
      </c>
      <c r="BL4297">
        <v>0</v>
      </c>
      <c r="BM4297" s="1">
        <v>44334</v>
      </c>
      <c r="BN4297" s="1">
        <v>44334</v>
      </c>
      <c r="BO4297" s="1">
        <v>44334</v>
      </c>
      <c r="BQ4297" t="s">
        <v>51</v>
      </c>
      <c r="BS4297" t="s">
        <v>60</v>
      </c>
      <c r="BT4297" t="s">
        <v>54</v>
      </c>
      <c r="BU4297" t="s">
        <v>362</v>
      </c>
      <c r="BX4297">
        <v>70</v>
      </c>
      <c r="BY4297">
        <v>0</v>
      </c>
      <c r="BZ4297">
        <v>0</v>
      </c>
    </row>
    <row r="4298" spans="1:99" x14ac:dyDescent="0.2">
      <c r="A4298" t="s">
        <v>112</v>
      </c>
      <c r="B4298" t="s">
        <v>113</v>
      </c>
      <c r="C4298" t="s">
        <v>114</v>
      </c>
      <c r="D4298" t="s">
        <v>2066</v>
      </c>
      <c r="F4298" t="str">
        <f>"251347"</f>
        <v>251347</v>
      </c>
      <c r="G4298" t="s">
        <v>49</v>
      </c>
      <c r="H4298" t="s">
        <v>2089</v>
      </c>
      <c r="K4298" t="s">
        <v>51</v>
      </c>
      <c r="L4298" t="s">
        <v>52</v>
      </c>
      <c r="M4298">
        <v>136823.04000000001</v>
      </c>
      <c r="N4298">
        <v>473663.75</v>
      </c>
      <c r="O4298" t="s">
        <v>53</v>
      </c>
      <c r="P4298" t="s">
        <v>54</v>
      </c>
      <c r="Q4298" t="s">
        <v>55</v>
      </c>
      <c r="T4298" t="s">
        <v>1076</v>
      </c>
      <c r="U4298">
        <v>30</v>
      </c>
      <c r="V4298" s="1">
        <v>39448</v>
      </c>
      <c r="W4298" s="1">
        <v>39448</v>
      </c>
      <c r="X4298" s="1">
        <v>39448</v>
      </c>
      <c r="Y4298" s="1">
        <v>50406</v>
      </c>
      <c r="Z4298" t="s">
        <v>51</v>
      </c>
      <c r="AB4298" t="s">
        <v>54</v>
      </c>
      <c r="AC4298">
        <v>1</v>
      </c>
      <c r="AE4298" t="s">
        <v>934</v>
      </c>
      <c r="AF4298">
        <v>20</v>
      </c>
      <c r="AG4298" s="1">
        <v>39448</v>
      </c>
      <c r="AH4298" s="1">
        <v>39448</v>
      </c>
      <c r="AI4298" s="1">
        <v>39448</v>
      </c>
      <c r="AJ4298" s="1">
        <v>46753</v>
      </c>
      <c r="AK4298" t="s">
        <v>51</v>
      </c>
      <c r="AN4298">
        <v>0</v>
      </c>
      <c r="AO4298" t="s">
        <v>54</v>
      </c>
      <c r="AP4298" t="s">
        <v>53</v>
      </c>
      <c r="AQ4298">
        <v>0</v>
      </c>
      <c r="AR4298" t="s">
        <v>53</v>
      </c>
      <c r="AS4298">
        <v>0</v>
      </c>
      <c r="AT4298">
        <v>0</v>
      </c>
      <c r="AW4298" t="s">
        <v>161</v>
      </c>
      <c r="AX4298">
        <v>50</v>
      </c>
      <c r="AY4298" s="1">
        <v>39448</v>
      </c>
      <c r="AZ4298" s="1">
        <v>39448</v>
      </c>
      <c r="BA4298" s="1">
        <v>39448</v>
      </c>
      <c r="BB4298" s="1">
        <v>57711</v>
      </c>
      <c r="BC4298" t="s">
        <v>51</v>
      </c>
      <c r="BE4298" t="s">
        <v>54</v>
      </c>
      <c r="BF4298">
        <v>0</v>
      </c>
      <c r="BG4298">
        <v>0</v>
      </c>
      <c r="BH4298" t="s">
        <v>53</v>
      </c>
      <c r="BK4298" t="s">
        <v>2087</v>
      </c>
      <c r="BL4298">
        <v>0</v>
      </c>
      <c r="BM4298" s="1">
        <v>44334</v>
      </c>
      <c r="BN4298" s="1">
        <v>44334</v>
      </c>
      <c r="BO4298" s="1">
        <v>44334</v>
      </c>
      <c r="BQ4298" t="s">
        <v>51</v>
      </c>
      <c r="BS4298" t="s">
        <v>60</v>
      </c>
      <c r="BT4298" t="s">
        <v>54</v>
      </c>
      <c r="BU4298" t="s">
        <v>362</v>
      </c>
      <c r="BX4298">
        <v>70</v>
      </c>
      <c r="BY4298">
        <v>0</v>
      </c>
      <c r="BZ4298">
        <v>0</v>
      </c>
    </row>
    <row r="4299" spans="1:99" x14ac:dyDescent="0.2">
      <c r="A4299" t="s">
        <v>112</v>
      </c>
      <c r="B4299" t="s">
        <v>113</v>
      </c>
      <c r="C4299" t="s">
        <v>114</v>
      </c>
      <c r="D4299" t="s">
        <v>2066</v>
      </c>
      <c r="F4299" t="str">
        <f>"251348"</f>
        <v>251348</v>
      </c>
      <c r="G4299" t="s">
        <v>49</v>
      </c>
      <c r="K4299" t="s">
        <v>51</v>
      </c>
      <c r="L4299" t="s">
        <v>52</v>
      </c>
      <c r="M4299">
        <v>136829.17000000001</v>
      </c>
      <c r="N4299">
        <v>473730.14</v>
      </c>
      <c r="O4299" t="s">
        <v>53</v>
      </c>
      <c r="P4299" t="s">
        <v>54</v>
      </c>
      <c r="Q4299" t="s">
        <v>55</v>
      </c>
      <c r="T4299" t="s">
        <v>1076</v>
      </c>
      <c r="U4299">
        <v>30</v>
      </c>
      <c r="V4299" s="1">
        <v>39448</v>
      </c>
      <c r="W4299" s="1">
        <v>39448</v>
      </c>
      <c r="X4299" s="1">
        <v>39448</v>
      </c>
      <c r="Y4299" s="1">
        <v>50406</v>
      </c>
      <c r="Z4299" t="s">
        <v>51</v>
      </c>
      <c r="AB4299" t="s">
        <v>54</v>
      </c>
      <c r="AC4299">
        <v>1</v>
      </c>
      <c r="AE4299" t="s">
        <v>934</v>
      </c>
      <c r="AF4299">
        <v>20</v>
      </c>
      <c r="AG4299" s="1">
        <v>39448</v>
      </c>
      <c r="AH4299" s="1">
        <v>39448</v>
      </c>
      <c r="AI4299" s="1">
        <v>39448</v>
      </c>
      <c r="AJ4299" s="1">
        <v>46753</v>
      </c>
      <c r="AK4299" t="s">
        <v>51</v>
      </c>
      <c r="AN4299">
        <v>0</v>
      </c>
      <c r="AO4299" t="s">
        <v>54</v>
      </c>
      <c r="AP4299" t="s">
        <v>53</v>
      </c>
      <c r="AQ4299">
        <v>0</v>
      </c>
      <c r="AR4299" t="s">
        <v>53</v>
      </c>
      <c r="AS4299">
        <v>0</v>
      </c>
      <c r="AT4299">
        <v>0</v>
      </c>
      <c r="AW4299" t="s">
        <v>161</v>
      </c>
      <c r="AX4299">
        <v>50</v>
      </c>
      <c r="AY4299" s="1">
        <v>39448</v>
      </c>
      <c r="AZ4299" s="1">
        <v>39448</v>
      </c>
      <c r="BA4299" s="1">
        <v>39448</v>
      </c>
      <c r="BB4299" s="1">
        <v>57711</v>
      </c>
      <c r="BC4299" t="s">
        <v>51</v>
      </c>
      <c r="BE4299" t="s">
        <v>54</v>
      </c>
      <c r="BF4299">
        <v>0</v>
      </c>
      <c r="BG4299">
        <v>0</v>
      </c>
      <c r="BH4299" t="s">
        <v>53</v>
      </c>
      <c r="BK4299" t="s">
        <v>2087</v>
      </c>
      <c r="BL4299">
        <v>0</v>
      </c>
      <c r="BM4299" s="1">
        <v>44334</v>
      </c>
      <c r="BN4299" s="1">
        <v>44334</v>
      </c>
      <c r="BO4299" s="1">
        <v>44334</v>
      </c>
      <c r="BQ4299" t="s">
        <v>51</v>
      </c>
      <c r="BS4299" t="s">
        <v>60</v>
      </c>
      <c r="BT4299" t="s">
        <v>54</v>
      </c>
      <c r="BU4299" t="s">
        <v>362</v>
      </c>
      <c r="BX4299">
        <v>70</v>
      </c>
      <c r="BY4299">
        <v>0</v>
      </c>
      <c r="BZ4299">
        <v>0</v>
      </c>
    </row>
    <row r="4300" spans="1:99" x14ac:dyDescent="0.2">
      <c r="A4300" t="s">
        <v>112</v>
      </c>
      <c r="B4300" t="s">
        <v>113</v>
      </c>
      <c r="C4300" t="s">
        <v>114</v>
      </c>
      <c r="D4300" t="s">
        <v>2066</v>
      </c>
      <c r="F4300" t="str">
        <f>"251349"</f>
        <v>251349</v>
      </c>
      <c r="G4300" t="s">
        <v>49</v>
      </c>
      <c r="H4300" t="s">
        <v>208</v>
      </c>
      <c r="K4300" t="s">
        <v>51</v>
      </c>
      <c r="L4300" t="s">
        <v>52</v>
      </c>
      <c r="M4300">
        <v>136822.63</v>
      </c>
      <c r="N4300">
        <v>473708.48</v>
      </c>
      <c r="O4300" t="s">
        <v>53</v>
      </c>
      <c r="P4300" t="s">
        <v>54</v>
      </c>
      <c r="Q4300" t="s">
        <v>55</v>
      </c>
      <c r="T4300" t="s">
        <v>1076</v>
      </c>
      <c r="U4300">
        <v>30</v>
      </c>
      <c r="V4300" s="1">
        <v>39448</v>
      </c>
      <c r="W4300" s="1">
        <v>39448</v>
      </c>
      <c r="X4300" s="1">
        <v>39448</v>
      </c>
      <c r="Y4300" s="1">
        <v>50406</v>
      </c>
      <c r="Z4300" t="s">
        <v>51</v>
      </c>
      <c r="AB4300" t="s">
        <v>54</v>
      </c>
      <c r="AC4300">
        <v>1</v>
      </c>
      <c r="AE4300" t="s">
        <v>934</v>
      </c>
      <c r="AF4300">
        <v>20</v>
      </c>
      <c r="AG4300" s="1">
        <v>39448</v>
      </c>
      <c r="AH4300" s="1">
        <v>39448</v>
      </c>
      <c r="AI4300" s="1">
        <v>39448</v>
      </c>
      <c r="AJ4300" s="1">
        <v>46753</v>
      </c>
      <c r="AK4300" t="s">
        <v>51</v>
      </c>
      <c r="AN4300">
        <v>0</v>
      </c>
      <c r="AO4300" t="s">
        <v>54</v>
      </c>
      <c r="AP4300" t="s">
        <v>53</v>
      </c>
      <c r="AQ4300">
        <v>0</v>
      </c>
      <c r="AR4300" t="s">
        <v>53</v>
      </c>
      <c r="AS4300">
        <v>0</v>
      </c>
      <c r="AT4300">
        <v>0</v>
      </c>
      <c r="AW4300" t="s">
        <v>161</v>
      </c>
      <c r="AX4300">
        <v>50</v>
      </c>
      <c r="AY4300" s="1">
        <v>39448</v>
      </c>
      <c r="AZ4300" s="1">
        <v>39448</v>
      </c>
      <c r="BA4300" s="1">
        <v>39448</v>
      </c>
      <c r="BB4300" s="1">
        <v>57711</v>
      </c>
      <c r="BC4300" t="s">
        <v>51</v>
      </c>
      <c r="BE4300" t="s">
        <v>54</v>
      </c>
      <c r="BF4300">
        <v>0</v>
      </c>
      <c r="BG4300">
        <v>0</v>
      </c>
      <c r="BH4300" t="s">
        <v>53</v>
      </c>
      <c r="BK4300" t="s">
        <v>59</v>
      </c>
      <c r="BL4300">
        <v>14000</v>
      </c>
      <c r="BM4300" s="1">
        <v>44334</v>
      </c>
      <c r="BN4300" s="1">
        <v>44334</v>
      </c>
      <c r="BO4300" s="1">
        <v>44334</v>
      </c>
      <c r="BP4300" s="1">
        <v>45551</v>
      </c>
      <c r="BQ4300" t="s">
        <v>51</v>
      </c>
      <c r="BS4300" t="s">
        <v>60</v>
      </c>
      <c r="BT4300" t="s">
        <v>54</v>
      </c>
      <c r="BU4300" t="s">
        <v>61</v>
      </c>
      <c r="BV4300" t="s">
        <v>62</v>
      </c>
      <c r="BX4300">
        <v>24</v>
      </c>
      <c r="BY4300">
        <v>0</v>
      </c>
      <c r="BZ4300">
        <v>0</v>
      </c>
    </row>
    <row r="4301" spans="1:99" x14ac:dyDescent="0.2">
      <c r="A4301" t="s">
        <v>112</v>
      </c>
      <c r="B4301" t="s">
        <v>113</v>
      </c>
      <c r="C4301" t="s">
        <v>114</v>
      </c>
      <c r="D4301" t="s">
        <v>2066</v>
      </c>
      <c r="F4301" t="str">
        <f>"251350"</f>
        <v>251350</v>
      </c>
      <c r="G4301" t="s">
        <v>49</v>
      </c>
      <c r="H4301" t="s">
        <v>2090</v>
      </c>
      <c r="K4301" t="s">
        <v>51</v>
      </c>
      <c r="L4301" t="s">
        <v>52</v>
      </c>
      <c r="M4301">
        <v>136827.85</v>
      </c>
      <c r="N4301">
        <v>473778.1</v>
      </c>
      <c r="O4301" t="s">
        <v>53</v>
      </c>
      <c r="P4301" t="s">
        <v>54</v>
      </c>
      <c r="Q4301" t="s">
        <v>55</v>
      </c>
      <c r="T4301" t="s">
        <v>1076</v>
      </c>
      <c r="U4301">
        <v>30</v>
      </c>
      <c r="V4301" s="1">
        <v>39448</v>
      </c>
      <c r="W4301" s="1">
        <v>39448</v>
      </c>
      <c r="X4301" s="1">
        <v>39448</v>
      </c>
      <c r="Y4301" s="1">
        <v>50406</v>
      </c>
      <c r="Z4301" t="s">
        <v>51</v>
      </c>
      <c r="AB4301" t="s">
        <v>54</v>
      </c>
      <c r="AC4301">
        <v>1</v>
      </c>
      <c r="AE4301" t="s">
        <v>934</v>
      </c>
      <c r="AF4301">
        <v>20</v>
      </c>
      <c r="AG4301" s="1">
        <v>39448</v>
      </c>
      <c r="AH4301" s="1">
        <v>39448</v>
      </c>
      <c r="AI4301" s="1">
        <v>39448</v>
      </c>
      <c r="AJ4301" s="1">
        <v>46753</v>
      </c>
      <c r="AK4301" t="s">
        <v>51</v>
      </c>
      <c r="AN4301">
        <v>0</v>
      </c>
      <c r="AO4301" t="s">
        <v>54</v>
      </c>
      <c r="AP4301" t="s">
        <v>53</v>
      </c>
      <c r="AQ4301">
        <v>0</v>
      </c>
      <c r="AR4301" t="s">
        <v>53</v>
      </c>
      <c r="AS4301">
        <v>0</v>
      </c>
      <c r="AT4301">
        <v>0</v>
      </c>
      <c r="AW4301" t="s">
        <v>161</v>
      </c>
      <c r="AX4301">
        <v>50</v>
      </c>
      <c r="AY4301" s="1">
        <v>39448</v>
      </c>
      <c r="AZ4301" s="1">
        <v>39448</v>
      </c>
      <c r="BA4301" s="1">
        <v>39448</v>
      </c>
      <c r="BB4301" s="1">
        <v>57711</v>
      </c>
      <c r="BC4301" t="s">
        <v>51</v>
      </c>
      <c r="BE4301" t="s">
        <v>54</v>
      </c>
      <c r="BF4301">
        <v>0</v>
      </c>
      <c r="BG4301">
        <v>0</v>
      </c>
      <c r="BH4301" t="s">
        <v>53</v>
      </c>
      <c r="BK4301" t="s">
        <v>2087</v>
      </c>
      <c r="BL4301">
        <v>0</v>
      </c>
      <c r="BM4301" s="1">
        <v>44334</v>
      </c>
      <c r="BN4301" s="1">
        <v>44334</v>
      </c>
      <c r="BO4301" s="1">
        <v>44334</v>
      </c>
      <c r="BQ4301" t="s">
        <v>51</v>
      </c>
      <c r="BS4301" t="s">
        <v>60</v>
      </c>
      <c r="BT4301" t="s">
        <v>54</v>
      </c>
      <c r="BU4301" t="s">
        <v>362</v>
      </c>
      <c r="BX4301">
        <v>70</v>
      </c>
      <c r="BY4301">
        <v>0</v>
      </c>
      <c r="BZ4301">
        <v>0</v>
      </c>
    </row>
    <row r="4302" spans="1:99" x14ac:dyDescent="0.2">
      <c r="A4302" t="s">
        <v>112</v>
      </c>
      <c r="B4302" t="s">
        <v>113</v>
      </c>
      <c r="C4302" t="s">
        <v>114</v>
      </c>
      <c r="D4302" t="s">
        <v>2066</v>
      </c>
      <c r="F4302" t="str">
        <f>"251351"</f>
        <v>251351</v>
      </c>
      <c r="G4302" t="s">
        <v>49</v>
      </c>
      <c r="H4302" t="s">
        <v>2091</v>
      </c>
      <c r="K4302" t="s">
        <v>51</v>
      </c>
      <c r="L4302" t="s">
        <v>52</v>
      </c>
      <c r="M4302">
        <v>136820.47</v>
      </c>
      <c r="N4302">
        <v>473807.42</v>
      </c>
      <c r="O4302" t="s">
        <v>53</v>
      </c>
      <c r="P4302" t="s">
        <v>54</v>
      </c>
      <c r="Q4302" t="s">
        <v>55</v>
      </c>
      <c r="T4302" t="s">
        <v>1076</v>
      </c>
      <c r="U4302">
        <v>30</v>
      </c>
      <c r="V4302" s="1">
        <v>39448</v>
      </c>
      <c r="W4302" s="1">
        <v>39448</v>
      </c>
      <c r="X4302" s="1">
        <v>39448</v>
      </c>
      <c r="Y4302" s="1">
        <v>50406</v>
      </c>
      <c r="Z4302" t="s">
        <v>51</v>
      </c>
      <c r="AB4302" t="s">
        <v>54</v>
      </c>
      <c r="AC4302">
        <v>1</v>
      </c>
      <c r="AE4302" t="s">
        <v>934</v>
      </c>
      <c r="AF4302">
        <v>20</v>
      </c>
      <c r="AG4302" s="1">
        <v>39448</v>
      </c>
      <c r="AH4302" s="1">
        <v>39448</v>
      </c>
      <c r="AI4302" s="1">
        <v>39448</v>
      </c>
      <c r="AJ4302" s="1">
        <v>46753</v>
      </c>
      <c r="AK4302" t="s">
        <v>51</v>
      </c>
      <c r="AN4302">
        <v>0</v>
      </c>
      <c r="AO4302" t="s">
        <v>54</v>
      </c>
      <c r="AP4302" t="s">
        <v>53</v>
      </c>
      <c r="AQ4302">
        <v>0</v>
      </c>
      <c r="AR4302" t="s">
        <v>53</v>
      </c>
      <c r="AS4302">
        <v>0</v>
      </c>
      <c r="AT4302">
        <v>0</v>
      </c>
      <c r="AW4302" t="s">
        <v>161</v>
      </c>
      <c r="AX4302">
        <v>50</v>
      </c>
      <c r="AY4302" s="1">
        <v>39448</v>
      </c>
      <c r="AZ4302" s="1">
        <v>39448</v>
      </c>
      <c r="BA4302" s="1">
        <v>39448</v>
      </c>
      <c r="BB4302" s="1">
        <v>57711</v>
      </c>
      <c r="BC4302" t="s">
        <v>51</v>
      </c>
      <c r="BE4302" t="s">
        <v>54</v>
      </c>
      <c r="BF4302">
        <v>0</v>
      </c>
      <c r="BG4302">
        <v>0</v>
      </c>
      <c r="BH4302" t="s">
        <v>53</v>
      </c>
      <c r="BK4302" t="s">
        <v>2087</v>
      </c>
      <c r="BL4302">
        <v>0</v>
      </c>
      <c r="BM4302" s="1">
        <v>44334</v>
      </c>
      <c r="BN4302" s="1">
        <v>44334</v>
      </c>
      <c r="BO4302" s="1">
        <v>44334</v>
      </c>
      <c r="BQ4302" t="s">
        <v>51</v>
      </c>
      <c r="BS4302" t="s">
        <v>60</v>
      </c>
      <c r="BT4302" t="s">
        <v>54</v>
      </c>
      <c r="BU4302" t="s">
        <v>362</v>
      </c>
      <c r="BX4302">
        <v>70</v>
      </c>
      <c r="BY4302">
        <v>0</v>
      </c>
      <c r="BZ4302">
        <v>0</v>
      </c>
    </row>
    <row r="4303" spans="1:99" x14ac:dyDescent="0.2">
      <c r="A4303" t="s">
        <v>112</v>
      </c>
      <c r="B4303" t="s">
        <v>113</v>
      </c>
      <c r="C4303" t="s">
        <v>114</v>
      </c>
      <c r="D4303" t="s">
        <v>2066</v>
      </c>
      <c r="F4303" t="str">
        <f>"251352"</f>
        <v>251352</v>
      </c>
      <c r="G4303" t="s">
        <v>49</v>
      </c>
      <c r="H4303" t="s">
        <v>502</v>
      </c>
      <c r="K4303" t="s">
        <v>51</v>
      </c>
      <c r="L4303" t="s">
        <v>52</v>
      </c>
      <c r="M4303">
        <v>136826.95000000001</v>
      </c>
      <c r="N4303">
        <v>473825.98</v>
      </c>
      <c r="O4303" t="s">
        <v>53</v>
      </c>
      <c r="P4303" t="s">
        <v>54</v>
      </c>
      <c r="Q4303" t="s">
        <v>55</v>
      </c>
      <c r="T4303" t="s">
        <v>1076</v>
      </c>
      <c r="U4303">
        <v>30</v>
      </c>
      <c r="V4303" s="1">
        <v>39448</v>
      </c>
      <c r="W4303" s="1">
        <v>39448</v>
      </c>
      <c r="X4303" s="1">
        <v>39448</v>
      </c>
      <c r="Y4303" s="1">
        <v>50406</v>
      </c>
      <c r="Z4303" t="s">
        <v>51</v>
      </c>
      <c r="AB4303" t="s">
        <v>54</v>
      </c>
      <c r="AC4303">
        <v>1</v>
      </c>
      <c r="AE4303" t="s">
        <v>934</v>
      </c>
      <c r="AF4303">
        <v>20</v>
      </c>
      <c r="AG4303" s="1">
        <v>39448</v>
      </c>
      <c r="AH4303" s="1">
        <v>39448</v>
      </c>
      <c r="AI4303" s="1">
        <v>39448</v>
      </c>
      <c r="AJ4303" s="1">
        <v>46753</v>
      </c>
      <c r="AK4303" t="s">
        <v>51</v>
      </c>
      <c r="AN4303">
        <v>0</v>
      </c>
      <c r="AO4303" t="s">
        <v>54</v>
      </c>
      <c r="AP4303" t="s">
        <v>53</v>
      </c>
      <c r="AQ4303">
        <v>0</v>
      </c>
      <c r="AR4303" t="s">
        <v>53</v>
      </c>
      <c r="AS4303">
        <v>0</v>
      </c>
      <c r="AT4303">
        <v>0</v>
      </c>
      <c r="AW4303" t="s">
        <v>161</v>
      </c>
      <c r="AX4303">
        <v>50</v>
      </c>
      <c r="AY4303" s="1">
        <v>39448</v>
      </c>
      <c r="AZ4303" s="1">
        <v>39448</v>
      </c>
      <c r="BA4303" s="1">
        <v>39448</v>
      </c>
      <c r="BB4303" s="1">
        <v>57711</v>
      </c>
      <c r="BC4303" t="s">
        <v>51</v>
      </c>
      <c r="BE4303" t="s">
        <v>54</v>
      </c>
      <c r="BF4303">
        <v>0</v>
      </c>
      <c r="BG4303">
        <v>0</v>
      </c>
      <c r="BH4303" t="s">
        <v>53</v>
      </c>
      <c r="BK4303" t="s">
        <v>2087</v>
      </c>
      <c r="BL4303">
        <v>0</v>
      </c>
      <c r="BM4303" s="1">
        <v>44334</v>
      </c>
      <c r="BN4303" s="1">
        <v>44334</v>
      </c>
      <c r="BO4303" s="1">
        <v>44334</v>
      </c>
      <c r="BQ4303" t="s">
        <v>51</v>
      </c>
      <c r="BS4303" t="s">
        <v>60</v>
      </c>
      <c r="BT4303" t="s">
        <v>54</v>
      </c>
      <c r="BU4303" t="s">
        <v>362</v>
      </c>
      <c r="BX4303">
        <v>70</v>
      </c>
      <c r="BY4303">
        <v>0</v>
      </c>
      <c r="BZ4303">
        <v>0</v>
      </c>
    </row>
    <row r="4304" spans="1:99" x14ac:dyDescent="0.2">
      <c r="A4304" t="s">
        <v>112</v>
      </c>
      <c r="B4304" t="s">
        <v>113</v>
      </c>
      <c r="C4304" t="s">
        <v>114</v>
      </c>
      <c r="D4304" t="s">
        <v>2066</v>
      </c>
      <c r="F4304" t="str">
        <f>"251353"</f>
        <v>251353</v>
      </c>
      <c r="G4304" t="s">
        <v>49</v>
      </c>
      <c r="K4304" t="s">
        <v>51</v>
      </c>
      <c r="L4304" t="s">
        <v>52</v>
      </c>
      <c r="M4304">
        <v>136819.6</v>
      </c>
      <c r="N4304">
        <v>473853.76</v>
      </c>
      <c r="O4304" t="s">
        <v>53</v>
      </c>
      <c r="P4304" t="s">
        <v>54</v>
      </c>
      <c r="Q4304" t="s">
        <v>55</v>
      </c>
      <c r="T4304" t="s">
        <v>1076</v>
      </c>
      <c r="U4304">
        <v>30</v>
      </c>
      <c r="V4304" s="1">
        <v>39448</v>
      </c>
      <c r="W4304" s="1">
        <v>39448</v>
      </c>
      <c r="X4304" s="1">
        <v>39448</v>
      </c>
      <c r="Y4304" s="1">
        <v>50406</v>
      </c>
      <c r="Z4304" t="s">
        <v>51</v>
      </c>
      <c r="AB4304" t="s">
        <v>54</v>
      </c>
      <c r="AC4304">
        <v>1</v>
      </c>
      <c r="AE4304" t="s">
        <v>934</v>
      </c>
      <c r="AF4304">
        <v>20</v>
      </c>
      <c r="AG4304" s="1">
        <v>39448</v>
      </c>
      <c r="AH4304" s="1">
        <v>39448</v>
      </c>
      <c r="AI4304" s="1">
        <v>39448</v>
      </c>
      <c r="AJ4304" s="1">
        <v>46753</v>
      </c>
      <c r="AK4304" t="s">
        <v>51</v>
      </c>
      <c r="AN4304">
        <v>0</v>
      </c>
      <c r="AO4304" t="s">
        <v>54</v>
      </c>
      <c r="AP4304" t="s">
        <v>53</v>
      </c>
      <c r="AQ4304">
        <v>0</v>
      </c>
      <c r="AR4304" t="s">
        <v>53</v>
      </c>
      <c r="AS4304">
        <v>0</v>
      </c>
      <c r="AT4304">
        <v>0</v>
      </c>
      <c r="AW4304" t="s">
        <v>161</v>
      </c>
      <c r="AX4304">
        <v>50</v>
      </c>
      <c r="AY4304" s="1">
        <v>39448</v>
      </c>
      <c r="AZ4304" s="1">
        <v>39448</v>
      </c>
      <c r="BA4304" s="1">
        <v>39448</v>
      </c>
      <c r="BB4304" s="1">
        <v>57711</v>
      </c>
      <c r="BC4304" t="s">
        <v>51</v>
      </c>
      <c r="BE4304" t="s">
        <v>54</v>
      </c>
      <c r="BF4304">
        <v>0</v>
      </c>
      <c r="BG4304">
        <v>0</v>
      </c>
      <c r="BH4304" t="s">
        <v>53</v>
      </c>
      <c r="BK4304" t="s">
        <v>2087</v>
      </c>
      <c r="BL4304">
        <v>0</v>
      </c>
      <c r="BM4304" s="1">
        <v>44334</v>
      </c>
      <c r="BN4304" s="1">
        <v>44334</v>
      </c>
      <c r="BO4304" s="1">
        <v>44334</v>
      </c>
      <c r="BQ4304" t="s">
        <v>51</v>
      </c>
      <c r="BS4304" t="s">
        <v>60</v>
      </c>
      <c r="BT4304" t="s">
        <v>54</v>
      </c>
      <c r="BU4304" t="s">
        <v>362</v>
      </c>
      <c r="BX4304">
        <v>70</v>
      </c>
      <c r="BY4304">
        <v>0</v>
      </c>
      <c r="BZ4304">
        <v>0</v>
      </c>
    </row>
    <row r="4305" spans="1:78" x14ac:dyDescent="0.2">
      <c r="A4305" t="s">
        <v>112</v>
      </c>
      <c r="B4305" t="s">
        <v>113</v>
      </c>
      <c r="C4305" t="s">
        <v>114</v>
      </c>
      <c r="D4305" t="s">
        <v>2066</v>
      </c>
      <c r="F4305" t="str">
        <f>"251354"</f>
        <v>251354</v>
      </c>
      <c r="G4305" t="s">
        <v>49</v>
      </c>
      <c r="H4305" t="s">
        <v>2092</v>
      </c>
      <c r="K4305" t="s">
        <v>51</v>
      </c>
      <c r="L4305" t="s">
        <v>52</v>
      </c>
      <c r="M4305">
        <v>136826.16</v>
      </c>
      <c r="N4305">
        <v>473869.61</v>
      </c>
      <c r="O4305" t="s">
        <v>53</v>
      </c>
      <c r="P4305" t="s">
        <v>54</v>
      </c>
      <c r="Q4305" t="s">
        <v>55</v>
      </c>
      <c r="T4305" t="s">
        <v>1076</v>
      </c>
      <c r="U4305">
        <v>30</v>
      </c>
      <c r="V4305" s="1">
        <v>39448</v>
      </c>
      <c r="W4305" s="1">
        <v>39448</v>
      </c>
      <c r="X4305" s="1">
        <v>39448</v>
      </c>
      <c r="Y4305" s="1">
        <v>50406</v>
      </c>
      <c r="Z4305" t="s">
        <v>51</v>
      </c>
      <c r="AB4305" t="s">
        <v>54</v>
      </c>
      <c r="AC4305">
        <v>1</v>
      </c>
      <c r="AE4305" t="s">
        <v>934</v>
      </c>
      <c r="AF4305">
        <v>20</v>
      </c>
      <c r="AG4305" s="1">
        <v>39448</v>
      </c>
      <c r="AH4305" s="1">
        <v>39448</v>
      </c>
      <c r="AI4305" s="1">
        <v>39448</v>
      </c>
      <c r="AJ4305" s="1">
        <v>46753</v>
      </c>
      <c r="AK4305" t="s">
        <v>51</v>
      </c>
      <c r="AN4305">
        <v>0</v>
      </c>
      <c r="AO4305" t="s">
        <v>54</v>
      </c>
      <c r="AP4305" t="s">
        <v>53</v>
      </c>
      <c r="AQ4305">
        <v>0</v>
      </c>
      <c r="AR4305" t="s">
        <v>53</v>
      </c>
      <c r="AS4305">
        <v>0</v>
      </c>
      <c r="AT4305">
        <v>0</v>
      </c>
      <c r="AW4305" t="s">
        <v>161</v>
      </c>
      <c r="AX4305">
        <v>50</v>
      </c>
      <c r="AY4305" s="1">
        <v>39448</v>
      </c>
      <c r="AZ4305" s="1">
        <v>39448</v>
      </c>
      <c r="BA4305" s="1">
        <v>39448</v>
      </c>
      <c r="BB4305" s="1">
        <v>57711</v>
      </c>
      <c r="BC4305" t="s">
        <v>51</v>
      </c>
      <c r="BE4305" t="s">
        <v>54</v>
      </c>
      <c r="BF4305">
        <v>0</v>
      </c>
      <c r="BG4305">
        <v>0</v>
      </c>
      <c r="BH4305" t="s">
        <v>53</v>
      </c>
      <c r="BK4305" t="s">
        <v>2087</v>
      </c>
      <c r="BL4305">
        <v>0</v>
      </c>
      <c r="BM4305" s="1">
        <v>44334</v>
      </c>
      <c r="BN4305" s="1">
        <v>44334</v>
      </c>
      <c r="BO4305" s="1">
        <v>44334</v>
      </c>
      <c r="BQ4305" t="s">
        <v>51</v>
      </c>
      <c r="BS4305" t="s">
        <v>60</v>
      </c>
      <c r="BT4305" t="s">
        <v>54</v>
      </c>
      <c r="BU4305" t="s">
        <v>362</v>
      </c>
      <c r="BX4305">
        <v>70</v>
      </c>
      <c r="BY4305">
        <v>0</v>
      </c>
      <c r="BZ4305">
        <v>0</v>
      </c>
    </row>
    <row r="4306" spans="1:78" x14ac:dyDescent="0.2">
      <c r="A4306" t="s">
        <v>112</v>
      </c>
      <c r="B4306" t="s">
        <v>113</v>
      </c>
      <c r="C4306" t="s">
        <v>114</v>
      </c>
      <c r="D4306" t="s">
        <v>2066</v>
      </c>
      <c r="F4306" t="str">
        <f>"254368"</f>
        <v>254368</v>
      </c>
      <c r="G4306" t="s">
        <v>49</v>
      </c>
      <c r="H4306" t="s">
        <v>2093</v>
      </c>
      <c r="K4306" t="s">
        <v>51</v>
      </c>
      <c r="L4306" t="s">
        <v>52</v>
      </c>
      <c r="M4306">
        <v>136825.12</v>
      </c>
      <c r="N4306">
        <v>473917.58</v>
      </c>
      <c r="O4306" t="s">
        <v>53</v>
      </c>
      <c r="P4306" t="s">
        <v>54</v>
      </c>
      <c r="Q4306" t="s">
        <v>55</v>
      </c>
      <c r="T4306" t="s">
        <v>1076</v>
      </c>
      <c r="U4306">
        <v>30</v>
      </c>
      <c r="V4306" s="1">
        <v>39448</v>
      </c>
      <c r="W4306" s="1">
        <v>39448</v>
      </c>
      <c r="X4306" s="1">
        <v>39448</v>
      </c>
      <c r="Y4306" s="1">
        <v>50406</v>
      </c>
      <c r="Z4306" t="s">
        <v>51</v>
      </c>
      <c r="AB4306" t="s">
        <v>54</v>
      </c>
      <c r="AC4306">
        <v>1</v>
      </c>
      <c r="AE4306" t="s">
        <v>934</v>
      </c>
      <c r="AF4306">
        <v>20</v>
      </c>
      <c r="AG4306" s="1">
        <v>39448</v>
      </c>
      <c r="AH4306" s="1">
        <v>39448</v>
      </c>
      <c r="AI4306" s="1">
        <v>39448</v>
      </c>
      <c r="AJ4306" s="1">
        <v>46753</v>
      </c>
      <c r="AK4306" t="s">
        <v>51</v>
      </c>
      <c r="AN4306">
        <v>0</v>
      </c>
      <c r="AO4306" t="s">
        <v>54</v>
      </c>
      <c r="AP4306" t="s">
        <v>53</v>
      </c>
      <c r="AQ4306">
        <v>0</v>
      </c>
      <c r="AR4306" t="s">
        <v>53</v>
      </c>
      <c r="AS4306">
        <v>0</v>
      </c>
      <c r="AT4306">
        <v>0</v>
      </c>
      <c r="AW4306" t="s">
        <v>161</v>
      </c>
      <c r="AX4306">
        <v>50</v>
      </c>
      <c r="AY4306" s="1">
        <v>39448</v>
      </c>
      <c r="AZ4306" s="1">
        <v>39448</v>
      </c>
      <c r="BA4306" s="1">
        <v>39448</v>
      </c>
      <c r="BB4306" s="1">
        <v>57711</v>
      </c>
      <c r="BC4306" t="s">
        <v>51</v>
      </c>
      <c r="BE4306" t="s">
        <v>54</v>
      </c>
      <c r="BF4306">
        <v>0</v>
      </c>
      <c r="BG4306">
        <v>0</v>
      </c>
      <c r="BH4306" t="s">
        <v>53</v>
      </c>
      <c r="BI4306">
        <v>2</v>
      </c>
      <c r="BK4306" t="s">
        <v>2087</v>
      </c>
      <c r="BL4306">
        <v>0</v>
      </c>
      <c r="BM4306" s="1">
        <v>44334</v>
      </c>
      <c r="BN4306" s="1">
        <v>44334</v>
      </c>
      <c r="BO4306" s="1">
        <v>44334</v>
      </c>
      <c r="BQ4306" t="s">
        <v>51</v>
      </c>
      <c r="BS4306" t="s">
        <v>60</v>
      </c>
      <c r="BT4306" t="s">
        <v>54</v>
      </c>
      <c r="BU4306" t="s">
        <v>362</v>
      </c>
      <c r="BX4306">
        <v>70</v>
      </c>
      <c r="BY4306">
        <v>0</v>
      </c>
      <c r="BZ4306">
        <v>0</v>
      </c>
    </row>
    <row r="4307" spans="1:78" x14ac:dyDescent="0.2">
      <c r="A4307" t="s">
        <v>112</v>
      </c>
      <c r="B4307" t="s">
        <v>113</v>
      </c>
      <c r="C4307" t="s">
        <v>114</v>
      </c>
      <c r="D4307" t="s">
        <v>2066</v>
      </c>
      <c r="F4307" t="str">
        <f>"251356"</f>
        <v>251356</v>
      </c>
      <c r="G4307" t="s">
        <v>49</v>
      </c>
      <c r="H4307" t="s">
        <v>2094</v>
      </c>
      <c r="K4307" t="s">
        <v>51</v>
      </c>
      <c r="L4307" t="s">
        <v>52</v>
      </c>
      <c r="M4307">
        <v>136817.28</v>
      </c>
      <c r="N4307">
        <v>473947.81</v>
      </c>
      <c r="O4307" t="s">
        <v>53</v>
      </c>
      <c r="P4307" t="s">
        <v>54</v>
      </c>
      <c r="Q4307" t="s">
        <v>55</v>
      </c>
      <c r="T4307" t="s">
        <v>1076</v>
      </c>
      <c r="U4307">
        <v>30</v>
      </c>
      <c r="V4307" s="1">
        <v>39448</v>
      </c>
      <c r="W4307" s="1">
        <v>39448</v>
      </c>
      <c r="X4307" s="1">
        <v>39448</v>
      </c>
      <c r="Y4307" s="1">
        <v>50406</v>
      </c>
      <c r="Z4307" t="s">
        <v>51</v>
      </c>
      <c r="AB4307" t="s">
        <v>54</v>
      </c>
      <c r="AC4307">
        <v>1</v>
      </c>
      <c r="AE4307" t="s">
        <v>934</v>
      </c>
      <c r="AF4307">
        <v>20</v>
      </c>
      <c r="AG4307" s="1">
        <v>39448</v>
      </c>
      <c r="AH4307" s="1">
        <v>39448</v>
      </c>
      <c r="AI4307" s="1">
        <v>39448</v>
      </c>
      <c r="AJ4307" s="1">
        <v>46753</v>
      </c>
      <c r="AK4307" t="s">
        <v>51</v>
      </c>
      <c r="AN4307">
        <v>0</v>
      </c>
      <c r="AO4307" t="s">
        <v>54</v>
      </c>
      <c r="AP4307" t="s">
        <v>53</v>
      </c>
      <c r="AQ4307">
        <v>0</v>
      </c>
      <c r="AR4307" t="s">
        <v>53</v>
      </c>
      <c r="AS4307">
        <v>0</v>
      </c>
      <c r="AT4307">
        <v>0</v>
      </c>
      <c r="AW4307" t="s">
        <v>161</v>
      </c>
      <c r="AX4307">
        <v>50</v>
      </c>
      <c r="AY4307" s="1">
        <v>39448</v>
      </c>
      <c r="AZ4307" s="1">
        <v>39448</v>
      </c>
      <c r="BA4307" s="1">
        <v>39448</v>
      </c>
      <c r="BB4307" s="1">
        <v>57711</v>
      </c>
      <c r="BC4307" t="s">
        <v>51</v>
      </c>
      <c r="BE4307" t="s">
        <v>54</v>
      </c>
      <c r="BF4307">
        <v>0</v>
      </c>
      <c r="BG4307">
        <v>0</v>
      </c>
      <c r="BH4307" t="s">
        <v>53</v>
      </c>
      <c r="BK4307" t="s">
        <v>2087</v>
      </c>
      <c r="BL4307">
        <v>0</v>
      </c>
      <c r="BM4307" s="1">
        <v>44334</v>
      </c>
      <c r="BN4307" s="1">
        <v>44334</v>
      </c>
      <c r="BO4307" s="1">
        <v>44334</v>
      </c>
      <c r="BQ4307" t="s">
        <v>51</v>
      </c>
      <c r="BS4307" t="s">
        <v>60</v>
      </c>
      <c r="BT4307" t="s">
        <v>54</v>
      </c>
      <c r="BU4307" t="s">
        <v>362</v>
      </c>
      <c r="BX4307">
        <v>70</v>
      </c>
      <c r="BY4307">
        <v>0</v>
      </c>
      <c r="BZ4307">
        <v>0</v>
      </c>
    </row>
    <row r="4308" spans="1:78" x14ac:dyDescent="0.2">
      <c r="A4308" t="s">
        <v>112</v>
      </c>
      <c r="B4308" t="s">
        <v>113</v>
      </c>
      <c r="C4308" t="s">
        <v>114</v>
      </c>
      <c r="D4308" t="s">
        <v>2066</v>
      </c>
      <c r="F4308" t="str">
        <f>"251357"</f>
        <v>251357</v>
      </c>
      <c r="G4308" t="s">
        <v>49</v>
      </c>
      <c r="H4308" t="s">
        <v>462</v>
      </c>
      <c r="K4308" t="s">
        <v>51</v>
      </c>
      <c r="L4308" t="s">
        <v>52</v>
      </c>
      <c r="M4308">
        <v>136823.41</v>
      </c>
      <c r="N4308">
        <v>473965.63</v>
      </c>
      <c r="O4308" t="s">
        <v>53</v>
      </c>
      <c r="P4308" t="s">
        <v>54</v>
      </c>
      <c r="Q4308" t="s">
        <v>55</v>
      </c>
      <c r="T4308" t="s">
        <v>1076</v>
      </c>
      <c r="U4308">
        <v>30</v>
      </c>
      <c r="V4308" s="1">
        <v>39448</v>
      </c>
      <c r="W4308" s="1">
        <v>39448</v>
      </c>
      <c r="X4308" s="1">
        <v>39448</v>
      </c>
      <c r="Y4308" s="1">
        <v>50406</v>
      </c>
      <c r="Z4308" t="s">
        <v>51</v>
      </c>
      <c r="AB4308" t="s">
        <v>54</v>
      </c>
      <c r="AC4308">
        <v>1</v>
      </c>
      <c r="AE4308" t="s">
        <v>934</v>
      </c>
      <c r="AF4308">
        <v>20</v>
      </c>
      <c r="AG4308" s="1">
        <v>39448</v>
      </c>
      <c r="AH4308" s="1">
        <v>39448</v>
      </c>
      <c r="AI4308" s="1">
        <v>39448</v>
      </c>
      <c r="AJ4308" s="1">
        <v>46753</v>
      </c>
      <c r="AK4308" t="s">
        <v>51</v>
      </c>
      <c r="AN4308">
        <v>0</v>
      </c>
      <c r="AO4308" t="s">
        <v>54</v>
      </c>
      <c r="AP4308" t="s">
        <v>53</v>
      </c>
      <c r="AQ4308">
        <v>0</v>
      </c>
      <c r="AR4308" t="s">
        <v>53</v>
      </c>
      <c r="AS4308">
        <v>0</v>
      </c>
      <c r="AT4308">
        <v>0</v>
      </c>
      <c r="AW4308" t="s">
        <v>161</v>
      </c>
      <c r="AX4308">
        <v>50</v>
      </c>
      <c r="AY4308" s="1">
        <v>39448</v>
      </c>
      <c r="AZ4308" s="1">
        <v>39448</v>
      </c>
      <c r="BA4308" s="1">
        <v>39448</v>
      </c>
      <c r="BB4308" s="1">
        <v>57711</v>
      </c>
      <c r="BC4308" t="s">
        <v>51</v>
      </c>
      <c r="BE4308" t="s">
        <v>54</v>
      </c>
      <c r="BF4308">
        <v>0</v>
      </c>
      <c r="BG4308">
        <v>0</v>
      </c>
      <c r="BH4308" t="s">
        <v>53</v>
      </c>
      <c r="BK4308" t="s">
        <v>2087</v>
      </c>
      <c r="BL4308">
        <v>0</v>
      </c>
      <c r="BM4308" s="1">
        <v>44334</v>
      </c>
      <c r="BN4308" s="1">
        <v>44334</v>
      </c>
      <c r="BO4308" s="1">
        <v>44334</v>
      </c>
      <c r="BQ4308" t="s">
        <v>51</v>
      </c>
      <c r="BS4308" t="s">
        <v>60</v>
      </c>
      <c r="BT4308" t="s">
        <v>54</v>
      </c>
      <c r="BU4308" t="s">
        <v>362</v>
      </c>
      <c r="BX4308">
        <v>70</v>
      </c>
      <c r="BY4308">
        <v>0</v>
      </c>
      <c r="BZ4308">
        <v>0</v>
      </c>
    </row>
    <row r="4309" spans="1:78" x14ac:dyDescent="0.2">
      <c r="A4309" t="s">
        <v>112</v>
      </c>
      <c r="B4309" t="s">
        <v>113</v>
      </c>
      <c r="C4309" t="s">
        <v>114</v>
      </c>
      <c r="D4309" t="s">
        <v>2066</v>
      </c>
      <c r="F4309" t="str">
        <f>"251358"</f>
        <v>251358</v>
      </c>
      <c r="G4309" t="s">
        <v>49</v>
      </c>
      <c r="K4309" t="s">
        <v>51</v>
      </c>
      <c r="L4309" t="s">
        <v>52</v>
      </c>
      <c r="M4309">
        <v>136816.07999999999</v>
      </c>
      <c r="N4309">
        <v>473988.96</v>
      </c>
      <c r="O4309" t="s">
        <v>53</v>
      </c>
      <c r="P4309" t="s">
        <v>54</v>
      </c>
      <c r="Q4309" t="s">
        <v>55</v>
      </c>
      <c r="T4309" t="s">
        <v>1076</v>
      </c>
      <c r="U4309">
        <v>30</v>
      </c>
      <c r="V4309" s="1">
        <v>39448</v>
      </c>
      <c r="W4309" s="1">
        <v>39448</v>
      </c>
      <c r="X4309" s="1">
        <v>39448</v>
      </c>
      <c r="Y4309" s="1">
        <v>50406</v>
      </c>
      <c r="Z4309" t="s">
        <v>51</v>
      </c>
      <c r="AB4309" t="s">
        <v>54</v>
      </c>
      <c r="AC4309">
        <v>1</v>
      </c>
      <c r="AE4309" t="s">
        <v>934</v>
      </c>
      <c r="AF4309">
        <v>20</v>
      </c>
      <c r="AG4309" s="1">
        <v>39448</v>
      </c>
      <c r="AH4309" s="1">
        <v>39448</v>
      </c>
      <c r="AI4309" s="1">
        <v>39448</v>
      </c>
      <c r="AJ4309" s="1">
        <v>46753</v>
      </c>
      <c r="AK4309" t="s">
        <v>51</v>
      </c>
      <c r="AN4309">
        <v>0</v>
      </c>
      <c r="AO4309" t="s">
        <v>54</v>
      </c>
      <c r="AP4309" t="s">
        <v>53</v>
      </c>
      <c r="AQ4309">
        <v>0</v>
      </c>
      <c r="AR4309" t="s">
        <v>53</v>
      </c>
      <c r="AS4309">
        <v>0</v>
      </c>
      <c r="AT4309">
        <v>0</v>
      </c>
      <c r="AW4309" t="s">
        <v>161</v>
      </c>
      <c r="AX4309">
        <v>50</v>
      </c>
      <c r="AY4309" s="1">
        <v>39448</v>
      </c>
      <c r="AZ4309" s="1">
        <v>39448</v>
      </c>
      <c r="BA4309" s="1">
        <v>39448</v>
      </c>
      <c r="BB4309" s="1">
        <v>57711</v>
      </c>
      <c r="BC4309" t="s">
        <v>51</v>
      </c>
      <c r="BE4309" t="s">
        <v>54</v>
      </c>
      <c r="BF4309">
        <v>0</v>
      </c>
      <c r="BG4309">
        <v>0</v>
      </c>
      <c r="BH4309" t="s">
        <v>53</v>
      </c>
      <c r="BK4309" t="s">
        <v>2087</v>
      </c>
      <c r="BL4309">
        <v>0</v>
      </c>
      <c r="BM4309" s="1">
        <v>44334</v>
      </c>
      <c r="BN4309" s="1">
        <v>44334</v>
      </c>
      <c r="BO4309" s="1">
        <v>44334</v>
      </c>
      <c r="BQ4309" t="s">
        <v>51</v>
      </c>
      <c r="BS4309" t="s">
        <v>60</v>
      </c>
      <c r="BT4309" t="s">
        <v>54</v>
      </c>
      <c r="BU4309" t="s">
        <v>362</v>
      </c>
      <c r="BX4309">
        <v>70</v>
      </c>
      <c r="BY4309">
        <v>0</v>
      </c>
      <c r="BZ4309">
        <v>0</v>
      </c>
    </row>
    <row r="4310" spans="1:78" x14ac:dyDescent="0.2">
      <c r="A4310" t="s">
        <v>112</v>
      </c>
      <c r="B4310" t="s">
        <v>113</v>
      </c>
      <c r="C4310" t="s">
        <v>114</v>
      </c>
      <c r="D4310" t="s">
        <v>2066</v>
      </c>
      <c r="F4310" t="str">
        <f>"251359"</f>
        <v>251359</v>
      </c>
      <c r="G4310" t="s">
        <v>49</v>
      </c>
      <c r="K4310" t="s">
        <v>51</v>
      </c>
      <c r="L4310" t="s">
        <v>52</v>
      </c>
      <c r="M4310">
        <v>136822.61600000001</v>
      </c>
      <c r="N4310">
        <v>474009.77600000001</v>
      </c>
      <c r="O4310" t="s">
        <v>53</v>
      </c>
      <c r="P4310" t="s">
        <v>54</v>
      </c>
      <c r="Q4310" t="s">
        <v>55</v>
      </c>
      <c r="T4310" t="s">
        <v>1076</v>
      </c>
      <c r="U4310">
        <v>30</v>
      </c>
      <c r="V4310" s="1">
        <v>39448</v>
      </c>
      <c r="W4310" s="1">
        <v>39448</v>
      </c>
      <c r="X4310" s="1">
        <v>39448</v>
      </c>
      <c r="Y4310" s="1">
        <v>50406</v>
      </c>
      <c r="Z4310" t="s">
        <v>51</v>
      </c>
      <c r="AB4310" t="s">
        <v>54</v>
      </c>
      <c r="AC4310">
        <v>1</v>
      </c>
      <c r="AE4310" t="s">
        <v>934</v>
      </c>
      <c r="AF4310">
        <v>20</v>
      </c>
      <c r="AG4310" s="1">
        <v>39448</v>
      </c>
      <c r="AH4310" s="1">
        <v>39448</v>
      </c>
      <c r="AI4310" s="1">
        <v>39448</v>
      </c>
      <c r="AJ4310" s="1">
        <v>46753</v>
      </c>
      <c r="AK4310" t="s">
        <v>51</v>
      </c>
      <c r="AN4310">
        <v>0</v>
      </c>
      <c r="AO4310" t="s">
        <v>54</v>
      </c>
      <c r="AP4310" t="s">
        <v>53</v>
      </c>
      <c r="AQ4310">
        <v>0</v>
      </c>
      <c r="AR4310" t="s">
        <v>53</v>
      </c>
      <c r="AS4310">
        <v>0</v>
      </c>
      <c r="AT4310">
        <v>0</v>
      </c>
      <c r="AW4310" t="s">
        <v>161</v>
      </c>
      <c r="AX4310">
        <v>50</v>
      </c>
      <c r="AY4310" s="1">
        <v>39448</v>
      </c>
      <c r="AZ4310" s="1">
        <v>39448</v>
      </c>
      <c r="BA4310" s="1">
        <v>39448</v>
      </c>
      <c r="BB4310" s="1">
        <v>57711</v>
      </c>
      <c r="BC4310" t="s">
        <v>51</v>
      </c>
      <c r="BE4310" t="s">
        <v>54</v>
      </c>
      <c r="BF4310">
        <v>0</v>
      </c>
      <c r="BG4310">
        <v>0</v>
      </c>
      <c r="BH4310" t="s">
        <v>53</v>
      </c>
      <c r="BK4310" t="s">
        <v>2087</v>
      </c>
      <c r="BL4310">
        <v>0</v>
      </c>
      <c r="BM4310" s="1">
        <v>44334</v>
      </c>
      <c r="BN4310" s="1">
        <v>44334</v>
      </c>
      <c r="BO4310" s="1">
        <v>44334</v>
      </c>
      <c r="BQ4310" t="s">
        <v>51</v>
      </c>
      <c r="BS4310" t="s">
        <v>60</v>
      </c>
      <c r="BT4310" t="s">
        <v>54</v>
      </c>
      <c r="BU4310" t="s">
        <v>362</v>
      </c>
      <c r="BX4310">
        <v>70</v>
      </c>
      <c r="BY4310">
        <v>0</v>
      </c>
      <c r="BZ4310">
        <v>0</v>
      </c>
    </row>
    <row r="4311" spans="1:78" x14ac:dyDescent="0.2">
      <c r="A4311" t="s">
        <v>112</v>
      </c>
      <c r="B4311" t="s">
        <v>113</v>
      </c>
      <c r="C4311" t="s">
        <v>114</v>
      </c>
      <c r="D4311" t="s">
        <v>2066</v>
      </c>
      <c r="F4311" t="str">
        <f>"251360"</f>
        <v>251360</v>
      </c>
      <c r="G4311" t="s">
        <v>49</v>
      </c>
      <c r="K4311" t="s">
        <v>51</v>
      </c>
      <c r="L4311" t="s">
        <v>52</v>
      </c>
      <c r="M4311">
        <v>136814.64000000001</v>
      </c>
      <c r="N4311">
        <v>474036.53</v>
      </c>
      <c r="O4311" t="s">
        <v>53</v>
      </c>
      <c r="P4311" t="s">
        <v>54</v>
      </c>
      <c r="Q4311" t="s">
        <v>55</v>
      </c>
      <c r="T4311" t="s">
        <v>1076</v>
      </c>
      <c r="U4311">
        <v>30</v>
      </c>
      <c r="V4311" s="1">
        <v>39448</v>
      </c>
      <c r="W4311" s="1">
        <v>39448</v>
      </c>
      <c r="X4311" s="1">
        <v>39448</v>
      </c>
      <c r="Y4311" s="1">
        <v>50406</v>
      </c>
      <c r="Z4311" t="s">
        <v>51</v>
      </c>
      <c r="AB4311" t="s">
        <v>54</v>
      </c>
      <c r="AC4311">
        <v>1</v>
      </c>
      <c r="AE4311" t="s">
        <v>934</v>
      </c>
      <c r="AF4311">
        <v>20</v>
      </c>
      <c r="AG4311" s="1">
        <v>39448</v>
      </c>
      <c r="AH4311" s="1">
        <v>39448</v>
      </c>
      <c r="AI4311" s="1">
        <v>39448</v>
      </c>
      <c r="AJ4311" s="1">
        <v>46753</v>
      </c>
      <c r="AK4311" t="s">
        <v>51</v>
      </c>
      <c r="AN4311">
        <v>0</v>
      </c>
      <c r="AO4311" t="s">
        <v>54</v>
      </c>
      <c r="AP4311" t="s">
        <v>53</v>
      </c>
      <c r="AQ4311">
        <v>0</v>
      </c>
      <c r="AR4311" t="s">
        <v>53</v>
      </c>
      <c r="AS4311">
        <v>0</v>
      </c>
      <c r="AT4311">
        <v>0</v>
      </c>
      <c r="AW4311" t="s">
        <v>161</v>
      </c>
      <c r="AX4311">
        <v>50</v>
      </c>
      <c r="AY4311" s="1">
        <v>39448</v>
      </c>
      <c r="AZ4311" s="1">
        <v>39448</v>
      </c>
      <c r="BA4311" s="1">
        <v>39448</v>
      </c>
      <c r="BB4311" s="1">
        <v>57711</v>
      </c>
      <c r="BC4311" t="s">
        <v>51</v>
      </c>
      <c r="BE4311" t="s">
        <v>54</v>
      </c>
      <c r="BF4311">
        <v>0</v>
      </c>
      <c r="BG4311">
        <v>0</v>
      </c>
      <c r="BH4311" t="s">
        <v>53</v>
      </c>
      <c r="BK4311" t="s">
        <v>2087</v>
      </c>
      <c r="BL4311">
        <v>0</v>
      </c>
      <c r="BM4311" s="1">
        <v>44200</v>
      </c>
      <c r="BN4311" s="1">
        <v>44200</v>
      </c>
      <c r="BO4311" s="1">
        <v>44200</v>
      </c>
      <c r="BP4311" s="1">
        <v>45707</v>
      </c>
      <c r="BQ4311" t="s">
        <v>51</v>
      </c>
      <c r="BS4311" t="s">
        <v>60</v>
      </c>
      <c r="BT4311" t="s">
        <v>54</v>
      </c>
      <c r="BU4311" t="s">
        <v>362</v>
      </c>
      <c r="BX4311">
        <v>70</v>
      </c>
      <c r="BY4311">
        <v>0</v>
      </c>
      <c r="BZ4311">
        <v>0</v>
      </c>
    </row>
    <row r="4312" spans="1:78" x14ac:dyDescent="0.2">
      <c r="A4312" t="s">
        <v>112</v>
      </c>
      <c r="B4312" t="s">
        <v>113</v>
      </c>
      <c r="C4312" t="s">
        <v>114</v>
      </c>
      <c r="D4312" t="s">
        <v>2066</v>
      </c>
      <c r="F4312" t="str">
        <f>"251361"</f>
        <v>251361</v>
      </c>
      <c r="G4312" t="s">
        <v>49</v>
      </c>
      <c r="H4312" t="s">
        <v>2095</v>
      </c>
      <c r="K4312" t="s">
        <v>51</v>
      </c>
      <c r="L4312" t="s">
        <v>52</v>
      </c>
      <c r="M4312">
        <v>136821.25399999999</v>
      </c>
      <c r="N4312">
        <v>474062.755</v>
      </c>
      <c r="O4312" t="s">
        <v>53</v>
      </c>
      <c r="P4312" t="s">
        <v>54</v>
      </c>
      <c r="Q4312" t="s">
        <v>55</v>
      </c>
      <c r="T4312" t="s">
        <v>1076</v>
      </c>
      <c r="U4312">
        <v>30</v>
      </c>
      <c r="V4312" s="1">
        <v>39448</v>
      </c>
      <c r="W4312" s="1">
        <v>39448</v>
      </c>
      <c r="X4312" s="1">
        <v>39448</v>
      </c>
      <c r="Y4312" s="1">
        <v>50406</v>
      </c>
      <c r="Z4312" t="s">
        <v>51</v>
      </c>
      <c r="AB4312" t="s">
        <v>54</v>
      </c>
      <c r="AC4312">
        <v>1</v>
      </c>
      <c r="AE4312" t="s">
        <v>934</v>
      </c>
      <c r="AF4312">
        <v>20</v>
      </c>
      <c r="AG4312" s="1">
        <v>39448</v>
      </c>
      <c r="AH4312" s="1">
        <v>39448</v>
      </c>
      <c r="AI4312" s="1">
        <v>39448</v>
      </c>
      <c r="AJ4312" s="1">
        <v>46753</v>
      </c>
      <c r="AK4312" t="s">
        <v>51</v>
      </c>
      <c r="AN4312">
        <v>0</v>
      </c>
      <c r="AO4312" t="s">
        <v>54</v>
      </c>
      <c r="AP4312" t="s">
        <v>53</v>
      </c>
      <c r="AQ4312">
        <v>0</v>
      </c>
      <c r="AR4312" t="s">
        <v>53</v>
      </c>
      <c r="AS4312">
        <v>0</v>
      </c>
      <c r="AT4312">
        <v>0</v>
      </c>
      <c r="AW4312" t="s">
        <v>161</v>
      </c>
      <c r="AX4312">
        <v>50</v>
      </c>
      <c r="AY4312" s="1">
        <v>39448</v>
      </c>
      <c r="AZ4312" s="1">
        <v>39448</v>
      </c>
      <c r="BA4312" s="1">
        <v>39448</v>
      </c>
      <c r="BB4312" s="1">
        <v>57711</v>
      </c>
      <c r="BC4312" t="s">
        <v>51</v>
      </c>
      <c r="BE4312" t="s">
        <v>54</v>
      </c>
      <c r="BF4312">
        <v>0</v>
      </c>
      <c r="BG4312">
        <v>0</v>
      </c>
      <c r="BH4312" t="s">
        <v>53</v>
      </c>
      <c r="BK4312" t="s">
        <v>2087</v>
      </c>
      <c r="BL4312">
        <v>0</v>
      </c>
      <c r="BM4312" s="1">
        <v>44334</v>
      </c>
      <c r="BN4312" s="1">
        <v>44334</v>
      </c>
      <c r="BO4312" s="1">
        <v>44334</v>
      </c>
      <c r="BQ4312" t="s">
        <v>51</v>
      </c>
      <c r="BS4312" t="s">
        <v>60</v>
      </c>
      <c r="BT4312" t="s">
        <v>54</v>
      </c>
      <c r="BU4312" t="s">
        <v>362</v>
      </c>
      <c r="BX4312">
        <v>70</v>
      </c>
      <c r="BY4312">
        <v>0</v>
      </c>
      <c r="BZ4312">
        <v>0</v>
      </c>
    </row>
    <row r="4313" spans="1:78" x14ac:dyDescent="0.2">
      <c r="A4313" t="s">
        <v>112</v>
      </c>
      <c r="B4313" t="s">
        <v>113</v>
      </c>
      <c r="C4313" t="s">
        <v>114</v>
      </c>
      <c r="D4313" t="s">
        <v>2066</v>
      </c>
      <c r="F4313" t="str">
        <f>"251362"</f>
        <v>251362</v>
      </c>
      <c r="G4313" t="s">
        <v>49</v>
      </c>
      <c r="H4313" t="s">
        <v>2096</v>
      </c>
      <c r="K4313" t="s">
        <v>51</v>
      </c>
      <c r="L4313" t="s">
        <v>52</v>
      </c>
      <c r="M4313">
        <v>136813.90599999999</v>
      </c>
      <c r="N4313">
        <v>474083.701</v>
      </c>
      <c r="O4313" t="s">
        <v>53</v>
      </c>
      <c r="P4313" t="s">
        <v>54</v>
      </c>
      <c r="Q4313" t="s">
        <v>55</v>
      </c>
      <c r="T4313" t="s">
        <v>269</v>
      </c>
      <c r="U4313">
        <v>40</v>
      </c>
      <c r="V4313" s="1">
        <v>39448</v>
      </c>
      <c r="W4313" s="1">
        <v>39448</v>
      </c>
      <c r="X4313" s="1">
        <v>39448</v>
      </c>
      <c r="Y4313" s="1">
        <v>54058</v>
      </c>
      <c r="Z4313" t="s">
        <v>51</v>
      </c>
      <c r="AB4313" t="s">
        <v>54</v>
      </c>
      <c r="AC4313">
        <v>1</v>
      </c>
      <c r="AE4313" t="s">
        <v>934</v>
      </c>
      <c r="AF4313">
        <v>20</v>
      </c>
      <c r="AG4313" s="1">
        <v>39448</v>
      </c>
      <c r="AH4313" s="1">
        <v>39448</v>
      </c>
      <c r="AI4313" s="1">
        <v>39448</v>
      </c>
      <c r="AJ4313" s="1">
        <v>46753</v>
      </c>
      <c r="AK4313" t="s">
        <v>51</v>
      </c>
      <c r="AN4313">
        <v>0</v>
      </c>
      <c r="AO4313" t="s">
        <v>54</v>
      </c>
      <c r="AP4313" t="s">
        <v>53</v>
      </c>
      <c r="AQ4313">
        <v>0</v>
      </c>
      <c r="AR4313" t="s">
        <v>53</v>
      </c>
      <c r="AS4313">
        <v>0</v>
      </c>
      <c r="AT4313">
        <v>0</v>
      </c>
      <c r="AW4313" t="s">
        <v>161</v>
      </c>
      <c r="AX4313">
        <v>50</v>
      </c>
      <c r="AY4313" s="1">
        <v>39448</v>
      </c>
      <c r="AZ4313" s="1">
        <v>39448</v>
      </c>
      <c r="BA4313" s="1">
        <v>39448</v>
      </c>
      <c r="BB4313" s="1">
        <v>57711</v>
      </c>
      <c r="BC4313" t="s">
        <v>51</v>
      </c>
      <c r="BE4313" t="s">
        <v>54</v>
      </c>
      <c r="BF4313">
        <v>0</v>
      </c>
      <c r="BG4313">
        <v>0</v>
      </c>
      <c r="BH4313" t="s">
        <v>53</v>
      </c>
      <c r="BK4313" t="s">
        <v>2087</v>
      </c>
      <c r="BL4313">
        <v>0</v>
      </c>
      <c r="BM4313" s="1">
        <v>44334</v>
      </c>
      <c r="BN4313" s="1">
        <v>44334</v>
      </c>
      <c r="BO4313" s="1">
        <v>44334</v>
      </c>
      <c r="BQ4313" t="s">
        <v>51</v>
      </c>
      <c r="BS4313" t="s">
        <v>60</v>
      </c>
      <c r="BT4313" t="s">
        <v>54</v>
      </c>
      <c r="BU4313" t="s">
        <v>362</v>
      </c>
      <c r="BX4313">
        <v>70</v>
      </c>
      <c r="BY4313">
        <v>0</v>
      </c>
      <c r="BZ4313">
        <v>0</v>
      </c>
    </row>
    <row r="4314" spans="1:78" x14ac:dyDescent="0.2">
      <c r="A4314" t="s">
        <v>112</v>
      </c>
      <c r="B4314" t="s">
        <v>113</v>
      </c>
      <c r="C4314" t="s">
        <v>114</v>
      </c>
      <c r="D4314" t="s">
        <v>2066</v>
      </c>
      <c r="F4314" t="str">
        <f>"251363"</f>
        <v>251363</v>
      </c>
      <c r="G4314" t="s">
        <v>49</v>
      </c>
      <c r="H4314" t="s">
        <v>2097</v>
      </c>
      <c r="K4314" t="s">
        <v>51</v>
      </c>
      <c r="L4314" t="s">
        <v>52</v>
      </c>
      <c r="M4314">
        <v>136820.51500000001</v>
      </c>
      <c r="N4314">
        <v>474106.462</v>
      </c>
      <c r="O4314" t="s">
        <v>53</v>
      </c>
      <c r="P4314" t="s">
        <v>54</v>
      </c>
      <c r="Q4314" t="s">
        <v>55</v>
      </c>
      <c r="T4314" t="s">
        <v>1076</v>
      </c>
      <c r="U4314">
        <v>30</v>
      </c>
      <c r="V4314" s="1">
        <v>39448</v>
      </c>
      <c r="W4314" s="1">
        <v>39448</v>
      </c>
      <c r="X4314" s="1">
        <v>39448</v>
      </c>
      <c r="Y4314" s="1">
        <v>50406</v>
      </c>
      <c r="Z4314" t="s">
        <v>51</v>
      </c>
      <c r="AB4314" t="s">
        <v>54</v>
      </c>
      <c r="AC4314">
        <v>1</v>
      </c>
      <c r="AE4314" t="s">
        <v>934</v>
      </c>
      <c r="AF4314">
        <v>20</v>
      </c>
      <c r="AG4314" s="1">
        <v>39448</v>
      </c>
      <c r="AH4314" s="1">
        <v>39448</v>
      </c>
      <c r="AI4314" s="1">
        <v>39448</v>
      </c>
      <c r="AJ4314" s="1">
        <v>46753</v>
      </c>
      <c r="AK4314" t="s">
        <v>51</v>
      </c>
      <c r="AN4314">
        <v>0</v>
      </c>
      <c r="AO4314" t="s">
        <v>54</v>
      </c>
      <c r="AP4314" t="s">
        <v>53</v>
      </c>
      <c r="AQ4314">
        <v>0</v>
      </c>
      <c r="AR4314" t="s">
        <v>53</v>
      </c>
      <c r="AS4314">
        <v>0</v>
      </c>
      <c r="AT4314">
        <v>0</v>
      </c>
      <c r="AW4314" t="s">
        <v>161</v>
      </c>
      <c r="AX4314">
        <v>50</v>
      </c>
      <c r="AY4314" s="1">
        <v>44344</v>
      </c>
      <c r="AZ4314" s="1">
        <v>44344</v>
      </c>
      <c r="BA4314" s="1">
        <v>44344</v>
      </c>
      <c r="BB4314" s="1">
        <v>62606</v>
      </c>
      <c r="BC4314" t="s">
        <v>51</v>
      </c>
      <c r="BE4314" t="s">
        <v>54</v>
      </c>
      <c r="BF4314">
        <v>0</v>
      </c>
      <c r="BG4314">
        <v>0</v>
      </c>
      <c r="BH4314" t="s">
        <v>53</v>
      </c>
      <c r="BK4314" t="s">
        <v>2087</v>
      </c>
      <c r="BL4314">
        <v>0</v>
      </c>
      <c r="BM4314" s="1">
        <v>44344</v>
      </c>
      <c r="BN4314" s="1">
        <v>44344</v>
      </c>
      <c r="BO4314" s="1">
        <v>44344</v>
      </c>
      <c r="BQ4314" t="s">
        <v>51</v>
      </c>
      <c r="BS4314" t="s">
        <v>60</v>
      </c>
      <c r="BT4314" t="s">
        <v>54</v>
      </c>
      <c r="BU4314" t="s">
        <v>362</v>
      </c>
      <c r="BX4314">
        <v>70</v>
      </c>
      <c r="BY4314">
        <v>0</v>
      </c>
      <c r="BZ4314">
        <v>0</v>
      </c>
    </row>
    <row r="4315" spans="1:78" x14ac:dyDescent="0.2">
      <c r="A4315" t="s">
        <v>112</v>
      </c>
      <c r="B4315" t="s">
        <v>113</v>
      </c>
      <c r="C4315" t="s">
        <v>114</v>
      </c>
      <c r="D4315" t="s">
        <v>2066</v>
      </c>
      <c r="F4315" t="str">
        <f>"251364"</f>
        <v>251364</v>
      </c>
      <c r="G4315" t="s">
        <v>49</v>
      </c>
      <c r="K4315" t="s">
        <v>51</v>
      </c>
      <c r="L4315" t="s">
        <v>52</v>
      </c>
      <c r="M4315">
        <v>136812.51999999999</v>
      </c>
      <c r="N4315">
        <v>474131.35</v>
      </c>
      <c r="O4315" t="s">
        <v>53</v>
      </c>
      <c r="P4315" t="s">
        <v>54</v>
      </c>
      <c r="Q4315" t="s">
        <v>55</v>
      </c>
      <c r="T4315" t="s">
        <v>269</v>
      </c>
      <c r="U4315">
        <v>40</v>
      </c>
      <c r="V4315" s="1">
        <v>39448</v>
      </c>
      <c r="W4315" s="1">
        <v>39448</v>
      </c>
      <c r="X4315" s="1">
        <v>39448</v>
      </c>
      <c r="Y4315" s="1">
        <v>54058</v>
      </c>
      <c r="Z4315" t="s">
        <v>51</v>
      </c>
      <c r="AB4315" t="s">
        <v>54</v>
      </c>
      <c r="AC4315">
        <v>1</v>
      </c>
      <c r="AE4315" t="s">
        <v>934</v>
      </c>
      <c r="AF4315">
        <v>20</v>
      </c>
      <c r="AG4315" s="1">
        <v>39448</v>
      </c>
      <c r="AH4315" s="1">
        <v>39448</v>
      </c>
      <c r="AI4315" s="1">
        <v>39448</v>
      </c>
      <c r="AJ4315" s="1">
        <v>46753</v>
      </c>
      <c r="AK4315" t="s">
        <v>51</v>
      </c>
      <c r="AN4315">
        <v>0</v>
      </c>
      <c r="AO4315" t="s">
        <v>54</v>
      </c>
      <c r="AP4315" t="s">
        <v>53</v>
      </c>
      <c r="AQ4315">
        <v>0</v>
      </c>
      <c r="AR4315" t="s">
        <v>53</v>
      </c>
      <c r="AS4315">
        <v>0</v>
      </c>
      <c r="AT4315">
        <v>0</v>
      </c>
      <c r="AW4315" t="s">
        <v>161</v>
      </c>
      <c r="AX4315">
        <v>50</v>
      </c>
      <c r="AY4315" s="1">
        <v>39448</v>
      </c>
      <c r="AZ4315" s="1">
        <v>39448</v>
      </c>
      <c r="BA4315" s="1">
        <v>39448</v>
      </c>
      <c r="BB4315" s="1">
        <v>57711</v>
      </c>
      <c r="BC4315" t="s">
        <v>51</v>
      </c>
      <c r="BE4315" t="s">
        <v>54</v>
      </c>
      <c r="BF4315">
        <v>0</v>
      </c>
      <c r="BG4315">
        <v>0</v>
      </c>
      <c r="BH4315" t="s">
        <v>53</v>
      </c>
      <c r="BK4315" t="s">
        <v>2087</v>
      </c>
      <c r="BL4315">
        <v>0</v>
      </c>
      <c r="BM4315" s="1">
        <v>44334</v>
      </c>
      <c r="BN4315" s="1">
        <v>44334</v>
      </c>
      <c r="BO4315" s="1">
        <v>44334</v>
      </c>
      <c r="BQ4315" t="s">
        <v>51</v>
      </c>
      <c r="BS4315" t="s">
        <v>60</v>
      </c>
      <c r="BT4315" t="s">
        <v>54</v>
      </c>
      <c r="BU4315" t="s">
        <v>362</v>
      </c>
      <c r="BX4315">
        <v>70</v>
      </c>
      <c r="BY4315">
        <v>0</v>
      </c>
      <c r="BZ4315">
        <v>0</v>
      </c>
    </row>
    <row r="4316" spans="1:78" x14ac:dyDescent="0.2">
      <c r="A4316" t="s">
        <v>112</v>
      </c>
      <c r="B4316" t="s">
        <v>113</v>
      </c>
      <c r="C4316" t="s">
        <v>114</v>
      </c>
      <c r="D4316" t="s">
        <v>2066</v>
      </c>
      <c r="F4316" t="str">
        <f>"251365"</f>
        <v>251365</v>
      </c>
      <c r="G4316" t="s">
        <v>49</v>
      </c>
      <c r="K4316" t="s">
        <v>51</v>
      </c>
      <c r="L4316" t="s">
        <v>52</v>
      </c>
      <c r="M4316">
        <v>136819.14000000001</v>
      </c>
      <c r="N4316">
        <v>474150.29</v>
      </c>
      <c r="O4316" t="s">
        <v>53</v>
      </c>
      <c r="P4316" t="s">
        <v>54</v>
      </c>
      <c r="Q4316" t="s">
        <v>55</v>
      </c>
      <c r="T4316" t="s">
        <v>1076</v>
      </c>
      <c r="U4316">
        <v>30</v>
      </c>
      <c r="V4316" s="1">
        <v>39448</v>
      </c>
      <c r="W4316" s="1">
        <v>39448</v>
      </c>
      <c r="X4316" s="1">
        <v>39448</v>
      </c>
      <c r="Y4316" s="1">
        <v>50406</v>
      </c>
      <c r="Z4316" t="s">
        <v>51</v>
      </c>
      <c r="AB4316" t="s">
        <v>54</v>
      </c>
      <c r="AC4316">
        <v>1</v>
      </c>
      <c r="AE4316" t="s">
        <v>934</v>
      </c>
      <c r="AF4316">
        <v>20</v>
      </c>
      <c r="AG4316" s="1">
        <v>39448</v>
      </c>
      <c r="AH4316" s="1">
        <v>39448</v>
      </c>
      <c r="AI4316" s="1">
        <v>39448</v>
      </c>
      <c r="AJ4316" s="1">
        <v>46753</v>
      </c>
      <c r="AK4316" t="s">
        <v>51</v>
      </c>
      <c r="AN4316">
        <v>0</v>
      </c>
      <c r="AO4316" t="s">
        <v>54</v>
      </c>
      <c r="AP4316" t="s">
        <v>53</v>
      </c>
      <c r="AQ4316">
        <v>0</v>
      </c>
      <c r="AR4316" t="s">
        <v>53</v>
      </c>
      <c r="AS4316">
        <v>0</v>
      </c>
      <c r="AT4316">
        <v>0</v>
      </c>
      <c r="AW4316" t="s">
        <v>161</v>
      </c>
      <c r="AX4316">
        <v>50</v>
      </c>
      <c r="AY4316" s="1">
        <v>39448</v>
      </c>
      <c r="AZ4316" s="1">
        <v>39448</v>
      </c>
      <c r="BA4316" s="1">
        <v>39448</v>
      </c>
      <c r="BB4316" s="1">
        <v>57711</v>
      </c>
      <c r="BC4316" t="s">
        <v>51</v>
      </c>
      <c r="BE4316" t="s">
        <v>54</v>
      </c>
      <c r="BF4316">
        <v>0</v>
      </c>
      <c r="BG4316">
        <v>0</v>
      </c>
      <c r="BH4316" t="s">
        <v>53</v>
      </c>
      <c r="BK4316" t="s">
        <v>2087</v>
      </c>
      <c r="BL4316">
        <v>0</v>
      </c>
      <c r="BM4316" s="1">
        <v>44334</v>
      </c>
      <c r="BN4316" s="1">
        <v>44334</v>
      </c>
      <c r="BO4316" s="1">
        <v>44334</v>
      </c>
      <c r="BQ4316" t="s">
        <v>51</v>
      </c>
      <c r="BS4316" t="s">
        <v>60</v>
      </c>
      <c r="BT4316" t="s">
        <v>54</v>
      </c>
      <c r="BU4316" t="s">
        <v>362</v>
      </c>
      <c r="BX4316">
        <v>70</v>
      </c>
      <c r="BY4316">
        <v>0</v>
      </c>
      <c r="BZ4316">
        <v>0</v>
      </c>
    </row>
    <row r="4317" spans="1:78" x14ac:dyDescent="0.2">
      <c r="A4317" t="s">
        <v>112</v>
      </c>
      <c r="B4317" t="s">
        <v>113</v>
      </c>
      <c r="C4317" t="s">
        <v>114</v>
      </c>
      <c r="D4317" t="s">
        <v>2066</v>
      </c>
      <c r="F4317" t="str">
        <f>"251366"</f>
        <v>251366</v>
      </c>
      <c r="G4317" t="s">
        <v>49</v>
      </c>
      <c r="K4317" t="s">
        <v>51</v>
      </c>
      <c r="L4317" t="s">
        <v>52</v>
      </c>
      <c r="M4317">
        <v>136811.87299999999</v>
      </c>
      <c r="N4317">
        <v>474172.42</v>
      </c>
      <c r="O4317" t="s">
        <v>53</v>
      </c>
      <c r="P4317" t="s">
        <v>54</v>
      </c>
      <c r="Q4317" t="s">
        <v>55</v>
      </c>
      <c r="T4317" t="s">
        <v>1076</v>
      </c>
      <c r="U4317">
        <v>30</v>
      </c>
      <c r="V4317" s="1">
        <v>39448</v>
      </c>
      <c r="W4317" s="1">
        <v>39448</v>
      </c>
      <c r="X4317" s="1">
        <v>39448</v>
      </c>
      <c r="Y4317" s="1">
        <v>50406</v>
      </c>
      <c r="Z4317" t="s">
        <v>51</v>
      </c>
      <c r="AB4317" t="s">
        <v>54</v>
      </c>
      <c r="AC4317">
        <v>1</v>
      </c>
      <c r="AE4317" t="s">
        <v>934</v>
      </c>
      <c r="AF4317">
        <v>20</v>
      </c>
      <c r="AG4317" s="1">
        <v>39448</v>
      </c>
      <c r="AH4317" s="1">
        <v>39448</v>
      </c>
      <c r="AI4317" s="1">
        <v>39448</v>
      </c>
      <c r="AJ4317" s="1">
        <v>46753</v>
      </c>
      <c r="AK4317" t="s">
        <v>51</v>
      </c>
      <c r="AN4317">
        <v>0</v>
      </c>
      <c r="AO4317" t="s">
        <v>54</v>
      </c>
      <c r="AP4317" t="s">
        <v>53</v>
      </c>
      <c r="AQ4317">
        <v>0</v>
      </c>
      <c r="AR4317" t="s">
        <v>53</v>
      </c>
      <c r="AS4317">
        <v>0</v>
      </c>
      <c r="AT4317">
        <v>0</v>
      </c>
      <c r="AW4317" t="s">
        <v>161</v>
      </c>
      <c r="AX4317">
        <v>50</v>
      </c>
      <c r="AY4317" s="1">
        <v>39448</v>
      </c>
      <c r="AZ4317" s="1">
        <v>39448</v>
      </c>
      <c r="BA4317" s="1">
        <v>39448</v>
      </c>
      <c r="BB4317" s="1">
        <v>57711</v>
      </c>
      <c r="BC4317" t="s">
        <v>51</v>
      </c>
      <c r="BE4317" t="s">
        <v>54</v>
      </c>
      <c r="BF4317">
        <v>0</v>
      </c>
      <c r="BG4317">
        <v>0</v>
      </c>
      <c r="BH4317" t="s">
        <v>53</v>
      </c>
      <c r="BK4317" t="s">
        <v>2087</v>
      </c>
      <c r="BL4317">
        <v>0</v>
      </c>
      <c r="BM4317" s="1">
        <v>44334</v>
      </c>
      <c r="BN4317" s="1">
        <v>44334</v>
      </c>
      <c r="BO4317" s="1">
        <v>44334</v>
      </c>
      <c r="BQ4317" t="s">
        <v>51</v>
      </c>
      <c r="BS4317" t="s">
        <v>60</v>
      </c>
      <c r="BT4317" t="s">
        <v>54</v>
      </c>
      <c r="BU4317" t="s">
        <v>362</v>
      </c>
      <c r="BX4317">
        <v>70</v>
      </c>
      <c r="BY4317">
        <v>0</v>
      </c>
      <c r="BZ4317">
        <v>0</v>
      </c>
    </row>
    <row r="4318" spans="1:78" x14ac:dyDescent="0.2">
      <c r="A4318" t="s">
        <v>112</v>
      </c>
      <c r="B4318" t="s">
        <v>113</v>
      </c>
      <c r="C4318" t="s">
        <v>114</v>
      </c>
      <c r="D4318" t="s">
        <v>2066</v>
      </c>
      <c r="F4318" t="str">
        <f>"251367"</f>
        <v>251367</v>
      </c>
      <c r="G4318" t="s">
        <v>49</v>
      </c>
      <c r="H4318" t="s">
        <v>538</v>
      </c>
      <c r="K4318" t="s">
        <v>51</v>
      </c>
      <c r="L4318" t="s">
        <v>52</v>
      </c>
      <c r="M4318">
        <v>136818.32999999999</v>
      </c>
      <c r="N4318">
        <v>474194.49</v>
      </c>
      <c r="O4318" t="s">
        <v>53</v>
      </c>
      <c r="P4318" t="s">
        <v>54</v>
      </c>
      <c r="Q4318" t="s">
        <v>55</v>
      </c>
      <c r="T4318" t="s">
        <v>1076</v>
      </c>
      <c r="U4318">
        <v>30</v>
      </c>
      <c r="V4318" s="1">
        <v>39448</v>
      </c>
      <c r="W4318" s="1">
        <v>39448</v>
      </c>
      <c r="X4318" s="1">
        <v>39448</v>
      </c>
      <c r="Y4318" s="1">
        <v>50406</v>
      </c>
      <c r="Z4318" t="s">
        <v>51</v>
      </c>
      <c r="AB4318" t="s">
        <v>54</v>
      </c>
      <c r="AC4318">
        <v>1</v>
      </c>
      <c r="AE4318" t="s">
        <v>934</v>
      </c>
      <c r="AF4318">
        <v>20</v>
      </c>
      <c r="AG4318" s="1">
        <v>39448</v>
      </c>
      <c r="AH4318" s="1">
        <v>39448</v>
      </c>
      <c r="AI4318" s="1">
        <v>39448</v>
      </c>
      <c r="AJ4318" s="1">
        <v>46753</v>
      </c>
      <c r="AK4318" t="s">
        <v>51</v>
      </c>
      <c r="AN4318">
        <v>0</v>
      </c>
      <c r="AO4318" t="s">
        <v>54</v>
      </c>
      <c r="AP4318" t="s">
        <v>53</v>
      </c>
      <c r="AQ4318">
        <v>0</v>
      </c>
      <c r="AR4318" t="s">
        <v>53</v>
      </c>
      <c r="AS4318">
        <v>0</v>
      </c>
      <c r="AT4318">
        <v>0</v>
      </c>
      <c r="AW4318" t="s">
        <v>161</v>
      </c>
      <c r="AX4318">
        <v>50</v>
      </c>
      <c r="AY4318" s="1">
        <v>39448</v>
      </c>
      <c r="AZ4318" s="1">
        <v>39448</v>
      </c>
      <c r="BA4318" s="1">
        <v>39448</v>
      </c>
      <c r="BB4318" s="1">
        <v>57711</v>
      </c>
      <c r="BC4318" t="s">
        <v>51</v>
      </c>
      <c r="BE4318" t="s">
        <v>54</v>
      </c>
      <c r="BF4318">
        <v>0</v>
      </c>
      <c r="BG4318">
        <v>0</v>
      </c>
      <c r="BH4318" t="s">
        <v>53</v>
      </c>
      <c r="BK4318" t="s">
        <v>2087</v>
      </c>
      <c r="BL4318">
        <v>0</v>
      </c>
      <c r="BM4318" s="1">
        <v>44334</v>
      </c>
      <c r="BN4318" s="1">
        <v>44334</v>
      </c>
      <c r="BO4318" s="1">
        <v>44334</v>
      </c>
      <c r="BQ4318" t="s">
        <v>51</v>
      </c>
      <c r="BS4318" t="s">
        <v>60</v>
      </c>
      <c r="BT4318" t="s">
        <v>54</v>
      </c>
      <c r="BU4318" t="s">
        <v>362</v>
      </c>
      <c r="BX4318">
        <v>70</v>
      </c>
      <c r="BY4318">
        <v>0</v>
      </c>
      <c r="BZ4318">
        <v>0</v>
      </c>
    </row>
    <row r="4319" spans="1:78" x14ac:dyDescent="0.2">
      <c r="A4319" t="s">
        <v>112</v>
      </c>
      <c r="B4319" t="s">
        <v>113</v>
      </c>
      <c r="C4319" t="s">
        <v>114</v>
      </c>
      <c r="D4319" t="s">
        <v>2066</v>
      </c>
      <c r="F4319" t="str">
        <f>"251368"</f>
        <v>251368</v>
      </c>
      <c r="G4319" t="s">
        <v>49</v>
      </c>
      <c r="K4319" t="s">
        <v>51</v>
      </c>
      <c r="L4319" t="s">
        <v>52</v>
      </c>
      <c r="M4319">
        <v>136811.23000000001</v>
      </c>
      <c r="N4319">
        <v>474217.61</v>
      </c>
      <c r="O4319" t="s">
        <v>53</v>
      </c>
      <c r="P4319" t="s">
        <v>54</v>
      </c>
      <c r="Q4319" t="s">
        <v>55</v>
      </c>
      <c r="T4319" t="s">
        <v>269</v>
      </c>
      <c r="U4319">
        <v>40</v>
      </c>
      <c r="V4319" s="1">
        <v>39448</v>
      </c>
      <c r="W4319" s="1">
        <v>39448</v>
      </c>
      <c r="X4319" s="1">
        <v>39448</v>
      </c>
      <c r="Y4319" s="1">
        <v>54058</v>
      </c>
      <c r="Z4319" t="s">
        <v>51</v>
      </c>
      <c r="AB4319" t="s">
        <v>54</v>
      </c>
      <c r="AC4319">
        <v>1</v>
      </c>
      <c r="AE4319" t="s">
        <v>2085</v>
      </c>
      <c r="AF4319">
        <v>20</v>
      </c>
      <c r="AG4319" s="1">
        <v>39448</v>
      </c>
      <c r="AH4319" s="1">
        <v>39448</v>
      </c>
      <c r="AI4319" s="1">
        <v>39448</v>
      </c>
      <c r="AJ4319" s="1">
        <v>46753</v>
      </c>
      <c r="AK4319" t="s">
        <v>51</v>
      </c>
      <c r="AN4319">
        <v>0</v>
      </c>
      <c r="AO4319" t="s">
        <v>54</v>
      </c>
      <c r="AP4319" t="s">
        <v>53</v>
      </c>
      <c r="AQ4319">
        <v>0</v>
      </c>
      <c r="AR4319" t="s">
        <v>53</v>
      </c>
      <c r="AS4319">
        <v>0</v>
      </c>
      <c r="AT4319">
        <v>0</v>
      </c>
      <c r="AW4319" t="s">
        <v>58</v>
      </c>
      <c r="AX4319">
        <v>20</v>
      </c>
      <c r="AY4319" s="1">
        <v>39448</v>
      </c>
      <c r="AZ4319" s="1">
        <v>39448</v>
      </c>
      <c r="BA4319" s="1">
        <v>39448</v>
      </c>
      <c r="BB4319" s="1">
        <v>46753</v>
      </c>
      <c r="BC4319" t="s">
        <v>51</v>
      </c>
      <c r="BE4319" t="s">
        <v>54</v>
      </c>
      <c r="BF4319">
        <v>2</v>
      </c>
      <c r="BG4319">
        <v>0</v>
      </c>
      <c r="BH4319" t="s">
        <v>53</v>
      </c>
      <c r="BK4319" t="s">
        <v>59</v>
      </c>
      <c r="BL4319">
        <v>14000</v>
      </c>
      <c r="BM4319" s="1">
        <v>42917</v>
      </c>
      <c r="BN4319" s="1">
        <v>42917</v>
      </c>
      <c r="BO4319" s="1">
        <v>42917</v>
      </c>
      <c r="BP4319" s="1">
        <v>44117</v>
      </c>
      <c r="BQ4319" t="s">
        <v>51</v>
      </c>
      <c r="BS4319" t="s">
        <v>60</v>
      </c>
      <c r="BT4319" t="s">
        <v>54</v>
      </c>
      <c r="BU4319" t="s">
        <v>61</v>
      </c>
      <c r="BV4319" t="s">
        <v>62</v>
      </c>
      <c r="BX4319">
        <v>24</v>
      </c>
      <c r="BY4319">
        <v>0</v>
      </c>
      <c r="BZ4319">
        <v>0</v>
      </c>
    </row>
    <row r="4320" spans="1:78" x14ac:dyDescent="0.2">
      <c r="A4320" t="s">
        <v>112</v>
      </c>
      <c r="B4320" t="s">
        <v>113</v>
      </c>
      <c r="C4320" t="s">
        <v>114</v>
      </c>
      <c r="D4320" t="s">
        <v>2066</v>
      </c>
      <c r="F4320" t="str">
        <f>"251369"</f>
        <v>251369</v>
      </c>
      <c r="G4320" t="s">
        <v>49</v>
      </c>
      <c r="H4320" t="s">
        <v>2098</v>
      </c>
      <c r="K4320" t="s">
        <v>51</v>
      </c>
      <c r="L4320" t="s">
        <v>52</v>
      </c>
      <c r="M4320">
        <v>136810.81</v>
      </c>
      <c r="N4320">
        <v>474240.86</v>
      </c>
      <c r="O4320" t="s">
        <v>53</v>
      </c>
      <c r="P4320" t="s">
        <v>54</v>
      </c>
      <c r="Q4320" t="s">
        <v>55</v>
      </c>
      <c r="T4320" t="s">
        <v>269</v>
      </c>
      <c r="U4320">
        <v>40</v>
      </c>
      <c r="V4320" s="1">
        <v>39448</v>
      </c>
      <c r="W4320" s="1">
        <v>39448</v>
      </c>
      <c r="X4320" s="1">
        <v>39448</v>
      </c>
      <c r="Y4320" s="1">
        <v>54058</v>
      </c>
      <c r="Z4320" t="s">
        <v>51</v>
      </c>
      <c r="AB4320" t="s">
        <v>54</v>
      </c>
      <c r="AC4320">
        <v>1</v>
      </c>
      <c r="AE4320" t="s">
        <v>2085</v>
      </c>
      <c r="AF4320">
        <v>20</v>
      </c>
      <c r="AG4320" s="1">
        <v>39448</v>
      </c>
      <c r="AH4320" s="1">
        <v>39448</v>
      </c>
      <c r="AI4320" s="1">
        <v>39448</v>
      </c>
      <c r="AJ4320" s="1">
        <v>46753</v>
      </c>
      <c r="AK4320" t="s">
        <v>51</v>
      </c>
      <c r="AN4320">
        <v>0</v>
      </c>
      <c r="AO4320" t="s">
        <v>54</v>
      </c>
      <c r="AP4320" t="s">
        <v>53</v>
      </c>
      <c r="AQ4320">
        <v>0</v>
      </c>
      <c r="AR4320" t="s">
        <v>53</v>
      </c>
      <c r="AS4320">
        <v>0</v>
      </c>
      <c r="AT4320">
        <v>0</v>
      </c>
      <c r="AW4320" t="s">
        <v>58</v>
      </c>
      <c r="AX4320">
        <v>20</v>
      </c>
      <c r="AY4320" s="1">
        <v>39448</v>
      </c>
      <c r="AZ4320" s="1">
        <v>39448</v>
      </c>
      <c r="BA4320" s="1">
        <v>39448</v>
      </c>
      <c r="BB4320" s="1">
        <v>46753</v>
      </c>
      <c r="BC4320" t="s">
        <v>51</v>
      </c>
      <c r="BE4320" t="s">
        <v>54</v>
      </c>
      <c r="BF4320">
        <v>2</v>
      </c>
      <c r="BG4320">
        <v>0</v>
      </c>
      <c r="BH4320" t="s">
        <v>53</v>
      </c>
      <c r="BK4320" t="s">
        <v>59</v>
      </c>
      <c r="BL4320">
        <v>14000</v>
      </c>
      <c r="BM4320" s="1">
        <v>42917</v>
      </c>
      <c r="BN4320" s="1">
        <v>42917</v>
      </c>
      <c r="BO4320" s="1">
        <v>42917</v>
      </c>
      <c r="BP4320" s="1">
        <v>44117</v>
      </c>
      <c r="BQ4320" t="s">
        <v>51</v>
      </c>
      <c r="BS4320" t="s">
        <v>60</v>
      </c>
      <c r="BT4320" t="s">
        <v>54</v>
      </c>
      <c r="BU4320" t="s">
        <v>61</v>
      </c>
      <c r="BV4320" t="s">
        <v>62</v>
      </c>
      <c r="BX4320">
        <v>24</v>
      </c>
      <c r="BY4320">
        <v>0</v>
      </c>
      <c r="BZ4320">
        <v>0</v>
      </c>
    </row>
    <row r="4321" spans="1:78" x14ac:dyDescent="0.2">
      <c r="A4321" t="s">
        <v>112</v>
      </c>
      <c r="B4321" t="s">
        <v>113</v>
      </c>
      <c r="C4321" t="s">
        <v>114</v>
      </c>
      <c r="D4321" t="s">
        <v>2066</v>
      </c>
      <c r="F4321" t="str">
        <f>"251370"</f>
        <v>251370</v>
      </c>
      <c r="G4321" t="s">
        <v>49</v>
      </c>
      <c r="K4321" t="s">
        <v>51</v>
      </c>
      <c r="L4321" t="s">
        <v>52</v>
      </c>
      <c r="M4321">
        <v>136810.01999999999</v>
      </c>
      <c r="N4321">
        <v>474265.11</v>
      </c>
      <c r="O4321" t="s">
        <v>53</v>
      </c>
      <c r="P4321" t="s">
        <v>54</v>
      </c>
      <c r="Q4321" t="s">
        <v>55</v>
      </c>
      <c r="T4321" t="s">
        <v>269</v>
      </c>
      <c r="U4321">
        <v>40</v>
      </c>
      <c r="V4321" s="1">
        <v>39448</v>
      </c>
      <c r="W4321" s="1">
        <v>39448</v>
      </c>
      <c r="X4321" s="1">
        <v>39448</v>
      </c>
      <c r="Y4321" s="1">
        <v>54058</v>
      </c>
      <c r="Z4321" t="s">
        <v>51</v>
      </c>
      <c r="AB4321" t="s">
        <v>54</v>
      </c>
      <c r="AC4321">
        <v>1</v>
      </c>
      <c r="AE4321" t="s">
        <v>2085</v>
      </c>
      <c r="AF4321">
        <v>20</v>
      </c>
      <c r="AG4321" s="1">
        <v>39448</v>
      </c>
      <c r="AH4321" s="1">
        <v>39448</v>
      </c>
      <c r="AI4321" s="1">
        <v>39448</v>
      </c>
      <c r="AJ4321" s="1">
        <v>46753</v>
      </c>
      <c r="AK4321" t="s">
        <v>51</v>
      </c>
      <c r="AN4321">
        <v>0</v>
      </c>
      <c r="AO4321" t="s">
        <v>54</v>
      </c>
      <c r="AP4321" t="s">
        <v>53</v>
      </c>
      <c r="AQ4321">
        <v>0</v>
      </c>
      <c r="AR4321" t="s">
        <v>53</v>
      </c>
      <c r="AS4321">
        <v>0</v>
      </c>
      <c r="AT4321">
        <v>0</v>
      </c>
      <c r="AW4321" t="s">
        <v>58</v>
      </c>
      <c r="AX4321">
        <v>20</v>
      </c>
      <c r="AY4321" s="1">
        <v>39448</v>
      </c>
      <c r="AZ4321" s="1">
        <v>39448</v>
      </c>
      <c r="BA4321" s="1">
        <v>39448</v>
      </c>
      <c r="BB4321" s="1">
        <v>46753</v>
      </c>
      <c r="BC4321" t="s">
        <v>51</v>
      </c>
      <c r="BE4321" t="s">
        <v>54</v>
      </c>
      <c r="BF4321">
        <v>2</v>
      </c>
      <c r="BG4321">
        <v>0</v>
      </c>
      <c r="BH4321" t="s">
        <v>53</v>
      </c>
      <c r="BK4321" t="s">
        <v>59</v>
      </c>
      <c r="BL4321">
        <v>14000</v>
      </c>
      <c r="BM4321" s="1">
        <v>42917</v>
      </c>
      <c r="BN4321" s="1">
        <v>42917</v>
      </c>
      <c r="BO4321" s="1">
        <v>42917</v>
      </c>
      <c r="BP4321" s="1">
        <v>44117</v>
      </c>
      <c r="BQ4321" t="s">
        <v>51</v>
      </c>
      <c r="BS4321" t="s">
        <v>60</v>
      </c>
      <c r="BT4321" t="s">
        <v>54</v>
      </c>
      <c r="BU4321" t="s">
        <v>61</v>
      </c>
      <c r="BV4321" t="s">
        <v>62</v>
      </c>
      <c r="BX4321">
        <v>24</v>
      </c>
      <c r="BY4321">
        <v>0</v>
      </c>
      <c r="BZ4321">
        <v>0</v>
      </c>
    </row>
    <row r="4322" spans="1:78" x14ac:dyDescent="0.2">
      <c r="A4322" t="s">
        <v>112</v>
      </c>
      <c r="B4322" t="s">
        <v>113</v>
      </c>
      <c r="C4322" t="s">
        <v>114</v>
      </c>
      <c r="D4322" t="s">
        <v>2066</v>
      </c>
      <c r="F4322" t="str">
        <f>"254369"</f>
        <v>254369</v>
      </c>
      <c r="G4322" t="s">
        <v>49</v>
      </c>
      <c r="K4322" t="s">
        <v>51</v>
      </c>
      <c r="L4322" t="s">
        <v>52</v>
      </c>
      <c r="M4322">
        <v>136809.98800000001</v>
      </c>
      <c r="N4322">
        <v>474288.02</v>
      </c>
      <c r="O4322" t="s">
        <v>53</v>
      </c>
      <c r="P4322" t="s">
        <v>54</v>
      </c>
      <c r="Q4322" t="s">
        <v>55</v>
      </c>
      <c r="T4322" t="s">
        <v>269</v>
      </c>
      <c r="U4322">
        <v>40</v>
      </c>
      <c r="V4322" s="1">
        <v>39448</v>
      </c>
      <c r="W4322" s="1">
        <v>39448</v>
      </c>
      <c r="X4322" s="1">
        <v>39448</v>
      </c>
      <c r="Y4322" s="1">
        <v>54058</v>
      </c>
      <c r="Z4322" t="s">
        <v>51</v>
      </c>
      <c r="AB4322" t="s">
        <v>54</v>
      </c>
      <c r="AC4322">
        <v>1</v>
      </c>
      <c r="AE4322" t="s">
        <v>2085</v>
      </c>
      <c r="AF4322">
        <v>20</v>
      </c>
      <c r="AG4322" s="1">
        <v>39448</v>
      </c>
      <c r="AH4322" s="1">
        <v>39448</v>
      </c>
      <c r="AI4322" s="1">
        <v>39448</v>
      </c>
      <c r="AJ4322" s="1">
        <v>46753</v>
      </c>
      <c r="AK4322" t="s">
        <v>51</v>
      </c>
      <c r="AN4322">
        <v>0</v>
      </c>
      <c r="AO4322" t="s">
        <v>54</v>
      </c>
      <c r="AP4322" t="s">
        <v>53</v>
      </c>
      <c r="AQ4322">
        <v>0</v>
      </c>
      <c r="AR4322" t="s">
        <v>53</v>
      </c>
      <c r="AS4322">
        <v>0</v>
      </c>
      <c r="AT4322">
        <v>0</v>
      </c>
      <c r="AW4322" t="s">
        <v>58</v>
      </c>
      <c r="AX4322">
        <v>20</v>
      </c>
      <c r="AY4322" s="1">
        <v>39448</v>
      </c>
      <c r="AZ4322" s="1">
        <v>39448</v>
      </c>
      <c r="BA4322" s="1">
        <v>39448</v>
      </c>
      <c r="BB4322" s="1">
        <v>46753</v>
      </c>
      <c r="BC4322" t="s">
        <v>51</v>
      </c>
      <c r="BE4322" t="s">
        <v>54</v>
      </c>
      <c r="BF4322">
        <v>2</v>
      </c>
      <c r="BG4322">
        <v>0</v>
      </c>
      <c r="BH4322" t="s">
        <v>53</v>
      </c>
      <c r="BK4322" t="s">
        <v>59</v>
      </c>
      <c r="BL4322">
        <v>14000</v>
      </c>
      <c r="BM4322" s="1">
        <v>42917</v>
      </c>
      <c r="BN4322" s="1">
        <v>42917</v>
      </c>
      <c r="BO4322" s="1">
        <v>42917</v>
      </c>
      <c r="BP4322" s="1">
        <v>44117</v>
      </c>
      <c r="BQ4322" t="s">
        <v>51</v>
      </c>
      <c r="BS4322" t="s">
        <v>60</v>
      </c>
      <c r="BT4322" t="s">
        <v>54</v>
      </c>
      <c r="BU4322" t="s">
        <v>61</v>
      </c>
      <c r="BV4322" t="s">
        <v>62</v>
      </c>
      <c r="BX4322">
        <v>24</v>
      </c>
      <c r="BY4322">
        <v>0</v>
      </c>
      <c r="BZ4322">
        <v>0</v>
      </c>
    </row>
    <row r="4323" spans="1:78" x14ac:dyDescent="0.2">
      <c r="A4323" t="s">
        <v>112</v>
      </c>
      <c r="B4323" t="s">
        <v>113</v>
      </c>
      <c r="C4323" t="s">
        <v>114</v>
      </c>
      <c r="D4323" t="s">
        <v>2066</v>
      </c>
      <c r="F4323" t="str">
        <f>"251372"</f>
        <v>251372</v>
      </c>
      <c r="G4323" t="s">
        <v>49</v>
      </c>
      <c r="K4323" t="s">
        <v>51</v>
      </c>
      <c r="L4323" t="s">
        <v>52</v>
      </c>
      <c r="M4323">
        <v>136814.56</v>
      </c>
      <c r="N4323">
        <v>474310.62</v>
      </c>
      <c r="O4323" t="s">
        <v>53</v>
      </c>
      <c r="P4323" t="s">
        <v>54</v>
      </c>
      <c r="Q4323" t="s">
        <v>55</v>
      </c>
      <c r="T4323" t="s">
        <v>269</v>
      </c>
      <c r="U4323">
        <v>40</v>
      </c>
      <c r="V4323" s="1">
        <v>39448</v>
      </c>
      <c r="W4323" s="1">
        <v>39448</v>
      </c>
      <c r="X4323" s="1">
        <v>39448</v>
      </c>
      <c r="Y4323" s="1">
        <v>54058</v>
      </c>
      <c r="Z4323" t="s">
        <v>51</v>
      </c>
      <c r="AB4323" t="s">
        <v>54</v>
      </c>
      <c r="AC4323">
        <v>1</v>
      </c>
      <c r="AE4323" t="s">
        <v>1952</v>
      </c>
      <c r="AF4323">
        <v>20</v>
      </c>
      <c r="AG4323" s="1">
        <v>39448</v>
      </c>
      <c r="AH4323" s="1">
        <v>39448</v>
      </c>
      <c r="AI4323" s="1">
        <v>39448</v>
      </c>
      <c r="AJ4323" s="1">
        <v>46753</v>
      </c>
      <c r="AK4323" t="s">
        <v>51</v>
      </c>
      <c r="AN4323">
        <v>0</v>
      </c>
      <c r="AO4323" t="s">
        <v>54</v>
      </c>
      <c r="AP4323" t="s">
        <v>53</v>
      </c>
      <c r="AQ4323">
        <v>0</v>
      </c>
      <c r="AR4323" t="s">
        <v>53</v>
      </c>
      <c r="AS4323">
        <v>0</v>
      </c>
      <c r="AT4323">
        <v>0</v>
      </c>
      <c r="AW4323" t="s">
        <v>58</v>
      </c>
      <c r="AX4323">
        <v>20</v>
      </c>
      <c r="AY4323" s="1">
        <v>44082</v>
      </c>
      <c r="AZ4323" s="1">
        <v>44082</v>
      </c>
      <c r="BA4323" s="1">
        <v>44082</v>
      </c>
      <c r="BB4323" s="1">
        <v>51387</v>
      </c>
      <c r="BC4323" t="s">
        <v>51</v>
      </c>
      <c r="BE4323" t="s">
        <v>54</v>
      </c>
      <c r="BF4323">
        <v>2</v>
      </c>
      <c r="BG4323">
        <v>0</v>
      </c>
      <c r="BH4323" t="s">
        <v>53</v>
      </c>
      <c r="BK4323" t="s">
        <v>59</v>
      </c>
      <c r="BL4323">
        <v>14000</v>
      </c>
      <c r="BM4323" s="1">
        <v>44334</v>
      </c>
      <c r="BN4323" s="1">
        <v>44334</v>
      </c>
      <c r="BO4323" s="1">
        <v>44334</v>
      </c>
      <c r="BP4323" s="1">
        <v>45551</v>
      </c>
      <c r="BQ4323" t="s">
        <v>51</v>
      </c>
      <c r="BS4323" t="s">
        <v>60</v>
      </c>
      <c r="BT4323" t="s">
        <v>54</v>
      </c>
      <c r="BU4323" t="s">
        <v>61</v>
      </c>
      <c r="BV4323" t="s">
        <v>62</v>
      </c>
      <c r="BX4323">
        <v>24</v>
      </c>
      <c r="BY4323">
        <v>0</v>
      </c>
      <c r="BZ4323">
        <v>0</v>
      </c>
    </row>
    <row r="4324" spans="1:78" x14ac:dyDescent="0.2">
      <c r="A4324" t="s">
        <v>112</v>
      </c>
      <c r="B4324" t="s">
        <v>113</v>
      </c>
      <c r="C4324" t="s">
        <v>114</v>
      </c>
      <c r="D4324" t="s">
        <v>2066</v>
      </c>
      <c r="F4324" t="str">
        <f>"251373"</f>
        <v>251373</v>
      </c>
      <c r="G4324" t="s">
        <v>49</v>
      </c>
      <c r="K4324" t="s">
        <v>51</v>
      </c>
      <c r="L4324" t="s">
        <v>52</v>
      </c>
      <c r="M4324">
        <v>136828.25399999999</v>
      </c>
      <c r="N4324">
        <v>474329.89199999999</v>
      </c>
      <c r="O4324" t="s">
        <v>53</v>
      </c>
      <c r="P4324" t="s">
        <v>54</v>
      </c>
      <c r="Q4324" t="s">
        <v>55</v>
      </c>
      <c r="T4324" t="s">
        <v>269</v>
      </c>
      <c r="U4324">
        <v>40</v>
      </c>
      <c r="V4324" s="1">
        <v>39448</v>
      </c>
      <c r="W4324" s="1">
        <v>39448</v>
      </c>
      <c r="X4324" s="1">
        <v>39448</v>
      </c>
      <c r="Y4324" s="1">
        <v>54058</v>
      </c>
      <c r="Z4324" t="s">
        <v>51</v>
      </c>
      <c r="AB4324" t="s">
        <v>54</v>
      </c>
      <c r="AC4324">
        <v>1</v>
      </c>
      <c r="AE4324" t="s">
        <v>2085</v>
      </c>
      <c r="AF4324">
        <v>20</v>
      </c>
      <c r="AG4324" s="1">
        <v>39448</v>
      </c>
      <c r="AH4324" s="1">
        <v>39448</v>
      </c>
      <c r="AI4324" s="1">
        <v>39448</v>
      </c>
      <c r="AJ4324" s="1">
        <v>46753</v>
      </c>
      <c r="AK4324" t="s">
        <v>51</v>
      </c>
      <c r="AN4324">
        <v>0</v>
      </c>
      <c r="AO4324" t="s">
        <v>54</v>
      </c>
      <c r="AP4324" t="s">
        <v>53</v>
      </c>
      <c r="AQ4324">
        <v>0</v>
      </c>
      <c r="AR4324" t="s">
        <v>53</v>
      </c>
      <c r="AS4324">
        <v>0</v>
      </c>
      <c r="AT4324">
        <v>0</v>
      </c>
      <c r="AW4324" t="s">
        <v>58</v>
      </c>
      <c r="AX4324">
        <v>20</v>
      </c>
      <c r="AY4324" s="1">
        <v>39448</v>
      </c>
      <c r="AZ4324" s="1">
        <v>39448</v>
      </c>
      <c r="BA4324" s="1">
        <v>39448</v>
      </c>
      <c r="BB4324" s="1">
        <v>46753</v>
      </c>
      <c r="BC4324" t="s">
        <v>51</v>
      </c>
      <c r="BE4324" t="s">
        <v>54</v>
      </c>
      <c r="BF4324">
        <v>2</v>
      </c>
      <c r="BG4324">
        <v>0</v>
      </c>
      <c r="BH4324" t="s">
        <v>53</v>
      </c>
      <c r="BK4324" t="s">
        <v>59</v>
      </c>
      <c r="BL4324">
        <v>14000</v>
      </c>
      <c r="BM4324" s="1">
        <v>42917</v>
      </c>
      <c r="BN4324" s="1">
        <v>42917</v>
      </c>
      <c r="BO4324" s="1">
        <v>42917</v>
      </c>
      <c r="BP4324" s="1">
        <v>44117</v>
      </c>
      <c r="BQ4324" t="s">
        <v>51</v>
      </c>
      <c r="BS4324" t="s">
        <v>60</v>
      </c>
      <c r="BT4324" t="s">
        <v>54</v>
      </c>
      <c r="BU4324" t="s">
        <v>61</v>
      </c>
      <c r="BV4324" t="s">
        <v>62</v>
      </c>
      <c r="BX4324">
        <v>24</v>
      </c>
      <c r="BY4324">
        <v>0</v>
      </c>
      <c r="BZ4324">
        <v>0</v>
      </c>
    </row>
    <row r="4325" spans="1:78" x14ac:dyDescent="0.2">
      <c r="A4325" t="s">
        <v>112</v>
      </c>
      <c r="B4325" t="s">
        <v>113</v>
      </c>
      <c r="C4325" t="s">
        <v>114</v>
      </c>
      <c r="D4325" t="s">
        <v>2066</v>
      </c>
      <c r="F4325" t="str">
        <f>"251374"</f>
        <v>251374</v>
      </c>
      <c r="G4325" t="s">
        <v>49</v>
      </c>
      <c r="K4325" t="s">
        <v>51</v>
      </c>
      <c r="L4325" t="s">
        <v>52</v>
      </c>
      <c r="M4325">
        <v>136842.503</v>
      </c>
      <c r="N4325">
        <v>474345.81199999998</v>
      </c>
      <c r="O4325" t="s">
        <v>53</v>
      </c>
      <c r="P4325" t="s">
        <v>54</v>
      </c>
      <c r="Q4325" t="s">
        <v>55</v>
      </c>
      <c r="T4325" t="s">
        <v>269</v>
      </c>
      <c r="U4325">
        <v>40</v>
      </c>
      <c r="V4325" s="1">
        <v>39448</v>
      </c>
      <c r="W4325" s="1">
        <v>39448</v>
      </c>
      <c r="X4325" s="1">
        <v>39448</v>
      </c>
      <c r="Y4325" s="1">
        <v>54058</v>
      </c>
      <c r="Z4325" t="s">
        <v>51</v>
      </c>
      <c r="AB4325" t="s">
        <v>54</v>
      </c>
      <c r="AC4325">
        <v>1</v>
      </c>
      <c r="AE4325" t="s">
        <v>2085</v>
      </c>
      <c r="AF4325">
        <v>20</v>
      </c>
      <c r="AG4325" s="1">
        <v>39448</v>
      </c>
      <c r="AH4325" s="1">
        <v>39448</v>
      </c>
      <c r="AI4325" s="1">
        <v>39448</v>
      </c>
      <c r="AJ4325" s="1">
        <v>46753</v>
      </c>
      <c r="AK4325" t="s">
        <v>51</v>
      </c>
      <c r="AN4325">
        <v>0</v>
      </c>
      <c r="AO4325" t="s">
        <v>54</v>
      </c>
      <c r="AP4325" t="s">
        <v>53</v>
      </c>
      <c r="AQ4325">
        <v>0</v>
      </c>
      <c r="AR4325" t="s">
        <v>53</v>
      </c>
      <c r="AS4325">
        <v>0</v>
      </c>
      <c r="AT4325">
        <v>0</v>
      </c>
      <c r="AW4325" t="s">
        <v>58</v>
      </c>
      <c r="AX4325">
        <v>20</v>
      </c>
      <c r="AY4325" s="1">
        <v>39448</v>
      </c>
      <c r="AZ4325" s="1">
        <v>39448</v>
      </c>
      <c r="BA4325" s="1">
        <v>39448</v>
      </c>
      <c r="BB4325" s="1">
        <v>46753</v>
      </c>
      <c r="BC4325" t="s">
        <v>51</v>
      </c>
      <c r="BE4325" t="s">
        <v>54</v>
      </c>
      <c r="BF4325">
        <v>2</v>
      </c>
      <c r="BG4325">
        <v>0</v>
      </c>
      <c r="BH4325" t="s">
        <v>53</v>
      </c>
      <c r="BK4325" t="s">
        <v>59</v>
      </c>
      <c r="BL4325">
        <v>14000</v>
      </c>
      <c r="BM4325" s="1">
        <v>42917</v>
      </c>
      <c r="BN4325" s="1">
        <v>42917</v>
      </c>
      <c r="BO4325" s="1">
        <v>42917</v>
      </c>
      <c r="BP4325" s="1">
        <v>44117</v>
      </c>
      <c r="BQ4325" t="s">
        <v>51</v>
      </c>
      <c r="BS4325" t="s">
        <v>60</v>
      </c>
      <c r="BT4325" t="s">
        <v>54</v>
      </c>
      <c r="BU4325" t="s">
        <v>61</v>
      </c>
      <c r="BV4325" t="s">
        <v>62</v>
      </c>
      <c r="BX4325">
        <v>24</v>
      </c>
      <c r="BY4325">
        <v>0</v>
      </c>
      <c r="BZ4325">
        <v>0</v>
      </c>
    </row>
    <row r="4326" spans="1:78" x14ac:dyDescent="0.2">
      <c r="A4326" t="s">
        <v>112</v>
      </c>
      <c r="B4326" t="s">
        <v>113</v>
      </c>
      <c r="C4326" t="s">
        <v>114</v>
      </c>
      <c r="D4326" t="s">
        <v>2066</v>
      </c>
      <c r="F4326" t="str">
        <f>"251375"</f>
        <v>251375</v>
      </c>
      <c r="G4326" t="s">
        <v>49</v>
      </c>
      <c r="K4326" t="s">
        <v>51</v>
      </c>
      <c r="L4326" t="s">
        <v>52</v>
      </c>
      <c r="M4326">
        <v>136859.42199999999</v>
      </c>
      <c r="N4326">
        <v>474364.46600000001</v>
      </c>
      <c r="O4326" t="s">
        <v>53</v>
      </c>
      <c r="P4326" t="s">
        <v>54</v>
      </c>
      <c r="Q4326" t="s">
        <v>55</v>
      </c>
      <c r="T4326" t="s">
        <v>269</v>
      </c>
      <c r="U4326">
        <v>40</v>
      </c>
      <c r="V4326" s="1">
        <v>39448</v>
      </c>
      <c r="W4326" s="1">
        <v>39448</v>
      </c>
      <c r="X4326" s="1">
        <v>39448</v>
      </c>
      <c r="Y4326" s="1">
        <v>54058</v>
      </c>
      <c r="Z4326" t="s">
        <v>51</v>
      </c>
      <c r="AB4326" t="s">
        <v>54</v>
      </c>
      <c r="AC4326">
        <v>1</v>
      </c>
      <c r="AE4326" t="s">
        <v>2085</v>
      </c>
      <c r="AF4326">
        <v>20</v>
      </c>
      <c r="AG4326" s="1">
        <v>39448</v>
      </c>
      <c r="AH4326" s="1">
        <v>39448</v>
      </c>
      <c r="AI4326" s="1">
        <v>39448</v>
      </c>
      <c r="AJ4326" s="1">
        <v>46753</v>
      </c>
      <c r="AK4326" t="s">
        <v>51</v>
      </c>
      <c r="AN4326">
        <v>0</v>
      </c>
      <c r="AO4326" t="s">
        <v>54</v>
      </c>
      <c r="AP4326" t="s">
        <v>53</v>
      </c>
      <c r="AQ4326">
        <v>0</v>
      </c>
      <c r="AR4326" t="s">
        <v>53</v>
      </c>
      <c r="AS4326">
        <v>0</v>
      </c>
      <c r="AT4326">
        <v>0</v>
      </c>
      <c r="AW4326" t="s">
        <v>58</v>
      </c>
      <c r="AX4326">
        <v>20</v>
      </c>
      <c r="AY4326" s="1">
        <v>39448</v>
      </c>
      <c r="AZ4326" s="1">
        <v>39448</v>
      </c>
      <c r="BA4326" s="1">
        <v>39448</v>
      </c>
      <c r="BB4326" s="1">
        <v>46753</v>
      </c>
      <c r="BC4326" t="s">
        <v>51</v>
      </c>
      <c r="BE4326" t="s">
        <v>54</v>
      </c>
      <c r="BF4326">
        <v>2</v>
      </c>
      <c r="BG4326">
        <v>0</v>
      </c>
      <c r="BH4326" t="s">
        <v>53</v>
      </c>
      <c r="BK4326" t="s">
        <v>59</v>
      </c>
      <c r="BL4326">
        <v>14000</v>
      </c>
      <c r="BM4326" s="1">
        <v>42917</v>
      </c>
      <c r="BN4326" s="1">
        <v>42917</v>
      </c>
      <c r="BO4326" s="1">
        <v>42917</v>
      </c>
      <c r="BP4326" s="1">
        <v>44117</v>
      </c>
      <c r="BQ4326" t="s">
        <v>51</v>
      </c>
      <c r="BS4326" t="s">
        <v>60</v>
      </c>
      <c r="BT4326" t="s">
        <v>54</v>
      </c>
      <c r="BU4326" t="s">
        <v>61</v>
      </c>
      <c r="BV4326" t="s">
        <v>62</v>
      </c>
      <c r="BX4326">
        <v>24</v>
      </c>
      <c r="BY4326">
        <v>0</v>
      </c>
      <c r="BZ4326">
        <v>0</v>
      </c>
    </row>
    <row r="4327" spans="1:78" x14ac:dyDescent="0.2">
      <c r="A4327" t="s">
        <v>112</v>
      </c>
      <c r="B4327" t="s">
        <v>113</v>
      </c>
      <c r="C4327" t="s">
        <v>114</v>
      </c>
      <c r="D4327" t="s">
        <v>2066</v>
      </c>
      <c r="F4327" t="str">
        <f>"251376"</f>
        <v>251376</v>
      </c>
      <c r="G4327" t="s">
        <v>49</v>
      </c>
      <c r="K4327" t="s">
        <v>51</v>
      </c>
      <c r="L4327" t="s">
        <v>52</v>
      </c>
      <c r="M4327">
        <v>136874.462</v>
      </c>
      <c r="N4327">
        <v>474381.18599999999</v>
      </c>
      <c r="O4327" t="s">
        <v>53</v>
      </c>
      <c r="P4327" t="s">
        <v>54</v>
      </c>
      <c r="Q4327" t="s">
        <v>55</v>
      </c>
      <c r="T4327" t="s">
        <v>269</v>
      </c>
      <c r="U4327">
        <v>40</v>
      </c>
      <c r="V4327" s="1">
        <v>39448</v>
      </c>
      <c r="W4327" s="1">
        <v>39448</v>
      </c>
      <c r="X4327" s="1">
        <v>39448</v>
      </c>
      <c r="Y4327" s="1">
        <v>54058</v>
      </c>
      <c r="Z4327" t="s">
        <v>51</v>
      </c>
      <c r="AB4327" t="s">
        <v>54</v>
      </c>
      <c r="AC4327">
        <v>1</v>
      </c>
      <c r="AE4327" t="s">
        <v>2085</v>
      </c>
      <c r="AF4327">
        <v>20</v>
      </c>
      <c r="AG4327" s="1">
        <v>39448</v>
      </c>
      <c r="AH4327" s="1">
        <v>39448</v>
      </c>
      <c r="AI4327" s="1">
        <v>39448</v>
      </c>
      <c r="AJ4327" s="1">
        <v>46753</v>
      </c>
      <c r="AK4327" t="s">
        <v>51</v>
      </c>
      <c r="AN4327">
        <v>0</v>
      </c>
      <c r="AO4327" t="s">
        <v>54</v>
      </c>
      <c r="AP4327" t="s">
        <v>53</v>
      </c>
      <c r="AQ4327">
        <v>0</v>
      </c>
      <c r="AR4327" t="s">
        <v>53</v>
      </c>
      <c r="AS4327">
        <v>0</v>
      </c>
      <c r="AT4327">
        <v>0</v>
      </c>
      <c r="AW4327" t="s">
        <v>58</v>
      </c>
      <c r="AX4327">
        <v>20</v>
      </c>
      <c r="AY4327" s="1">
        <v>39448</v>
      </c>
      <c r="AZ4327" s="1">
        <v>39448</v>
      </c>
      <c r="BA4327" s="1">
        <v>39448</v>
      </c>
      <c r="BB4327" s="1">
        <v>46753</v>
      </c>
      <c r="BC4327" t="s">
        <v>51</v>
      </c>
      <c r="BE4327" t="s">
        <v>54</v>
      </c>
      <c r="BF4327">
        <v>2</v>
      </c>
      <c r="BG4327">
        <v>0</v>
      </c>
      <c r="BH4327" t="s">
        <v>53</v>
      </c>
      <c r="BI4327">
        <v>1</v>
      </c>
      <c r="BK4327" t="s">
        <v>59</v>
      </c>
      <c r="BL4327">
        <v>14000</v>
      </c>
      <c r="BM4327" s="1">
        <v>42917</v>
      </c>
      <c r="BN4327" s="1">
        <v>42917</v>
      </c>
      <c r="BO4327" s="1">
        <v>42917</v>
      </c>
      <c r="BP4327" s="1">
        <v>44117</v>
      </c>
      <c r="BQ4327" t="s">
        <v>51</v>
      </c>
      <c r="BS4327" t="s">
        <v>60</v>
      </c>
      <c r="BT4327" t="s">
        <v>54</v>
      </c>
      <c r="BU4327" t="s">
        <v>61</v>
      </c>
      <c r="BV4327" t="s">
        <v>62</v>
      </c>
      <c r="BX4327">
        <v>24</v>
      </c>
      <c r="BY4327">
        <v>0</v>
      </c>
      <c r="BZ4327">
        <v>0</v>
      </c>
    </row>
    <row r="4328" spans="1:78" x14ac:dyDescent="0.2">
      <c r="A4328" t="s">
        <v>112</v>
      </c>
      <c r="B4328" t="s">
        <v>113</v>
      </c>
      <c r="C4328" t="s">
        <v>114</v>
      </c>
      <c r="D4328" t="s">
        <v>2066</v>
      </c>
      <c r="F4328" t="str">
        <f>"251377"</f>
        <v>251377</v>
      </c>
      <c r="G4328" t="s">
        <v>49</v>
      </c>
      <c r="K4328" t="s">
        <v>51</v>
      </c>
      <c r="L4328" t="s">
        <v>52</v>
      </c>
      <c r="M4328">
        <v>136886.753</v>
      </c>
      <c r="N4328">
        <v>474394.45699999999</v>
      </c>
      <c r="O4328" t="s">
        <v>53</v>
      </c>
      <c r="P4328" t="s">
        <v>54</v>
      </c>
      <c r="Q4328" t="s">
        <v>55</v>
      </c>
      <c r="T4328" t="s">
        <v>269</v>
      </c>
      <c r="U4328">
        <v>40</v>
      </c>
      <c r="V4328" s="1">
        <v>39448</v>
      </c>
      <c r="W4328" s="1">
        <v>39448</v>
      </c>
      <c r="X4328" s="1">
        <v>39448</v>
      </c>
      <c r="Y4328" s="1">
        <v>54058</v>
      </c>
      <c r="Z4328" t="s">
        <v>51</v>
      </c>
      <c r="AB4328" t="s">
        <v>54</v>
      </c>
      <c r="AC4328">
        <v>1</v>
      </c>
      <c r="AE4328" t="s">
        <v>2085</v>
      </c>
      <c r="AF4328">
        <v>20</v>
      </c>
      <c r="AG4328" s="1">
        <v>39448</v>
      </c>
      <c r="AH4328" s="1">
        <v>39448</v>
      </c>
      <c r="AI4328" s="1">
        <v>39448</v>
      </c>
      <c r="AJ4328" s="1">
        <v>46753</v>
      </c>
      <c r="AK4328" t="s">
        <v>51</v>
      </c>
      <c r="AN4328">
        <v>0</v>
      </c>
      <c r="AO4328" t="s">
        <v>54</v>
      </c>
      <c r="AP4328" t="s">
        <v>53</v>
      </c>
      <c r="AQ4328">
        <v>0</v>
      </c>
      <c r="AR4328" t="s">
        <v>53</v>
      </c>
      <c r="AS4328">
        <v>0</v>
      </c>
      <c r="AT4328">
        <v>0</v>
      </c>
      <c r="AW4328" t="s">
        <v>58</v>
      </c>
      <c r="AX4328">
        <v>20</v>
      </c>
      <c r="AY4328" s="1">
        <v>39448</v>
      </c>
      <c r="AZ4328" s="1">
        <v>39448</v>
      </c>
      <c r="BA4328" s="1">
        <v>39448</v>
      </c>
      <c r="BB4328" s="1">
        <v>46753</v>
      </c>
      <c r="BC4328" t="s">
        <v>51</v>
      </c>
      <c r="BE4328" t="s">
        <v>54</v>
      </c>
      <c r="BF4328">
        <v>2</v>
      </c>
      <c r="BG4328">
        <v>0</v>
      </c>
      <c r="BH4328" t="s">
        <v>53</v>
      </c>
      <c r="BK4328" t="s">
        <v>59</v>
      </c>
      <c r="BL4328">
        <v>14000</v>
      </c>
      <c r="BM4328" s="1">
        <v>42917</v>
      </c>
      <c r="BN4328" s="1">
        <v>42917</v>
      </c>
      <c r="BO4328" s="1">
        <v>42917</v>
      </c>
      <c r="BP4328" s="1">
        <v>44117</v>
      </c>
      <c r="BQ4328" t="s">
        <v>51</v>
      </c>
      <c r="BS4328" t="s">
        <v>60</v>
      </c>
      <c r="BT4328" t="s">
        <v>54</v>
      </c>
      <c r="BU4328" t="s">
        <v>61</v>
      </c>
      <c r="BV4328" t="s">
        <v>62</v>
      </c>
      <c r="BX4328">
        <v>24</v>
      </c>
      <c r="BY4328">
        <v>0</v>
      </c>
      <c r="BZ4328">
        <v>0</v>
      </c>
    </row>
    <row r="4329" spans="1:78" x14ac:dyDescent="0.2">
      <c r="A4329" t="s">
        <v>112</v>
      </c>
      <c r="B4329" t="s">
        <v>113</v>
      </c>
      <c r="C4329" t="s">
        <v>114</v>
      </c>
      <c r="D4329" t="s">
        <v>2066</v>
      </c>
      <c r="F4329" t="str">
        <f>"251378"</f>
        <v>251378</v>
      </c>
      <c r="G4329" t="s">
        <v>49</v>
      </c>
      <c r="K4329" t="s">
        <v>51</v>
      </c>
      <c r="L4329" t="s">
        <v>52</v>
      </c>
      <c r="M4329">
        <v>136906.20000000001</v>
      </c>
      <c r="N4329">
        <v>474416.55</v>
      </c>
      <c r="O4329" t="s">
        <v>53</v>
      </c>
      <c r="P4329" t="s">
        <v>54</v>
      </c>
      <c r="Q4329" t="s">
        <v>55</v>
      </c>
      <c r="T4329" t="s">
        <v>269</v>
      </c>
      <c r="U4329">
        <v>40</v>
      </c>
      <c r="V4329" s="1">
        <v>39448</v>
      </c>
      <c r="W4329" s="1">
        <v>39448</v>
      </c>
      <c r="X4329" s="1">
        <v>39448</v>
      </c>
      <c r="Y4329" s="1">
        <v>54058</v>
      </c>
      <c r="Z4329" t="s">
        <v>51</v>
      </c>
      <c r="AB4329" t="s">
        <v>54</v>
      </c>
      <c r="AC4329">
        <v>1</v>
      </c>
      <c r="AE4329" t="s">
        <v>2085</v>
      </c>
      <c r="AF4329">
        <v>20</v>
      </c>
      <c r="AG4329" s="1">
        <v>39448</v>
      </c>
      <c r="AH4329" s="1">
        <v>39448</v>
      </c>
      <c r="AI4329" s="1">
        <v>39448</v>
      </c>
      <c r="AJ4329" s="1">
        <v>46753</v>
      </c>
      <c r="AK4329" t="s">
        <v>51</v>
      </c>
      <c r="AN4329">
        <v>0</v>
      </c>
      <c r="AO4329" t="s">
        <v>54</v>
      </c>
      <c r="AP4329" t="s">
        <v>53</v>
      </c>
      <c r="AQ4329">
        <v>0</v>
      </c>
      <c r="AR4329" t="s">
        <v>53</v>
      </c>
      <c r="AS4329">
        <v>0</v>
      </c>
      <c r="AT4329">
        <v>0</v>
      </c>
      <c r="AW4329" t="s">
        <v>58</v>
      </c>
      <c r="AX4329">
        <v>20</v>
      </c>
      <c r="AY4329" s="1">
        <v>44480</v>
      </c>
      <c r="AZ4329" s="1">
        <v>44480</v>
      </c>
      <c r="BA4329" s="1">
        <v>44480</v>
      </c>
      <c r="BB4329" s="1">
        <v>51785</v>
      </c>
      <c r="BC4329" t="s">
        <v>51</v>
      </c>
      <c r="BE4329" t="s">
        <v>54</v>
      </c>
      <c r="BF4329">
        <v>2</v>
      </c>
      <c r="BG4329">
        <v>0</v>
      </c>
      <c r="BH4329" t="s">
        <v>53</v>
      </c>
      <c r="BI4329">
        <v>1</v>
      </c>
      <c r="BK4329" t="s">
        <v>59</v>
      </c>
      <c r="BL4329">
        <v>14000</v>
      </c>
      <c r="BM4329" s="1">
        <v>44480</v>
      </c>
      <c r="BN4329" s="1">
        <v>44480</v>
      </c>
      <c r="BO4329" s="1">
        <v>44480</v>
      </c>
      <c r="BP4329" s="1">
        <v>45643</v>
      </c>
      <c r="BQ4329" t="s">
        <v>51</v>
      </c>
      <c r="BS4329" t="s">
        <v>60</v>
      </c>
      <c r="BT4329" t="s">
        <v>54</v>
      </c>
      <c r="BU4329" t="s">
        <v>61</v>
      </c>
      <c r="BV4329" t="s">
        <v>62</v>
      </c>
      <c r="BX4329">
        <v>24</v>
      </c>
      <c r="BY4329">
        <v>0</v>
      </c>
      <c r="BZ4329">
        <v>0</v>
      </c>
    </row>
    <row r="4330" spans="1:78" x14ac:dyDescent="0.2">
      <c r="A4330" t="s">
        <v>112</v>
      </c>
      <c r="B4330" t="s">
        <v>113</v>
      </c>
      <c r="C4330" t="s">
        <v>114</v>
      </c>
      <c r="D4330" t="s">
        <v>2066</v>
      </c>
      <c r="F4330" t="str">
        <f>"251379"</f>
        <v>251379</v>
      </c>
      <c r="G4330" t="s">
        <v>49</v>
      </c>
      <c r="K4330" t="s">
        <v>51</v>
      </c>
      <c r="L4330" t="s">
        <v>52</v>
      </c>
      <c r="M4330">
        <v>136921.09</v>
      </c>
      <c r="N4330">
        <v>474433.7</v>
      </c>
      <c r="O4330" t="s">
        <v>53</v>
      </c>
      <c r="P4330" t="s">
        <v>54</v>
      </c>
      <c r="Q4330" t="s">
        <v>55</v>
      </c>
      <c r="T4330" t="s">
        <v>269</v>
      </c>
      <c r="U4330">
        <v>40</v>
      </c>
      <c r="V4330" s="1">
        <v>39448</v>
      </c>
      <c r="W4330" s="1">
        <v>39448</v>
      </c>
      <c r="X4330" s="1">
        <v>39448</v>
      </c>
      <c r="Y4330" s="1">
        <v>54058</v>
      </c>
      <c r="Z4330" t="s">
        <v>51</v>
      </c>
      <c r="AB4330" t="s">
        <v>54</v>
      </c>
      <c r="AC4330">
        <v>1</v>
      </c>
      <c r="AE4330" t="s">
        <v>2085</v>
      </c>
      <c r="AF4330">
        <v>20</v>
      </c>
      <c r="AG4330" s="1">
        <v>39448</v>
      </c>
      <c r="AH4330" s="1">
        <v>39448</v>
      </c>
      <c r="AI4330" s="1">
        <v>39448</v>
      </c>
      <c r="AJ4330" s="1">
        <v>46753</v>
      </c>
      <c r="AK4330" t="s">
        <v>51</v>
      </c>
      <c r="AN4330">
        <v>0</v>
      </c>
      <c r="AO4330" t="s">
        <v>54</v>
      </c>
      <c r="AP4330" t="s">
        <v>53</v>
      </c>
      <c r="AQ4330">
        <v>0</v>
      </c>
      <c r="AR4330" t="s">
        <v>53</v>
      </c>
      <c r="AS4330">
        <v>0</v>
      </c>
      <c r="AT4330">
        <v>0</v>
      </c>
      <c r="AW4330" t="s">
        <v>58</v>
      </c>
      <c r="AX4330">
        <v>20</v>
      </c>
      <c r="AY4330" s="1">
        <v>39448</v>
      </c>
      <c r="AZ4330" s="1">
        <v>39448</v>
      </c>
      <c r="BA4330" s="1">
        <v>39448</v>
      </c>
      <c r="BB4330" s="1">
        <v>46753</v>
      </c>
      <c r="BC4330" t="s">
        <v>51</v>
      </c>
      <c r="BE4330" t="s">
        <v>54</v>
      </c>
      <c r="BF4330">
        <v>2</v>
      </c>
      <c r="BG4330">
        <v>0</v>
      </c>
      <c r="BH4330" t="s">
        <v>53</v>
      </c>
      <c r="BI4330">
        <v>1</v>
      </c>
      <c r="BK4330" t="s">
        <v>59</v>
      </c>
      <c r="BL4330">
        <v>14000</v>
      </c>
      <c r="BM4330" s="1">
        <v>42917</v>
      </c>
      <c r="BN4330" s="1">
        <v>42917</v>
      </c>
      <c r="BO4330" s="1">
        <v>42917</v>
      </c>
      <c r="BP4330" s="1">
        <v>44117</v>
      </c>
      <c r="BQ4330" t="s">
        <v>51</v>
      </c>
      <c r="BS4330" t="s">
        <v>60</v>
      </c>
      <c r="BT4330" t="s">
        <v>54</v>
      </c>
      <c r="BU4330" t="s">
        <v>61</v>
      </c>
      <c r="BV4330" t="s">
        <v>62</v>
      </c>
      <c r="BX4330">
        <v>24</v>
      </c>
      <c r="BY4330">
        <v>0</v>
      </c>
      <c r="BZ4330">
        <v>0</v>
      </c>
    </row>
    <row r="4331" spans="1:78" x14ac:dyDescent="0.2">
      <c r="A4331" t="s">
        <v>112</v>
      </c>
      <c r="B4331" t="s">
        <v>113</v>
      </c>
      <c r="C4331" t="s">
        <v>114</v>
      </c>
      <c r="D4331" t="s">
        <v>2066</v>
      </c>
      <c r="F4331" t="str">
        <f>"251380"</f>
        <v>251380</v>
      </c>
      <c r="G4331" t="s">
        <v>49</v>
      </c>
      <c r="K4331" t="s">
        <v>51</v>
      </c>
      <c r="L4331" t="s">
        <v>52</v>
      </c>
      <c r="M4331">
        <v>136938.26</v>
      </c>
      <c r="N4331">
        <v>474452.16</v>
      </c>
      <c r="O4331" t="s">
        <v>53</v>
      </c>
      <c r="P4331" t="s">
        <v>54</v>
      </c>
      <c r="Q4331" t="s">
        <v>55</v>
      </c>
      <c r="T4331" t="s">
        <v>269</v>
      </c>
      <c r="U4331">
        <v>40</v>
      </c>
      <c r="V4331" s="1">
        <v>39448</v>
      </c>
      <c r="W4331" s="1">
        <v>39448</v>
      </c>
      <c r="X4331" s="1">
        <v>39448</v>
      </c>
      <c r="Y4331" s="1">
        <v>54058</v>
      </c>
      <c r="Z4331" t="s">
        <v>51</v>
      </c>
      <c r="AB4331" t="s">
        <v>54</v>
      </c>
      <c r="AC4331">
        <v>1</v>
      </c>
      <c r="AE4331" t="s">
        <v>2085</v>
      </c>
      <c r="AF4331">
        <v>20</v>
      </c>
      <c r="AG4331" s="1">
        <v>39448</v>
      </c>
      <c r="AH4331" s="1">
        <v>39448</v>
      </c>
      <c r="AI4331" s="1">
        <v>39448</v>
      </c>
      <c r="AJ4331" s="1">
        <v>46753</v>
      </c>
      <c r="AK4331" t="s">
        <v>51</v>
      </c>
      <c r="AN4331">
        <v>0</v>
      </c>
      <c r="AO4331" t="s">
        <v>54</v>
      </c>
      <c r="AP4331" t="s">
        <v>53</v>
      </c>
      <c r="AQ4331">
        <v>0</v>
      </c>
      <c r="AR4331" t="s">
        <v>53</v>
      </c>
      <c r="AS4331">
        <v>0</v>
      </c>
      <c r="AT4331">
        <v>0</v>
      </c>
      <c r="AW4331" t="s">
        <v>58</v>
      </c>
      <c r="AX4331">
        <v>20</v>
      </c>
      <c r="AY4331" s="1">
        <v>39448</v>
      </c>
      <c r="AZ4331" s="1">
        <v>39448</v>
      </c>
      <c r="BA4331" s="1">
        <v>39448</v>
      </c>
      <c r="BB4331" s="1">
        <v>46753</v>
      </c>
      <c r="BC4331" t="s">
        <v>51</v>
      </c>
      <c r="BE4331" t="s">
        <v>54</v>
      </c>
      <c r="BF4331">
        <v>2</v>
      </c>
      <c r="BG4331">
        <v>0</v>
      </c>
      <c r="BH4331" t="s">
        <v>53</v>
      </c>
      <c r="BI4331">
        <v>1</v>
      </c>
      <c r="BK4331" t="s">
        <v>59</v>
      </c>
      <c r="BL4331">
        <v>14000</v>
      </c>
      <c r="BM4331" s="1">
        <v>42917</v>
      </c>
      <c r="BN4331" s="1">
        <v>42917</v>
      </c>
      <c r="BO4331" s="1">
        <v>42917</v>
      </c>
      <c r="BP4331" s="1">
        <v>44117</v>
      </c>
      <c r="BQ4331" t="s">
        <v>51</v>
      </c>
      <c r="BS4331" t="s">
        <v>60</v>
      </c>
      <c r="BT4331" t="s">
        <v>54</v>
      </c>
      <c r="BU4331" t="s">
        <v>61</v>
      </c>
      <c r="BV4331" t="s">
        <v>62</v>
      </c>
      <c r="BX4331">
        <v>24</v>
      </c>
      <c r="BY4331">
        <v>0</v>
      </c>
      <c r="BZ4331">
        <v>0</v>
      </c>
    </row>
    <row r="4332" spans="1:78" x14ac:dyDescent="0.2">
      <c r="A4332" t="s">
        <v>112</v>
      </c>
      <c r="B4332" t="s">
        <v>113</v>
      </c>
      <c r="C4332" t="s">
        <v>114</v>
      </c>
      <c r="D4332" t="s">
        <v>2066</v>
      </c>
      <c r="F4332" t="str">
        <f>"251381"</f>
        <v>251381</v>
      </c>
      <c r="G4332" t="s">
        <v>49</v>
      </c>
      <c r="K4332" t="s">
        <v>51</v>
      </c>
      <c r="L4332" t="s">
        <v>52</v>
      </c>
      <c r="M4332">
        <v>136954.78599999999</v>
      </c>
      <c r="N4332">
        <v>474470.81400000001</v>
      </c>
      <c r="O4332" t="s">
        <v>53</v>
      </c>
      <c r="P4332" t="s">
        <v>54</v>
      </c>
      <c r="Q4332" t="s">
        <v>55</v>
      </c>
      <c r="T4332" t="s">
        <v>269</v>
      </c>
      <c r="U4332">
        <v>40</v>
      </c>
      <c r="V4332" s="1">
        <v>39448</v>
      </c>
      <c r="W4332" s="1">
        <v>39448</v>
      </c>
      <c r="X4332" s="1">
        <v>39448</v>
      </c>
      <c r="Y4332" s="1">
        <v>54058</v>
      </c>
      <c r="Z4332" t="s">
        <v>51</v>
      </c>
      <c r="AB4332" t="s">
        <v>54</v>
      </c>
      <c r="AC4332">
        <v>1</v>
      </c>
      <c r="AE4332" t="s">
        <v>2085</v>
      </c>
      <c r="AF4332">
        <v>20</v>
      </c>
      <c r="AG4332" s="1">
        <v>39448</v>
      </c>
      <c r="AH4332" s="1">
        <v>39448</v>
      </c>
      <c r="AI4332" s="1">
        <v>39448</v>
      </c>
      <c r="AJ4332" s="1">
        <v>46753</v>
      </c>
      <c r="AK4332" t="s">
        <v>51</v>
      </c>
      <c r="AN4332">
        <v>0</v>
      </c>
      <c r="AO4332" t="s">
        <v>54</v>
      </c>
      <c r="AP4332" t="s">
        <v>53</v>
      </c>
      <c r="AQ4332">
        <v>0</v>
      </c>
      <c r="AR4332" t="s">
        <v>53</v>
      </c>
      <c r="AS4332">
        <v>0</v>
      </c>
      <c r="AT4332">
        <v>0</v>
      </c>
      <c r="AW4332" t="s">
        <v>58</v>
      </c>
      <c r="AX4332">
        <v>20</v>
      </c>
      <c r="AY4332" s="1">
        <v>39448</v>
      </c>
      <c r="AZ4332" s="1">
        <v>39448</v>
      </c>
      <c r="BA4332" s="1">
        <v>39448</v>
      </c>
      <c r="BB4332" s="1">
        <v>46753</v>
      </c>
      <c r="BC4332" t="s">
        <v>51</v>
      </c>
      <c r="BE4332" t="s">
        <v>54</v>
      </c>
      <c r="BF4332">
        <v>2</v>
      </c>
      <c r="BG4332">
        <v>0</v>
      </c>
      <c r="BH4332" t="s">
        <v>53</v>
      </c>
      <c r="BI4332">
        <v>1</v>
      </c>
      <c r="BK4332" t="s">
        <v>59</v>
      </c>
      <c r="BL4332">
        <v>14000</v>
      </c>
      <c r="BM4332" s="1">
        <v>44574</v>
      </c>
      <c r="BN4332" s="1">
        <v>44574</v>
      </c>
      <c r="BO4332" s="1">
        <v>44574</v>
      </c>
      <c r="BP4332" s="1">
        <v>45743</v>
      </c>
      <c r="BQ4332" t="s">
        <v>51</v>
      </c>
      <c r="BS4332" t="s">
        <v>60</v>
      </c>
      <c r="BT4332" t="s">
        <v>54</v>
      </c>
      <c r="BU4332" t="s">
        <v>61</v>
      </c>
      <c r="BV4332" t="s">
        <v>62</v>
      </c>
      <c r="BX4332">
        <v>24</v>
      </c>
      <c r="BY4332">
        <v>0</v>
      </c>
      <c r="BZ4332">
        <v>0</v>
      </c>
    </row>
    <row r="4333" spans="1:78" x14ac:dyDescent="0.2">
      <c r="A4333" t="s">
        <v>112</v>
      </c>
      <c r="B4333" t="s">
        <v>113</v>
      </c>
      <c r="C4333" t="s">
        <v>114</v>
      </c>
      <c r="D4333" t="s">
        <v>2066</v>
      </c>
      <c r="F4333" t="str">
        <f>"251382"</f>
        <v>251382</v>
      </c>
      <c r="G4333" t="s">
        <v>49</v>
      </c>
      <c r="K4333" t="s">
        <v>51</v>
      </c>
      <c r="L4333" t="s">
        <v>52</v>
      </c>
      <c r="M4333">
        <v>136970.041</v>
      </c>
      <c r="N4333">
        <v>474487.73</v>
      </c>
      <c r="O4333" t="s">
        <v>53</v>
      </c>
      <c r="P4333" t="s">
        <v>54</v>
      </c>
      <c r="Q4333" t="s">
        <v>55</v>
      </c>
      <c r="T4333" t="s">
        <v>269</v>
      </c>
      <c r="U4333">
        <v>40</v>
      </c>
      <c r="V4333" s="1">
        <v>39448</v>
      </c>
      <c r="W4333" s="1">
        <v>39448</v>
      </c>
      <c r="X4333" s="1">
        <v>39448</v>
      </c>
      <c r="Y4333" s="1">
        <v>54058</v>
      </c>
      <c r="Z4333" t="s">
        <v>51</v>
      </c>
      <c r="AB4333" t="s">
        <v>54</v>
      </c>
      <c r="AC4333">
        <v>1</v>
      </c>
      <c r="AE4333" t="s">
        <v>2085</v>
      </c>
      <c r="AF4333">
        <v>20</v>
      </c>
      <c r="AG4333" s="1">
        <v>39448</v>
      </c>
      <c r="AH4333" s="1">
        <v>39448</v>
      </c>
      <c r="AI4333" s="1">
        <v>39448</v>
      </c>
      <c r="AJ4333" s="1">
        <v>46753</v>
      </c>
      <c r="AK4333" t="s">
        <v>51</v>
      </c>
      <c r="AN4333">
        <v>0</v>
      </c>
      <c r="AO4333" t="s">
        <v>54</v>
      </c>
      <c r="AP4333" t="s">
        <v>53</v>
      </c>
      <c r="AQ4333">
        <v>0</v>
      </c>
      <c r="AR4333" t="s">
        <v>53</v>
      </c>
      <c r="AS4333">
        <v>0</v>
      </c>
      <c r="AT4333">
        <v>0</v>
      </c>
      <c r="AW4333" t="s">
        <v>58</v>
      </c>
      <c r="AX4333">
        <v>20</v>
      </c>
      <c r="AY4333" s="1">
        <v>39448</v>
      </c>
      <c r="AZ4333" s="1">
        <v>39448</v>
      </c>
      <c r="BA4333" s="1">
        <v>39448</v>
      </c>
      <c r="BB4333" s="1">
        <v>46753</v>
      </c>
      <c r="BC4333" t="s">
        <v>51</v>
      </c>
      <c r="BE4333" t="s">
        <v>54</v>
      </c>
      <c r="BF4333">
        <v>2</v>
      </c>
      <c r="BG4333">
        <v>0</v>
      </c>
      <c r="BH4333" t="s">
        <v>53</v>
      </c>
      <c r="BI4333">
        <v>1</v>
      </c>
      <c r="BK4333" t="s">
        <v>59</v>
      </c>
      <c r="BL4333">
        <v>14000</v>
      </c>
      <c r="BM4333" s="1">
        <v>44574</v>
      </c>
      <c r="BN4333" s="1">
        <v>44574</v>
      </c>
      <c r="BO4333" s="1">
        <v>44574</v>
      </c>
      <c r="BP4333" s="1">
        <v>45743</v>
      </c>
      <c r="BQ4333" t="s">
        <v>51</v>
      </c>
      <c r="BS4333" t="s">
        <v>60</v>
      </c>
      <c r="BT4333" t="s">
        <v>54</v>
      </c>
      <c r="BU4333" t="s">
        <v>61</v>
      </c>
      <c r="BV4333" t="s">
        <v>62</v>
      </c>
      <c r="BX4333">
        <v>24</v>
      </c>
      <c r="BY4333">
        <v>0</v>
      </c>
      <c r="BZ4333">
        <v>0</v>
      </c>
    </row>
    <row r="4334" spans="1:78" x14ac:dyDescent="0.2">
      <c r="A4334" t="s">
        <v>112</v>
      </c>
      <c r="B4334" t="s">
        <v>113</v>
      </c>
      <c r="C4334" t="s">
        <v>114</v>
      </c>
      <c r="D4334" t="s">
        <v>2066</v>
      </c>
      <c r="F4334" t="str">
        <f>"251383"</f>
        <v>251383</v>
      </c>
      <c r="G4334" t="s">
        <v>49</v>
      </c>
      <c r="K4334" t="s">
        <v>51</v>
      </c>
      <c r="L4334" t="s">
        <v>52</v>
      </c>
      <c r="M4334">
        <v>136985.78</v>
      </c>
      <c r="N4334">
        <v>474506.91</v>
      </c>
      <c r="O4334" t="s">
        <v>53</v>
      </c>
      <c r="P4334" t="s">
        <v>54</v>
      </c>
      <c r="Q4334" t="s">
        <v>55</v>
      </c>
      <c r="T4334" t="s">
        <v>269</v>
      </c>
      <c r="U4334">
        <v>40</v>
      </c>
      <c r="V4334" s="1">
        <v>39448</v>
      </c>
      <c r="W4334" s="1">
        <v>39448</v>
      </c>
      <c r="X4334" s="1">
        <v>39448</v>
      </c>
      <c r="Y4334" s="1">
        <v>54058</v>
      </c>
      <c r="Z4334" t="s">
        <v>51</v>
      </c>
      <c r="AB4334" t="s">
        <v>54</v>
      </c>
      <c r="AC4334">
        <v>1</v>
      </c>
      <c r="AE4334" t="s">
        <v>2085</v>
      </c>
      <c r="AF4334">
        <v>20</v>
      </c>
      <c r="AG4334" s="1">
        <v>39448</v>
      </c>
      <c r="AH4334" s="1">
        <v>39448</v>
      </c>
      <c r="AI4334" s="1">
        <v>39448</v>
      </c>
      <c r="AJ4334" s="1">
        <v>46753</v>
      </c>
      <c r="AK4334" t="s">
        <v>51</v>
      </c>
      <c r="AN4334">
        <v>0</v>
      </c>
      <c r="AO4334" t="s">
        <v>54</v>
      </c>
      <c r="AP4334" t="s">
        <v>53</v>
      </c>
      <c r="AQ4334">
        <v>0</v>
      </c>
      <c r="AR4334" t="s">
        <v>53</v>
      </c>
      <c r="AS4334">
        <v>0</v>
      </c>
      <c r="AT4334">
        <v>0</v>
      </c>
      <c r="AW4334" t="s">
        <v>58</v>
      </c>
      <c r="AX4334">
        <v>20</v>
      </c>
      <c r="AY4334" s="1">
        <v>39448</v>
      </c>
      <c r="AZ4334" s="1">
        <v>39448</v>
      </c>
      <c r="BA4334" s="1">
        <v>39448</v>
      </c>
      <c r="BB4334" s="1">
        <v>46753</v>
      </c>
      <c r="BC4334" t="s">
        <v>51</v>
      </c>
      <c r="BE4334" t="s">
        <v>54</v>
      </c>
      <c r="BF4334">
        <v>2</v>
      </c>
      <c r="BG4334">
        <v>0</v>
      </c>
      <c r="BH4334" t="s">
        <v>53</v>
      </c>
      <c r="BI4334">
        <v>1</v>
      </c>
      <c r="BK4334" t="s">
        <v>59</v>
      </c>
      <c r="BL4334">
        <v>14000</v>
      </c>
      <c r="BM4334" s="1">
        <v>42917</v>
      </c>
      <c r="BN4334" s="1">
        <v>42917</v>
      </c>
      <c r="BO4334" s="1">
        <v>42917</v>
      </c>
      <c r="BP4334" s="1">
        <v>44117</v>
      </c>
      <c r="BQ4334" t="s">
        <v>51</v>
      </c>
      <c r="BS4334" t="s">
        <v>60</v>
      </c>
      <c r="BT4334" t="s">
        <v>54</v>
      </c>
      <c r="BU4334" t="s">
        <v>61</v>
      </c>
      <c r="BV4334" t="s">
        <v>62</v>
      </c>
      <c r="BX4334">
        <v>24</v>
      </c>
      <c r="BY4334">
        <v>0</v>
      </c>
      <c r="BZ4334">
        <v>0</v>
      </c>
    </row>
    <row r="4335" spans="1:78" x14ac:dyDescent="0.2">
      <c r="A4335" t="s">
        <v>112</v>
      </c>
      <c r="B4335" t="s">
        <v>113</v>
      </c>
      <c r="C4335" t="s">
        <v>114</v>
      </c>
      <c r="D4335" t="s">
        <v>2066</v>
      </c>
      <c r="F4335" t="str">
        <f>"251384"</f>
        <v>251384</v>
      </c>
      <c r="G4335" t="s">
        <v>49</v>
      </c>
      <c r="K4335" t="s">
        <v>51</v>
      </c>
      <c r="L4335" t="s">
        <v>52</v>
      </c>
      <c r="M4335">
        <v>136999.59</v>
      </c>
      <c r="N4335">
        <v>474522.75</v>
      </c>
      <c r="O4335" t="s">
        <v>53</v>
      </c>
      <c r="P4335" t="s">
        <v>54</v>
      </c>
      <c r="Q4335" t="s">
        <v>55</v>
      </c>
      <c r="T4335" t="s">
        <v>269</v>
      </c>
      <c r="U4335">
        <v>40</v>
      </c>
      <c r="V4335" s="1">
        <v>39448</v>
      </c>
      <c r="W4335" s="1">
        <v>39448</v>
      </c>
      <c r="X4335" s="1">
        <v>39448</v>
      </c>
      <c r="Y4335" s="1">
        <v>54058</v>
      </c>
      <c r="Z4335" t="s">
        <v>51</v>
      </c>
      <c r="AB4335" t="s">
        <v>54</v>
      </c>
      <c r="AC4335">
        <v>1</v>
      </c>
      <c r="AE4335" t="s">
        <v>2085</v>
      </c>
      <c r="AF4335">
        <v>20</v>
      </c>
      <c r="AG4335" s="1">
        <v>39448</v>
      </c>
      <c r="AH4335" s="1">
        <v>39448</v>
      </c>
      <c r="AI4335" s="1">
        <v>39448</v>
      </c>
      <c r="AJ4335" s="1">
        <v>46753</v>
      </c>
      <c r="AK4335" t="s">
        <v>51</v>
      </c>
      <c r="AN4335">
        <v>0</v>
      </c>
      <c r="AO4335" t="s">
        <v>54</v>
      </c>
      <c r="AP4335" t="s">
        <v>53</v>
      </c>
      <c r="AQ4335">
        <v>0</v>
      </c>
      <c r="AR4335" t="s">
        <v>53</v>
      </c>
      <c r="AS4335">
        <v>0</v>
      </c>
      <c r="AT4335">
        <v>0</v>
      </c>
      <c r="AW4335" t="s">
        <v>58</v>
      </c>
      <c r="AX4335">
        <v>20</v>
      </c>
      <c r="AY4335" s="1">
        <v>39448</v>
      </c>
      <c r="AZ4335" s="1">
        <v>39448</v>
      </c>
      <c r="BA4335" s="1">
        <v>39448</v>
      </c>
      <c r="BB4335" s="1">
        <v>46753</v>
      </c>
      <c r="BC4335" t="s">
        <v>51</v>
      </c>
      <c r="BE4335" t="s">
        <v>54</v>
      </c>
      <c r="BF4335">
        <v>2</v>
      </c>
      <c r="BG4335">
        <v>0</v>
      </c>
      <c r="BH4335" t="s">
        <v>53</v>
      </c>
      <c r="BI4335">
        <v>1</v>
      </c>
      <c r="BK4335" t="s">
        <v>59</v>
      </c>
      <c r="BL4335">
        <v>14000</v>
      </c>
      <c r="BM4335" s="1">
        <v>42917</v>
      </c>
      <c r="BN4335" s="1">
        <v>42917</v>
      </c>
      <c r="BO4335" s="1">
        <v>42917</v>
      </c>
      <c r="BP4335" s="1">
        <v>44117</v>
      </c>
      <c r="BQ4335" t="s">
        <v>51</v>
      </c>
      <c r="BS4335" t="s">
        <v>60</v>
      </c>
      <c r="BT4335" t="s">
        <v>54</v>
      </c>
      <c r="BU4335" t="s">
        <v>61</v>
      </c>
      <c r="BV4335" t="s">
        <v>62</v>
      </c>
      <c r="BX4335">
        <v>24</v>
      </c>
      <c r="BY4335">
        <v>0</v>
      </c>
      <c r="BZ4335">
        <v>0</v>
      </c>
    </row>
    <row r="4336" spans="1:78" x14ac:dyDescent="0.2">
      <c r="A4336" t="s">
        <v>112</v>
      </c>
      <c r="B4336" t="s">
        <v>113</v>
      </c>
      <c r="C4336" t="s">
        <v>114</v>
      </c>
      <c r="D4336" t="s">
        <v>2066</v>
      </c>
      <c r="F4336" t="str">
        <f>"254500"</f>
        <v>254500</v>
      </c>
      <c r="G4336" t="s">
        <v>49</v>
      </c>
      <c r="K4336" t="s">
        <v>51</v>
      </c>
      <c r="L4336" t="s">
        <v>52</v>
      </c>
      <c r="M4336">
        <v>137015.88</v>
      </c>
      <c r="N4336">
        <v>474540.57</v>
      </c>
      <c r="O4336" t="s">
        <v>53</v>
      </c>
      <c r="P4336" t="s">
        <v>54</v>
      </c>
      <c r="Q4336" t="s">
        <v>55</v>
      </c>
      <c r="T4336" t="s">
        <v>269</v>
      </c>
      <c r="U4336">
        <v>40</v>
      </c>
      <c r="V4336" s="1">
        <v>39448</v>
      </c>
      <c r="W4336" s="1">
        <v>39448</v>
      </c>
      <c r="X4336" s="1">
        <v>39448</v>
      </c>
      <c r="Y4336" s="1">
        <v>54058</v>
      </c>
      <c r="Z4336" t="s">
        <v>51</v>
      </c>
      <c r="AB4336" t="s">
        <v>54</v>
      </c>
      <c r="AC4336">
        <v>1</v>
      </c>
      <c r="AE4336" t="s">
        <v>1952</v>
      </c>
      <c r="AF4336">
        <v>20</v>
      </c>
      <c r="AG4336" s="1">
        <v>39448</v>
      </c>
      <c r="AH4336" s="1">
        <v>39448</v>
      </c>
      <c r="AI4336" s="1">
        <v>39448</v>
      </c>
      <c r="AJ4336" s="1">
        <v>46753</v>
      </c>
      <c r="AK4336" t="s">
        <v>51</v>
      </c>
      <c r="AN4336">
        <v>0</v>
      </c>
      <c r="AO4336" t="s">
        <v>54</v>
      </c>
      <c r="AP4336" t="s">
        <v>53</v>
      </c>
      <c r="AQ4336">
        <v>0</v>
      </c>
      <c r="AR4336" t="s">
        <v>53</v>
      </c>
      <c r="AS4336">
        <v>0</v>
      </c>
      <c r="AT4336">
        <v>0</v>
      </c>
      <c r="AW4336" t="s">
        <v>58</v>
      </c>
      <c r="AX4336">
        <v>20</v>
      </c>
      <c r="AY4336" s="1">
        <v>44480</v>
      </c>
      <c r="AZ4336" s="1">
        <v>44480</v>
      </c>
      <c r="BA4336" s="1">
        <v>44480</v>
      </c>
      <c r="BB4336" s="1">
        <v>51785</v>
      </c>
      <c r="BC4336" t="s">
        <v>51</v>
      </c>
      <c r="BE4336" t="s">
        <v>54</v>
      </c>
      <c r="BF4336">
        <v>2</v>
      </c>
      <c r="BG4336">
        <v>0</v>
      </c>
      <c r="BH4336" t="s">
        <v>53</v>
      </c>
      <c r="BK4336" t="s">
        <v>59</v>
      </c>
      <c r="BL4336">
        <v>14000</v>
      </c>
      <c r="BM4336" s="1">
        <v>44334</v>
      </c>
      <c r="BN4336" s="1">
        <v>44334</v>
      </c>
      <c r="BO4336" s="1">
        <v>44480</v>
      </c>
      <c r="BP4336" s="1">
        <v>45551</v>
      </c>
      <c r="BQ4336" t="s">
        <v>51</v>
      </c>
      <c r="BS4336" t="s">
        <v>60</v>
      </c>
      <c r="BT4336" t="s">
        <v>54</v>
      </c>
      <c r="BU4336" t="s">
        <v>61</v>
      </c>
      <c r="BV4336" t="s">
        <v>62</v>
      </c>
      <c r="BX4336">
        <v>24</v>
      </c>
      <c r="BY4336">
        <v>0</v>
      </c>
      <c r="BZ4336">
        <v>0</v>
      </c>
    </row>
    <row r="4337" spans="1:78" x14ac:dyDescent="0.2">
      <c r="A4337" t="s">
        <v>112</v>
      </c>
      <c r="B4337" t="s">
        <v>113</v>
      </c>
      <c r="C4337" t="s">
        <v>114</v>
      </c>
      <c r="D4337" t="s">
        <v>2066</v>
      </c>
      <c r="F4337" t="str">
        <f>"251386"</f>
        <v>251386</v>
      </c>
      <c r="G4337" t="s">
        <v>49</v>
      </c>
      <c r="K4337" t="s">
        <v>51</v>
      </c>
      <c r="L4337" t="s">
        <v>52</v>
      </c>
      <c r="M4337">
        <v>137032.44</v>
      </c>
      <c r="N4337">
        <v>474558.74</v>
      </c>
      <c r="O4337" t="s">
        <v>53</v>
      </c>
      <c r="P4337" t="s">
        <v>54</v>
      </c>
      <c r="Q4337" t="s">
        <v>55</v>
      </c>
      <c r="T4337" t="s">
        <v>269</v>
      </c>
      <c r="U4337">
        <v>40</v>
      </c>
      <c r="V4337" s="1">
        <v>39448</v>
      </c>
      <c r="W4337" s="1">
        <v>39448</v>
      </c>
      <c r="X4337" s="1">
        <v>39448</v>
      </c>
      <c r="Y4337" s="1">
        <v>54058</v>
      </c>
      <c r="Z4337" t="s">
        <v>51</v>
      </c>
      <c r="AB4337" t="s">
        <v>54</v>
      </c>
      <c r="AC4337">
        <v>1</v>
      </c>
      <c r="AE4337" t="s">
        <v>2085</v>
      </c>
      <c r="AF4337">
        <v>20</v>
      </c>
      <c r="AG4337" s="1">
        <v>39448</v>
      </c>
      <c r="AH4337" s="1">
        <v>39448</v>
      </c>
      <c r="AI4337" s="1">
        <v>39448</v>
      </c>
      <c r="AJ4337" s="1">
        <v>46753</v>
      </c>
      <c r="AK4337" t="s">
        <v>51</v>
      </c>
      <c r="AN4337">
        <v>0</v>
      </c>
      <c r="AO4337" t="s">
        <v>54</v>
      </c>
      <c r="AP4337" t="s">
        <v>53</v>
      </c>
      <c r="AQ4337">
        <v>0</v>
      </c>
      <c r="AR4337" t="s">
        <v>53</v>
      </c>
      <c r="AS4337">
        <v>0</v>
      </c>
      <c r="AT4337">
        <v>0</v>
      </c>
      <c r="AW4337" t="s">
        <v>58</v>
      </c>
      <c r="AX4337">
        <v>20</v>
      </c>
      <c r="AY4337" s="1">
        <v>39448</v>
      </c>
      <c r="AZ4337" s="1">
        <v>39448</v>
      </c>
      <c r="BA4337" s="1">
        <v>39448</v>
      </c>
      <c r="BB4337" s="1">
        <v>46753</v>
      </c>
      <c r="BC4337" t="s">
        <v>51</v>
      </c>
      <c r="BE4337" t="s">
        <v>54</v>
      </c>
      <c r="BF4337">
        <v>2</v>
      </c>
      <c r="BG4337">
        <v>0</v>
      </c>
      <c r="BH4337" t="s">
        <v>53</v>
      </c>
      <c r="BK4337" t="s">
        <v>59</v>
      </c>
      <c r="BL4337">
        <v>14000</v>
      </c>
      <c r="BM4337" s="1">
        <v>44334</v>
      </c>
      <c r="BN4337" s="1">
        <v>44334</v>
      </c>
      <c r="BO4337" s="1">
        <v>44334</v>
      </c>
      <c r="BP4337" s="1">
        <v>45551</v>
      </c>
      <c r="BQ4337" t="s">
        <v>51</v>
      </c>
      <c r="BS4337" t="s">
        <v>60</v>
      </c>
      <c r="BT4337" t="s">
        <v>54</v>
      </c>
      <c r="BU4337" t="s">
        <v>61</v>
      </c>
      <c r="BV4337" t="s">
        <v>62</v>
      </c>
      <c r="BX4337">
        <v>24</v>
      </c>
      <c r="BY4337">
        <v>0</v>
      </c>
      <c r="BZ4337">
        <v>0</v>
      </c>
    </row>
    <row r="4338" spans="1:78" x14ac:dyDescent="0.2">
      <c r="A4338" t="s">
        <v>112</v>
      </c>
      <c r="B4338" t="s">
        <v>113</v>
      </c>
      <c r="C4338" t="s">
        <v>114</v>
      </c>
      <c r="D4338" t="s">
        <v>2066</v>
      </c>
      <c r="F4338" t="str">
        <f>"251387"</f>
        <v>251387</v>
      </c>
      <c r="G4338" t="s">
        <v>49</v>
      </c>
      <c r="K4338" t="s">
        <v>51</v>
      </c>
      <c r="L4338" t="s">
        <v>52</v>
      </c>
      <c r="M4338">
        <v>137049.64000000001</v>
      </c>
      <c r="N4338">
        <v>474574.28</v>
      </c>
      <c r="O4338" t="s">
        <v>53</v>
      </c>
      <c r="P4338" t="s">
        <v>54</v>
      </c>
      <c r="Q4338" t="s">
        <v>55</v>
      </c>
      <c r="T4338" t="s">
        <v>269</v>
      </c>
      <c r="U4338">
        <v>40</v>
      </c>
      <c r="V4338" s="1">
        <v>39448</v>
      </c>
      <c r="W4338" s="1">
        <v>39448</v>
      </c>
      <c r="X4338" s="1">
        <v>39448</v>
      </c>
      <c r="Y4338" s="1">
        <v>54058</v>
      </c>
      <c r="Z4338" t="s">
        <v>51</v>
      </c>
      <c r="AB4338" t="s">
        <v>54</v>
      </c>
      <c r="AC4338">
        <v>1</v>
      </c>
      <c r="AE4338" t="s">
        <v>2085</v>
      </c>
      <c r="AF4338">
        <v>20</v>
      </c>
      <c r="AG4338" s="1">
        <v>39448</v>
      </c>
      <c r="AH4338" s="1">
        <v>39448</v>
      </c>
      <c r="AI4338" s="1">
        <v>39448</v>
      </c>
      <c r="AJ4338" s="1">
        <v>46753</v>
      </c>
      <c r="AK4338" t="s">
        <v>51</v>
      </c>
      <c r="AN4338">
        <v>0</v>
      </c>
      <c r="AO4338" t="s">
        <v>54</v>
      </c>
      <c r="AP4338" t="s">
        <v>53</v>
      </c>
      <c r="AQ4338">
        <v>0</v>
      </c>
      <c r="AR4338" t="s">
        <v>53</v>
      </c>
      <c r="AS4338">
        <v>0</v>
      </c>
      <c r="AT4338">
        <v>0</v>
      </c>
      <c r="AW4338" t="s">
        <v>58</v>
      </c>
      <c r="AX4338">
        <v>20</v>
      </c>
      <c r="AY4338" s="1">
        <v>44368</v>
      </c>
      <c r="AZ4338" s="1">
        <v>44368</v>
      </c>
      <c r="BA4338" s="1">
        <v>44368</v>
      </c>
      <c r="BB4338" s="1">
        <v>51673</v>
      </c>
      <c r="BC4338" t="s">
        <v>51</v>
      </c>
      <c r="BE4338" t="s">
        <v>54</v>
      </c>
      <c r="BF4338">
        <v>2</v>
      </c>
      <c r="BG4338">
        <v>0</v>
      </c>
      <c r="BH4338" t="s">
        <v>53</v>
      </c>
      <c r="BK4338" t="s">
        <v>59</v>
      </c>
      <c r="BL4338">
        <v>14000</v>
      </c>
      <c r="BM4338" s="1">
        <v>42917</v>
      </c>
      <c r="BN4338" s="1">
        <v>42917</v>
      </c>
      <c r="BO4338" s="1">
        <v>44368</v>
      </c>
      <c r="BP4338" s="1">
        <v>44117</v>
      </c>
      <c r="BQ4338" t="s">
        <v>51</v>
      </c>
      <c r="BS4338" t="s">
        <v>60</v>
      </c>
      <c r="BT4338" t="s">
        <v>54</v>
      </c>
      <c r="BU4338" t="s">
        <v>61</v>
      </c>
      <c r="BV4338" t="s">
        <v>62</v>
      </c>
      <c r="BX4338">
        <v>24</v>
      </c>
      <c r="BY4338">
        <v>0</v>
      </c>
      <c r="BZ4338">
        <v>0</v>
      </c>
    </row>
    <row r="4339" spans="1:78" x14ac:dyDescent="0.2">
      <c r="A4339" t="s">
        <v>112</v>
      </c>
      <c r="B4339" t="s">
        <v>113</v>
      </c>
      <c r="C4339" t="s">
        <v>114</v>
      </c>
      <c r="D4339" t="s">
        <v>2066</v>
      </c>
      <c r="F4339" t="str">
        <f>"251388"</f>
        <v>251388</v>
      </c>
      <c r="G4339" t="s">
        <v>49</v>
      </c>
      <c r="K4339" t="s">
        <v>51</v>
      </c>
      <c r="L4339" t="s">
        <v>52</v>
      </c>
      <c r="M4339">
        <v>137063.5</v>
      </c>
      <c r="N4339">
        <v>474583.84</v>
      </c>
      <c r="O4339" t="s">
        <v>53</v>
      </c>
      <c r="P4339" t="s">
        <v>54</v>
      </c>
      <c r="Q4339" t="s">
        <v>55</v>
      </c>
      <c r="T4339" t="s">
        <v>269</v>
      </c>
      <c r="U4339">
        <v>40</v>
      </c>
      <c r="V4339" s="1">
        <v>29221</v>
      </c>
      <c r="W4339" s="1">
        <v>29221</v>
      </c>
      <c r="X4339" s="1">
        <v>29221</v>
      </c>
      <c r="Y4339" s="1">
        <v>43831</v>
      </c>
      <c r="Z4339" t="s">
        <v>51</v>
      </c>
      <c r="AB4339" t="s">
        <v>54</v>
      </c>
      <c r="AC4339">
        <v>1</v>
      </c>
      <c r="AE4339" t="s">
        <v>2085</v>
      </c>
      <c r="AF4339">
        <v>20</v>
      </c>
      <c r="AG4339" s="1">
        <v>34700</v>
      </c>
      <c r="AH4339" s="1">
        <v>34700</v>
      </c>
      <c r="AI4339" s="1">
        <v>34700</v>
      </c>
      <c r="AJ4339" s="1">
        <v>42005</v>
      </c>
      <c r="AK4339" t="s">
        <v>51</v>
      </c>
      <c r="AN4339">
        <v>0</v>
      </c>
      <c r="AO4339" t="s">
        <v>54</v>
      </c>
      <c r="AP4339" t="s">
        <v>53</v>
      </c>
      <c r="AQ4339">
        <v>0</v>
      </c>
      <c r="AR4339" t="s">
        <v>53</v>
      </c>
      <c r="AS4339">
        <v>0</v>
      </c>
      <c r="AT4339">
        <v>0</v>
      </c>
      <c r="AW4339" t="s">
        <v>58</v>
      </c>
      <c r="AX4339">
        <v>20</v>
      </c>
      <c r="AY4339" s="1">
        <v>34700</v>
      </c>
      <c r="AZ4339" s="1">
        <v>34700</v>
      </c>
      <c r="BA4339" s="1">
        <v>34700</v>
      </c>
      <c r="BB4339" s="1">
        <v>42005</v>
      </c>
      <c r="BC4339" t="s">
        <v>51</v>
      </c>
      <c r="BE4339" t="s">
        <v>54</v>
      </c>
      <c r="BF4339">
        <v>2</v>
      </c>
      <c r="BG4339">
        <v>0</v>
      </c>
      <c r="BH4339" t="s">
        <v>53</v>
      </c>
      <c r="BK4339" t="s">
        <v>59</v>
      </c>
      <c r="BL4339">
        <v>14000</v>
      </c>
      <c r="BM4339" s="1">
        <v>42917</v>
      </c>
      <c r="BN4339" s="1">
        <v>42917</v>
      </c>
      <c r="BO4339" s="1">
        <v>42917</v>
      </c>
      <c r="BP4339" s="1">
        <v>44117</v>
      </c>
      <c r="BQ4339" t="s">
        <v>51</v>
      </c>
      <c r="BS4339" t="s">
        <v>60</v>
      </c>
      <c r="BT4339" t="s">
        <v>54</v>
      </c>
      <c r="BU4339" t="s">
        <v>61</v>
      </c>
      <c r="BV4339" t="s">
        <v>62</v>
      </c>
      <c r="BX4339">
        <v>24</v>
      </c>
      <c r="BY4339">
        <v>0</v>
      </c>
      <c r="BZ4339">
        <v>0</v>
      </c>
    </row>
    <row r="4340" spans="1:78" x14ac:dyDescent="0.2">
      <c r="A4340" t="s">
        <v>112</v>
      </c>
      <c r="B4340" t="s">
        <v>113</v>
      </c>
      <c r="C4340" t="s">
        <v>114</v>
      </c>
      <c r="D4340" t="s">
        <v>87</v>
      </c>
      <c r="F4340" t="str">
        <f>"251389"</f>
        <v>251389</v>
      </c>
      <c r="G4340" t="s">
        <v>49</v>
      </c>
      <c r="K4340" t="s">
        <v>51</v>
      </c>
      <c r="L4340" t="s">
        <v>52</v>
      </c>
      <c r="M4340">
        <v>137078.06400000001</v>
      </c>
      <c r="N4340">
        <v>474596.86700000003</v>
      </c>
      <c r="O4340" t="s">
        <v>53</v>
      </c>
      <c r="P4340" t="s">
        <v>54</v>
      </c>
      <c r="Q4340" t="s">
        <v>55</v>
      </c>
      <c r="T4340" t="s">
        <v>365</v>
      </c>
      <c r="U4340">
        <v>40</v>
      </c>
      <c r="V4340" s="1">
        <v>35431</v>
      </c>
      <c r="W4340" s="1">
        <v>35431</v>
      </c>
      <c r="X4340" s="1">
        <v>35431</v>
      </c>
      <c r="Y4340" s="1">
        <v>50041</v>
      </c>
      <c r="Z4340" t="s">
        <v>51</v>
      </c>
      <c r="AB4340" t="s">
        <v>54</v>
      </c>
      <c r="AC4340">
        <v>1</v>
      </c>
      <c r="AE4340" t="s">
        <v>814</v>
      </c>
      <c r="AF4340">
        <v>20</v>
      </c>
      <c r="AG4340" s="1">
        <v>35431</v>
      </c>
      <c r="AH4340" s="1">
        <v>35431</v>
      </c>
      <c r="AI4340" s="1">
        <v>35431</v>
      </c>
      <c r="AJ4340" s="1">
        <v>42736</v>
      </c>
      <c r="AK4340" t="s">
        <v>51</v>
      </c>
      <c r="AN4340">
        <v>0</v>
      </c>
      <c r="AO4340" t="s">
        <v>54</v>
      </c>
      <c r="AP4340" t="s">
        <v>53</v>
      </c>
      <c r="AQ4340">
        <v>0</v>
      </c>
      <c r="AR4340" t="s">
        <v>53</v>
      </c>
      <c r="AS4340">
        <v>0</v>
      </c>
      <c r="AT4340">
        <v>0</v>
      </c>
      <c r="AW4340" t="s">
        <v>161</v>
      </c>
      <c r="AX4340">
        <v>50</v>
      </c>
      <c r="AY4340" s="1">
        <v>35431</v>
      </c>
      <c r="AZ4340" s="1">
        <v>35431</v>
      </c>
      <c r="BA4340" s="1">
        <v>35431</v>
      </c>
      <c r="BB4340" s="1">
        <v>53693</v>
      </c>
      <c r="BC4340" t="s">
        <v>51</v>
      </c>
      <c r="BE4340" t="s">
        <v>54</v>
      </c>
      <c r="BF4340">
        <v>0</v>
      </c>
      <c r="BG4340">
        <v>0</v>
      </c>
      <c r="BH4340" t="s">
        <v>53</v>
      </c>
      <c r="BK4340" t="s">
        <v>59</v>
      </c>
      <c r="BL4340">
        <v>14000</v>
      </c>
      <c r="BM4340" s="1">
        <v>44327</v>
      </c>
      <c r="BN4340" s="1">
        <v>44327</v>
      </c>
      <c r="BO4340" s="1">
        <v>44327</v>
      </c>
      <c r="BP4340" s="1">
        <v>45547</v>
      </c>
      <c r="BQ4340" t="s">
        <v>51</v>
      </c>
      <c r="BS4340" t="s">
        <v>60</v>
      </c>
      <c r="BT4340" t="s">
        <v>54</v>
      </c>
      <c r="BU4340" t="s">
        <v>61</v>
      </c>
      <c r="BV4340" t="s">
        <v>62</v>
      </c>
      <c r="BX4340">
        <v>24</v>
      </c>
      <c r="BY4340">
        <v>0</v>
      </c>
      <c r="BZ4340">
        <v>0</v>
      </c>
    </row>
    <row r="4341" spans="1:78" x14ac:dyDescent="0.2">
      <c r="A4341" t="s">
        <v>112</v>
      </c>
      <c r="B4341" t="s">
        <v>113</v>
      </c>
      <c r="C4341" t="s">
        <v>114</v>
      </c>
      <c r="D4341" t="s">
        <v>87</v>
      </c>
      <c r="F4341" t="str">
        <f>"251389"</f>
        <v>251389</v>
      </c>
      <c r="G4341" t="s">
        <v>49</v>
      </c>
      <c r="K4341" t="s">
        <v>51</v>
      </c>
      <c r="L4341" t="s">
        <v>52</v>
      </c>
      <c r="M4341">
        <v>137078.06400000001</v>
      </c>
      <c r="N4341">
        <v>474596.86700000003</v>
      </c>
      <c r="O4341" t="s">
        <v>53</v>
      </c>
      <c r="P4341" t="s">
        <v>54</v>
      </c>
      <c r="Q4341" t="s">
        <v>55</v>
      </c>
      <c r="T4341" t="s">
        <v>365</v>
      </c>
      <c r="U4341">
        <v>40</v>
      </c>
      <c r="V4341" s="1">
        <v>35431</v>
      </c>
      <c r="W4341" s="1">
        <v>35431</v>
      </c>
      <c r="X4341" s="1">
        <v>35431</v>
      </c>
      <c r="Y4341" s="1">
        <v>50041</v>
      </c>
      <c r="Z4341" t="s">
        <v>51</v>
      </c>
      <c r="AB4341" t="s">
        <v>54</v>
      </c>
      <c r="AE4341" t="s">
        <v>814</v>
      </c>
      <c r="AF4341">
        <v>20</v>
      </c>
      <c r="AG4341" s="1">
        <v>44341</v>
      </c>
      <c r="AH4341" s="1">
        <v>44341</v>
      </c>
      <c r="AI4341" s="1">
        <v>44341</v>
      </c>
      <c r="AJ4341" s="1">
        <v>51646</v>
      </c>
      <c r="AK4341" t="s">
        <v>51</v>
      </c>
      <c r="AN4341">
        <v>0</v>
      </c>
      <c r="AO4341" t="s">
        <v>54</v>
      </c>
      <c r="AP4341" t="s">
        <v>53</v>
      </c>
      <c r="AQ4341">
        <v>0</v>
      </c>
      <c r="AR4341" t="s">
        <v>53</v>
      </c>
      <c r="AS4341">
        <v>0</v>
      </c>
      <c r="AT4341">
        <v>0</v>
      </c>
      <c r="AW4341" t="s">
        <v>161</v>
      </c>
      <c r="AX4341">
        <v>50</v>
      </c>
      <c r="AY4341" s="1">
        <v>44341</v>
      </c>
      <c r="AZ4341" s="1">
        <v>44341</v>
      </c>
      <c r="BA4341" s="1">
        <v>44341</v>
      </c>
      <c r="BB4341" s="1">
        <v>62603</v>
      </c>
      <c r="BC4341" t="s">
        <v>51</v>
      </c>
      <c r="BE4341" t="s">
        <v>54</v>
      </c>
      <c r="BF4341">
        <v>0</v>
      </c>
      <c r="BG4341">
        <v>0</v>
      </c>
      <c r="BH4341" t="s">
        <v>53</v>
      </c>
      <c r="BK4341" t="s">
        <v>352</v>
      </c>
      <c r="BL4341">
        <v>21500</v>
      </c>
      <c r="BM4341" s="1">
        <v>44341</v>
      </c>
      <c r="BN4341" s="1">
        <v>44341</v>
      </c>
      <c r="BO4341" s="1">
        <v>44341</v>
      </c>
      <c r="BP4341" s="1">
        <v>46153</v>
      </c>
      <c r="BQ4341" t="s">
        <v>51</v>
      </c>
      <c r="BS4341" t="s">
        <v>60</v>
      </c>
      <c r="BT4341" t="s">
        <v>54</v>
      </c>
      <c r="BU4341" t="s">
        <v>353</v>
      </c>
      <c r="BV4341" t="s">
        <v>354</v>
      </c>
      <c r="BX4341">
        <v>100</v>
      </c>
      <c r="BY4341">
        <v>0</v>
      </c>
      <c r="BZ4341">
        <v>0</v>
      </c>
    </row>
    <row r="4342" spans="1:78" x14ac:dyDescent="0.2">
      <c r="A4342" t="s">
        <v>112</v>
      </c>
      <c r="B4342" t="s">
        <v>113</v>
      </c>
      <c r="C4342" t="s">
        <v>114</v>
      </c>
      <c r="D4342" t="s">
        <v>2066</v>
      </c>
      <c r="F4342" t="str">
        <f>"251390"</f>
        <v>251390</v>
      </c>
      <c r="G4342" t="s">
        <v>49</v>
      </c>
      <c r="H4342" t="s">
        <v>2099</v>
      </c>
      <c r="K4342" t="s">
        <v>51</v>
      </c>
      <c r="L4342" t="s">
        <v>52</v>
      </c>
      <c r="M4342">
        <v>137085.85</v>
      </c>
      <c r="N4342">
        <v>474577.76</v>
      </c>
      <c r="O4342" t="s">
        <v>53</v>
      </c>
      <c r="P4342" t="s">
        <v>54</v>
      </c>
      <c r="Q4342" t="s">
        <v>55</v>
      </c>
      <c r="T4342" t="s">
        <v>1183</v>
      </c>
      <c r="U4342">
        <v>40</v>
      </c>
      <c r="V4342" s="1">
        <v>29221</v>
      </c>
      <c r="W4342" s="1">
        <v>29221</v>
      </c>
      <c r="X4342" s="1">
        <v>29221</v>
      </c>
      <c r="Y4342" s="1">
        <v>43831</v>
      </c>
      <c r="Z4342" t="s">
        <v>51</v>
      </c>
      <c r="AB4342" t="s">
        <v>54</v>
      </c>
      <c r="AC4342">
        <v>1</v>
      </c>
      <c r="AE4342" t="s">
        <v>814</v>
      </c>
      <c r="AF4342">
        <v>20</v>
      </c>
      <c r="AG4342" s="1">
        <v>34700</v>
      </c>
      <c r="AH4342" s="1">
        <v>34700</v>
      </c>
      <c r="AI4342" s="1">
        <v>34700</v>
      </c>
      <c r="AJ4342" s="1">
        <v>42005</v>
      </c>
      <c r="AK4342" t="s">
        <v>51</v>
      </c>
      <c r="AN4342">
        <v>0</v>
      </c>
      <c r="AO4342" t="s">
        <v>54</v>
      </c>
      <c r="AP4342" t="s">
        <v>53</v>
      </c>
      <c r="AQ4342">
        <v>0</v>
      </c>
      <c r="AR4342" t="s">
        <v>53</v>
      </c>
      <c r="AS4342">
        <v>0</v>
      </c>
      <c r="AT4342">
        <v>0</v>
      </c>
      <c r="AW4342" t="s">
        <v>161</v>
      </c>
      <c r="AX4342">
        <v>50</v>
      </c>
      <c r="AY4342" s="1">
        <v>34700</v>
      </c>
      <c r="AZ4342" s="1">
        <v>34700</v>
      </c>
      <c r="BA4342" s="1">
        <v>34700</v>
      </c>
      <c r="BB4342" s="1">
        <v>52963</v>
      </c>
      <c r="BC4342" t="s">
        <v>51</v>
      </c>
      <c r="BE4342" t="s">
        <v>54</v>
      </c>
      <c r="BF4342">
        <v>0</v>
      </c>
      <c r="BG4342">
        <v>0</v>
      </c>
      <c r="BH4342" t="s">
        <v>53</v>
      </c>
      <c r="BK4342" t="s">
        <v>352</v>
      </c>
      <c r="BL4342">
        <v>21500</v>
      </c>
      <c r="BM4342" s="1">
        <v>44334</v>
      </c>
      <c r="BN4342" s="1">
        <v>44334</v>
      </c>
      <c r="BO4342" s="1">
        <v>44334</v>
      </c>
      <c r="BP4342" s="1">
        <v>46147</v>
      </c>
      <c r="BQ4342" t="s">
        <v>51</v>
      </c>
      <c r="BS4342" t="s">
        <v>60</v>
      </c>
      <c r="BT4342" t="s">
        <v>54</v>
      </c>
      <c r="BU4342" t="s">
        <v>353</v>
      </c>
      <c r="BV4342" t="s">
        <v>354</v>
      </c>
      <c r="BX4342">
        <v>100</v>
      </c>
      <c r="BY4342">
        <v>0</v>
      </c>
      <c r="BZ4342">
        <v>0</v>
      </c>
    </row>
    <row r="4343" spans="1:78" x14ac:dyDescent="0.2">
      <c r="A4343" t="s">
        <v>112</v>
      </c>
      <c r="B4343" t="s">
        <v>113</v>
      </c>
      <c r="C4343" t="s">
        <v>114</v>
      </c>
      <c r="D4343" t="s">
        <v>2066</v>
      </c>
      <c r="F4343" t="str">
        <f>"251391"</f>
        <v>251391</v>
      </c>
      <c r="G4343" t="s">
        <v>49</v>
      </c>
      <c r="K4343" t="s">
        <v>51</v>
      </c>
      <c r="L4343" t="s">
        <v>52</v>
      </c>
      <c r="M4343">
        <v>137104.39000000001</v>
      </c>
      <c r="N4343">
        <v>474592.4</v>
      </c>
      <c r="O4343" t="s">
        <v>53</v>
      </c>
      <c r="P4343" t="s">
        <v>54</v>
      </c>
      <c r="Q4343" t="s">
        <v>55</v>
      </c>
      <c r="T4343" t="s">
        <v>1183</v>
      </c>
      <c r="U4343">
        <v>40</v>
      </c>
      <c r="V4343" s="1">
        <v>29221</v>
      </c>
      <c r="W4343" s="1">
        <v>29221</v>
      </c>
      <c r="X4343" s="1">
        <v>29221</v>
      </c>
      <c r="Y4343" s="1">
        <v>43831</v>
      </c>
      <c r="Z4343" t="s">
        <v>51</v>
      </c>
      <c r="AB4343" t="s">
        <v>54</v>
      </c>
      <c r="AC4343">
        <v>1</v>
      </c>
      <c r="AE4343" t="s">
        <v>814</v>
      </c>
      <c r="AF4343">
        <v>20</v>
      </c>
      <c r="AG4343" s="1">
        <v>34700</v>
      </c>
      <c r="AH4343" s="1">
        <v>34700</v>
      </c>
      <c r="AI4343" s="1">
        <v>34700</v>
      </c>
      <c r="AJ4343" s="1">
        <v>42005</v>
      </c>
      <c r="AK4343" t="s">
        <v>51</v>
      </c>
      <c r="AN4343">
        <v>0</v>
      </c>
      <c r="AO4343" t="s">
        <v>54</v>
      </c>
      <c r="AP4343" t="s">
        <v>53</v>
      </c>
      <c r="AQ4343">
        <v>0</v>
      </c>
      <c r="AR4343" t="s">
        <v>53</v>
      </c>
      <c r="AS4343">
        <v>0</v>
      </c>
      <c r="AT4343">
        <v>0</v>
      </c>
      <c r="AW4343" t="s">
        <v>161</v>
      </c>
      <c r="AX4343">
        <v>50</v>
      </c>
      <c r="AY4343" s="1">
        <v>34700</v>
      </c>
      <c r="AZ4343" s="1">
        <v>34700</v>
      </c>
      <c r="BA4343" s="1">
        <v>34700</v>
      </c>
      <c r="BB4343" s="1">
        <v>52963</v>
      </c>
      <c r="BC4343" t="s">
        <v>51</v>
      </c>
      <c r="BE4343" t="s">
        <v>54</v>
      </c>
      <c r="BF4343">
        <v>0</v>
      </c>
      <c r="BG4343">
        <v>0</v>
      </c>
      <c r="BH4343" t="s">
        <v>53</v>
      </c>
      <c r="BK4343" t="s">
        <v>352</v>
      </c>
      <c r="BL4343">
        <v>21500</v>
      </c>
      <c r="BM4343" s="1">
        <v>44334</v>
      </c>
      <c r="BN4343" s="1">
        <v>44334</v>
      </c>
      <c r="BO4343" s="1">
        <v>44334</v>
      </c>
      <c r="BP4343" s="1">
        <v>46147</v>
      </c>
      <c r="BQ4343" t="s">
        <v>51</v>
      </c>
      <c r="BS4343" t="s">
        <v>60</v>
      </c>
      <c r="BT4343" t="s">
        <v>54</v>
      </c>
      <c r="BU4343" t="s">
        <v>353</v>
      </c>
      <c r="BV4343" t="s">
        <v>354</v>
      </c>
      <c r="BX4343">
        <v>100</v>
      </c>
      <c r="BY4343">
        <v>0</v>
      </c>
      <c r="BZ4343">
        <v>0</v>
      </c>
    </row>
    <row r="4344" spans="1:78" x14ac:dyDescent="0.2">
      <c r="A4344" t="s">
        <v>112</v>
      </c>
      <c r="B4344" t="s">
        <v>113</v>
      </c>
      <c r="C4344" t="s">
        <v>114</v>
      </c>
      <c r="D4344" t="s">
        <v>2066</v>
      </c>
      <c r="F4344" t="str">
        <f>"251392"</f>
        <v>251392</v>
      </c>
      <c r="G4344" t="s">
        <v>49</v>
      </c>
      <c r="H4344" t="s">
        <v>2099</v>
      </c>
      <c r="K4344" t="s">
        <v>51</v>
      </c>
      <c r="L4344" t="s">
        <v>52</v>
      </c>
      <c r="M4344">
        <v>137129.24</v>
      </c>
      <c r="N4344">
        <v>474596.33</v>
      </c>
      <c r="O4344" t="s">
        <v>53</v>
      </c>
      <c r="P4344" t="s">
        <v>54</v>
      </c>
      <c r="Q4344" t="s">
        <v>55</v>
      </c>
      <c r="T4344" t="s">
        <v>2100</v>
      </c>
      <c r="U4344">
        <v>40</v>
      </c>
      <c r="V4344" s="1">
        <v>31594</v>
      </c>
      <c r="W4344" s="1">
        <v>31594</v>
      </c>
      <c r="X4344" s="1">
        <v>31594</v>
      </c>
      <c r="Y4344" s="1">
        <v>46204</v>
      </c>
      <c r="Z4344" t="s">
        <v>51</v>
      </c>
      <c r="AB4344" t="s">
        <v>54</v>
      </c>
      <c r="AC4344">
        <v>1</v>
      </c>
      <c r="AE4344" t="s">
        <v>814</v>
      </c>
      <c r="AF4344">
        <v>20</v>
      </c>
      <c r="AG4344" s="1">
        <v>31594</v>
      </c>
      <c r="AH4344" s="1">
        <v>31594</v>
      </c>
      <c r="AI4344" s="1">
        <v>31594</v>
      </c>
      <c r="AJ4344" s="1">
        <v>38899</v>
      </c>
      <c r="AK4344" t="s">
        <v>51</v>
      </c>
      <c r="AN4344">
        <v>0</v>
      </c>
      <c r="AO4344" t="s">
        <v>54</v>
      </c>
      <c r="AP4344" t="s">
        <v>53</v>
      </c>
      <c r="AQ4344">
        <v>0</v>
      </c>
      <c r="AR4344" t="s">
        <v>53</v>
      </c>
      <c r="AS4344">
        <v>0</v>
      </c>
      <c r="AT4344">
        <v>0</v>
      </c>
      <c r="AW4344" t="s">
        <v>161</v>
      </c>
      <c r="AX4344">
        <v>50</v>
      </c>
      <c r="AY4344" s="1">
        <v>31594</v>
      </c>
      <c r="AZ4344" s="1">
        <v>31594</v>
      </c>
      <c r="BA4344" s="1">
        <v>31594</v>
      </c>
      <c r="BB4344" s="1">
        <v>49857</v>
      </c>
      <c r="BC4344" t="s">
        <v>51</v>
      </c>
      <c r="BE4344" t="s">
        <v>54</v>
      </c>
      <c r="BF4344">
        <v>0</v>
      </c>
      <c r="BG4344">
        <v>0</v>
      </c>
      <c r="BH4344" t="s">
        <v>53</v>
      </c>
      <c r="BK4344" t="s">
        <v>352</v>
      </c>
      <c r="BL4344">
        <v>21500</v>
      </c>
      <c r="BM4344" s="1">
        <v>44334</v>
      </c>
      <c r="BN4344" s="1">
        <v>44334</v>
      </c>
      <c r="BO4344" s="1">
        <v>44334</v>
      </c>
      <c r="BP4344" s="1">
        <v>46147</v>
      </c>
      <c r="BQ4344" t="s">
        <v>51</v>
      </c>
      <c r="BS4344" t="s">
        <v>60</v>
      </c>
      <c r="BT4344" t="s">
        <v>54</v>
      </c>
      <c r="BU4344" t="s">
        <v>353</v>
      </c>
      <c r="BV4344" t="s">
        <v>354</v>
      </c>
      <c r="BX4344">
        <v>100</v>
      </c>
      <c r="BY4344">
        <v>0</v>
      </c>
      <c r="BZ4344">
        <v>0</v>
      </c>
    </row>
    <row r="4345" spans="1:78" x14ac:dyDescent="0.2">
      <c r="A4345" t="s">
        <v>112</v>
      </c>
      <c r="B4345" t="s">
        <v>113</v>
      </c>
      <c r="C4345" t="s">
        <v>114</v>
      </c>
      <c r="D4345" t="s">
        <v>2066</v>
      </c>
      <c r="F4345" t="str">
        <f>"251393"</f>
        <v>251393</v>
      </c>
      <c r="G4345" t="s">
        <v>49</v>
      </c>
      <c r="H4345" t="s">
        <v>2099</v>
      </c>
      <c r="K4345" t="s">
        <v>51</v>
      </c>
      <c r="L4345" t="s">
        <v>52</v>
      </c>
      <c r="M4345">
        <v>137151.06</v>
      </c>
      <c r="N4345">
        <v>474617.97</v>
      </c>
      <c r="O4345" t="s">
        <v>53</v>
      </c>
      <c r="P4345" t="s">
        <v>54</v>
      </c>
      <c r="Q4345" t="s">
        <v>55</v>
      </c>
      <c r="T4345" t="s">
        <v>2100</v>
      </c>
      <c r="U4345">
        <v>40</v>
      </c>
      <c r="V4345" s="1">
        <v>29221</v>
      </c>
      <c r="W4345" s="1">
        <v>29221</v>
      </c>
      <c r="X4345" s="1">
        <v>29221</v>
      </c>
      <c r="Y4345" s="1">
        <v>43831</v>
      </c>
      <c r="Z4345" t="s">
        <v>51</v>
      </c>
      <c r="AB4345" t="s">
        <v>54</v>
      </c>
      <c r="AC4345">
        <v>1</v>
      </c>
      <c r="AE4345" t="s">
        <v>814</v>
      </c>
      <c r="AF4345">
        <v>20</v>
      </c>
      <c r="AG4345" s="1">
        <v>34700</v>
      </c>
      <c r="AH4345" s="1">
        <v>34700</v>
      </c>
      <c r="AI4345" s="1">
        <v>34700</v>
      </c>
      <c r="AJ4345" s="1">
        <v>42005</v>
      </c>
      <c r="AK4345" t="s">
        <v>51</v>
      </c>
      <c r="AN4345">
        <v>0</v>
      </c>
      <c r="AO4345" t="s">
        <v>54</v>
      </c>
      <c r="AP4345" t="s">
        <v>53</v>
      </c>
      <c r="AQ4345">
        <v>0</v>
      </c>
      <c r="AR4345" t="s">
        <v>53</v>
      </c>
      <c r="AS4345">
        <v>0</v>
      </c>
      <c r="AT4345">
        <v>0</v>
      </c>
      <c r="AW4345" t="s">
        <v>161</v>
      </c>
      <c r="AX4345">
        <v>50</v>
      </c>
      <c r="AY4345" s="1">
        <v>34700</v>
      </c>
      <c r="AZ4345" s="1">
        <v>34700</v>
      </c>
      <c r="BA4345" s="1">
        <v>34700</v>
      </c>
      <c r="BB4345" s="1">
        <v>52963</v>
      </c>
      <c r="BC4345" t="s">
        <v>51</v>
      </c>
      <c r="BE4345" t="s">
        <v>54</v>
      </c>
      <c r="BF4345">
        <v>0</v>
      </c>
      <c r="BG4345">
        <v>0</v>
      </c>
      <c r="BH4345" t="s">
        <v>53</v>
      </c>
      <c r="BK4345" t="s">
        <v>352</v>
      </c>
      <c r="BL4345">
        <v>21500</v>
      </c>
      <c r="BM4345" s="1">
        <v>44334</v>
      </c>
      <c r="BN4345" s="1">
        <v>44334</v>
      </c>
      <c r="BO4345" s="1">
        <v>44334</v>
      </c>
      <c r="BP4345" s="1">
        <v>46147</v>
      </c>
      <c r="BQ4345" t="s">
        <v>51</v>
      </c>
      <c r="BS4345" t="s">
        <v>60</v>
      </c>
      <c r="BT4345" t="s">
        <v>54</v>
      </c>
      <c r="BU4345" t="s">
        <v>353</v>
      </c>
      <c r="BV4345" t="s">
        <v>354</v>
      </c>
      <c r="BX4345">
        <v>100</v>
      </c>
      <c r="BY4345">
        <v>0</v>
      </c>
      <c r="BZ4345">
        <v>0</v>
      </c>
    </row>
    <row r="4346" spans="1:78" x14ac:dyDescent="0.2">
      <c r="A4346" t="s">
        <v>112</v>
      </c>
      <c r="B4346" t="s">
        <v>113</v>
      </c>
      <c r="C4346" t="s">
        <v>114</v>
      </c>
      <c r="D4346" t="s">
        <v>2066</v>
      </c>
      <c r="F4346" t="str">
        <f>"251394"</f>
        <v>251394</v>
      </c>
      <c r="G4346" t="s">
        <v>49</v>
      </c>
      <c r="H4346" t="s">
        <v>2099</v>
      </c>
      <c r="K4346" t="s">
        <v>51</v>
      </c>
      <c r="L4346" t="s">
        <v>52</v>
      </c>
      <c r="M4346">
        <v>137175.29699999999</v>
      </c>
      <c r="N4346">
        <v>474620.05699999997</v>
      </c>
      <c r="O4346" t="s">
        <v>53</v>
      </c>
      <c r="P4346" t="s">
        <v>54</v>
      </c>
      <c r="Q4346" t="s">
        <v>55</v>
      </c>
      <c r="T4346" t="s">
        <v>1023</v>
      </c>
      <c r="U4346">
        <v>40</v>
      </c>
      <c r="V4346" s="1">
        <v>29221</v>
      </c>
      <c r="W4346" s="1">
        <v>29221</v>
      </c>
      <c r="X4346" s="1">
        <v>29221</v>
      </c>
      <c r="Y4346" s="1">
        <v>43831</v>
      </c>
      <c r="Z4346" t="s">
        <v>51</v>
      </c>
      <c r="AB4346" t="s">
        <v>54</v>
      </c>
      <c r="AC4346">
        <v>1</v>
      </c>
      <c r="AE4346" t="s">
        <v>814</v>
      </c>
      <c r="AF4346">
        <v>20</v>
      </c>
      <c r="AG4346" s="1">
        <v>34700</v>
      </c>
      <c r="AH4346" s="1">
        <v>34700</v>
      </c>
      <c r="AI4346" s="1">
        <v>34700</v>
      </c>
      <c r="AJ4346" s="1">
        <v>42005</v>
      </c>
      <c r="AK4346" t="s">
        <v>51</v>
      </c>
      <c r="AN4346">
        <v>0</v>
      </c>
      <c r="AO4346" t="s">
        <v>54</v>
      </c>
      <c r="AP4346" t="s">
        <v>53</v>
      </c>
      <c r="AQ4346">
        <v>0</v>
      </c>
      <c r="AR4346" t="s">
        <v>53</v>
      </c>
      <c r="AS4346">
        <v>0</v>
      </c>
      <c r="AT4346">
        <v>0</v>
      </c>
      <c r="AW4346" t="s">
        <v>58</v>
      </c>
      <c r="AX4346">
        <v>20</v>
      </c>
      <c r="AY4346" s="1">
        <v>34700</v>
      </c>
      <c r="AZ4346" s="1">
        <v>34700</v>
      </c>
      <c r="BA4346" s="1">
        <v>34700</v>
      </c>
      <c r="BB4346" s="1">
        <v>42005</v>
      </c>
      <c r="BC4346" t="s">
        <v>51</v>
      </c>
      <c r="BE4346" t="s">
        <v>54</v>
      </c>
      <c r="BF4346">
        <v>2</v>
      </c>
      <c r="BG4346">
        <v>0</v>
      </c>
      <c r="BH4346" t="s">
        <v>53</v>
      </c>
      <c r="BK4346" t="s">
        <v>352</v>
      </c>
      <c r="BL4346">
        <v>21500</v>
      </c>
      <c r="BM4346" s="1">
        <v>42917</v>
      </c>
      <c r="BN4346" s="1">
        <v>42917</v>
      </c>
      <c r="BO4346" s="1">
        <v>42917</v>
      </c>
      <c r="BP4346" s="1">
        <v>44728</v>
      </c>
      <c r="BQ4346" t="s">
        <v>51</v>
      </c>
      <c r="BS4346" t="s">
        <v>60</v>
      </c>
      <c r="BT4346" t="s">
        <v>54</v>
      </c>
      <c r="BU4346" t="s">
        <v>353</v>
      </c>
      <c r="BV4346" t="s">
        <v>354</v>
      </c>
      <c r="BX4346">
        <v>100</v>
      </c>
      <c r="BY4346">
        <v>0</v>
      </c>
      <c r="BZ4346">
        <v>0</v>
      </c>
    </row>
    <row r="4347" spans="1:78" x14ac:dyDescent="0.2">
      <c r="A4347" t="s">
        <v>112</v>
      </c>
      <c r="B4347" t="s">
        <v>113</v>
      </c>
      <c r="C4347" t="s">
        <v>114</v>
      </c>
      <c r="D4347" t="s">
        <v>2066</v>
      </c>
      <c r="F4347" t="str">
        <f>"251395"</f>
        <v>251395</v>
      </c>
      <c r="G4347" t="s">
        <v>49</v>
      </c>
      <c r="H4347" t="s">
        <v>1979</v>
      </c>
      <c r="K4347" t="s">
        <v>51</v>
      </c>
      <c r="L4347" t="s">
        <v>52</v>
      </c>
      <c r="M4347">
        <v>137071.785</v>
      </c>
      <c r="N4347">
        <v>474556.79100000003</v>
      </c>
      <c r="O4347" t="s">
        <v>53</v>
      </c>
      <c r="P4347" t="s">
        <v>54</v>
      </c>
      <c r="Q4347" t="s">
        <v>55</v>
      </c>
      <c r="T4347" t="s">
        <v>691</v>
      </c>
      <c r="U4347">
        <v>40</v>
      </c>
      <c r="V4347" s="1">
        <v>34700</v>
      </c>
      <c r="W4347" s="1">
        <v>34700</v>
      </c>
      <c r="X4347" s="1">
        <v>34700</v>
      </c>
      <c r="Y4347" s="1">
        <v>49310</v>
      </c>
      <c r="Z4347" t="s">
        <v>51</v>
      </c>
      <c r="AB4347" t="s">
        <v>54</v>
      </c>
      <c r="AC4347">
        <v>1</v>
      </c>
      <c r="AE4347" t="s">
        <v>564</v>
      </c>
      <c r="AF4347">
        <v>20</v>
      </c>
      <c r="AG4347" s="1">
        <v>34700</v>
      </c>
      <c r="AH4347" s="1">
        <v>34700</v>
      </c>
      <c r="AI4347" s="1">
        <v>34700</v>
      </c>
      <c r="AJ4347" s="1">
        <v>42005</v>
      </c>
      <c r="AK4347" t="s">
        <v>51</v>
      </c>
      <c r="AN4347">
        <v>0</v>
      </c>
      <c r="AO4347" t="s">
        <v>54</v>
      </c>
      <c r="AP4347" t="s">
        <v>53</v>
      </c>
      <c r="AQ4347">
        <v>0</v>
      </c>
      <c r="AR4347" t="s">
        <v>53</v>
      </c>
      <c r="AS4347">
        <v>0</v>
      </c>
      <c r="AT4347">
        <v>0</v>
      </c>
      <c r="AW4347" t="s">
        <v>58</v>
      </c>
      <c r="AX4347">
        <v>20</v>
      </c>
      <c r="AY4347" s="1">
        <v>34700</v>
      </c>
      <c r="AZ4347" s="1">
        <v>34700</v>
      </c>
      <c r="BA4347" s="1">
        <v>34700</v>
      </c>
      <c r="BB4347" s="1">
        <v>42005</v>
      </c>
      <c r="BC4347" t="s">
        <v>51</v>
      </c>
      <c r="BE4347" t="s">
        <v>54</v>
      </c>
      <c r="BF4347">
        <v>2</v>
      </c>
      <c r="BG4347">
        <v>0</v>
      </c>
      <c r="BH4347" t="s">
        <v>53</v>
      </c>
      <c r="BK4347" t="s">
        <v>59</v>
      </c>
      <c r="BL4347">
        <v>14000</v>
      </c>
      <c r="BM4347" s="1">
        <v>44341</v>
      </c>
      <c r="BN4347" s="1">
        <v>44341</v>
      </c>
      <c r="BO4347" s="1">
        <v>44341</v>
      </c>
      <c r="BP4347" s="1">
        <v>45556</v>
      </c>
      <c r="BQ4347" t="s">
        <v>51</v>
      </c>
      <c r="BS4347" t="s">
        <v>60</v>
      </c>
      <c r="BT4347" t="s">
        <v>54</v>
      </c>
      <c r="BU4347" t="s">
        <v>61</v>
      </c>
      <c r="BV4347" t="s">
        <v>62</v>
      </c>
      <c r="BX4347">
        <v>24</v>
      </c>
      <c r="BY4347">
        <v>0</v>
      </c>
      <c r="BZ4347">
        <v>0</v>
      </c>
    </row>
    <row r="4348" spans="1:78" x14ac:dyDescent="0.2">
      <c r="A4348" t="s">
        <v>112</v>
      </c>
      <c r="B4348" t="s">
        <v>113</v>
      </c>
      <c r="C4348" t="s">
        <v>114</v>
      </c>
      <c r="D4348" t="s">
        <v>2066</v>
      </c>
      <c r="F4348" t="str">
        <f>"251396"</f>
        <v>251396</v>
      </c>
      <c r="G4348" t="s">
        <v>49</v>
      </c>
      <c r="H4348" t="s">
        <v>1979</v>
      </c>
      <c r="K4348" t="s">
        <v>51</v>
      </c>
      <c r="L4348" t="s">
        <v>52</v>
      </c>
      <c r="M4348">
        <v>137035.85500000001</v>
      </c>
      <c r="N4348">
        <v>474517.13</v>
      </c>
      <c r="O4348" t="s">
        <v>53</v>
      </c>
      <c r="P4348" t="s">
        <v>54</v>
      </c>
      <c r="Q4348" t="s">
        <v>55</v>
      </c>
      <c r="T4348" t="s">
        <v>691</v>
      </c>
      <c r="U4348">
        <v>40</v>
      </c>
      <c r="V4348" s="1">
        <v>34700</v>
      </c>
      <c r="W4348" s="1">
        <v>34700</v>
      </c>
      <c r="X4348" s="1">
        <v>34700</v>
      </c>
      <c r="Y4348" s="1">
        <v>49310</v>
      </c>
      <c r="Z4348" t="s">
        <v>51</v>
      </c>
      <c r="AB4348" t="s">
        <v>54</v>
      </c>
      <c r="AC4348">
        <v>1</v>
      </c>
      <c r="AE4348" t="s">
        <v>564</v>
      </c>
      <c r="AF4348">
        <v>20</v>
      </c>
      <c r="AG4348" s="1">
        <v>34700</v>
      </c>
      <c r="AH4348" s="1">
        <v>34700</v>
      </c>
      <c r="AI4348" s="1">
        <v>34700</v>
      </c>
      <c r="AJ4348" s="1">
        <v>42005</v>
      </c>
      <c r="AK4348" t="s">
        <v>51</v>
      </c>
      <c r="AN4348">
        <v>0</v>
      </c>
      <c r="AO4348" t="s">
        <v>54</v>
      </c>
      <c r="AP4348" t="s">
        <v>53</v>
      </c>
      <c r="AQ4348">
        <v>0</v>
      </c>
      <c r="AR4348" t="s">
        <v>53</v>
      </c>
      <c r="AS4348">
        <v>0</v>
      </c>
      <c r="AT4348">
        <v>0</v>
      </c>
      <c r="AW4348" t="s">
        <v>58</v>
      </c>
      <c r="AX4348">
        <v>20</v>
      </c>
      <c r="AY4348" s="1">
        <v>34700</v>
      </c>
      <c r="AZ4348" s="1">
        <v>34700</v>
      </c>
      <c r="BA4348" s="1">
        <v>34700</v>
      </c>
      <c r="BB4348" s="1">
        <v>42005</v>
      </c>
      <c r="BC4348" t="s">
        <v>51</v>
      </c>
      <c r="BE4348" t="s">
        <v>54</v>
      </c>
      <c r="BF4348">
        <v>2</v>
      </c>
      <c r="BG4348">
        <v>0</v>
      </c>
      <c r="BH4348" t="s">
        <v>53</v>
      </c>
      <c r="BK4348" t="s">
        <v>59</v>
      </c>
      <c r="BL4348">
        <v>14000</v>
      </c>
      <c r="BM4348" s="1">
        <v>44341</v>
      </c>
      <c r="BN4348" s="1">
        <v>44341</v>
      </c>
      <c r="BO4348" s="1">
        <v>44341</v>
      </c>
      <c r="BP4348" s="1">
        <v>45556</v>
      </c>
      <c r="BQ4348" t="s">
        <v>51</v>
      </c>
      <c r="BS4348" t="s">
        <v>60</v>
      </c>
      <c r="BT4348" t="s">
        <v>54</v>
      </c>
      <c r="BU4348" t="s">
        <v>61</v>
      </c>
      <c r="BV4348" t="s">
        <v>62</v>
      </c>
      <c r="BX4348">
        <v>24</v>
      </c>
      <c r="BY4348">
        <v>0</v>
      </c>
      <c r="BZ4348">
        <v>0</v>
      </c>
    </row>
    <row r="4349" spans="1:78" x14ac:dyDescent="0.2">
      <c r="A4349" t="s">
        <v>112</v>
      </c>
      <c r="B4349" t="s">
        <v>113</v>
      </c>
      <c r="C4349" t="s">
        <v>114</v>
      </c>
      <c r="D4349" t="s">
        <v>2066</v>
      </c>
      <c r="F4349" t="str">
        <f>"251397"</f>
        <v>251397</v>
      </c>
      <c r="G4349" t="s">
        <v>49</v>
      </c>
      <c r="H4349" t="s">
        <v>1979</v>
      </c>
      <c r="K4349" t="s">
        <v>51</v>
      </c>
      <c r="L4349" t="s">
        <v>52</v>
      </c>
      <c r="M4349">
        <v>136999.32</v>
      </c>
      <c r="N4349">
        <v>474477.07799999998</v>
      </c>
      <c r="O4349" t="s">
        <v>53</v>
      </c>
      <c r="P4349" t="s">
        <v>54</v>
      </c>
      <c r="Q4349" t="s">
        <v>55</v>
      </c>
      <c r="T4349" t="s">
        <v>691</v>
      </c>
      <c r="U4349">
        <v>40</v>
      </c>
      <c r="V4349" s="1">
        <v>34700</v>
      </c>
      <c r="W4349" s="1">
        <v>34700</v>
      </c>
      <c r="X4349" s="1">
        <v>34700</v>
      </c>
      <c r="Y4349" s="1">
        <v>49310</v>
      </c>
      <c r="Z4349" t="s">
        <v>51</v>
      </c>
      <c r="AB4349" t="s">
        <v>54</v>
      </c>
      <c r="AC4349">
        <v>1</v>
      </c>
      <c r="AE4349" t="s">
        <v>564</v>
      </c>
      <c r="AF4349">
        <v>20</v>
      </c>
      <c r="AG4349" s="1">
        <v>34700</v>
      </c>
      <c r="AH4349" s="1">
        <v>34700</v>
      </c>
      <c r="AI4349" s="1">
        <v>34700</v>
      </c>
      <c r="AJ4349" s="1">
        <v>42005</v>
      </c>
      <c r="AK4349" t="s">
        <v>51</v>
      </c>
      <c r="AN4349">
        <v>0</v>
      </c>
      <c r="AO4349" t="s">
        <v>54</v>
      </c>
      <c r="AP4349" t="s">
        <v>53</v>
      </c>
      <c r="AQ4349">
        <v>0</v>
      </c>
      <c r="AR4349" t="s">
        <v>53</v>
      </c>
      <c r="AS4349">
        <v>0</v>
      </c>
      <c r="AT4349">
        <v>0</v>
      </c>
      <c r="AW4349" t="s">
        <v>58</v>
      </c>
      <c r="AX4349">
        <v>20</v>
      </c>
      <c r="AY4349" s="1">
        <v>34700</v>
      </c>
      <c r="AZ4349" s="1">
        <v>34700</v>
      </c>
      <c r="BA4349" s="1">
        <v>34700</v>
      </c>
      <c r="BB4349" s="1">
        <v>42005</v>
      </c>
      <c r="BC4349" t="s">
        <v>51</v>
      </c>
      <c r="BE4349" t="s">
        <v>54</v>
      </c>
      <c r="BF4349">
        <v>2</v>
      </c>
      <c r="BG4349">
        <v>0</v>
      </c>
      <c r="BH4349" t="s">
        <v>53</v>
      </c>
      <c r="BK4349" t="s">
        <v>59</v>
      </c>
      <c r="BL4349">
        <v>14000</v>
      </c>
      <c r="BM4349" s="1">
        <v>44341</v>
      </c>
      <c r="BN4349" s="1">
        <v>44341</v>
      </c>
      <c r="BO4349" s="1">
        <v>44341</v>
      </c>
      <c r="BP4349" s="1">
        <v>45556</v>
      </c>
      <c r="BQ4349" t="s">
        <v>51</v>
      </c>
      <c r="BS4349" t="s">
        <v>60</v>
      </c>
      <c r="BT4349" t="s">
        <v>54</v>
      </c>
      <c r="BU4349" t="s">
        <v>61</v>
      </c>
      <c r="BV4349" t="s">
        <v>62</v>
      </c>
      <c r="BX4349">
        <v>24</v>
      </c>
      <c r="BY4349">
        <v>0</v>
      </c>
      <c r="BZ4349">
        <v>0</v>
      </c>
    </row>
    <row r="4350" spans="1:78" x14ac:dyDescent="0.2">
      <c r="A4350" t="s">
        <v>112</v>
      </c>
      <c r="B4350" t="s">
        <v>113</v>
      </c>
      <c r="C4350" t="s">
        <v>114</v>
      </c>
      <c r="D4350" t="s">
        <v>2066</v>
      </c>
      <c r="F4350" t="str">
        <f>"251398"</f>
        <v>251398</v>
      </c>
      <c r="G4350" t="s">
        <v>49</v>
      </c>
      <c r="H4350" t="s">
        <v>1979</v>
      </c>
      <c r="K4350" t="s">
        <v>51</v>
      </c>
      <c r="L4350" t="s">
        <v>52</v>
      </c>
      <c r="M4350">
        <v>136963.345</v>
      </c>
      <c r="N4350">
        <v>474438.00300000003</v>
      </c>
      <c r="O4350" t="s">
        <v>53</v>
      </c>
      <c r="P4350" t="s">
        <v>54</v>
      </c>
      <c r="Q4350" t="s">
        <v>55</v>
      </c>
      <c r="T4350" t="s">
        <v>691</v>
      </c>
      <c r="U4350">
        <v>40</v>
      </c>
      <c r="V4350" s="1">
        <v>34700</v>
      </c>
      <c r="W4350" s="1">
        <v>34700</v>
      </c>
      <c r="X4350" s="1">
        <v>34700</v>
      </c>
      <c r="Y4350" s="1">
        <v>49310</v>
      </c>
      <c r="Z4350" t="s">
        <v>51</v>
      </c>
      <c r="AB4350" t="s">
        <v>54</v>
      </c>
      <c r="AC4350">
        <v>1</v>
      </c>
      <c r="AE4350" t="s">
        <v>564</v>
      </c>
      <c r="AF4350">
        <v>20</v>
      </c>
      <c r="AG4350" s="1">
        <v>34700</v>
      </c>
      <c r="AH4350" s="1">
        <v>34700</v>
      </c>
      <c r="AI4350" s="1">
        <v>34700</v>
      </c>
      <c r="AJ4350" s="1">
        <v>42005</v>
      </c>
      <c r="AK4350" t="s">
        <v>51</v>
      </c>
      <c r="AN4350">
        <v>0</v>
      </c>
      <c r="AO4350" t="s">
        <v>54</v>
      </c>
      <c r="AP4350" t="s">
        <v>53</v>
      </c>
      <c r="AQ4350">
        <v>0</v>
      </c>
      <c r="AR4350" t="s">
        <v>53</v>
      </c>
      <c r="AS4350">
        <v>0</v>
      </c>
      <c r="AT4350">
        <v>0</v>
      </c>
      <c r="AW4350" t="s">
        <v>58</v>
      </c>
      <c r="AX4350">
        <v>20</v>
      </c>
      <c r="AY4350" s="1">
        <v>34700</v>
      </c>
      <c r="AZ4350" s="1">
        <v>34700</v>
      </c>
      <c r="BA4350" s="1">
        <v>34700</v>
      </c>
      <c r="BB4350" s="1">
        <v>42005</v>
      </c>
      <c r="BC4350" t="s">
        <v>51</v>
      </c>
      <c r="BE4350" t="s">
        <v>54</v>
      </c>
      <c r="BF4350">
        <v>2</v>
      </c>
      <c r="BG4350">
        <v>0</v>
      </c>
      <c r="BH4350" t="s">
        <v>53</v>
      </c>
      <c r="BK4350" t="s">
        <v>59</v>
      </c>
      <c r="BL4350">
        <v>14000</v>
      </c>
      <c r="BM4350" s="1">
        <v>44341</v>
      </c>
      <c r="BN4350" s="1">
        <v>44341</v>
      </c>
      <c r="BO4350" s="1">
        <v>44341</v>
      </c>
      <c r="BP4350" s="1">
        <v>45556</v>
      </c>
      <c r="BQ4350" t="s">
        <v>51</v>
      </c>
      <c r="BS4350" t="s">
        <v>60</v>
      </c>
      <c r="BT4350" t="s">
        <v>54</v>
      </c>
      <c r="BU4350" t="s">
        <v>61</v>
      </c>
      <c r="BV4350" t="s">
        <v>62</v>
      </c>
      <c r="BX4350">
        <v>24</v>
      </c>
      <c r="BY4350">
        <v>0</v>
      </c>
      <c r="BZ4350">
        <v>0</v>
      </c>
    </row>
    <row r="4351" spans="1:78" x14ac:dyDescent="0.2">
      <c r="A4351" t="s">
        <v>112</v>
      </c>
      <c r="B4351" t="s">
        <v>113</v>
      </c>
      <c r="C4351" t="s">
        <v>114</v>
      </c>
      <c r="D4351" t="s">
        <v>2066</v>
      </c>
      <c r="F4351" t="str">
        <f>"251399"</f>
        <v>251399</v>
      </c>
      <c r="G4351" t="s">
        <v>49</v>
      </c>
      <c r="H4351" t="s">
        <v>1979</v>
      </c>
      <c r="K4351" t="s">
        <v>51</v>
      </c>
      <c r="L4351" t="s">
        <v>52</v>
      </c>
      <c r="M4351">
        <v>136940.32</v>
      </c>
      <c r="N4351">
        <v>474412.03</v>
      </c>
      <c r="O4351" t="s">
        <v>53</v>
      </c>
      <c r="P4351" t="s">
        <v>54</v>
      </c>
      <c r="Q4351" t="s">
        <v>55</v>
      </c>
      <c r="T4351" t="s">
        <v>563</v>
      </c>
      <c r="U4351">
        <v>40</v>
      </c>
      <c r="V4351" s="1">
        <v>34700</v>
      </c>
      <c r="W4351" s="1">
        <v>34700</v>
      </c>
      <c r="X4351" s="1">
        <v>34700</v>
      </c>
      <c r="Y4351" s="1">
        <v>49310</v>
      </c>
      <c r="Z4351" t="s">
        <v>51</v>
      </c>
      <c r="AB4351" t="s">
        <v>54</v>
      </c>
      <c r="AC4351">
        <v>1</v>
      </c>
      <c r="AE4351" t="s">
        <v>564</v>
      </c>
      <c r="AF4351">
        <v>20</v>
      </c>
      <c r="AG4351" s="1">
        <v>34700</v>
      </c>
      <c r="AH4351" s="1">
        <v>34700</v>
      </c>
      <c r="AI4351" s="1">
        <v>34700</v>
      </c>
      <c r="AJ4351" s="1">
        <v>42005</v>
      </c>
      <c r="AK4351" t="s">
        <v>51</v>
      </c>
      <c r="AN4351">
        <v>0</v>
      </c>
      <c r="AO4351" t="s">
        <v>54</v>
      </c>
      <c r="AP4351" t="s">
        <v>53</v>
      </c>
      <c r="AQ4351">
        <v>0</v>
      </c>
      <c r="AR4351" t="s">
        <v>53</v>
      </c>
      <c r="AS4351">
        <v>0</v>
      </c>
      <c r="AT4351">
        <v>0</v>
      </c>
      <c r="AW4351" t="s">
        <v>58</v>
      </c>
      <c r="AX4351">
        <v>20</v>
      </c>
      <c r="AY4351" s="1">
        <v>34700</v>
      </c>
      <c r="AZ4351" s="1">
        <v>34700</v>
      </c>
      <c r="BA4351" s="1">
        <v>34700</v>
      </c>
      <c r="BB4351" s="1">
        <v>42005</v>
      </c>
      <c r="BC4351" t="s">
        <v>51</v>
      </c>
      <c r="BE4351" t="s">
        <v>54</v>
      </c>
      <c r="BF4351">
        <v>2</v>
      </c>
      <c r="BG4351">
        <v>0</v>
      </c>
      <c r="BH4351" t="s">
        <v>53</v>
      </c>
      <c r="BK4351" t="s">
        <v>59</v>
      </c>
      <c r="BL4351">
        <v>14000</v>
      </c>
      <c r="BM4351" s="1">
        <v>44341</v>
      </c>
      <c r="BN4351" s="1">
        <v>44341</v>
      </c>
      <c r="BO4351" s="1">
        <v>44341</v>
      </c>
      <c r="BP4351" s="1">
        <v>45556</v>
      </c>
      <c r="BQ4351" t="s">
        <v>51</v>
      </c>
      <c r="BS4351" t="s">
        <v>60</v>
      </c>
      <c r="BT4351" t="s">
        <v>54</v>
      </c>
      <c r="BU4351" t="s">
        <v>61</v>
      </c>
      <c r="BV4351" t="s">
        <v>62</v>
      </c>
      <c r="BX4351">
        <v>24</v>
      </c>
      <c r="BY4351">
        <v>0</v>
      </c>
      <c r="BZ4351">
        <v>0</v>
      </c>
    </row>
    <row r="4352" spans="1:78" x14ac:dyDescent="0.2">
      <c r="A4352" t="s">
        <v>112</v>
      </c>
      <c r="B4352" t="s">
        <v>113</v>
      </c>
      <c r="C4352" t="s">
        <v>114</v>
      </c>
      <c r="D4352" t="s">
        <v>2066</v>
      </c>
      <c r="F4352" t="str">
        <f>"251400"</f>
        <v>251400</v>
      </c>
      <c r="G4352" t="s">
        <v>49</v>
      </c>
      <c r="H4352" t="s">
        <v>1979</v>
      </c>
      <c r="K4352" t="s">
        <v>51</v>
      </c>
      <c r="L4352" t="s">
        <v>52</v>
      </c>
      <c r="M4352">
        <v>136917.318</v>
      </c>
      <c r="N4352">
        <v>474386.29499999998</v>
      </c>
      <c r="O4352" t="s">
        <v>53</v>
      </c>
      <c r="P4352" t="s">
        <v>54</v>
      </c>
      <c r="Q4352" t="s">
        <v>55</v>
      </c>
      <c r="T4352" t="s">
        <v>691</v>
      </c>
      <c r="U4352">
        <v>40</v>
      </c>
      <c r="V4352" s="1">
        <v>34700</v>
      </c>
      <c r="W4352" s="1">
        <v>34700</v>
      </c>
      <c r="X4352" s="1">
        <v>34700</v>
      </c>
      <c r="Y4352" s="1">
        <v>49310</v>
      </c>
      <c r="Z4352" t="s">
        <v>51</v>
      </c>
      <c r="AB4352" t="s">
        <v>54</v>
      </c>
      <c r="AC4352">
        <v>1</v>
      </c>
      <c r="AE4352" t="s">
        <v>564</v>
      </c>
      <c r="AF4352">
        <v>20</v>
      </c>
      <c r="AG4352" s="1">
        <v>34700</v>
      </c>
      <c r="AH4352" s="1">
        <v>34700</v>
      </c>
      <c r="AI4352" s="1">
        <v>34700</v>
      </c>
      <c r="AJ4352" s="1">
        <v>42005</v>
      </c>
      <c r="AK4352" t="s">
        <v>51</v>
      </c>
      <c r="AN4352">
        <v>0</v>
      </c>
      <c r="AO4352" t="s">
        <v>54</v>
      </c>
      <c r="AP4352" t="s">
        <v>53</v>
      </c>
      <c r="AQ4352">
        <v>0</v>
      </c>
      <c r="AR4352" t="s">
        <v>53</v>
      </c>
      <c r="AS4352">
        <v>0</v>
      </c>
      <c r="AT4352">
        <v>0</v>
      </c>
      <c r="AW4352" t="s">
        <v>58</v>
      </c>
      <c r="AX4352">
        <v>20</v>
      </c>
      <c r="AY4352" s="1">
        <v>34700</v>
      </c>
      <c r="AZ4352" s="1">
        <v>34700</v>
      </c>
      <c r="BA4352" s="1">
        <v>34700</v>
      </c>
      <c r="BB4352" s="1">
        <v>42005</v>
      </c>
      <c r="BC4352" t="s">
        <v>51</v>
      </c>
      <c r="BE4352" t="s">
        <v>54</v>
      </c>
      <c r="BF4352">
        <v>2</v>
      </c>
      <c r="BG4352">
        <v>0</v>
      </c>
      <c r="BH4352" t="s">
        <v>53</v>
      </c>
      <c r="BK4352" t="s">
        <v>59</v>
      </c>
      <c r="BL4352">
        <v>14000</v>
      </c>
      <c r="BM4352" s="1">
        <v>44341</v>
      </c>
      <c r="BN4352" s="1">
        <v>44341</v>
      </c>
      <c r="BO4352" s="1">
        <v>44341</v>
      </c>
      <c r="BP4352" s="1">
        <v>45556</v>
      </c>
      <c r="BQ4352" t="s">
        <v>51</v>
      </c>
      <c r="BS4352" t="s">
        <v>60</v>
      </c>
      <c r="BT4352" t="s">
        <v>54</v>
      </c>
      <c r="BU4352" t="s">
        <v>61</v>
      </c>
      <c r="BV4352" t="s">
        <v>62</v>
      </c>
      <c r="BX4352">
        <v>24</v>
      </c>
      <c r="BY4352">
        <v>0</v>
      </c>
      <c r="BZ4352">
        <v>0</v>
      </c>
    </row>
    <row r="4353" spans="1:78" x14ac:dyDescent="0.2">
      <c r="A4353" t="s">
        <v>112</v>
      </c>
      <c r="B4353" t="s">
        <v>113</v>
      </c>
      <c r="C4353" t="s">
        <v>114</v>
      </c>
      <c r="D4353" t="s">
        <v>2066</v>
      </c>
      <c r="F4353" t="str">
        <f>"251401"</f>
        <v>251401</v>
      </c>
      <c r="G4353" t="s">
        <v>49</v>
      </c>
      <c r="H4353" t="s">
        <v>1979</v>
      </c>
      <c r="K4353" t="s">
        <v>51</v>
      </c>
      <c r="L4353" t="s">
        <v>52</v>
      </c>
      <c r="M4353">
        <v>136894.59899999999</v>
      </c>
      <c r="N4353">
        <v>474360.91899999999</v>
      </c>
      <c r="O4353" t="s">
        <v>53</v>
      </c>
      <c r="P4353" t="s">
        <v>54</v>
      </c>
      <c r="Q4353" t="s">
        <v>55</v>
      </c>
      <c r="T4353" t="s">
        <v>691</v>
      </c>
      <c r="U4353">
        <v>40</v>
      </c>
      <c r="V4353" s="1">
        <v>34700</v>
      </c>
      <c r="W4353" s="1">
        <v>34700</v>
      </c>
      <c r="X4353" s="1">
        <v>34700</v>
      </c>
      <c r="Y4353" s="1">
        <v>49310</v>
      </c>
      <c r="Z4353" t="s">
        <v>51</v>
      </c>
      <c r="AB4353" t="s">
        <v>54</v>
      </c>
      <c r="AC4353">
        <v>1</v>
      </c>
      <c r="AE4353" t="s">
        <v>564</v>
      </c>
      <c r="AF4353">
        <v>20</v>
      </c>
      <c r="AG4353" s="1">
        <v>34700</v>
      </c>
      <c r="AH4353" s="1">
        <v>34700</v>
      </c>
      <c r="AI4353" s="1">
        <v>34700</v>
      </c>
      <c r="AJ4353" s="1">
        <v>42005</v>
      </c>
      <c r="AK4353" t="s">
        <v>51</v>
      </c>
      <c r="AN4353">
        <v>0</v>
      </c>
      <c r="AO4353" t="s">
        <v>54</v>
      </c>
      <c r="AP4353" t="s">
        <v>53</v>
      </c>
      <c r="AQ4353">
        <v>0</v>
      </c>
      <c r="AR4353" t="s">
        <v>53</v>
      </c>
      <c r="AS4353">
        <v>0</v>
      </c>
      <c r="AT4353">
        <v>0</v>
      </c>
      <c r="AW4353" t="s">
        <v>58</v>
      </c>
      <c r="AX4353">
        <v>20</v>
      </c>
      <c r="AY4353" s="1">
        <v>34700</v>
      </c>
      <c r="AZ4353" s="1">
        <v>34700</v>
      </c>
      <c r="BA4353" s="1">
        <v>34700</v>
      </c>
      <c r="BB4353" s="1">
        <v>42005</v>
      </c>
      <c r="BC4353" t="s">
        <v>51</v>
      </c>
      <c r="BE4353" t="s">
        <v>54</v>
      </c>
      <c r="BF4353">
        <v>2</v>
      </c>
      <c r="BG4353">
        <v>0</v>
      </c>
      <c r="BH4353" t="s">
        <v>53</v>
      </c>
      <c r="BK4353" t="s">
        <v>59</v>
      </c>
      <c r="BL4353">
        <v>14000</v>
      </c>
      <c r="BM4353" s="1">
        <v>44341</v>
      </c>
      <c r="BN4353" s="1">
        <v>44341</v>
      </c>
      <c r="BO4353" s="1">
        <v>44341</v>
      </c>
      <c r="BP4353" s="1">
        <v>45556</v>
      </c>
      <c r="BQ4353" t="s">
        <v>51</v>
      </c>
      <c r="BS4353" t="s">
        <v>60</v>
      </c>
      <c r="BT4353" t="s">
        <v>54</v>
      </c>
      <c r="BU4353" t="s">
        <v>61</v>
      </c>
      <c r="BV4353" t="s">
        <v>62</v>
      </c>
      <c r="BX4353">
        <v>24</v>
      </c>
      <c r="BY4353">
        <v>0</v>
      </c>
      <c r="BZ4353">
        <v>0</v>
      </c>
    </row>
    <row r="4354" spans="1:78" x14ac:dyDescent="0.2">
      <c r="A4354" t="s">
        <v>112</v>
      </c>
      <c r="B4354" t="s">
        <v>113</v>
      </c>
      <c r="C4354" t="s">
        <v>114</v>
      </c>
      <c r="D4354" t="s">
        <v>2066</v>
      </c>
      <c r="F4354" t="str">
        <f>"251402"</f>
        <v>251402</v>
      </c>
      <c r="G4354" t="s">
        <v>49</v>
      </c>
      <c r="H4354" t="s">
        <v>1979</v>
      </c>
      <c r="K4354" t="s">
        <v>51</v>
      </c>
      <c r="L4354" t="s">
        <v>52</v>
      </c>
      <c r="M4354">
        <v>136870.83799999999</v>
      </c>
      <c r="N4354">
        <v>474334.68199999997</v>
      </c>
      <c r="O4354" t="s">
        <v>53</v>
      </c>
      <c r="P4354" t="s">
        <v>54</v>
      </c>
      <c r="Q4354" t="s">
        <v>55</v>
      </c>
      <c r="T4354" t="s">
        <v>691</v>
      </c>
      <c r="U4354">
        <v>40</v>
      </c>
      <c r="V4354" s="1">
        <v>34700</v>
      </c>
      <c r="W4354" s="1">
        <v>34700</v>
      </c>
      <c r="X4354" s="1">
        <v>34700</v>
      </c>
      <c r="Y4354" s="1">
        <v>49310</v>
      </c>
      <c r="Z4354" t="s">
        <v>51</v>
      </c>
      <c r="AB4354" t="s">
        <v>54</v>
      </c>
      <c r="AC4354">
        <v>1</v>
      </c>
      <c r="AE4354" t="s">
        <v>564</v>
      </c>
      <c r="AF4354">
        <v>20</v>
      </c>
      <c r="AG4354" s="1">
        <v>34700</v>
      </c>
      <c r="AH4354" s="1">
        <v>34700</v>
      </c>
      <c r="AI4354" s="1">
        <v>34700</v>
      </c>
      <c r="AJ4354" s="1">
        <v>42005</v>
      </c>
      <c r="AK4354" t="s">
        <v>51</v>
      </c>
      <c r="AN4354">
        <v>0</v>
      </c>
      <c r="AO4354" t="s">
        <v>54</v>
      </c>
      <c r="AP4354" t="s">
        <v>53</v>
      </c>
      <c r="AQ4354">
        <v>0</v>
      </c>
      <c r="AR4354" t="s">
        <v>53</v>
      </c>
      <c r="AS4354">
        <v>0</v>
      </c>
      <c r="AT4354">
        <v>0</v>
      </c>
      <c r="AW4354" t="s">
        <v>58</v>
      </c>
      <c r="AX4354">
        <v>20</v>
      </c>
      <c r="AY4354" s="1">
        <v>34700</v>
      </c>
      <c r="AZ4354" s="1">
        <v>34700</v>
      </c>
      <c r="BA4354" s="1">
        <v>34700</v>
      </c>
      <c r="BB4354" s="1">
        <v>42005</v>
      </c>
      <c r="BC4354" t="s">
        <v>51</v>
      </c>
      <c r="BE4354" t="s">
        <v>54</v>
      </c>
      <c r="BF4354">
        <v>2</v>
      </c>
      <c r="BG4354">
        <v>0</v>
      </c>
      <c r="BH4354" t="s">
        <v>53</v>
      </c>
      <c r="BK4354" t="s">
        <v>59</v>
      </c>
      <c r="BL4354">
        <v>14000</v>
      </c>
      <c r="BM4354" s="1">
        <v>44341</v>
      </c>
      <c r="BN4354" s="1">
        <v>44341</v>
      </c>
      <c r="BO4354" s="1">
        <v>44341</v>
      </c>
      <c r="BP4354" s="1">
        <v>45556</v>
      </c>
      <c r="BQ4354" t="s">
        <v>51</v>
      </c>
      <c r="BS4354" t="s">
        <v>60</v>
      </c>
      <c r="BT4354" t="s">
        <v>54</v>
      </c>
      <c r="BU4354" t="s">
        <v>61</v>
      </c>
      <c r="BV4354" t="s">
        <v>62</v>
      </c>
      <c r="BX4354">
        <v>24</v>
      </c>
      <c r="BY4354">
        <v>0</v>
      </c>
      <c r="BZ4354">
        <v>0</v>
      </c>
    </row>
    <row r="4355" spans="1:78" x14ac:dyDescent="0.2">
      <c r="A4355" t="s">
        <v>112</v>
      </c>
      <c r="B4355" t="s">
        <v>113</v>
      </c>
      <c r="C4355" t="s">
        <v>114</v>
      </c>
      <c r="D4355" t="s">
        <v>2066</v>
      </c>
      <c r="F4355" t="str">
        <f>"251403"</f>
        <v>251403</v>
      </c>
      <c r="G4355" t="s">
        <v>49</v>
      </c>
      <c r="H4355" t="s">
        <v>1979</v>
      </c>
      <c r="K4355" t="s">
        <v>51</v>
      </c>
      <c r="L4355" t="s">
        <v>52</v>
      </c>
      <c r="M4355">
        <v>136853.386</v>
      </c>
      <c r="N4355">
        <v>474314.37900000002</v>
      </c>
      <c r="O4355" t="s">
        <v>53</v>
      </c>
      <c r="P4355" t="s">
        <v>54</v>
      </c>
      <c r="Q4355" t="s">
        <v>55</v>
      </c>
      <c r="T4355" t="s">
        <v>691</v>
      </c>
      <c r="U4355">
        <v>40</v>
      </c>
      <c r="V4355" s="1">
        <v>34700</v>
      </c>
      <c r="W4355" s="1">
        <v>34700</v>
      </c>
      <c r="X4355" s="1">
        <v>34700</v>
      </c>
      <c r="Y4355" s="1">
        <v>49310</v>
      </c>
      <c r="Z4355" t="s">
        <v>51</v>
      </c>
      <c r="AB4355" t="s">
        <v>54</v>
      </c>
      <c r="AC4355">
        <v>1</v>
      </c>
      <c r="AE4355" t="s">
        <v>564</v>
      </c>
      <c r="AF4355">
        <v>20</v>
      </c>
      <c r="AG4355" s="1">
        <v>34700</v>
      </c>
      <c r="AH4355" s="1">
        <v>34700</v>
      </c>
      <c r="AI4355" s="1">
        <v>34700</v>
      </c>
      <c r="AJ4355" s="1">
        <v>42005</v>
      </c>
      <c r="AK4355" t="s">
        <v>51</v>
      </c>
      <c r="AN4355">
        <v>0</v>
      </c>
      <c r="AO4355" t="s">
        <v>54</v>
      </c>
      <c r="AP4355" t="s">
        <v>53</v>
      </c>
      <c r="AQ4355">
        <v>0</v>
      </c>
      <c r="AR4355" t="s">
        <v>53</v>
      </c>
      <c r="AS4355">
        <v>0</v>
      </c>
      <c r="AT4355">
        <v>0</v>
      </c>
      <c r="AW4355" t="s">
        <v>58</v>
      </c>
      <c r="AX4355">
        <v>20</v>
      </c>
      <c r="AY4355" s="1">
        <v>34700</v>
      </c>
      <c r="AZ4355" s="1">
        <v>34700</v>
      </c>
      <c r="BA4355" s="1">
        <v>34700</v>
      </c>
      <c r="BB4355" s="1">
        <v>42005</v>
      </c>
      <c r="BC4355" t="s">
        <v>51</v>
      </c>
      <c r="BE4355" t="s">
        <v>54</v>
      </c>
      <c r="BF4355">
        <v>2</v>
      </c>
      <c r="BG4355">
        <v>0</v>
      </c>
      <c r="BH4355" t="s">
        <v>53</v>
      </c>
      <c r="BK4355" t="s">
        <v>59</v>
      </c>
      <c r="BL4355">
        <v>14000</v>
      </c>
      <c r="BM4355" s="1">
        <v>44341</v>
      </c>
      <c r="BN4355" s="1">
        <v>44341</v>
      </c>
      <c r="BO4355" s="1">
        <v>44341</v>
      </c>
      <c r="BP4355" s="1">
        <v>45556</v>
      </c>
      <c r="BQ4355" t="s">
        <v>51</v>
      </c>
      <c r="BS4355" t="s">
        <v>60</v>
      </c>
      <c r="BT4355" t="s">
        <v>54</v>
      </c>
      <c r="BU4355" t="s">
        <v>61</v>
      </c>
      <c r="BV4355" t="s">
        <v>62</v>
      </c>
      <c r="BX4355">
        <v>24</v>
      </c>
      <c r="BY4355">
        <v>0</v>
      </c>
      <c r="BZ4355">
        <v>0</v>
      </c>
    </row>
    <row r="4356" spans="1:78" x14ac:dyDescent="0.2">
      <c r="A4356" t="s">
        <v>112</v>
      </c>
      <c r="B4356" t="s">
        <v>113</v>
      </c>
      <c r="C4356" t="s">
        <v>114</v>
      </c>
      <c r="D4356" t="s">
        <v>2066</v>
      </c>
      <c r="F4356" t="str">
        <f>"251404"</f>
        <v>251404</v>
      </c>
      <c r="G4356" t="s">
        <v>49</v>
      </c>
      <c r="H4356" t="s">
        <v>1979</v>
      </c>
      <c r="K4356" t="s">
        <v>51</v>
      </c>
      <c r="L4356" t="s">
        <v>52</v>
      </c>
      <c r="M4356">
        <v>136835.21</v>
      </c>
      <c r="N4356">
        <v>474295.53200000001</v>
      </c>
      <c r="O4356" t="s">
        <v>53</v>
      </c>
      <c r="P4356" t="s">
        <v>54</v>
      </c>
      <c r="Q4356" t="s">
        <v>55</v>
      </c>
      <c r="T4356" t="s">
        <v>691</v>
      </c>
      <c r="U4356">
        <v>40</v>
      </c>
      <c r="V4356" s="1">
        <v>34700</v>
      </c>
      <c r="W4356" s="1">
        <v>34700</v>
      </c>
      <c r="X4356" s="1">
        <v>34700</v>
      </c>
      <c r="Y4356" s="1">
        <v>49310</v>
      </c>
      <c r="Z4356" t="s">
        <v>51</v>
      </c>
      <c r="AB4356" t="s">
        <v>54</v>
      </c>
      <c r="AC4356">
        <v>1</v>
      </c>
      <c r="AE4356" t="s">
        <v>564</v>
      </c>
      <c r="AF4356">
        <v>20</v>
      </c>
      <c r="AG4356" s="1">
        <v>34700</v>
      </c>
      <c r="AH4356" s="1">
        <v>34700</v>
      </c>
      <c r="AI4356" s="1">
        <v>34700</v>
      </c>
      <c r="AJ4356" s="1">
        <v>42005</v>
      </c>
      <c r="AK4356" t="s">
        <v>51</v>
      </c>
      <c r="AN4356">
        <v>0</v>
      </c>
      <c r="AO4356" t="s">
        <v>54</v>
      </c>
      <c r="AP4356" t="s">
        <v>53</v>
      </c>
      <c r="AQ4356">
        <v>0</v>
      </c>
      <c r="AR4356" t="s">
        <v>53</v>
      </c>
      <c r="AS4356">
        <v>0</v>
      </c>
      <c r="AT4356">
        <v>0</v>
      </c>
      <c r="AW4356" t="s">
        <v>58</v>
      </c>
      <c r="AX4356">
        <v>20</v>
      </c>
      <c r="AY4356" s="1">
        <v>34700</v>
      </c>
      <c r="AZ4356" s="1">
        <v>34700</v>
      </c>
      <c r="BA4356" s="1">
        <v>34700</v>
      </c>
      <c r="BB4356" s="1">
        <v>42005</v>
      </c>
      <c r="BC4356" t="s">
        <v>51</v>
      </c>
      <c r="BE4356" t="s">
        <v>54</v>
      </c>
      <c r="BF4356">
        <v>2</v>
      </c>
      <c r="BG4356">
        <v>0</v>
      </c>
      <c r="BH4356" t="s">
        <v>53</v>
      </c>
      <c r="BK4356" t="s">
        <v>59</v>
      </c>
      <c r="BL4356">
        <v>14000</v>
      </c>
      <c r="BM4356" s="1">
        <v>44341</v>
      </c>
      <c r="BN4356" s="1">
        <v>44341</v>
      </c>
      <c r="BO4356" s="1">
        <v>44341</v>
      </c>
      <c r="BP4356" s="1">
        <v>45556</v>
      </c>
      <c r="BQ4356" t="s">
        <v>51</v>
      </c>
      <c r="BS4356" t="s">
        <v>60</v>
      </c>
      <c r="BT4356" t="s">
        <v>54</v>
      </c>
      <c r="BU4356" t="s">
        <v>61</v>
      </c>
      <c r="BV4356" t="s">
        <v>62</v>
      </c>
      <c r="BX4356">
        <v>24</v>
      </c>
      <c r="BY4356">
        <v>0</v>
      </c>
      <c r="BZ4356">
        <v>0</v>
      </c>
    </row>
    <row r="4357" spans="1:78" x14ac:dyDescent="0.2">
      <c r="A4357" t="s">
        <v>112</v>
      </c>
      <c r="B4357" t="s">
        <v>113</v>
      </c>
      <c r="C4357" t="s">
        <v>114</v>
      </c>
      <c r="D4357" t="s">
        <v>2066</v>
      </c>
      <c r="F4357" t="str">
        <f>"251405"</f>
        <v>251405</v>
      </c>
      <c r="G4357" t="s">
        <v>49</v>
      </c>
      <c r="H4357" t="s">
        <v>1979</v>
      </c>
      <c r="K4357" t="s">
        <v>51</v>
      </c>
      <c r="L4357" t="s">
        <v>52</v>
      </c>
      <c r="M4357">
        <v>136837.65100000001</v>
      </c>
      <c r="N4357">
        <v>474270.86499999999</v>
      </c>
      <c r="O4357" t="s">
        <v>53</v>
      </c>
      <c r="P4357" t="s">
        <v>54</v>
      </c>
      <c r="Q4357" t="s">
        <v>55</v>
      </c>
      <c r="T4357" t="s">
        <v>691</v>
      </c>
      <c r="U4357">
        <v>40</v>
      </c>
      <c r="V4357" s="1">
        <v>34700</v>
      </c>
      <c r="W4357" s="1">
        <v>34700</v>
      </c>
      <c r="X4357" s="1">
        <v>34700</v>
      </c>
      <c r="Y4357" s="1">
        <v>49310</v>
      </c>
      <c r="Z4357" t="s">
        <v>51</v>
      </c>
      <c r="AB4357" t="s">
        <v>54</v>
      </c>
      <c r="AC4357">
        <v>1</v>
      </c>
      <c r="AE4357" t="s">
        <v>564</v>
      </c>
      <c r="AF4357">
        <v>20</v>
      </c>
      <c r="AG4357" s="1">
        <v>34700</v>
      </c>
      <c r="AH4357" s="1">
        <v>34700</v>
      </c>
      <c r="AI4357" s="1">
        <v>34700</v>
      </c>
      <c r="AJ4357" s="1">
        <v>42005</v>
      </c>
      <c r="AK4357" t="s">
        <v>51</v>
      </c>
      <c r="AN4357">
        <v>0</v>
      </c>
      <c r="AO4357" t="s">
        <v>54</v>
      </c>
      <c r="AP4357" t="s">
        <v>53</v>
      </c>
      <c r="AQ4357">
        <v>0</v>
      </c>
      <c r="AR4357" t="s">
        <v>53</v>
      </c>
      <c r="AS4357">
        <v>0</v>
      </c>
      <c r="AT4357">
        <v>0</v>
      </c>
      <c r="AW4357" t="s">
        <v>58</v>
      </c>
      <c r="AX4357">
        <v>20</v>
      </c>
      <c r="AY4357" s="1">
        <v>34700</v>
      </c>
      <c r="AZ4357" s="1">
        <v>34700</v>
      </c>
      <c r="BA4357" s="1">
        <v>34700</v>
      </c>
      <c r="BB4357" s="1">
        <v>42005</v>
      </c>
      <c r="BC4357" t="s">
        <v>51</v>
      </c>
      <c r="BE4357" t="s">
        <v>54</v>
      </c>
      <c r="BF4357">
        <v>2</v>
      </c>
      <c r="BG4357">
        <v>0</v>
      </c>
      <c r="BH4357" t="s">
        <v>53</v>
      </c>
      <c r="BK4357" t="s">
        <v>59</v>
      </c>
      <c r="BL4357">
        <v>14000</v>
      </c>
      <c r="BM4357" s="1">
        <v>44341</v>
      </c>
      <c r="BN4357" s="1">
        <v>44341</v>
      </c>
      <c r="BO4357" s="1">
        <v>44341</v>
      </c>
      <c r="BP4357" s="1">
        <v>45556</v>
      </c>
      <c r="BQ4357" t="s">
        <v>51</v>
      </c>
      <c r="BS4357" t="s">
        <v>60</v>
      </c>
      <c r="BT4357" t="s">
        <v>54</v>
      </c>
      <c r="BU4357" t="s">
        <v>61</v>
      </c>
      <c r="BV4357" t="s">
        <v>62</v>
      </c>
      <c r="BX4357">
        <v>24</v>
      </c>
      <c r="BY4357">
        <v>0</v>
      </c>
      <c r="BZ4357">
        <v>0</v>
      </c>
    </row>
    <row r="4358" spans="1:78" x14ac:dyDescent="0.2">
      <c r="A4358" t="s">
        <v>112</v>
      </c>
      <c r="B4358" t="s">
        <v>113</v>
      </c>
      <c r="C4358" t="s">
        <v>114</v>
      </c>
      <c r="D4358" t="s">
        <v>2066</v>
      </c>
      <c r="F4358" t="str">
        <f>"251406"</f>
        <v>251406</v>
      </c>
      <c r="G4358" t="s">
        <v>49</v>
      </c>
      <c r="H4358" t="s">
        <v>1979</v>
      </c>
      <c r="K4358" t="s">
        <v>51</v>
      </c>
      <c r="L4358" t="s">
        <v>52</v>
      </c>
      <c r="M4358">
        <v>136838.51999999999</v>
      </c>
      <c r="N4358">
        <v>474244.04</v>
      </c>
      <c r="O4358" t="s">
        <v>53</v>
      </c>
      <c r="P4358" t="s">
        <v>54</v>
      </c>
      <c r="Q4358" t="s">
        <v>55</v>
      </c>
      <c r="T4358" t="s">
        <v>691</v>
      </c>
      <c r="U4358">
        <v>40</v>
      </c>
      <c r="V4358" s="1">
        <v>34700</v>
      </c>
      <c r="W4358" s="1">
        <v>34700</v>
      </c>
      <c r="X4358" s="1">
        <v>34700</v>
      </c>
      <c r="Y4358" s="1">
        <v>49310</v>
      </c>
      <c r="Z4358" t="s">
        <v>51</v>
      </c>
      <c r="AB4358" t="s">
        <v>54</v>
      </c>
      <c r="AC4358">
        <v>1</v>
      </c>
      <c r="AE4358" t="s">
        <v>564</v>
      </c>
      <c r="AF4358">
        <v>20</v>
      </c>
      <c r="AG4358" s="1">
        <v>34700</v>
      </c>
      <c r="AH4358" s="1">
        <v>34700</v>
      </c>
      <c r="AI4358" s="1">
        <v>34700</v>
      </c>
      <c r="AJ4358" s="1">
        <v>42005</v>
      </c>
      <c r="AK4358" t="s">
        <v>51</v>
      </c>
      <c r="AN4358">
        <v>0</v>
      </c>
      <c r="AO4358" t="s">
        <v>54</v>
      </c>
      <c r="AP4358" t="s">
        <v>53</v>
      </c>
      <c r="AQ4358">
        <v>0</v>
      </c>
      <c r="AR4358" t="s">
        <v>53</v>
      </c>
      <c r="AS4358">
        <v>0</v>
      </c>
      <c r="AT4358">
        <v>0</v>
      </c>
      <c r="AW4358" t="s">
        <v>58</v>
      </c>
      <c r="AX4358">
        <v>20</v>
      </c>
      <c r="AY4358" s="1">
        <v>34700</v>
      </c>
      <c r="AZ4358" s="1">
        <v>34700</v>
      </c>
      <c r="BA4358" s="1">
        <v>34700</v>
      </c>
      <c r="BB4358" s="1">
        <v>42005</v>
      </c>
      <c r="BC4358" t="s">
        <v>51</v>
      </c>
      <c r="BE4358" t="s">
        <v>54</v>
      </c>
      <c r="BF4358">
        <v>2</v>
      </c>
      <c r="BG4358">
        <v>0</v>
      </c>
      <c r="BH4358" t="s">
        <v>53</v>
      </c>
      <c r="BK4358" t="s">
        <v>59</v>
      </c>
      <c r="BL4358">
        <v>14000</v>
      </c>
      <c r="BM4358" s="1">
        <v>44341</v>
      </c>
      <c r="BN4358" s="1">
        <v>44341</v>
      </c>
      <c r="BO4358" s="1">
        <v>44341</v>
      </c>
      <c r="BP4358" s="1">
        <v>45556</v>
      </c>
      <c r="BQ4358" t="s">
        <v>51</v>
      </c>
      <c r="BS4358" t="s">
        <v>60</v>
      </c>
      <c r="BT4358" t="s">
        <v>54</v>
      </c>
      <c r="BU4358" t="s">
        <v>61</v>
      </c>
      <c r="BV4358" t="s">
        <v>62</v>
      </c>
      <c r="BX4358">
        <v>24</v>
      </c>
      <c r="BY4358">
        <v>0</v>
      </c>
      <c r="BZ4358">
        <v>0</v>
      </c>
    </row>
    <row r="4359" spans="1:78" x14ac:dyDescent="0.2">
      <c r="A4359" t="s">
        <v>112</v>
      </c>
      <c r="B4359" t="s">
        <v>113</v>
      </c>
      <c r="C4359" t="s">
        <v>114</v>
      </c>
      <c r="D4359" t="s">
        <v>2066</v>
      </c>
      <c r="F4359" t="str">
        <f>"251407"</f>
        <v>251407</v>
      </c>
      <c r="G4359" t="s">
        <v>49</v>
      </c>
      <c r="H4359" t="s">
        <v>1979</v>
      </c>
      <c r="K4359" t="s">
        <v>51</v>
      </c>
      <c r="L4359" t="s">
        <v>52</v>
      </c>
      <c r="M4359">
        <v>136841.16</v>
      </c>
      <c r="N4359">
        <v>474216.76</v>
      </c>
      <c r="O4359" t="s">
        <v>53</v>
      </c>
      <c r="P4359" t="s">
        <v>54</v>
      </c>
      <c r="Q4359" t="s">
        <v>55</v>
      </c>
      <c r="T4359" t="s">
        <v>691</v>
      </c>
      <c r="U4359">
        <v>40</v>
      </c>
      <c r="V4359" s="1">
        <v>34700</v>
      </c>
      <c r="W4359" s="1">
        <v>34700</v>
      </c>
      <c r="X4359" s="1">
        <v>34700</v>
      </c>
      <c r="Y4359" s="1">
        <v>49310</v>
      </c>
      <c r="Z4359" t="s">
        <v>51</v>
      </c>
      <c r="AB4359" t="s">
        <v>54</v>
      </c>
      <c r="AC4359">
        <v>1</v>
      </c>
      <c r="AE4359" t="s">
        <v>564</v>
      </c>
      <c r="AF4359">
        <v>20</v>
      </c>
      <c r="AG4359" s="1">
        <v>34700</v>
      </c>
      <c r="AH4359" s="1">
        <v>34700</v>
      </c>
      <c r="AI4359" s="1">
        <v>34700</v>
      </c>
      <c r="AJ4359" s="1">
        <v>42005</v>
      </c>
      <c r="AK4359" t="s">
        <v>51</v>
      </c>
      <c r="AN4359">
        <v>0</v>
      </c>
      <c r="AO4359" t="s">
        <v>54</v>
      </c>
      <c r="AP4359" t="s">
        <v>53</v>
      </c>
      <c r="AQ4359">
        <v>0</v>
      </c>
      <c r="AR4359" t="s">
        <v>53</v>
      </c>
      <c r="AS4359">
        <v>0</v>
      </c>
      <c r="AT4359">
        <v>0</v>
      </c>
      <c r="AW4359" t="s">
        <v>58</v>
      </c>
      <c r="AX4359">
        <v>20</v>
      </c>
      <c r="AY4359" s="1">
        <v>34700</v>
      </c>
      <c r="AZ4359" s="1">
        <v>34700</v>
      </c>
      <c r="BA4359" s="1">
        <v>34700</v>
      </c>
      <c r="BB4359" s="1">
        <v>42005</v>
      </c>
      <c r="BC4359" t="s">
        <v>51</v>
      </c>
      <c r="BE4359" t="s">
        <v>54</v>
      </c>
      <c r="BF4359">
        <v>2</v>
      </c>
      <c r="BG4359">
        <v>0</v>
      </c>
      <c r="BH4359" t="s">
        <v>53</v>
      </c>
      <c r="BK4359" t="s">
        <v>59</v>
      </c>
      <c r="BL4359">
        <v>14000</v>
      </c>
      <c r="BM4359" s="1">
        <v>44341</v>
      </c>
      <c r="BN4359" s="1">
        <v>44341</v>
      </c>
      <c r="BO4359" s="1">
        <v>44341</v>
      </c>
      <c r="BP4359" s="1">
        <v>45556</v>
      </c>
      <c r="BQ4359" t="s">
        <v>51</v>
      </c>
      <c r="BS4359" t="s">
        <v>60</v>
      </c>
      <c r="BT4359" t="s">
        <v>54</v>
      </c>
      <c r="BU4359" t="s">
        <v>61</v>
      </c>
      <c r="BV4359" t="s">
        <v>62</v>
      </c>
      <c r="BX4359">
        <v>24</v>
      </c>
      <c r="BY4359">
        <v>0</v>
      </c>
      <c r="BZ4359">
        <v>0</v>
      </c>
    </row>
    <row r="4360" spans="1:78" x14ac:dyDescent="0.2">
      <c r="A4360" t="s">
        <v>112</v>
      </c>
      <c r="B4360" t="s">
        <v>113</v>
      </c>
      <c r="C4360" t="s">
        <v>114</v>
      </c>
      <c r="D4360" t="s">
        <v>2066</v>
      </c>
      <c r="F4360" t="str">
        <f>"251408"</f>
        <v>251408</v>
      </c>
      <c r="G4360" t="s">
        <v>49</v>
      </c>
      <c r="H4360" t="s">
        <v>1979</v>
      </c>
      <c r="K4360" t="s">
        <v>51</v>
      </c>
      <c r="L4360" t="s">
        <v>52</v>
      </c>
      <c r="M4360">
        <v>136820.69</v>
      </c>
      <c r="N4360">
        <v>474190.12</v>
      </c>
      <c r="O4360" t="s">
        <v>53</v>
      </c>
      <c r="P4360" t="s">
        <v>54</v>
      </c>
      <c r="Q4360" t="s">
        <v>55</v>
      </c>
      <c r="T4360" t="s">
        <v>691</v>
      </c>
      <c r="U4360">
        <v>40</v>
      </c>
      <c r="V4360" s="1">
        <v>34700</v>
      </c>
      <c r="W4360" s="1">
        <v>34700</v>
      </c>
      <c r="X4360" s="1">
        <v>34700</v>
      </c>
      <c r="Y4360" s="1">
        <v>49310</v>
      </c>
      <c r="Z4360" t="s">
        <v>51</v>
      </c>
      <c r="AB4360" t="s">
        <v>54</v>
      </c>
      <c r="AC4360">
        <v>1</v>
      </c>
      <c r="AE4360" t="s">
        <v>564</v>
      </c>
      <c r="AF4360">
        <v>20</v>
      </c>
      <c r="AG4360" s="1">
        <v>34700</v>
      </c>
      <c r="AH4360" s="1">
        <v>34700</v>
      </c>
      <c r="AI4360" s="1">
        <v>34700</v>
      </c>
      <c r="AJ4360" s="1">
        <v>42005</v>
      </c>
      <c r="AK4360" t="s">
        <v>51</v>
      </c>
      <c r="AN4360">
        <v>0</v>
      </c>
      <c r="AO4360" t="s">
        <v>54</v>
      </c>
      <c r="AP4360" t="s">
        <v>53</v>
      </c>
      <c r="AQ4360">
        <v>0</v>
      </c>
      <c r="AR4360" t="s">
        <v>53</v>
      </c>
      <c r="AS4360">
        <v>0</v>
      </c>
      <c r="AT4360">
        <v>0</v>
      </c>
      <c r="AW4360" t="s">
        <v>58</v>
      </c>
      <c r="AX4360">
        <v>20</v>
      </c>
      <c r="AY4360" s="1">
        <v>34700</v>
      </c>
      <c r="AZ4360" s="1">
        <v>34700</v>
      </c>
      <c r="BA4360" s="1">
        <v>34700</v>
      </c>
      <c r="BB4360" s="1">
        <v>42005</v>
      </c>
      <c r="BC4360" t="s">
        <v>51</v>
      </c>
      <c r="BE4360" t="s">
        <v>54</v>
      </c>
      <c r="BF4360">
        <v>2</v>
      </c>
      <c r="BG4360">
        <v>0</v>
      </c>
      <c r="BH4360" t="s">
        <v>53</v>
      </c>
      <c r="BK4360" t="s">
        <v>59</v>
      </c>
      <c r="BL4360">
        <v>14000</v>
      </c>
      <c r="BM4360" s="1">
        <v>44334</v>
      </c>
      <c r="BN4360" s="1">
        <v>44334</v>
      </c>
      <c r="BO4360" s="1">
        <v>44334</v>
      </c>
      <c r="BP4360" s="1">
        <v>45551</v>
      </c>
      <c r="BQ4360" t="s">
        <v>51</v>
      </c>
      <c r="BS4360" t="s">
        <v>60</v>
      </c>
      <c r="BT4360" t="s">
        <v>54</v>
      </c>
      <c r="BU4360" t="s">
        <v>61</v>
      </c>
      <c r="BV4360" t="s">
        <v>62</v>
      </c>
      <c r="BX4360">
        <v>24</v>
      </c>
      <c r="BY4360">
        <v>0</v>
      </c>
      <c r="BZ4360">
        <v>0</v>
      </c>
    </row>
    <row r="4361" spans="1:78" x14ac:dyDescent="0.2">
      <c r="A4361" t="s">
        <v>112</v>
      </c>
      <c r="B4361" t="s">
        <v>113</v>
      </c>
      <c r="C4361" t="s">
        <v>114</v>
      </c>
      <c r="D4361" t="s">
        <v>2066</v>
      </c>
      <c r="F4361" t="str">
        <f>"251409"</f>
        <v>251409</v>
      </c>
      <c r="G4361" t="s">
        <v>49</v>
      </c>
      <c r="H4361" t="s">
        <v>2101</v>
      </c>
      <c r="K4361" t="s">
        <v>51</v>
      </c>
      <c r="L4361" t="s">
        <v>52</v>
      </c>
      <c r="M4361">
        <v>136832.45000000001</v>
      </c>
      <c r="N4361">
        <v>474023.85</v>
      </c>
      <c r="O4361" t="s">
        <v>53</v>
      </c>
      <c r="P4361" t="s">
        <v>54</v>
      </c>
      <c r="Q4361" t="s">
        <v>55</v>
      </c>
      <c r="T4361" t="s">
        <v>691</v>
      </c>
      <c r="U4361">
        <v>40</v>
      </c>
      <c r="V4361" s="1">
        <v>34700</v>
      </c>
      <c r="W4361" s="1">
        <v>34700</v>
      </c>
      <c r="X4361" s="1">
        <v>34700</v>
      </c>
      <c r="Y4361" s="1">
        <v>49310</v>
      </c>
      <c r="Z4361" t="s">
        <v>51</v>
      </c>
      <c r="AB4361" t="s">
        <v>54</v>
      </c>
      <c r="AC4361">
        <v>1</v>
      </c>
      <c r="AE4361" t="s">
        <v>564</v>
      </c>
      <c r="AF4361">
        <v>20</v>
      </c>
      <c r="AG4361" s="1">
        <v>34700</v>
      </c>
      <c r="AH4361" s="1">
        <v>34700</v>
      </c>
      <c r="AI4361" s="1">
        <v>34700</v>
      </c>
      <c r="AJ4361" s="1">
        <v>42005</v>
      </c>
      <c r="AK4361" t="s">
        <v>51</v>
      </c>
      <c r="AN4361">
        <v>0</v>
      </c>
      <c r="AO4361" t="s">
        <v>54</v>
      </c>
      <c r="AP4361" t="s">
        <v>53</v>
      </c>
      <c r="AQ4361">
        <v>0</v>
      </c>
      <c r="AR4361" t="s">
        <v>53</v>
      </c>
      <c r="AS4361">
        <v>0</v>
      </c>
      <c r="AT4361">
        <v>0</v>
      </c>
      <c r="AW4361" t="s">
        <v>58</v>
      </c>
      <c r="AX4361">
        <v>20</v>
      </c>
      <c r="AY4361" s="1">
        <v>34700</v>
      </c>
      <c r="AZ4361" s="1">
        <v>34700</v>
      </c>
      <c r="BA4361" s="1">
        <v>34700</v>
      </c>
      <c r="BB4361" s="1">
        <v>42005</v>
      </c>
      <c r="BC4361" t="s">
        <v>51</v>
      </c>
      <c r="BE4361" t="s">
        <v>54</v>
      </c>
      <c r="BF4361">
        <v>2</v>
      </c>
      <c r="BG4361">
        <v>0</v>
      </c>
      <c r="BH4361" t="s">
        <v>53</v>
      </c>
      <c r="BI4361">
        <v>1</v>
      </c>
      <c r="BK4361" t="s">
        <v>59</v>
      </c>
      <c r="BL4361">
        <v>14000</v>
      </c>
      <c r="BM4361" s="1">
        <v>44341</v>
      </c>
      <c r="BN4361" s="1">
        <v>44341</v>
      </c>
      <c r="BO4361" s="1">
        <v>44341</v>
      </c>
      <c r="BP4361" s="1">
        <v>45556</v>
      </c>
      <c r="BQ4361" t="s">
        <v>51</v>
      </c>
      <c r="BS4361" t="s">
        <v>60</v>
      </c>
      <c r="BT4361" t="s">
        <v>54</v>
      </c>
      <c r="BU4361" t="s">
        <v>61</v>
      </c>
      <c r="BV4361" t="s">
        <v>62</v>
      </c>
      <c r="BX4361">
        <v>24</v>
      </c>
      <c r="BY4361">
        <v>0</v>
      </c>
      <c r="BZ4361">
        <v>0</v>
      </c>
    </row>
    <row r="4362" spans="1:78" x14ac:dyDescent="0.2">
      <c r="A4362" t="s">
        <v>112</v>
      </c>
      <c r="B4362" t="s">
        <v>113</v>
      </c>
      <c r="C4362" t="s">
        <v>114</v>
      </c>
      <c r="D4362" t="s">
        <v>2066</v>
      </c>
      <c r="F4362" t="str">
        <f>"251410"</f>
        <v>251410</v>
      </c>
      <c r="G4362" t="s">
        <v>49</v>
      </c>
      <c r="H4362" t="s">
        <v>2102</v>
      </c>
      <c r="K4362" t="s">
        <v>51</v>
      </c>
      <c r="L4362" t="s">
        <v>52</v>
      </c>
      <c r="M4362">
        <v>136829.89000000001</v>
      </c>
      <c r="N4362">
        <v>473960.28</v>
      </c>
      <c r="O4362" t="s">
        <v>53</v>
      </c>
      <c r="P4362" t="s">
        <v>54</v>
      </c>
      <c r="Q4362" t="s">
        <v>55</v>
      </c>
      <c r="T4362" t="s">
        <v>691</v>
      </c>
      <c r="U4362">
        <v>40</v>
      </c>
      <c r="V4362" s="1">
        <v>34700</v>
      </c>
      <c r="W4362" s="1">
        <v>34700</v>
      </c>
      <c r="X4362" s="1">
        <v>34700</v>
      </c>
      <c r="Y4362" s="1">
        <v>49310</v>
      </c>
      <c r="Z4362" t="s">
        <v>51</v>
      </c>
      <c r="AB4362" t="s">
        <v>54</v>
      </c>
      <c r="AC4362">
        <v>1</v>
      </c>
      <c r="AE4362" t="s">
        <v>564</v>
      </c>
      <c r="AF4362">
        <v>20</v>
      </c>
      <c r="AG4362" s="1">
        <v>34700</v>
      </c>
      <c r="AH4362" s="1">
        <v>34700</v>
      </c>
      <c r="AI4362" s="1">
        <v>34700</v>
      </c>
      <c r="AJ4362" s="1">
        <v>42005</v>
      </c>
      <c r="AK4362" t="s">
        <v>51</v>
      </c>
      <c r="AN4362">
        <v>0</v>
      </c>
      <c r="AO4362" t="s">
        <v>54</v>
      </c>
      <c r="AP4362" t="s">
        <v>53</v>
      </c>
      <c r="AQ4362">
        <v>0</v>
      </c>
      <c r="AR4362" t="s">
        <v>53</v>
      </c>
      <c r="AS4362">
        <v>0</v>
      </c>
      <c r="AT4362">
        <v>0</v>
      </c>
      <c r="AW4362" t="s">
        <v>58</v>
      </c>
      <c r="AX4362">
        <v>20</v>
      </c>
      <c r="AY4362" s="1">
        <v>34700</v>
      </c>
      <c r="AZ4362" s="1">
        <v>34700</v>
      </c>
      <c r="BA4362" s="1">
        <v>34700</v>
      </c>
      <c r="BB4362" s="1">
        <v>42005</v>
      </c>
      <c r="BC4362" t="s">
        <v>51</v>
      </c>
      <c r="BE4362" t="s">
        <v>54</v>
      </c>
      <c r="BF4362">
        <v>2</v>
      </c>
      <c r="BG4362">
        <v>0</v>
      </c>
      <c r="BH4362" t="s">
        <v>53</v>
      </c>
      <c r="BI4362">
        <v>1</v>
      </c>
      <c r="BK4362" t="s">
        <v>59</v>
      </c>
      <c r="BL4362">
        <v>14000</v>
      </c>
      <c r="BM4362" s="1">
        <v>44334</v>
      </c>
      <c r="BN4362" s="1">
        <v>44334</v>
      </c>
      <c r="BO4362" s="1">
        <v>44334</v>
      </c>
      <c r="BP4362" s="1">
        <v>45551</v>
      </c>
      <c r="BQ4362" t="s">
        <v>51</v>
      </c>
      <c r="BS4362" t="s">
        <v>60</v>
      </c>
      <c r="BT4362" t="s">
        <v>54</v>
      </c>
      <c r="BU4362" t="s">
        <v>61</v>
      </c>
      <c r="BV4362" t="s">
        <v>62</v>
      </c>
      <c r="BX4362">
        <v>24</v>
      </c>
      <c r="BY4362">
        <v>0</v>
      </c>
      <c r="BZ4362">
        <v>0</v>
      </c>
    </row>
    <row r="4363" spans="1:78" x14ac:dyDescent="0.2">
      <c r="A4363" t="s">
        <v>112</v>
      </c>
      <c r="B4363" t="s">
        <v>113</v>
      </c>
      <c r="C4363" t="s">
        <v>114</v>
      </c>
      <c r="D4363" t="s">
        <v>2066</v>
      </c>
      <c r="F4363" t="str">
        <f>"251411"</f>
        <v>251411</v>
      </c>
      <c r="G4363" t="s">
        <v>49</v>
      </c>
      <c r="H4363" t="s">
        <v>1979</v>
      </c>
      <c r="K4363" t="s">
        <v>51</v>
      </c>
      <c r="L4363" t="s">
        <v>52</v>
      </c>
      <c r="M4363">
        <v>136833.97</v>
      </c>
      <c r="N4363">
        <v>473848.87</v>
      </c>
      <c r="O4363" t="s">
        <v>53</v>
      </c>
      <c r="P4363" t="s">
        <v>54</v>
      </c>
      <c r="Q4363" t="s">
        <v>55</v>
      </c>
      <c r="T4363" t="s">
        <v>691</v>
      </c>
      <c r="U4363">
        <v>40</v>
      </c>
      <c r="V4363" s="1">
        <v>34700</v>
      </c>
      <c r="W4363" s="1">
        <v>34700</v>
      </c>
      <c r="X4363" s="1">
        <v>34700</v>
      </c>
      <c r="Y4363" s="1">
        <v>49310</v>
      </c>
      <c r="Z4363" t="s">
        <v>51</v>
      </c>
      <c r="AB4363" t="s">
        <v>54</v>
      </c>
      <c r="AC4363">
        <v>1</v>
      </c>
      <c r="AE4363" t="s">
        <v>564</v>
      </c>
      <c r="AF4363">
        <v>20</v>
      </c>
      <c r="AG4363" s="1">
        <v>34700</v>
      </c>
      <c r="AH4363" s="1">
        <v>34700</v>
      </c>
      <c r="AI4363" s="1">
        <v>34700</v>
      </c>
      <c r="AJ4363" s="1">
        <v>42005</v>
      </c>
      <c r="AK4363" t="s">
        <v>51</v>
      </c>
      <c r="AN4363">
        <v>0</v>
      </c>
      <c r="AO4363" t="s">
        <v>54</v>
      </c>
      <c r="AP4363" t="s">
        <v>53</v>
      </c>
      <c r="AQ4363">
        <v>0</v>
      </c>
      <c r="AR4363" t="s">
        <v>53</v>
      </c>
      <c r="AS4363">
        <v>0</v>
      </c>
      <c r="AT4363">
        <v>0</v>
      </c>
      <c r="AW4363" t="s">
        <v>58</v>
      </c>
      <c r="AX4363">
        <v>20</v>
      </c>
      <c r="AY4363" s="1">
        <v>34700</v>
      </c>
      <c r="AZ4363" s="1">
        <v>34700</v>
      </c>
      <c r="BA4363" s="1">
        <v>34700</v>
      </c>
      <c r="BB4363" s="1">
        <v>42005</v>
      </c>
      <c r="BC4363" t="s">
        <v>51</v>
      </c>
      <c r="BE4363" t="s">
        <v>54</v>
      </c>
      <c r="BF4363">
        <v>2</v>
      </c>
      <c r="BG4363">
        <v>0</v>
      </c>
      <c r="BH4363" t="s">
        <v>53</v>
      </c>
      <c r="BK4363" t="s">
        <v>59</v>
      </c>
      <c r="BL4363">
        <v>14000</v>
      </c>
      <c r="BM4363" s="1">
        <v>44341</v>
      </c>
      <c r="BN4363" s="1">
        <v>44341</v>
      </c>
      <c r="BO4363" s="1">
        <v>44341</v>
      </c>
      <c r="BP4363" s="1">
        <v>45556</v>
      </c>
      <c r="BQ4363" t="s">
        <v>51</v>
      </c>
      <c r="BS4363" t="s">
        <v>60</v>
      </c>
      <c r="BT4363" t="s">
        <v>54</v>
      </c>
      <c r="BU4363" t="s">
        <v>61</v>
      </c>
      <c r="BV4363" t="s">
        <v>62</v>
      </c>
      <c r="BX4363">
        <v>24</v>
      </c>
      <c r="BY4363">
        <v>0</v>
      </c>
      <c r="BZ4363">
        <v>0</v>
      </c>
    </row>
    <row r="4364" spans="1:78" x14ac:dyDescent="0.2">
      <c r="A4364" t="s">
        <v>112</v>
      </c>
      <c r="B4364" t="s">
        <v>113</v>
      </c>
      <c r="C4364" t="s">
        <v>114</v>
      </c>
      <c r="D4364" t="s">
        <v>2066</v>
      </c>
      <c r="F4364" t="str">
        <f>"251412"</f>
        <v>251412</v>
      </c>
      <c r="G4364" t="s">
        <v>49</v>
      </c>
      <c r="H4364" t="s">
        <v>1979</v>
      </c>
      <c r="K4364" t="s">
        <v>51</v>
      </c>
      <c r="L4364" t="s">
        <v>52</v>
      </c>
      <c r="M4364">
        <v>136835.85200000001</v>
      </c>
      <c r="N4364">
        <v>473701.69500000001</v>
      </c>
      <c r="O4364" t="s">
        <v>53</v>
      </c>
      <c r="P4364" t="s">
        <v>54</v>
      </c>
      <c r="Q4364" t="s">
        <v>55</v>
      </c>
      <c r="T4364" t="s">
        <v>691</v>
      </c>
      <c r="U4364">
        <v>40</v>
      </c>
      <c r="V4364" s="1">
        <v>34700</v>
      </c>
      <c r="W4364" s="1">
        <v>34700</v>
      </c>
      <c r="X4364" s="1">
        <v>34700</v>
      </c>
      <c r="Y4364" s="1">
        <v>49310</v>
      </c>
      <c r="Z4364" t="s">
        <v>51</v>
      </c>
      <c r="AB4364" t="s">
        <v>54</v>
      </c>
      <c r="AC4364">
        <v>1</v>
      </c>
      <c r="AE4364" t="s">
        <v>564</v>
      </c>
      <c r="AF4364">
        <v>20</v>
      </c>
      <c r="AG4364" s="1">
        <v>34700</v>
      </c>
      <c r="AH4364" s="1">
        <v>34700</v>
      </c>
      <c r="AI4364" s="1">
        <v>34700</v>
      </c>
      <c r="AJ4364" s="1">
        <v>42005</v>
      </c>
      <c r="AK4364" t="s">
        <v>51</v>
      </c>
      <c r="AN4364">
        <v>0</v>
      </c>
      <c r="AO4364" t="s">
        <v>54</v>
      </c>
      <c r="AP4364" t="s">
        <v>53</v>
      </c>
      <c r="AQ4364">
        <v>0</v>
      </c>
      <c r="AR4364" t="s">
        <v>53</v>
      </c>
      <c r="AS4364">
        <v>0</v>
      </c>
      <c r="AT4364">
        <v>0</v>
      </c>
      <c r="AW4364" t="s">
        <v>58</v>
      </c>
      <c r="AX4364">
        <v>20</v>
      </c>
      <c r="AY4364" s="1">
        <v>34700</v>
      </c>
      <c r="AZ4364" s="1">
        <v>34700</v>
      </c>
      <c r="BA4364" s="1">
        <v>34700</v>
      </c>
      <c r="BB4364" s="1">
        <v>42005</v>
      </c>
      <c r="BC4364" t="s">
        <v>51</v>
      </c>
      <c r="BE4364" t="s">
        <v>54</v>
      </c>
      <c r="BF4364">
        <v>2</v>
      </c>
      <c r="BG4364">
        <v>0</v>
      </c>
      <c r="BH4364" t="s">
        <v>53</v>
      </c>
      <c r="BK4364" t="s">
        <v>59</v>
      </c>
      <c r="BL4364">
        <v>14000</v>
      </c>
      <c r="BM4364" s="1">
        <v>44340</v>
      </c>
      <c r="BN4364" s="1">
        <v>44340</v>
      </c>
      <c r="BO4364" s="1">
        <v>44340</v>
      </c>
      <c r="BP4364" s="1">
        <v>45555</v>
      </c>
      <c r="BQ4364" t="s">
        <v>51</v>
      </c>
      <c r="BS4364" t="s">
        <v>60</v>
      </c>
      <c r="BT4364" t="s">
        <v>54</v>
      </c>
      <c r="BU4364" t="s">
        <v>61</v>
      </c>
      <c r="BV4364" t="s">
        <v>62</v>
      </c>
      <c r="BX4364">
        <v>24</v>
      </c>
      <c r="BY4364">
        <v>0</v>
      </c>
      <c r="BZ4364">
        <v>0</v>
      </c>
    </row>
    <row r="4365" spans="1:78" x14ac:dyDescent="0.2">
      <c r="A4365" t="s">
        <v>112</v>
      </c>
      <c r="B4365" t="s">
        <v>113</v>
      </c>
      <c r="C4365" t="s">
        <v>114</v>
      </c>
      <c r="D4365" t="s">
        <v>2066</v>
      </c>
      <c r="F4365" t="str">
        <f>"251413"</f>
        <v>251413</v>
      </c>
      <c r="G4365" t="s">
        <v>49</v>
      </c>
      <c r="H4365" t="s">
        <v>2103</v>
      </c>
      <c r="K4365" t="s">
        <v>51</v>
      </c>
      <c r="L4365" t="s">
        <v>52</v>
      </c>
      <c r="M4365">
        <v>136838.22</v>
      </c>
      <c r="N4365">
        <v>473530.44</v>
      </c>
      <c r="O4365" t="s">
        <v>53</v>
      </c>
      <c r="P4365" t="s">
        <v>54</v>
      </c>
      <c r="Q4365" t="s">
        <v>55</v>
      </c>
      <c r="T4365" t="s">
        <v>691</v>
      </c>
      <c r="U4365">
        <v>40</v>
      </c>
      <c r="V4365" s="1">
        <v>34700</v>
      </c>
      <c r="W4365" s="1">
        <v>34700</v>
      </c>
      <c r="X4365" s="1">
        <v>34700</v>
      </c>
      <c r="Y4365" s="1">
        <v>49310</v>
      </c>
      <c r="Z4365" t="s">
        <v>51</v>
      </c>
      <c r="AB4365" t="s">
        <v>54</v>
      </c>
      <c r="AC4365">
        <v>1</v>
      </c>
      <c r="AE4365" t="s">
        <v>564</v>
      </c>
      <c r="AF4365">
        <v>20</v>
      </c>
      <c r="AG4365" s="1">
        <v>34700</v>
      </c>
      <c r="AH4365" s="1">
        <v>34700</v>
      </c>
      <c r="AI4365" s="1">
        <v>34700</v>
      </c>
      <c r="AJ4365" s="1">
        <v>42005</v>
      </c>
      <c r="AK4365" t="s">
        <v>51</v>
      </c>
      <c r="AN4365">
        <v>0</v>
      </c>
      <c r="AO4365" t="s">
        <v>54</v>
      </c>
      <c r="AP4365" t="s">
        <v>53</v>
      </c>
      <c r="AQ4365">
        <v>0</v>
      </c>
      <c r="AR4365" t="s">
        <v>53</v>
      </c>
      <c r="AS4365">
        <v>0</v>
      </c>
      <c r="AT4365">
        <v>0</v>
      </c>
      <c r="AW4365" t="s">
        <v>58</v>
      </c>
      <c r="AX4365">
        <v>20</v>
      </c>
      <c r="AY4365" s="1">
        <v>34700</v>
      </c>
      <c r="AZ4365" s="1">
        <v>34700</v>
      </c>
      <c r="BA4365" s="1">
        <v>34700</v>
      </c>
      <c r="BB4365" s="1">
        <v>42005</v>
      </c>
      <c r="BC4365" t="s">
        <v>51</v>
      </c>
      <c r="BE4365" t="s">
        <v>54</v>
      </c>
      <c r="BF4365">
        <v>2</v>
      </c>
      <c r="BG4365">
        <v>0</v>
      </c>
      <c r="BH4365" t="s">
        <v>53</v>
      </c>
      <c r="BI4365">
        <v>1</v>
      </c>
      <c r="BK4365" t="s">
        <v>59</v>
      </c>
      <c r="BL4365">
        <v>14000</v>
      </c>
      <c r="BM4365" s="1">
        <v>44334</v>
      </c>
      <c r="BN4365" s="1">
        <v>44334</v>
      </c>
      <c r="BO4365" s="1">
        <v>44334</v>
      </c>
      <c r="BP4365" s="1">
        <v>45551</v>
      </c>
      <c r="BQ4365" t="s">
        <v>51</v>
      </c>
      <c r="BS4365" t="s">
        <v>60</v>
      </c>
      <c r="BT4365" t="s">
        <v>54</v>
      </c>
      <c r="BU4365" t="s">
        <v>61</v>
      </c>
      <c r="BV4365" t="s">
        <v>62</v>
      </c>
      <c r="BX4365">
        <v>24</v>
      </c>
      <c r="BY4365">
        <v>0</v>
      </c>
      <c r="BZ4365">
        <v>0</v>
      </c>
    </row>
    <row r="4366" spans="1:78" x14ac:dyDescent="0.2">
      <c r="A4366" t="s">
        <v>112</v>
      </c>
      <c r="B4366" t="s">
        <v>113</v>
      </c>
      <c r="C4366" t="s">
        <v>114</v>
      </c>
      <c r="D4366" t="s">
        <v>2066</v>
      </c>
      <c r="F4366" t="str">
        <f>"251414"</f>
        <v>251414</v>
      </c>
      <c r="G4366" t="s">
        <v>49</v>
      </c>
      <c r="H4366" t="s">
        <v>2104</v>
      </c>
      <c r="K4366" t="s">
        <v>51</v>
      </c>
      <c r="L4366" t="s">
        <v>52</v>
      </c>
      <c r="M4366">
        <v>136844.23000000001</v>
      </c>
      <c r="N4366">
        <v>473497.31</v>
      </c>
      <c r="O4366" t="s">
        <v>53</v>
      </c>
      <c r="P4366" t="s">
        <v>54</v>
      </c>
      <c r="Q4366" t="s">
        <v>55</v>
      </c>
      <c r="T4366" t="s">
        <v>691</v>
      </c>
      <c r="U4366">
        <v>40</v>
      </c>
      <c r="V4366" s="1">
        <v>34700</v>
      </c>
      <c r="W4366" s="1">
        <v>34700</v>
      </c>
      <c r="X4366" s="1">
        <v>34700</v>
      </c>
      <c r="Y4366" s="1">
        <v>49310</v>
      </c>
      <c r="Z4366" t="s">
        <v>51</v>
      </c>
      <c r="AB4366" t="s">
        <v>54</v>
      </c>
      <c r="AC4366">
        <v>1</v>
      </c>
      <c r="AE4366" t="s">
        <v>564</v>
      </c>
      <c r="AF4366">
        <v>20</v>
      </c>
      <c r="AG4366" s="1">
        <v>34700</v>
      </c>
      <c r="AH4366" s="1">
        <v>34700</v>
      </c>
      <c r="AI4366" s="1">
        <v>34700</v>
      </c>
      <c r="AJ4366" s="1">
        <v>42005</v>
      </c>
      <c r="AK4366" t="s">
        <v>51</v>
      </c>
      <c r="AN4366">
        <v>0</v>
      </c>
      <c r="AO4366" t="s">
        <v>54</v>
      </c>
      <c r="AP4366" t="s">
        <v>53</v>
      </c>
      <c r="AQ4366">
        <v>0</v>
      </c>
      <c r="AR4366" t="s">
        <v>53</v>
      </c>
      <c r="AS4366">
        <v>0</v>
      </c>
      <c r="AT4366">
        <v>0</v>
      </c>
      <c r="AW4366" t="s">
        <v>58</v>
      </c>
      <c r="AX4366">
        <v>20</v>
      </c>
      <c r="AY4366" s="1">
        <v>34700</v>
      </c>
      <c r="AZ4366" s="1">
        <v>34700</v>
      </c>
      <c r="BA4366" s="1">
        <v>34700</v>
      </c>
      <c r="BB4366" s="1">
        <v>42005</v>
      </c>
      <c r="BC4366" t="s">
        <v>51</v>
      </c>
      <c r="BE4366" t="s">
        <v>54</v>
      </c>
      <c r="BF4366">
        <v>2</v>
      </c>
      <c r="BG4366">
        <v>0</v>
      </c>
      <c r="BH4366" t="s">
        <v>53</v>
      </c>
      <c r="BI4366">
        <v>1</v>
      </c>
      <c r="BK4366" t="s">
        <v>59</v>
      </c>
      <c r="BL4366">
        <v>14000</v>
      </c>
      <c r="BM4366" s="1">
        <v>44334</v>
      </c>
      <c r="BN4366" s="1">
        <v>44334</v>
      </c>
      <c r="BO4366" s="1">
        <v>44334</v>
      </c>
      <c r="BP4366" s="1">
        <v>45551</v>
      </c>
      <c r="BQ4366" t="s">
        <v>51</v>
      </c>
      <c r="BS4366" t="s">
        <v>60</v>
      </c>
      <c r="BT4366" t="s">
        <v>54</v>
      </c>
      <c r="BU4366" t="s">
        <v>61</v>
      </c>
      <c r="BV4366" t="s">
        <v>62</v>
      </c>
      <c r="BX4366">
        <v>24</v>
      </c>
      <c r="BY4366">
        <v>0</v>
      </c>
      <c r="BZ4366">
        <v>0</v>
      </c>
    </row>
    <row r="4367" spans="1:78" x14ac:dyDescent="0.2">
      <c r="A4367" t="s">
        <v>112</v>
      </c>
      <c r="B4367" t="s">
        <v>113</v>
      </c>
      <c r="C4367" t="s">
        <v>114</v>
      </c>
      <c r="D4367" t="s">
        <v>2066</v>
      </c>
      <c r="F4367" t="str">
        <f>"251415"</f>
        <v>251415</v>
      </c>
      <c r="G4367" t="s">
        <v>49</v>
      </c>
      <c r="H4367" t="s">
        <v>1979</v>
      </c>
      <c r="K4367" t="s">
        <v>51</v>
      </c>
      <c r="L4367" t="s">
        <v>52</v>
      </c>
      <c r="M4367">
        <v>136869.94500000001</v>
      </c>
      <c r="N4367">
        <v>472551.82</v>
      </c>
      <c r="O4367" t="s">
        <v>53</v>
      </c>
      <c r="P4367" t="s">
        <v>54</v>
      </c>
      <c r="Q4367" t="s">
        <v>55</v>
      </c>
      <c r="T4367" t="s">
        <v>691</v>
      </c>
      <c r="U4367">
        <v>40</v>
      </c>
      <c r="V4367" s="1">
        <v>34700</v>
      </c>
      <c r="W4367" s="1">
        <v>34700</v>
      </c>
      <c r="X4367" s="1">
        <v>34700</v>
      </c>
      <c r="Y4367" s="1">
        <v>49310</v>
      </c>
      <c r="Z4367" t="s">
        <v>51</v>
      </c>
      <c r="AB4367" t="s">
        <v>54</v>
      </c>
      <c r="AC4367">
        <v>1</v>
      </c>
      <c r="AE4367" t="s">
        <v>564</v>
      </c>
      <c r="AF4367">
        <v>20</v>
      </c>
      <c r="AG4367" s="1">
        <v>34700</v>
      </c>
      <c r="AH4367" s="1">
        <v>34700</v>
      </c>
      <c r="AI4367" s="1">
        <v>34700</v>
      </c>
      <c r="AJ4367" s="1">
        <v>42005</v>
      </c>
      <c r="AK4367" t="s">
        <v>51</v>
      </c>
      <c r="AN4367">
        <v>0</v>
      </c>
      <c r="AO4367" t="s">
        <v>54</v>
      </c>
      <c r="AP4367" t="s">
        <v>53</v>
      </c>
      <c r="AQ4367">
        <v>0</v>
      </c>
      <c r="AR4367" t="s">
        <v>53</v>
      </c>
      <c r="AS4367">
        <v>0</v>
      </c>
      <c r="AT4367">
        <v>0</v>
      </c>
      <c r="AW4367" t="s">
        <v>58</v>
      </c>
      <c r="AX4367">
        <v>20</v>
      </c>
      <c r="AY4367" s="1">
        <v>34700</v>
      </c>
      <c r="AZ4367" s="1">
        <v>34700</v>
      </c>
      <c r="BA4367" s="1">
        <v>34700</v>
      </c>
      <c r="BB4367" s="1">
        <v>42005</v>
      </c>
      <c r="BC4367" t="s">
        <v>51</v>
      </c>
      <c r="BE4367" t="s">
        <v>54</v>
      </c>
      <c r="BF4367">
        <v>2</v>
      </c>
      <c r="BG4367">
        <v>0</v>
      </c>
      <c r="BH4367" t="s">
        <v>53</v>
      </c>
      <c r="BK4367" t="s">
        <v>59</v>
      </c>
      <c r="BL4367">
        <v>14000</v>
      </c>
      <c r="BM4367" s="1">
        <v>41456</v>
      </c>
      <c r="BN4367" s="1">
        <v>41456</v>
      </c>
      <c r="BO4367" s="1">
        <v>41456</v>
      </c>
      <c r="BP4367" s="1">
        <v>42656</v>
      </c>
      <c r="BQ4367" t="s">
        <v>51</v>
      </c>
      <c r="BS4367" t="s">
        <v>60</v>
      </c>
      <c r="BT4367" t="s">
        <v>54</v>
      </c>
      <c r="BU4367" t="s">
        <v>61</v>
      </c>
      <c r="BV4367" t="s">
        <v>62</v>
      </c>
      <c r="BX4367">
        <v>24</v>
      </c>
      <c r="BY4367">
        <v>0</v>
      </c>
      <c r="BZ4367">
        <v>0</v>
      </c>
    </row>
    <row r="4368" spans="1:78" x14ac:dyDescent="0.2">
      <c r="A4368" t="s">
        <v>112</v>
      </c>
      <c r="B4368" t="s">
        <v>113</v>
      </c>
      <c r="C4368" t="s">
        <v>114</v>
      </c>
      <c r="D4368" t="s">
        <v>2066</v>
      </c>
      <c r="F4368" t="str">
        <f>"251416"</f>
        <v>251416</v>
      </c>
      <c r="G4368" t="s">
        <v>49</v>
      </c>
      <c r="H4368" t="s">
        <v>1979</v>
      </c>
      <c r="K4368" t="s">
        <v>51</v>
      </c>
      <c r="L4368" t="s">
        <v>52</v>
      </c>
      <c r="M4368">
        <v>136869.16500000001</v>
      </c>
      <c r="N4368">
        <v>472580.71100000001</v>
      </c>
      <c r="O4368" t="s">
        <v>53</v>
      </c>
      <c r="P4368" t="s">
        <v>54</v>
      </c>
      <c r="Q4368" t="s">
        <v>55</v>
      </c>
      <c r="T4368" t="s">
        <v>691</v>
      </c>
      <c r="U4368">
        <v>40</v>
      </c>
      <c r="V4368" s="1">
        <v>34700</v>
      </c>
      <c r="W4368" s="1">
        <v>34700</v>
      </c>
      <c r="X4368" s="1">
        <v>34700</v>
      </c>
      <c r="Y4368" s="1">
        <v>49310</v>
      </c>
      <c r="Z4368" t="s">
        <v>51</v>
      </c>
      <c r="AB4368" t="s">
        <v>54</v>
      </c>
      <c r="AC4368">
        <v>1</v>
      </c>
      <c r="AE4368" t="s">
        <v>564</v>
      </c>
      <c r="AF4368">
        <v>20</v>
      </c>
      <c r="AG4368" s="1">
        <v>34700</v>
      </c>
      <c r="AH4368" s="1">
        <v>34700</v>
      </c>
      <c r="AI4368" s="1">
        <v>34700</v>
      </c>
      <c r="AJ4368" s="1">
        <v>42005</v>
      </c>
      <c r="AK4368" t="s">
        <v>51</v>
      </c>
      <c r="AN4368">
        <v>0</v>
      </c>
      <c r="AO4368" t="s">
        <v>54</v>
      </c>
      <c r="AP4368" t="s">
        <v>53</v>
      </c>
      <c r="AQ4368">
        <v>0</v>
      </c>
      <c r="AR4368" t="s">
        <v>53</v>
      </c>
      <c r="AS4368">
        <v>0</v>
      </c>
      <c r="AT4368">
        <v>0</v>
      </c>
      <c r="AW4368" t="s">
        <v>58</v>
      </c>
      <c r="AX4368">
        <v>20</v>
      </c>
      <c r="AY4368" s="1">
        <v>34700</v>
      </c>
      <c r="AZ4368" s="1">
        <v>34700</v>
      </c>
      <c r="BA4368" s="1">
        <v>34700</v>
      </c>
      <c r="BB4368" s="1">
        <v>42005</v>
      </c>
      <c r="BC4368" t="s">
        <v>51</v>
      </c>
      <c r="BE4368" t="s">
        <v>54</v>
      </c>
      <c r="BF4368">
        <v>2</v>
      </c>
      <c r="BG4368">
        <v>0</v>
      </c>
      <c r="BH4368" t="s">
        <v>53</v>
      </c>
      <c r="BK4368" t="s">
        <v>59</v>
      </c>
      <c r="BL4368">
        <v>14000</v>
      </c>
      <c r="BM4368" s="1">
        <v>41456</v>
      </c>
      <c r="BN4368" s="1">
        <v>41456</v>
      </c>
      <c r="BO4368" s="1">
        <v>41456</v>
      </c>
      <c r="BP4368" s="1">
        <v>42656</v>
      </c>
      <c r="BQ4368" t="s">
        <v>51</v>
      </c>
      <c r="BS4368" t="s">
        <v>60</v>
      </c>
      <c r="BT4368" t="s">
        <v>54</v>
      </c>
      <c r="BU4368" t="s">
        <v>61</v>
      </c>
      <c r="BV4368" t="s">
        <v>62</v>
      </c>
      <c r="BX4368">
        <v>24</v>
      </c>
      <c r="BY4368">
        <v>0</v>
      </c>
      <c r="BZ4368">
        <v>0</v>
      </c>
    </row>
    <row r="4369" spans="1:99" x14ac:dyDescent="0.2">
      <c r="A4369" t="s">
        <v>112</v>
      </c>
      <c r="B4369" t="s">
        <v>113</v>
      </c>
      <c r="C4369" t="s">
        <v>114</v>
      </c>
      <c r="D4369" t="s">
        <v>2066</v>
      </c>
      <c r="F4369" t="str">
        <f>"251417"</f>
        <v>251417</v>
      </c>
      <c r="G4369" t="s">
        <v>49</v>
      </c>
      <c r="H4369" t="s">
        <v>1979</v>
      </c>
      <c r="K4369" t="s">
        <v>51</v>
      </c>
      <c r="L4369" t="s">
        <v>52</v>
      </c>
      <c r="M4369">
        <v>136868.16</v>
      </c>
      <c r="N4369">
        <v>472610.48</v>
      </c>
      <c r="O4369" t="s">
        <v>53</v>
      </c>
      <c r="P4369" t="s">
        <v>54</v>
      </c>
      <c r="Q4369" t="s">
        <v>55</v>
      </c>
      <c r="T4369" t="s">
        <v>691</v>
      </c>
      <c r="U4369">
        <v>40</v>
      </c>
      <c r="V4369" s="1">
        <v>34700</v>
      </c>
      <c r="W4369" s="1">
        <v>34700</v>
      </c>
      <c r="X4369" s="1">
        <v>34700</v>
      </c>
      <c r="Y4369" s="1">
        <v>49310</v>
      </c>
      <c r="Z4369" t="s">
        <v>51</v>
      </c>
      <c r="AB4369" t="s">
        <v>54</v>
      </c>
      <c r="AC4369">
        <v>1</v>
      </c>
      <c r="AE4369" t="s">
        <v>564</v>
      </c>
      <c r="AF4369">
        <v>20</v>
      </c>
      <c r="AG4369" s="1">
        <v>34700</v>
      </c>
      <c r="AH4369" s="1">
        <v>34700</v>
      </c>
      <c r="AI4369" s="1">
        <v>34700</v>
      </c>
      <c r="AJ4369" s="1">
        <v>42005</v>
      </c>
      <c r="AK4369" t="s">
        <v>51</v>
      </c>
      <c r="AN4369">
        <v>0</v>
      </c>
      <c r="AO4369" t="s">
        <v>54</v>
      </c>
      <c r="AP4369" t="s">
        <v>53</v>
      </c>
      <c r="AQ4369">
        <v>0</v>
      </c>
      <c r="AR4369" t="s">
        <v>53</v>
      </c>
      <c r="AS4369">
        <v>0</v>
      </c>
      <c r="AT4369">
        <v>0</v>
      </c>
      <c r="AW4369" t="s">
        <v>58</v>
      </c>
      <c r="AX4369">
        <v>20</v>
      </c>
      <c r="AY4369" s="1">
        <v>34700</v>
      </c>
      <c r="AZ4369" s="1">
        <v>34700</v>
      </c>
      <c r="BA4369" s="1">
        <v>34700</v>
      </c>
      <c r="BB4369" s="1">
        <v>42005</v>
      </c>
      <c r="BC4369" t="s">
        <v>51</v>
      </c>
      <c r="BE4369" t="s">
        <v>54</v>
      </c>
      <c r="BF4369">
        <v>2</v>
      </c>
      <c r="BG4369">
        <v>0</v>
      </c>
      <c r="BH4369" t="s">
        <v>53</v>
      </c>
      <c r="BK4369" t="s">
        <v>59</v>
      </c>
      <c r="BL4369">
        <v>14000</v>
      </c>
      <c r="BM4369" s="1">
        <v>41456</v>
      </c>
      <c r="BN4369" s="1">
        <v>41456</v>
      </c>
      <c r="BO4369" s="1">
        <v>41456</v>
      </c>
      <c r="BP4369" s="1">
        <v>42656</v>
      </c>
      <c r="BQ4369" t="s">
        <v>51</v>
      </c>
      <c r="BS4369" t="s">
        <v>60</v>
      </c>
      <c r="BT4369" t="s">
        <v>54</v>
      </c>
      <c r="BU4369" t="s">
        <v>61</v>
      </c>
      <c r="BV4369" t="s">
        <v>62</v>
      </c>
      <c r="BX4369">
        <v>24</v>
      </c>
      <c r="BY4369">
        <v>0</v>
      </c>
      <c r="BZ4369">
        <v>0</v>
      </c>
    </row>
    <row r="4370" spans="1:99" x14ac:dyDescent="0.2">
      <c r="A4370" t="s">
        <v>112</v>
      </c>
      <c r="B4370" t="s">
        <v>113</v>
      </c>
      <c r="C4370" t="s">
        <v>114</v>
      </c>
      <c r="D4370" t="s">
        <v>2066</v>
      </c>
      <c r="F4370" t="str">
        <f>"251418"</f>
        <v>251418</v>
      </c>
      <c r="G4370" t="s">
        <v>49</v>
      </c>
      <c r="H4370" t="s">
        <v>1979</v>
      </c>
      <c r="K4370" t="s">
        <v>51</v>
      </c>
      <c r="L4370" t="s">
        <v>52</v>
      </c>
      <c r="M4370">
        <v>136867.35999999999</v>
      </c>
      <c r="N4370">
        <v>472639.549</v>
      </c>
      <c r="O4370" t="s">
        <v>53</v>
      </c>
      <c r="P4370" t="s">
        <v>54</v>
      </c>
      <c r="Q4370" t="s">
        <v>55</v>
      </c>
      <c r="T4370" t="s">
        <v>691</v>
      </c>
      <c r="U4370">
        <v>40</v>
      </c>
      <c r="V4370" s="1">
        <v>34700</v>
      </c>
      <c r="W4370" s="1">
        <v>34700</v>
      </c>
      <c r="X4370" s="1">
        <v>34700</v>
      </c>
      <c r="Y4370" s="1">
        <v>49310</v>
      </c>
      <c r="Z4370" t="s">
        <v>51</v>
      </c>
      <c r="AB4370" t="s">
        <v>54</v>
      </c>
      <c r="AC4370">
        <v>1</v>
      </c>
      <c r="AE4370" t="s">
        <v>564</v>
      </c>
      <c r="AF4370">
        <v>20</v>
      </c>
      <c r="AG4370" s="1">
        <v>34700</v>
      </c>
      <c r="AH4370" s="1">
        <v>34700</v>
      </c>
      <c r="AI4370" s="1">
        <v>34700</v>
      </c>
      <c r="AJ4370" s="1">
        <v>42005</v>
      </c>
      <c r="AK4370" t="s">
        <v>51</v>
      </c>
      <c r="AN4370">
        <v>0</v>
      </c>
      <c r="AO4370" t="s">
        <v>54</v>
      </c>
      <c r="AP4370" t="s">
        <v>53</v>
      </c>
      <c r="AQ4370">
        <v>0</v>
      </c>
      <c r="AR4370" t="s">
        <v>53</v>
      </c>
      <c r="AS4370">
        <v>0</v>
      </c>
      <c r="AT4370">
        <v>0</v>
      </c>
      <c r="AW4370" t="s">
        <v>58</v>
      </c>
      <c r="AX4370">
        <v>20</v>
      </c>
      <c r="AY4370" s="1">
        <v>34700</v>
      </c>
      <c r="AZ4370" s="1">
        <v>34700</v>
      </c>
      <c r="BA4370" s="1">
        <v>34700</v>
      </c>
      <c r="BB4370" s="1">
        <v>42005</v>
      </c>
      <c r="BC4370" t="s">
        <v>51</v>
      </c>
      <c r="BE4370" t="s">
        <v>54</v>
      </c>
      <c r="BF4370">
        <v>2</v>
      </c>
      <c r="BG4370">
        <v>0</v>
      </c>
      <c r="BH4370" t="s">
        <v>53</v>
      </c>
      <c r="BK4370" t="s">
        <v>59</v>
      </c>
      <c r="BL4370">
        <v>14000</v>
      </c>
      <c r="BM4370" s="1">
        <v>41456</v>
      </c>
      <c r="BN4370" s="1">
        <v>41456</v>
      </c>
      <c r="BO4370" s="1">
        <v>41456</v>
      </c>
      <c r="BP4370" s="1">
        <v>42656</v>
      </c>
      <c r="BQ4370" t="s">
        <v>51</v>
      </c>
      <c r="BS4370" t="s">
        <v>60</v>
      </c>
      <c r="BT4370" t="s">
        <v>54</v>
      </c>
      <c r="BU4370" t="s">
        <v>61</v>
      </c>
      <c r="BV4370" t="s">
        <v>62</v>
      </c>
      <c r="BX4370">
        <v>24</v>
      </c>
      <c r="BY4370">
        <v>0</v>
      </c>
      <c r="BZ4370">
        <v>0</v>
      </c>
    </row>
    <row r="4371" spans="1:99" x14ac:dyDescent="0.2">
      <c r="A4371" t="s">
        <v>112</v>
      </c>
      <c r="B4371" t="s">
        <v>113</v>
      </c>
      <c r="C4371" t="s">
        <v>114</v>
      </c>
      <c r="D4371" t="s">
        <v>2066</v>
      </c>
      <c r="F4371" t="str">
        <f>"251421"</f>
        <v>251421</v>
      </c>
      <c r="G4371" t="s">
        <v>49</v>
      </c>
      <c r="H4371" t="s">
        <v>1979</v>
      </c>
      <c r="K4371" t="s">
        <v>51</v>
      </c>
      <c r="L4371" t="s">
        <v>52</v>
      </c>
      <c r="M4371">
        <v>136862.57999999999</v>
      </c>
      <c r="N4371">
        <v>472728.6</v>
      </c>
      <c r="O4371" t="s">
        <v>53</v>
      </c>
      <c r="P4371" t="s">
        <v>54</v>
      </c>
      <c r="Q4371" t="s">
        <v>55</v>
      </c>
      <c r="T4371" t="s">
        <v>239</v>
      </c>
      <c r="U4371">
        <v>40</v>
      </c>
      <c r="V4371" s="1">
        <v>29221</v>
      </c>
      <c r="W4371" s="1">
        <v>29221</v>
      </c>
      <c r="X4371" s="1">
        <v>29221</v>
      </c>
      <c r="Y4371" s="1">
        <v>43831</v>
      </c>
      <c r="Z4371" t="s">
        <v>51</v>
      </c>
      <c r="AB4371" t="s">
        <v>54</v>
      </c>
      <c r="AC4371">
        <v>1</v>
      </c>
      <c r="AE4371" t="s">
        <v>2105</v>
      </c>
      <c r="AF4371">
        <v>20</v>
      </c>
      <c r="AG4371" s="1">
        <v>34700</v>
      </c>
      <c r="AH4371" s="1">
        <v>34700</v>
      </c>
      <c r="AI4371" s="1">
        <v>34700</v>
      </c>
      <c r="AJ4371" s="1">
        <v>42005</v>
      </c>
      <c r="AK4371" t="s">
        <v>51</v>
      </c>
      <c r="AN4371">
        <v>0</v>
      </c>
      <c r="AO4371" t="s">
        <v>54</v>
      </c>
      <c r="AP4371" t="s">
        <v>53</v>
      </c>
      <c r="AQ4371">
        <v>0</v>
      </c>
      <c r="AR4371" t="s">
        <v>53</v>
      </c>
      <c r="AS4371">
        <v>0</v>
      </c>
      <c r="AT4371">
        <v>0</v>
      </c>
      <c r="AW4371" t="s">
        <v>58</v>
      </c>
      <c r="AX4371">
        <v>20</v>
      </c>
      <c r="AY4371" s="1">
        <v>34700</v>
      </c>
      <c r="AZ4371" s="1">
        <v>34700</v>
      </c>
      <c r="BA4371" s="1">
        <v>34700</v>
      </c>
      <c r="BB4371" s="1">
        <v>42005</v>
      </c>
      <c r="BC4371" t="s">
        <v>51</v>
      </c>
      <c r="BE4371" t="s">
        <v>54</v>
      </c>
      <c r="BF4371">
        <v>2</v>
      </c>
      <c r="BG4371">
        <v>0</v>
      </c>
      <c r="BH4371" t="s">
        <v>53</v>
      </c>
      <c r="BK4371" t="s">
        <v>59</v>
      </c>
      <c r="BL4371">
        <v>14000</v>
      </c>
      <c r="BM4371" s="1">
        <v>41456</v>
      </c>
      <c r="BN4371" s="1">
        <v>41456</v>
      </c>
      <c r="BO4371" s="1">
        <v>41456</v>
      </c>
      <c r="BP4371" s="1">
        <v>42656</v>
      </c>
      <c r="BQ4371" t="s">
        <v>51</v>
      </c>
      <c r="BS4371" t="s">
        <v>60</v>
      </c>
      <c r="BT4371" t="s">
        <v>54</v>
      </c>
      <c r="BU4371" t="s">
        <v>61</v>
      </c>
      <c r="BV4371" t="s">
        <v>62</v>
      </c>
      <c r="BX4371">
        <v>24</v>
      </c>
      <c r="BY4371">
        <v>0</v>
      </c>
      <c r="BZ4371">
        <v>0</v>
      </c>
    </row>
    <row r="4372" spans="1:99" x14ac:dyDescent="0.2">
      <c r="A4372" t="s">
        <v>112</v>
      </c>
      <c r="B4372" t="s">
        <v>113</v>
      </c>
      <c r="C4372" t="s">
        <v>114</v>
      </c>
      <c r="D4372" t="s">
        <v>2066</v>
      </c>
      <c r="F4372" t="str">
        <f>"251422"</f>
        <v>251422</v>
      </c>
      <c r="G4372" t="s">
        <v>49</v>
      </c>
      <c r="H4372" t="s">
        <v>1979</v>
      </c>
      <c r="K4372" t="s">
        <v>51</v>
      </c>
      <c r="L4372" t="s">
        <v>52</v>
      </c>
      <c r="M4372">
        <v>136866.19</v>
      </c>
      <c r="N4372">
        <v>472727.78</v>
      </c>
      <c r="O4372" t="s">
        <v>53</v>
      </c>
      <c r="P4372" t="s">
        <v>54</v>
      </c>
      <c r="Q4372" t="s">
        <v>55</v>
      </c>
      <c r="T4372" t="s">
        <v>691</v>
      </c>
      <c r="U4372">
        <v>40</v>
      </c>
      <c r="V4372" s="1">
        <v>34700</v>
      </c>
      <c r="W4372" s="1">
        <v>34700</v>
      </c>
      <c r="X4372" s="1">
        <v>34700</v>
      </c>
      <c r="Y4372" s="1">
        <v>49310</v>
      </c>
      <c r="Z4372" t="s">
        <v>51</v>
      </c>
      <c r="AB4372" t="s">
        <v>54</v>
      </c>
      <c r="AC4372">
        <v>1</v>
      </c>
      <c r="AE4372" t="s">
        <v>564</v>
      </c>
      <c r="AF4372">
        <v>20</v>
      </c>
      <c r="AG4372" s="1">
        <v>34700</v>
      </c>
      <c r="AH4372" s="1">
        <v>34700</v>
      </c>
      <c r="AI4372" s="1">
        <v>34700</v>
      </c>
      <c r="AJ4372" s="1">
        <v>42005</v>
      </c>
      <c r="AK4372" t="s">
        <v>51</v>
      </c>
      <c r="AN4372">
        <v>0</v>
      </c>
      <c r="AO4372" t="s">
        <v>54</v>
      </c>
      <c r="AP4372" t="s">
        <v>53</v>
      </c>
      <c r="AQ4372">
        <v>0</v>
      </c>
      <c r="AR4372" t="s">
        <v>53</v>
      </c>
      <c r="AS4372">
        <v>0</v>
      </c>
      <c r="AT4372">
        <v>0</v>
      </c>
      <c r="AW4372" t="s">
        <v>58</v>
      </c>
      <c r="AX4372">
        <v>20</v>
      </c>
      <c r="AY4372" s="1">
        <v>34700</v>
      </c>
      <c r="AZ4372" s="1">
        <v>34700</v>
      </c>
      <c r="BA4372" s="1">
        <v>34700</v>
      </c>
      <c r="BB4372" s="1">
        <v>42005</v>
      </c>
      <c r="BC4372" t="s">
        <v>51</v>
      </c>
      <c r="BE4372" t="s">
        <v>54</v>
      </c>
      <c r="BF4372">
        <v>2</v>
      </c>
      <c r="BG4372">
        <v>0</v>
      </c>
      <c r="BH4372" t="s">
        <v>53</v>
      </c>
      <c r="BK4372" t="s">
        <v>59</v>
      </c>
      <c r="BL4372">
        <v>14000</v>
      </c>
      <c r="BM4372" s="1">
        <v>41456</v>
      </c>
      <c r="BN4372" s="1">
        <v>41456</v>
      </c>
      <c r="BO4372" s="1">
        <v>41456</v>
      </c>
      <c r="BP4372" s="1">
        <v>42656</v>
      </c>
      <c r="BQ4372" t="s">
        <v>51</v>
      </c>
      <c r="BS4372" t="s">
        <v>60</v>
      </c>
      <c r="BT4372" t="s">
        <v>54</v>
      </c>
      <c r="BU4372" t="s">
        <v>61</v>
      </c>
      <c r="BV4372" t="s">
        <v>62</v>
      </c>
      <c r="BX4372">
        <v>24</v>
      </c>
      <c r="BY4372">
        <v>0</v>
      </c>
      <c r="BZ4372">
        <v>0</v>
      </c>
    </row>
    <row r="4373" spans="1:99" x14ac:dyDescent="0.2">
      <c r="A4373" t="s">
        <v>112</v>
      </c>
      <c r="B4373" t="s">
        <v>113</v>
      </c>
      <c r="C4373" t="s">
        <v>114</v>
      </c>
      <c r="D4373" t="s">
        <v>2066</v>
      </c>
      <c r="F4373" t="str">
        <f>"251423"</f>
        <v>251423</v>
      </c>
      <c r="G4373" t="s">
        <v>49</v>
      </c>
      <c r="H4373" t="s">
        <v>1979</v>
      </c>
      <c r="K4373" t="s">
        <v>51</v>
      </c>
      <c r="L4373" t="s">
        <v>52</v>
      </c>
      <c r="M4373">
        <v>136865.79</v>
      </c>
      <c r="N4373">
        <v>472743.44</v>
      </c>
      <c r="O4373" t="s">
        <v>53</v>
      </c>
      <c r="P4373" t="s">
        <v>54</v>
      </c>
      <c r="Q4373" t="s">
        <v>55</v>
      </c>
      <c r="T4373" t="s">
        <v>239</v>
      </c>
      <c r="U4373">
        <v>40</v>
      </c>
      <c r="V4373" s="1">
        <v>29221</v>
      </c>
      <c r="W4373" s="1">
        <v>29221</v>
      </c>
      <c r="X4373" s="1">
        <v>29221</v>
      </c>
      <c r="Y4373" s="1">
        <v>43831</v>
      </c>
      <c r="Z4373" t="s">
        <v>51</v>
      </c>
      <c r="AB4373" t="s">
        <v>54</v>
      </c>
      <c r="AC4373">
        <v>1</v>
      </c>
      <c r="AE4373" t="s">
        <v>2105</v>
      </c>
      <c r="AF4373">
        <v>20</v>
      </c>
      <c r="AG4373" s="1">
        <v>34700</v>
      </c>
      <c r="AH4373" s="1">
        <v>34700</v>
      </c>
      <c r="AI4373" s="1">
        <v>34700</v>
      </c>
      <c r="AJ4373" s="1">
        <v>42005</v>
      </c>
      <c r="AK4373" t="s">
        <v>51</v>
      </c>
      <c r="AN4373">
        <v>0</v>
      </c>
      <c r="AO4373" t="s">
        <v>54</v>
      </c>
      <c r="AP4373" t="s">
        <v>53</v>
      </c>
      <c r="AQ4373">
        <v>0</v>
      </c>
      <c r="AR4373" t="s">
        <v>53</v>
      </c>
      <c r="AS4373">
        <v>0</v>
      </c>
      <c r="AT4373">
        <v>0</v>
      </c>
      <c r="AW4373" t="s">
        <v>58</v>
      </c>
      <c r="AX4373">
        <v>20</v>
      </c>
      <c r="AY4373" s="1">
        <v>34700</v>
      </c>
      <c r="AZ4373" s="1">
        <v>34700</v>
      </c>
      <c r="BA4373" s="1">
        <v>34700</v>
      </c>
      <c r="BB4373" s="1">
        <v>42005</v>
      </c>
      <c r="BC4373" t="s">
        <v>51</v>
      </c>
      <c r="BE4373" t="s">
        <v>54</v>
      </c>
      <c r="BF4373">
        <v>2</v>
      </c>
      <c r="BG4373">
        <v>0</v>
      </c>
      <c r="BH4373" t="s">
        <v>53</v>
      </c>
      <c r="BK4373" t="s">
        <v>59</v>
      </c>
      <c r="BL4373">
        <v>14000</v>
      </c>
      <c r="BM4373" s="1">
        <v>41456</v>
      </c>
      <c r="BN4373" s="1">
        <v>41456</v>
      </c>
      <c r="BO4373" s="1">
        <v>41456</v>
      </c>
      <c r="BP4373" s="1">
        <v>42656</v>
      </c>
      <c r="BQ4373" t="s">
        <v>51</v>
      </c>
      <c r="BS4373" t="s">
        <v>60</v>
      </c>
      <c r="BT4373" t="s">
        <v>54</v>
      </c>
      <c r="BU4373" t="s">
        <v>61</v>
      </c>
      <c r="BV4373" t="s">
        <v>62</v>
      </c>
      <c r="BX4373">
        <v>24</v>
      </c>
      <c r="BY4373">
        <v>0</v>
      </c>
      <c r="BZ4373">
        <v>0</v>
      </c>
    </row>
    <row r="4374" spans="1:99" x14ac:dyDescent="0.2">
      <c r="A4374" t="s">
        <v>112</v>
      </c>
      <c r="B4374" t="s">
        <v>113</v>
      </c>
      <c r="C4374" t="s">
        <v>114</v>
      </c>
      <c r="D4374" t="s">
        <v>2066</v>
      </c>
      <c r="F4374" t="str">
        <f>"251424"</f>
        <v>251424</v>
      </c>
      <c r="G4374" t="s">
        <v>49</v>
      </c>
      <c r="H4374" t="s">
        <v>1979</v>
      </c>
      <c r="K4374" t="s">
        <v>51</v>
      </c>
      <c r="L4374" t="s">
        <v>52</v>
      </c>
      <c r="M4374">
        <v>136865.28</v>
      </c>
      <c r="N4374">
        <v>472758.34</v>
      </c>
      <c r="O4374" t="s">
        <v>53</v>
      </c>
      <c r="P4374" t="s">
        <v>54</v>
      </c>
      <c r="Q4374" t="s">
        <v>55</v>
      </c>
      <c r="T4374" t="s">
        <v>2083</v>
      </c>
      <c r="U4374">
        <v>40</v>
      </c>
      <c r="V4374" s="1">
        <v>34700</v>
      </c>
      <c r="W4374" s="1">
        <v>34700</v>
      </c>
      <c r="X4374" s="1">
        <v>34700</v>
      </c>
      <c r="Y4374" s="1">
        <v>49310</v>
      </c>
      <c r="Z4374" t="s">
        <v>51</v>
      </c>
      <c r="AB4374" t="s">
        <v>54</v>
      </c>
      <c r="AC4374">
        <v>1</v>
      </c>
      <c r="AE4374" t="s">
        <v>564</v>
      </c>
      <c r="AF4374">
        <v>20</v>
      </c>
      <c r="AG4374" s="1">
        <v>34700</v>
      </c>
      <c r="AH4374" s="1">
        <v>34700</v>
      </c>
      <c r="AI4374" s="1">
        <v>34700</v>
      </c>
      <c r="AJ4374" s="1">
        <v>42005</v>
      </c>
      <c r="AK4374" t="s">
        <v>51</v>
      </c>
      <c r="AN4374">
        <v>0</v>
      </c>
      <c r="AO4374" t="s">
        <v>54</v>
      </c>
      <c r="AP4374" t="s">
        <v>53</v>
      </c>
      <c r="AQ4374">
        <v>0</v>
      </c>
      <c r="AR4374" t="s">
        <v>53</v>
      </c>
      <c r="AS4374">
        <v>0</v>
      </c>
      <c r="AT4374">
        <v>0</v>
      </c>
      <c r="AW4374" t="s">
        <v>58</v>
      </c>
      <c r="AX4374">
        <v>20</v>
      </c>
      <c r="AY4374" s="1">
        <v>34700</v>
      </c>
      <c r="AZ4374" s="1">
        <v>34700</v>
      </c>
      <c r="BA4374" s="1">
        <v>34700</v>
      </c>
      <c r="BB4374" s="1">
        <v>42005</v>
      </c>
      <c r="BC4374" t="s">
        <v>51</v>
      </c>
      <c r="BE4374" t="s">
        <v>54</v>
      </c>
      <c r="BF4374">
        <v>2</v>
      </c>
      <c r="BG4374">
        <v>0</v>
      </c>
      <c r="BH4374" t="s">
        <v>53</v>
      </c>
      <c r="BK4374" t="s">
        <v>59</v>
      </c>
      <c r="BL4374">
        <v>14000</v>
      </c>
      <c r="BM4374" s="1">
        <v>41456</v>
      </c>
      <c r="BN4374" s="1">
        <v>41456</v>
      </c>
      <c r="BO4374" s="1">
        <v>41456</v>
      </c>
      <c r="BP4374" s="1">
        <v>42656</v>
      </c>
      <c r="BQ4374" t="s">
        <v>51</v>
      </c>
      <c r="BS4374" t="s">
        <v>60</v>
      </c>
      <c r="BT4374" t="s">
        <v>54</v>
      </c>
      <c r="BU4374" t="s">
        <v>61</v>
      </c>
      <c r="BV4374" t="s">
        <v>62</v>
      </c>
      <c r="BX4374">
        <v>24</v>
      </c>
      <c r="BY4374">
        <v>0</v>
      </c>
      <c r="BZ4374">
        <v>0</v>
      </c>
    </row>
    <row r="4375" spans="1:99" x14ac:dyDescent="0.2">
      <c r="A4375" t="s">
        <v>112</v>
      </c>
      <c r="B4375" t="s">
        <v>113</v>
      </c>
      <c r="C4375" t="s">
        <v>114</v>
      </c>
      <c r="D4375" t="s">
        <v>2066</v>
      </c>
      <c r="F4375" t="str">
        <f>"251426"</f>
        <v>251426</v>
      </c>
      <c r="G4375" t="s">
        <v>49</v>
      </c>
      <c r="H4375" t="s">
        <v>1979</v>
      </c>
      <c r="K4375" t="s">
        <v>51</v>
      </c>
      <c r="L4375" t="s">
        <v>52</v>
      </c>
      <c r="M4375">
        <v>136864.45000000001</v>
      </c>
      <c r="N4375">
        <v>472785.78</v>
      </c>
      <c r="O4375" t="s">
        <v>53</v>
      </c>
      <c r="P4375" t="s">
        <v>54</v>
      </c>
      <c r="Q4375" t="s">
        <v>55</v>
      </c>
      <c r="T4375" t="s">
        <v>691</v>
      </c>
      <c r="U4375">
        <v>40</v>
      </c>
      <c r="V4375" s="1">
        <v>34700</v>
      </c>
      <c r="W4375" s="1">
        <v>34700</v>
      </c>
      <c r="X4375" s="1">
        <v>34700</v>
      </c>
      <c r="Y4375" s="1">
        <v>49310</v>
      </c>
      <c r="Z4375" t="s">
        <v>51</v>
      </c>
      <c r="AB4375" t="s">
        <v>54</v>
      </c>
      <c r="AC4375">
        <v>1</v>
      </c>
      <c r="AE4375" t="s">
        <v>564</v>
      </c>
      <c r="AF4375">
        <v>20</v>
      </c>
      <c r="AG4375" s="1">
        <v>34700</v>
      </c>
      <c r="AH4375" s="1">
        <v>34700</v>
      </c>
      <c r="AI4375" s="1">
        <v>34700</v>
      </c>
      <c r="AJ4375" s="1">
        <v>42005</v>
      </c>
      <c r="AK4375" t="s">
        <v>51</v>
      </c>
      <c r="AN4375">
        <v>0</v>
      </c>
      <c r="AO4375" t="s">
        <v>54</v>
      </c>
      <c r="AP4375" t="s">
        <v>53</v>
      </c>
      <c r="AQ4375">
        <v>0</v>
      </c>
      <c r="AR4375" t="s">
        <v>53</v>
      </c>
      <c r="AS4375">
        <v>0</v>
      </c>
      <c r="AT4375">
        <v>0</v>
      </c>
      <c r="AW4375" t="s">
        <v>58</v>
      </c>
      <c r="AX4375">
        <v>20</v>
      </c>
      <c r="AY4375" s="1">
        <v>34700</v>
      </c>
      <c r="AZ4375" s="1">
        <v>34700</v>
      </c>
      <c r="BA4375" s="1">
        <v>34700</v>
      </c>
      <c r="BB4375" s="1">
        <v>42005</v>
      </c>
      <c r="BC4375" t="s">
        <v>51</v>
      </c>
      <c r="BE4375" t="s">
        <v>54</v>
      </c>
      <c r="BF4375">
        <v>2</v>
      </c>
      <c r="BG4375">
        <v>0</v>
      </c>
      <c r="BH4375" t="s">
        <v>53</v>
      </c>
      <c r="BK4375" t="s">
        <v>59</v>
      </c>
      <c r="BL4375">
        <v>14000</v>
      </c>
      <c r="BM4375" s="1">
        <v>43444</v>
      </c>
      <c r="BN4375" s="1">
        <v>43444</v>
      </c>
      <c r="BO4375" s="1">
        <v>43444</v>
      </c>
      <c r="BP4375" s="1">
        <v>44605</v>
      </c>
      <c r="BQ4375" t="s">
        <v>51</v>
      </c>
      <c r="BS4375" t="s">
        <v>60</v>
      </c>
      <c r="BT4375" t="s">
        <v>54</v>
      </c>
      <c r="BU4375" t="s">
        <v>61</v>
      </c>
      <c r="BV4375" t="s">
        <v>62</v>
      </c>
      <c r="BX4375">
        <v>24</v>
      </c>
      <c r="BY4375">
        <v>0</v>
      </c>
      <c r="BZ4375">
        <v>0</v>
      </c>
    </row>
    <row r="4376" spans="1:99" x14ac:dyDescent="0.2">
      <c r="A4376" t="s">
        <v>112</v>
      </c>
      <c r="B4376" t="s">
        <v>113</v>
      </c>
      <c r="C4376" t="s">
        <v>114</v>
      </c>
      <c r="D4376" t="s">
        <v>2066</v>
      </c>
      <c r="F4376" t="str">
        <f>"251427"</f>
        <v>251427</v>
      </c>
      <c r="G4376" t="s">
        <v>49</v>
      </c>
      <c r="H4376" t="s">
        <v>1979</v>
      </c>
      <c r="K4376" t="s">
        <v>51</v>
      </c>
      <c r="L4376" t="s">
        <v>52</v>
      </c>
      <c r="M4376">
        <v>136860.03</v>
      </c>
      <c r="N4376">
        <v>472816.51</v>
      </c>
      <c r="O4376" t="s">
        <v>53</v>
      </c>
      <c r="P4376" t="s">
        <v>54</v>
      </c>
      <c r="Q4376" t="s">
        <v>55</v>
      </c>
      <c r="T4376" t="s">
        <v>239</v>
      </c>
      <c r="U4376">
        <v>40</v>
      </c>
      <c r="V4376" s="1">
        <v>29221</v>
      </c>
      <c r="W4376" s="1">
        <v>29221</v>
      </c>
      <c r="X4376" s="1">
        <v>29221</v>
      </c>
      <c r="Y4376" s="1">
        <v>43831</v>
      </c>
      <c r="Z4376" t="s">
        <v>51</v>
      </c>
      <c r="AB4376" t="s">
        <v>54</v>
      </c>
      <c r="AC4376">
        <v>1</v>
      </c>
      <c r="AE4376" t="s">
        <v>2105</v>
      </c>
      <c r="AF4376">
        <v>20</v>
      </c>
      <c r="AG4376" s="1">
        <v>34700</v>
      </c>
      <c r="AH4376" s="1">
        <v>34700</v>
      </c>
      <c r="AI4376" s="1">
        <v>34700</v>
      </c>
      <c r="AJ4376" s="1">
        <v>42005</v>
      </c>
      <c r="AK4376" t="s">
        <v>51</v>
      </c>
      <c r="AN4376">
        <v>0</v>
      </c>
      <c r="AO4376" t="s">
        <v>54</v>
      </c>
      <c r="AP4376" t="s">
        <v>53</v>
      </c>
      <c r="AQ4376">
        <v>0</v>
      </c>
      <c r="AR4376" t="s">
        <v>53</v>
      </c>
      <c r="AS4376">
        <v>0</v>
      </c>
      <c r="AT4376">
        <v>0</v>
      </c>
      <c r="AW4376" t="s">
        <v>58</v>
      </c>
      <c r="AX4376">
        <v>20</v>
      </c>
      <c r="AY4376" s="1">
        <v>34700</v>
      </c>
      <c r="AZ4376" s="1">
        <v>34700</v>
      </c>
      <c r="BA4376" s="1">
        <v>34700</v>
      </c>
      <c r="BB4376" s="1">
        <v>42005</v>
      </c>
      <c r="BC4376" t="s">
        <v>51</v>
      </c>
      <c r="BE4376" t="s">
        <v>54</v>
      </c>
      <c r="BF4376">
        <v>2</v>
      </c>
      <c r="BG4376">
        <v>0</v>
      </c>
      <c r="BH4376" t="s">
        <v>53</v>
      </c>
      <c r="BK4376" t="s">
        <v>59</v>
      </c>
      <c r="BL4376">
        <v>14000</v>
      </c>
      <c r="BM4376" s="1">
        <v>41456</v>
      </c>
      <c r="BN4376" s="1">
        <v>41456</v>
      </c>
      <c r="BO4376" s="1">
        <v>41456</v>
      </c>
      <c r="BP4376" s="1">
        <v>42656</v>
      </c>
      <c r="BQ4376" t="s">
        <v>51</v>
      </c>
      <c r="BS4376" t="s">
        <v>60</v>
      </c>
      <c r="BT4376" t="s">
        <v>54</v>
      </c>
      <c r="BU4376" t="s">
        <v>61</v>
      </c>
      <c r="BV4376" t="s">
        <v>62</v>
      </c>
      <c r="BX4376">
        <v>24</v>
      </c>
      <c r="BY4376">
        <v>0</v>
      </c>
      <c r="BZ4376">
        <v>0</v>
      </c>
    </row>
    <row r="4377" spans="1:99" x14ac:dyDescent="0.2">
      <c r="A4377" t="s">
        <v>112</v>
      </c>
      <c r="B4377" t="s">
        <v>113</v>
      </c>
      <c r="C4377" t="s">
        <v>114</v>
      </c>
      <c r="D4377" t="s">
        <v>2066</v>
      </c>
      <c r="F4377" t="str">
        <f>"251428"</f>
        <v>251428</v>
      </c>
      <c r="G4377" t="s">
        <v>49</v>
      </c>
      <c r="H4377" t="s">
        <v>1979</v>
      </c>
      <c r="K4377" t="s">
        <v>51</v>
      </c>
      <c r="L4377" t="s">
        <v>52</v>
      </c>
      <c r="M4377">
        <v>136863.59</v>
      </c>
      <c r="N4377">
        <v>472817.31</v>
      </c>
      <c r="O4377" t="s">
        <v>53</v>
      </c>
      <c r="P4377" t="s">
        <v>54</v>
      </c>
      <c r="Q4377" t="s">
        <v>55</v>
      </c>
      <c r="T4377" t="s">
        <v>691</v>
      </c>
      <c r="U4377">
        <v>40</v>
      </c>
      <c r="V4377" s="1">
        <v>34700</v>
      </c>
      <c r="W4377" s="1">
        <v>34700</v>
      </c>
      <c r="X4377" s="1">
        <v>34700</v>
      </c>
      <c r="Y4377" s="1">
        <v>49310</v>
      </c>
      <c r="Z4377" t="s">
        <v>51</v>
      </c>
      <c r="AB4377" t="s">
        <v>54</v>
      </c>
      <c r="AC4377">
        <v>1</v>
      </c>
      <c r="AE4377" t="s">
        <v>564</v>
      </c>
      <c r="AF4377">
        <v>20</v>
      </c>
      <c r="AG4377" s="1">
        <v>34700</v>
      </c>
      <c r="AH4377" s="1">
        <v>34700</v>
      </c>
      <c r="AI4377" s="1">
        <v>34700</v>
      </c>
      <c r="AJ4377" s="1">
        <v>42005</v>
      </c>
      <c r="AK4377" t="s">
        <v>51</v>
      </c>
      <c r="AN4377">
        <v>0</v>
      </c>
      <c r="AO4377" t="s">
        <v>54</v>
      </c>
      <c r="AP4377" t="s">
        <v>53</v>
      </c>
      <c r="AQ4377">
        <v>0</v>
      </c>
      <c r="AR4377" t="s">
        <v>53</v>
      </c>
      <c r="AS4377">
        <v>0</v>
      </c>
      <c r="AT4377">
        <v>0</v>
      </c>
      <c r="AW4377" t="s">
        <v>58</v>
      </c>
      <c r="AX4377">
        <v>20</v>
      </c>
      <c r="AY4377" s="1">
        <v>34700</v>
      </c>
      <c r="AZ4377" s="1">
        <v>34700</v>
      </c>
      <c r="BA4377" s="1">
        <v>34700</v>
      </c>
      <c r="BB4377" s="1">
        <v>42005</v>
      </c>
      <c r="BC4377" t="s">
        <v>51</v>
      </c>
      <c r="BE4377" t="s">
        <v>54</v>
      </c>
      <c r="BF4377">
        <v>2</v>
      </c>
      <c r="BG4377">
        <v>0</v>
      </c>
      <c r="BH4377" t="s">
        <v>53</v>
      </c>
      <c r="BK4377" t="s">
        <v>59</v>
      </c>
      <c r="BL4377">
        <v>14000</v>
      </c>
      <c r="BM4377" s="1">
        <v>44109</v>
      </c>
      <c r="BN4377" s="1">
        <v>44109</v>
      </c>
      <c r="BO4377" s="1">
        <v>44109</v>
      </c>
      <c r="BP4377" s="1">
        <v>45273</v>
      </c>
      <c r="BQ4377" t="s">
        <v>51</v>
      </c>
      <c r="BS4377" t="s">
        <v>60</v>
      </c>
      <c r="BT4377" t="s">
        <v>54</v>
      </c>
      <c r="BU4377" t="s">
        <v>61</v>
      </c>
      <c r="BV4377" t="s">
        <v>62</v>
      </c>
      <c r="BX4377">
        <v>24</v>
      </c>
      <c r="BY4377">
        <v>0</v>
      </c>
      <c r="BZ4377">
        <v>0</v>
      </c>
    </row>
    <row r="4378" spans="1:99" x14ac:dyDescent="0.2">
      <c r="A4378" t="s">
        <v>112</v>
      </c>
      <c r="B4378" t="s">
        <v>113</v>
      </c>
      <c r="C4378" t="s">
        <v>114</v>
      </c>
      <c r="D4378" t="s">
        <v>2066</v>
      </c>
      <c r="F4378" t="str">
        <f>"251429"</f>
        <v>251429</v>
      </c>
      <c r="G4378" t="s">
        <v>49</v>
      </c>
      <c r="H4378" t="s">
        <v>1979</v>
      </c>
      <c r="K4378" t="s">
        <v>51</v>
      </c>
      <c r="L4378" t="s">
        <v>52</v>
      </c>
      <c r="M4378">
        <v>136860.29999999999</v>
      </c>
      <c r="N4378">
        <v>472841.69</v>
      </c>
      <c r="O4378" t="s">
        <v>53</v>
      </c>
      <c r="P4378" t="s">
        <v>54</v>
      </c>
      <c r="Q4378" t="s">
        <v>55</v>
      </c>
      <c r="T4378" t="s">
        <v>239</v>
      </c>
      <c r="U4378">
        <v>40</v>
      </c>
      <c r="V4378" s="1">
        <v>29221</v>
      </c>
      <c r="W4378" s="1">
        <v>29221</v>
      </c>
      <c r="X4378" s="1">
        <v>29221</v>
      </c>
      <c r="Y4378" s="1">
        <v>43831</v>
      </c>
      <c r="Z4378" t="s">
        <v>51</v>
      </c>
      <c r="AB4378" t="s">
        <v>54</v>
      </c>
      <c r="AC4378">
        <v>1</v>
      </c>
      <c r="AE4378" t="s">
        <v>2105</v>
      </c>
      <c r="AF4378">
        <v>20</v>
      </c>
      <c r="AG4378" s="1">
        <v>34700</v>
      </c>
      <c r="AH4378" s="1">
        <v>34700</v>
      </c>
      <c r="AI4378" s="1">
        <v>34700</v>
      </c>
      <c r="AJ4378" s="1">
        <v>42005</v>
      </c>
      <c r="AK4378" t="s">
        <v>51</v>
      </c>
      <c r="AN4378">
        <v>0</v>
      </c>
      <c r="AO4378" t="s">
        <v>54</v>
      </c>
      <c r="AP4378" t="s">
        <v>53</v>
      </c>
      <c r="AQ4378">
        <v>0</v>
      </c>
      <c r="AR4378" t="s">
        <v>53</v>
      </c>
      <c r="AS4378">
        <v>0</v>
      </c>
      <c r="AT4378">
        <v>0</v>
      </c>
      <c r="AW4378" t="s">
        <v>58</v>
      </c>
      <c r="AX4378">
        <v>20</v>
      </c>
      <c r="AY4378" s="1">
        <v>34700</v>
      </c>
      <c r="AZ4378" s="1">
        <v>34700</v>
      </c>
      <c r="BA4378" s="1">
        <v>34700</v>
      </c>
      <c r="BB4378" s="1">
        <v>42005</v>
      </c>
      <c r="BC4378" t="s">
        <v>51</v>
      </c>
      <c r="BE4378" t="s">
        <v>54</v>
      </c>
      <c r="BF4378">
        <v>2</v>
      </c>
      <c r="BG4378">
        <v>0</v>
      </c>
      <c r="BH4378" t="s">
        <v>53</v>
      </c>
      <c r="BK4378" t="s">
        <v>59</v>
      </c>
      <c r="BL4378">
        <v>14000</v>
      </c>
      <c r="BM4378" s="1">
        <v>41456</v>
      </c>
      <c r="BN4378" s="1">
        <v>41456</v>
      </c>
      <c r="BO4378" s="1">
        <v>41456</v>
      </c>
      <c r="BP4378" s="1">
        <v>42656</v>
      </c>
      <c r="BQ4378" t="s">
        <v>51</v>
      </c>
      <c r="BS4378" t="s">
        <v>60</v>
      </c>
      <c r="BT4378" t="s">
        <v>54</v>
      </c>
      <c r="BU4378" t="s">
        <v>61</v>
      </c>
      <c r="BV4378" t="s">
        <v>62</v>
      </c>
      <c r="BX4378">
        <v>24</v>
      </c>
      <c r="BY4378">
        <v>0</v>
      </c>
      <c r="BZ4378">
        <v>0</v>
      </c>
    </row>
    <row r="4379" spans="1:99" x14ac:dyDescent="0.2">
      <c r="A4379" t="s">
        <v>112</v>
      </c>
      <c r="B4379" t="s">
        <v>113</v>
      </c>
      <c r="C4379" t="s">
        <v>114</v>
      </c>
      <c r="D4379" t="s">
        <v>2066</v>
      </c>
      <c r="F4379" t="str">
        <f>"251430"</f>
        <v>251430</v>
      </c>
      <c r="G4379" t="s">
        <v>49</v>
      </c>
      <c r="H4379" t="s">
        <v>1979</v>
      </c>
      <c r="K4379" t="s">
        <v>51</v>
      </c>
      <c r="L4379" t="s">
        <v>52</v>
      </c>
      <c r="M4379">
        <v>136862.78</v>
      </c>
      <c r="N4379">
        <v>472847.27</v>
      </c>
      <c r="O4379" t="s">
        <v>53</v>
      </c>
      <c r="P4379" t="s">
        <v>54</v>
      </c>
      <c r="Q4379" t="s">
        <v>55</v>
      </c>
      <c r="T4379" t="s">
        <v>691</v>
      </c>
      <c r="U4379">
        <v>40</v>
      </c>
      <c r="V4379" s="1">
        <v>34700</v>
      </c>
      <c r="W4379" s="1">
        <v>34700</v>
      </c>
      <c r="X4379" s="1">
        <v>34700</v>
      </c>
      <c r="Y4379" s="1">
        <v>49310</v>
      </c>
      <c r="Z4379" t="s">
        <v>51</v>
      </c>
      <c r="AB4379" t="s">
        <v>54</v>
      </c>
      <c r="AC4379">
        <v>1</v>
      </c>
      <c r="AE4379" t="s">
        <v>564</v>
      </c>
      <c r="AF4379">
        <v>20</v>
      </c>
      <c r="AG4379" s="1">
        <v>34700</v>
      </c>
      <c r="AH4379" s="1">
        <v>34700</v>
      </c>
      <c r="AI4379" s="1">
        <v>34700</v>
      </c>
      <c r="AJ4379" s="1">
        <v>42005</v>
      </c>
      <c r="AK4379" t="s">
        <v>51</v>
      </c>
      <c r="AN4379">
        <v>0</v>
      </c>
      <c r="AO4379" t="s">
        <v>54</v>
      </c>
      <c r="AP4379" t="s">
        <v>53</v>
      </c>
      <c r="AQ4379">
        <v>0</v>
      </c>
      <c r="AR4379" t="s">
        <v>53</v>
      </c>
      <c r="AS4379">
        <v>0</v>
      </c>
      <c r="AT4379">
        <v>0</v>
      </c>
      <c r="AW4379" t="s">
        <v>58</v>
      </c>
      <c r="AX4379">
        <v>20</v>
      </c>
      <c r="AY4379" s="1">
        <v>34700</v>
      </c>
      <c r="AZ4379" s="1">
        <v>34700</v>
      </c>
      <c r="BA4379" s="1">
        <v>34700</v>
      </c>
      <c r="BB4379" s="1">
        <v>42005</v>
      </c>
      <c r="BC4379" t="s">
        <v>51</v>
      </c>
      <c r="BE4379" t="s">
        <v>54</v>
      </c>
      <c r="BF4379">
        <v>2</v>
      </c>
      <c r="BG4379">
        <v>0</v>
      </c>
      <c r="BH4379" t="s">
        <v>53</v>
      </c>
      <c r="BK4379" t="s">
        <v>59</v>
      </c>
      <c r="BL4379">
        <v>14000</v>
      </c>
      <c r="BM4379" s="1">
        <v>41456</v>
      </c>
      <c r="BN4379" s="1">
        <v>41456</v>
      </c>
      <c r="BO4379" s="1">
        <v>41456</v>
      </c>
      <c r="BP4379" s="1">
        <v>42656</v>
      </c>
      <c r="BQ4379" t="s">
        <v>51</v>
      </c>
      <c r="BS4379" t="s">
        <v>60</v>
      </c>
      <c r="BT4379" t="s">
        <v>54</v>
      </c>
      <c r="BU4379" t="s">
        <v>61</v>
      </c>
      <c r="BV4379" t="s">
        <v>62</v>
      </c>
      <c r="BX4379">
        <v>24</v>
      </c>
      <c r="BY4379">
        <v>0</v>
      </c>
      <c r="BZ4379">
        <v>0</v>
      </c>
    </row>
    <row r="4380" spans="1:99" x14ac:dyDescent="0.2">
      <c r="A4380" t="s">
        <v>112</v>
      </c>
      <c r="B4380" t="s">
        <v>113</v>
      </c>
      <c r="C4380" t="s">
        <v>114</v>
      </c>
      <c r="D4380" t="s">
        <v>2106</v>
      </c>
      <c r="F4380" t="str">
        <f>"251433"</f>
        <v>251433</v>
      </c>
      <c r="G4380" t="s">
        <v>49</v>
      </c>
      <c r="K4380" t="s">
        <v>51</v>
      </c>
      <c r="L4380" t="s">
        <v>52</v>
      </c>
      <c r="M4380">
        <v>136886.505</v>
      </c>
      <c r="N4380">
        <v>472286.027</v>
      </c>
      <c r="O4380" t="s">
        <v>53</v>
      </c>
      <c r="P4380" t="s">
        <v>54</v>
      </c>
      <c r="Q4380" t="s">
        <v>55</v>
      </c>
      <c r="T4380" t="s">
        <v>2107</v>
      </c>
      <c r="U4380">
        <v>40</v>
      </c>
      <c r="V4380" s="1">
        <v>35977</v>
      </c>
      <c r="W4380" s="1">
        <v>35977</v>
      </c>
      <c r="X4380" s="1">
        <v>35977</v>
      </c>
      <c r="Y4380" s="1">
        <v>50587</v>
      </c>
      <c r="Z4380" t="s">
        <v>51</v>
      </c>
      <c r="AB4380" t="s">
        <v>54</v>
      </c>
      <c r="AC4380">
        <v>1</v>
      </c>
      <c r="AE4380" t="s">
        <v>2108</v>
      </c>
      <c r="AF4380">
        <v>0</v>
      </c>
      <c r="AG4380" s="1">
        <v>44441</v>
      </c>
      <c r="AH4380" s="1">
        <v>44441</v>
      </c>
      <c r="AI4380" s="1">
        <v>44441</v>
      </c>
      <c r="AJ4380" s="1">
        <v>44441</v>
      </c>
      <c r="AK4380" t="s">
        <v>51</v>
      </c>
      <c r="AN4380">
        <v>0</v>
      </c>
      <c r="AO4380" t="s">
        <v>54</v>
      </c>
      <c r="AP4380" t="s">
        <v>53</v>
      </c>
      <c r="AQ4380">
        <v>0</v>
      </c>
      <c r="AR4380" t="s">
        <v>53</v>
      </c>
      <c r="AS4380">
        <v>0</v>
      </c>
      <c r="AT4380">
        <v>0</v>
      </c>
      <c r="AW4380" t="s">
        <v>172</v>
      </c>
      <c r="AX4380">
        <v>15</v>
      </c>
      <c r="AY4380" s="1">
        <v>44441</v>
      </c>
      <c r="AZ4380" s="1">
        <v>44441</v>
      </c>
      <c r="BA4380" s="1">
        <v>44441</v>
      </c>
      <c r="BB4380" s="1">
        <v>49920</v>
      </c>
      <c r="BC4380" t="s">
        <v>51</v>
      </c>
      <c r="BE4380" t="s">
        <v>54</v>
      </c>
      <c r="BF4380">
        <v>40</v>
      </c>
      <c r="BG4380">
        <v>0</v>
      </c>
      <c r="BH4380" t="s">
        <v>145</v>
      </c>
      <c r="CC4380" t="s">
        <v>432</v>
      </c>
      <c r="CD4380">
        <v>85000</v>
      </c>
      <c r="CE4380" s="1">
        <v>44441</v>
      </c>
      <c r="CF4380" s="1">
        <v>44441</v>
      </c>
      <c r="CG4380" s="1">
        <v>44441</v>
      </c>
      <c r="CH4380" s="1">
        <v>52029</v>
      </c>
      <c r="CI4380" t="s">
        <v>51</v>
      </c>
      <c r="CK4380" t="s">
        <v>78</v>
      </c>
      <c r="CM4380" t="s">
        <v>54</v>
      </c>
      <c r="CN4380" t="s">
        <v>174</v>
      </c>
      <c r="CO4380" t="s">
        <v>86</v>
      </c>
      <c r="CR4380">
        <v>24</v>
      </c>
      <c r="CS4380">
        <v>0</v>
      </c>
      <c r="CT4380">
        <v>0</v>
      </c>
      <c r="CU4380">
        <v>0</v>
      </c>
    </row>
    <row r="4381" spans="1:99" x14ac:dyDescent="0.2">
      <c r="A4381" t="s">
        <v>112</v>
      </c>
      <c r="B4381" t="s">
        <v>113</v>
      </c>
      <c r="C4381" t="s">
        <v>114</v>
      </c>
      <c r="D4381" t="s">
        <v>2106</v>
      </c>
      <c r="F4381" t="str">
        <f>"251433"</f>
        <v>251433</v>
      </c>
      <c r="G4381" t="s">
        <v>49</v>
      </c>
      <c r="K4381" t="s">
        <v>51</v>
      </c>
      <c r="L4381" t="s">
        <v>52</v>
      </c>
      <c r="M4381">
        <v>136886.505</v>
      </c>
      <c r="N4381">
        <v>472286.027</v>
      </c>
      <c r="O4381" t="s">
        <v>53</v>
      </c>
      <c r="P4381" t="s">
        <v>54</v>
      </c>
      <c r="Q4381" t="s">
        <v>55</v>
      </c>
      <c r="T4381" t="s">
        <v>2107</v>
      </c>
      <c r="U4381">
        <v>40</v>
      </c>
      <c r="V4381" s="1">
        <v>35977</v>
      </c>
      <c r="W4381" s="1">
        <v>35977</v>
      </c>
      <c r="X4381" s="1">
        <v>35977</v>
      </c>
      <c r="Y4381" s="1">
        <v>50587</v>
      </c>
      <c r="Z4381" t="s">
        <v>51</v>
      </c>
      <c r="AB4381" t="s">
        <v>54</v>
      </c>
      <c r="AE4381" t="s">
        <v>2108</v>
      </c>
      <c r="AF4381">
        <v>0</v>
      </c>
      <c r="AG4381" s="1">
        <v>44441</v>
      </c>
      <c r="AH4381" s="1">
        <v>44441</v>
      </c>
      <c r="AI4381" s="1">
        <v>44441</v>
      </c>
      <c r="AJ4381" s="1">
        <v>44441</v>
      </c>
      <c r="AK4381" t="s">
        <v>51</v>
      </c>
      <c r="AN4381">
        <v>0</v>
      </c>
      <c r="AO4381" t="s">
        <v>54</v>
      </c>
      <c r="AP4381" t="s">
        <v>53</v>
      </c>
      <c r="AQ4381">
        <v>0</v>
      </c>
      <c r="AR4381" t="s">
        <v>53</v>
      </c>
      <c r="AS4381">
        <v>0</v>
      </c>
      <c r="AT4381">
        <v>0</v>
      </c>
      <c r="AW4381" t="s">
        <v>172</v>
      </c>
      <c r="AX4381">
        <v>15</v>
      </c>
      <c r="AY4381" s="1">
        <v>44441</v>
      </c>
      <c r="AZ4381" s="1">
        <v>44441</v>
      </c>
      <c r="BA4381" s="1">
        <v>44441</v>
      </c>
      <c r="BB4381" s="1">
        <v>49920</v>
      </c>
      <c r="BC4381" t="s">
        <v>51</v>
      </c>
      <c r="BE4381" t="s">
        <v>54</v>
      </c>
      <c r="BF4381">
        <v>40</v>
      </c>
      <c r="BG4381">
        <v>0</v>
      </c>
      <c r="BH4381" t="s">
        <v>145</v>
      </c>
      <c r="CC4381" t="s">
        <v>432</v>
      </c>
      <c r="CD4381">
        <v>85000</v>
      </c>
      <c r="CE4381" s="1">
        <v>44441</v>
      </c>
      <c r="CF4381" s="1">
        <v>44441</v>
      </c>
      <c r="CG4381" s="1">
        <v>44441</v>
      </c>
      <c r="CH4381" s="1">
        <v>52029</v>
      </c>
      <c r="CI4381" t="s">
        <v>51</v>
      </c>
      <c r="CK4381" t="s">
        <v>78</v>
      </c>
      <c r="CM4381" t="s">
        <v>54</v>
      </c>
      <c r="CN4381" t="s">
        <v>174</v>
      </c>
      <c r="CO4381" t="s">
        <v>86</v>
      </c>
      <c r="CR4381">
        <v>24</v>
      </c>
      <c r="CS4381">
        <v>0</v>
      </c>
      <c r="CT4381">
        <v>0</v>
      </c>
      <c r="CU4381">
        <v>0</v>
      </c>
    </row>
    <row r="4382" spans="1:99" x14ac:dyDescent="0.2">
      <c r="A4382" t="s">
        <v>112</v>
      </c>
      <c r="B4382" t="s">
        <v>113</v>
      </c>
      <c r="C4382" t="s">
        <v>114</v>
      </c>
      <c r="D4382" t="s">
        <v>2106</v>
      </c>
      <c r="F4382" t="str">
        <f>"251435"</f>
        <v>251435</v>
      </c>
      <c r="G4382" t="s">
        <v>49</v>
      </c>
      <c r="K4382" t="s">
        <v>51</v>
      </c>
      <c r="L4382" t="s">
        <v>52</v>
      </c>
      <c r="M4382">
        <v>136960.63</v>
      </c>
      <c r="N4382">
        <v>472285.97</v>
      </c>
      <c r="O4382" t="s">
        <v>53</v>
      </c>
      <c r="P4382" t="s">
        <v>54</v>
      </c>
      <c r="Q4382" t="s">
        <v>55</v>
      </c>
      <c r="T4382" t="s">
        <v>2107</v>
      </c>
      <c r="U4382">
        <v>40</v>
      </c>
      <c r="V4382" s="1">
        <v>35977</v>
      </c>
      <c r="W4382" s="1">
        <v>35977</v>
      </c>
      <c r="X4382" s="1">
        <v>35977</v>
      </c>
      <c r="Y4382" s="1">
        <v>50587</v>
      </c>
      <c r="Z4382" t="s">
        <v>51</v>
      </c>
      <c r="AB4382" t="s">
        <v>54</v>
      </c>
      <c r="AC4382">
        <v>1</v>
      </c>
      <c r="AE4382" t="s">
        <v>2108</v>
      </c>
      <c r="AF4382">
        <v>0</v>
      </c>
      <c r="AG4382" s="1">
        <v>44441</v>
      </c>
      <c r="AH4382" s="1">
        <v>44441</v>
      </c>
      <c r="AI4382" s="1">
        <v>44441</v>
      </c>
      <c r="AJ4382" s="1">
        <v>44441</v>
      </c>
      <c r="AK4382" t="s">
        <v>51</v>
      </c>
      <c r="AN4382">
        <v>0</v>
      </c>
      <c r="AO4382" t="s">
        <v>54</v>
      </c>
      <c r="AP4382" t="s">
        <v>53</v>
      </c>
      <c r="AQ4382">
        <v>0</v>
      </c>
      <c r="AR4382" t="s">
        <v>53</v>
      </c>
      <c r="AS4382">
        <v>0</v>
      </c>
      <c r="AT4382">
        <v>0</v>
      </c>
      <c r="AW4382" t="s">
        <v>172</v>
      </c>
      <c r="AX4382">
        <v>15</v>
      </c>
      <c r="AY4382" s="1">
        <v>44441</v>
      </c>
      <c r="AZ4382" s="1">
        <v>44441</v>
      </c>
      <c r="BA4382" s="1">
        <v>44441</v>
      </c>
      <c r="BB4382" s="1">
        <v>49920</v>
      </c>
      <c r="BC4382" t="s">
        <v>51</v>
      </c>
      <c r="BE4382" t="s">
        <v>54</v>
      </c>
      <c r="BF4382">
        <v>40</v>
      </c>
      <c r="BG4382">
        <v>0</v>
      </c>
      <c r="BH4382" t="s">
        <v>145</v>
      </c>
      <c r="CC4382" t="s">
        <v>432</v>
      </c>
      <c r="CD4382">
        <v>85000</v>
      </c>
      <c r="CE4382" s="1">
        <v>44441</v>
      </c>
      <c r="CF4382" s="1">
        <v>44441</v>
      </c>
      <c r="CG4382" s="1">
        <v>44441</v>
      </c>
      <c r="CH4382" s="1">
        <v>52029</v>
      </c>
      <c r="CI4382" t="s">
        <v>51</v>
      </c>
      <c r="CK4382" t="s">
        <v>78</v>
      </c>
      <c r="CM4382" t="s">
        <v>54</v>
      </c>
      <c r="CN4382" t="s">
        <v>174</v>
      </c>
      <c r="CO4382" t="s">
        <v>86</v>
      </c>
      <c r="CR4382">
        <v>24</v>
      </c>
      <c r="CS4382">
        <v>0</v>
      </c>
      <c r="CT4382">
        <v>0</v>
      </c>
      <c r="CU4382">
        <v>0</v>
      </c>
    </row>
    <row r="4383" spans="1:99" x14ac:dyDescent="0.2">
      <c r="A4383" t="s">
        <v>112</v>
      </c>
      <c r="B4383" t="s">
        <v>113</v>
      </c>
      <c r="C4383" t="s">
        <v>114</v>
      </c>
      <c r="D4383" t="s">
        <v>2106</v>
      </c>
      <c r="F4383" t="str">
        <f>"251435"</f>
        <v>251435</v>
      </c>
      <c r="G4383" t="s">
        <v>49</v>
      </c>
      <c r="K4383" t="s">
        <v>51</v>
      </c>
      <c r="L4383" t="s">
        <v>52</v>
      </c>
      <c r="M4383">
        <v>136960.63</v>
      </c>
      <c r="N4383">
        <v>472285.97</v>
      </c>
      <c r="O4383" t="s">
        <v>53</v>
      </c>
      <c r="P4383" t="s">
        <v>54</v>
      </c>
      <c r="Q4383" t="s">
        <v>55</v>
      </c>
      <c r="T4383" t="s">
        <v>2107</v>
      </c>
      <c r="U4383">
        <v>40</v>
      </c>
      <c r="V4383" s="1">
        <v>35977</v>
      </c>
      <c r="W4383" s="1">
        <v>35977</v>
      </c>
      <c r="X4383" s="1">
        <v>35977</v>
      </c>
      <c r="Y4383" s="1">
        <v>50587</v>
      </c>
      <c r="Z4383" t="s">
        <v>51</v>
      </c>
      <c r="AB4383" t="s">
        <v>54</v>
      </c>
      <c r="AE4383" t="s">
        <v>2108</v>
      </c>
      <c r="AF4383">
        <v>0</v>
      </c>
      <c r="AG4383" s="1">
        <v>44441</v>
      </c>
      <c r="AH4383" s="1">
        <v>44441</v>
      </c>
      <c r="AI4383" s="1">
        <v>44441</v>
      </c>
      <c r="AJ4383" s="1">
        <v>44441</v>
      </c>
      <c r="AK4383" t="s">
        <v>51</v>
      </c>
      <c r="AN4383">
        <v>0</v>
      </c>
      <c r="AO4383" t="s">
        <v>54</v>
      </c>
      <c r="AP4383" t="s">
        <v>53</v>
      </c>
      <c r="AQ4383">
        <v>0</v>
      </c>
      <c r="AR4383" t="s">
        <v>53</v>
      </c>
      <c r="AS4383">
        <v>0</v>
      </c>
      <c r="AT4383">
        <v>0</v>
      </c>
      <c r="AW4383" t="s">
        <v>172</v>
      </c>
      <c r="AX4383">
        <v>15</v>
      </c>
      <c r="AY4383" s="1">
        <v>44441</v>
      </c>
      <c r="AZ4383" s="1">
        <v>44441</v>
      </c>
      <c r="BA4383" s="1">
        <v>44441</v>
      </c>
      <c r="BB4383" s="1">
        <v>49920</v>
      </c>
      <c r="BC4383" t="s">
        <v>51</v>
      </c>
      <c r="BE4383" t="s">
        <v>54</v>
      </c>
      <c r="BF4383">
        <v>40</v>
      </c>
      <c r="BG4383">
        <v>0</v>
      </c>
      <c r="BH4383" t="s">
        <v>145</v>
      </c>
      <c r="CC4383" t="s">
        <v>432</v>
      </c>
      <c r="CD4383">
        <v>85000</v>
      </c>
      <c r="CE4383" s="1">
        <v>44441</v>
      </c>
      <c r="CF4383" s="1">
        <v>44441</v>
      </c>
      <c r="CG4383" s="1">
        <v>44441</v>
      </c>
      <c r="CH4383" s="1">
        <v>52029</v>
      </c>
      <c r="CI4383" t="s">
        <v>51</v>
      </c>
      <c r="CK4383" t="s">
        <v>78</v>
      </c>
      <c r="CM4383" t="s">
        <v>54</v>
      </c>
      <c r="CN4383" t="s">
        <v>174</v>
      </c>
      <c r="CO4383" t="s">
        <v>86</v>
      </c>
      <c r="CR4383">
        <v>24</v>
      </c>
      <c r="CS4383">
        <v>0</v>
      </c>
      <c r="CT4383">
        <v>0</v>
      </c>
      <c r="CU4383">
        <v>0</v>
      </c>
    </row>
    <row r="4384" spans="1:99" x14ac:dyDescent="0.2">
      <c r="A4384" t="s">
        <v>112</v>
      </c>
      <c r="B4384" t="s">
        <v>113</v>
      </c>
      <c r="C4384" t="s">
        <v>114</v>
      </c>
      <c r="D4384" t="s">
        <v>2106</v>
      </c>
      <c r="F4384" t="str">
        <f>"251437"</f>
        <v>251437</v>
      </c>
      <c r="G4384" t="s">
        <v>49</v>
      </c>
      <c r="K4384" t="s">
        <v>51</v>
      </c>
      <c r="L4384" t="s">
        <v>52</v>
      </c>
      <c r="M4384">
        <v>137015.39000000001</v>
      </c>
      <c r="N4384">
        <v>472282.09</v>
      </c>
      <c r="O4384" t="s">
        <v>53</v>
      </c>
      <c r="P4384" t="s">
        <v>54</v>
      </c>
      <c r="Q4384" t="s">
        <v>55</v>
      </c>
      <c r="T4384" t="s">
        <v>183</v>
      </c>
      <c r="U4384">
        <v>40</v>
      </c>
      <c r="V4384" s="1">
        <v>33970</v>
      </c>
      <c r="W4384" s="1">
        <v>33970</v>
      </c>
      <c r="X4384" s="1">
        <v>33970</v>
      </c>
      <c r="Y4384" s="1">
        <v>48580</v>
      </c>
      <c r="Z4384" t="s">
        <v>51</v>
      </c>
      <c r="AB4384" t="s">
        <v>54</v>
      </c>
      <c r="AC4384">
        <v>1</v>
      </c>
      <c r="AE4384" t="s">
        <v>2108</v>
      </c>
      <c r="AF4384">
        <v>0</v>
      </c>
      <c r="AG4384" s="1">
        <v>44441</v>
      </c>
      <c r="AH4384" s="1">
        <v>44441</v>
      </c>
      <c r="AI4384" s="1">
        <v>44441</v>
      </c>
      <c r="AJ4384" s="1">
        <v>44441</v>
      </c>
      <c r="AK4384" t="s">
        <v>51</v>
      </c>
      <c r="AN4384">
        <v>0</v>
      </c>
      <c r="AO4384" t="s">
        <v>54</v>
      </c>
      <c r="AP4384" t="s">
        <v>53</v>
      </c>
      <c r="AQ4384">
        <v>0</v>
      </c>
      <c r="AR4384" t="s">
        <v>53</v>
      </c>
      <c r="AS4384">
        <v>0</v>
      </c>
      <c r="AT4384">
        <v>0</v>
      </c>
      <c r="AW4384" t="s">
        <v>172</v>
      </c>
      <c r="AX4384">
        <v>15</v>
      </c>
      <c r="AY4384" s="1">
        <v>44441</v>
      </c>
      <c r="AZ4384" s="1">
        <v>44441</v>
      </c>
      <c r="BA4384" s="1">
        <v>44441</v>
      </c>
      <c r="BB4384" s="1">
        <v>49920</v>
      </c>
      <c r="BC4384" t="s">
        <v>51</v>
      </c>
      <c r="BE4384" t="s">
        <v>54</v>
      </c>
      <c r="BF4384">
        <v>40</v>
      </c>
      <c r="BG4384">
        <v>0</v>
      </c>
      <c r="BH4384" t="s">
        <v>145</v>
      </c>
      <c r="CC4384" t="s">
        <v>432</v>
      </c>
      <c r="CD4384">
        <v>85000</v>
      </c>
      <c r="CE4384" s="1">
        <v>44441</v>
      </c>
      <c r="CF4384" s="1">
        <v>44441</v>
      </c>
      <c r="CG4384" s="1">
        <v>44441</v>
      </c>
      <c r="CH4384" s="1">
        <v>52029</v>
      </c>
      <c r="CI4384" t="s">
        <v>51</v>
      </c>
      <c r="CK4384" t="s">
        <v>78</v>
      </c>
      <c r="CM4384" t="s">
        <v>54</v>
      </c>
      <c r="CN4384" t="s">
        <v>174</v>
      </c>
      <c r="CO4384" t="s">
        <v>86</v>
      </c>
      <c r="CR4384">
        <v>24</v>
      </c>
      <c r="CS4384">
        <v>0</v>
      </c>
      <c r="CT4384">
        <v>0</v>
      </c>
      <c r="CU4384">
        <v>0</v>
      </c>
    </row>
    <row r="4385" spans="1:99" x14ac:dyDescent="0.2">
      <c r="A4385" t="s">
        <v>112</v>
      </c>
      <c r="B4385" t="s">
        <v>113</v>
      </c>
      <c r="C4385" t="s">
        <v>114</v>
      </c>
      <c r="D4385" t="s">
        <v>2106</v>
      </c>
      <c r="F4385" t="str">
        <f>"251438"</f>
        <v>251438</v>
      </c>
      <c r="G4385" t="s">
        <v>49</v>
      </c>
      <c r="K4385" t="s">
        <v>51</v>
      </c>
      <c r="L4385" t="s">
        <v>52</v>
      </c>
      <c r="M4385">
        <v>137081.51999999999</v>
      </c>
      <c r="N4385">
        <v>472283.97</v>
      </c>
      <c r="O4385" t="s">
        <v>53</v>
      </c>
      <c r="P4385" t="s">
        <v>54</v>
      </c>
      <c r="Q4385" t="s">
        <v>55</v>
      </c>
      <c r="T4385" t="s">
        <v>183</v>
      </c>
      <c r="U4385">
        <v>40</v>
      </c>
      <c r="V4385" s="1">
        <v>34151</v>
      </c>
      <c r="W4385" s="1">
        <v>34151</v>
      </c>
      <c r="X4385" s="1">
        <v>34151</v>
      </c>
      <c r="Y4385" s="1">
        <v>48761</v>
      </c>
      <c r="Z4385" t="s">
        <v>51</v>
      </c>
      <c r="AB4385" t="s">
        <v>54</v>
      </c>
      <c r="AC4385">
        <v>1</v>
      </c>
      <c r="AE4385" t="s">
        <v>2108</v>
      </c>
      <c r="AF4385">
        <v>0</v>
      </c>
      <c r="AG4385" s="1">
        <v>44441</v>
      </c>
      <c r="AH4385" s="1">
        <v>44441</v>
      </c>
      <c r="AI4385" s="1">
        <v>44441</v>
      </c>
      <c r="AJ4385" s="1">
        <v>44441</v>
      </c>
      <c r="AK4385" t="s">
        <v>51</v>
      </c>
      <c r="AN4385">
        <v>0</v>
      </c>
      <c r="AO4385" t="s">
        <v>54</v>
      </c>
      <c r="AP4385" t="s">
        <v>53</v>
      </c>
      <c r="AQ4385">
        <v>0</v>
      </c>
      <c r="AR4385" t="s">
        <v>53</v>
      </c>
      <c r="AS4385">
        <v>0</v>
      </c>
      <c r="AT4385">
        <v>0</v>
      </c>
      <c r="AW4385" t="s">
        <v>172</v>
      </c>
      <c r="AX4385">
        <v>15</v>
      </c>
      <c r="AY4385" s="1">
        <v>44441</v>
      </c>
      <c r="AZ4385" s="1">
        <v>44441</v>
      </c>
      <c r="BA4385" s="1">
        <v>44441</v>
      </c>
      <c r="BB4385" s="1">
        <v>49920</v>
      </c>
      <c r="BC4385" t="s">
        <v>51</v>
      </c>
      <c r="BE4385" t="s">
        <v>54</v>
      </c>
      <c r="BF4385">
        <v>40</v>
      </c>
      <c r="BG4385">
        <v>0</v>
      </c>
      <c r="BH4385" t="s">
        <v>145</v>
      </c>
      <c r="CC4385" t="s">
        <v>432</v>
      </c>
      <c r="CD4385">
        <v>85000</v>
      </c>
      <c r="CE4385" s="1">
        <v>44441</v>
      </c>
      <c r="CF4385" s="1">
        <v>44441</v>
      </c>
      <c r="CG4385" s="1">
        <v>44441</v>
      </c>
      <c r="CH4385" s="1">
        <v>52029</v>
      </c>
      <c r="CI4385" t="s">
        <v>51</v>
      </c>
      <c r="CK4385" t="s">
        <v>78</v>
      </c>
      <c r="CM4385" t="s">
        <v>54</v>
      </c>
      <c r="CN4385" t="s">
        <v>174</v>
      </c>
      <c r="CO4385" t="s">
        <v>86</v>
      </c>
      <c r="CR4385">
        <v>24</v>
      </c>
      <c r="CS4385">
        <v>0</v>
      </c>
      <c r="CT4385">
        <v>0</v>
      </c>
      <c r="CU4385">
        <v>0</v>
      </c>
    </row>
    <row r="4386" spans="1:99" x14ac:dyDescent="0.2">
      <c r="A4386" t="s">
        <v>112</v>
      </c>
      <c r="B4386" t="s">
        <v>113</v>
      </c>
      <c r="C4386" t="s">
        <v>114</v>
      </c>
      <c r="D4386" t="s">
        <v>2106</v>
      </c>
      <c r="F4386" t="str">
        <f>"251439"</f>
        <v>251439</v>
      </c>
      <c r="G4386" t="s">
        <v>49</v>
      </c>
      <c r="K4386" t="s">
        <v>51</v>
      </c>
      <c r="L4386" t="s">
        <v>52</v>
      </c>
      <c r="M4386">
        <v>137151.51999999999</v>
      </c>
      <c r="N4386">
        <v>472286.34</v>
      </c>
      <c r="O4386" t="s">
        <v>53</v>
      </c>
      <c r="P4386" t="s">
        <v>54</v>
      </c>
      <c r="Q4386" t="s">
        <v>55</v>
      </c>
      <c r="T4386" t="s">
        <v>183</v>
      </c>
      <c r="U4386">
        <v>40</v>
      </c>
      <c r="V4386" s="1">
        <v>33970</v>
      </c>
      <c r="W4386" s="1">
        <v>33970</v>
      </c>
      <c r="X4386" s="1">
        <v>33970</v>
      </c>
      <c r="Y4386" s="1">
        <v>48580</v>
      </c>
      <c r="Z4386" t="s">
        <v>51</v>
      </c>
      <c r="AB4386" t="s">
        <v>54</v>
      </c>
      <c r="AC4386">
        <v>1</v>
      </c>
      <c r="AE4386" t="s">
        <v>2108</v>
      </c>
      <c r="AF4386">
        <v>0</v>
      </c>
      <c r="AG4386" s="1">
        <v>44441</v>
      </c>
      <c r="AH4386" s="1">
        <v>44441</v>
      </c>
      <c r="AI4386" s="1">
        <v>44441</v>
      </c>
      <c r="AJ4386" s="1">
        <v>44441</v>
      </c>
      <c r="AK4386" t="s">
        <v>51</v>
      </c>
      <c r="AN4386">
        <v>0</v>
      </c>
      <c r="AO4386" t="s">
        <v>54</v>
      </c>
      <c r="AP4386" t="s">
        <v>53</v>
      </c>
      <c r="AQ4386">
        <v>0</v>
      </c>
      <c r="AR4386" t="s">
        <v>53</v>
      </c>
      <c r="AS4386">
        <v>0</v>
      </c>
      <c r="AT4386">
        <v>0</v>
      </c>
      <c r="AW4386" t="s">
        <v>172</v>
      </c>
      <c r="AX4386">
        <v>15</v>
      </c>
      <c r="AY4386" s="1">
        <v>44441</v>
      </c>
      <c r="AZ4386" s="1">
        <v>44441</v>
      </c>
      <c r="BA4386" s="1">
        <v>44441</v>
      </c>
      <c r="BB4386" s="1">
        <v>49920</v>
      </c>
      <c r="BC4386" t="s">
        <v>51</v>
      </c>
      <c r="BE4386" t="s">
        <v>54</v>
      </c>
      <c r="BF4386">
        <v>40</v>
      </c>
      <c r="BG4386">
        <v>0</v>
      </c>
      <c r="BH4386" t="s">
        <v>145</v>
      </c>
      <c r="CC4386" t="s">
        <v>432</v>
      </c>
      <c r="CD4386">
        <v>85000</v>
      </c>
      <c r="CE4386" s="1">
        <v>44441</v>
      </c>
      <c r="CF4386" s="1">
        <v>44441</v>
      </c>
      <c r="CG4386" s="1">
        <v>44441</v>
      </c>
      <c r="CH4386" s="1">
        <v>52029</v>
      </c>
      <c r="CI4386" t="s">
        <v>51</v>
      </c>
      <c r="CK4386" t="s">
        <v>78</v>
      </c>
      <c r="CM4386" t="s">
        <v>54</v>
      </c>
      <c r="CN4386" t="s">
        <v>174</v>
      </c>
      <c r="CO4386" t="s">
        <v>86</v>
      </c>
      <c r="CR4386">
        <v>24</v>
      </c>
      <c r="CS4386">
        <v>0</v>
      </c>
      <c r="CT4386">
        <v>0</v>
      </c>
      <c r="CU4386">
        <v>0</v>
      </c>
    </row>
    <row r="4387" spans="1:99" x14ac:dyDescent="0.2">
      <c r="A4387" t="s">
        <v>112</v>
      </c>
      <c r="B4387" t="s">
        <v>113</v>
      </c>
      <c r="C4387" t="s">
        <v>114</v>
      </c>
      <c r="D4387" t="s">
        <v>2106</v>
      </c>
      <c r="F4387" t="str">
        <f>"251440"</f>
        <v>251440</v>
      </c>
      <c r="G4387" t="s">
        <v>49</v>
      </c>
      <c r="K4387" t="s">
        <v>51</v>
      </c>
      <c r="L4387" t="s">
        <v>52</v>
      </c>
      <c r="M4387">
        <v>137225.23000000001</v>
      </c>
      <c r="N4387">
        <v>472288.69</v>
      </c>
      <c r="O4387" t="s">
        <v>53</v>
      </c>
      <c r="P4387" t="s">
        <v>54</v>
      </c>
      <c r="Q4387" t="s">
        <v>55</v>
      </c>
      <c r="T4387" t="s">
        <v>466</v>
      </c>
      <c r="U4387">
        <v>40</v>
      </c>
      <c r="V4387" s="1">
        <v>33970</v>
      </c>
      <c r="W4387" s="1">
        <v>33970</v>
      </c>
      <c r="X4387" s="1">
        <v>33970</v>
      </c>
      <c r="Y4387" s="1">
        <v>48580</v>
      </c>
      <c r="Z4387" t="s">
        <v>51</v>
      </c>
      <c r="AB4387" t="s">
        <v>54</v>
      </c>
      <c r="AC4387">
        <v>1</v>
      </c>
      <c r="AE4387" t="s">
        <v>2108</v>
      </c>
      <c r="AF4387">
        <v>0</v>
      </c>
      <c r="AG4387" s="1">
        <v>44441</v>
      </c>
      <c r="AH4387" s="1">
        <v>44441</v>
      </c>
      <c r="AI4387" s="1">
        <v>44441</v>
      </c>
      <c r="AJ4387" s="1">
        <v>44441</v>
      </c>
      <c r="AK4387" t="s">
        <v>51</v>
      </c>
      <c r="AN4387">
        <v>0</v>
      </c>
      <c r="AO4387" t="s">
        <v>54</v>
      </c>
      <c r="AP4387" t="s">
        <v>53</v>
      </c>
      <c r="AQ4387">
        <v>0</v>
      </c>
      <c r="AR4387" t="s">
        <v>53</v>
      </c>
      <c r="AS4387">
        <v>0</v>
      </c>
      <c r="AT4387">
        <v>0</v>
      </c>
      <c r="AW4387" t="s">
        <v>172</v>
      </c>
      <c r="AX4387">
        <v>15</v>
      </c>
      <c r="AY4387" s="1">
        <v>44441</v>
      </c>
      <c r="AZ4387" s="1">
        <v>44441</v>
      </c>
      <c r="BA4387" s="1">
        <v>44441</v>
      </c>
      <c r="BB4387" s="1">
        <v>49920</v>
      </c>
      <c r="BC4387" t="s">
        <v>51</v>
      </c>
      <c r="BE4387" t="s">
        <v>54</v>
      </c>
      <c r="BF4387">
        <v>40</v>
      </c>
      <c r="BG4387">
        <v>0</v>
      </c>
      <c r="BH4387" t="s">
        <v>145</v>
      </c>
      <c r="CC4387" t="s">
        <v>432</v>
      </c>
      <c r="CD4387">
        <v>85000</v>
      </c>
      <c r="CE4387" s="1">
        <v>44441</v>
      </c>
      <c r="CF4387" s="1">
        <v>44441</v>
      </c>
      <c r="CG4387" s="1">
        <v>44441</v>
      </c>
      <c r="CH4387" s="1">
        <v>52029</v>
      </c>
      <c r="CI4387" t="s">
        <v>51</v>
      </c>
      <c r="CK4387" t="s">
        <v>78</v>
      </c>
      <c r="CM4387" t="s">
        <v>54</v>
      </c>
      <c r="CN4387" t="s">
        <v>174</v>
      </c>
      <c r="CO4387" t="s">
        <v>86</v>
      </c>
      <c r="CR4387">
        <v>24</v>
      </c>
      <c r="CS4387">
        <v>0</v>
      </c>
      <c r="CT4387">
        <v>0</v>
      </c>
      <c r="CU4387">
        <v>0</v>
      </c>
    </row>
    <row r="4388" spans="1:99" x14ac:dyDescent="0.2">
      <c r="A4388" t="s">
        <v>112</v>
      </c>
      <c r="B4388" t="s">
        <v>113</v>
      </c>
      <c r="C4388" t="s">
        <v>114</v>
      </c>
      <c r="D4388" t="s">
        <v>2106</v>
      </c>
      <c r="F4388" t="str">
        <f>"253398"</f>
        <v>253398</v>
      </c>
      <c r="G4388" t="s">
        <v>49</v>
      </c>
      <c r="K4388" t="s">
        <v>51</v>
      </c>
      <c r="L4388" t="s">
        <v>52</v>
      </c>
      <c r="M4388">
        <v>137289.76999999999</v>
      </c>
      <c r="N4388">
        <v>472290.82</v>
      </c>
      <c r="O4388" t="s">
        <v>53</v>
      </c>
      <c r="P4388" t="s">
        <v>54</v>
      </c>
      <c r="Q4388" t="s">
        <v>55</v>
      </c>
      <c r="T4388" t="s">
        <v>111</v>
      </c>
      <c r="U4388">
        <v>40</v>
      </c>
      <c r="V4388" s="1">
        <v>33970</v>
      </c>
      <c r="W4388" s="1">
        <v>33970</v>
      </c>
      <c r="X4388" s="1">
        <v>33970</v>
      </c>
      <c r="Y4388" s="1">
        <v>48580</v>
      </c>
      <c r="Z4388" t="s">
        <v>51</v>
      </c>
      <c r="AB4388" t="s">
        <v>54</v>
      </c>
      <c r="AC4388">
        <v>1</v>
      </c>
      <c r="AE4388" t="s">
        <v>2108</v>
      </c>
      <c r="AF4388">
        <v>0</v>
      </c>
      <c r="AG4388" s="1">
        <v>44441</v>
      </c>
      <c r="AH4388" s="1">
        <v>44441</v>
      </c>
      <c r="AI4388" s="1">
        <v>44441</v>
      </c>
      <c r="AJ4388" s="1">
        <v>44441</v>
      </c>
      <c r="AK4388" t="s">
        <v>51</v>
      </c>
      <c r="AN4388">
        <v>0</v>
      </c>
      <c r="AO4388" t="s">
        <v>54</v>
      </c>
      <c r="AP4388" t="s">
        <v>53</v>
      </c>
      <c r="AQ4388">
        <v>0</v>
      </c>
      <c r="AR4388" t="s">
        <v>53</v>
      </c>
      <c r="AS4388">
        <v>0</v>
      </c>
      <c r="AT4388">
        <v>0</v>
      </c>
      <c r="AW4388" t="s">
        <v>172</v>
      </c>
      <c r="AX4388">
        <v>15</v>
      </c>
      <c r="AY4388" s="1">
        <v>44441</v>
      </c>
      <c r="AZ4388" s="1">
        <v>44441</v>
      </c>
      <c r="BA4388" s="1">
        <v>44441</v>
      </c>
      <c r="BB4388" s="1">
        <v>49920</v>
      </c>
      <c r="BC4388" t="s">
        <v>51</v>
      </c>
      <c r="BE4388" t="s">
        <v>54</v>
      </c>
      <c r="BF4388">
        <v>40</v>
      </c>
      <c r="BG4388">
        <v>0</v>
      </c>
      <c r="BH4388" t="s">
        <v>145</v>
      </c>
      <c r="CC4388" t="s">
        <v>432</v>
      </c>
      <c r="CD4388">
        <v>85000</v>
      </c>
      <c r="CE4388" s="1">
        <v>44441</v>
      </c>
      <c r="CF4388" s="1">
        <v>44441</v>
      </c>
      <c r="CG4388" s="1">
        <v>44441</v>
      </c>
      <c r="CH4388" s="1">
        <v>52029</v>
      </c>
      <c r="CI4388" t="s">
        <v>51</v>
      </c>
      <c r="CK4388" t="s">
        <v>78</v>
      </c>
      <c r="CM4388" t="s">
        <v>54</v>
      </c>
      <c r="CN4388" t="s">
        <v>174</v>
      </c>
      <c r="CO4388" t="s">
        <v>86</v>
      </c>
      <c r="CR4388">
        <v>24</v>
      </c>
      <c r="CS4388">
        <v>0</v>
      </c>
      <c r="CT4388">
        <v>0</v>
      </c>
      <c r="CU4388">
        <v>0</v>
      </c>
    </row>
    <row r="4389" spans="1:99" x14ac:dyDescent="0.2">
      <c r="A4389" t="s">
        <v>112</v>
      </c>
      <c r="B4389" t="s">
        <v>113</v>
      </c>
      <c r="C4389" t="s">
        <v>114</v>
      </c>
      <c r="D4389" t="s">
        <v>2106</v>
      </c>
      <c r="F4389" t="str">
        <f>"251442"</f>
        <v>251442</v>
      </c>
      <c r="G4389" t="s">
        <v>49</v>
      </c>
      <c r="H4389" t="s">
        <v>2093</v>
      </c>
      <c r="K4389" t="s">
        <v>51</v>
      </c>
      <c r="L4389" t="s">
        <v>52</v>
      </c>
      <c r="M4389">
        <v>137361.07999999999</v>
      </c>
      <c r="N4389">
        <v>472293.03</v>
      </c>
      <c r="O4389" t="s">
        <v>53</v>
      </c>
      <c r="P4389" t="s">
        <v>54</v>
      </c>
      <c r="Q4389" t="s">
        <v>55</v>
      </c>
      <c r="T4389" t="s">
        <v>183</v>
      </c>
      <c r="U4389">
        <v>40</v>
      </c>
      <c r="V4389" s="1">
        <v>33970</v>
      </c>
      <c r="W4389" s="1">
        <v>33970</v>
      </c>
      <c r="X4389" s="1">
        <v>33970</v>
      </c>
      <c r="Y4389" s="1">
        <v>48580</v>
      </c>
      <c r="Z4389" t="s">
        <v>51</v>
      </c>
      <c r="AB4389" t="s">
        <v>54</v>
      </c>
      <c r="AC4389">
        <v>1</v>
      </c>
      <c r="AE4389" t="s">
        <v>2108</v>
      </c>
      <c r="AF4389">
        <v>0</v>
      </c>
      <c r="AG4389" s="1">
        <v>44441</v>
      </c>
      <c r="AH4389" s="1">
        <v>44441</v>
      </c>
      <c r="AI4389" s="1">
        <v>44441</v>
      </c>
      <c r="AJ4389" s="1">
        <v>44441</v>
      </c>
      <c r="AK4389" t="s">
        <v>51</v>
      </c>
      <c r="AN4389">
        <v>0</v>
      </c>
      <c r="AO4389" t="s">
        <v>54</v>
      </c>
      <c r="AP4389" t="s">
        <v>53</v>
      </c>
      <c r="AQ4389">
        <v>0</v>
      </c>
      <c r="AR4389" t="s">
        <v>53</v>
      </c>
      <c r="AS4389">
        <v>0</v>
      </c>
      <c r="AT4389">
        <v>0</v>
      </c>
      <c r="AW4389" t="s">
        <v>172</v>
      </c>
      <c r="AX4389">
        <v>15</v>
      </c>
      <c r="AY4389" s="1">
        <v>44441</v>
      </c>
      <c r="AZ4389" s="1">
        <v>44441</v>
      </c>
      <c r="BA4389" s="1">
        <v>44441</v>
      </c>
      <c r="BB4389" s="1">
        <v>49920</v>
      </c>
      <c r="BC4389" t="s">
        <v>51</v>
      </c>
      <c r="BE4389" t="s">
        <v>54</v>
      </c>
      <c r="BF4389">
        <v>40</v>
      </c>
      <c r="BG4389">
        <v>0</v>
      </c>
      <c r="BH4389" t="s">
        <v>145</v>
      </c>
      <c r="CC4389" t="s">
        <v>432</v>
      </c>
      <c r="CD4389">
        <v>85000</v>
      </c>
      <c r="CE4389" s="1">
        <v>44441</v>
      </c>
      <c r="CF4389" s="1">
        <v>44441</v>
      </c>
      <c r="CG4389" s="1">
        <v>44441</v>
      </c>
      <c r="CH4389" s="1">
        <v>52029</v>
      </c>
      <c r="CI4389" t="s">
        <v>51</v>
      </c>
      <c r="CK4389" t="s">
        <v>78</v>
      </c>
      <c r="CM4389" t="s">
        <v>54</v>
      </c>
      <c r="CN4389" t="s">
        <v>174</v>
      </c>
      <c r="CO4389" t="s">
        <v>86</v>
      </c>
      <c r="CR4389">
        <v>24</v>
      </c>
      <c r="CS4389">
        <v>0</v>
      </c>
      <c r="CT4389">
        <v>0</v>
      </c>
      <c r="CU4389">
        <v>0</v>
      </c>
    </row>
    <row r="4390" spans="1:99" x14ac:dyDescent="0.2">
      <c r="A4390" t="s">
        <v>112</v>
      </c>
      <c r="B4390" t="s">
        <v>113</v>
      </c>
      <c r="C4390" t="s">
        <v>114</v>
      </c>
      <c r="D4390" t="s">
        <v>2106</v>
      </c>
      <c r="F4390" t="str">
        <f>"251443"</f>
        <v>251443</v>
      </c>
      <c r="G4390" t="s">
        <v>49</v>
      </c>
      <c r="K4390" t="s">
        <v>51</v>
      </c>
      <c r="L4390" t="s">
        <v>52</v>
      </c>
      <c r="M4390">
        <v>137429.85</v>
      </c>
      <c r="N4390">
        <v>472294.93</v>
      </c>
      <c r="O4390" t="s">
        <v>53</v>
      </c>
      <c r="P4390" t="s">
        <v>54</v>
      </c>
      <c r="Q4390" t="s">
        <v>55</v>
      </c>
      <c r="T4390" t="s">
        <v>111</v>
      </c>
      <c r="U4390">
        <v>40</v>
      </c>
      <c r="V4390" s="1">
        <v>33970</v>
      </c>
      <c r="W4390" s="1">
        <v>33970</v>
      </c>
      <c r="X4390" s="1">
        <v>33970</v>
      </c>
      <c r="Y4390" s="1">
        <v>48580</v>
      </c>
      <c r="Z4390" t="s">
        <v>51</v>
      </c>
      <c r="AB4390" t="s">
        <v>54</v>
      </c>
      <c r="AC4390">
        <v>1</v>
      </c>
      <c r="AE4390" t="s">
        <v>2108</v>
      </c>
      <c r="AF4390">
        <v>0</v>
      </c>
      <c r="AG4390" s="1">
        <v>44441</v>
      </c>
      <c r="AH4390" s="1">
        <v>44441</v>
      </c>
      <c r="AI4390" s="1">
        <v>44441</v>
      </c>
      <c r="AJ4390" s="1">
        <v>44441</v>
      </c>
      <c r="AK4390" t="s">
        <v>51</v>
      </c>
      <c r="AN4390">
        <v>0</v>
      </c>
      <c r="AO4390" t="s">
        <v>54</v>
      </c>
      <c r="AP4390" t="s">
        <v>53</v>
      </c>
      <c r="AQ4390">
        <v>0</v>
      </c>
      <c r="AR4390" t="s">
        <v>53</v>
      </c>
      <c r="AS4390">
        <v>0</v>
      </c>
      <c r="AT4390">
        <v>0</v>
      </c>
      <c r="AW4390" t="s">
        <v>172</v>
      </c>
      <c r="AX4390">
        <v>15</v>
      </c>
      <c r="AY4390" s="1">
        <v>44441</v>
      </c>
      <c r="AZ4390" s="1">
        <v>44441</v>
      </c>
      <c r="BA4390" s="1">
        <v>44441</v>
      </c>
      <c r="BB4390" s="1">
        <v>49920</v>
      </c>
      <c r="BC4390" t="s">
        <v>51</v>
      </c>
      <c r="BE4390" t="s">
        <v>54</v>
      </c>
      <c r="BF4390">
        <v>40</v>
      </c>
      <c r="BG4390">
        <v>0</v>
      </c>
      <c r="BH4390" t="s">
        <v>145</v>
      </c>
      <c r="CC4390" t="s">
        <v>432</v>
      </c>
      <c r="CD4390">
        <v>85000</v>
      </c>
      <c r="CE4390" s="1">
        <v>44441</v>
      </c>
      <c r="CF4390" s="1">
        <v>44441</v>
      </c>
      <c r="CG4390" s="1">
        <v>44441</v>
      </c>
      <c r="CH4390" s="1">
        <v>52029</v>
      </c>
      <c r="CI4390" t="s">
        <v>51</v>
      </c>
      <c r="CK4390" t="s">
        <v>78</v>
      </c>
      <c r="CM4390" t="s">
        <v>54</v>
      </c>
      <c r="CN4390" t="s">
        <v>174</v>
      </c>
      <c r="CO4390" t="s">
        <v>86</v>
      </c>
      <c r="CR4390">
        <v>24</v>
      </c>
      <c r="CS4390">
        <v>0</v>
      </c>
      <c r="CT4390">
        <v>0</v>
      </c>
      <c r="CU4390">
        <v>0</v>
      </c>
    </row>
    <row r="4391" spans="1:99" x14ac:dyDescent="0.2">
      <c r="A4391" t="s">
        <v>112</v>
      </c>
      <c r="B4391" t="s">
        <v>113</v>
      </c>
      <c r="C4391" t="s">
        <v>114</v>
      </c>
      <c r="D4391" t="s">
        <v>2106</v>
      </c>
      <c r="F4391" t="str">
        <f>"251444"</f>
        <v>251444</v>
      </c>
      <c r="G4391" t="s">
        <v>49</v>
      </c>
      <c r="H4391" t="s">
        <v>2109</v>
      </c>
      <c r="K4391" t="s">
        <v>51</v>
      </c>
      <c r="L4391" t="s">
        <v>52</v>
      </c>
      <c r="M4391">
        <v>137500.54999999999</v>
      </c>
      <c r="N4391">
        <v>472297.13</v>
      </c>
      <c r="O4391" t="s">
        <v>53</v>
      </c>
      <c r="P4391" t="s">
        <v>54</v>
      </c>
      <c r="Q4391" t="s">
        <v>55</v>
      </c>
      <c r="T4391" t="s">
        <v>111</v>
      </c>
      <c r="U4391">
        <v>40</v>
      </c>
      <c r="V4391" s="1">
        <v>33970</v>
      </c>
      <c r="W4391" s="1">
        <v>33970</v>
      </c>
      <c r="X4391" s="1">
        <v>33970</v>
      </c>
      <c r="Y4391" s="1">
        <v>48580</v>
      </c>
      <c r="Z4391" t="s">
        <v>51</v>
      </c>
      <c r="AB4391" t="s">
        <v>54</v>
      </c>
      <c r="AC4391">
        <v>1</v>
      </c>
      <c r="AE4391" t="s">
        <v>2108</v>
      </c>
      <c r="AF4391">
        <v>0</v>
      </c>
      <c r="AG4391" s="1">
        <v>44441</v>
      </c>
      <c r="AH4391" s="1">
        <v>44441</v>
      </c>
      <c r="AI4391" s="1">
        <v>44441</v>
      </c>
      <c r="AJ4391" s="1">
        <v>44441</v>
      </c>
      <c r="AK4391" t="s">
        <v>51</v>
      </c>
      <c r="AN4391">
        <v>0</v>
      </c>
      <c r="AO4391" t="s">
        <v>54</v>
      </c>
      <c r="AP4391" t="s">
        <v>53</v>
      </c>
      <c r="AQ4391">
        <v>0</v>
      </c>
      <c r="AR4391" t="s">
        <v>53</v>
      </c>
      <c r="AS4391">
        <v>0</v>
      </c>
      <c r="AT4391">
        <v>0</v>
      </c>
      <c r="AW4391" t="s">
        <v>172</v>
      </c>
      <c r="AX4391">
        <v>15</v>
      </c>
      <c r="AY4391" s="1">
        <v>44441</v>
      </c>
      <c r="AZ4391" s="1">
        <v>44441</v>
      </c>
      <c r="BA4391" s="1">
        <v>44441</v>
      </c>
      <c r="BB4391" s="1">
        <v>49920</v>
      </c>
      <c r="BC4391" t="s">
        <v>51</v>
      </c>
      <c r="BE4391" t="s">
        <v>54</v>
      </c>
      <c r="BF4391">
        <v>40</v>
      </c>
      <c r="BG4391">
        <v>0</v>
      </c>
      <c r="BH4391" t="s">
        <v>145</v>
      </c>
      <c r="CC4391" t="s">
        <v>432</v>
      </c>
      <c r="CD4391">
        <v>85000</v>
      </c>
      <c r="CE4391" s="1">
        <v>44441</v>
      </c>
      <c r="CF4391" s="1">
        <v>44441</v>
      </c>
      <c r="CG4391" s="1">
        <v>44441</v>
      </c>
      <c r="CH4391" s="1">
        <v>52029</v>
      </c>
      <c r="CI4391" t="s">
        <v>51</v>
      </c>
      <c r="CK4391" t="s">
        <v>78</v>
      </c>
      <c r="CM4391" t="s">
        <v>54</v>
      </c>
      <c r="CN4391" t="s">
        <v>174</v>
      </c>
      <c r="CO4391" t="s">
        <v>86</v>
      </c>
      <c r="CR4391">
        <v>24</v>
      </c>
      <c r="CS4391">
        <v>0</v>
      </c>
      <c r="CT4391">
        <v>0</v>
      </c>
      <c r="CU4391">
        <v>0</v>
      </c>
    </row>
    <row r="4392" spans="1:99" x14ac:dyDescent="0.2">
      <c r="A4392" t="s">
        <v>112</v>
      </c>
      <c r="B4392" t="s">
        <v>113</v>
      </c>
      <c r="C4392" t="s">
        <v>114</v>
      </c>
      <c r="D4392" t="s">
        <v>2106</v>
      </c>
      <c r="F4392" t="str">
        <f>"251445"</f>
        <v>251445</v>
      </c>
      <c r="G4392" t="s">
        <v>49</v>
      </c>
      <c r="K4392" t="s">
        <v>51</v>
      </c>
      <c r="L4392" t="s">
        <v>52</v>
      </c>
      <c r="M4392">
        <v>137572.5</v>
      </c>
      <c r="N4392">
        <v>472299.25</v>
      </c>
      <c r="O4392" t="s">
        <v>53</v>
      </c>
      <c r="P4392" t="s">
        <v>54</v>
      </c>
      <c r="Q4392" t="s">
        <v>55</v>
      </c>
      <c r="T4392" t="s">
        <v>111</v>
      </c>
      <c r="U4392">
        <v>40</v>
      </c>
      <c r="V4392" s="1">
        <v>38169</v>
      </c>
      <c r="W4392" s="1">
        <v>38169</v>
      </c>
      <c r="X4392" s="1">
        <v>38169</v>
      </c>
      <c r="Y4392" s="1">
        <v>52779</v>
      </c>
      <c r="Z4392" t="s">
        <v>51</v>
      </c>
      <c r="AB4392" t="s">
        <v>54</v>
      </c>
      <c r="AC4392">
        <v>1</v>
      </c>
      <c r="AE4392" t="s">
        <v>2108</v>
      </c>
      <c r="AF4392">
        <v>0</v>
      </c>
      <c r="AG4392" s="1">
        <v>44441</v>
      </c>
      <c r="AH4392" s="1">
        <v>44441</v>
      </c>
      <c r="AI4392" s="1">
        <v>44441</v>
      </c>
      <c r="AJ4392" s="1">
        <v>44441</v>
      </c>
      <c r="AK4392" t="s">
        <v>51</v>
      </c>
      <c r="AN4392">
        <v>0</v>
      </c>
      <c r="AO4392" t="s">
        <v>54</v>
      </c>
      <c r="AP4392" t="s">
        <v>53</v>
      </c>
      <c r="AQ4392">
        <v>0</v>
      </c>
      <c r="AR4392" t="s">
        <v>53</v>
      </c>
      <c r="AS4392">
        <v>0</v>
      </c>
      <c r="AT4392">
        <v>0</v>
      </c>
      <c r="AW4392" t="s">
        <v>172</v>
      </c>
      <c r="AX4392">
        <v>15</v>
      </c>
      <c r="AY4392" s="1">
        <v>44441</v>
      </c>
      <c r="AZ4392" s="1">
        <v>44441</v>
      </c>
      <c r="BA4392" s="1">
        <v>44441</v>
      </c>
      <c r="BB4392" s="1">
        <v>49920</v>
      </c>
      <c r="BC4392" t="s">
        <v>51</v>
      </c>
      <c r="BE4392" t="s">
        <v>54</v>
      </c>
      <c r="BF4392">
        <v>40</v>
      </c>
      <c r="BG4392">
        <v>0</v>
      </c>
      <c r="BH4392" t="s">
        <v>145</v>
      </c>
      <c r="CC4392" t="s">
        <v>432</v>
      </c>
      <c r="CD4392">
        <v>85000</v>
      </c>
      <c r="CE4392" s="1">
        <v>44441</v>
      </c>
      <c r="CF4392" s="1">
        <v>44441</v>
      </c>
      <c r="CG4392" s="1">
        <v>44441</v>
      </c>
      <c r="CH4392" s="1">
        <v>52029</v>
      </c>
      <c r="CI4392" t="s">
        <v>51</v>
      </c>
      <c r="CK4392" t="s">
        <v>78</v>
      </c>
      <c r="CM4392" t="s">
        <v>54</v>
      </c>
      <c r="CN4392" t="s">
        <v>174</v>
      </c>
      <c r="CO4392" t="s">
        <v>86</v>
      </c>
      <c r="CR4392">
        <v>24</v>
      </c>
      <c r="CS4392">
        <v>0</v>
      </c>
      <c r="CT4392">
        <v>0</v>
      </c>
      <c r="CU4392">
        <v>0</v>
      </c>
    </row>
    <row r="4393" spans="1:99" x14ac:dyDescent="0.2">
      <c r="A4393" t="s">
        <v>112</v>
      </c>
      <c r="B4393" t="s">
        <v>113</v>
      </c>
      <c r="C4393" t="s">
        <v>114</v>
      </c>
      <c r="D4393" t="s">
        <v>2106</v>
      </c>
      <c r="F4393" t="str">
        <f>"251446"</f>
        <v>251446</v>
      </c>
      <c r="G4393" t="s">
        <v>49</v>
      </c>
      <c r="K4393" t="s">
        <v>51</v>
      </c>
      <c r="L4393" t="s">
        <v>52</v>
      </c>
      <c r="M4393">
        <v>137636.01999999999</v>
      </c>
      <c r="N4393">
        <v>472301.34</v>
      </c>
      <c r="O4393" t="s">
        <v>53</v>
      </c>
      <c r="P4393" t="s">
        <v>54</v>
      </c>
      <c r="Q4393" t="s">
        <v>55</v>
      </c>
      <c r="T4393" t="s">
        <v>111</v>
      </c>
      <c r="U4393">
        <v>40</v>
      </c>
      <c r="V4393" s="1">
        <v>33970</v>
      </c>
      <c r="W4393" s="1">
        <v>33970</v>
      </c>
      <c r="X4393" s="1">
        <v>33970</v>
      </c>
      <c r="Y4393" s="1">
        <v>48580</v>
      </c>
      <c r="Z4393" t="s">
        <v>51</v>
      </c>
      <c r="AB4393" t="s">
        <v>54</v>
      </c>
      <c r="AC4393">
        <v>1</v>
      </c>
      <c r="AE4393" t="s">
        <v>2108</v>
      </c>
      <c r="AF4393">
        <v>0</v>
      </c>
      <c r="AG4393" s="1">
        <v>44441</v>
      </c>
      <c r="AH4393" s="1">
        <v>44441</v>
      </c>
      <c r="AI4393" s="1">
        <v>44441</v>
      </c>
      <c r="AJ4393" s="1">
        <v>44441</v>
      </c>
      <c r="AK4393" t="s">
        <v>51</v>
      </c>
      <c r="AN4393">
        <v>0</v>
      </c>
      <c r="AO4393" t="s">
        <v>54</v>
      </c>
      <c r="AP4393" t="s">
        <v>53</v>
      </c>
      <c r="AQ4393">
        <v>0</v>
      </c>
      <c r="AR4393" t="s">
        <v>53</v>
      </c>
      <c r="AS4393">
        <v>0</v>
      </c>
      <c r="AT4393">
        <v>0</v>
      </c>
      <c r="AW4393" t="s">
        <v>172</v>
      </c>
      <c r="AX4393">
        <v>15</v>
      </c>
      <c r="AY4393" s="1">
        <v>44441</v>
      </c>
      <c r="AZ4393" s="1">
        <v>44441</v>
      </c>
      <c r="BA4393" s="1">
        <v>44441</v>
      </c>
      <c r="BB4393" s="1">
        <v>49920</v>
      </c>
      <c r="BC4393" t="s">
        <v>51</v>
      </c>
      <c r="BE4393" t="s">
        <v>54</v>
      </c>
      <c r="BF4393">
        <v>40</v>
      </c>
      <c r="BG4393">
        <v>0</v>
      </c>
      <c r="BH4393" t="s">
        <v>145</v>
      </c>
      <c r="CC4393" t="s">
        <v>432</v>
      </c>
      <c r="CD4393">
        <v>85000</v>
      </c>
      <c r="CE4393" s="1">
        <v>44441</v>
      </c>
      <c r="CF4393" s="1">
        <v>44441</v>
      </c>
      <c r="CG4393" s="1">
        <v>44441</v>
      </c>
      <c r="CH4393" s="1">
        <v>52029</v>
      </c>
      <c r="CI4393" t="s">
        <v>51</v>
      </c>
      <c r="CK4393" t="s">
        <v>78</v>
      </c>
      <c r="CM4393" t="s">
        <v>54</v>
      </c>
      <c r="CN4393" t="s">
        <v>174</v>
      </c>
      <c r="CO4393" t="s">
        <v>86</v>
      </c>
      <c r="CR4393">
        <v>24</v>
      </c>
      <c r="CS4393">
        <v>0</v>
      </c>
      <c r="CT4393">
        <v>0</v>
      </c>
      <c r="CU4393">
        <v>0</v>
      </c>
    </row>
    <row r="4394" spans="1:99" x14ac:dyDescent="0.2">
      <c r="A4394" t="s">
        <v>112</v>
      </c>
      <c r="B4394" t="s">
        <v>113</v>
      </c>
      <c r="C4394" t="s">
        <v>114</v>
      </c>
      <c r="D4394" t="s">
        <v>2106</v>
      </c>
      <c r="F4394" t="str">
        <f>"254394"</f>
        <v>254394</v>
      </c>
      <c r="G4394" t="s">
        <v>49</v>
      </c>
      <c r="H4394" t="s">
        <v>2110</v>
      </c>
      <c r="K4394" t="s">
        <v>51</v>
      </c>
      <c r="L4394" t="s">
        <v>52</v>
      </c>
      <c r="M4394">
        <v>137707.76999999999</v>
      </c>
      <c r="N4394">
        <v>472303.13</v>
      </c>
      <c r="O4394" t="s">
        <v>53</v>
      </c>
      <c r="P4394" t="s">
        <v>54</v>
      </c>
      <c r="Q4394" t="s">
        <v>55</v>
      </c>
      <c r="T4394" t="s">
        <v>81</v>
      </c>
      <c r="U4394">
        <v>40</v>
      </c>
      <c r="V4394" s="1">
        <v>33970</v>
      </c>
      <c r="W4394" s="1">
        <v>33970</v>
      </c>
      <c r="X4394" s="1">
        <v>33970</v>
      </c>
      <c r="Y4394" s="1">
        <v>48580</v>
      </c>
      <c r="Z4394" t="s">
        <v>51</v>
      </c>
      <c r="AB4394" t="s">
        <v>54</v>
      </c>
      <c r="AC4394">
        <v>1</v>
      </c>
      <c r="AE4394" t="s">
        <v>2108</v>
      </c>
      <c r="AF4394">
        <v>0</v>
      </c>
      <c r="AG4394" s="1">
        <v>44441</v>
      </c>
      <c r="AH4394" s="1">
        <v>44441</v>
      </c>
      <c r="AI4394" s="1">
        <v>44441</v>
      </c>
      <c r="AJ4394" s="1">
        <v>44441</v>
      </c>
      <c r="AK4394" t="s">
        <v>51</v>
      </c>
      <c r="AN4394">
        <v>0</v>
      </c>
      <c r="AO4394" t="s">
        <v>54</v>
      </c>
      <c r="AP4394" t="s">
        <v>53</v>
      </c>
      <c r="AQ4394">
        <v>0</v>
      </c>
      <c r="AR4394" t="s">
        <v>53</v>
      </c>
      <c r="AS4394">
        <v>0</v>
      </c>
      <c r="AT4394">
        <v>0</v>
      </c>
      <c r="AW4394" t="s">
        <v>172</v>
      </c>
      <c r="AX4394">
        <v>15</v>
      </c>
      <c r="AY4394" s="1">
        <v>44441</v>
      </c>
      <c r="AZ4394" s="1">
        <v>44441</v>
      </c>
      <c r="BA4394" s="1">
        <v>44441</v>
      </c>
      <c r="BB4394" s="1">
        <v>49920</v>
      </c>
      <c r="BC4394" t="s">
        <v>51</v>
      </c>
      <c r="BE4394" t="s">
        <v>54</v>
      </c>
      <c r="BF4394">
        <v>40</v>
      </c>
      <c r="BG4394">
        <v>0</v>
      </c>
      <c r="BH4394" t="s">
        <v>145</v>
      </c>
      <c r="CC4394" t="s">
        <v>432</v>
      </c>
      <c r="CD4394">
        <v>85000</v>
      </c>
      <c r="CE4394" s="1">
        <v>44441</v>
      </c>
      <c r="CF4394" s="1">
        <v>44441</v>
      </c>
      <c r="CG4394" s="1">
        <v>44441</v>
      </c>
      <c r="CH4394" s="1">
        <v>52029</v>
      </c>
      <c r="CI4394" t="s">
        <v>51</v>
      </c>
      <c r="CK4394" t="s">
        <v>78</v>
      </c>
      <c r="CM4394" t="s">
        <v>54</v>
      </c>
      <c r="CN4394" t="s">
        <v>174</v>
      </c>
      <c r="CO4394" t="s">
        <v>86</v>
      </c>
      <c r="CR4394">
        <v>24</v>
      </c>
      <c r="CS4394">
        <v>0</v>
      </c>
      <c r="CT4394">
        <v>0</v>
      </c>
      <c r="CU4394">
        <v>0</v>
      </c>
    </row>
    <row r="4395" spans="1:99" x14ac:dyDescent="0.2">
      <c r="A4395" t="s">
        <v>112</v>
      </c>
      <c r="B4395" t="s">
        <v>113</v>
      </c>
      <c r="C4395" t="s">
        <v>114</v>
      </c>
      <c r="D4395" t="s">
        <v>2106</v>
      </c>
      <c r="F4395" t="str">
        <f>"251448"</f>
        <v>251448</v>
      </c>
      <c r="G4395" t="s">
        <v>49</v>
      </c>
      <c r="K4395" t="s">
        <v>51</v>
      </c>
      <c r="L4395" t="s">
        <v>52</v>
      </c>
      <c r="M4395">
        <v>137778.13</v>
      </c>
      <c r="N4395">
        <v>472305.65</v>
      </c>
      <c r="O4395" t="s">
        <v>53</v>
      </c>
      <c r="P4395" t="s">
        <v>54</v>
      </c>
      <c r="Q4395" t="s">
        <v>55</v>
      </c>
      <c r="T4395" t="s">
        <v>183</v>
      </c>
      <c r="U4395">
        <v>40</v>
      </c>
      <c r="V4395" s="1">
        <v>33970</v>
      </c>
      <c r="W4395" s="1">
        <v>33970</v>
      </c>
      <c r="X4395" s="1">
        <v>33970</v>
      </c>
      <c r="Y4395" s="1">
        <v>48580</v>
      </c>
      <c r="Z4395" t="s">
        <v>51</v>
      </c>
      <c r="AB4395" t="s">
        <v>54</v>
      </c>
      <c r="AC4395">
        <v>1</v>
      </c>
      <c r="AE4395" t="s">
        <v>2108</v>
      </c>
      <c r="AF4395">
        <v>0</v>
      </c>
      <c r="AG4395" s="1">
        <v>44441</v>
      </c>
      <c r="AH4395" s="1">
        <v>44441</v>
      </c>
      <c r="AI4395" s="1">
        <v>44441</v>
      </c>
      <c r="AJ4395" s="1">
        <v>44441</v>
      </c>
      <c r="AK4395" t="s">
        <v>51</v>
      </c>
      <c r="AN4395">
        <v>0</v>
      </c>
      <c r="AO4395" t="s">
        <v>54</v>
      </c>
      <c r="AP4395" t="s">
        <v>53</v>
      </c>
      <c r="AQ4395">
        <v>0</v>
      </c>
      <c r="AR4395" t="s">
        <v>53</v>
      </c>
      <c r="AS4395">
        <v>0</v>
      </c>
      <c r="AT4395">
        <v>0</v>
      </c>
      <c r="AW4395" t="s">
        <v>172</v>
      </c>
      <c r="AX4395">
        <v>15</v>
      </c>
      <c r="AY4395" s="1">
        <v>44441</v>
      </c>
      <c r="AZ4395" s="1">
        <v>44441</v>
      </c>
      <c r="BA4395" s="1">
        <v>44441</v>
      </c>
      <c r="BB4395" s="1">
        <v>49920</v>
      </c>
      <c r="BC4395" t="s">
        <v>51</v>
      </c>
      <c r="BE4395" t="s">
        <v>54</v>
      </c>
      <c r="BF4395">
        <v>40</v>
      </c>
      <c r="BG4395">
        <v>0</v>
      </c>
      <c r="BH4395" t="s">
        <v>145</v>
      </c>
      <c r="CC4395" t="s">
        <v>432</v>
      </c>
      <c r="CD4395">
        <v>85000</v>
      </c>
      <c r="CE4395" s="1">
        <v>44441</v>
      </c>
      <c r="CF4395" s="1">
        <v>44441</v>
      </c>
      <c r="CG4395" s="1">
        <v>44441</v>
      </c>
      <c r="CH4395" s="1">
        <v>52029</v>
      </c>
      <c r="CI4395" t="s">
        <v>51</v>
      </c>
      <c r="CK4395" t="s">
        <v>78</v>
      </c>
      <c r="CM4395" t="s">
        <v>54</v>
      </c>
      <c r="CN4395" t="s">
        <v>174</v>
      </c>
      <c r="CO4395" t="s">
        <v>86</v>
      </c>
      <c r="CR4395">
        <v>24</v>
      </c>
      <c r="CS4395">
        <v>0</v>
      </c>
      <c r="CT4395">
        <v>0</v>
      </c>
      <c r="CU4395">
        <v>0</v>
      </c>
    </row>
    <row r="4396" spans="1:99" x14ac:dyDescent="0.2">
      <c r="A4396" t="s">
        <v>112</v>
      </c>
      <c r="B4396" t="s">
        <v>113</v>
      </c>
      <c r="C4396" t="s">
        <v>114</v>
      </c>
      <c r="D4396" t="s">
        <v>2106</v>
      </c>
      <c r="F4396" t="str">
        <f>"251449"</f>
        <v>251449</v>
      </c>
      <c r="G4396" t="s">
        <v>49</v>
      </c>
      <c r="K4396" t="s">
        <v>51</v>
      </c>
      <c r="L4396" t="s">
        <v>52</v>
      </c>
      <c r="M4396">
        <v>137846.42000000001</v>
      </c>
      <c r="N4396">
        <v>472307.44</v>
      </c>
      <c r="O4396" t="s">
        <v>53</v>
      </c>
      <c r="P4396" t="s">
        <v>54</v>
      </c>
      <c r="Q4396" t="s">
        <v>55</v>
      </c>
      <c r="T4396" t="s">
        <v>183</v>
      </c>
      <c r="U4396">
        <v>40</v>
      </c>
      <c r="V4396" s="1">
        <v>33970</v>
      </c>
      <c r="W4396" s="1">
        <v>33970</v>
      </c>
      <c r="X4396" s="1">
        <v>33970</v>
      </c>
      <c r="Y4396" s="1">
        <v>48580</v>
      </c>
      <c r="Z4396" t="s">
        <v>51</v>
      </c>
      <c r="AB4396" t="s">
        <v>54</v>
      </c>
      <c r="AC4396">
        <v>1</v>
      </c>
      <c r="AE4396" t="s">
        <v>2108</v>
      </c>
      <c r="AF4396">
        <v>0</v>
      </c>
      <c r="AG4396" s="1">
        <v>44441</v>
      </c>
      <c r="AH4396" s="1">
        <v>44441</v>
      </c>
      <c r="AI4396" s="1">
        <v>44441</v>
      </c>
      <c r="AJ4396" s="1">
        <v>44441</v>
      </c>
      <c r="AK4396" t="s">
        <v>51</v>
      </c>
      <c r="AN4396">
        <v>0</v>
      </c>
      <c r="AO4396" t="s">
        <v>54</v>
      </c>
      <c r="AP4396" t="s">
        <v>53</v>
      </c>
      <c r="AQ4396">
        <v>0</v>
      </c>
      <c r="AR4396" t="s">
        <v>53</v>
      </c>
      <c r="AS4396">
        <v>0</v>
      </c>
      <c r="AT4396">
        <v>0</v>
      </c>
      <c r="AW4396" t="s">
        <v>172</v>
      </c>
      <c r="AX4396">
        <v>15</v>
      </c>
      <c r="AY4396" s="1">
        <v>44441</v>
      </c>
      <c r="AZ4396" s="1">
        <v>44441</v>
      </c>
      <c r="BA4396" s="1">
        <v>44441</v>
      </c>
      <c r="BB4396" s="1">
        <v>49920</v>
      </c>
      <c r="BC4396" t="s">
        <v>51</v>
      </c>
      <c r="BE4396" t="s">
        <v>54</v>
      </c>
      <c r="BF4396">
        <v>40</v>
      </c>
      <c r="BG4396">
        <v>0</v>
      </c>
      <c r="BH4396" t="s">
        <v>145</v>
      </c>
      <c r="CC4396" t="s">
        <v>432</v>
      </c>
      <c r="CD4396">
        <v>85000</v>
      </c>
      <c r="CE4396" s="1">
        <v>44441</v>
      </c>
      <c r="CF4396" s="1">
        <v>44441</v>
      </c>
      <c r="CG4396" s="1">
        <v>44441</v>
      </c>
      <c r="CH4396" s="1">
        <v>52029</v>
      </c>
      <c r="CI4396" t="s">
        <v>51</v>
      </c>
      <c r="CK4396" t="s">
        <v>78</v>
      </c>
      <c r="CM4396" t="s">
        <v>54</v>
      </c>
      <c r="CN4396" t="s">
        <v>174</v>
      </c>
      <c r="CO4396" t="s">
        <v>86</v>
      </c>
      <c r="CR4396">
        <v>24</v>
      </c>
      <c r="CS4396">
        <v>0</v>
      </c>
      <c r="CT4396">
        <v>0</v>
      </c>
      <c r="CU4396">
        <v>0</v>
      </c>
    </row>
    <row r="4397" spans="1:99" x14ac:dyDescent="0.2">
      <c r="A4397" t="s">
        <v>112</v>
      </c>
      <c r="B4397" t="s">
        <v>113</v>
      </c>
      <c r="C4397" t="s">
        <v>114</v>
      </c>
      <c r="D4397" t="s">
        <v>2106</v>
      </c>
      <c r="F4397" t="str">
        <f>"251450"</f>
        <v>251450</v>
      </c>
      <c r="G4397" t="s">
        <v>49</v>
      </c>
      <c r="K4397" t="s">
        <v>51</v>
      </c>
      <c r="L4397" t="s">
        <v>52</v>
      </c>
      <c r="M4397">
        <v>137981.43</v>
      </c>
      <c r="N4397">
        <v>472324.34</v>
      </c>
      <c r="O4397" t="s">
        <v>53</v>
      </c>
      <c r="P4397" t="s">
        <v>54</v>
      </c>
      <c r="Q4397" t="s">
        <v>55</v>
      </c>
      <c r="T4397" t="s">
        <v>183</v>
      </c>
      <c r="U4397">
        <v>40</v>
      </c>
      <c r="V4397" s="1">
        <v>33970</v>
      </c>
      <c r="W4397" s="1">
        <v>33970</v>
      </c>
      <c r="X4397" s="1">
        <v>33970</v>
      </c>
      <c r="Y4397" s="1">
        <v>48580</v>
      </c>
      <c r="Z4397" t="s">
        <v>51</v>
      </c>
      <c r="AB4397" t="s">
        <v>54</v>
      </c>
      <c r="AC4397">
        <v>1</v>
      </c>
      <c r="AE4397" t="s">
        <v>2108</v>
      </c>
      <c r="AF4397">
        <v>0</v>
      </c>
      <c r="AG4397" s="1">
        <v>44441</v>
      </c>
      <c r="AH4397" s="1">
        <v>44441</v>
      </c>
      <c r="AI4397" s="1">
        <v>44441</v>
      </c>
      <c r="AJ4397" s="1">
        <v>44441</v>
      </c>
      <c r="AK4397" t="s">
        <v>51</v>
      </c>
      <c r="AN4397">
        <v>0</v>
      </c>
      <c r="AO4397" t="s">
        <v>54</v>
      </c>
      <c r="AP4397" t="s">
        <v>53</v>
      </c>
      <c r="AQ4397">
        <v>0</v>
      </c>
      <c r="AR4397" t="s">
        <v>53</v>
      </c>
      <c r="AS4397">
        <v>0</v>
      </c>
      <c r="AT4397">
        <v>0</v>
      </c>
      <c r="AW4397" t="s">
        <v>172</v>
      </c>
      <c r="AX4397">
        <v>15</v>
      </c>
      <c r="AY4397" s="1">
        <v>44441</v>
      </c>
      <c r="AZ4397" s="1">
        <v>44441</v>
      </c>
      <c r="BA4397" s="1">
        <v>44441</v>
      </c>
      <c r="BB4397" s="1">
        <v>49920</v>
      </c>
      <c r="BC4397" t="s">
        <v>51</v>
      </c>
      <c r="BE4397" t="s">
        <v>54</v>
      </c>
      <c r="BF4397">
        <v>40</v>
      </c>
      <c r="BG4397">
        <v>0</v>
      </c>
      <c r="BH4397" t="s">
        <v>145</v>
      </c>
      <c r="CC4397" t="s">
        <v>432</v>
      </c>
      <c r="CD4397">
        <v>85000</v>
      </c>
      <c r="CE4397" s="1">
        <v>44441</v>
      </c>
      <c r="CF4397" s="1">
        <v>44441</v>
      </c>
      <c r="CG4397" s="1">
        <v>44441</v>
      </c>
      <c r="CH4397" s="1">
        <v>52029</v>
      </c>
      <c r="CI4397" t="s">
        <v>51</v>
      </c>
      <c r="CK4397" t="s">
        <v>78</v>
      </c>
      <c r="CM4397" t="s">
        <v>54</v>
      </c>
      <c r="CN4397" t="s">
        <v>174</v>
      </c>
      <c r="CO4397" t="s">
        <v>86</v>
      </c>
      <c r="CR4397">
        <v>24</v>
      </c>
      <c r="CS4397">
        <v>0</v>
      </c>
      <c r="CT4397">
        <v>0</v>
      </c>
      <c r="CU4397">
        <v>0</v>
      </c>
    </row>
    <row r="4398" spans="1:99" x14ac:dyDescent="0.2">
      <c r="A4398" t="s">
        <v>112</v>
      </c>
      <c r="B4398" t="s">
        <v>113</v>
      </c>
      <c r="C4398" t="s">
        <v>114</v>
      </c>
      <c r="D4398" t="s">
        <v>2106</v>
      </c>
      <c r="F4398" t="str">
        <f>"251451"</f>
        <v>251451</v>
      </c>
      <c r="G4398" t="s">
        <v>49</v>
      </c>
      <c r="H4398">
        <v>2</v>
      </c>
      <c r="K4398" t="s">
        <v>51</v>
      </c>
      <c r="L4398" t="s">
        <v>52</v>
      </c>
      <c r="M4398">
        <v>137895.15</v>
      </c>
      <c r="N4398">
        <v>472319.98</v>
      </c>
      <c r="O4398" t="s">
        <v>53</v>
      </c>
      <c r="P4398" t="s">
        <v>54</v>
      </c>
      <c r="Q4398" t="s">
        <v>55</v>
      </c>
      <c r="T4398" t="s">
        <v>183</v>
      </c>
      <c r="U4398">
        <v>40</v>
      </c>
      <c r="V4398" s="1">
        <v>33970</v>
      </c>
      <c r="W4398" s="1">
        <v>33970</v>
      </c>
      <c r="X4398" s="1">
        <v>33970</v>
      </c>
      <c r="Y4398" s="1">
        <v>48580</v>
      </c>
      <c r="Z4398" t="s">
        <v>51</v>
      </c>
      <c r="AB4398" t="s">
        <v>54</v>
      </c>
      <c r="AC4398">
        <v>1</v>
      </c>
      <c r="AE4398" t="s">
        <v>2108</v>
      </c>
      <c r="AF4398">
        <v>0</v>
      </c>
      <c r="AG4398" s="1">
        <v>44441</v>
      </c>
      <c r="AH4398" s="1">
        <v>44441</v>
      </c>
      <c r="AI4398" s="1">
        <v>44441</v>
      </c>
      <c r="AJ4398" s="1">
        <v>44441</v>
      </c>
      <c r="AK4398" t="s">
        <v>51</v>
      </c>
      <c r="AN4398">
        <v>0</v>
      </c>
      <c r="AO4398" t="s">
        <v>54</v>
      </c>
      <c r="AP4398" t="s">
        <v>53</v>
      </c>
      <c r="AQ4398">
        <v>0</v>
      </c>
      <c r="AR4398" t="s">
        <v>53</v>
      </c>
      <c r="AS4398">
        <v>0</v>
      </c>
      <c r="AT4398">
        <v>0</v>
      </c>
      <c r="AW4398" t="s">
        <v>172</v>
      </c>
      <c r="AX4398">
        <v>15</v>
      </c>
      <c r="AY4398" s="1">
        <v>44441</v>
      </c>
      <c r="AZ4398" s="1">
        <v>44441</v>
      </c>
      <c r="BA4398" s="1">
        <v>44441</v>
      </c>
      <c r="BB4398" s="1">
        <v>49920</v>
      </c>
      <c r="BC4398" t="s">
        <v>51</v>
      </c>
      <c r="BE4398" t="s">
        <v>54</v>
      </c>
      <c r="BF4398">
        <v>40</v>
      </c>
      <c r="BG4398">
        <v>0</v>
      </c>
      <c r="BH4398" t="s">
        <v>145</v>
      </c>
      <c r="CC4398" t="s">
        <v>432</v>
      </c>
      <c r="CD4398">
        <v>85000</v>
      </c>
      <c r="CE4398" s="1">
        <v>44441</v>
      </c>
      <c r="CF4398" s="1">
        <v>44441</v>
      </c>
      <c r="CG4398" s="1">
        <v>44441</v>
      </c>
      <c r="CH4398" s="1">
        <v>52029</v>
      </c>
      <c r="CI4398" t="s">
        <v>51</v>
      </c>
      <c r="CK4398" t="s">
        <v>78</v>
      </c>
      <c r="CM4398" t="s">
        <v>54</v>
      </c>
      <c r="CN4398" t="s">
        <v>174</v>
      </c>
      <c r="CO4398" t="s">
        <v>86</v>
      </c>
      <c r="CR4398">
        <v>24</v>
      </c>
      <c r="CS4398">
        <v>0</v>
      </c>
      <c r="CT4398">
        <v>0</v>
      </c>
      <c r="CU4398">
        <v>0</v>
      </c>
    </row>
    <row r="4399" spans="1:99" x14ac:dyDescent="0.2">
      <c r="A4399" t="s">
        <v>112</v>
      </c>
      <c r="B4399" t="s">
        <v>113</v>
      </c>
      <c r="C4399" t="s">
        <v>114</v>
      </c>
      <c r="D4399" t="s">
        <v>2106</v>
      </c>
      <c r="F4399" t="str">
        <f>"251452"</f>
        <v>251452</v>
      </c>
      <c r="G4399" t="s">
        <v>49</v>
      </c>
      <c r="K4399" t="s">
        <v>51</v>
      </c>
      <c r="L4399" t="s">
        <v>52</v>
      </c>
      <c r="M4399">
        <v>137810.84</v>
      </c>
      <c r="N4399">
        <v>472314.91</v>
      </c>
      <c r="O4399" t="s">
        <v>53</v>
      </c>
      <c r="P4399" t="s">
        <v>54</v>
      </c>
      <c r="Q4399" t="s">
        <v>55</v>
      </c>
      <c r="T4399" t="s">
        <v>183</v>
      </c>
      <c r="U4399">
        <v>40</v>
      </c>
      <c r="V4399" s="1">
        <v>33970</v>
      </c>
      <c r="W4399" s="1">
        <v>33970</v>
      </c>
      <c r="X4399" s="1">
        <v>33970</v>
      </c>
      <c r="Y4399" s="1">
        <v>48580</v>
      </c>
      <c r="Z4399" t="s">
        <v>51</v>
      </c>
      <c r="AB4399" t="s">
        <v>54</v>
      </c>
      <c r="AC4399">
        <v>1</v>
      </c>
      <c r="AE4399" t="s">
        <v>2108</v>
      </c>
      <c r="AF4399">
        <v>0</v>
      </c>
      <c r="AG4399" s="1">
        <v>44441</v>
      </c>
      <c r="AH4399" s="1">
        <v>44441</v>
      </c>
      <c r="AI4399" s="1">
        <v>44441</v>
      </c>
      <c r="AJ4399" s="1">
        <v>44441</v>
      </c>
      <c r="AK4399" t="s">
        <v>51</v>
      </c>
      <c r="AN4399">
        <v>0</v>
      </c>
      <c r="AO4399" t="s">
        <v>54</v>
      </c>
      <c r="AP4399" t="s">
        <v>53</v>
      </c>
      <c r="AQ4399">
        <v>0</v>
      </c>
      <c r="AR4399" t="s">
        <v>53</v>
      </c>
      <c r="AS4399">
        <v>0</v>
      </c>
      <c r="AT4399">
        <v>0</v>
      </c>
      <c r="AW4399" t="s">
        <v>172</v>
      </c>
      <c r="AX4399">
        <v>15</v>
      </c>
      <c r="AY4399" s="1">
        <v>44441</v>
      </c>
      <c r="AZ4399" s="1">
        <v>44441</v>
      </c>
      <c r="BA4399" s="1">
        <v>44441</v>
      </c>
      <c r="BB4399" s="1">
        <v>49920</v>
      </c>
      <c r="BC4399" t="s">
        <v>51</v>
      </c>
      <c r="BE4399" t="s">
        <v>54</v>
      </c>
      <c r="BF4399">
        <v>40</v>
      </c>
      <c r="BG4399">
        <v>0</v>
      </c>
      <c r="BH4399" t="s">
        <v>145</v>
      </c>
      <c r="CC4399" t="s">
        <v>432</v>
      </c>
      <c r="CD4399">
        <v>85000</v>
      </c>
      <c r="CE4399" s="1">
        <v>44441</v>
      </c>
      <c r="CF4399" s="1">
        <v>44441</v>
      </c>
      <c r="CG4399" s="1">
        <v>44441</v>
      </c>
      <c r="CH4399" s="1">
        <v>52029</v>
      </c>
      <c r="CI4399" t="s">
        <v>51</v>
      </c>
      <c r="CK4399" t="s">
        <v>78</v>
      </c>
      <c r="CM4399" t="s">
        <v>54</v>
      </c>
      <c r="CN4399" t="s">
        <v>174</v>
      </c>
      <c r="CO4399" t="s">
        <v>86</v>
      </c>
      <c r="CR4399">
        <v>24</v>
      </c>
      <c r="CS4399">
        <v>0</v>
      </c>
      <c r="CT4399">
        <v>0</v>
      </c>
      <c r="CU4399">
        <v>0</v>
      </c>
    </row>
    <row r="4400" spans="1:99" x14ac:dyDescent="0.2">
      <c r="A4400" t="s">
        <v>112</v>
      </c>
      <c r="B4400" t="s">
        <v>113</v>
      </c>
      <c r="C4400" t="s">
        <v>114</v>
      </c>
      <c r="D4400" t="s">
        <v>2106</v>
      </c>
      <c r="F4400" t="str">
        <f>"251453"</f>
        <v>251453</v>
      </c>
      <c r="G4400" t="s">
        <v>49</v>
      </c>
      <c r="K4400" t="s">
        <v>51</v>
      </c>
      <c r="L4400" t="s">
        <v>52</v>
      </c>
      <c r="M4400">
        <v>137742.03</v>
      </c>
      <c r="N4400">
        <v>472312.77</v>
      </c>
      <c r="O4400" t="s">
        <v>53</v>
      </c>
      <c r="P4400" t="s">
        <v>54</v>
      </c>
      <c r="Q4400" t="s">
        <v>55</v>
      </c>
      <c r="T4400" t="s">
        <v>183</v>
      </c>
      <c r="U4400">
        <v>40</v>
      </c>
      <c r="V4400" s="1">
        <v>33970</v>
      </c>
      <c r="W4400" s="1">
        <v>33970</v>
      </c>
      <c r="X4400" s="1">
        <v>33970</v>
      </c>
      <c r="Y4400" s="1">
        <v>48580</v>
      </c>
      <c r="Z4400" t="s">
        <v>51</v>
      </c>
      <c r="AB4400" t="s">
        <v>54</v>
      </c>
      <c r="AC4400">
        <v>1</v>
      </c>
      <c r="AE4400" t="s">
        <v>2108</v>
      </c>
      <c r="AF4400">
        <v>0</v>
      </c>
      <c r="AG4400" s="1">
        <v>44441</v>
      </c>
      <c r="AH4400" s="1">
        <v>44441</v>
      </c>
      <c r="AI4400" s="1">
        <v>44441</v>
      </c>
      <c r="AJ4400" s="1">
        <v>44441</v>
      </c>
      <c r="AK4400" t="s">
        <v>51</v>
      </c>
      <c r="AN4400">
        <v>0</v>
      </c>
      <c r="AO4400" t="s">
        <v>54</v>
      </c>
      <c r="AP4400" t="s">
        <v>53</v>
      </c>
      <c r="AQ4400">
        <v>0</v>
      </c>
      <c r="AR4400" t="s">
        <v>53</v>
      </c>
      <c r="AS4400">
        <v>0</v>
      </c>
      <c r="AT4400">
        <v>0</v>
      </c>
      <c r="AW4400" t="s">
        <v>172</v>
      </c>
      <c r="AX4400">
        <v>15</v>
      </c>
      <c r="AY4400" s="1">
        <v>44441</v>
      </c>
      <c r="AZ4400" s="1">
        <v>44441</v>
      </c>
      <c r="BA4400" s="1">
        <v>44441</v>
      </c>
      <c r="BB4400" s="1">
        <v>49920</v>
      </c>
      <c r="BC4400" t="s">
        <v>51</v>
      </c>
      <c r="BE4400" t="s">
        <v>54</v>
      </c>
      <c r="BF4400">
        <v>40</v>
      </c>
      <c r="BG4400">
        <v>0</v>
      </c>
      <c r="BH4400" t="s">
        <v>145</v>
      </c>
      <c r="CC4400" t="s">
        <v>432</v>
      </c>
      <c r="CD4400">
        <v>85000</v>
      </c>
      <c r="CE4400" s="1">
        <v>44441</v>
      </c>
      <c r="CF4400" s="1">
        <v>44441</v>
      </c>
      <c r="CG4400" s="1">
        <v>44441</v>
      </c>
      <c r="CH4400" s="1">
        <v>52029</v>
      </c>
      <c r="CI4400" t="s">
        <v>51</v>
      </c>
      <c r="CK4400" t="s">
        <v>78</v>
      </c>
      <c r="CM4400" t="s">
        <v>54</v>
      </c>
      <c r="CN4400" t="s">
        <v>174</v>
      </c>
      <c r="CO4400" t="s">
        <v>86</v>
      </c>
      <c r="CR4400">
        <v>24</v>
      </c>
      <c r="CS4400">
        <v>0</v>
      </c>
      <c r="CT4400">
        <v>0</v>
      </c>
      <c r="CU4400">
        <v>0</v>
      </c>
    </row>
    <row r="4401" spans="1:99" x14ac:dyDescent="0.2">
      <c r="A4401" t="s">
        <v>112</v>
      </c>
      <c r="B4401" t="s">
        <v>113</v>
      </c>
      <c r="C4401" t="s">
        <v>114</v>
      </c>
      <c r="D4401" t="s">
        <v>2106</v>
      </c>
      <c r="F4401" t="str">
        <f>"251454"</f>
        <v>251454</v>
      </c>
      <c r="G4401" t="s">
        <v>49</v>
      </c>
      <c r="K4401" t="s">
        <v>51</v>
      </c>
      <c r="L4401" t="s">
        <v>52</v>
      </c>
      <c r="M4401">
        <v>137674.10999999999</v>
      </c>
      <c r="N4401">
        <v>472311.19</v>
      </c>
      <c r="O4401" t="s">
        <v>53</v>
      </c>
      <c r="P4401" t="s">
        <v>54</v>
      </c>
      <c r="Q4401" t="s">
        <v>55</v>
      </c>
      <c r="T4401" t="s">
        <v>111</v>
      </c>
      <c r="U4401">
        <v>40</v>
      </c>
      <c r="V4401" s="1">
        <v>33970</v>
      </c>
      <c r="W4401" s="1">
        <v>33970</v>
      </c>
      <c r="X4401" s="1">
        <v>33970</v>
      </c>
      <c r="Y4401" s="1">
        <v>48580</v>
      </c>
      <c r="Z4401" t="s">
        <v>51</v>
      </c>
      <c r="AB4401" t="s">
        <v>54</v>
      </c>
      <c r="AC4401">
        <v>1</v>
      </c>
      <c r="AE4401" t="s">
        <v>2108</v>
      </c>
      <c r="AF4401">
        <v>0</v>
      </c>
      <c r="AG4401" s="1">
        <v>44441</v>
      </c>
      <c r="AH4401" s="1">
        <v>44441</v>
      </c>
      <c r="AI4401" s="1">
        <v>44441</v>
      </c>
      <c r="AJ4401" s="1">
        <v>44441</v>
      </c>
      <c r="AK4401" t="s">
        <v>51</v>
      </c>
      <c r="AN4401">
        <v>0</v>
      </c>
      <c r="AO4401" t="s">
        <v>54</v>
      </c>
      <c r="AP4401" t="s">
        <v>53</v>
      </c>
      <c r="AQ4401">
        <v>0</v>
      </c>
      <c r="AR4401" t="s">
        <v>53</v>
      </c>
      <c r="AS4401">
        <v>0</v>
      </c>
      <c r="AT4401">
        <v>0</v>
      </c>
      <c r="AW4401" t="s">
        <v>172</v>
      </c>
      <c r="AX4401">
        <v>15</v>
      </c>
      <c r="AY4401" s="1">
        <v>44441</v>
      </c>
      <c r="AZ4401" s="1">
        <v>44441</v>
      </c>
      <c r="BA4401" s="1">
        <v>44441</v>
      </c>
      <c r="BB4401" s="1">
        <v>49920</v>
      </c>
      <c r="BC4401" t="s">
        <v>51</v>
      </c>
      <c r="BE4401" t="s">
        <v>54</v>
      </c>
      <c r="BF4401">
        <v>40</v>
      </c>
      <c r="BG4401">
        <v>0</v>
      </c>
      <c r="BH4401" t="s">
        <v>145</v>
      </c>
      <c r="CC4401" t="s">
        <v>432</v>
      </c>
      <c r="CD4401">
        <v>85000</v>
      </c>
      <c r="CE4401" s="1">
        <v>44441</v>
      </c>
      <c r="CF4401" s="1">
        <v>44441</v>
      </c>
      <c r="CG4401" s="1">
        <v>44441</v>
      </c>
      <c r="CH4401" s="1">
        <v>52029</v>
      </c>
      <c r="CI4401" t="s">
        <v>51</v>
      </c>
      <c r="CK4401" t="s">
        <v>78</v>
      </c>
      <c r="CM4401" t="s">
        <v>54</v>
      </c>
      <c r="CN4401" t="s">
        <v>174</v>
      </c>
      <c r="CO4401" t="s">
        <v>86</v>
      </c>
      <c r="CR4401">
        <v>24</v>
      </c>
      <c r="CS4401">
        <v>0</v>
      </c>
      <c r="CT4401">
        <v>0</v>
      </c>
      <c r="CU4401">
        <v>0</v>
      </c>
    </row>
    <row r="4402" spans="1:99" x14ac:dyDescent="0.2">
      <c r="A4402" t="s">
        <v>112</v>
      </c>
      <c r="B4402" t="s">
        <v>113</v>
      </c>
      <c r="C4402" t="s">
        <v>114</v>
      </c>
      <c r="D4402" t="s">
        <v>2106</v>
      </c>
      <c r="F4402" t="str">
        <f>"251455"</f>
        <v>251455</v>
      </c>
      <c r="G4402" t="s">
        <v>49</v>
      </c>
      <c r="K4402" t="s">
        <v>51</v>
      </c>
      <c r="L4402" t="s">
        <v>52</v>
      </c>
      <c r="M4402">
        <v>137604.98000000001</v>
      </c>
      <c r="N4402">
        <v>472308.39</v>
      </c>
      <c r="O4402" t="s">
        <v>53</v>
      </c>
      <c r="P4402" t="s">
        <v>54</v>
      </c>
      <c r="Q4402" t="s">
        <v>55</v>
      </c>
      <c r="T4402" t="s">
        <v>111</v>
      </c>
      <c r="U4402">
        <v>40</v>
      </c>
      <c r="V4402" s="1">
        <v>33970</v>
      </c>
      <c r="W4402" s="1">
        <v>33970</v>
      </c>
      <c r="X4402" s="1">
        <v>33970</v>
      </c>
      <c r="Y4402" s="1">
        <v>48580</v>
      </c>
      <c r="Z4402" t="s">
        <v>51</v>
      </c>
      <c r="AB4402" t="s">
        <v>54</v>
      </c>
      <c r="AC4402">
        <v>1</v>
      </c>
      <c r="AE4402" t="s">
        <v>2108</v>
      </c>
      <c r="AF4402">
        <v>0</v>
      </c>
      <c r="AG4402" s="1">
        <v>44441</v>
      </c>
      <c r="AH4402" s="1">
        <v>44441</v>
      </c>
      <c r="AI4402" s="1">
        <v>44441</v>
      </c>
      <c r="AJ4402" s="1">
        <v>44441</v>
      </c>
      <c r="AK4402" t="s">
        <v>51</v>
      </c>
      <c r="AN4402">
        <v>0</v>
      </c>
      <c r="AO4402" t="s">
        <v>54</v>
      </c>
      <c r="AP4402" t="s">
        <v>53</v>
      </c>
      <c r="AQ4402">
        <v>0</v>
      </c>
      <c r="AR4402" t="s">
        <v>53</v>
      </c>
      <c r="AS4402">
        <v>0</v>
      </c>
      <c r="AT4402">
        <v>0</v>
      </c>
      <c r="AW4402" t="s">
        <v>172</v>
      </c>
      <c r="AX4402">
        <v>15</v>
      </c>
      <c r="AY4402" s="1">
        <v>44441</v>
      </c>
      <c r="AZ4402" s="1">
        <v>44441</v>
      </c>
      <c r="BA4402" s="1">
        <v>44441</v>
      </c>
      <c r="BB4402" s="1">
        <v>49920</v>
      </c>
      <c r="BC4402" t="s">
        <v>51</v>
      </c>
      <c r="BE4402" t="s">
        <v>54</v>
      </c>
      <c r="BF4402">
        <v>40</v>
      </c>
      <c r="BG4402">
        <v>0</v>
      </c>
      <c r="BH4402" t="s">
        <v>145</v>
      </c>
      <c r="CC4402" t="s">
        <v>432</v>
      </c>
      <c r="CD4402">
        <v>85000</v>
      </c>
      <c r="CE4402" s="1">
        <v>44441</v>
      </c>
      <c r="CF4402" s="1">
        <v>44441</v>
      </c>
      <c r="CG4402" s="1">
        <v>44441</v>
      </c>
      <c r="CH4402" s="1">
        <v>52029</v>
      </c>
      <c r="CI4402" t="s">
        <v>51</v>
      </c>
      <c r="CK4402" t="s">
        <v>78</v>
      </c>
      <c r="CM4402" t="s">
        <v>54</v>
      </c>
      <c r="CN4402" t="s">
        <v>174</v>
      </c>
      <c r="CO4402" t="s">
        <v>86</v>
      </c>
      <c r="CR4402">
        <v>24</v>
      </c>
      <c r="CS4402">
        <v>0</v>
      </c>
      <c r="CT4402">
        <v>0</v>
      </c>
      <c r="CU4402">
        <v>0</v>
      </c>
    </row>
    <row r="4403" spans="1:99" x14ac:dyDescent="0.2">
      <c r="A4403" t="s">
        <v>112</v>
      </c>
      <c r="B4403" t="s">
        <v>113</v>
      </c>
      <c r="C4403" t="s">
        <v>114</v>
      </c>
      <c r="D4403" t="s">
        <v>2106</v>
      </c>
      <c r="F4403" t="str">
        <f>"251456"</f>
        <v>251456</v>
      </c>
      <c r="G4403" t="s">
        <v>49</v>
      </c>
      <c r="K4403" t="s">
        <v>51</v>
      </c>
      <c r="L4403" t="s">
        <v>52</v>
      </c>
      <c r="M4403">
        <v>137536.5</v>
      </c>
      <c r="N4403">
        <v>472307.56</v>
      </c>
      <c r="O4403" t="s">
        <v>53</v>
      </c>
      <c r="P4403" t="s">
        <v>54</v>
      </c>
      <c r="Q4403" t="s">
        <v>55</v>
      </c>
      <c r="T4403" t="s">
        <v>111</v>
      </c>
      <c r="U4403">
        <v>40</v>
      </c>
      <c r="V4403" s="1">
        <v>33970</v>
      </c>
      <c r="W4403" s="1">
        <v>33970</v>
      </c>
      <c r="X4403" s="1">
        <v>33970</v>
      </c>
      <c r="Y4403" s="1">
        <v>48580</v>
      </c>
      <c r="Z4403" t="s">
        <v>51</v>
      </c>
      <c r="AB4403" t="s">
        <v>54</v>
      </c>
      <c r="AC4403">
        <v>1</v>
      </c>
      <c r="AE4403" t="s">
        <v>2108</v>
      </c>
      <c r="AF4403">
        <v>0</v>
      </c>
      <c r="AG4403" s="1">
        <v>44441</v>
      </c>
      <c r="AH4403" s="1">
        <v>44441</v>
      </c>
      <c r="AI4403" s="1">
        <v>44441</v>
      </c>
      <c r="AJ4403" s="1">
        <v>44441</v>
      </c>
      <c r="AK4403" t="s">
        <v>51</v>
      </c>
      <c r="AN4403">
        <v>0</v>
      </c>
      <c r="AO4403" t="s">
        <v>54</v>
      </c>
      <c r="AP4403" t="s">
        <v>53</v>
      </c>
      <c r="AQ4403">
        <v>0</v>
      </c>
      <c r="AR4403" t="s">
        <v>53</v>
      </c>
      <c r="AS4403">
        <v>0</v>
      </c>
      <c r="AT4403">
        <v>0</v>
      </c>
      <c r="AW4403" t="s">
        <v>172</v>
      </c>
      <c r="AX4403">
        <v>15</v>
      </c>
      <c r="AY4403" s="1">
        <v>44441</v>
      </c>
      <c r="AZ4403" s="1">
        <v>44441</v>
      </c>
      <c r="BA4403" s="1">
        <v>44441</v>
      </c>
      <c r="BB4403" s="1">
        <v>49920</v>
      </c>
      <c r="BC4403" t="s">
        <v>51</v>
      </c>
      <c r="BE4403" t="s">
        <v>54</v>
      </c>
      <c r="BF4403">
        <v>40</v>
      </c>
      <c r="BG4403">
        <v>0</v>
      </c>
      <c r="BH4403" t="s">
        <v>145</v>
      </c>
      <c r="CC4403" t="s">
        <v>432</v>
      </c>
      <c r="CD4403">
        <v>85000</v>
      </c>
      <c r="CE4403" s="1">
        <v>44441</v>
      </c>
      <c r="CF4403" s="1">
        <v>44441</v>
      </c>
      <c r="CG4403" s="1">
        <v>44441</v>
      </c>
      <c r="CH4403" s="1">
        <v>52029</v>
      </c>
      <c r="CI4403" t="s">
        <v>51</v>
      </c>
      <c r="CK4403" t="s">
        <v>78</v>
      </c>
      <c r="CM4403" t="s">
        <v>54</v>
      </c>
      <c r="CN4403" t="s">
        <v>174</v>
      </c>
      <c r="CO4403" t="s">
        <v>86</v>
      </c>
      <c r="CR4403">
        <v>24</v>
      </c>
      <c r="CS4403">
        <v>0</v>
      </c>
      <c r="CT4403">
        <v>0</v>
      </c>
      <c r="CU4403">
        <v>0</v>
      </c>
    </row>
    <row r="4404" spans="1:99" x14ac:dyDescent="0.2">
      <c r="A4404" t="s">
        <v>112</v>
      </c>
      <c r="B4404" t="s">
        <v>113</v>
      </c>
      <c r="C4404" t="s">
        <v>114</v>
      </c>
      <c r="D4404" t="s">
        <v>2106</v>
      </c>
      <c r="F4404" t="str">
        <f>"251457"</f>
        <v>251457</v>
      </c>
      <c r="G4404" t="s">
        <v>49</v>
      </c>
      <c r="K4404" t="s">
        <v>51</v>
      </c>
      <c r="L4404" t="s">
        <v>52</v>
      </c>
      <c r="M4404">
        <v>137465.32999999999</v>
      </c>
      <c r="N4404">
        <v>472304.03</v>
      </c>
      <c r="O4404" t="s">
        <v>53</v>
      </c>
      <c r="P4404" t="s">
        <v>54</v>
      </c>
      <c r="Q4404" t="s">
        <v>55</v>
      </c>
      <c r="T4404" t="s">
        <v>111</v>
      </c>
      <c r="U4404">
        <v>40</v>
      </c>
      <c r="V4404" s="1">
        <v>33970</v>
      </c>
      <c r="W4404" s="1">
        <v>33970</v>
      </c>
      <c r="X4404" s="1">
        <v>33970</v>
      </c>
      <c r="Y4404" s="1">
        <v>48580</v>
      </c>
      <c r="Z4404" t="s">
        <v>51</v>
      </c>
      <c r="AB4404" t="s">
        <v>54</v>
      </c>
      <c r="AC4404">
        <v>1</v>
      </c>
      <c r="AE4404" t="s">
        <v>2108</v>
      </c>
      <c r="AF4404">
        <v>0</v>
      </c>
      <c r="AG4404" s="1">
        <v>44441</v>
      </c>
      <c r="AH4404" s="1">
        <v>44441</v>
      </c>
      <c r="AI4404" s="1">
        <v>44441</v>
      </c>
      <c r="AJ4404" s="1">
        <v>44441</v>
      </c>
      <c r="AK4404" t="s">
        <v>51</v>
      </c>
      <c r="AN4404">
        <v>0</v>
      </c>
      <c r="AO4404" t="s">
        <v>54</v>
      </c>
      <c r="AP4404" t="s">
        <v>53</v>
      </c>
      <c r="AQ4404">
        <v>0</v>
      </c>
      <c r="AR4404" t="s">
        <v>53</v>
      </c>
      <c r="AS4404">
        <v>0</v>
      </c>
      <c r="AT4404">
        <v>0</v>
      </c>
      <c r="AW4404" t="s">
        <v>172</v>
      </c>
      <c r="AX4404">
        <v>15</v>
      </c>
      <c r="AY4404" s="1">
        <v>44441</v>
      </c>
      <c r="AZ4404" s="1">
        <v>44441</v>
      </c>
      <c r="BA4404" s="1">
        <v>44441</v>
      </c>
      <c r="BB4404" s="1">
        <v>49920</v>
      </c>
      <c r="BC4404" t="s">
        <v>51</v>
      </c>
      <c r="BE4404" t="s">
        <v>54</v>
      </c>
      <c r="BF4404">
        <v>40</v>
      </c>
      <c r="BG4404">
        <v>0</v>
      </c>
      <c r="BH4404" t="s">
        <v>145</v>
      </c>
      <c r="CC4404" t="s">
        <v>432</v>
      </c>
      <c r="CD4404">
        <v>85000</v>
      </c>
      <c r="CE4404" s="1">
        <v>44441</v>
      </c>
      <c r="CF4404" s="1">
        <v>44441</v>
      </c>
      <c r="CG4404" s="1">
        <v>44441</v>
      </c>
      <c r="CH4404" s="1">
        <v>52029</v>
      </c>
      <c r="CI4404" t="s">
        <v>51</v>
      </c>
      <c r="CK4404" t="s">
        <v>78</v>
      </c>
      <c r="CM4404" t="s">
        <v>54</v>
      </c>
      <c r="CN4404" t="s">
        <v>174</v>
      </c>
      <c r="CO4404" t="s">
        <v>86</v>
      </c>
      <c r="CR4404">
        <v>24</v>
      </c>
      <c r="CS4404">
        <v>0</v>
      </c>
      <c r="CT4404">
        <v>0</v>
      </c>
      <c r="CU4404">
        <v>0</v>
      </c>
    </row>
    <row r="4405" spans="1:99" x14ac:dyDescent="0.2">
      <c r="A4405" t="s">
        <v>112</v>
      </c>
      <c r="B4405" t="s">
        <v>113</v>
      </c>
      <c r="C4405" t="s">
        <v>114</v>
      </c>
      <c r="D4405" t="s">
        <v>2106</v>
      </c>
      <c r="F4405" t="str">
        <f>"251458"</f>
        <v>251458</v>
      </c>
      <c r="G4405" t="s">
        <v>49</v>
      </c>
      <c r="H4405" t="s">
        <v>2093</v>
      </c>
      <c r="K4405" t="s">
        <v>51</v>
      </c>
      <c r="L4405" t="s">
        <v>52</v>
      </c>
      <c r="M4405">
        <v>137395.62</v>
      </c>
      <c r="N4405">
        <v>472302.22</v>
      </c>
      <c r="O4405" t="s">
        <v>53</v>
      </c>
      <c r="P4405" t="s">
        <v>54</v>
      </c>
      <c r="Q4405" t="s">
        <v>55</v>
      </c>
      <c r="T4405" t="s">
        <v>111</v>
      </c>
      <c r="U4405">
        <v>40</v>
      </c>
      <c r="V4405" s="1">
        <v>34151</v>
      </c>
      <c r="W4405" s="1">
        <v>34151</v>
      </c>
      <c r="X4405" s="1">
        <v>34151</v>
      </c>
      <c r="Y4405" s="1">
        <v>48761</v>
      </c>
      <c r="Z4405" t="s">
        <v>51</v>
      </c>
      <c r="AB4405" t="s">
        <v>54</v>
      </c>
      <c r="AC4405">
        <v>1</v>
      </c>
      <c r="AE4405" t="s">
        <v>2108</v>
      </c>
      <c r="AF4405">
        <v>0</v>
      </c>
      <c r="AG4405" s="1">
        <v>44441</v>
      </c>
      <c r="AH4405" s="1">
        <v>44441</v>
      </c>
      <c r="AI4405" s="1">
        <v>44441</v>
      </c>
      <c r="AJ4405" s="1">
        <v>44441</v>
      </c>
      <c r="AK4405" t="s">
        <v>51</v>
      </c>
      <c r="AN4405">
        <v>0</v>
      </c>
      <c r="AO4405" t="s">
        <v>54</v>
      </c>
      <c r="AP4405" t="s">
        <v>53</v>
      </c>
      <c r="AQ4405">
        <v>0</v>
      </c>
      <c r="AR4405" t="s">
        <v>53</v>
      </c>
      <c r="AS4405">
        <v>0</v>
      </c>
      <c r="AT4405">
        <v>0</v>
      </c>
      <c r="AW4405" t="s">
        <v>172</v>
      </c>
      <c r="AX4405">
        <v>15</v>
      </c>
      <c r="AY4405" s="1">
        <v>44441</v>
      </c>
      <c r="AZ4405" s="1">
        <v>44441</v>
      </c>
      <c r="BA4405" s="1">
        <v>44441</v>
      </c>
      <c r="BB4405" s="1">
        <v>49920</v>
      </c>
      <c r="BC4405" t="s">
        <v>51</v>
      </c>
      <c r="BE4405" t="s">
        <v>54</v>
      </c>
      <c r="BF4405">
        <v>40</v>
      </c>
      <c r="BG4405">
        <v>0</v>
      </c>
      <c r="BH4405" t="s">
        <v>145</v>
      </c>
      <c r="CC4405" t="s">
        <v>432</v>
      </c>
      <c r="CD4405">
        <v>85000</v>
      </c>
      <c r="CE4405" s="1">
        <v>44441</v>
      </c>
      <c r="CF4405" s="1">
        <v>44441</v>
      </c>
      <c r="CG4405" s="1">
        <v>44441</v>
      </c>
      <c r="CH4405" s="1">
        <v>52029</v>
      </c>
      <c r="CI4405" t="s">
        <v>51</v>
      </c>
      <c r="CK4405" t="s">
        <v>78</v>
      </c>
      <c r="CM4405" t="s">
        <v>54</v>
      </c>
      <c r="CN4405" t="s">
        <v>174</v>
      </c>
      <c r="CO4405" t="s">
        <v>86</v>
      </c>
      <c r="CR4405">
        <v>24</v>
      </c>
      <c r="CS4405">
        <v>0</v>
      </c>
      <c r="CT4405">
        <v>0</v>
      </c>
      <c r="CU4405">
        <v>0</v>
      </c>
    </row>
    <row r="4406" spans="1:99" x14ac:dyDescent="0.2">
      <c r="A4406" t="s">
        <v>112</v>
      </c>
      <c r="B4406" t="s">
        <v>113</v>
      </c>
      <c r="C4406" t="s">
        <v>114</v>
      </c>
      <c r="D4406" t="s">
        <v>2106</v>
      </c>
      <c r="F4406" t="str">
        <f>"251459"</f>
        <v>251459</v>
      </c>
      <c r="G4406" t="s">
        <v>49</v>
      </c>
      <c r="K4406" t="s">
        <v>51</v>
      </c>
      <c r="L4406" t="s">
        <v>52</v>
      </c>
      <c r="M4406">
        <v>137325.75</v>
      </c>
      <c r="N4406">
        <v>472299.93</v>
      </c>
      <c r="O4406" t="s">
        <v>53</v>
      </c>
      <c r="P4406" t="s">
        <v>54</v>
      </c>
      <c r="Q4406" t="s">
        <v>55</v>
      </c>
      <c r="T4406" t="s">
        <v>81</v>
      </c>
      <c r="U4406">
        <v>40</v>
      </c>
      <c r="V4406" s="1">
        <v>44441</v>
      </c>
      <c r="W4406" s="1">
        <v>44441</v>
      </c>
      <c r="X4406" s="1">
        <v>44441</v>
      </c>
      <c r="Y4406" s="1">
        <v>59051</v>
      </c>
      <c r="Z4406" t="s">
        <v>51</v>
      </c>
      <c r="AB4406" t="s">
        <v>54</v>
      </c>
      <c r="AC4406">
        <v>1</v>
      </c>
      <c r="AE4406" t="s">
        <v>2108</v>
      </c>
      <c r="AF4406">
        <v>0</v>
      </c>
      <c r="AG4406" s="1">
        <v>44441</v>
      </c>
      <c r="AH4406" s="1">
        <v>44441</v>
      </c>
      <c r="AI4406" s="1">
        <v>44441</v>
      </c>
      <c r="AJ4406" s="1">
        <v>44441</v>
      </c>
      <c r="AK4406" t="s">
        <v>51</v>
      </c>
      <c r="AN4406">
        <v>0</v>
      </c>
      <c r="AO4406" t="s">
        <v>54</v>
      </c>
      <c r="AP4406" t="s">
        <v>53</v>
      </c>
      <c r="AQ4406">
        <v>0</v>
      </c>
      <c r="AR4406" t="s">
        <v>53</v>
      </c>
      <c r="AS4406">
        <v>0</v>
      </c>
      <c r="AT4406">
        <v>0</v>
      </c>
      <c r="AW4406" t="s">
        <v>172</v>
      </c>
      <c r="AX4406">
        <v>15</v>
      </c>
      <c r="AY4406" s="1">
        <v>44441</v>
      </c>
      <c r="AZ4406" s="1">
        <v>44441</v>
      </c>
      <c r="BA4406" s="1">
        <v>44441</v>
      </c>
      <c r="BB4406" s="1">
        <v>49920</v>
      </c>
      <c r="BC4406" t="s">
        <v>51</v>
      </c>
      <c r="BE4406" t="s">
        <v>54</v>
      </c>
      <c r="BF4406">
        <v>40</v>
      </c>
      <c r="BG4406">
        <v>0</v>
      </c>
      <c r="BH4406" t="s">
        <v>145</v>
      </c>
      <c r="CC4406" t="s">
        <v>432</v>
      </c>
      <c r="CD4406">
        <v>85000</v>
      </c>
      <c r="CE4406" s="1">
        <v>44441</v>
      </c>
      <c r="CF4406" s="1">
        <v>44441</v>
      </c>
      <c r="CG4406" s="1">
        <v>44441</v>
      </c>
      <c r="CH4406" s="1">
        <v>52029</v>
      </c>
      <c r="CI4406" t="s">
        <v>51</v>
      </c>
      <c r="CK4406" t="s">
        <v>78</v>
      </c>
      <c r="CM4406" t="s">
        <v>54</v>
      </c>
      <c r="CN4406" t="s">
        <v>174</v>
      </c>
      <c r="CO4406" t="s">
        <v>86</v>
      </c>
      <c r="CR4406">
        <v>24</v>
      </c>
      <c r="CS4406">
        <v>0</v>
      </c>
      <c r="CT4406">
        <v>0</v>
      </c>
      <c r="CU4406">
        <v>0</v>
      </c>
    </row>
    <row r="4407" spans="1:99" x14ac:dyDescent="0.2">
      <c r="A4407" t="s">
        <v>112</v>
      </c>
      <c r="B4407" t="s">
        <v>113</v>
      </c>
      <c r="C4407" t="s">
        <v>114</v>
      </c>
      <c r="D4407" t="s">
        <v>2106</v>
      </c>
      <c r="F4407" t="str">
        <f>"251460"</f>
        <v>251460</v>
      </c>
      <c r="G4407" t="s">
        <v>49</v>
      </c>
      <c r="K4407" t="s">
        <v>51</v>
      </c>
      <c r="L4407" t="s">
        <v>52</v>
      </c>
      <c r="M4407">
        <v>137256.85</v>
      </c>
      <c r="N4407">
        <v>472298.45</v>
      </c>
      <c r="O4407" t="s">
        <v>53</v>
      </c>
      <c r="P4407" t="s">
        <v>54</v>
      </c>
      <c r="Q4407" t="s">
        <v>55</v>
      </c>
      <c r="T4407" t="s">
        <v>183</v>
      </c>
      <c r="U4407">
        <v>40</v>
      </c>
      <c r="V4407" s="1">
        <v>33970</v>
      </c>
      <c r="W4407" s="1">
        <v>33970</v>
      </c>
      <c r="X4407" s="1">
        <v>33970</v>
      </c>
      <c r="Y4407" s="1">
        <v>48580</v>
      </c>
      <c r="Z4407" t="s">
        <v>51</v>
      </c>
      <c r="AB4407" t="s">
        <v>54</v>
      </c>
      <c r="AC4407">
        <v>1</v>
      </c>
      <c r="AE4407" t="s">
        <v>2108</v>
      </c>
      <c r="AF4407">
        <v>0</v>
      </c>
      <c r="AG4407" s="1">
        <v>44441</v>
      </c>
      <c r="AH4407" s="1">
        <v>44441</v>
      </c>
      <c r="AI4407" s="1">
        <v>44441</v>
      </c>
      <c r="AJ4407" s="1">
        <v>44441</v>
      </c>
      <c r="AK4407" t="s">
        <v>51</v>
      </c>
      <c r="AN4407">
        <v>0</v>
      </c>
      <c r="AO4407" t="s">
        <v>54</v>
      </c>
      <c r="AP4407" t="s">
        <v>53</v>
      </c>
      <c r="AQ4407">
        <v>0</v>
      </c>
      <c r="AR4407" t="s">
        <v>53</v>
      </c>
      <c r="AS4407">
        <v>0</v>
      </c>
      <c r="AT4407">
        <v>0</v>
      </c>
      <c r="AW4407" t="s">
        <v>172</v>
      </c>
      <c r="AX4407">
        <v>15</v>
      </c>
      <c r="AY4407" s="1">
        <v>44441</v>
      </c>
      <c r="AZ4407" s="1">
        <v>44441</v>
      </c>
      <c r="BA4407" s="1">
        <v>44441</v>
      </c>
      <c r="BB4407" s="1">
        <v>49920</v>
      </c>
      <c r="BC4407" t="s">
        <v>51</v>
      </c>
      <c r="BE4407" t="s">
        <v>54</v>
      </c>
      <c r="BF4407">
        <v>40</v>
      </c>
      <c r="BG4407">
        <v>0</v>
      </c>
      <c r="BH4407" t="s">
        <v>145</v>
      </c>
      <c r="CC4407" t="s">
        <v>432</v>
      </c>
      <c r="CD4407">
        <v>85000</v>
      </c>
      <c r="CE4407" s="1">
        <v>44441</v>
      </c>
      <c r="CF4407" s="1">
        <v>44441</v>
      </c>
      <c r="CG4407" s="1">
        <v>44441</v>
      </c>
      <c r="CH4407" s="1">
        <v>52029</v>
      </c>
      <c r="CI4407" t="s">
        <v>51</v>
      </c>
      <c r="CK4407" t="s">
        <v>78</v>
      </c>
      <c r="CM4407" t="s">
        <v>54</v>
      </c>
      <c r="CN4407" t="s">
        <v>174</v>
      </c>
      <c r="CO4407" t="s">
        <v>86</v>
      </c>
      <c r="CR4407">
        <v>24</v>
      </c>
      <c r="CS4407">
        <v>0</v>
      </c>
      <c r="CT4407">
        <v>0</v>
      </c>
      <c r="CU4407">
        <v>0</v>
      </c>
    </row>
    <row r="4408" spans="1:99" x14ac:dyDescent="0.2">
      <c r="A4408" t="s">
        <v>112</v>
      </c>
      <c r="B4408" t="s">
        <v>113</v>
      </c>
      <c r="C4408" t="s">
        <v>114</v>
      </c>
      <c r="D4408" t="s">
        <v>2106</v>
      </c>
      <c r="F4408" t="str">
        <f>"251461"</f>
        <v>251461</v>
      </c>
      <c r="G4408" t="s">
        <v>49</v>
      </c>
      <c r="K4408" t="s">
        <v>51</v>
      </c>
      <c r="L4408" t="s">
        <v>52</v>
      </c>
      <c r="M4408">
        <v>137185.73000000001</v>
      </c>
      <c r="N4408">
        <v>472295.96</v>
      </c>
      <c r="O4408" t="s">
        <v>53</v>
      </c>
      <c r="P4408" t="s">
        <v>54</v>
      </c>
      <c r="Q4408" t="s">
        <v>55</v>
      </c>
      <c r="T4408" t="s">
        <v>183</v>
      </c>
      <c r="U4408">
        <v>40</v>
      </c>
      <c r="V4408" s="1">
        <v>33970</v>
      </c>
      <c r="W4408" s="1">
        <v>33970</v>
      </c>
      <c r="X4408" s="1">
        <v>33970</v>
      </c>
      <c r="Y4408" s="1">
        <v>48580</v>
      </c>
      <c r="Z4408" t="s">
        <v>51</v>
      </c>
      <c r="AB4408" t="s">
        <v>54</v>
      </c>
      <c r="AC4408">
        <v>1</v>
      </c>
      <c r="AE4408" t="s">
        <v>2108</v>
      </c>
      <c r="AF4408">
        <v>0</v>
      </c>
      <c r="AG4408" s="1">
        <v>44441</v>
      </c>
      <c r="AH4408" s="1">
        <v>44441</v>
      </c>
      <c r="AI4408" s="1">
        <v>44441</v>
      </c>
      <c r="AJ4408" s="1">
        <v>44441</v>
      </c>
      <c r="AK4408" t="s">
        <v>51</v>
      </c>
      <c r="AN4408">
        <v>0</v>
      </c>
      <c r="AO4408" t="s">
        <v>54</v>
      </c>
      <c r="AP4408" t="s">
        <v>53</v>
      </c>
      <c r="AQ4408">
        <v>0</v>
      </c>
      <c r="AR4408" t="s">
        <v>53</v>
      </c>
      <c r="AS4408">
        <v>0</v>
      </c>
      <c r="AT4408">
        <v>0</v>
      </c>
      <c r="AW4408" t="s">
        <v>172</v>
      </c>
      <c r="AX4408">
        <v>15</v>
      </c>
      <c r="AY4408" s="1">
        <v>44441</v>
      </c>
      <c r="AZ4408" s="1">
        <v>44441</v>
      </c>
      <c r="BA4408" s="1">
        <v>44441</v>
      </c>
      <c r="BB4408" s="1">
        <v>49920</v>
      </c>
      <c r="BC4408" t="s">
        <v>51</v>
      </c>
      <c r="BE4408" t="s">
        <v>54</v>
      </c>
      <c r="BF4408">
        <v>40</v>
      </c>
      <c r="BG4408">
        <v>0</v>
      </c>
      <c r="BH4408" t="s">
        <v>145</v>
      </c>
      <c r="CC4408" t="s">
        <v>432</v>
      </c>
      <c r="CD4408">
        <v>85000</v>
      </c>
      <c r="CE4408" s="1">
        <v>44441</v>
      </c>
      <c r="CF4408" s="1">
        <v>44441</v>
      </c>
      <c r="CG4408" s="1">
        <v>44441</v>
      </c>
      <c r="CH4408" s="1">
        <v>52029</v>
      </c>
      <c r="CI4408" t="s">
        <v>51</v>
      </c>
      <c r="CK4408" t="s">
        <v>78</v>
      </c>
      <c r="CM4408" t="s">
        <v>54</v>
      </c>
      <c r="CN4408" t="s">
        <v>174</v>
      </c>
      <c r="CO4408" t="s">
        <v>86</v>
      </c>
      <c r="CR4408">
        <v>24</v>
      </c>
      <c r="CS4408">
        <v>0</v>
      </c>
      <c r="CT4408">
        <v>0</v>
      </c>
      <c r="CU4408">
        <v>0</v>
      </c>
    </row>
    <row r="4409" spans="1:99" x14ac:dyDescent="0.2">
      <c r="A4409" t="s">
        <v>112</v>
      </c>
      <c r="B4409" t="s">
        <v>113</v>
      </c>
      <c r="C4409" t="s">
        <v>114</v>
      </c>
      <c r="D4409" t="s">
        <v>2106</v>
      </c>
      <c r="F4409" t="str">
        <f>"251462"</f>
        <v>251462</v>
      </c>
      <c r="G4409" t="s">
        <v>49</v>
      </c>
      <c r="K4409" t="s">
        <v>51</v>
      </c>
      <c r="L4409" t="s">
        <v>52</v>
      </c>
      <c r="M4409">
        <v>137116.12</v>
      </c>
      <c r="N4409">
        <v>472293.71</v>
      </c>
      <c r="O4409" t="s">
        <v>53</v>
      </c>
      <c r="P4409" t="s">
        <v>54</v>
      </c>
      <c r="Q4409" t="s">
        <v>55</v>
      </c>
      <c r="T4409" t="s">
        <v>111</v>
      </c>
      <c r="U4409">
        <v>40</v>
      </c>
      <c r="V4409" s="1">
        <v>44441</v>
      </c>
      <c r="W4409" s="1">
        <v>44441</v>
      </c>
      <c r="X4409" s="1">
        <v>44441</v>
      </c>
      <c r="Y4409" s="1">
        <v>59051</v>
      </c>
      <c r="Z4409" t="s">
        <v>51</v>
      </c>
      <c r="AB4409" t="s">
        <v>54</v>
      </c>
      <c r="AC4409">
        <v>1</v>
      </c>
      <c r="AE4409" t="s">
        <v>2108</v>
      </c>
      <c r="AF4409">
        <v>0</v>
      </c>
      <c r="AG4409" s="1">
        <v>44441</v>
      </c>
      <c r="AH4409" s="1">
        <v>44441</v>
      </c>
      <c r="AI4409" s="1">
        <v>44441</v>
      </c>
      <c r="AJ4409" s="1">
        <v>44441</v>
      </c>
      <c r="AK4409" t="s">
        <v>51</v>
      </c>
      <c r="AN4409">
        <v>0</v>
      </c>
      <c r="AO4409" t="s">
        <v>54</v>
      </c>
      <c r="AP4409" t="s">
        <v>53</v>
      </c>
      <c r="AQ4409">
        <v>0</v>
      </c>
      <c r="AR4409" t="s">
        <v>53</v>
      </c>
      <c r="AS4409">
        <v>0</v>
      </c>
      <c r="AT4409">
        <v>0</v>
      </c>
      <c r="AW4409" t="s">
        <v>172</v>
      </c>
      <c r="AX4409">
        <v>15</v>
      </c>
      <c r="AY4409" s="1">
        <v>44441</v>
      </c>
      <c r="AZ4409" s="1">
        <v>44441</v>
      </c>
      <c r="BA4409" s="1">
        <v>44441</v>
      </c>
      <c r="BB4409" s="1">
        <v>49920</v>
      </c>
      <c r="BC4409" t="s">
        <v>51</v>
      </c>
      <c r="BE4409" t="s">
        <v>54</v>
      </c>
      <c r="BF4409">
        <v>40</v>
      </c>
      <c r="BG4409">
        <v>0</v>
      </c>
      <c r="BH4409" t="s">
        <v>145</v>
      </c>
      <c r="CC4409" t="s">
        <v>432</v>
      </c>
      <c r="CD4409">
        <v>85000</v>
      </c>
      <c r="CE4409" s="1">
        <v>44441</v>
      </c>
      <c r="CF4409" s="1">
        <v>44441</v>
      </c>
      <c r="CG4409" s="1">
        <v>44441</v>
      </c>
      <c r="CH4409" s="1">
        <v>52029</v>
      </c>
      <c r="CI4409" t="s">
        <v>51</v>
      </c>
      <c r="CK4409" t="s">
        <v>78</v>
      </c>
      <c r="CM4409" t="s">
        <v>54</v>
      </c>
      <c r="CN4409" t="s">
        <v>174</v>
      </c>
      <c r="CO4409" t="s">
        <v>86</v>
      </c>
      <c r="CR4409">
        <v>24</v>
      </c>
      <c r="CS4409">
        <v>0</v>
      </c>
      <c r="CT4409">
        <v>0</v>
      </c>
      <c r="CU4409">
        <v>0</v>
      </c>
    </row>
    <row r="4410" spans="1:99" x14ac:dyDescent="0.2">
      <c r="A4410" t="s">
        <v>112</v>
      </c>
      <c r="B4410" t="s">
        <v>113</v>
      </c>
      <c r="C4410" t="s">
        <v>114</v>
      </c>
      <c r="D4410" t="s">
        <v>2106</v>
      </c>
      <c r="F4410" t="str">
        <f>"254499"</f>
        <v>254499</v>
      </c>
      <c r="G4410" t="s">
        <v>49</v>
      </c>
      <c r="K4410" t="s">
        <v>51</v>
      </c>
      <c r="L4410" t="s">
        <v>52</v>
      </c>
      <c r="M4410">
        <v>137048.78</v>
      </c>
      <c r="N4410">
        <v>472292.66</v>
      </c>
      <c r="O4410" t="s">
        <v>53</v>
      </c>
      <c r="P4410" t="s">
        <v>54</v>
      </c>
      <c r="Q4410" t="s">
        <v>55</v>
      </c>
      <c r="T4410" t="s">
        <v>111</v>
      </c>
      <c r="U4410">
        <v>40</v>
      </c>
      <c r="V4410" s="1">
        <v>44441</v>
      </c>
      <c r="W4410" s="1">
        <v>44441</v>
      </c>
      <c r="X4410" s="1">
        <v>44441</v>
      </c>
      <c r="Y4410" s="1">
        <v>59051</v>
      </c>
      <c r="Z4410" t="s">
        <v>51</v>
      </c>
      <c r="AB4410" t="s">
        <v>54</v>
      </c>
      <c r="AC4410">
        <v>1</v>
      </c>
      <c r="AE4410" t="s">
        <v>2108</v>
      </c>
      <c r="AF4410">
        <v>0</v>
      </c>
      <c r="AG4410" s="1">
        <v>44441</v>
      </c>
      <c r="AH4410" s="1">
        <v>44441</v>
      </c>
      <c r="AI4410" s="1">
        <v>44441</v>
      </c>
      <c r="AJ4410" s="1">
        <v>44441</v>
      </c>
      <c r="AK4410" t="s">
        <v>51</v>
      </c>
      <c r="AN4410">
        <v>0</v>
      </c>
      <c r="AO4410" t="s">
        <v>54</v>
      </c>
      <c r="AP4410" t="s">
        <v>53</v>
      </c>
      <c r="AQ4410">
        <v>0</v>
      </c>
      <c r="AR4410" t="s">
        <v>53</v>
      </c>
      <c r="AS4410">
        <v>0</v>
      </c>
      <c r="AT4410">
        <v>0</v>
      </c>
      <c r="AW4410" t="s">
        <v>172</v>
      </c>
      <c r="AX4410">
        <v>15</v>
      </c>
      <c r="AY4410" s="1">
        <v>44441</v>
      </c>
      <c r="AZ4410" s="1">
        <v>44441</v>
      </c>
      <c r="BA4410" s="1">
        <v>44441</v>
      </c>
      <c r="BB4410" s="1">
        <v>49920</v>
      </c>
      <c r="BC4410" t="s">
        <v>51</v>
      </c>
      <c r="BE4410" t="s">
        <v>54</v>
      </c>
      <c r="BF4410">
        <v>40</v>
      </c>
      <c r="BG4410">
        <v>0</v>
      </c>
      <c r="BH4410" t="s">
        <v>145</v>
      </c>
      <c r="CC4410" t="s">
        <v>432</v>
      </c>
      <c r="CD4410">
        <v>85000</v>
      </c>
      <c r="CE4410" s="1">
        <v>44441</v>
      </c>
      <c r="CF4410" s="1">
        <v>44441</v>
      </c>
      <c r="CG4410" s="1">
        <v>44441</v>
      </c>
      <c r="CH4410" s="1">
        <v>52029</v>
      </c>
      <c r="CI4410" t="s">
        <v>51</v>
      </c>
      <c r="CK4410" t="s">
        <v>78</v>
      </c>
      <c r="CM4410" t="s">
        <v>54</v>
      </c>
      <c r="CN4410" t="s">
        <v>174</v>
      </c>
      <c r="CO4410" t="s">
        <v>86</v>
      </c>
      <c r="CR4410">
        <v>24</v>
      </c>
      <c r="CS4410">
        <v>0</v>
      </c>
      <c r="CT4410">
        <v>0</v>
      </c>
      <c r="CU4410">
        <v>0</v>
      </c>
    </row>
    <row r="4411" spans="1:99" x14ac:dyDescent="0.2">
      <c r="A4411" t="s">
        <v>112</v>
      </c>
      <c r="B4411" t="s">
        <v>113</v>
      </c>
      <c r="C4411" t="s">
        <v>114</v>
      </c>
      <c r="D4411" t="s">
        <v>2106</v>
      </c>
      <c r="F4411" t="str">
        <f>"251464"</f>
        <v>251464</v>
      </c>
      <c r="G4411" t="s">
        <v>49</v>
      </c>
      <c r="K4411" t="s">
        <v>51</v>
      </c>
      <c r="L4411" t="s">
        <v>52</v>
      </c>
      <c r="M4411">
        <v>136984.29999999999</v>
      </c>
      <c r="N4411">
        <v>472289.94</v>
      </c>
      <c r="O4411" t="s">
        <v>53</v>
      </c>
      <c r="P4411" t="s">
        <v>54</v>
      </c>
      <c r="Q4411" t="s">
        <v>55</v>
      </c>
      <c r="T4411" t="s">
        <v>183</v>
      </c>
      <c r="U4411">
        <v>40</v>
      </c>
      <c r="V4411" s="1">
        <v>33970</v>
      </c>
      <c r="W4411" s="1">
        <v>33970</v>
      </c>
      <c r="X4411" s="1">
        <v>33970</v>
      </c>
      <c r="Y4411" s="1">
        <v>48580</v>
      </c>
      <c r="Z4411" t="s">
        <v>51</v>
      </c>
      <c r="AB4411" t="s">
        <v>54</v>
      </c>
      <c r="AC4411">
        <v>1</v>
      </c>
      <c r="AE4411" t="s">
        <v>2108</v>
      </c>
      <c r="AF4411">
        <v>0</v>
      </c>
      <c r="AG4411" s="1">
        <v>44441</v>
      </c>
      <c r="AH4411" s="1">
        <v>44441</v>
      </c>
      <c r="AI4411" s="1">
        <v>44441</v>
      </c>
      <c r="AJ4411" s="1">
        <v>44441</v>
      </c>
      <c r="AK4411" t="s">
        <v>51</v>
      </c>
      <c r="AN4411">
        <v>0</v>
      </c>
      <c r="AO4411" t="s">
        <v>54</v>
      </c>
      <c r="AP4411" t="s">
        <v>53</v>
      </c>
      <c r="AQ4411">
        <v>0</v>
      </c>
      <c r="AR4411" t="s">
        <v>53</v>
      </c>
      <c r="AS4411">
        <v>0</v>
      </c>
      <c r="AT4411">
        <v>0</v>
      </c>
      <c r="AW4411" t="s">
        <v>172</v>
      </c>
      <c r="AX4411">
        <v>15</v>
      </c>
      <c r="AY4411" s="1">
        <v>44441</v>
      </c>
      <c r="AZ4411" s="1">
        <v>44441</v>
      </c>
      <c r="BA4411" s="1">
        <v>44441</v>
      </c>
      <c r="BB4411" s="1">
        <v>49920</v>
      </c>
      <c r="BC4411" t="s">
        <v>51</v>
      </c>
      <c r="BE4411" t="s">
        <v>54</v>
      </c>
      <c r="BF4411">
        <v>40</v>
      </c>
      <c r="BG4411">
        <v>0</v>
      </c>
      <c r="BH4411" t="s">
        <v>145</v>
      </c>
      <c r="CC4411" t="s">
        <v>432</v>
      </c>
      <c r="CD4411">
        <v>85000</v>
      </c>
      <c r="CE4411" s="1">
        <v>44441</v>
      </c>
      <c r="CF4411" s="1">
        <v>44441</v>
      </c>
      <c r="CG4411" s="1">
        <v>44441</v>
      </c>
      <c r="CH4411" s="1">
        <v>52029</v>
      </c>
      <c r="CI4411" t="s">
        <v>51</v>
      </c>
      <c r="CK4411" t="s">
        <v>78</v>
      </c>
      <c r="CM4411" t="s">
        <v>54</v>
      </c>
      <c r="CN4411" t="s">
        <v>174</v>
      </c>
      <c r="CO4411" t="s">
        <v>86</v>
      </c>
      <c r="CR4411">
        <v>24</v>
      </c>
      <c r="CS4411">
        <v>0</v>
      </c>
      <c r="CT4411">
        <v>0</v>
      </c>
      <c r="CU4411">
        <v>0</v>
      </c>
    </row>
    <row r="4412" spans="1:99" x14ac:dyDescent="0.2">
      <c r="A4412" t="s">
        <v>112</v>
      </c>
      <c r="B4412" t="s">
        <v>113</v>
      </c>
      <c r="C4412" t="s">
        <v>114</v>
      </c>
      <c r="D4412" t="s">
        <v>657</v>
      </c>
      <c r="F4412" t="str">
        <f>"253262"</f>
        <v>253262</v>
      </c>
      <c r="G4412" t="s">
        <v>49</v>
      </c>
      <c r="K4412" t="s">
        <v>51</v>
      </c>
      <c r="L4412" t="s">
        <v>52</v>
      </c>
      <c r="M4412">
        <v>136852.4</v>
      </c>
      <c r="N4412">
        <v>472276.24</v>
      </c>
      <c r="O4412" t="s">
        <v>53</v>
      </c>
      <c r="P4412" t="s">
        <v>54</v>
      </c>
      <c r="Q4412" t="s">
        <v>55</v>
      </c>
      <c r="T4412" t="s">
        <v>431</v>
      </c>
      <c r="U4412">
        <v>40</v>
      </c>
      <c r="V4412" s="1">
        <v>36342</v>
      </c>
      <c r="W4412" s="1">
        <v>36342</v>
      </c>
      <c r="X4412" s="1">
        <v>36342</v>
      </c>
      <c r="Y4412" s="1">
        <v>50952</v>
      </c>
      <c r="Z4412" t="s">
        <v>51</v>
      </c>
      <c r="AB4412" t="s">
        <v>54</v>
      </c>
      <c r="AC4412">
        <v>1</v>
      </c>
      <c r="AE4412" t="s">
        <v>79</v>
      </c>
      <c r="AF4412">
        <v>20</v>
      </c>
      <c r="AG4412" s="1">
        <v>36342</v>
      </c>
      <c r="AH4412" s="1">
        <v>36342</v>
      </c>
      <c r="AI4412" s="1">
        <v>36342</v>
      </c>
      <c r="AJ4412" s="1">
        <v>43647</v>
      </c>
      <c r="AK4412" t="s">
        <v>51</v>
      </c>
      <c r="AN4412">
        <v>0</v>
      </c>
      <c r="AO4412" t="s">
        <v>54</v>
      </c>
      <c r="AP4412" t="s">
        <v>53</v>
      </c>
      <c r="AQ4412">
        <v>0</v>
      </c>
      <c r="AR4412" t="s">
        <v>145</v>
      </c>
      <c r="AS4412">
        <v>0</v>
      </c>
      <c r="AT4412">
        <v>0</v>
      </c>
      <c r="AW4412" t="s">
        <v>79</v>
      </c>
      <c r="AX4412">
        <v>20</v>
      </c>
      <c r="AY4412" s="1">
        <v>36342</v>
      </c>
      <c r="AZ4412" s="1">
        <v>36342</v>
      </c>
      <c r="BA4412" s="1">
        <v>36342</v>
      </c>
      <c r="BB4412" s="1">
        <v>43647</v>
      </c>
      <c r="BC4412" t="s">
        <v>51</v>
      </c>
      <c r="BE4412" t="s">
        <v>54</v>
      </c>
      <c r="BF4412">
        <v>5</v>
      </c>
      <c r="BG4412">
        <v>0</v>
      </c>
      <c r="BH4412" t="s">
        <v>53</v>
      </c>
      <c r="BK4412" t="s">
        <v>361</v>
      </c>
      <c r="BL4412">
        <v>21500</v>
      </c>
      <c r="BM4412" s="1">
        <v>44942</v>
      </c>
      <c r="BN4412" s="1">
        <v>44942</v>
      </c>
      <c r="BO4412" s="1">
        <v>44942</v>
      </c>
      <c r="BP4412" s="1">
        <v>46761</v>
      </c>
      <c r="BQ4412" t="s">
        <v>51</v>
      </c>
      <c r="BS4412" t="s">
        <v>60</v>
      </c>
      <c r="BT4412" t="s">
        <v>54</v>
      </c>
      <c r="BU4412" t="s">
        <v>362</v>
      </c>
      <c r="BV4412" t="s">
        <v>354</v>
      </c>
      <c r="BX4412">
        <v>70</v>
      </c>
      <c r="BY4412">
        <v>0</v>
      </c>
      <c r="BZ4412">
        <v>0</v>
      </c>
    </row>
    <row r="4413" spans="1:99" x14ac:dyDescent="0.2">
      <c r="A4413" t="s">
        <v>112</v>
      </c>
      <c r="B4413" t="s">
        <v>113</v>
      </c>
      <c r="C4413" t="s">
        <v>114</v>
      </c>
      <c r="D4413" t="s">
        <v>2106</v>
      </c>
      <c r="F4413" t="str">
        <f>"253263"</f>
        <v>253263</v>
      </c>
      <c r="G4413" t="s">
        <v>49</v>
      </c>
      <c r="K4413" t="s">
        <v>51</v>
      </c>
      <c r="L4413" t="s">
        <v>52</v>
      </c>
      <c r="M4413">
        <v>136940.13399999999</v>
      </c>
      <c r="N4413">
        <v>472218.28899999999</v>
      </c>
      <c r="O4413" t="s">
        <v>53</v>
      </c>
      <c r="P4413" t="s">
        <v>54</v>
      </c>
      <c r="Q4413" t="s">
        <v>55</v>
      </c>
      <c r="T4413" t="s">
        <v>2107</v>
      </c>
      <c r="U4413">
        <v>40</v>
      </c>
      <c r="V4413" s="1">
        <v>35796</v>
      </c>
      <c r="W4413" s="1">
        <v>35796</v>
      </c>
      <c r="X4413" s="1">
        <v>35796</v>
      </c>
      <c r="Y4413" s="1">
        <v>50406</v>
      </c>
      <c r="Z4413" t="s">
        <v>51</v>
      </c>
      <c r="AB4413" t="s">
        <v>54</v>
      </c>
      <c r="AC4413">
        <v>1</v>
      </c>
      <c r="AE4413" t="s">
        <v>559</v>
      </c>
      <c r="AF4413">
        <v>20</v>
      </c>
      <c r="AG4413" s="1">
        <v>35796</v>
      </c>
      <c r="AH4413" s="1">
        <v>35796</v>
      </c>
      <c r="AI4413" s="1">
        <v>35796</v>
      </c>
      <c r="AJ4413" s="1">
        <v>43101</v>
      </c>
      <c r="AK4413" t="s">
        <v>51</v>
      </c>
      <c r="AN4413">
        <v>0</v>
      </c>
      <c r="AO4413" t="s">
        <v>54</v>
      </c>
      <c r="AP4413" t="s">
        <v>53</v>
      </c>
      <c r="AQ4413">
        <v>0</v>
      </c>
      <c r="AR4413" t="s">
        <v>53</v>
      </c>
      <c r="AS4413">
        <v>0</v>
      </c>
      <c r="AT4413">
        <v>0</v>
      </c>
      <c r="AW4413" t="s">
        <v>58</v>
      </c>
      <c r="AX4413">
        <v>20</v>
      </c>
      <c r="AY4413" s="1">
        <v>35796</v>
      </c>
      <c r="AZ4413" s="1">
        <v>35796</v>
      </c>
      <c r="BA4413" s="1">
        <v>35796</v>
      </c>
      <c r="BB4413" s="1">
        <v>43101</v>
      </c>
      <c r="BC4413" t="s">
        <v>51</v>
      </c>
      <c r="BE4413" t="s">
        <v>54</v>
      </c>
      <c r="BF4413">
        <v>2</v>
      </c>
      <c r="BG4413">
        <v>0</v>
      </c>
      <c r="BH4413" t="s">
        <v>53</v>
      </c>
      <c r="BI4413">
        <v>1</v>
      </c>
      <c r="BK4413" t="s">
        <v>1904</v>
      </c>
      <c r="BL4413">
        <v>21500</v>
      </c>
      <c r="BM4413" s="1">
        <v>41456</v>
      </c>
      <c r="BN4413" s="1">
        <v>41456</v>
      </c>
      <c r="BO4413" s="1">
        <v>41456</v>
      </c>
      <c r="BP4413" s="1">
        <v>43267</v>
      </c>
      <c r="BQ4413" t="s">
        <v>51</v>
      </c>
      <c r="BS4413" t="s">
        <v>60</v>
      </c>
      <c r="BT4413" t="s">
        <v>54</v>
      </c>
      <c r="BU4413" t="s">
        <v>362</v>
      </c>
      <c r="BV4413" t="s">
        <v>354</v>
      </c>
      <c r="BX4413">
        <v>50</v>
      </c>
      <c r="BY4413">
        <v>0</v>
      </c>
      <c r="BZ4413">
        <v>0</v>
      </c>
    </row>
    <row r="4414" spans="1:99" x14ac:dyDescent="0.2">
      <c r="A4414" t="s">
        <v>112</v>
      </c>
      <c r="B4414" t="s">
        <v>113</v>
      </c>
      <c r="C4414" t="s">
        <v>114</v>
      </c>
      <c r="D4414" t="s">
        <v>2106</v>
      </c>
      <c r="F4414" t="str">
        <f>"253264"</f>
        <v>253264</v>
      </c>
      <c r="G4414" t="s">
        <v>49</v>
      </c>
      <c r="K4414" t="s">
        <v>51</v>
      </c>
      <c r="L4414" t="s">
        <v>52</v>
      </c>
      <c r="M4414">
        <v>136930.367</v>
      </c>
      <c r="N4414">
        <v>472209.39899999998</v>
      </c>
      <c r="O4414" t="s">
        <v>53</v>
      </c>
      <c r="P4414" t="s">
        <v>54</v>
      </c>
      <c r="Q4414" t="s">
        <v>55</v>
      </c>
      <c r="T4414" t="s">
        <v>431</v>
      </c>
      <c r="U4414">
        <v>40</v>
      </c>
      <c r="V4414" s="1">
        <v>35796</v>
      </c>
      <c r="W4414" s="1">
        <v>35796</v>
      </c>
      <c r="X4414" s="1">
        <v>35796</v>
      </c>
      <c r="Y4414" s="1">
        <v>50406</v>
      </c>
      <c r="Z4414" t="s">
        <v>51</v>
      </c>
      <c r="AB4414" t="s">
        <v>54</v>
      </c>
      <c r="AC4414">
        <v>1</v>
      </c>
      <c r="AE4414" t="s">
        <v>79</v>
      </c>
      <c r="AF4414">
        <v>20</v>
      </c>
      <c r="AG4414" s="1">
        <v>35796</v>
      </c>
      <c r="AH4414" s="1">
        <v>35796</v>
      </c>
      <c r="AI4414" s="1">
        <v>35796</v>
      </c>
      <c r="AJ4414" s="1">
        <v>43101</v>
      </c>
      <c r="AK4414" t="s">
        <v>51</v>
      </c>
      <c r="AN4414">
        <v>0</v>
      </c>
      <c r="AO4414" t="s">
        <v>54</v>
      </c>
      <c r="AP4414" t="s">
        <v>53</v>
      </c>
      <c r="AQ4414">
        <v>0</v>
      </c>
      <c r="AR4414" t="s">
        <v>145</v>
      </c>
      <c r="AS4414">
        <v>0</v>
      </c>
      <c r="AT4414">
        <v>0</v>
      </c>
      <c r="AW4414" t="s">
        <v>79</v>
      </c>
      <c r="AX4414">
        <v>20</v>
      </c>
      <c r="AY4414" s="1">
        <v>35796</v>
      </c>
      <c r="AZ4414" s="1">
        <v>35796</v>
      </c>
      <c r="BA4414" s="1">
        <v>35796</v>
      </c>
      <c r="BB4414" s="1">
        <v>43101</v>
      </c>
      <c r="BC4414" t="s">
        <v>51</v>
      </c>
      <c r="BE4414" t="s">
        <v>54</v>
      </c>
      <c r="BF4414">
        <v>5</v>
      </c>
      <c r="BG4414">
        <v>0</v>
      </c>
      <c r="BH4414" t="s">
        <v>53</v>
      </c>
      <c r="BK4414" t="s">
        <v>59</v>
      </c>
      <c r="BL4414">
        <v>14000</v>
      </c>
      <c r="BM4414" s="1">
        <v>42917</v>
      </c>
      <c r="BN4414" s="1">
        <v>42917</v>
      </c>
      <c r="BO4414" s="1">
        <v>42917</v>
      </c>
      <c r="BP4414" s="1">
        <v>44117</v>
      </c>
      <c r="BQ4414" t="s">
        <v>51</v>
      </c>
      <c r="BS4414" t="s">
        <v>60</v>
      </c>
      <c r="BT4414" t="s">
        <v>54</v>
      </c>
      <c r="BU4414" t="s">
        <v>61</v>
      </c>
      <c r="BV4414" t="s">
        <v>62</v>
      </c>
      <c r="BX4414">
        <v>24</v>
      </c>
      <c r="BY4414">
        <v>0</v>
      </c>
      <c r="BZ4414">
        <v>0</v>
      </c>
    </row>
    <row r="4415" spans="1:99" x14ac:dyDescent="0.2">
      <c r="A4415" t="s">
        <v>112</v>
      </c>
      <c r="B4415" t="s">
        <v>113</v>
      </c>
      <c r="C4415" t="s">
        <v>114</v>
      </c>
      <c r="D4415" t="s">
        <v>2066</v>
      </c>
      <c r="F4415" t="str">
        <f>"253266"</f>
        <v>253266</v>
      </c>
      <c r="G4415" t="s">
        <v>49</v>
      </c>
      <c r="K4415" t="s">
        <v>51</v>
      </c>
      <c r="L4415" t="s">
        <v>52</v>
      </c>
      <c r="M4415">
        <v>136860.41</v>
      </c>
      <c r="N4415">
        <v>472313.56</v>
      </c>
      <c r="O4415" t="s">
        <v>53</v>
      </c>
      <c r="P4415" t="s">
        <v>54</v>
      </c>
      <c r="Q4415" t="s">
        <v>55</v>
      </c>
      <c r="T4415" t="s">
        <v>431</v>
      </c>
      <c r="U4415">
        <v>40</v>
      </c>
      <c r="V4415" s="1">
        <v>29221</v>
      </c>
      <c r="W4415" s="1">
        <v>29221</v>
      </c>
      <c r="X4415" s="1">
        <v>29221</v>
      </c>
      <c r="Y4415" s="1">
        <v>43831</v>
      </c>
      <c r="Z4415" t="s">
        <v>51</v>
      </c>
      <c r="AB4415" t="s">
        <v>54</v>
      </c>
      <c r="AC4415">
        <v>1</v>
      </c>
      <c r="AE4415" t="s">
        <v>79</v>
      </c>
      <c r="AF4415">
        <v>20</v>
      </c>
      <c r="AG4415" s="1">
        <v>34700</v>
      </c>
      <c r="AH4415" s="1">
        <v>34700</v>
      </c>
      <c r="AI4415" s="1">
        <v>34700</v>
      </c>
      <c r="AJ4415" s="1">
        <v>42005</v>
      </c>
      <c r="AK4415" t="s">
        <v>51</v>
      </c>
      <c r="AN4415">
        <v>0</v>
      </c>
      <c r="AO4415" t="s">
        <v>54</v>
      </c>
      <c r="AP4415" t="s">
        <v>53</v>
      </c>
      <c r="AQ4415">
        <v>0</v>
      </c>
      <c r="AR4415" t="s">
        <v>145</v>
      </c>
      <c r="AS4415">
        <v>0</v>
      </c>
      <c r="AT4415">
        <v>0</v>
      </c>
      <c r="AW4415" t="s">
        <v>79</v>
      </c>
      <c r="AX4415">
        <v>20</v>
      </c>
      <c r="AY4415" s="1">
        <v>34700</v>
      </c>
      <c r="AZ4415" s="1">
        <v>34700</v>
      </c>
      <c r="BA4415" s="1">
        <v>34700</v>
      </c>
      <c r="BB4415" s="1">
        <v>42005</v>
      </c>
      <c r="BC4415" t="s">
        <v>51</v>
      </c>
      <c r="BE4415" t="s">
        <v>54</v>
      </c>
      <c r="BF4415">
        <v>5</v>
      </c>
      <c r="BG4415">
        <v>0</v>
      </c>
      <c r="BH4415" t="s">
        <v>53</v>
      </c>
      <c r="BK4415" t="s">
        <v>146</v>
      </c>
      <c r="BL4415">
        <v>14000</v>
      </c>
      <c r="BM4415" s="1">
        <v>43787</v>
      </c>
      <c r="BN4415" s="1">
        <v>43787</v>
      </c>
      <c r="BO4415" s="1">
        <v>43787</v>
      </c>
      <c r="BP4415" s="1">
        <v>44946</v>
      </c>
      <c r="BQ4415" t="s">
        <v>51</v>
      </c>
      <c r="BS4415" t="s">
        <v>60</v>
      </c>
      <c r="BT4415" t="s">
        <v>54</v>
      </c>
      <c r="BU4415" t="s">
        <v>61</v>
      </c>
      <c r="BV4415" t="s">
        <v>62</v>
      </c>
      <c r="BX4415">
        <v>24</v>
      </c>
      <c r="BY4415">
        <v>0</v>
      </c>
      <c r="BZ4415">
        <v>0</v>
      </c>
    </row>
    <row r="4416" spans="1:99" x14ac:dyDescent="0.2">
      <c r="A4416" t="s">
        <v>112</v>
      </c>
      <c r="B4416" t="s">
        <v>113</v>
      </c>
      <c r="C4416" t="s">
        <v>114</v>
      </c>
      <c r="D4416" t="s">
        <v>2106</v>
      </c>
      <c r="F4416" t="str">
        <f>"??251436"</f>
        <v>??251436</v>
      </c>
      <c r="G4416" t="s">
        <v>49</v>
      </c>
      <c r="K4416" t="s">
        <v>51</v>
      </c>
      <c r="L4416" t="s">
        <v>52</v>
      </c>
      <c r="M4416">
        <v>136948.75</v>
      </c>
      <c r="N4416">
        <v>472261.13</v>
      </c>
      <c r="O4416" t="s">
        <v>53</v>
      </c>
      <c r="P4416" t="s">
        <v>54</v>
      </c>
      <c r="Q4416" t="s">
        <v>55</v>
      </c>
      <c r="T4416" t="s">
        <v>431</v>
      </c>
      <c r="U4416">
        <v>40</v>
      </c>
      <c r="V4416" s="1">
        <v>35796</v>
      </c>
      <c r="W4416" s="1">
        <v>35796</v>
      </c>
      <c r="X4416" s="1">
        <v>35796</v>
      </c>
      <c r="Y4416" s="1">
        <v>50406</v>
      </c>
      <c r="Z4416" t="s">
        <v>51</v>
      </c>
      <c r="AB4416" t="s">
        <v>54</v>
      </c>
      <c r="AC4416">
        <v>1</v>
      </c>
      <c r="AE4416" t="s">
        <v>79</v>
      </c>
      <c r="AF4416">
        <v>20</v>
      </c>
      <c r="AG4416" s="1">
        <v>35796</v>
      </c>
      <c r="AH4416" s="1">
        <v>35796</v>
      </c>
      <c r="AI4416" s="1">
        <v>35796</v>
      </c>
      <c r="AJ4416" s="1">
        <v>43101</v>
      </c>
      <c r="AK4416" t="s">
        <v>51</v>
      </c>
      <c r="AN4416">
        <v>0</v>
      </c>
      <c r="AO4416" t="s">
        <v>54</v>
      </c>
      <c r="AP4416" t="s">
        <v>53</v>
      </c>
      <c r="AQ4416">
        <v>0</v>
      </c>
      <c r="AR4416" t="s">
        <v>145</v>
      </c>
      <c r="AS4416">
        <v>0</v>
      </c>
      <c r="AT4416">
        <v>0</v>
      </c>
      <c r="AW4416" t="s">
        <v>79</v>
      </c>
      <c r="AX4416">
        <v>20</v>
      </c>
      <c r="AY4416" s="1">
        <v>35796</v>
      </c>
      <c r="AZ4416" s="1">
        <v>35796</v>
      </c>
      <c r="BA4416" s="1">
        <v>35796</v>
      </c>
      <c r="BB4416" s="1">
        <v>43101</v>
      </c>
      <c r="BC4416" t="s">
        <v>51</v>
      </c>
      <c r="BE4416" t="s">
        <v>54</v>
      </c>
      <c r="BF4416">
        <v>5</v>
      </c>
      <c r="BG4416">
        <v>0</v>
      </c>
      <c r="BH4416" t="s">
        <v>53</v>
      </c>
      <c r="BK4416" t="s">
        <v>59</v>
      </c>
      <c r="BL4416">
        <v>14000</v>
      </c>
      <c r="BM4416" s="1">
        <v>42917</v>
      </c>
      <c r="BN4416" s="1">
        <v>42917</v>
      </c>
      <c r="BO4416" s="1">
        <v>42917</v>
      </c>
      <c r="BP4416" s="1">
        <v>44117</v>
      </c>
      <c r="BQ4416" t="s">
        <v>51</v>
      </c>
      <c r="BS4416" t="s">
        <v>60</v>
      </c>
      <c r="BT4416" t="s">
        <v>54</v>
      </c>
      <c r="BU4416" t="s">
        <v>61</v>
      </c>
      <c r="BV4416" t="s">
        <v>62</v>
      </c>
      <c r="BX4416">
        <v>24</v>
      </c>
      <c r="BY4416">
        <v>0</v>
      </c>
      <c r="BZ4416">
        <v>0</v>
      </c>
    </row>
    <row r="4417" spans="1:78" x14ac:dyDescent="0.2">
      <c r="A4417" t="s">
        <v>112</v>
      </c>
      <c r="B4417" t="s">
        <v>113</v>
      </c>
      <c r="C4417" t="s">
        <v>114</v>
      </c>
      <c r="D4417" t="s">
        <v>2111</v>
      </c>
      <c r="F4417" t="str">
        <f>"?10"</f>
        <v>?10</v>
      </c>
      <c r="G4417" t="s">
        <v>49</v>
      </c>
      <c r="K4417" t="s">
        <v>427</v>
      </c>
      <c r="L4417" t="s">
        <v>52</v>
      </c>
      <c r="M4417">
        <v>137262.04</v>
      </c>
      <c r="N4417">
        <v>474626.82</v>
      </c>
      <c r="O4417" t="s">
        <v>53</v>
      </c>
      <c r="P4417" t="s">
        <v>54</v>
      </c>
      <c r="AP4417" t="s">
        <v>53</v>
      </c>
      <c r="AR4417" t="s">
        <v>53</v>
      </c>
      <c r="BH4417" t="s">
        <v>53</v>
      </c>
    </row>
    <row r="4418" spans="1:78" x14ac:dyDescent="0.2">
      <c r="A4418" t="s">
        <v>112</v>
      </c>
      <c r="B4418" t="s">
        <v>113</v>
      </c>
      <c r="C4418" t="s">
        <v>114</v>
      </c>
      <c r="D4418" t="s">
        <v>2111</v>
      </c>
      <c r="F4418" t="str">
        <f>"?11"</f>
        <v>?11</v>
      </c>
      <c r="G4418" t="s">
        <v>49</v>
      </c>
      <c r="K4418" t="s">
        <v>427</v>
      </c>
      <c r="L4418" t="s">
        <v>52</v>
      </c>
      <c r="M4418">
        <v>137227.68</v>
      </c>
      <c r="N4418">
        <v>474627.33</v>
      </c>
      <c r="O4418" t="s">
        <v>53</v>
      </c>
      <c r="P4418" t="s">
        <v>54</v>
      </c>
      <c r="AP4418" t="s">
        <v>53</v>
      </c>
      <c r="AR4418" t="s">
        <v>53</v>
      </c>
      <c r="BH4418" t="s">
        <v>53</v>
      </c>
    </row>
    <row r="4419" spans="1:78" x14ac:dyDescent="0.2">
      <c r="A4419" t="s">
        <v>112</v>
      </c>
      <c r="B4419" t="s">
        <v>113</v>
      </c>
      <c r="C4419" t="s">
        <v>114</v>
      </c>
      <c r="D4419" t="s">
        <v>2066</v>
      </c>
      <c r="F4419" t="str">
        <f>"251336"</f>
        <v>251336</v>
      </c>
      <c r="G4419" t="s">
        <v>49</v>
      </c>
      <c r="K4419" t="s">
        <v>51</v>
      </c>
      <c r="L4419" t="s">
        <v>52</v>
      </c>
      <c r="M4419">
        <v>136835.82500000001</v>
      </c>
      <c r="N4419">
        <v>473448.87199999997</v>
      </c>
      <c r="O4419" t="s">
        <v>53</v>
      </c>
      <c r="P4419" t="s">
        <v>54</v>
      </c>
      <c r="Q4419" t="s">
        <v>55</v>
      </c>
      <c r="T4419" t="s">
        <v>269</v>
      </c>
      <c r="U4419">
        <v>40</v>
      </c>
      <c r="V4419" s="1">
        <v>42552</v>
      </c>
      <c r="W4419" s="1">
        <v>42552</v>
      </c>
      <c r="X4419" s="1">
        <v>42552</v>
      </c>
      <c r="Y4419" s="1">
        <v>57162</v>
      </c>
      <c r="Z4419" t="s">
        <v>51</v>
      </c>
      <c r="AB4419" t="s">
        <v>54</v>
      </c>
      <c r="AC4419">
        <v>1</v>
      </c>
      <c r="AE4419" t="s">
        <v>1952</v>
      </c>
      <c r="AF4419">
        <v>20</v>
      </c>
      <c r="AG4419" s="1">
        <v>42552</v>
      </c>
      <c r="AH4419" s="1">
        <v>42552</v>
      </c>
      <c r="AI4419" s="1">
        <v>42552</v>
      </c>
      <c r="AJ4419" s="1">
        <v>49857</v>
      </c>
      <c r="AK4419" t="s">
        <v>51</v>
      </c>
      <c r="AN4419">
        <v>0</v>
      </c>
      <c r="AO4419" t="s">
        <v>54</v>
      </c>
      <c r="AP4419" t="s">
        <v>53</v>
      </c>
      <c r="AQ4419">
        <v>0</v>
      </c>
      <c r="AR4419" t="s">
        <v>53</v>
      </c>
      <c r="AS4419">
        <v>0</v>
      </c>
      <c r="AT4419">
        <v>0</v>
      </c>
      <c r="AW4419" t="s">
        <v>58</v>
      </c>
      <c r="AX4419">
        <v>20</v>
      </c>
      <c r="AY4419" s="1">
        <v>44341</v>
      </c>
      <c r="AZ4419" s="1">
        <v>44341</v>
      </c>
      <c r="BA4419" s="1">
        <v>44341</v>
      </c>
      <c r="BB4419" s="1">
        <v>51646</v>
      </c>
      <c r="BC4419" t="s">
        <v>51</v>
      </c>
      <c r="BE4419" t="s">
        <v>54</v>
      </c>
      <c r="BF4419">
        <v>2</v>
      </c>
      <c r="BG4419">
        <v>0</v>
      </c>
      <c r="BH4419" t="s">
        <v>53</v>
      </c>
      <c r="BK4419" t="s">
        <v>59</v>
      </c>
      <c r="BL4419">
        <v>14000</v>
      </c>
      <c r="BM4419" s="1">
        <v>44341</v>
      </c>
      <c r="BN4419" s="1">
        <v>44341</v>
      </c>
      <c r="BO4419" s="1">
        <v>44341</v>
      </c>
      <c r="BP4419" s="1">
        <v>45556</v>
      </c>
      <c r="BQ4419" t="s">
        <v>51</v>
      </c>
      <c r="BS4419" t="s">
        <v>60</v>
      </c>
      <c r="BT4419" t="s">
        <v>54</v>
      </c>
      <c r="BU4419" t="s">
        <v>61</v>
      </c>
      <c r="BV4419" t="s">
        <v>62</v>
      </c>
      <c r="BX4419">
        <v>24</v>
      </c>
      <c r="BY4419">
        <v>0</v>
      </c>
      <c r="BZ4419">
        <v>0</v>
      </c>
    </row>
    <row r="4420" spans="1:78" x14ac:dyDescent="0.2">
      <c r="A4420" t="s">
        <v>112</v>
      </c>
      <c r="B4420" t="s">
        <v>113</v>
      </c>
      <c r="C4420" t="s">
        <v>114</v>
      </c>
      <c r="D4420" t="s">
        <v>2066</v>
      </c>
      <c r="F4420" t="str">
        <f>"?112"</f>
        <v>?112</v>
      </c>
      <c r="G4420" t="s">
        <v>49</v>
      </c>
      <c r="K4420" t="s">
        <v>51</v>
      </c>
      <c r="L4420" t="s">
        <v>52</v>
      </c>
      <c r="M4420">
        <v>136846.37</v>
      </c>
      <c r="N4420">
        <v>472836.13299999997</v>
      </c>
      <c r="O4420" t="s">
        <v>53</v>
      </c>
      <c r="P4420" t="s">
        <v>54</v>
      </c>
      <c r="Q4420" t="s">
        <v>55</v>
      </c>
      <c r="T4420" t="s">
        <v>431</v>
      </c>
      <c r="U4420">
        <v>40</v>
      </c>
      <c r="V4420" s="1">
        <v>29221</v>
      </c>
      <c r="W4420" s="1">
        <v>29221</v>
      </c>
      <c r="X4420" s="1">
        <v>29221</v>
      </c>
      <c r="Y4420" s="1">
        <v>43831</v>
      </c>
      <c r="Z4420" t="s">
        <v>51</v>
      </c>
      <c r="AB4420" t="s">
        <v>54</v>
      </c>
      <c r="AC4420">
        <v>1</v>
      </c>
      <c r="AE4420" t="s">
        <v>79</v>
      </c>
      <c r="AF4420">
        <v>20</v>
      </c>
      <c r="AG4420" s="1">
        <v>34700</v>
      </c>
      <c r="AH4420" s="1">
        <v>34700</v>
      </c>
      <c r="AI4420" s="1">
        <v>34700</v>
      </c>
      <c r="AJ4420" s="1">
        <v>42005</v>
      </c>
      <c r="AK4420" t="s">
        <v>51</v>
      </c>
      <c r="AN4420">
        <v>0</v>
      </c>
      <c r="AO4420" t="s">
        <v>54</v>
      </c>
      <c r="AP4420" t="s">
        <v>53</v>
      </c>
      <c r="AQ4420">
        <v>0</v>
      </c>
      <c r="AR4420" t="s">
        <v>145</v>
      </c>
      <c r="AS4420">
        <v>0</v>
      </c>
      <c r="AT4420">
        <v>0</v>
      </c>
      <c r="AW4420" t="s">
        <v>79</v>
      </c>
      <c r="AX4420">
        <v>20</v>
      </c>
      <c r="AY4420" s="1">
        <v>34700</v>
      </c>
      <c r="AZ4420" s="1">
        <v>34700</v>
      </c>
      <c r="BA4420" s="1">
        <v>34700</v>
      </c>
      <c r="BB4420" s="1">
        <v>42005</v>
      </c>
      <c r="BC4420" t="s">
        <v>51</v>
      </c>
      <c r="BE4420" t="s">
        <v>54</v>
      </c>
      <c r="BF4420">
        <v>5</v>
      </c>
      <c r="BG4420">
        <v>0</v>
      </c>
      <c r="BH4420" t="s">
        <v>53</v>
      </c>
      <c r="BK4420" t="s">
        <v>59</v>
      </c>
      <c r="BL4420">
        <v>14000</v>
      </c>
      <c r="BM4420" s="1">
        <v>42917</v>
      </c>
      <c r="BN4420" s="1">
        <v>42917</v>
      </c>
      <c r="BO4420" s="1">
        <v>42917</v>
      </c>
      <c r="BP4420" s="1">
        <v>44117</v>
      </c>
      <c r="BQ4420" t="s">
        <v>51</v>
      </c>
      <c r="BS4420" t="s">
        <v>60</v>
      </c>
      <c r="BT4420" t="s">
        <v>54</v>
      </c>
      <c r="BU4420" t="s">
        <v>61</v>
      </c>
      <c r="BV4420" t="s">
        <v>62</v>
      </c>
      <c r="BX4420">
        <v>24</v>
      </c>
      <c r="BY4420">
        <v>0</v>
      </c>
      <c r="BZ4420">
        <v>0</v>
      </c>
    </row>
    <row r="4421" spans="1:78" x14ac:dyDescent="0.2">
      <c r="A4421" t="s">
        <v>112</v>
      </c>
      <c r="B4421" t="s">
        <v>113</v>
      </c>
      <c r="C4421" t="s">
        <v>114</v>
      </c>
      <c r="D4421" t="s">
        <v>2066</v>
      </c>
      <c r="F4421" t="str">
        <f>"?113"</f>
        <v>?113</v>
      </c>
      <c r="G4421" t="s">
        <v>49</v>
      </c>
      <c r="K4421" t="s">
        <v>51</v>
      </c>
      <c r="L4421" t="s">
        <v>52</v>
      </c>
      <c r="M4421">
        <v>136848.883</v>
      </c>
      <c r="N4421">
        <v>472765.47499999998</v>
      </c>
      <c r="O4421" t="s">
        <v>53</v>
      </c>
      <c r="P4421" t="s">
        <v>54</v>
      </c>
      <c r="Q4421" t="s">
        <v>55</v>
      </c>
      <c r="T4421" t="s">
        <v>431</v>
      </c>
      <c r="U4421">
        <v>40</v>
      </c>
      <c r="V4421" s="1">
        <v>29221</v>
      </c>
      <c r="W4421" s="1">
        <v>29221</v>
      </c>
      <c r="X4421" s="1">
        <v>29221</v>
      </c>
      <c r="Y4421" s="1">
        <v>43831</v>
      </c>
      <c r="Z4421" t="s">
        <v>51</v>
      </c>
      <c r="AB4421" t="s">
        <v>54</v>
      </c>
      <c r="AC4421">
        <v>1</v>
      </c>
      <c r="AE4421" t="s">
        <v>79</v>
      </c>
      <c r="AF4421">
        <v>20</v>
      </c>
      <c r="AG4421" s="1">
        <v>34700</v>
      </c>
      <c r="AH4421" s="1">
        <v>34700</v>
      </c>
      <c r="AI4421" s="1">
        <v>34700</v>
      </c>
      <c r="AJ4421" s="1">
        <v>42005</v>
      </c>
      <c r="AK4421" t="s">
        <v>51</v>
      </c>
      <c r="AN4421">
        <v>0</v>
      </c>
      <c r="AO4421" t="s">
        <v>54</v>
      </c>
      <c r="AP4421" t="s">
        <v>53</v>
      </c>
      <c r="AQ4421">
        <v>0</v>
      </c>
      <c r="AR4421" t="s">
        <v>145</v>
      </c>
      <c r="AS4421">
        <v>0</v>
      </c>
      <c r="AT4421">
        <v>0</v>
      </c>
      <c r="AW4421" t="s">
        <v>79</v>
      </c>
      <c r="AX4421">
        <v>20</v>
      </c>
      <c r="AY4421" s="1">
        <v>34700</v>
      </c>
      <c r="AZ4421" s="1">
        <v>34700</v>
      </c>
      <c r="BA4421" s="1">
        <v>34700</v>
      </c>
      <c r="BB4421" s="1">
        <v>42005</v>
      </c>
      <c r="BC4421" t="s">
        <v>51</v>
      </c>
      <c r="BE4421" t="s">
        <v>54</v>
      </c>
      <c r="BF4421">
        <v>5</v>
      </c>
      <c r="BG4421">
        <v>0</v>
      </c>
      <c r="BH4421" t="s">
        <v>53</v>
      </c>
      <c r="BK4421" t="s">
        <v>59</v>
      </c>
      <c r="BL4421">
        <v>14000</v>
      </c>
      <c r="BM4421" s="1">
        <v>42917</v>
      </c>
      <c r="BN4421" s="1">
        <v>42917</v>
      </c>
      <c r="BO4421" s="1">
        <v>42917</v>
      </c>
      <c r="BP4421" s="1">
        <v>44117</v>
      </c>
      <c r="BQ4421" t="s">
        <v>51</v>
      </c>
      <c r="BS4421" t="s">
        <v>60</v>
      </c>
      <c r="BT4421" t="s">
        <v>54</v>
      </c>
      <c r="BU4421" t="s">
        <v>61</v>
      </c>
      <c r="BV4421" t="s">
        <v>62</v>
      </c>
      <c r="BX4421">
        <v>24</v>
      </c>
      <c r="BY4421">
        <v>0</v>
      </c>
      <c r="BZ4421">
        <v>0</v>
      </c>
    </row>
    <row r="4422" spans="1:78" x14ac:dyDescent="0.2">
      <c r="A4422" t="s">
        <v>112</v>
      </c>
      <c r="B4422" t="s">
        <v>113</v>
      </c>
      <c r="C4422" t="s">
        <v>114</v>
      </c>
      <c r="D4422" t="s">
        <v>428</v>
      </c>
      <c r="F4422" t="str">
        <f>"?114"</f>
        <v>?114</v>
      </c>
      <c r="G4422" t="s">
        <v>49</v>
      </c>
      <c r="K4422" t="s">
        <v>51</v>
      </c>
      <c r="L4422" t="s">
        <v>52</v>
      </c>
      <c r="M4422">
        <v>136905.57999999999</v>
      </c>
      <c r="N4422">
        <v>471062.41</v>
      </c>
      <c r="O4422" t="s">
        <v>53</v>
      </c>
      <c r="P4422" t="s">
        <v>54</v>
      </c>
      <c r="Q4422" t="s">
        <v>55</v>
      </c>
      <c r="T4422" t="s">
        <v>431</v>
      </c>
      <c r="U4422">
        <v>40</v>
      </c>
      <c r="V4422" s="1">
        <v>34700</v>
      </c>
      <c r="W4422" s="1">
        <v>34700</v>
      </c>
      <c r="X4422" s="1">
        <v>34700</v>
      </c>
      <c r="Y4422" s="1">
        <v>49310</v>
      </c>
      <c r="Z4422" t="s">
        <v>51</v>
      </c>
      <c r="AB4422" t="s">
        <v>54</v>
      </c>
      <c r="AC4422">
        <v>1</v>
      </c>
      <c r="AE4422" t="s">
        <v>79</v>
      </c>
      <c r="AF4422">
        <v>20</v>
      </c>
      <c r="AG4422" s="1">
        <v>34700</v>
      </c>
      <c r="AH4422" s="1">
        <v>34700</v>
      </c>
      <c r="AI4422" s="1">
        <v>34700</v>
      </c>
      <c r="AJ4422" s="1">
        <v>42005</v>
      </c>
      <c r="AK4422" t="s">
        <v>51</v>
      </c>
      <c r="AN4422">
        <v>0</v>
      </c>
      <c r="AO4422" t="s">
        <v>54</v>
      </c>
      <c r="AP4422" t="s">
        <v>53</v>
      </c>
      <c r="AQ4422">
        <v>0</v>
      </c>
      <c r="AR4422" t="s">
        <v>145</v>
      </c>
      <c r="AS4422">
        <v>0</v>
      </c>
      <c r="AT4422">
        <v>0</v>
      </c>
      <c r="AW4422" t="s">
        <v>79</v>
      </c>
      <c r="AX4422">
        <v>20</v>
      </c>
      <c r="AY4422" s="1">
        <v>34700</v>
      </c>
      <c r="AZ4422" s="1">
        <v>34700</v>
      </c>
      <c r="BA4422" s="1">
        <v>34700</v>
      </c>
      <c r="BB4422" s="1">
        <v>42005</v>
      </c>
      <c r="BC4422" t="s">
        <v>51</v>
      </c>
      <c r="BE4422" t="s">
        <v>54</v>
      </c>
      <c r="BF4422">
        <v>5</v>
      </c>
      <c r="BG4422">
        <v>0</v>
      </c>
      <c r="BH4422" t="s">
        <v>53</v>
      </c>
      <c r="BK4422" t="s">
        <v>59</v>
      </c>
      <c r="BL4422">
        <v>14000</v>
      </c>
      <c r="BM4422" s="1">
        <v>42917</v>
      </c>
      <c r="BN4422" s="1">
        <v>42917</v>
      </c>
      <c r="BO4422" s="1">
        <v>42917</v>
      </c>
      <c r="BP4422" s="1">
        <v>44117</v>
      </c>
      <c r="BQ4422" t="s">
        <v>51</v>
      </c>
      <c r="BS4422" t="s">
        <v>60</v>
      </c>
      <c r="BT4422" t="s">
        <v>54</v>
      </c>
      <c r="BU4422" t="s">
        <v>61</v>
      </c>
      <c r="BV4422" t="s">
        <v>62</v>
      </c>
      <c r="BX4422">
        <v>24</v>
      </c>
      <c r="BY4422">
        <v>0</v>
      </c>
      <c r="BZ4422">
        <v>0</v>
      </c>
    </row>
    <row r="4423" spans="1:78" x14ac:dyDescent="0.2">
      <c r="A4423" t="s">
        <v>112</v>
      </c>
      <c r="B4423" t="s">
        <v>113</v>
      </c>
      <c r="C4423" t="s">
        <v>114</v>
      </c>
      <c r="D4423" t="s">
        <v>428</v>
      </c>
      <c r="F4423" t="str">
        <f>"?115"</f>
        <v>?115</v>
      </c>
      <c r="G4423" t="s">
        <v>49</v>
      </c>
      <c r="K4423" t="s">
        <v>51</v>
      </c>
      <c r="L4423" t="s">
        <v>52</v>
      </c>
      <c r="M4423">
        <v>136908.20000000001</v>
      </c>
      <c r="N4423">
        <v>471084.69</v>
      </c>
      <c r="O4423" t="s">
        <v>53</v>
      </c>
      <c r="P4423" t="s">
        <v>54</v>
      </c>
      <c r="Q4423" t="s">
        <v>55</v>
      </c>
      <c r="T4423" t="s">
        <v>431</v>
      </c>
      <c r="U4423">
        <v>40</v>
      </c>
      <c r="V4423" s="1">
        <v>34700</v>
      </c>
      <c r="W4423" s="1">
        <v>34700</v>
      </c>
      <c r="X4423" s="1">
        <v>34700</v>
      </c>
      <c r="Y4423" s="1">
        <v>49310</v>
      </c>
      <c r="Z4423" t="s">
        <v>51</v>
      </c>
      <c r="AB4423" t="s">
        <v>54</v>
      </c>
      <c r="AC4423">
        <v>1</v>
      </c>
      <c r="AE4423" t="s">
        <v>79</v>
      </c>
      <c r="AF4423">
        <v>20</v>
      </c>
      <c r="AG4423" s="1">
        <v>34700</v>
      </c>
      <c r="AH4423" s="1">
        <v>34700</v>
      </c>
      <c r="AI4423" s="1">
        <v>34700</v>
      </c>
      <c r="AJ4423" s="1">
        <v>42005</v>
      </c>
      <c r="AK4423" t="s">
        <v>51</v>
      </c>
      <c r="AN4423">
        <v>0</v>
      </c>
      <c r="AO4423" t="s">
        <v>54</v>
      </c>
      <c r="AP4423" t="s">
        <v>53</v>
      </c>
      <c r="AQ4423">
        <v>0</v>
      </c>
      <c r="AR4423" t="s">
        <v>145</v>
      </c>
      <c r="AS4423">
        <v>0</v>
      </c>
      <c r="AT4423">
        <v>0</v>
      </c>
      <c r="AW4423" t="s">
        <v>79</v>
      </c>
      <c r="AX4423">
        <v>20</v>
      </c>
      <c r="AY4423" s="1">
        <v>34700</v>
      </c>
      <c r="AZ4423" s="1">
        <v>34700</v>
      </c>
      <c r="BA4423" s="1">
        <v>34700</v>
      </c>
      <c r="BB4423" s="1">
        <v>42005</v>
      </c>
      <c r="BC4423" t="s">
        <v>51</v>
      </c>
      <c r="BE4423" t="s">
        <v>54</v>
      </c>
      <c r="BF4423">
        <v>5</v>
      </c>
      <c r="BG4423">
        <v>0</v>
      </c>
      <c r="BH4423" t="s">
        <v>53</v>
      </c>
      <c r="BK4423" t="s">
        <v>59</v>
      </c>
      <c r="BL4423">
        <v>14000</v>
      </c>
      <c r="BM4423" s="1">
        <v>42917</v>
      </c>
      <c r="BN4423" s="1">
        <v>42917</v>
      </c>
      <c r="BO4423" s="1">
        <v>42917</v>
      </c>
      <c r="BP4423" s="1">
        <v>44117</v>
      </c>
      <c r="BQ4423" t="s">
        <v>51</v>
      </c>
      <c r="BS4423" t="s">
        <v>60</v>
      </c>
      <c r="BT4423" t="s">
        <v>54</v>
      </c>
      <c r="BU4423" t="s">
        <v>61</v>
      </c>
      <c r="BV4423" t="s">
        <v>62</v>
      </c>
      <c r="BX4423">
        <v>24</v>
      </c>
      <c r="BY4423">
        <v>0</v>
      </c>
      <c r="BZ4423">
        <v>0</v>
      </c>
    </row>
    <row r="4424" spans="1:78" x14ac:dyDescent="0.2">
      <c r="A4424" t="s">
        <v>112</v>
      </c>
      <c r="B4424" t="s">
        <v>113</v>
      </c>
      <c r="C4424" t="s">
        <v>114</v>
      </c>
      <c r="D4424" t="s">
        <v>428</v>
      </c>
      <c r="F4424" t="str">
        <f>"?116"</f>
        <v>?116</v>
      </c>
      <c r="G4424" t="s">
        <v>49</v>
      </c>
      <c r="K4424" t="s">
        <v>51</v>
      </c>
      <c r="L4424" t="s">
        <v>52</v>
      </c>
      <c r="M4424">
        <v>136906.51999999999</v>
      </c>
      <c r="N4424">
        <v>471139.19</v>
      </c>
      <c r="O4424" t="s">
        <v>53</v>
      </c>
      <c r="P4424" t="s">
        <v>54</v>
      </c>
      <c r="Q4424" t="s">
        <v>55</v>
      </c>
      <c r="T4424" t="s">
        <v>431</v>
      </c>
      <c r="U4424">
        <v>40</v>
      </c>
      <c r="V4424" s="1">
        <v>34700</v>
      </c>
      <c r="W4424" s="1">
        <v>34700</v>
      </c>
      <c r="X4424" s="1">
        <v>34700</v>
      </c>
      <c r="Y4424" s="1">
        <v>49310</v>
      </c>
      <c r="Z4424" t="s">
        <v>51</v>
      </c>
      <c r="AB4424" t="s">
        <v>54</v>
      </c>
      <c r="AC4424">
        <v>1</v>
      </c>
      <c r="AE4424" t="s">
        <v>79</v>
      </c>
      <c r="AF4424">
        <v>20</v>
      </c>
      <c r="AG4424" s="1">
        <v>34700</v>
      </c>
      <c r="AH4424" s="1">
        <v>34700</v>
      </c>
      <c r="AI4424" s="1">
        <v>34700</v>
      </c>
      <c r="AJ4424" s="1">
        <v>42005</v>
      </c>
      <c r="AK4424" t="s">
        <v>51</v>
      </c>
      <c r="AN4424">
        <v>0</v>
      </c>
      <c r="AO4424" t="s">
        <v>54</v>
      </c>
      <c r="AP4424" t="s">
        <v>53</v>
      </c>
      <c r="AQ4424">
        <v>0</v>
      </c>
      <c r="AR4424" t="s">
        <v>145</v>
      </c>
      <c r="AS4424">
        <v>0</v>
      </c>
      <c r="AT4424">
        <v>0</v>
      </c>
      <c r="AW4424" t="s">
        <v>79</v>
      </c>
      <c r="AX4424">
        <v>20</v>
      </c>
      <c r="AY4424" s="1">
        <v>34700</v>
      </c>
      <c r="AZ4424" s="1">
        <v>34700</v>
      </c>
      <c r="BA4424" s="1">
        <v>34700</v>
      </c>
      <c r="BB4424" s="1">
        <v>42005</v>
      </c>
      <c r="BC4424" t="s">
        <v>51</v>
      </c>
      <c r="BE4424" t="s">
        <v>54</v>
      </c>
      <c r="BF4424">
        <v>5</v>
      </c>
      <c r="BG4424">
        <v>0</v>
      </c>
      <c r="BH4424" t="s">
        <v>53</v>
      </c>
      <c r="BK4424" t="s">
        <v>59</v>
      </c>
      <c r="BL4424">
        <v>14000</v>
      </c>
      <c r="BM4424" s="1">
        <v>42917</v>
      </c>
      <c r="BN4424" s="1">
        <v>42917</v>
      </c>
      <c r="BO4424" s="1">
        <v>42917</v>
      </c>
      <c r="BP4424" s="1">
        <v>44117</v>
      </c>
      <c r="BQ4424" t="s">
        <v>51</v>
      </c>
      <c r="BS4424" t="s">
        <v>60</v>
      </c>
      <c r="BT4424" t="s">
        <v>54</v>
      </c>
      <c r="BU4424" t="s">
        <v>61</v>
      </c>
      <c r="BV4424" t="s">
        <v>62</v>
      </c>
      <c r="BX4424">
        <v>24</v>
      </c>
      <c r="BY4424">
        <v>0</v>
      </c>
      <c r="BZ4424">
        <v>0</v>
      </c>
    </row>
    <row r="4425" spans="1:78" x14ac:dyDescent="0.2">
      <c r="A4425" t="s">
        <v>112</v>
      </c>
      <c r="B4425" t="s">
        <v>113</v>
      </c>
      <c r="C4425" t="s">
        <v>114</v>
      </c>
      <c r="D4425" t="s">
        <v>428</v>
      </c>
      <c r="F4425" t="str">
        <f>"?117"</f>
        <v>?117</v>
      </c>
      <c r="G4425" t="s">
        <v>49</v>
      </c>
      <c r="K4425" t="s">
        <v>51</v>
      </c>
      <c r="L4425" t="s">
        <v>52</v>
      </c>
      <c r="M4425">
        <v>136906.79999999999</v>
      </c>
      <c r="N4425">
        <v>471167.63</v>
      </c>
      <c r="O4425" t="s">
        <v>53</v>
      </c>
      <c r="P4425" t="s">
        <v>54</v>
      </c>
      <c r="Q4425" t="s">
        <v>55</v>
      </c>
      <c r="T4425" t="s">
        <v>431</v>
      </c>
      <c r="U4425">
        <v>40</v>
      </c>
      <c r="V4425" s="1">
        <v>34700</v>
      </c>
      <c r="W4425" s="1">
        <v>34700</v>
      </c>
      <c r="X4425" s="1">
        <v>34700</v>
      </c>
      <c r="Y4425" s="1">
        <v>49310</v>
      </c>
      <c r="Z4425" t="s">
        <v>51</v>
      </c>
      <c r="AB4425" t="s">
        <v>54</v>
      </c>
      <c r="AC4425">
        <v>1</v>
      </c>
      <c r="AE4425" t="s">
        <v>79</v>
      </c>
      <c r="AF4425">
        <v>20</v>
      </c>
      <c r="AG4425" s="1">
        <v>34700</v>
      </c>
      <c r="AH4425" s="1">
        <v>34700</v>
      </c>
      <c r="AI4425" s="1">
        <v>34700</v>
      </c>
      <c r="AJ4425" s="1">
        <v>42005</v>
      </c>
      <c r="AK4425" t="s">
        <v>51</v>
      </c>
      <c r="AN4425">
        <v>0</v>
      </c>
      <c r="AO4425" t="s">
        <v>54</v>
      </c>
      <c r="AP4425" t="s">
        <v>53</v>
      </c>
      <c r="AQ4425">
        <v>0</v>
      </c>
      <c r="AR4425" t="s">
        <v>145</v>
      </c>
      <c r="AS4425">
        <v>0</v>
      </c>
      <c r="AT4425">
        <v>0</v>
      </c>
      <c r="AW4425" t="s">
        <v>79</v>
      </c>
      <c r="AX4425">
        <v>20</v>
      </c>
      <c r="AY4425" s="1">
        <v>34700</v>
      </c>
      <c r="AZ4425" s="1">
        <v>34700</v>
      </c>
      <c r="BA4425" s="1">
        <v>34700</v>
      </c>
      <c r="BB4425" s="1">
        <v>42005</v>
      </c>
      <c r="BC4425" t="s">
        <v>51</v>
      </c>
      <c r="BE4425" t="s">
        <v>54</v>
      </c>
      <c r="BF4425">
        <v>5</v>
      </c>
      <c r="BG4425">
        <v>0</v>
      </c>
      <c r="BH4425" t="s">
        <v>53</v>
      </c>
      <c r="BK4425" t="s">
        <v>59</v>
      </c>
      <c r="BL4425">
        <v>14000</v>
      </c>
      <c r="BM4425" s="1">
        <v>42917</v>
      </c>
      <c r="BN4425" s="1">
        <v>42917</v>
      </c>
      <c r="BO4425" s="1">
        <v>42917</v>
      </c>
      <c r="BP4425" s="1">
        <v>44117</v>
      </c>
      <c r="BQ4425" t="s">
        <v>51</v>
      </c>
      <c r="BS4425" t="s">
        <v>60</v>
      </c>
      <c r="BT4425" t="s">
        <v>54</v>
      </c>
      <c r="BU4425" t="s">
        <v>61</v>
      </c>
      <c r="BV4425" t="s">
        <v>62</v>
      </c>
      <c r="BX4425">
        <v>24</v>
      </c>
      <c r="BY4425">
        <v>0</v>
      </c>
      <c r="BZ4425">
        <v>0</v>
      </c>
    </row>
    <row r="4426" spans="1:78" x14ac:dyDescent="0.2">
      <c r="A4426" t="s">
        <v>112</v>
      </c>
      <c r="B4426" t="s">
        <v>113</v>
      </c>
      <c r="C4426" t="s">
        <v>114</v>
      </c>
      <c r="D4426" t="s">
        <v>428</v>
      </c>
      <c r="F4426" t="str">
        <f>"?118"</f>
        <v>?118</v>
      </c>
      <c r="G4426" t="s">
        <v>49</v>
      </c>
      <c r="K4426" t="s">
        <v>51</v>
      </c>
      <c r="L4426" t="s">
        <v>52</v>
      </c>
      <c r="M4426">
        <v>136909.17000000001</v>
      </c>
      <c r="N4426">
        <v>471193.67</v>
      </c>
      <c r="O4426" t="s">
        <v>53</v>
      </c>
      <c r="P4426" t="s">
        <v>54</v>
      </c>
      <c r="Q4426" t="s">
        <v>55</v>
      </c>
      <c r="T4426" t="s">
        <v>431</v>
      </c>
      <c r="U4426">
        <v>40</v>
      </c>
      <c r="V4426" s="1">
        <v>34700</v>
      </c>
      <c r="W4426" s="1">
        <v>34700</v>
      </c>
      <c r="X4426" s="1">
        <v>34700</v>
      </c>
      <c r="Y4426" s="1">
        <v>49310</v>
      </c>
      <c r="Z4426" t="s">
        <v>51</v>
      </c>
      <c r="AB4426" t="s">
        <v>54</v>
      </c>
      <c r="AC4426">
        <v>1</v>
      </c>
      <c r="AE4426" t="s">
        <v>79</v>
      </c>
      <c r="AF4426">
        <v>20</v>
      </c>
      <c r="AG4426" s="1">
        <v>34700</v>
      </c>
      <c r="AH4426" s="1">
        <v>34700</v>
      </c>
      <c r="AI4426" s="1">
        <v>34700</v>
      </c>
      <c r="AJ4426" s="1">
        <v>42005</v>
      </c>
      <c r="AK4426" t="s">
        <v>51</v>
      </c>
      <c r="AN4426">
        <v>0</v>
      </c>
      <c r="AO4426" t="s">
        <v>54</v>
      </c>
      <c r="AP4426" t="s">
        <v>53</v>
      </c>
      <c r="AQ4426">
        <v>0</v>
      </c>
      <c r="AR4426" t="s">
        <v>145</v>
      </c>
      <c r="AS4426">
        <v>0</v>
      </c>
      <c r="AT4426">
        <v>0</v>
      </c>
      <c r="AW4426" t="s">
        <v>79</v>
      </c>
      <c r="AX4426">
        <v>20</v>
      </c>
      <c r="AY4426" s="1">
        <v>34700</v>
      </c>
      <c r="AZ4426" s="1">
        <v>34700</v>
      </c>
      <c r="BA4426" s="1">
        <v>34700</v>
      </c>
      <c r="BB4426" s="1">
        <v>42005</v>
      </c>
      <c r="BC4426" t="s">
        <v>51</v>
      </c>
      <c r="BE4426" t="s">
        <v>54</v>
      </c>
      <c r="BF4426">
        <v>5</v>
      </c>
      <c r="BG4426">
        <v>0</v>
      </c>
      <c r="BH4426" t="s">
        <v>53</v>
      </c>
      <c r="BK4426" t="s">
        <v>59</v>
      </c>
      <c r="BL4426">
        <v>14000</v>
      </c>
      <c r="BM4426" s="1">
        <v>42917</v>
      </c>
      <c r="BN4426" s="1">
        <v>42917</v>
      </c>
      <c r="BO4426" s="1">
        <v>42917</v>
      </c>
      <c r="BP4426" s="1">
        <v>44117</v>
      </c>
      <c r="BQ4426" t="s">
        <v>51</v>
      </c>
      <c r="BS4426" t="s">
        <v>60</v>
      </c>
      <c r="BT4426" t="s">
        <v>54</v>
      </c>
      <c r="BU4426" t="s">
        <v>61</v>
      </c>
      <c r="BV4426" t="s">
        <v>62</v>
      </c>
      <c r="BX4426">
        <v>24</v>
      </c>
      <c r="BY4426">
        <v>0</v>
      </c>
      <c r="BZ4426">
        <v>0</v>
      </c>
    </row>
    <row r="4427" spans="1:78" x14ac:dyDescent="0.2">
      <c r="A4427" t="s">
        <v>112</v>
      </c>
      <c r="B4427" t="s">
        <v>113</v>
      </c>
      <c r="C4427" t="s">
        <v>114</v>
      </c>
      <c r="D4427" t="s">
        <v>428</v>
      </c>
      <c r="F4427" t="str">
        <f>"254365"</f>
        <v>254365</v>
      </c>
      <c r="G4427" t="s">
        <v>49</v>
      </c>
      <c r="K4427" t="s">
        <v>51</v>
      </c>
      <c r="L4427" t="s">
        <v>52</v>
      </c>
      <c r="M4427">
        <v>136900.94</v>
      </c>
      <c r="N4427">
        <v>471353.71</v>
      </c>
      <c r="O4427" t="s">
        <v>53</v>
      </c>
      <c r="P4427" t="s">
        <v>54</v>
      </c>
      <c r="Q4427" t="s">
        <v>55</v>
      </c>
      <c r="T4427" t="s">
        <v>431</v>
      </c>
      <c r="U4427">
        <v>40</v>
      </c>
      <c r="V4427" s="1">
        <v>34700</v>
      </c>
      <c r="W4427" s="1">
        <v>34700</v>
      </c>
      <c r="X4427" s="1">
        <v>34700</v>
      </c>
      <c r="Y4427" s="1">
        <v>49310</v>
      </c>
      <c r="Z4427" t="s">
        <v>51</v>
      </c>
      <c r="AB4427" t="s">
        <v>54</v>
      </c>
      <c r="AC4427">
        <v>1</v>
      </c>
      <c r="AE4427" t="s">
        <v>79</v>
      </c>
      <c r="AF4427">
        <v>20</v>
      </c>
      <c r="AG4427" s="1">
        <v>34700</v>
      </c>
      <c r="AH4427" s="1">
        <v>34700</v>
      </c>
      <c r="AI4427" s="1">
        <v>34700</v>
      </c>
      <c r="AJ4427" s="1">
        <v>42005</v>
      </c>
      <c r="AK4427" t="s">
        <v>51</v>
      </c>
      <c r="AN4427">
        <v>0</v>
      </c>
      <c r="AO4427" t="s">
        <v>54</v>
      </c>
      <c r="AP4427" t="s">
        <v>53</v>
      </c>
      <c r="AQ4427">
        <v>0</v>
      </c>
      <c r="AR4427" t="s">
        <v>145</v>
      </c>
      <c r="AS4427">
        <v>0</v>
      </c>
      <c r="AT4427">
        <v>0</v>
      </c>
      <c r="AW4427" t="s">
        <v>79</v>
      </c>
      <c r="AX4427">
        <v>20</v>
      </c>
      <c r="AY4427" s="1">
        <v>34700</v>
      </c>
      <c r="AZ4427" s="1">
        <v>34700</v>
      </c>
      <c r="BA4427" s="1">
        <v>34700</v>
      </c>
      <c r="BB4427" s="1">
        <v>42005</v>
      </c>
      <c r="BC4427" t="s">
        <v>51</v>
      </c>
      <c r="BE4427" t="s">
        <v>54</v>
      </c>
      <c r="BF4427">
        <v>5</v>
      </c>
      <c r="BG4427">
        <v>0</v>
      </c>
      <c r="BH4427" t="s">
        <v>53</v>
      </c>
      <c r="BK4427" t="s">
        <v>59</v>
      </c>
      <c r="BL4427">
        <v>14000</v>
      </c>
      <c r="BM4427" s="1">
        <v>42917</v>
      </c>
      <c r="BN4427" s="1">
        <v>42917</v>
      </c>
      <c r="BO4427" s="1">
        <v>42917</v>
      </c>
      <c r="BP4427" s="1">
        <v>44117</v>
      </c>
      <c r="BQ4427" t="s">
        <v>51</v>
      </c>
      <c r="BS4427" t="s">
        <v>60</v>
      </c>
      <c r="BT4427" t="s">
        <v>54</v>
      </c>
      <c r="BU4427" t="s">
        <v>61</v>
      </c>
      <c r="BV4427" t="s">
        <v>62</v>
      </c>
      <c r="BX4427">
        <v>24</v>
      </c>
      <c r="BY4427">
        <v>0</v>
      </c>
      <c r="BZ4427">
        <v>0</v>
      </c>
    </row>
    <row r="4428" spans="1:78" x14ac:dyDescent="0.2">
      <c r="A4428" t="s">
        <v>112</v>
      </c>
      <c r="B4428" t="s">
        <v>113</v>
      </c>
      <c r="C4428" t="s">
        <v>114</v>
      </c>
      <c r="D4428" t="s">
        <v>1981</v>
      </c>
      <c r="F4428" t="str">
        <f>"?12"</f>
        <v>?12</v>
      </c>
      <c r="G4428" t="s">
        <v>49</v>
      </c>
      <c r="K4428" t="s">
        <v>427</v>
      </c>
      <c r="L4428" t="s">
        <v>52</v>
      </c>
      <c r="M4428">
        <v>137179.60999999999</v>
      </c>
      <c r="N4428">
        <v>474652.66</v>
      </c>
      <c r="O4428" t="s">
        <v>53</v>
      </c>
      <c r="P4428" t="s">
        <v>54</v>
      </c>
      <c r="AP4428" t="s">
        <v>53</v>
      </c>
      <c r="AR4428" t="s">
        <v>53</v>
      </c>
      <c r="BH4428" t="s">
        <v>53</v>
      </c>
    </row>
    <row r="4429" spans="1:78" x14ac:dyDescent="0.2">
      <c r="A4429" t="s">
        <v>112</v>
      </c>
      <c r="B4429" t="s">
        <v>113</v>
      </c>
      <c r="C4429" t="s">
        <v>114</v>
      </c>
      <c r="D4429" t="s">
        <v>428</v>
      </c>
      <c r="F4429" t="str">
        <f>"?120"</f>
        <v>?120</v>
      </c>
      <c r="G4429" t="s">
        <v>49</v>
      </c>
      <c r="K4429" t="s">
        <v>51</v>
      </c>
      <c r="L4429" t="s">
        <v>52</v>
      </c>
      <c r="M4429">
        <v>136892.92000000001</v>
      </c>
      <c r="N4429">
        <v>471650.97</v>
      </c>
      <c r="O4429" t="s">
        <v>53</v>
      </c>
      <c r="P4429" t="s">
        <v>54</v>
      </c>
      <c r="Q4429" t="s">
        <v>55</v>
      </c>
      <c r="T4429" t="s">
        <v>431</v>
      </c>
      <c r="U4429">
        <v>40</v>
      </c>
      <c r="V4429" s="1">
        <v>35796</v>
      </c>
      <c r="W4429" s="1">
        <v>35796</v>
      </c>
      <c r="X4429" s="1">
        <v>35796</v>
      </c>
      <c r="Y4429" s="1">
        <v>50406</v>
      </c>
      <c r="Z4429" t="s">
        <v>51</v>
      </c>
      <c r="AB4429" t="s">
        <v>54</v>
      </c>
      <c r="AC4429">
        <v>1</v>
      </c>
      <c r="AE4429" t="s">
        <v>79</v>
      </c>
      <c r="AF4429">
        <v>20</v>
      </c>
      <c r="AG4429" s="1">
        <v>35796</v>
      </c>
      <c r="AH4429" s="1">
        <v>35796</v>
      </c>
      <c r="AI4429" s="1">
        <v>35796</v>
      </c>
      <c r="AJ4429" s="1">
        <v>43101</v>
      </c>
      <c r="AK4429" t="s">
        <v>51</v>
      </c>
      <c r="AN4429">
        <v>0</v>
      </c>
      <c r="AO4429" t="s">
        <v>54</v>
      </c>
      <c r="AP4429" t="s">
        <v>53</v>
      </c>
      <c r="AQ4429">
        <v>0</v>
      </c>
      <c r="AR4429" t="s">
        <v>145</v>
      </c>
      <c r="AS4429">
        <v>0</v>
      </c>
      <c r="AT4429">
        <v>0</v>
      </c>
      <c r="AW4429" t="s">
        <v>79</v>
      </c>
      <c r="AX4429">
        <v>20</v>
      </c>
      <c r="AY4429" s="1">
        <v>35796</v>
      </c>
      <c r="AZ4429" s="1">
        <v>35796</v>
      </c>
      <c r="BA4429" s="1">
        <v>35796</v>
      </c>
      <c r="BB4429" s="1">
        <v>43101</v>
      </c>
      <c r="BC4429" t="s">
        <v>51</v>
      </c>
      <c r="BE4429" t="s">
        <v>54</v>
      </c>
      <c r="BF4429">
        <v>5</v>
      </c>
      <c r="BG4429">
        <v>0</v>
      </c>
      <c r="BH4429" t="s">
        <v>53</v>
      </c>
      <c r="BK4429" t="s">
        <v>59</v>
      </c>
      <c r="BL4429">
        <v>14000</v>
      </c>
      <c r="BM4429" s="1">
        <v>42917</v>
      </c>
      <c r="BN4429" s="1">
        <v>42917</v>
      </c>
      <c r="BO4429" s="1">
        <v>42917</v>
      </c>
      <c r="BP4429" s="1">
        <v>44117</v>
      </c>
      <c r="BQ4429" t="s">
        <v>51</v>
      </c>
      <c r="BS4429" t="s">
        <v>60</v>
      </c>
      <c r="BT4429" t="s">
        <v>54</v>
      </c>
      <c r="BU4429" t="s">
        <v>61</v>
      </c>
      <c r="BV4429" t="s">
        <v>62</v>
      </c>
      <c r="BX4429">
        <v>24</v>
      </c>
      <c r="BY4429">
        <v>0</v>
      </c>
      <c r="BZ4429">
        <v>0</v>
      </c>
    </row>
    <row r="4430" spans="1:78" x14ac:dyDescent="0.2">
      <c r="A4430" t="s">
        <v>112</v>
      </c>
      <c r="B4430" t="s">
        <v>113</v>
      </c>
      <c r="C4430" t="s">
        <v>114</v>
      </c>
      <c r="D4430" t="s">
        <v>428</v>
      </c>
      <c r="F4430" t="str">
        <f>"?121"</f>
        <v>?121</v>
      </c>
      <c r="G4430" t="s">
        <v>49</v>
      </c>
      <c r="K4430" t="s">
        <v>51</v>
      </c>
      <c r="L4430" t="s">
        <v>52</v>
      </c>
      <c r="M4430">
        <v>136875.98000000001</v>
      </c>
      <c r="N4430">
        <v>471691.2</v>
      </c>
      <c r="O4430" t="s">
        <v>53</v>
      </c>
      <c r="P4430" t="s">
        <v>54</v>
      </c>
      <c r="Q4430" t="s">
        <v>55</v>
      </c>
      <c r="T4430" t="s">
        <v>431</v>
      </c>
      <c r="U4430">
        <v>40</v>
      </c>
      <c r="V4430" s="1">
        <v>29221</v>
      </c>
      <c r="W4430" s="1">
        <v>29221</v>
      </c>
      <c r="X4430" s="1">
        <v>29221</v>
      </c>
      <c r="Y4430" s="1">
        <v>43831</v>
      </c>
      <c r="Z4430" t="s">
        <v>51</v>
      </c>
      <c r="AB4430" t="s">
        <v>54</v>
      </c>
      <c r="AC4430">
        <v>1</v>
      </c>
      <c r="AE4430" t="s">
        <v>79</v>
      </c>
      <c r="AF4430">
        <v>20</v>
      </c>
      <c r="AG4430" s="1">
        <v>34700</v>
      </c>
      <c r="AH4430" s="1">
        <v>34700</v>
      </c>
      <c r="AI4430" s="1">
        <v>34700</v>
      </c>
      <c r="AJ4430" s="1">
        <v>42005</v>
      </c>
      <c r="AK4430" t="s">
        <v>51</v>
      </c>
      <c r="AN4430">
        <v>0</v>
      </c>
      <c r="AO4430" t="s">
        <v>54</v>
      </c>
      <c r="AP4430" t="s">
        <v>53</v>
      </c>
      <c r="AQ4430">
        <v>0</v>
      </c>
      <c r="AR4430" t="s">
        <v>145</v>
      </c>
      <c r="AS4430">
        <v>0</v>
      </c>
      <c r="AT4430">
        <v>0</v>
      </c>
      <c r="AW4430" t="s">
        <v>79</v>
      </c>
      <c r="AX4430">
        <v>20</v>
      </c>
      <c r="AY4430" s="1">
        <v>34700</v>
      </c>
      <c r="AZ4430" s="1">
        <v>34700</v>
      </c>
      <c r="BA4430" s="1">
        <v>34700</v>
      </c>
      <c r="BB4430" s="1">
        <v>42005</v>
      </c>
      <c r="BC4430" t="s">
        <v>51</v>
      </c>
      <c r="BE4430" t="s">
        <v>54</v>
      </c>
      <c r="BF4430">
        <v>5</v>
      </c>
      <c r="BG4430">
        <v>0</v>
      </c>
      <c r="BH4430" t="s">
        <v>53</v>
      </c>
      <c r="BK4430" t="s">
        <v>59</v>
      </c>
      <c r="BL4430">
        <v>14000</v>
      </c>
      <c r="BM4430" s="1">
        <v>42917</v>
      </c>
      <c r="BN4430" s="1">
        <v>42917</v>
      </c>
      <c r="BO4430" s="1">
        <v>42917</v>
      </c>
      <c r="BP4430" s="1">
        <v>44117</v>
      </c>
      <c r="BQ4430" t="s">
        <v>51</v>
      </c>
      <c r="BS4430" t="s">
        <v>60</v>
      </c>
      <c r="BT4430" t="s">
        <v>54</v>
      </c>
      <c r="BU4430" t="s">
        <v>61</v>
      </c>
      <c r="BV4430" t="s">
        <v>62</v>
      </c>
      <c r="BX4430">
        <v>24</v>
      </c>
      <c r="BY4430">
        <v>0</v>
      </c>
      <c r="BZ4430">
        <v>0</v>
      </c>
    </row>
    <row r="4431" spans="1:78" x14ac:dyDescent="0.2">
      <c r="A4431" t="s">
        <v>425</v>
      </c>
      <c r="B4431" t="s">
        <v>425</v>
      </c>
      <c r="C4431" t="s">
        <v>425</v>
      </c>
      <c r="D4431" t="s">
        <v>1985</v>
      </c>
      <c r="F4431" t="str">
        <f>"?122"</f>
        <v>?122</v>
      </c>
      <c r="G4431" t="s">
        <v>49</v>
      </c>
      <c r="K4431" t="s">
        <v>429</v>
      </c>
      <c r="L4431" t="s">
        <v>52</v>
      </c>
      <c r="M4431">
        <v>138148.62</v>
      </c>
      <c r="N4431">
        <v>470756.44</v>
      </c>
      <c r="O4431" t="s">
        <v>53</v>
      </c>
      <c r="P4431" t="s">
        <v>54</v>
      </c>
      <c r="AP4431" t="s">
        <v>53</v>
      </c>
      <c r="AR4431" t="s">
        <v>53</v>
      </c>
      <c r="BH4431" t="s">
        <v>53</v>
      </c>
    </row>
    <row r="4432" spans="1:78" x14ac:dyDescent="0.2">
      <c r="A4432" t="s">
        <v>112</v>
      </c>
      <c r="B4432" t="s">
        <v>113</v>
      </c>
      <c r="C4432" t="s">
        <v>114</v>
      </c>
      <c r="D4432" t="s">
        <v>1985</v>
      </c>
      <c r="F4432" t="str">
        <f>"?123"</f>
        <v>?123</v>
      </c>
      <c r="G4432" t="s">
        <v>49</v>
      </c>
      <c r="K4432" t="s">
        <v>429</v>
      </c>
      <c r="L4432" t="s">
        <v>52</v>
      </c>
      <c r="M4432">
        <v>138122.23999999999</v>
      </c>
      <c r="N4432">
        <v>470760.38</v>
      </c>
      <c r="O4432" t="s">
        <v>53</v>
      </c>
      <c r="P4432" t="s">
        <v>54</v>
      </c>
      <c r="AP4432" t="s">
        <v>53</v>
      </c>
      <c r="AR4432" t="s">
        <v>53</v>
      </c>
      <c r="BH4432" t="s">
        <v>53</v>
      </c>
    </row>
    <row r="4433" spans="1:78" x14ac:dyDescent="0.2">
      <c r="A4433" t="s">
        <v>112</v>
      </c>
      <c r="B4433" t="s">
        <v>113</v>
      </c>
      <c r="C4433" t="s">
        <v>114</v>
      </c>
      <c r="D4433" t="s">
        <v>1985</v>
      </c>
      <c r="F4433" t="str">
        <f>"?124"</f>
        <v>?124</v>
      </c>
      <c r="G4433" t="s">
        <v>49</v>
      </c>
      <c r="K4433" t="s">
        <v>429</v>
      </c>
      <c r="L4433" t="s">
        <v>52</v>
      </c>
      <c r="M4433">
        <v>138095.46</v>
      </c>
      <c r="N4433">
        <v>470764.16</v>
      </c>
      <c r="O4433" t="s">
        <v>53</v>
      </c>
      <c r="P4433" t="s">
        <v>54</v>
      </c>
      <c r="AP4433" t="s">
        <v>53</v>
      </c>
      <c r="AR4433" t="s">
        <v>53</v>
      </c>
      <c r="BH4433" t="s">
        <v>53</v>
      </c>
    </row>
    <row r="4434" spans="1:78" x14ac:dyDescent="0.2">
      <c r="A4434" t="s">
        <v>112</v>
      </c>
      <c r="B4434" t="s">
        <v>113</v>
      </c>
      <c r="C4434" t="s">
        <v>114</v>
      </c>
      <c r="D4434" t="s">
        <v>1985</v>
      </c>
      <c r="F4434" t="str">
        <f>"?125"</f>
        <v>?125</v>
      </c>
      <c r="G4434" t="s">
        <v>49</v>
      </c>
      <c r="K4434" t="s">
        <v>429</v>
      </c>
      <c r="L4434" t="s">
        <v>52</v>
      </c>
      <c r="M4434">
        <v>138074.32999999999</v>
      </c>
      <c r="N4434">
        <v>470768.13</v>
      </c>
      <c r="O4434" t="s">
        <v>53</v>
      </c>
      <c r="P4434" t="s">
        <v>54</v>
      </c>
      <c r="AP4434" t="s">
        <v>53</v>
      </c>
      <c r="AR4434" t="s">
        <v>53</v>
      </c>
      <c r="BH4434" t="s">
        <v>53</v>
      </c>
    </row>
    <row r="4435" spans="1:78" x14ac:dyDescent="0.2">
      <c r="A4435" t="s">
        <v>112</v>
      </c>
      <c r="B4435" t="s">
        <v>113</v>
      </c>
      <c r="C4435" t="s">
        <v>114</v>
      </c>
      <c r="D4435" t="s">
        <v>1985</v>
      </c>
      <c r="F4435" t="str">
        <f>"?126"</f>
        <v>?126</v>
      </c>
      <c r="G4435" t="s">
        <v>49</v>
      </c>
      <c r="K4435" t="s">
        <v>429</v>
      </c>
      <c r="L4435" t="s">
        <v>52</v>
      </c>
      <c r="M4435">
        <v>138049.01999999999</v>
      </c>
      <c r="N4435">
        <v>470774.32</v>
      </c>
      <c r="O4435" t="s">
        <v>53</v>
      </c>
      <c r="P4435" t="s">
        <v>54</v>
      </c>
      <c r="AP4435" t="s">
        <v>53</v>
      </c>
      <c r="AR4435" t="s">
        <v>53</v>
      </c>
      <c r="BH4435" t="s">
        <v>53</v>
      </c>
    </row>
    <row r="4436" spans="1:78" x14ac:dyDescent="0.2">
      <c r="A4436" t="s">
        <v>112</v>
      </c>
      <c r="B4436" t="s">
        <v>113</v>
      </c>
      <c r="C4436" t="s">
        <v>114</v>
      </c>
      <c r="D4436" t="s">
        <v>1981</v>
      </c>
      <c r="F4436" t="str">
        <f>"?13"</f>
        <v>?13</v>
      </c>
      <c r="G4436" t="s">
        <v>49</v>
      </c>
      <c r="K4436" t="s">
        <v>427</v>
      </c>
      <c r="L4436" t="s">
        <v>52</v>
      </c>
      <c r="M4436">
        <v>137153.81</v>
      </c>
      <c r="N4436">
        <v>474648.49</v>
      </c>
      <c r="O4436" t="s">
        <v>53</v>
      </c>
      <c r="P4436" t="s">
        <v>54</v>
      </c>
      <c r="AP4436" t="s">
        <v>53</v>
      </c>
      <c r="AR4436" t="s">
        <v>53</v>
      </c>
      <c r="BH4436" t="s">
        <v>53</v>
      </c>
    </row>
    <row r="4437" spans="1:78" x14ac:dyDescent="0.2">
      <c r="A4437" t="s">
        <v>112</v>
      </c>
      <c r="B4437" t="s">
        <v>113</v>
      </c>
      <c r="C4437" t="s">
        <v>114</v>
      </c>
      <c r="D4437" t="s">
        <v>1981</v>
      </c>
      <c r="F4437" t="str">
        <f>"?14"</f>
        <v>?14</v>
      </c>
      <c r="G4437" t="s">
        <v>49</v>
      </c>
      <c r="K4437" t="s">
        <v>427</v>
      </c>
      <c r="L4437" t="s">
        <v>52</v>
      </c>
      <c r="M4437">
        <v>137124.20000000001</v>
      </c>
      <c r="N4437">
        <v>474672.12</v>
      </c>
      <c r="O4437" t="s">
        <v>53</v>
      </c>
      <c r="P4437" t="s">
        <v>54</v>
      </c>
      <c r="AP4437" t="s">
        <v>53</v>
      </c>
      <c r="AR4437" t="s">
        <v>53</v>
      </c>
      <c r="BH4437" t="s">
        <v>53</v>
      </c>
    </row>
    <row r="4438" spans="1:78" x14ac:dyDescent="0.2">
      <c r="A4438" t="s">
        <v>112</v>
      </c>
      <c r="B4438" t="s">
        <v>113</v>
      </c>
      <c r="C4438" t="s">
        <v>114</v>
      </c>
      <c r="D4438" t="s">
        <v>2066</v>
      </c>
      <c r="F4438" t="str">
        <f>"?144"</f>
        <v>?144</v>
      </c>
      <c r="G4438" t="s">
        <v>49</v>
      </c>
      <c r="K4438" t="s">
        <v>51</v>
      </c>
      <c r="L4438" t="s">
        <v>52</v>
      </c>
      <c r="M4438">
        <v>136847.26</v>
      </c>
      <c r="N4438">
        <v>472803.39</v>
      </c>
      <c r="O4438" t="s">
        <v>53</v>
      </c>
      <c r="P4438" t="s">
        <v>54</v>
      </c>
      <c r="Q4438" t="s">
        <v>55</v>
      </c>
      <c r="T4438" t="s">
        <v>431</v>
      </c>
      <c r="U4438">
        <v>40</v>
      </c>
      <c r="V4438" s="1">
        <v>29221</v>
      </c>
      <c r="W4438" s="1">
        <v>29221</v>
      </c>
      <c r="X4438" s="1">
        <v>29221</v>
      </c>
      <c r="Y4438" s="1">
        <v>43831</v>
      </c>
      <c r="Z4438" t="s">
        <v>51</v>
      </c>
      <c r="AB4438" t="s">
        <v>54</v>
      </c>
      <c r="AC4438">
        <v>1</v>
      </c>
      <c r="AE4438" t="s">
        <v>79</v>
      </c>
      <c r="AF4438">
        <v>20</v>
      </c>
      <c r="AG4438" s="1">
        <v>34700</v>
      </c>
      <c r="AH4438" s="1">
        <v>34700</v>
      </c>
      <c r="AI4438" s="1">
        <v>34700</v>
      </c>
      <c r="AJ4438" s="1">
        <v>42005</v>
      </c>
      <c r="AK4438" t="s">
        <v>51</v>
      </c>
      <c r="AN4438">
        <v>0</v>
      </c>
      <c r="AO4438" t="s">
        <v>54</v>
      </c>
      <c r="AP4438" t="s">
        <v>53</v>
      </c>
      <c r="AQ4438">
        <v>0</v>
      </c>
      <c r="AR4438" t="s">
        <v>145</v>
      </c>
      <c r="AS4438">
        <v>0</v>
      </c>
      <c r="AT4438">
        <v>0</v>
      </c>
      <c r="AW4438" t="s">
        <v>79</v>
      </c>
      <c r="AX4438">
        <v>20</v>
      </c>
      <c r="AY4438" s="1">
        <v>34700</v>
      </c>
      <c r="AZ4438" s="1">
        <v>34700</v>
      </c>
      <c r="BA4438" s="1">
        <v>34700</v>
      </c>
      <c r="BB4438" s="1">
        <v>42005</v>
      </c>
      <c r="BC4438" t="s">
        <v>51</v>
      </c>
      <c r="BE4438" t="s">
        <v>54</v>
      </c>
      <c r="BF4438">
        <v>5</v>
      </c>
      <c r="BG4438">
        <v>0</v>
      </c>
      <c r="BH4438" t="s">
        <v>53</v>
      </c>
      <c r="BK4438" t="s">
        <v>59</v>
      </c>
      <c r="BL4438">
        <v>14000</v>
      </c>
      <c r="BM4438" s="1">
        <v>44935</v>
      </c>
      <c r="BN4438" s="1">
        <v>44935</v>
      </c>
      <c r="BO4438" s="1">
        <v>44935</v>
      </c>
      <c r="BP4438" s="1">
        <v>46102</v>
      </c>
      <c r="BQ4438" t="s">
        <v>51</v>
      </c>
      <c r="BS4438" t="s">
        <v>60</v>
      </c>
      <c r="BT4438" t="s">
        <v>54</v>
      </c>
      <c r="BU4438" t="s">
        <v>61</v>
      </c>
      <c r="BV4438" t="s">
        <v>62</v>
      </c>
      <c r="BX4438">
        <v>24</v>
      </c>
      <c r="BY4438">
        <v>0</v>
      </c>
      <c r="BZ4438">
        <v>0</v>
      </c>
    </row>
    <row r="4439" spans="1:78" x14ac:dyDescent="0.2">
      <c r="A4439" t="s">
        <v>112</v>
      </c>
      <c r="B4439" t="s">
        <v>113</v>
      </c>
      <c r="C4439" t="s">
        <v>114</v>
      </c>
      <c r="D4439" t="s">
        <v>1981</v>
      </c>
      <c r="F4439" t="str">
        <f>"?15"</f>
        <v>?15</v>
      </c>
      <c r="G4439" t="s">
        <v>49</v>
      </c>
      <c r="K4439" t="s">
        <v>427</v>
      </c>
      <c r="L4439" t="s">
        <v>52</v>
      </c>
      <c r="M4439">
        <v>137100.6</v>
      </c>
      <c r="N4439">
        <v>474702.74</v>
      </c>
      <c r="O4439" t="s">
        <v>53</v>
      </c>
      <c r="P4439" t="s">
        <v>54</v>
      </c>
      <c r="AP4439" t="s">
        <v>53</v>
      </c>
      <c r="AR4439" t="s">
        <v>53</v>
      </c>
      <c r="BH4439" t="s">
        <v>53</v>
      </c>
    </row>
    <row r="4440" spans="1:78" x14ac:dyDescent="0.2">
      <c r="A4440" t="s">
        <v>112</v>
      </c>
      <c r="B4440" t="s">
        <v>113</v>
      </c>
      <c r="C4440" t="s">
        <v>114</v>
      </c>
      <c r="D4440" t="s">
        <v>2111</v>
      </c>
      <c r="F4440" t="str">
        <f>"?152"</f>
        <v>?152</v>
      </c>
      <c r="G4440" t="s">
        <v>49</v>
      </c>
      <c r="K4440" t="s">
        <v>427</v>
      </c>
      <c r="L4440" t="s">
        <v>52</v>
      </c>
      <c r="M4440">
        <v>137729.85</v>
      </c>
      <c r="N4440">
        <v>474648.47</v>
      </c>
      <c r="O4440" t="s">
        <v>53</v>
      </c>
      <c r="P4440" t="s">
        <v>54</v>
      </c>
      <c r="AP4440" t="s">
        <v>53</v>
      </c>
      <c r="AR4440" t="s">
        <v>53</v>
      </c>
      <c r="BH4440" t="s">
        <v>53</v>
      </c>
    </row>
    <row r="4441" spans="1:78" x14ac:dyDescent="0.2">
      <c r="A4441" t="s">
        <v>425</v>
      </c>
      <c r="B4441" t="s">
        <v>425</v>
      </c>
      <c r="C4441" t="s">
        <v>425</v>
      </c>
      <c r="D4441" t="s">
        <v>2111</v>
      </c>
      <c r="F4441" t="str">
        <f>"?157"</f>
        <v>?157</v>
      </c>
      <c r="G4441" t="s">
        <v>49</v>
      </c>
      <c r="K4441" t="s">
        <v>427</v>
      </c>
      <c r="L4441" t="s">
        <v>52</v>
      </c>
      <c r="M4441">
        <v>137740.17000000001</v>
      </c>
      <c r="N4441">
        <v>474656.39</v>
      </c>
      <c r="O4441" t="s">
        <v>53</v>
      </c>
      <c r="P4441" t="s">
        <v>54</v>
      </c>
      <c r="AP4441" t="s">
        <v>53</v>
      </c>
      <c r="AR4441" t="s">
        <v>53</v>
      </c>
      <c r="BH4441" t="s">
        <v>53</v>
      </c>
    </row>
    <row r="4442" spans="1:78" x14ac:dyDescent="0.2">
      <c r="A4442" t="s">
        <v>425</v>
      </c>
      <c r="B4442" t="s">
        <v>425</v>
      </c>
      <c r="C4442" t="s">
        <v>425</v>
      </c>
      <c r="D4442" t="s">
        <v>2111</v>
      </c>
      <c r="F4442" t="str">
        <f>"?158"</f>
        <v>?158</v>
      </c>
      <c r="G4442" t="s">
        <v>49</v>
      </c>
      <c r="K4442" t="s">
        <v>427</v>
      </c>
      <c r="L4442" t="s">
        <v>52</v>
      </c>
      <c r="M4442">
        <v>137722.14000000001</v>
      </c>
      <c r="N4442">
        <v>474668.22</v>
      </c>
      <c r="O4442" t="s">
        <v>53</v>
      </c>
      <c r="P4442" t="s">
        <v>54</v>
      </c>
      <c r="AP4442" t="s">
        <v>53</v>
      </c>
      <c r="AR4442" t="s">
        <v>53</v>
      </c>
      <c r="BH4442" t="s">
        <v>53</v>
      </c>
    </row>
    <row r="4443" spans="1:78" x14ac:dyDescent="0.2">
      <c r="A4443" t="s">
        <v>112</v>
      </c>
      <c r="B4443" t="s">
        <v>113</v>
      </c>
      <c r="C4443" t="s">
        <v>114</v>
      </c>
      <c r="D4443" t="s">
        <v>1981</v>
      </c>
      <c r="F4443" t="str">
        <f>"?16"</f>
        <v>?16</v>
      </c>
      <c r="G4443" t="s">
        <v>49</v>
      </c>
      <c r="K4443" t="s">
        <v>427</v>
      </c>
      <c r="L4443" t="s">
        <v>52</v>
      </c>
      <c r="M4443">
        <v>137081.41</v>
      </c>
      <c r="N4443">
        <v>474734.12</v>
      </c>
      <c r="O4443" t="s">
        <v>53</v>
      </c>
      <c r="P4443" t="s">
        <v>54</v>
      </c>
      <c r="AP4443" t="s">
        <v>53</v>
      </c>
      <c r="AR4443" t="s">
        <v>53</v>
      </c>
      <c r="BH4443" t="s">
        <v>53</v>
      </c>
    </row>
    <row r="4444" spans="1:78" x14ac:dyDescent="0.2">
      <c r="A4444" t="s">
        <v>112</v>
      </c>
      <c r="B4444" t="s">
        <v>113</v>
      </c>
      <c r="C4444" t="s">
        <v>114</v>
      </c>
      <c r="D4444" t="s">
        <v>1981</v>
      </c>
      <c r="F4444" t="str">
        <f>"?17"</f>
        <v>?17</v>
      </c>
      <c r="G4444" t="s">
        <v>49</v>
      </c>
      <c r="K4444" t="s">
        <v>427</v>
      </c>
      <c r="L4444" t="s">
        <v>52</v>
      </c>
      <c r="M4444">
        <v>137065.75</v>
      </c>
      <c r="N4444">
        <v>474804.87</v>
      </c>
      <c r="O4444" t="s">
        <v>53</v>
      </c>
      <c r="P4444" t="s">
        <v>54</v>
      </c>
      <c r="AP4444" t="s">
        <v>53</v>
      </c>
      <c r="AR4444" t="s">
        <v>53</v>
      </c>
      <c r="BH4444" t="s">
        <v>53</v>
      </c>
    </row>
    <row r="4445" spans="1:78" x14ac:dyDescent="0.2">
      <c r="A4445" t="s">
        <v>425</v>
      </c>
      <c r="B4445" t="s">
        <v>425</v>
      </c>
      <c r="C4445" t="s">
        <v>425</v>
      </c>
      <c r="D4445" t="s">
        <v>2010</v>
      </c>
      <c r="F4445" t="str">
        <f>"?210"</f>
        <v>?210</v>
      </c>
      <c r="G4445" t="s">
        <v>49</v>
      </c>
      <c r="K4445" t="s">
        <v>429</v>
      </c>
      <c r="L4445" t="s">
        <v>52</v>
      </c>
      <c r="M4445">
        <v>137699.13</v>
      </c>
      <c r="N4445">
        <v>470644.97</v>
      </c>
      <c r="O4445" t="s">
        <v>53</v>
      </c>
      <c r="P4445" t="s">
        <v>54</v>
      </c>
      <c r="AP4445" t="s">
        <v>53</v>
      </c>
      <c r="AR4445" t="s">
        <v>53</v>
      </c>
      <c r="BH4445" t="s">
        <v>53</v>
      </c>
    </row>
    <row r="4446" spans="1:78" x14ac:dyDescent="0.2">
      <c r="A4446" t="s">
        <v>112</v>
      </c>
      <c r="B4446" t="s">
        <v>113</v>
      </c>
      <c r="C4446" t="s">
        <v>114</v>
      </c>
      <c r="D4446" t="s">
        <v>2106</v>
      </c>
      <c r="F4446" t="str">
        <f>"?212"</f>
        <v>?212</v>
      </c>
      <c r="G4446" t="s">
        <v>49</v>
      </c>
      <c r="K4446" t="s">
        <v>429</v>
      </c>
      <c r="L4446" t="s">
        <v>52</v>
      </c>
      <c r="M4446">
        <v>138087.47</v>
      </c>
      <c r="N4446">
        <v>472329.55</v>
      </c>
      <c r="O4446" t="s">
        <v>53</v>
      </c>
      <c r="P4446" t="s">
        <v>54</v>
      </c>
      <c r="AP4446" t="s">
        <v>53</v>
      </c>
      <c r="AR4446" t="s">
        <v>53</v>
      </c>
      <c r="BH4446" t="s">
        <v>53</v>
      </c>
    </row>
    <row r="4447" spans="1:78" x14ac:dyDescent="0.2">
      <c r="A4447" t="s">
        <v>425</v>
      </c>
      <c r="B4447" t="s">
        <v>425</v>
      </c>
      <c r="C4447" t="s">
        <v>425</v>
      </c>
      <c r="D4447" t="s">
        <v>2010</v>
      </c>
      <c r="F4447" t="str">
        <f>"?217"</f>
        <v>?217</v>
      </c>
      <c r="G4447" t="s">
        <v>49</v>
      </c>
      <c r="K4447" t="s">
        <v>429</v>
      </c>
      <c r="L4447" t="s">
        <v>52</v>
      </c>
      <c r="M4447">
        <v>137811.17000000001</v>
      </c>
      <c r="N4447">
        <v>470581.78</v>
      </c>
      <c r="O4447" t="s">
        <v>53</v>
      </c>
      <c r="P4447" t="s">
        <v>54</v>
      </c>
      <c r="AP4447" t="s">
        <v>53</v>
      </c>
      <c r="AR4447" t="s">
        <v>53</v>
      </c>
      <c r="BH4447" t="s">
        <v>53</v>
      </c>
    </row>
    <row r="4448" spans="1:78" x14ac:dyDescent="0.2">
      <c r="A4448" t="s">
        <v>112</v>
      </c>
      <c r="B4448" t="s">
        <v>113</v>
      </c>
      <c r="C4448" t="s">
        <v>114</v>
      </c>
      <c r="D4448" t="s">
        <v>428</v>
      </c>
      <c r="F4448" t="str">
        <f>"254366"</f>
        <v>254366</v>
      </c>
      <c r="G4448" t="s">
        <v>49</v>
      </c>
      <c r="H4448" t="s">
        <v>2112</v>
      </c>
      <c r="K4448" t="s">
        <v>51</v>
      </c>
      <c r="L4448" t="s">
        <v>52</v>
      </c>
      <c r="M4448">
        <v>136967.08499999999</v>
      </c>
      <c r="N4448">
        <v>470427.91800000001</v>
      </c>
      <c r="O4448" t="s">
        <v>53</v>
      </c>
      <c r="P4448" t="s">
        <v>54</v>
      </c>
      <c r="Q4448" t="s">
        <v>55</v>
      </c>
      <c r="T4448" t="s">
        <v>431</v>
      </c>
      <c r="U4448">
        <v>40</v>
      </c>
      <c r="V4448" s="1">
        <v>39083</v>
      </c>
      <c r="W4448" s="1">
        <v>39083</v>
      </c>
      <c r="X4448" s="1">
        <v>39083</v>
      </c>
      <c r="Y4448" s="1">
        <v>53693</v>
      </c>
      <c r="Z4448" t="s">
        <v>51</v>
      </c>
      <c r="AB4448" t="s">
        <v>54</v>
      </c>
      <c r="AE4448" t="s">
        <v>79</v>
      </c>
      <c r="AF4448">
        <v>20</v>
      </c>
      <c r="AG4448" s="1">
        <v>39264</v>
      </c>
      <c r="AH4448" s="1">
        <v>39264</v>
      </c>
      <c r="AI4448" s="1">
        <v>39264</v>
      </c>
      <c r="AJ4448" s="1">
        <v>46569</v>
      </c>
      <c r="AK4448" t="s">
        <v>51</v>
      </c>
      <c r="AN4448">
        <v>0</v>
      </c>
      <c r="AO4448" t="s">
        <v>54</v>
      </c>
      <c r="AP4448" t="s">
        <v>53</v>
      </c>
      <c r="AQ4448">
        <v>0</v>
      </c>
      <c r="AR4448" t="s">
        <v>145</v>
      </c>
      <c r="AS4448">
        <v>0</v>
      </c>
      <c r="AT4448">
        <v>0</v>
      </c>
      <c r="BK4448" t="s">
        <v>59</v>
      </c>
      <c r="BL4448">
        <v>14000</v>
      </c>
      <c r="BM4448" s="1">
        <v>39264</v>
      </c>
      <c r="BN4448" s="1">
        <v>39264</v>
      </c>
      <c r="BO4448" s="1">
        <v>39264</v>
      </c>
      <c r="BP4448" s="1">
        <v>40464</v>
      </c>
      <c r="BQ4448" t="s">
        <v>51</v>
      </c>
      <c r="BS4448" t="s">
        <v>60</v>
      </c>
      <c r="BT4448" t="s">
        <v>54</v>
      </c>
      <c r="BU4448" t="s">
        <v>61</v>
      </c>
      <c r="BV4448" t="s">
        <v>62</v>
      </c>
      <c r="BX4448">
        <v>24</v>
      </c>
      <c r="BY4448">
        <v>0</v>
      </c>
      <c r="BZ4448">
        <v>0</v>
      </c>
    </row>
    <row r="4449" spans="1:99" x14ac:dyDescent="0.2">
      <c r="A4449" t="s">
        <v>112</v>
      </c>
      <c r="B4449" t="s">
        <v>113</v>
      </c>
      <c r="C4449" t="s">
        <v>114</v>
      </c>
      <c r="D4449" t="s">
        <v>428</v>
      </c>
      <c r="F4449" t="str">
        <f>"254367"</f>
        <v>254367</v>
      </c>
      <c r="G4449" t="s">
        <v>49</v>
      </c>
      <c r="H4449" t="s">
        <v>2112</v>
      </c>
      <c r="K4449" t="s">
        <v>51</v>
      </c>
      <c r="L4449" t="s">
        <v>52</v>
      </c>
      <c r="M4449">
        <v>136967.36600000001</v>
      </c>
      <c r="N4449">
        <v>470397.83600000001</v>
      </c>
      <c r="O4449" t="s">
        <v>53</v>
      </c>
      <c r="P4449" t="s">
        <v>54</v>
      </c>
      <c r="Q4449" t="s">
        <v>55</v>
      </c>
      <c r="T4449" t="s">
        <v>431</v>
      </c>
      <c r="U4449">
        <v>40</v>
      </c>
      <c r="V4449" s="1">
        <v>39083</v>
      </c>
      <c r="W4449" s="1">
        <v>39083</v>
      </c>
      <c r="X4449" s="1">
        <v>39083</v>
      </c>
      <c r="Y4449" s="1">
        <v>53693</v>
      </c>
      <c r="Z4449" t="s">
        <v>51</v>
      </c>
      <c r="AB4449" t="s">
        <v>54</v>
      </c>
      <c r="AE4449" t="s">
        <v>79</v>
      </c>
      <c r="AF4449">
        <v>20</v>
      </c>
      <c r="AG4449" s="1">
        <v>39264</v>
      </c>
      <c r="AH4449" s="1">
        <v>39264</v>
      </c>
      <c r="AI4449" s="1">
        <v>39264</v>
      </c>
      <c r="AJ4449" s="1">
        <v>46569</v>
      </c>
      <c r="AK4449" t="s">
        <v>51</v>
      </c>
      <c r="AN4449">
        <v>0</v>
      </c>
      <c r="AO4449" t="s">
        <v>54</v>
      </c>
      <c r="AP4449" t="s">
        <v>53</v>
      </c>
      <c r="AQ4449">
        <v>0</v>
      </c>
      <c r="AR4449" t="s">
        <v>145</v>
      </c>
      <c r="AS4449">
        <v>0</v>
      </c>
      <c r="AT4449">
        <v>0</v>
      </c>
      <c r="BK4449" t="s">
        <v>59</v>
      </c>
      <c r="BL4449">
        <v>14000</v>
      </c>
      <c r="BM4449" s="1">
        <v>39264</v>
      </c>
      <c r="BN4449" s="1">
        <v>39264</v>
      </c>
      <c r="BO4449" s="1">
        <v>39264</v>
      </c>
      <c r="BP4449" s="1">
        <v>40464</v>
      </c>
      <c r="BQ4449" t="s">
        <v>51</v>
      </c>
      <c r="BS4449" t="s">
        <v>60</v>
      </c>
      <c r="BT4449" t="s">
        <v>54</v>
      </c>
      <c r="BU4449" t="s">
        <v>61</v>
      </c>
      <c r="BV4449" t="s">
        <v>62</v>
      </c>
      <c r="BX4449">
        <v>24</v>
      </c>
      <c r="BY4449">
        <v>0</v>
      </c>
      <c r="BZ4449">
        <v>0</v>
      </c>
    </row>
    <row r="4450" spans="1:99" x14ac:dyDescent="0.2">
      <c r="A4450" t="s">
        <v>112</v>
      </c>
      <c r="B4450" t="s">
        <v>113</v>
      </c>
      <c r="C4450" t="s">
        <v>114</v>
      </c>
      <c r="D4450" t="s">
        <v>2066</v>
      </c>
      <c r="F4450" t="str">
        <f>"251340"</f>
        <v>251340</v>
      </c>
      <c r="G4450" t="s">
        <v>49</v>
      </c>
      <c r="K4450" t="s">
        <v>51</v>
      </c>
      <c r="L4450" t="s">
        <v>52</v>
      </c>
      <c r="M4450">
        <v>136828.63</v>
      </c>
      <c r="N4450">
        <v>473517.81</v>
      </c>
      <c r="O4450" t="s">
        <v>53</v>
      </c>
      <c r="P4450" t="s">
        <v>54</v>
      </c>
      <c r="Q4450" t="s">
        <v>55</v>
      </c>
      <c r="T4450" t="s">
        <v>269</v>
      </c>
      <c r="U4450">
        <v>40</v>
      </c>
      <c r="V4450" s="1">
        <v>39448</v>
      </c>
      <c r="W4450" s="1">
        <v>39448</v>
      </c>
      <c r="X4450" s="1">
        <v>39448</v>
      </c>
      <c r="Y4450" s="1">
        <v>54058</v>
      </c>
      <c r="Z4450" t="s">
        <v>51</v>
      </c>
      <c r="AB4450" t="s">
        <v>54</v>
      </c>
      <c r="AC4450">
        <v>1</v>
      </c>
      <c r="AE4450" t="s">
        <v>1952</v>
      </c>
      <c r="AF4450">
        <v>20</v>
      </c>
      <c r="AG4450" s="1">
        <v>39448</v>
      </c>
      <c r="AH4450" s="1">
        <v>39448</v>
      </c>
      <c r="AI4450" s="1">
        <v>39448</v>
      </c>
      <c r="AJ4450" s="1">
        <v>46753</v>
      </c>
      <c r="AK4450" t="s">
        <v>51</v>
      </c>
      <c r="AN4450">
        <v>0</v>
      </c>
      <c r="AO4450" t="s">
        <v>54</v>
      </c>
      <c r="AP4450" t="s">
        <v>53</v>
      </c>
      <c r="AQ4450">
        <v>0</v>
      </c>
      <c r="AR4450" t="s">
        <v>53</v>
      </c>
      <c r="AS4450">
        <v>0</v>
      </c>
      <c r="AT4450">
        <v>0</v>
      </c>
      <c r="AW4450" t="s">
        <v>58</v>
      </c>
      <c r="AX4450">
        <v>20</v>
      </c>
      <c r="AY4450" s="1">
        <v>39448</v>
      </c>
      <c r="AZ4450" s="1">
        <v>39448</v>
      </c>
      <c r="BA4450" s="1">
        <v>39448</v>
      </c>
      <c r="BB4450" s="1">
        <v>46753</v>
      </c>
      <c r="BC4450" t="s">
        <v>51</v>
      </c>
      <c r="BE4450" t="s">
        <v>54</v>
      </c>
      <c r="BF4450">
        <v>2</v>
      </c>
      <c r="BG4450">
        <v>0</v>
      </c>
      <c r="BH4450" t="s">
        <v>53</v>
      </c>
      <c r="BK4450" t="s">
        <v>59</v>
      </c>
      <c r="BL4450">
        <v>14000</v>
      </c>
      <c r="BM4450" s="1">
        <v>44264</v>
      </c>
      <c r="BN4450" s="1">
        <v>44264</v>
      </c>
      <c r="BO4450" s="1">
        <v>44264</v>
      </c>
      <c r="BP4450" s="1">
        <v>45474</v>
      </c>
      <c r="BQ4450" t="s">
        <v>51</v>
      </c>
      <c r="BS4450" t="s">
        <v>60</v>
      </c>
      <c r="BT4450" t="s">
        <v>54</v>
      </c>
      <c r="BU4450" t="s">
        <v>61</v>
      </c>
      <c r="BV4450" t="s">
        <v>62</v>
      </c>
      <c r="BX4450">
        <v>24</v>
      </c>
      <c r="BY4450">
        <v>0</v>
      </c>
      <c r="BZ4450">
        <v>0</v>
      </c>
    </row>
    <row r="4451" spans="1:99" x14ac:dyDescent="0.2">
      <c r="A4451" t="s">
        <v>112</v>
      </c>
      <c r="B4451" t="s">
        <v>113</v>
      </c>
      <c r="C4451" t="s">
        <v>114</v>
      </c>
      <c r="D4451" t="s">
        <v>428</v>
      </c>
      <c r="F4451" t="str">
        <f>"254270"</f>
        <v>254270</v>
      </c>
      <c r="G4451" t="s">
        <v>49</v>
      </c>
      <c r="H4451" t="s">
        <v>2112</v>
      </c>
      <c r="K4451" t="s">
        <v>51</v>
      </c>
      <c r="L4451" t="s">
        <v>52</v>
      </c>
      <c r="M4451">
        <v>136949.93599999999</v>
      </c>
      <c r="N4451">
        <v>470388.62900000002</v>
      </c>
      <c r="O4451" t="s">
        <v>53</v>
      </c>
      <c r="P4451" t="s">
        <v>54</v>
      </c>
      <c r="Q4451" t="s">
        <v>55</v>
      </c>
      <c r="T4451" t="s">
        <v>431</v>
      </c>
      <c r="U4451">
        <v>40</v>
      </c>
      <c r="V4451" s="1">
        <v>39083</v>
      </c>
      <c r="W4451" s="1">
        <v>39083</v>
      </c>
      <c r="X4451" s="1">
        <v>39083</v>
      </c>
      <c r="Y4451" s="1">
        <v>53693</v>
      </c>
      <c r="Z4451" t="s">
        <v>51</v>
      </c>
      <c r="AB4451" t="s">
        <v>54</v>
      </c>
      <c r="AE4451" t="s">
        <v>79</v>
      </c>
      <c r="AF4451">
        <v>20</v>
      </c>
      <c r="AG4451" s="1">
        <v>39264</v>
      </c>
      <c r="AH4451" s="1">
        <v>39264</v>
      </c>
      <c r="AI4451" s="1">
        <v>39264</v>
      </c>
      <c r="AJ4451" s="1">
        <v>46569</v>
      </c>
      <c r="AK4451" t="s">
        <v>51</v>
      </c>
      <c r="AN4451">
        <v>0</v>
      </c>
      <c r="AO4451" t="s">
        <v>54</v>
      </c>
      <c r="AP4451" t="s">
        <v>53</v>
      </c>
      <c r="AQ4451">
        <v>0</v>
      </c>
      <c r="AR4451" t="s">
        <v>145</v>
      </c>
      <c r="AS4451">
        <v>0</v>
      </c>
      <c r="AT4451">
        <v>0</v>
      </c>
      <c r="BK4451" t="s">
        <v>59</v>
      </c>
      <c r="BL4451">
        <v>14000</v>
      </c>
      <c r="BM4451" s="1">
        <v>39264</v>
      </c>
      <c r="BN4451" s="1">
        <v>39264</v>
      </c>
      <c r="BO4451" s="1">
        <v>39264</v>
      </c>
      <c r="BP4451" s="1">
        <v>40464</v>
      </c>
      <c r="BQ4451" t="s">
        <v>51</v>
      </c>
      <c r="BS4451" t="s">
        <v>60</v>
      </c>
      <c r="BT4451" t="s">
        <v>54</v>
      </c>
      <c r="BU4451" t="s">
        <v>61</v>
      </c>
      <c r="BV4451" t="s">
        <v>62</v>
      </c>
      <c r="BX4451">
        <v>24</v>
      </c>
      <c r="BY4451">
        <v>0</v>
      </c>
      <c r="BZ4451">
        <v>0</v>
      </c>
    </row>
    <row r="4452" spans="1:99" x14ac:dyDescent="0.2">
      <c r="A4452" t="s">
        <v>112</v>
      </c>
      <c r="B4452" t="s">
        <v>113</v>
      </c>
      <c r="C4452" t="s">
        <v>114</v>
      </c>
      <c r="D4452" t="s">
        <v>428</v>
      </c>
      <c r="F4452" t="str">
        <f>"254268"</f>
        <v>254268</v>
      </c>
      <c r="G4452" t="s">
        <v>49</v>
      </c>
      <c r="K4452" t="s">
        <v>51</v>
      </c>
      <c r="L4452" t="s">
        <v>52</v>
      </c>
      <c r="M4452">
        <v>136933.97</v>
      </c>
      <c r="N4452">
        <v>470383.47100000002</v>
      </c>
      <c r="O4452" t="s">
        <v>53</v>
      </c>
      <c r="P4452" t="s">
        <v>54</v>
      </c>
      <c r="Q4452" t="s">
        <v>55</v>
      </c>
      <c r="T4452" t="s">
        <v>431</v>
      </c>
      <c r="U4452">
        <v>40</v>
      </c>
      <c r="V4452" s="1">
        <v>43402</v>
      </c>
      <c r="W4452" s="1">
        <v>43402</v>
      </c>
      <c r="X4452" s="1">
        <v>43402</v>
      </c>
      <c r="Y4452" s="1">
        <v>58012</v>
      </c>
      <c r="Z4452" t="s">
        <v>51</v>
      </c>
      <c r="AB4452" t="s">
        <v>54</v>
      </c>
      <c r="AE4452" t="s">
        <v>79</v>
      </c>
      <c r="AF4452">
        <v>20</v>
      </c>
      <c r="AG4452" s="1">
        <v>43402</v>
      </c>
      <c r="AH4452" s="1">
        <v>43402</v>
      </c>
      <c r="AI4452" s="1">
        <v>43402</v>
      </c>
      <c r="AJ4452" s="1">
        <v>50707</v>
      </c>
      <c r="AK4452" t="s">
        <v>51</v>
      </c>
      <c r="AN4452">
        <v>0</v>
      </c>
      <c r="AO4452" t="s">
        <v>54</v>
      </c>
      <c r="AP4452" t="s">
        <v>53</v>
      </c>
      <c r="AQ4452">
        <v>0</v>
      </c>
      <c r="AR4452" t="s">
        <v>145</v>
      </c>
      <c r="AS4452">
        <v>0</v>
      </c>
      <c r="AT4452">
        <v>0</v>
      </c>
      <c r="CC4452" t="s">
        <v>432</v>
      </c>
      <c r="CD4452">
        <v>85000</v>
      </c>
      <c r="CE4452" s="1">
        <v>43402</v>
      </c>
      <c r="CF4452" s="1">
        <v>43402</v>
      </c>
      <c r="CG4452" s="1">
        <v>43402</v>
      </c>
      <c r="CH4452" s="1">
        <v>51021</v>
      </c>
      <c r="CI4452" t="s">
        <v>51</v>
      </c>
      <c r="CK4452" t="s">
        <v>78</v>
      </c>
      <c r="CM4452" t="s">
        <v>54</v>
      </c>
      <c r="CN4452" t="s">
        <v>174</v>
      </c>
      <c r="CO4452" t="s">
        <v>86</v>
      </c>
      <c r="CR4452">
        <v>24</v>
      </c>
      <c r="CS4452">
        <v>0</v>
      </c>
      <c r="CT4452">
        <v>0</v>
      </c>
      <c r="CU4452">
        <v>0</v>
      </c>
    </row>
    <row r="4453" spans="1:99" x14ac:dyDescent="0.2">
      <c r="A4453" t="s">
        <v>425</v>
      </c>
      <c r="B4453" t="s">
        <v>425</v>
      </c>
      <c r="C4453" t="s">
        <v>425</v>
      </c>
      <c r="D4453" t="s">
        <v>428</v>
      </c>
      <c r="F4453" t="str">
        <f>"?222"</f>
        <v>?222</v>
      </c>
      <c r="G4453" t="s">
        <v>49</v>
      </c>
      <c r="K4453" t="s">
        <v>429</v>
      </c>
      <c r="L4453" t="s">
        <v>52</v>
      </c>
      <c r="M4453">
        <v>136983.40330944699</v>
      </c>
      <c r="N4453">
        <v>470324.78123048798</v>
      </c>
      <c r="O4453" t="s">
        <v>53</v>
      </c>
      <c r="P4453" t="s">
        <v>54</v>
      </c>
      <c r="AP4453" t="s">
        <v>53</v>
      </c>
      <c r="AR4453" t="s">
        <v>53</v>
      </c>
      <c r="BH4453" t="s">
        <v>53</v>
      </c>
    </row>
    <row r="4454" spans="1:99" x14ac:dyDescent="0.2">
      <c r="A4454" t="s">
        <v>425</v>
      </c>
      <c r="B4454" t="s">
        <v>425</v>
      </c>
      <c r="C4454" t="s">
        <v>425</v>
      </c>
      <c r="D4454" t="s">
        <v>428</v>
      </c>
      <c r="F4454" t="str">
        <f>"?224"</f>
        <v>?224</v>
      </c>
      <c r="G4454" t="s">
        <v>49</v>
      </c>
      <c r="K4454" t="s">
        <v>429</v>
      </c>
      <c r="L4454" t="s">
        <v>52</v>
      </c>
      <c r="M4454">
        <v>137004.721418434</v>
      </c>
      <c r="N4454">
        <v>470282.518412715</v>
      </c>
      <c r="O4454" t="s">
        <v>53</v>
      </c>
      <c r="P4454" t="s">
        <v>54</v>
      </c>
      <c r="AP4454" t="s">
        <v>53</v>
      </c>
      <c r="AR4454" t="s">
        <v>53</v>
      </c>
      <c r="BH4454" t="s">
        <v>53</v>
      </c>
    </row>
    <row r="4455" spans="1:99" x14ac:dyDescent="0.2">
      <c r="A4455" t="s">
        <v>112</v>
      </c>
      <c r="B4455" t="s">
        <v>113</v>
      </c>
      <c r="C4455" t="s">
        <v>114</v>
      </c>
      <c r="D4455" t="s">
        <v>428</v>
      </c>
      <c r="F4455" t="str">
        <f>"3222"</f>
        <v>3222</v>
      </c>
      <c r="G4455" t="s">
        <v>49</v>
      </c>
      <c r="K4455" t="s">
        <v>429</v>
      </c>
      <c r="L4455" t="s">
        <v>52</v>
      </c>
      <c r="M4455">
        <v>136937.60999999999</v>
      </c>
      <c r="N4455">
        <v>470359.46</v>
      </c>
      <c r="O4455" t="s">
        <v>53</v>
      </c>
      <c r="P4455" t="s">
        <v>54</v>
      </c>
      <c r="Q4455" t="s">
        <v>55</v>
      </c>
      <c r="T4455" t="s">
        <v>431</v>
      </c>
      <c r="U4455">
        <v>40</v>
      </c>
      <c r="V4455" s="1">
        <v>44508</v>
      </c>
      <c r="W4455" s="1">
        <v>44508</v>
      </c>
      <c r="X4455" s="1">
        <v>44508</v>
      </c>
      <c r="Y4455" s="1">
        <v>59118</v>
      </c>
      <c r="Z4455" t="s">
        <v>429</v>
      </c>
      <c r="AB4455" t="s">
        <v>54</v>
      </c>
      <c r="AP4455" t="s">
        <v>53</v>
      </c>
      <c r="AR4455" t="s">
        <v>53</v>
      </c>
      <c r="BH4455" t="s">
        <v>53</v>
      </c>
    </row>
    <row r="4456" spans="1:99" x14ac:dyDescent="0.2">
      <c r="A4456" t="s">
        <v>425</v>
      </c>
      <c r="B4456" t="s">
        <v>425</v>
      </c>
      <c r="C4456" t="s">
        <v>425</v>
      </c>
      <c r="D4456" t="s">
        <v>2113</v>
      </c>
      <c r="F4456" t="str">
        <f>"?23"</f>
        <v>?23</v>
      </c>
      <c r="G4456" t="s">
        <v>49</v>
      </c>
      <c r="K4456" t="s">
        <v>427</v>
      </c>
      <c r="L4456" t="s">
        <v>52</v>
      </c>
      <c r="M4456">
        <v>137741.34</v>
      </c>
      <c r="N4456">
        <v>474677.09</v>
      </c>
      <c r="O4456" t="s">
        <v>53</v>
      </c>
      <c r="P4456" t="s">
        <v>54</v>
      </c>
      <c r="AP4456" t="s">
        <v>53</v>
      </c>
      <c r="AR4456" t="s">
        <v>53</v>
      </c>
      <c r="BH4456" t="s">
        <v>53</v>
      </c>
    </row>
    <row r="4457" spans="1:99" x14ac:dyDescent="0.2">
      <c r="A4457" t="s">
        <v>425</v>
      </c>
      <c r="B4457" t="s">
        <v>425</v>
      </c>
      <c r="C4457" t="s">
        <v>425</v>
      </c>
      <c r="D4457" t="s">
        <v>2114</v>
      </c>
      <c r="F4457" t="str">
        <f>"?230"</f>
        <v>?230</v>
      </c>
      <c r="G4457" t="s">
        <v>49</v>
      </c>
      <c r="K4457" t="s">
        <v>429</v>
      </c>
      <c r="L4457" t="s">
        <v>52</v>
      </c>
      <c r="M4457">
        <v>138289.81</v>
      </c>
      <c r="N4457">
        <v>472760.34</v>
      </c>
      <c r="O4457" t="s">
        <v>53</v>
      </c>
      <c r="P4457" t="s">
        <v>54</v>
      </c>
      <c r="AP4457" t="s">
        <v>53</v>
      </c>
      <c r="AR4457" t="s">
        <v>53</v>
      </c>
      <c r="BH4457" t="s">
        <v>53</v>
      </c>
    </row>
    <row r="4458" spans="1:99" x14ac:dyDescent="0.2">
      <c r="A4458" t="s">
        <v>425</v>
      </c>
      <c r="B4458" t="s">
        <v>425</v>
      </c>
      <c r="C4458" t="s">
        <v>425</v>
      </c>
      <c r="D4458" t="s">
        <v>2114</v>
      </c>
      <c r="F4458" t="str">
        <f>"?231"</f>
        <v>?231</v>
      </c>
      <c r="G4458" t="s">
        <v>49</v>
      </c>
      <c r="K4458" t="s">
        <v>429</v>
      </c>
      <c r="L4458" t="s">
        <v>52</v>
      </c>
      <c r="M4458">
        <v>138282.47</v>
      </c>
      <c r="N4458">
        <v>472683.88</v>
      </c>
      <c r="O4458" t="s">
        <v>53</v>
      </c>
      <c r="P4458" t="s">
        <v>54</v>
      </c>
      <c r="AP4458" t="s">
        <v>53</v>
      </c>
      <c r="AR4458" t="s">
        <v>53</v>
      </c>
      <c r="BH4458" t="s">
        <v>53</v>
      </c>
    </row>
    <row r="4459" spans="1:99" x14ac:dyDescent="0.2">
      <c r="A4459" t="s">
        <v>425</v>
      </c>
      <c r="B4459" t="s">
        <v>425</v>
      </c>
      <c r="C4459" t="s">
        <v>425</v>
      </c>
      <c r="D4459" t="s">
        <v>2114</v>
      </c>
      <c r="F4459" t="str">
        <f>"?232"</f>
        <v>?232</v>
      </c>
      <c r="G4459" t="s">
        <v>49</v>
      </c>
      <c r="K4459" t="s">
        <v>429</v>
      </c>
      <c r="L4459" t="s">
        <v>52</v>
      </c>
      <c r="M4459">
        <v>138283.75</v>
      </c>
      <c r="N4459">
        <v>472641.53</v>
      </c>
      <c r="O4459" t="s">
        <v>53</v>
      </c>
      <c r="P4459" t="s">
        <v>54</v>
      </c>
      <c r="AP4459" t="s">
        <v>53</v>
      </c>
      <c r="AR4459" t="s">
        <v>53</v>
      </c>
      <c r="BH4459" t="s">
        <v>53</v>
      </c>
    </row>
    <row r="4460" spans="1:99" x14ac:dyDescent="0.2">
      <c r="A4460" t="s">
        <v>425</v>
      </c>
      <c r="B4460" t="s">
        <v>425</v>
      </c>
      <c r="C4460" t="s">
        <v>425</v>
      </c>
      <c r="D4460" t="s">
        <v>2114</v>
      </c>
      <c r="F4460" t="str">
        <f>"?233"</f>
        <v>?233</v>
      </c>
      <c r="G4460" t="s">
        <v>49</v>
      </c>
      <c r="K4460" t="s">
        <v>429</v>
      </c>
      <c r="L4460" t="s">
        <v>52</v>
      </c>
      <c r="M4460">
        <v>138285.34</v>
      </c>
      <c r="N4460">
        <v>472606.19</v>
      </c>
      <c r="O4460" t="s">
        <v>53</v>
      </c>
      <c r="P4460" t="s">
        <v>54</v>
      </c>
      <c r="AP4460" t="s">
        <v>53</v>
      </c>
      <c r="AR4460" t="s">
        <v>53</v>
      </c>
      <c r="BH4460" t="s">
        <v>53</v>
      </c>
    </row>
    <row r="4461" spans="1:99" x14ac:dyDescent="0.2">
      <c r="A4461" t="s">
        <v>425</v>
      </c>
      <c r="B4461" t="s">
        <v>425</v>
      </c>
      <c r="C4461" t="s">
        <v>425</v>
      </c>
      <c r="D4461" t="s">
        <v>2114</v>
      </c>
      <c r="F4461" t="str">
        <f>"?234"</f>
        <v>?234</v>
      </c>
      <c r="G4461" t="s">
        <v>49</v>
      </c>
      <c r="K4461" t="s">
        <v>429</v>
      </c>
      <c r="L4461" t="s">
        <v>52</v>
      </c>
      <c r="M4461">
        <v>138286.94</v>
      </c>
      <c r="N4461">
        <v>472578.78</v>
      </c>
      <c r="O4461" t="s">
        <v>53</v>
      </c>
      <c r="P4461" t="s">
        <v>54</v>
      </c>
      <c r="AP4461" t="s">
        <v>53</v>
      </c>
      <c r="AR4461" t="s">
        <v>53</v>
      </c>
      <c r="BH4461" t="s">
        <v>53</v>
      </c>
    </row>
    <row r="4462" spans="1:99" x14ac:dyDescent="0.2">
      <c r="A4462" t="s">
        <v>425</v>
      </c>
      <c r="B4462" t="s">
        <v>425</v>
      </c>
      <c r="C4462" t="s">
        <v>425</v>
      </c>
      <c r="D4462" t="s">
        <v>2114</v>
      </c>
      <c r="F4462" t="str">
        <f>"?235"</f>
        <v>?235</v>
      </c>
      <c r="G4462" t="s">
        <v>49</v>
      </c>
      <c r="K4462" t="s">
        <v>429</v>
      </c>
      <c r="L4462" t="s">
        <v>52</v>
      </c>
      <c r="M4462">
        <v>138286.94</v>
      </c>
      <c r="N4462">
        <v>472548.53</v>
      </c>
      <c r="O4462" t="s">
        <v>53</v>
      </c>
      <c r="P4462" t="s">
        <v>54</v>
      </c>
      <c r="AP4462" t="s">
        <v>53</v>
      </c>
      <c r="AR4462" t="s">
        <v>53</v>
      </c>
      <c r="BH4462" t="s">
        <v>53</v>
      </c>
    </row>
    <row r="4463" spans="1:99" x14ac:dyDescent="0.2">
      <c r="A4463" t="s">
        <v>425</v>
      </c>
      <c r="B4463" t="s">
        <v>425</v>
      </c>
      <c r="C4463" t="s">
        <v>425</v>
      </c>
      <c r="D4463" t="s">
        <v>2114</v>
      </c>
      <c r="F4463" t="str">
        <f>"?236"</f>
        <v>?236</v>
      </c>
      <c r="G4463" t="s">
        <v>49</v>
      </c>
      <c r="K4463" t="s">
        <v>429</v>
      </c>
      <c r="L4463" t="s">
        <v>52</v>
      </c>
      <c r="M4463">
        <v>138282.79999999999</v>
      </c>
      <c r="N4463">
        <v>472513.5</v>
      </c>
      <c r="O4463" t="s">
        <v>53</v>
      </c>
      <c r="P4463" t="s">
        <v>54</v>
      </c>
      <c r="AP4463" t="s">
        <v>53</v>
      </c>
      <c r="AR4463" t="s">
        <v>53</v>
      </c>
      <c r="BH4463" t="s">
        <v>53</v>
      </c>
    </row>
    <row r="4464" spans="1:99" x14ac:dyDescent="0.2">
      <c r="A4464" t="s">
        <v>425</v>
      </c>
      <c r="B4464" t="s">
        <v>425</v>
      </c>
      <c r="C4464" t="s">
        <v>425</v>
      </c>
      <c r="D4464" t="s">
        <v>2114</v>
      </c>
      <c r="F4464" t="str">
        <f>"?237"</f>
        <v>?237</v>
      </c>
      <c r="G4464" t="s">
        <v>49</v>
      </c>
      <c r="K4464" t="s">
        <v>429</v>
      </c>
      <c r="L4464" t="s">
        <v>52</v>
      </c>
      <c r="M4464">
        <v>138275.16</v>
      </c>
      <c r="N4464">
        <v>472474.97</v>
      </c>
      <c r="O4464" t="s">
        <v>53</v>
      </c>
      <c r="P4464" t="s">
        <v>54</v>
      </c>
      <c r="AP4464" t="s">
        <v>53</v>
      </c>
      <c r="AR4464" t="s">
        <v>53</v>
      </c>
      <c r="BH4464" t="s">
        <v>53</v>
      </c>
    </row>
    <row r="4465" spans="1:60" x14ac:dyDescent="0.2">
      <c r="A4465" t="s">
        <v>425</v>
      </c>
      <c r="B4465" t="s">
        <v>425</v>
      </c>
      <c r="C4465" t="s">
        <v>425</v>
      </c>
      <c r="D4465" t="s">
        <v>2114</v>
      </c>
      <c r="F4465" t="str">
        <f>"?238"</f>
        <v>?238</v>
      </c>
      <c r="G4465" t="s">
        <v>49</v>
      </c>
      <c r="K4465" t="s">
        <v>429</v>
      </c>
      <c r="L4465" t="s">
        <v>52</v>
      </c>
      <c r="M4465">
        <v>138269.70000000001</v>
      </c>
      <c r="N4465">
        <v>472437.13</v>
      </c>
      <c r="O4465" t="s">
        <v>53</v>
      </c>
      <c r="P4465" t="s">
        <v>54</v>
      </c>
      <c r="AP4465" t="s">
        <v>53</v>
      </c>
      <c r="AR4465" t="s">
        <v>53</v>
      </c>
      <c r="BH4465" t="s">
        <v>53</v>
      </c>
    </row>
    <row r="4466" spans="1:60" x14ac:dyDescent="0.2">
      <c r="A4466" t="s">
        <v>425</v>
      </c>
      <c r="B4466" t="s">
        <v>425</v>
      </c>
      <c r="C4466" t="s">
        <v>425</v>
      </c>
      <c r="D4466" t="s">
        <v>2115</v>
      </c>
      <c r="F4466" t="str">
        <f>"?239"</f>
        <v>?239</v>
      </c>
      <c r="G4466" t="s">
        <v>49</v>
      </c>
      <c r="K4466" t="s">
        <v>429</v>
      </c>
      <c r="L4466" t="s">
        <v>52</v>
      </c>
      <c r="M4466">
        <v>138253.877176329</v>
      </c>
      <c r="N4466">
        <v>472330.591532244</v>
      </c>
      <c r="O4466" t="s">
        <v>53</v>
      </c>
      <c r="P4466" t="s">
        <v>54</v>
      </c>
      <c r="AP4466" t="s">
        <v>53</v>
      </c>
      <c r="AR4466" t="s">
        <v>53</v>
      </c>
      <c r="BH4466" t="s">
        <v>53</v>
      </c>
    </row>
    <row r="4467" spans="1:60" x14ac:dyDescent="0.2">
      <c r="A4467" t="s">
        <v>425</v>
      </c>
      <c r="B4467" t="s">
        <v>425</v>
      </c>
      <c r="C4467" t="s">
        <v>425</v>
      </c>
      <c r="D4467" t="s">
        <v>2113</v>
      </c>
      <c r="F4467" t="str">
        <f>"?24"</f>
        <v>?24</v>
      </c>
      <c r="G4467" t="s">
        <v>49</v>
      </c>
      <c r="K4467" t="s">
        <v>427</v>
      </c>
      <c r="L4467" t="s">
        <v>52</v>
      </c>
      <c r="M4467">
        <v>137712.4</v>
      </c>
      <c r="N4467">
        <v>474688.45</v>
      </c>
      <c r="O4467" t="s">
        <v>53</v>
      </c>
      <c r="P4467" t="s">
        <v>54</v>
      </c>
      <c r="AP4467" t="s">
        <v>53</v>
      </c>
      <c r="AR4467" t="s">
        <v>53</v>
      </c>
      <c r="BH4467" t="s">
        <v>53</v>
      </c>
    </row>
    <row r="4468" spans="1:60" x14ac:dyDescent="0.2">
      <c r="A4468" t="s">
        <v>425</v>
      </c>
      <c r="B4468" t="s">
        <v>425</v>
      </c>
      <c r="C4468" t="s">
        <v>425</v>
      </c>
      <c r="D4468" t="s">
        <v>2114</v>
      </c>
      <c r="F4468" t="str">
        <f>"?240"</f>
        <v>?240</v>
      </c>
      <c r="G4468" t="s">
        <v>49</v>
      </c>
      <c r="K4468" t="s">
        <v>429</v>
      </c>
      <c r="L4468" t="s">
        <v>52</v>
      </c>
      <c r="M4468">
        <v>138266.166854143</v>
      </c>
      <c r="N4468">
        <v>472345.38216408802</v>
      </c>
      <c r="O4468" t="s">
        <v>53</v>
      </c>
      <c r="P4468" t="s">
        <v>54</v>
      </c>
      <c r="AP4468" t="s">
        <v>53</v>
      </c>
      <c r="AR4468" t="s">
        <v>53</v>
      </c>
      <c r="BH4468" t="s">
        <v>53</v>
      </c>
    </row>
    <row r="4469" spans="1:60" x14ac:dyDescent="0.2">
      <c r="A4469" t="s">
        <v>425</v>
      </c>
      <c r="B4469" t="s">
        <v>425</v>
      </c>
      <c r="C4469" t="s">
        <v>425</v>
      </c>
      <c r="D4469" t="s">
        <v>2114</v>
      </c>
      <c r="F4469" t="str">
        <f>"?241"</f>
        <v>?241</v>
      </c>
      <c r="G4469" t="s">
        <v>49</v>
      </c>
      <c r="K4469" t="s">
        <v>429</v>
      </c>
      <c r="L4469" t="s">
        <v>52</v>
      </c>
      <c r="M4469">
        <v>138289.24125350299</v>
      </c>
      <c r="N4469">
        <v>472349.64386825397</v>
      </c>
      <c r="O4469" t="s">
        <v>53</v>
      </c>
      <c r="P4469" t="s">
        <v>54</v>
      </c>
      <c r="AP4469" t="s">
        <v>53</v>
      </c>
      <c r="AR4469" t="s">
        <v>53</v>
      </c>
      <c r="BH4469" t="s">
        <v>53</v>
      </c>
    </row>
    <row r="4470" spans="1:60" x14ac:dyDescent="0.2">
      <c r="A4470" t="s">
        <v>425</v>
      </c>
      <c r="B4470" t="s">
        <v>425</v>
      </c>
      <c r="C4470" t="s">
        <v>425</v>
      </c>
      <c r="D4470" t="s">
        <v>2114</v>
      </c>
      <c r="F4470" t="str">
        <f>"?242"</f>
        <v>?242</v>
      </c>
      <c r="G4470" t="s">
        <v>49</v>
      </c>
      <c r="K4470" t="s">
        <v>429</v>
      </c>
      <c r="L4470" t="s">
        <v>52</v>
      </c>
      <c r="M4470">
        <v>138252.87395509801</v>
      </c>
      <c r="N4470">
        <v>472348.473987401</v>
      </c>
      <c r="O4470" t="s">
        <v>53</v>
      </c>
      <c r="P4470" t="s">
        <v>54</v>
      </c>
      <c r="AP4470" t="s">
        <v>53</v>
      </c>
      <c r="AR4470" t="s">
        <v>53</v>
      </c>
      <c r="BH4470" t="s">
        <v>53</v>
      </c>
    </row>
    <row r="4471" spans="1:60" x14ac:dyDescent="0.2">
      <c r="A4471" t="s">
        <v>425</v>
      </c>
      <c r="B4471" t="s">
        <v>425</v>
      </c>
      <c r="C4471" t="s">
        <v>425</v>
      </c>
      <c r="D4471" t="s">
        <v>2114</v>
      </c>
      <c r="F4471" t="str">
        <f>"?243"</f>
        <v>?243</v>
      </c>
      <c r="G4471" t="s">
        <v>49</v>
      </c>
      <c r="K4471" t="s">
        <v>429</v>
      </c>
      <c r="L4471" t="s">
        <v>52</v>
      </c>
      <c r="M4471">
        <v>138258.81365187399</v>
      </c>
      <c r="N4471">
        <v>472371.489804118</v>
      </c>
      <c r="O4471" t="s">
        <v>53</v>
      </c>
      <c r="P4471" t="s">
        <v>54</v>
      </c>
      <c r="AP4471" t="s">
        <v>53</v>
      </c>
      <c r="AR4471" t="s">
        <v>53</v>
      </c>
      <c r="BH4471" t="s">
        <v>53</v>
      </c>
    </row>
    <row r="4472" spans="1:60" x14ac:dyDescent="0.2">
      <c r="A4472" t="s">
        <v>425</v>
      </c>
      <c r="B4472" t="s">
        <v>425</v>
      </c>
      <c r="C4472" t="s">
        <v>425</v>
      </c>
      <c r="D4472" t="s">
        <v>2114</v>
      </c>
      <c r="F4472" t="str">
        <f>"?244"</f>
        <v>?244</v>
      </c>
      <c r="G4472" t="s">
        <v>49</v>
      </c>
      <c r="K4472" t="s">
        <v>429</v>
      </c>
      <c r="L4472" t="s">
        <v>52</v>
      </c>
      <c r="M4472">
        <v>138278.96193746899</v>
      </c>
      <c r="N4472">
        <v>472364.971915134</v>
      </c>
      <c r="O4472" t="s">
        <v>53</v>
      </c>
      <c r="P4472" t="s">
        <v>54</v>
      </c>
      <c r="AP4472" t="s">
        <v>53</v>
      </c>
      <c r="AR4472" t="s">
        <v>53</v>
      </c>
      <c r="BH4472" t="s">
        <v>53</v>
      </c>
    </row>
    <row r="4473" spans="1:60" x14ac:dyDescent="0.2">
      <c r="A4473" t="s">
        <v>425</v>
      </c>
      <c r="B4473" t="s">
        <v>425</v>
      </c>
      <c r="C4473" t="s">
        <v>425</v>
      </c>
      <c r="D4473" t="s">
        <v>2114</v>
      </c>
      <c r="F4473" t="str">
        <f>"?245"</f>
        <v>?245</v>
      </c>
      <c r="G4473" t="s">
        <v>49</v>
      </c>
      <c r="K4473" t="s">
        <v>429</v>
      </c>
      <c r="L4473" t="s">
        <v>52</v>
      </c>
      <c r="M4473">
        <v>138267.09722580999</v>
      </c>
      <c r="N4473">
        <v>472379.79233998799</v>
      </c>
      <c r="O4473" t="s">
        <v>53</v>
      </c>
      <c r="P4473" t="s">
        <v>54</v>
      </c>
      <c r="AP4473" t="s">
        <v>53</v>
      </c>
      <c r="AR4473" t="s">
        <v>53</v>
      </c>
      <c r="BH4473" t="s">
        <v>53</v>
      </c>
    </row>
    <row r="4474" spans="1:60" x14ac:dyDescent="0.2">
      <c r="A4474" t="s">
        <v>425</v>
      </c>
      <c r="B4474" t="s">
        <v>425</v>
      </c>
      <c r="C4474" t="s">
        <v>425</v>
      </c>
      <c r="D4474" t="s">
        <v>2114</v>
      </c>
      <c r="F4474" t="str">
        <f>"?246"</f>
        <v>?246</v>
      </c>
      <c r="G4474" t="s">
        <v>49</v>
      </c>
      <c r="K4474" t="s">
        <v>429</v>
      </c>
      <c r="L4474" t="s">
        <v>52</v>
      </c>
      <c r="M4474">
        <v>138265.18422488999</v>
      </c>
      <c r="N4474">
        <v>472405.60094165202</v>
      </c>
      <c r="O4474" t="s">
        <v>53</v>
      </c>
      <c r="P4474" t="s">
        <v>54</v>
      </c>
      <c r="AP4474" t="s">
        <v>53</v>
      </c>
      <c r="AR4474" t="s">
        <v>53</v>
      </c>
      <c r="BH4474" t="s">
        <v>53</v>
      </c>
    </row>
    <row r="4475" spans="1:60" x14ac:dyDescent="0.2">
      <c r="A4475" t="s">
        <v>112</v>
      </c>
      <c r="B4475" t="s">
        <v>113</v>
      </c>
      <c r="C4475" t="s">
        <v>114</v>
      </c>
      <c r="D4475" t="s">
        <v>2115</v>
      </c>
      <c r="F4475" t="str">
        <f>"?247"</f>
        <v>?247</v>
      </c>
      <c r="G4475" t="s">
        <v>49</v>
      </c>
      <c r="K4475" t="s">
        <v>429</v>
      </c>
      <c r="L4475" t="s">
        <v>52</v>
      </c>
      <c r="M4475">
        <v>138242.99434738699</v>
      </c>
      <c r="N4475">
        <v>472308.41960088199</v>
      </c>
      <c r="O4475" t="s">
        <v>53</v>
      </c>
      <c r="P4475" t="s">
        <v>54</v>
      </c>
      <c r="AP4475" t="s">
        <v>53</v>
      </c>
      <c r="AR4475" t="s">
        <v>53</v>
      </c>
      <c r="BH4475" t="s">
        <v>53</v>
      </c>
    </row>
    <row r="4476" spans="1:60" x14ac:dyDescent="0.2">
      <c r="A4476" t="s">
        <v>112</v>
      </c>
      <c r="B4476" t="s">
        <v>113</v>
      </c>
      <c r="C4476" t="s">
        <v>114</v>
      </c>
      <c r="D4476" t="s">
        <v>2115</v>
      </c>
      <c r="F4476" t="str">
        <f>"?248"</f>
        <v>?248</v>
      </c>
      <c r="G4476" t="s">
        <v>49</v>
      </c>
      <c r="K4476" t="s">
        <v>429</v>
      </c>
      <c r="L4476" t="s">
        <v>52</v>
      </c>
      <c r="M4476">
        <v>138232.293175767</v>
      </c>
      <c r="N4476">
        <v>472286.77680509799</v>
      </c>
      <c r="O4476" t="s">
        <v>53</v>
      </c>
      <c r="P4476" t="s">
        <v>54</v>
      </c>
      <c r="AP4476" t="s">
        <v>53</v>
      </c>
      <c r="AR4476" t="s">
        <v>53</v>
      </c>
      <c r="BH4476" t="s">
        <v>53</v>
      </c>
    </row>
    <row r="4477" spans="1:60" x14ac:dyDescent="0.2">
      <c r="A4477" t="s">
        <v>112</v>
      </c>
      <c r="B4477" t="s">
        <v>113</v>
      </c>
      <c r="C4477" t="s">
        <v>114</v>
      </c>
      <c r="D4477" t="s">
        <v>2115</v>
      </c>
      <c r="F4477" t="str">
        <f>"?249"</f>
        <v>?249</v>
      </c>
      <c r="G4477" t="s">
        <v>49</v>
      </c>
      <c r="K4477" t="s">
        <v>429</v>
      </c>
      <c r="L4477" t="s">
        <v>52</v>
      </c>
      <c r="M4477">
        <v>138216.95000000001</v>
      </c>
      <c r="N4477">
        <v>472290.38</v>
      </c>
      <c r="O4477" t="s">
        <v>53</v>
      </c>
      <c r="P4477" t="s">
        <v>54</v>
      </c>
      <c r="AP4477" t="s">
        <v>53</v>
      </c>
      <c r="AR4477" t="s">
        <v>53</v>
      </c>
      <c r="BH4477" t="s">
        <v>53</v>
      </c>
    </row>
    <row r="4478" spans="1:60" x14ac:dyDescent="0.2">
      <c r="A4478" t="s">
        <v>112</v>
      </c>
      <c r="B4478" t="s">
        <v>113</v>
      </c>
      <c r="C4478" t="s">
        <v>114</v>
      </c>
      <c r="D4478" t="s">
        <v>2111</v>
      </c>
      <c r="F4478" t="str">
        <f>"?25"</f>
        <v>?25</v>
      </c>
      <c r="G4478" t="s">
        <v>49</v>
      </c>
      <c r="K4478" t="s">
        <v>427</v>
      </c>
      <c r="L4478" t="s">
        <v>52</v>
      </c>
      <c r="M4478">
        <v>137693.63</v>
      </c>
      <c r="N4478">
        <v>474654.96</v>
      </c>
      <c r="O4478" t="s">
        <v>53</v>
      </c>
      <c r="P4478" t="s">
        <v>54</v>
      </c>
      <c r="AP4478" t="s">
        <v>53</v>
      </c>
      <c r="AR4478" t="s">
        <v>53</v>
      </c>
      <c r="BH4478" t="s">
        <v>53</v>
      </c>
    </row>
    <row r="4479" spans="1:60" x14ac:dyDescent="0.2">
      <c r="A4479" t="s">
        <v>425</v>
      </c>
      <c r="B4479" t="s">
        <v>425</v>
      </c>
      <c r="C4479" t="s">
        <v>425</v>
      </c>
      <c r="D4479" t="s">
        <v>2010</v>
      </c>
      <c r="F4479" t="str">
        <f>"?250"</f>
        <v>?250</v>
      </c>
      <c r="G4479" t="s">
        <v>49</v>
      </c>
      <c r="K4479" t="s">
        <v>429</v>
      </c>
      <c r="L4479" t="s">
        <v>52</v>
      </c>
      <c r="M4479">
        <v>137929.44</v>
      </c>
      <c r="N4479">
        <v>470535.75</v>
      </c>
      <c r="O4479" t="s">
        <v>53</v>
      </c>
      <c r="P4479" t="s">
        <v>54</v>
      </c>
      <c r="AP4479" t="s">
        <v>53</v>
      </c>
      <c r="AR4479" t="s">
        <v>53</v>
      </c>
      <c r="BH4479" t="s">
        <v>53</v>
      </c>
    </row>
    <row r="4480" spans="1:60" x14ac:dyDescent="0.2">
      <c r="A4480" t="s">
        <v>425</v>
      </c>
      <c r="B4480" t="s">
        <v>425</v>
      </c>
      <c r="C4480" t="s">
        <v>425</v>
      </c>
      <c r="D4480" t="s">
        <v>2010</v>
      </c>
      <c r="F4480" t="str">
        <f>"?251"</f>
        <v>?251</v>
      </c>
      <c r="G4480" t="s">
        <v>49</v>
      </c>
      <c r="K4480" t="s">
        <v>429</v>
      </c>
      <c r="L4480" t="s">
        <v>52</v>
      </c>
      <c r="M4480">
        <v>138047.78</v>
      </c>
      <c r="N4480">
        <v>470743.88</v>
      </c>
      <c r="O4480" t="s">
        <v>53</v>
      </c>
      <c r="P4480" t="s">
        <v>54</v>
      </c>
      <c r="AP4480" t="s">
        <v>53</v>
      </c>
      <c r="AR4480" t="s">
        <v>53</v>
      </c>
      <c r="BH4480" t="s">
        <v>53</v>
      </c>
    </row>
    <row r="4481" spans="1:99" x14ac:dyDescent="0.2">
      <c r="A4481" t="s">
        <v>112</v>
      </c>
      <c r="B4481" t="s">
        <v>113</v>
      </c>
      <c r="C4481" t="s">
        <v>114</v>
      </c>
      <c r="D4481" t="s">
        <v>2106</v>
      </c>
      <c r="F4481" t="str">
        <f>"251434"</f>
        <v>251434</v>
      </c>
      <c r="G4481" t="s">
        <v>49</v>
      </c>
      <c r="K4481" t="s">
        <v>51</v>
      </c>
      <c r="L4481" t="s">
        <v>52</v>
      </c>
      <c r="M4481">
        <v>136923.22</v>
      </c>
      <c r="N4481">
        <v>472287.08</v>
      </c>
      <c r="O4481" t="s">
        <v>53</v>
      </c>
      <c r="P4481" t="s">
        <v>54</v>
      </c>
      <c r="Q4481" t="s">
        <v>55</v>
      </c>
      <c r="T4481" t="s">
        <v>75</v>
      </c>
      <c r="U4481">
        <v>40</v>
      </c>
      <c r="V4481" s="1">
        <v>35796</v>
      </c>
      <c r="W4481" s="1">
        <v>35796</v>
      </c>
      <c r="X4481" s="1">
        <v>35796</v>
      </c>
      <c r="Y4481" s="1">
        <v>50406</v>
      </c>
      <c r="Z4481" t="s">
        <v>51</v>
      </c>
      <c r="AB4481" t="s">
        <v>54</v>
      </c>
      <c r="AC4481">
        <v>1</v>
      </c>
      <c r="AE4481" t="s">
        <v>2108</v>
      </c>
      <c r="AF4481">
        <v>0</v>
      </c>
      <c r="AG4481" s="1">
        <v>44441</v>
      </c>
      <c r="AH4481" s="1">
        <v>44441</v>
      </c>
      <c r="AI4481" s="1">
        <v>44441</v>
      </c>
      <c r="AJ4481" s="1">
        <v>44441</v>
      </c>
      <c r="AK4481" t="s">
        <v>51</v>
      </c>
      <c r="AN4481">
        <v>0</v>
      </c>
      <c r="AO4481" t="s">
        <v>54</v>
      </c>
      <c r="AP4481" t="s">
        <v>53</v>
      </c>
      <c r="AQ4481">
        <v>0</v>
      </c>
      <c r="AR4481" t="s">
        <v>53</v>
      </c>
      <c r="AS4481">
        <v>0</v>
      </c>
      <c r="AT4481">
        <v>0</v>
      </c>
      <c r="AW4481" t="s">
        <v>172</v>
      </c>
      <c r="AX4481">
        <v>15</v>
      </c>
      <c r="AY4481" s="1">
        <v>44441</v>
      </c>
      <c r="AZ4481" s="1">
        <v>44441</v>
      </c>
      <c r="BA4481" s="1">
        <v>44441</v>
      </c>
      <c r="BB4481" s="1">
        <v>49920</v>
      </c>
      <c r="BC4481" t="s">
        <v>51</v>
      </c>
      <c r="BE4481" t="s">
        <v>54</v>
      </c>
      <c r="BF4481">
        <v>40</v>
      </c>
      <c r="BG4481">
        <v>0</v>
      </c>
      <c r="BH4481" t="s">
        <v>145</v>
      </c>
      <c r="CC4481" t="s">
        <v>432</v>
      </c>
      <c r="CD4481">
        <v>85000</v>
      </c>
      <c r="CE4481" s="1">
        <v>44441</v>
      </c>
      <c r="CF4481" s="1">
        <v>44441</v>
      </c>
      <c r="CG4481" s="1">
        <v>44441</v>
      </c>
      <c r="CH4481" s="1">
        <v>52029</v>
      </c>
      <c r="CI4481" t="s">
        <v>51</v>
      </c>
      <c r="CK4481" t="s">
        <v>78</v>
      </c>
      <c r="CM4481" t="s">
        <v>54</v>
      </c>
      <c r="CN4481" t="s">
        <v>174</v>
      </c>
      <c r="CO4481" t="s">
        <v>86</v>
      </c>
      <c r="CR4481">
        <v>24</v>
      </c>
      <c r="CS4481">
        <v>0</v>
      </c>
      <c r="CT4481">
        <v>0</v>
      </c>
      <c r="CU4481">
        <v>0</v>
      </c>
    </row>
    <row r="4482" spans="1:99" x14ac:dyDescent="0.2">
      <c r="A4482" t="s">
        <v>112</v>
      </c>
      <c r="B4482" t="s">
        <v>113</v>
      </c>
      <c r="C4482" t="s">
        <v>114</v>
      </c>
      <c r="D4482" t="s">
        <v>2106</v>
      </c>
      <c r="F4482" t="str">
        <f>"251434"</f>
        <v>251434</v>
      </c>
      <c r="G4482" t="s">
        <v>49</v>
      </c>
      <c r="K4482" t="s">
        <v>51</v>
      </c>
      <c r="L4482" t="s">
        <v>52</v>
      </c>
      <c r="M4482">
        <v>136923.22</v>
      </c>
      <c r="N4482">
        <v>472287.08</v>
      </c>
      <c r="O4482" t="s">
        <v>53</v>
      </c>
      <c r="P4482" t="s">
        <v>54</v>
      </c>
      <c r="Q4482" t="s">
        <v>55</v>
      </c>
      <c r="T4482" t="s">
        <v>75</v>
      </c>
      <c r="U4482">
        <v>40</v>
      </c>
      <c r="V4482" s="1">
        <v>35796</v>
      </c>
      <c r="W4482" s="1">
        <v>35796</v>
      </c>
      <c r="X4482" s="1">
        <v>35796</v>
      </c>
      <c r="Y4482" s="1">
        <v>50406</v>
      </c>
      <c r="Z4482" t="s">
        <v>51</v>
      </c>
      <c r="AB4482" t="s">
        <v>54</v>
      </c>
      <c r="AE4482" t="s">
        <v>2108</v>
      </c>
      <c r="AF4482">
        <v>0</v>
      </c>
      <c r="AG4482" s="1">
        <v>44441</v>
      </c>
      <c r="AH4482" s="1">
        <v>44441</v>
      </c>
      <c r="AI4482" s="1">
        <v>44441</v>
      </c>
      <c r="AJ4482" s="1">
        <v>44441</v>
      </c>
      <c r="AK4482" t="s">
        <v>51</v>
      </c>
      <c r="AN4482">
        <v>0</v>
      </c>
      <c r="AO4482" t="s">
        <v>54</v>
      </c>
      <c r="AP4482" t="s">
        <v>53</v>
      </c>
      <c r="AQ4482">
        <v>0</v>
      </c>
      <c r="AR4482" t="s">
        <v>53</v>
      </c>
      <c r="AS4482">
        <v>0</v>
      </c>
      <c r="AT4482">
        <v>0</v>
      </c>
      <c r="AW4482" t="s">
        <v>172</v>
      </c>
      <c r="AX4482">
        <v>15</v>
      </c>
      <c r="AY4482" s="1">
        <v>44441</v>
      </c>
      <c r="AZ4482" s="1">
        <v>44441</v>
      </c>
      <c r="BA4482" s="1">
        <v>44441</v>
      </c>
      <c r="BB4482" s="1">
        <v>49920</v>
      </c>
      <c r="BC4482" t="s">
        <v>51</v>
      </c>
      <c r="BE4482" t="s">
        <v>54</v>
      </c>
      <c r="BF4482">
        <v>40</v>
      </c>
      <c r="BG4482">
        <v>0</v>
      </c>
      <c r="BH4482" t="s">
        <v>145</v>
      </c>
      <c r="CC4482" t="s">
        <v>432</v>
      </c>
      <c r="CD4482">
        <v>85000</v>
      </c>
      <c r="CE4482" s="1">
        <v>44441</v>
      </c>
      <c r="CF4482" s="1">
        <v>44441</v>
      </c>
      <c r="CG4482" s="1">
        <v>44441</v>
      </c>
      <c r="CH4482" s="1">
        <v>52029</v>
      </c>
      <c r="CI4482" t="s">
        <v>51</v>
      </c>
      <c r="CK4482" t="s">
        <v>78</v>
      </c>
      <c r="CM4482" t="s">
        <v>54</v>
      </c>
      <c r="CN4482" t="s">
        <v>174</v>
      </c>
      <c r="CO4482" t="s">
        <v>86</v>
      </c>
      <c r="CR4482">
        <v>24</v>
      </c>
      <c r="CS4482">
        <v>0</v>
      </c>
      <c r="CT4482">
        <v>0</v>
      </c>
      <c r="CU4482">
        <v>0</v>
      </c>
    </row>
    <row r="4483" spans="1:99" x14ac:dyDescent="0.2">
      <c r="A4483" t="s">
        <v>425</v>
      </c>
      <c r="B4483" t="s">
        <v>425</v>
      </c>
      <c r="C4483" t="s">
        <v>425</v>
      </c>
      <c r="D4483" t="s">
        <v>2010</v>
      </c>
      <c r="F4483" t="str">
        <f>"?252"</f>
        <v>?252</v>
      </c>
      <c r="G4483" t="s">
        <v>49</v>
      </c>
      <c r="K4483" t="s">
        <v>429</v>
      </c>
      <c r="L4483" t="s">
        <v>52</v>
      </c>
      <c r="M4483">
        <v>138023.95000000001</v>
      </c>
      <c r="N4483">
        <v>470737.88</v>
      </c>
      <c r="O4483" t="s">
        <v>53</v>
      </c>
      <c r="P4483" t="s">
        <v>54</v>
      </c>
      <c r="AP4483" t="s">
        <v>53</v>
      </c>
      <c r="AR4483" t="s">
        <v>53</v>
      </c>
      <c r="BH4483" t="s">
        <v>53</v>
      </c>
    </row>
    <row r="4484" spans="1:99" x14ac:dyDescent="0.2">
      <c r="A4484" t="s">
        <v>425</v>
      </c>
      <c r="B4484" t="s">
        <v>425</v>
      </c>
      <c r="C4484" t="s">
        <v>425</v>
      </c>
      <c r="D4484" t="s">
        <v>2010</v>
      </c>
      <c r="F4484" t="str">
        <f>"?253"</f>
        <v>?253</v>
      </c>
      <c r="G4484" t="s">
        <v>49</v>
      </c>
      <c r="K4484" t="s">
        <v>429</v>
      </c>
      <c r="L4484" t="s">
        <v>52</v>
      </c>
      <c r="M4484">
        <v>137984</v>
      </c>
      <c r="N4484">
        <v>470738.18</v>
      </c>
      <c r="O4484" t="s">
        <v>53</v>
      </c>
      <c r="P4484" t="s">
        <v>54</v>
      </c>
      <c r="AP4484" t="s">
        <v>53</v>
      </c>
      <c r="AR4484" t="s">
        <v>53</v>
      </c>
      <c r="BH4484" t="s">
        <v>53</v>
      </c>
    </row>
    <row r="4485" spans="1:99" x14ac:dyDescent="0.2">
      <c r="A4485" t="s">
        <v>112</v>
      </c>
      <c r="B4485" t="s">
        <v>113</v>
      </c>
      <c r="C4485" t="s">
        <v>114</v>
      </c>
      <c r="D4485" t="s">
        <v>2066</v>
      </c>
      <c r="F4485" t="str">
        <f>"?253358"</f>
        <v>?253358</v>
      </c>
      <c r="G4485" t="s">
        <v>49</v>
      </c>
      <c r="H4485" t="s">
        <v>97</v>
      </c>
      <c r="K4485" t="s">
        <v>51</v>
      </c>
      <c r="L4485" t="s">
        <v>52</v>
      </c>
      <c r="M4485">
        <v>136858.18</v>
      </c>
      <c r="N4485">
        <v>472403.73</v>
      </c>
      <c r="O4485" t="s">
        <v>53</v>
      </c>
      <c r="P4485" t="s">
        <v>54</v>
      </c>
      <c r="Q4485" t="s">
        <v>55</v>
      </c>
      <c r="T4485" t="s">
        <v>183</v>
      </c>
      <c r="U4485">
        <v>40</v>
      </c>
      <c r="V4485" s="1">
        <v>29221</v>
      </c>
      <c r="W4485" s="1">
        <v>29221</v>
      </c>
      <c r="X4485" s="1">
        <v>29221</v>
      </c>
      <c r="Y4485" s="1">
        <v>43831</v>
      </c>
      <c r="Z4485" t="s">
        <v>51</v>
      </c>
      <c r="AB4485" t="s">
        <v>54</v>
      </c>
      <c r="AC4485">
        <v>1</v>
      </c>
      <c r="AE4485" t="s">
        <v>84</v>
      </c>
      <c r="AF4485">
        <v>20</v>
      </c>
      <c r="AG4485" s="1">
        <v>34881</v>
      </c>
      <c r="AH4485" s="1">
        <v>34881</v>
      </c>
      <c r="AI4485" s="1">
        <v>34881</v>
      </c>
      <c r="AJ4485" s="1">
        <v>42186</v>
      </c>
      <c r="AK4485" t="s">
        <v>51</v>
      </c>
      <c r="AN4485">
        <v>0</v>
      </c>
      <c r="AO4485" t="s">
        <v>54</v>
      </c>
      <c r="AP4485" t="s">
        <v>53</v>
      </c>
      <c r="AQ4485">
        <v>0</v>
      </c>
      <c r="AR4485" t="s">
        <v>53</v>
      </c>
      <c r="AS4485">
        <v>0</v>
      </c>
      <c r="AT4485">
        <v>0</v>
      </c>
      <c r="AW4485" t="s">
        <v>58</v>
      </c>
      <c r="AX4485">
        <v>20</v>
      </c>
      <c r="AY4485" s="1">
        <v>34881</v>
      </c>
      <c r="AZ4485" s="1">
        <v>34881</v>
      </c>
      <c r="BA4485" s="1">
        <v>34881</v>
      </c>
      <c r="BB4485" s="1">
        <v>42186</v>
      </c>
      <c r="BC4485" t="s">
        <v>51</v>
      </c>
      <c r="BE4485" t="s">
        <v>54</v>
      </c>
      <c r="BF4485">
        <v>2</v>
      </c>
      <c r="BG4485">
        <v>0</v>
      </c>
      <c r="BH4485" t="s">
        <v>53</v>
      </c>
      <c r="BK4485" t="s">
        <v>59</v>
      </c>
      <c r="BL4485">
        <v>14000</v>
      </c>
      <c r="BM4485" s="1">
        <v>41456</v>
      </c>
      <c r="BN4485" s="1">
        <v>41456</v>
      </c>
      <c r="BO4485" s="1">
        <v>41456</v>
      </c>
      <c r="BP4485" s="1">
        <v>42656</v>
      </c>
      <c r="BQ4485" t="s">
        <v>51</v>
      </c>
      <c r="BS4485" t="s">
        <v>60</v>
      </c>
      <c r="BT4485" t="s">
        <v>54</v>
      </c>
      <c r="BU4485" t="s">
        <v>61</v>
      </c>
      <c r="BV4485" t="s">
        <v>62</v>
      </c>
      <c r="BX4485">
        <v>24</v>
      </c>
      <c r="BY4485">
        <v>0</v>
      </c>
      <c r="BZ4485">
        <v>0</v>
      </c>
    </row>
    <row r="4486" spans="1:99" x14ac:dyDescent="0.2">
      <c r="A4486" t="s">
        <v>425</v>
      </c>
      <c r="B4486" t="s">
        <v>425</v>
      </c>
      <c r="C4486" t="s">
        <v>425</v>
      </c>
      <c r="D4486" t="s">
        <v>2010</v>
      </c>
      <c r="F4486" t="str">
        <f>"?254"</f>
        <v>?254</v>
      </c>
      <c r="G4486" t="s">
        <v>49</v>
      </c>
      <c r="K4486" t="s">
        <v>429</v>
      </c>
      <c r="L4486" t="s">
        <v>52</v>
      </c>
      <c r="M4486">
        <v>137944.1</v>
      </c>
      <c r="N4486">
        <v>470737.38</v>
      </c>
      <c r="O4486" t="s">
        <v>53</v>
      </c>
      <c r="P4486" t="s">
        <v>54</v>
      </c>
      <c r="AP4486" t="s">
        <v>53</v>
      </c>
      <c r="AR4486" t="s">
        <v>53</v>
      </c>
      <c r="BH4486" t="s">
        <v>53</v>
      </c>
    </row>
    <row r="4487" spans="1:99" x14ac:dyDescent="0.2">
      <c r="A4487" t="s">
        <v>425</v>
      </c>
      <c r="B4487" t="s">
        <v>425</v>
      </c>
      <c r="C4487" t="s">
        <v>425</v>
      </c>
      <c r="D4487" t="s">
        <v>2010</v>
      </c>
      <c r="F4487" t="str">
        <f>"?255"</f>
        <v>?255</v>
      </c>
      <c r="G4487" t="s">
        <v>49</v>
      </c>
      <c r="K4487" t="s">
        <v>429</v>
      </c>
      <c r="L4487" t="s">
        <v>52</v>
      </c>
      <c r="M4487">
        <v>137906.51999999999</v>
      </c>
      <c r="N4487">
        <v>470736.85</v>
      </c>
      <c r="O4487" t="s">
        <v>53</v>
      </c>
      <c r="P4487" t="s">
        <v>54</v>
      </c>
      <c r="AP4487" t="s">
        <v>53</v>
      </c>
      <c r="AR4487" t="s">
        <v>53</v>
      </c>
      <c r="BH4487" t="s">
        <v>53</v>
      </c>
    </row>
    <row r="4488" spans="1:99" x14ac:dyDescent="0.2">
      <c r="A4488" t="s">
        <v>425</v>
      </c>
      <c r="B4488" t="s">
        <v>425</v>
      </c>
      <c r="C4488" t="s">
        <v>425</v>
      </c>
      <c r="D4488" t="s">
        <v>2010</v>
      </c>
      <c r="F4488" t="str">
        <f>"?256"</f>
        <v>?256</v>
      </c>
      <c r="G4488" t="s">
        <v>49</v>
      </c>
      <c r="K4488" t="s">
        <v>429</v>
      </c>
      <c r="L4488" t="s">
        <v>52</v>
      </c>
      <c r="M4488">
        <v>137872.10999999999</v>
      </c>
      <c r="N4488">
        <v>470736.47</v>
      </c>
      <c r="O4488" t="s">
        <v>53</v>
      </c>
      <c r="P4488" t="s">
        <v>54</v>
      </c>
      <c r="AP4488" t="s">
        <v>53</v>
      </c>
      <c r="AR4488" t="s">
        <v>53</v>
      </c>
      <c r="BH4488" t="s">
        <v>53</v>
      </c>
    </row>
    <row r="4489" spans="1:99" x14ac:dyDescent="0.2">
      <c r="A4489" t="s">
        <v>425</v>
      </c>
      <c r="B4489" t="s">
        <v>425</v>
      </c>
      <c r="C4489" t="s">
        <v>425</v>
      </c>
      <c r="D4489" t="s">
        <v>2010</v>
      </c>
      <c r="F4489" t="str">
        <f>"?257"</f>
        <v>?257</v>
      </c>
      <c r="G4489" t="s">
        <v>49</v>
      </c>
      <c r="K4489" t="s">
        <v>429</v>
      </c>
      <c r="L4489" t="s">
        <v>52</v>
      </c>
      <c r="M4489">
        <v>138038.82999999999</v>
      </c>
      <c r="N4489">
        <v>470553.34</v>
      </c>
      <c r="O4489" t="s">
        <v>53</v>
      </c>
      <c r="P4489" t="s">
        <v>54</v>
      </c>
      <c r="AP4489" t="s">
        <v>53</v>
      </c>
      <c r="AR4489" t="s">
        <v>53</v>
      </c>
      <c r="BH4489" t="s">
        <v>53</v>
      </c>
    </row>
    <row r="4490" spans="1:99" x14ac:dyDescent="0.2">
      <c r="A4490" t="s">
        <v>425</v>
      </c>
      <c r="B4490" t="s">
        <v>425</v>
      </c>
      <c r="C4490" t="s">
        <v>425</v>
      </c>
      <c r="D4490" t="s">
        <v>2010</v>
      </c>
      <c r="F4490" t="str">
        <f>"?258"</f>
        <v>?258</v>
      </c>
      <c r="G4490" t="s">
        <v>49</v>
      </c>
      <c r="K4490" t="s">
        <v>429</v>
      </c>
      <c r="L4490" t="s">
        <v>52</v>
      </c>
      <c r="M4490">
        <v>138026.01999999999</v>
      </c>
      <c r="N4490">
        <v>470549.38</v>
      </c>
      <c r="O4490" t="s">
        <v>53</v>
      </c>
      <c r="P4490" t="s">
        <v>54</v>
      </c>
      <c r="AP4490" t="s">
        <v>53</v>
      </c>
      <c r="AR4490" t="s">
        <v>53</v>
      </c>
      <c r="BH4490" t="s">
        <v>53</v>
      </c>
    </row>
    <row r="4491" spans="1:99" x14ac:dyDescent="0.2">
      <c r="A4491" t="s">
        <v>425</v>
      </c>
      <c r="B4491" t="s">
        <v>425</v>
      </c>
      <c r="C4491" t="s">
        <v>425</v>
      </c>
      <c r="D4491" t="s">
        <v>2010</v>
      </c>
      <c r="F4491" t="str">
        <f>"?259"</f>
        <v>?259</v>
      </c>
      <c r="G4491" t="s">
        <v>49</v>
      </c>
      <c r="K4491" t="s">
        <v>429</v>
      </c>
      <c r="L4491" t="s">
        <v>52</v>
      </c>
      <c r="M4491">
        <v>138015.26999999999</v>
      </c>
      <c r="N4491">
        <v>470540.69</v>
      </c>
      <c r="O4491" t="s">
        <v>53</v>
      </c>
      <c r="P4491" t="s">
        <v>54</v>
      </c>
      <c r="AP4491" t="s">
        <v>53</v>
      </c>
      <c r="AR4491" t="s">
        <v>53</v>
      </c>
      <c r="BH4491" t="s">
        <v>53</v>
      </c>
    </row>
    <row r="4492" spans="1:99" x14ac:dyDescent="0.2">
      <c r="A4492" t="s">
        <v>112</v>
      </c>
      <c r="B4492" t="s">
        <v>113</v>
      </c>
      <c r="C4492" t="s">
        <v>114</v>
      </c>
      <c r="D4492" t="s">
        <v>2111</v>
      </c>
      <c r="F4492" t="str">
        <f>"?26"</f>
        <v>?26</v>
      </c>
      <c r="G4492" t="s">
        <v>49</v>
      </c>
      <c r="K4492" t="s">
        <v>427</v>
      </c>
      <c r="L4492" t="s">
        <v>52</v>
      </c>
      <c r="M4492">
        <v>137653.94</v>
      </c>
      <c r="N4492">
        <v>474650.95</v>
      </c>
      <c r="O4492" t="s">
        <v>53</v>
      </c>
      <c r="P4492" t="s">
        <v>54</v>
      </c>
      <c r="AP4492" t="s">
        <v>53</v>
      </c>
      <c r="AR4492" t="s">
        <v>53</v>
      </c>
      <c r="BH4492" t="s">
        <v>53</v>
      </c>
    </row>
    <row r="4493" spans="1:99" x14ac:dyDescent="0.2">
      <c r="A4493" t="s">
        <v>425</v>
      </c>
      <c r="B4493" t="s">
        <v>425</v>
      </c>
      <c r="C4493" t="s">
        <v>425</v>
      </c>
      <c r="D4493" t="s">
        <v>2010</v>
      </c>
      <c r="F4493" t="str">
        <f>"?260"</f>
        <v>?260</v>
      </c>
      <c r="G4493" t="s">
        <v>49</v>
      </c>
      <c r="K4493" t="s">
        <v>429</v>
      </c>
      <c r="L4493" t="s">
        <v>52</v>
      </c>
      <c r="M4493">
        <v>137990.67000000001</v>
      </c>
      <c r="N4493">
        <v>470536.44</v>
      </c>
      <c r="O4493" t="s">
        <v>53</v>
      </c>
      <c r="P4493" t="s">
        <v>54</v>
      </c>
      <c r="AP4493" t="s">
        <v>53</v>
      </c>
      <c r="AR4493" t="s">
        <v>53</v>
      </c>
      <c r="BH4493" t="s">
        <v>53</v>
      </c>
    </row>
    <row r="4494" spans="1:99" x14ac:dyDescent="0.2">
      <c r="A4494" t="s">
        <v>425</v>
      </c>
      <c r="B4494" t="s">
        <v>425</v>
      </c>
      <c r="C4494" t="s">
        <v>425</v>
      </c>
      <c r="D4494" t="s">
        <v>2010</v>
      </c>
      <c r="F4494" t="str">
        <f>"?261"</f>
        <v>?261</v>
      </c>
      <c r="G4494" t="s">
        <v>49</v>
      </c>
      <c r="K4494" t="s">
        <v>429</v>
      </c>
      <c r="L4494" t="s">
        <v>52</v>
      </c>
      <c r="M4494">
        <v>137958.53</v>
      </c>
      <c r="N4494">
        <v>470536.03</v>
      </c>
      <c r="O4494" t="s">
        <v>53</v>
      </c>
      <c r="P4494" t="s">
        <v>54</v>
      </c>
      <c r="AP4494" t="s">
        <v>53</v>
      </c>
      <c r="AR4494" t="s">
        <v>53</v>
      </c>
      <c r="BH4494" t="s">
        <v>53</v>
      </c>
    </row>
    <row r="4495" spans="1:99" x14ac:dyDescent="0.2">
      <c r="A4495" t="s">
        <v>112</v>
      </c>
      <c r="B4495" t="s">
        <v>113</v>
      </c>
      <c r="C4495" t="s">
        <v>114</v>
      </c>
      <c r="D4495" t="s">
        <v>2106</v>
      </c>
      <c r="F4495" t="str">
        <f>"?262"</f>
        <v>?262</v>
      </c>
      <c r="G4495" t="s">
        <v>49</v>
      </c>
      <c r="K4495" t="s">
        <v>429</v>
      </c>
      <c r="L4495" t="s">
        <v>52</v>
      </c>
      <c r="M4495">
        <v>138200.09</v>
      </c>
      <c r="N4495">
        <v>472298.06</v>
      </c>
      <c r="O4495" t="s">
        <v>53</v>
      </c>
      <c r="P4495" t="s">
        <v>54</v>
      </c>
      <c r="AP4495" t="s">
        <v>53</v>
      </c>
      <c r="AR4495" t="s">
        <v>53</v>
      </c>
      <c r="BH4495" t="s">
        <v>53</v>
      </c>
    </row>
    <row r="4496" spans="1:99" x14ac:dyDescent="0.2">
      <c r="A4496" t="s">
        <v>112</v>
      </c>
      <c r="B4496" t="s">
        <v>113</v>
      </c>
      <c r="C4496" t="s">
        <v>114</v>
      </c>
      <c r="D4496" t="s">
        <v>2106</v>
      </c>
      <c r="F4496" t="str">
        <f>"?263"</f>
        <v>?263</v>
      </c>
      <c r="G4496" t="s">
        <v>49</v>
      </c>
      <c r="K4496" t="s">
        <v>429</v>
      </c>
      <c r="L4496" t="s">
        <v>52</v>
      </c>
      <c r="M4496">
        <v>138182.403729265</v>
      </c>
      <c r="N4496">
        <v>472307.07956739399</v>
      </c>
      <c r="O4496" t="s">
        <v>53</v>
      </c>
      <c r="P4496" t="s">
        <v>54</v>
      </c>
      <c r="AP4496" t="s">
        <v>53</v>
      </c>
      <c r="AR4496" t="s">
        <v>53</v>
      </c>
      <c r="BH4496" t="s">
        <v>53</v>
      </c>
    </row>
    <row r="4497" spans="1:78" x14ac:dyDescent="0.2">
      <c r="A4497" t="s">
        <v>112</v>
      </c>
      <c r="B4497" t="s">
        <v>113</v>
      </c>
      <c r="C4497" t="s">
        <v>114</v>
      </c>
      <c r="D4497" t="s">
        <v>2106</v>
      </c>
      <c r="F4497" t="str">
        <f>"?264"</f>
        <v>?264</v>
      </c>
      <c r="G4497" t="s">
        <v>49</v>
      </c>
      <c r="K4497" t="s">
        <v>429</v>
      </c>
      <c r="L4497" t="s">
        <v>52</v>
      </c>
      <c r="M4497">
        <v>138158.34</v>
      </c>
      <c r="N4497">
        <v>472319</v>
      </c>
      <c r="O4497" t="s">
        <v>53</v>
      </c>
      <c r="P4497" t="s">
        <v>54</v>
      </c>
      <c r="AP4497" t="s">
        <v>53</v>
      </c>
      <c r="AR4497" t="s">
        <v>53</v>
      </c>
      <c r="BH4497" t="s">
        <v>53</v>
      </c>
    </row>
    <row r="4498" spans="1:78" x14ac:dyDescent="0.2">
      <c r="A4498" t="s">
        <v>112</v>
      </c>
      <c r="B4498" t="s">
        <v>113</v>
      </c>
      <c r="C4498" t="s">
        <v>114</v>
      </c>
      <c r="D4498" t="s">
        <v>2106</v>
      </c>
      <c r="F4498" t="str">
        <f>"?265"</f>
        <v>?265</v>
      </c>
      <c r="G4498" t="s">
        <v>49</v>
      </c>
      <c r="K4498" t="s">
        <v>429</v>
      </c>
      <c r="L4498" t="s">
        <v>52</v>
      </c>
      <c r="M4498">
        <v>138140.47</v>
      </c>
      <c r="N4498">
        <v>472324.47</v>
      </c>
      <c r="O4498" t="s">
        <v>53</v>
      </c>
      <c r="P4498" t="s">
        <v>54</v>
      </c>
      <c r="AP4498" t="s">
        <v>53</v>
      </c>
      <c r="AR4498" t="s">
        <v>53</v>
      </c>
      <c r="BH4498" t="s">
        <v>53</v>
      </c>
    </row>
    <row r="4499" spans="1:78" x14ac:dyDescent="0.2">
      <c r="A4499" t="s">
        <v>112</v>
      </c>
      <c r="B4499" t="s">
        <v>113</v>
      </c>
      <c r="C4499" t="s">
        <v>114</v>
      </c>
      <c r="D4499" t="s">
        <v>2106</v>
      </c>
      <c r="F4499" t="str">
        <f>"?266"</f>
        <v>?266</v>
      </c>
      <c r="G4499" t="s">
        <v>49</v>
      </c>
      <c r="K4499" t="s">
        <v>429</v>
      </c>
      <c r="L4499" t="s">
        <v>52</v>
      </c>
      <c r="M4499">
        <v>138126.51999999999</v>
      </c>
      <c r="N4499">
        <v>472328.03</v>
      </c>
      <c r="O4499" t="s">
        <v>53</v>
      </c>
      <c r="P4499" t="s">
        <v>54</v>
      </c>
      <c r="AP4499" t="s">
        <v>53</v>
      </c>
      <c r="AR4499" t="s">
        <v>53</v>
      </c>
      <c r="BH4499" t="s">
        <v>53</v>
      </c>
    </row>
    <row r="4500" spans="1:78" x14ac:dyDescent="0.2">
      <c r="A4500" t="s">
        <v>425</v>
      </c>
      <c r="B4500" t="s">
        <v>425</v>
      </c>
      <c r="C4500" t="s">
        <v>425</v>
      </c>
      <c r="D4500" t="s">
        <v>2010</v>
      </c>
      <c r="F4500" t="str">
        <f>"?268"</f>
        <v>?268</v>
      </c>
      <c r="G4500" t="s">
        <v>49</v>
      </c>
      <c r="K4500" t="s">
        <v>429</v>
      </c>
      <c r="L4500" t="s">
        <v>52</v>
      </c>
      <c r="M4500">
        <v>137899.53</v>
      </c>
      <c r="N4500">
        <v>470531.75</v>
      </c>
      <c r="O4500" t="s">
        <v>53</v>
      </c>
      <c r="P4500" t="s">
        <v>54</v>
      </c>
      <c r="AP4500" t="s">
        <v>53</v>
      </c>
      <c r="AR4500" t="s">
        <v>53</v>
      </c>
      <c r="BH4500" t="s">
        <v>53</v>
      </c>
    </row>
    <row r="4501" spans="1:78" x14ac:dyDescent="0.2">
      <c r="A4501" t="s">
        <v>425</v>
      </c>
      <c r="B4501" t="s">
        <v>425</v>
      </c>
      <c r="C4501" t="s">
        <v>425</v>
      </c>
      <c r="D4501" t="s">
        <v>2010</v>
      </c>
      <c r="F4501" t="str">
        <f>"?269"</f>
        <v>?269</v>
      </c>
      <c r="G4501" t="s">
        <v>49</v>
      </c>
      <c r="K4501" t="s">
        <v>429</v>
      </c>
      <c r="L4501" t="s">
        <v>52</v>
      </c>
      <c r="M4501">
        <v>137868</v>
      </c>
      <c r="N4501">
        <v>470531.09</v>
      </c>
      <c r="O4501" t="s">
        <v>53</v>
      </c>
      <c r="P4501" t="s">
        <v>54</v>
      </c>
      <c r="AP4501" t="s">
        <v>53</v>
      </c>
      <c r="AR4501" t="s">
        <v>53</v>
      </c>
      <c r="BH4501" t="s">
        <v>53</v>
      </c>
    </row>
    <row r="4502" spans="1:78" x14ac:dyDescent="0.2">
      <c r="A4502" t="s">
        <v>112</v>
      </c>
      <c r="B4502" t="s">
        <v>113</v>
      </c>
      <c r="C4502" t="s">
        <v>114</v>
      </c>
      <c r="D4502" t="s">
        <v>2111</v>
      </c>
      <c r="F4502" t="str">
        <f>"?27"</f>
        <v>?27</v>
      </c>
      <c r="G4502" t="s">
        <v>49</v>
      </c>
      <c r="K4502" t="s">
        <v>427</v>
      </c>
      <c r="L4502" t="s">
        <v>52</v>
      </c>
      <c r="M4502">
        <v>137614.87</v>
      </c>
      <c r="N4502">
        <v>474644.5</v>
      </c>
      <c r="O4502" t="s">
        <v>53</v>
      </c>
      <c r="P4502" t="s">
        <v>54</v>
      </c>
      <c r="AP4502" t="s">
        <v>53</v>
      </c>
      <c r="AR4502" t="s">
        <v>53</v>
      </c>
      <c r="BH4502" t="s">
        <v>53</v>
      </c>
    </row>
    <row r="4503" spans="1:78" x14ac:dyDescent="0.2">
      <c r="A4503" t="s">
        <v>425</v>
      </c>
      <c r="B4503" t="s">
        <v>425</v>
      </c>
      <c r="C4503" t="s">
        <v>425</v>
      </c>
      <c r="D4503" t="s">
        <v>2010</v>
      </c>
      <c r="F4503" t="str">
        <f>"?270"</f>
        <v>?270</v>
      </c>
      <c r="G4503" t="s">
        <v>49</v>
      </c>
      <c r="K4503" t="s">
        <v>429</v>
      </c>
      <c r="L4503" t="s">
        <v>52</v>
      </c>
      <c r="M4503">
        <v>137841.64000000001</v>
      </c>
      <c r="N4503">
        <v>470530.72</v>
      </c>
      <c r="O4503" t="s">
        <v>53</v>
      </c>
      <c r="P4503" t="s">
        <v>54</v>
      </c>
      <c r="AP4503" t="s">
        <v>53</v>
      </c>
      <c r="AR4503" t="s">
        <v>53</v>
      </c>
      <c r="BH4503" t="s">
        <v>53</v>
      </c>
    </row>
    <row r="4504" spans="1:78" x14ac:dyDescent="0.2">
      <c r="A4504" t="s">
        <v>112</v>
      </c>
      <c r="B4504" t="s">
        <v>113</v>
      </c>
      <c r="C4504" t="s">
        <v>114</v>
      </c>
      <c r="D4504" t="s">
        <v>428</v>
      </c>
      <c r="F4504" t="str">
        <f>"?271"</f>
        <v>?271</v>
      </c>
      <c r="G4504" t="s">
        <v>49</v>
      </c>
      <c r="K4504" t="s">
        <v>51</v>
      </c>
      <c r="L4504" t="s">
        <v>52</v>
      </c>
      <c r="M4504">
        <v>136958.092</v>
      </c>
      <c r="N4504">
        <v>470412.78700000001</v>
      </c>
      <c r="O4504" t="s">
        <v>53</v>
      </c>
      <c r="P4504" t="s">
        <v>54</v>
      </c>
      <c r="Q4504" t="s">
        <v>55</v>
      </c>
      <c r="T4504" t="s">
        <v>431</v>
      </c>
      <c r="U4504">
        <v>40</v>
      </c>
      <c r="V4504" s="1">
        <v>29221</v>
      </c>
      <c r="W4504" s="1">
        <v>29221</v>
      </c>
      <c r="X4504" s="1">
        <v>29221</v>
      </c>
      <c r="Y4504" s="1">
        <v>43831</v>
      </c>
      <c r="Z4504" t="s">
        <v>51</v>
      </c>
      <c r="AB4504" t="s">
        <v>54</v>
      </c>
      <c r="AC4504">
        <v>1</v>
      </c>
      <c r="AE4504" t="s">
        <v>79</v>
      </c>
      <c r="AF4504">
        <v>20</v>
      </c>
      <c r="AG4504" s="1">
        <v>34700</v>
      </c>
      <c r="AH4504" s="1">
        <v>34700</v>
      </c>
      <c r="AI4504" s="1">
        <v>34700</v>
      </c>
      <c r="AJ4504" s="1">
        <v>42005</v>
      </c>
      <c r="AK4504" t="s">
        <v>51</v>
      </c>
      <c r="AN4504">
        <v>0</v>
      </c>
      <c r="AO4504" t="s">
        <v>54</v>
      </c>
      <c r="AP4504" t="s">
        <v>53</v>
      </c>
      <c r="AQ4504">
        <v>0</v>
      </c>
      <c r="AR4504" t="s">
        <v>145</v>
      </c>
      <c r="AS4504">
        <v>0</v>
      </c>
      <c r="AT4504">
        <v>0</v>
      </c>
      <c r="AW4504" t="s">
        <v>79</v>
      </c>
      <c r="AX4504">
        <v>20</v>
      </c>
      <c r="AY4504" s="1">
        <v>34700</v>
      </c>
      <c r="AZ4504" s="1">
        <v>34700</v>
      </c>
      <c r="BA4504" s="1">
        <v>34700</v>
      </c>
      <c r="BB4504" s="1">
        <v>42005</v>
      </c>
      <c r="BC4504" t="s">
        <v>51</v>
      </c>
      <c r="BE4504" t="s">
        <v>54</v>
      </c>
      <c r="BF4504">
        <v>5</v>
      </c>
      <c r="BG4504">
        <v>0</v>
      </c>
      <c r="BH4504" t="s">
        <v>53</v>
      </c>
      <c r="BK4504" t="s">
        <v>59</v>
      </c>
      <c r="BL4504">
        <v>14000</v>
      </c>
      <c r="BM4504" s="1">
        <v>44627</v>
      </c>
      <c r="BN4504" s="1">
        <v>44627</v>
      </c>
      <c r="BO4504" s="1">
        <v>44627</v>
      </c>
      <c r="BP4504" s="1">
        <v>45835</v>
      </c>
      <c r="BQ4504" t="s">
        <v>51</v>
      </c>
      <c r="BS4504" t="s">
        <v>60</v>
      </c>
      <c r="BT4504" t="s">
        <v>54</v>
      </c>
      <c r="BU4504" t="s">
        <v>61</v>
      </c>
      <c r="BV4504" t="s">
        <v>62</v>
      </c>
      <c r="BX4504">
        <v>24</v>
      </c>
      <c r="BY4504">
        <v>0</v>
      </c>
      <c r="BZ4504">
        <v>0</v>
      </c>
    </row>
    <row r="4505" spans="1:78" x14ac:dyDescent="0.2">
      <c r="A4505" t="s">
        <v>112</v>
      </c>
      <c r="B4505" t="s">
        <v>113</v>
      </c>
      <c r="C4505" t="s">
        <v>114</v>
      </c>
      <c r="D4505" t="s">
        <v>428</v>
      </c>
      <c r="F4505" t="str">
        <f>"?272"</f>
        <v>?272</v>
      </c>
      <c r="G4505" t="s">
        <v>49</v>
      </c>
      <c r="K4505" t="s">
        <v>51</v>
      </c>
      <c r="L4505" t="s">
        <v>52</v>
      </c>
      <c r="M4505">
        <v>136948.97</v>
      </c>
      <c r="N4505">
        <v>470433.15</v>
      </c>
      <c r="O4505" t="s">
        <v>53</v>
      </c>
      <c r="P4505" t="s">
        <v>54</v>
      </c>
      <c r="Q4505" t="s">
        <v>55</v>
      </c>
      <c r="T4505" t="s">
        <v>431</v>
      </c>
      <c r="U4505">
        <v>40</v>
      </c>
      <c r="V4505" s="1">
        <v>29221</v>
      </c>
      <c r="W4505" s="1">
        <v>29221</v>
      </c>
      <c r="X4505" s="1">
        <v>29221</v>
      </c>
      <c r="Y4505" s="1">
        <v>43831</v>
      </c>
      <c r="Z4505" t="s">
        <v>51</v>
      </c>
      <c r="AB4505" t="s">
        <v>54</v>
      </c>
      <c r="AC4505">
        <v>1</v>
      </c>
      <c r="AE4505" t="s">
        <v>79</v>
      </c>
      <c r="AF4505">
        <v>20</v>
      </c>
      <c r="AG4505" s="1">
        <v>34700</v>
      </c>
      <c r="AH4505" s="1">
        <v>34700</v>
      </c>
      <c r="AI4505" s="1">
        <v>34700</v>
      </c>
      <c r="AJ4505" s="1">
        <v>42005</v>
      </c>
      <c r="AK4505" t="s">
        <v>51</v>
      </c>
      <c r="AN4505">
        <v>0</v>
      </c>
      <c r="AO4505" t="s">
        <v>54</v>
      </c>
      <c r="AP4505" t="s">
        <v>53</v>
      </c>
      <c r="AQ4505">
        <v>0</v>
      </c>
      <c r="AR4505" t="s">
        <v>145</v>
      </c>
      <c r="AS4505">
        <v>0</v>
      </c>
      <c r="AT4505">
        <v>0</v>
      </c>
      <c r="AW4505" t="s">
        <v>79</v>
      </c>
      <c r="AX4505">
        <v>20</v>
      </c>
      <c r="AY4505" s="1">
        <v>34700</v>
      </c>
      <c r="AZ4505" s="1">
        <v>34700</v>
      </c>
      <c r="BA4505" s="1">
        <v>34700</v>
      </c>
      <c r="BB4505" s="1">
        <v>42005</v>
      </c>
      <c r="BC4505" t="s">
        <v>51</v>
      </c>
      <c r="BE4505" t="s">
        <v>54</v>
      </c>
      <c r="BF4505">
        <v>5</v>
      </c>
      <c r="BG4505">
        <v>0</v>
      </c>
      <c r="BH4505" t="s">
        <v>53</v>
      </c>
      <c r="BK4505" t="s">
        <v>59</v>
      </c>
      <c r="BL4505">
        <v>14000</v>
      </c>
      <c r="BM4505" s="1">
        <v>44137</v>
      </c>
      <c r="BN4505" s="1">
        <v>44137</v>
      </c>
      <c r="BO4505" s="1">
        <v>44137</v>
      </c>
      <c r="BP4505" s="1">
        <v>45297</v>
      </c>
      <c r="BQ4505" t="s">
        <v>51</v>
      </c>
      <c r="BS4505" t="s">
        <v>60</v>
      </c>
      <c r="BT4505" t="s">
        <v>54</v>
      </c>
      <c r="BU4505" t="s">
        <v>61</v>
      </c>
      <c r="BV4505" t="s">
        <v>62</v>
      </c>
      <c r="BX4505">
        <v>24</v>
      </c>
      <c r="BY4505">
        <v>0</v>
      </c>
      <c r="BZ4505">
        <v>0</v>
      </c>
    </row>
    <row r="4506" spans="1:78" x14ac:dyDescent="0.2">
      <c r="A4506" t="s">
        <v>425</v>
      </c>
      <c r="B4506" t="s">
        <v>425</v>
      </c>
      <c r="C4506" t="s">
        <v>425</v>
      </c>
      <c r="D4506" t="s">
        <v>2010</v>
      </c>
      <c r="F4506" t="str">
        <f>"?273"</f>
        <v>?273</v>
      </c>
      <c r="G4506" t="s">
        <v>49</v>
      </c>
      <c r="K4506" t="s">
        <v>429</v>
      </c>
      <c r="L4506" t="s">
        <v>52</v>
      </c>
      <c r="M4506">
        <v>137835.17000000001</v>
      </c>
      <c r="N4506">
        <v>470612.63</v>
      </c>
      <c r="O4506" t="s">
        <v>53</v>
      </c>
      <c r="P4506" t="s">
        <v>54</v>
      </c>
      <c r="AP4506" t="s">
        <v>53</v>
      </c>
      <c r="AR4506" t="s">
        <v>53</v>
      </c>
      <c r="BH4506" t="s">
        <v>53</v>
      </c>
    </row>
    <row r="4507" spans="1:78" x14ac:dyDescent="0.2">
      <c r="A4507" t="s">
        <v>425</v>
      </c>
      <c r="B4507" t="s">
        <v>425</v>
      </c>
      <c r="C4507" t="s">
        <v>425</v>
      </c>
      <c r="D4507" t="s">
        <v>2010</v>
      </c>
      <c r="F4507" t="str">
        <f>"?274"</f>
        <v>?274</v>
      </c>
      <c r="G4507" t="s">
        <v>49</v>
      </c>
      <c r="K4507" t="s">
        <v>429</v>
      </c>
      <c r="L4507" t="s">
        <v>52</v>
      </c>
      <c r="M4507">
        <v>137827.69</v>
      </c>
      <c r="N4507">
        <v>470557.69</v>
      </c>
      <c r="O4507" t="s">
        <v>53</v>
      </c>
      <c r="P4507" t="s">
        <v>54</v>
      </c>
      <c r="AP4507" t="s">
        <v>53</v>
      </c>
      <c r="AR4507" t="s">
        <v>53</v>
      </c>
      <c r="BH4507" t="s">
        <v>53</v>
      </c>
    </row>
    <row r="4508" spans="1:78" x14ac:dyDescent="0.2">
      <c r="A4508" t="s">
        <v>425</v>
      </c>
      <c r="B4508" t="s">
        <v>425</v>
      </c>
      <c r="C4508" t="s">
        <v>425</v>
      </c>
      <c r="D4508" t="s">
        <v>2010</v>
      </c>
      <c r="F4508" t="str">
        <f>"?275"</f>
        <v>?275</v>
      </c>
      <c r="G4508" t="s">
        <v>49</v>
      </c>
      <c r="K4508" t="s">
        <v>429</v>
      </c>
      <c r="L4508" t="s">
        <v>52</v>
      </c>
      <c r="M4508">
        <v>137836.28</v>
      </c>
      <c r="N4508">
        <v>470583</v>
      </c>
      <c r="O4508" t="s">
        <v>53</v>
      </c>
      <c r="P4508" t="s">
        <v>54</v>
      </c>
      <c r="AP4508" t="s">
        <v>53</v>
      </c>
      <c r="AR4508" t="s">
        <v>53</v>
      </c>
      <c r="BH4508" t="s">
        <v>53</v>
      </c>
    </row>
    <row r="4509" spans="1:78" x14ac:dyDescent="0.2">
      <c r="A4509" t="s">
        <v>425</v>
      </c>
      <c r="B4509" t="s">
        <v>425</v>
      </c>
      <c r="C4509" t="s">
        <v>425</v>
      </c>
      <c r="D4509" t="s">
        <v>2010</v>
      </c>
      <c r="F4509" t="str">
        <f>"?276"</f>
        <v>?276</v>
      </c>
      <c r="G4509" t="s">
        <v>49</v>
      </c>
      <c r="K4509" t="s">
        <v>429</v>
      </c>
      <c r="L4509" t="s">
        <v>52</v>
      </c>
      <c r="M4509">
        <v>137786.28</v>
      </c>
      <c r="N4509">
        <v>470581.19</v>
      </c>
      <c r="O4509" t="s">
        <v>53</v>
      </c>
      <c r="P4509" t="s">
        <v>54</v>
      </c>
      <c r="AP4509" t="s">
        <v>53</v>
      </c>
      <c r="AR4509" t="s">
        <v>53</v>
      </c>
      <c r="BH4509" t="s">
        <v>53</v>
      </c>
    </row>
    <row r="4510" spans="1:78" x14ac:dyDescent="0.2">
      <c r="A4510" t="s">
        <v>425</v>
      </c>
      <c r="B4510" t="s">
        <v>425</v>
      </c>
      <c r="C4510" t="s">
        <v>425</v>
      </c>
      <c r="D4510" t="s">
        <v>2010</v>
      </c>
      <c r="F4510" t="str">
        <f>"?277"</f>
        <v>?277</v>
      </c>
      <c r="G4510" t="s">
        <v>49</v>
      </c>
      <c r="K4510" t="s">
        <v>429</v>
      </c>
      <c r="L4510" t="s">
        <v>52</v>
      </c>
      <c r="M4510">
        <v>137754</v>
      </c>
      <c r="N4510">
        <v>470581.44</v>
      </c>
      <c r="O4510" t="s">
        <v>53</v>
      </c>
      <c r="P4510" t="s">
        <v>54</v>
      </c>
      <c r="AP4510" t="s">
        <v>53</v>
      </c>
      <c r="AR4510" t="s">
        <v>53</v>
      </c>
      <c r="BH4510" t="s">
        <v>53</v>
      </c>
    </row>
    <row r="4511" spans="1:78" x14ac:dyDescent="0.2">
      <c r="A4511" t="s">
        <v>425</v>
      </c>
      <c r="B4511" t="s">
        <v>425</v>
      </c>
      <c r="C4511" t="s">
        <v>425</v>
      </c>
      <c r="D4511" t="s">
        <v>2010</v>
      </c>
      <c r="F4511" t="str">
        <f>"?278"</f>
        <v>?278</v>
      </c>
      <c r="G4511" t="s">
        <v>49</v>
      </c>
      <c r="K4511" t="s">
        <v>429</v>
      </c>
      <c r="L4511" t="s">
        <v>52</v>
      </c>
      <c r="M4511">
        <v>137730.32999999999</v>
      </c>
      <c r="N4511">
        <v>470580.34</v>
      </c>
      <c r="O4511" t="s">
        <v>53</v>
      </c>
      <c r="P4511" t="s">
        <v>54</v>
      </c>
      <c r="AP4511" t="s">
        <v>53</v>
      </c>
      <c r="AR4511" t="s">
        <v>53</v>
      </c>
      <c r="BH4511" t="s">
        <v>53</v>
      </c>
    </row>
    <row r="4512" spans="1:78" x14ac:dyDescent="0.2">
      <c r="A4512" t="s">
        <v>425</v>
      </c>
      <c r="B4512" t="s">
        <v>425</v>
      </c>
      <c r="C4512" t="s">
        <v>425</v>
      </c>
      <c r="D4512" t="s">
        <v>2010</v>
      </c>
      <c r="F4512" t="str">
        <f>"?279"</f>
        <v>?279</v>
      </c>
      <c r="G4512" t="s">
        <v>49</v>
      </c>
      <c r="K4512" t="s">
        <v>429</v>
      </c>
      <c r="L4512" t="s">
        <v>52</v>
      </c>
      <c r="M4512">
        <v>137717.69</v>
      </c>
      <c r="N4512">
        <v>470554.19</v>
      </c>
      <c r="O4512" t="s">
        <v>53</v>
      </c>
      <c r="P4512" t="s">
        <v>54</v>
      </c>
      <c r="AP4512" t="s">
        <v>53</v>
      </c>
      <c r="AR4512" t="s">
        <v>53</v>
      </c>
      <c r="BH4512" t="s">
        <v>53</v>
      </c>
    </row>
    <row r="4513" spans="1:60" x14ac:dyDescent="0.2">
      <c r="A4513" t="s">
        <v>425</v>
      </c>
      <c r="B4513" t="s">
        <v>425</v>
      </c>
      <c r="C4513" t="s">
        <v>425</v>
      </c>
      <c r="D4513" t="s">
        <v>2010</v>
      </c>
      <c r="F4513" t="str">
        <f>"?280"</f>
        <v>?280</v>
      </c>
      <c r="G4513" t="s">
        <v>49</v>
      </c>
      <c r="K4513" t="s">
        <v>429</v>
      </c>
      <c r="L4513" t="s">
        <v>52</v>
      </c>
      <c r="M4513">
        <v>137706.35999999999</v>
      </c>
      <c r="N4513">
        <v>470580</v>
      </c>
      <c r="O4513" t="s">
        <v>53</v>
      </c>
      <c r="P4513" t="s">
        <v>54</v>
      </c>
      <c r="AP4513" t="s">
        <v>53</v>
      </c>
      <c r="AR4513" t="s">
        <v>53</v>
      </c>
      <c r="BH4513" t="s">
        <v>53</v>
      </c>
    </row>
    <row r="4514" spans="1:60" x14ac:dyDescent="0.2">
      <c r="A4514" t="s">
        <v>425</v>
      </c>
      <c r="B4514" t="s">
        <v>425</v>
      </c>
      <c r="C4514" t="s">
        <v>425</v>
      </c>
      <c r="D4514" t="s">
        <v>2010</v>
      </c>
      <c r="F4514" t="str">
        <f>"?281"</f>
        <v>?281</v>
      </c>
      <c r="G4514" t="s">
        <v>49</v>
      </c>
      <c r="K4514" t="s">
        <v>429</v>
      </c>
      <c r="L4514" t="s">
        <v>52</v>
      </c>
      <c r="M4514">
        <v>137811.34</v>
      </c>
      <c r="N4514">
        <v>470612.03</v>
      </c>
      <c r="O4514" t="s">
        <v>53</v>
      </c>
      <c r="P4514" t="s">
        <v>54</v>
      </c>
      <c r="AP4514" t="s">
        <v>53</v>
      </c>
      <c r="AR4514" t="s">
        <v>53</v>
      </c>
      <c r="BH4514" t="s">
        <v>53</v>
      </c>
    </row>
    <row r="4515" spans="1:60" x14ac:dyDescent="0.2">
      <c r="A4515" t="s">
        <v>425</v>
      </c>
      <c r="B4515" t="s">
        <v>425</v>
      </c>
      <c r="C4515" t="s">
        <v>425</v>
      </c>
      <c r="D4515" t="s">
        <v>2010</v>
      </c>
      <c r="F4515" t="str">
        <f>"?282"</f>
        <v>?282</v>
      </c>
      <c r="G4515" t="s">
        <v>49</v>
      </c>
      <c r="K4515" t="s">
        <v>429</v>
      </c>
      <c r="L4515" t="s">
        <v>52</v>
      </c>
      <c r="M4515">
        <v>137783.5</v>
      </c>
      <c r="N4515">
        <v>470611.81</v>
      </c>
      <c r="O4515" t="s">
        <v>53</v>
      </c>
      <c r="P4515" t="s">
        <v>54</v>
      </c>
      <c r="AP4515" t="s">
        <v>53</v>
      </c>
      <c r="AR4515" t="s">
        <v>53</v>
      </c>
      <c r="BH4515" t="s">
        <v>53</v>
      </c>
    </row>
    <row r="4516" spans="1:60" x14ac:dyDescent="0.2">
      <c r="A4516" t="s">
        <v>425</v>
      </c>
      <c r="B4516" t="s">
        <v>425</v>
      </c>
      <c r="C4516" t="s">
        <v>425</v>
      </c>
      <c r="D4516" t="s">
        <v>2010</v>
      </c>
      <c r="F4516" t="str">
        <f>"?283"</f>
        <v>?283</v>
      </c>
      <c r="G4516" t="s">
        <v>49</v>
      </c>
      <c r="K4516" t="s">
        <v>429</v>
      </c>
      <c r="L4516" t="s">
        <v>52</v>
      </c>
      <c r="M4516">
        <v>137754.17000000001</v>
      </c>
      <c r="N4516">
        <v>470610.75</v>
      </c>
      <c r="O4516" t="s">
        <v>53</v>
      </c>
      <c r="P4516" t="s">
        <v>54</v>
      </c>
      <c r="AP4516" t="s">
        <v>53</v>
      </c>
      <c r="AR4516" t="s">
        <v>53</v>
      </c>
      <c r="BH4516" t="s">
        <v>53</v>
      </c>
    </row>
    <row r="4517" spans="1:60" x14ac:dyDescent="0.2">
      <c r="A4517" t="s">
        <v>425</v>
      </c>
      <c r="B4517" t="s">
        <v>425</v>
      </c>
      <c r="C4517" t="s">
        <v>425</v>
      </c>
      <c r="D4517" t="s">
        <v>2010</v>
      </c>
      <c r="F4517" t="str">
        <f>"?284"</f>
        <v>?284</v>
      </c>
      <c r="G4517" t="s">
        <v>49</v>
      </c>
      <c r="K4517" t="s">
        <v>429</v>
      </c>
      <c r="L4517" t="s">
        <v>52</v>
      </c>
      <c r="M4517">
        <v>137731.60999999999</v>
      </c>
      <c r="N4517">
        <v>470609.66</v>
      </c>
      <c r="O4517" t="s">
        <v>53</v>
      </c>
      <c r="P4517" t="s">
        <v>54</v>
      </c>
      <c r="AP4517" t="s">
        <v>53</v>
      </c>
      <c r="AR4517" t="s">
        <v>53</v>
      </c>
      <c r="BH4517" t="s">
        <v>53</v>
      </c>
    </row>
    <row r="4518" spans="1:60" x14ac:dyDescent="0.2">
      <c r="A4518" t="s">
        <v>425</v>
      </c>
      <c r="B4518" t="s">
        <v>425</v>
      </c>
      <c r="C4518" t="s">
        <v>425</v>
      </c>
      <c r="D4518" t="s">
        <v>2010</v>
      </c>
      <c r="F4518" t="str">
        <f>"?285"</f>
        <v>?285</v>
      </c>
      <c r="G4518" t="s">
        <v>49</v>
      </c>
      <c r="K4518" t="s">
        <v>429</v>
      </c>
      <c r="L4518" t="s">
        <v>52</v>
      </c>
      <c r="M4518">
        <v>137705.67000000001</v>
      </c>
      <c r="N4518">
        <v>470611.06</v>
      </c>
      <c r="O4518" t="s">
        <v>53</v>
      </c>
      <c r="P4518" t="s">
        <v>54</v>
      </c>
      <c r="AP4518" t="s">
        <v>53</v>
      </c>
      <c r="AR4518" t="s">
        <v>53</v>
      </c>
      <c r="BH4518" t="s">
        <v>53</v>
      </c>
    </row>
    <row r="4519" spans="1:60" x14ac:dyDescent="0.2">
      <c r="A4519" t="s">
        <v>425</v>
      </c>
      <c r="B4519" t="s">
        <v>425</v>
      </c>
      <c r="C4519" t="s">
        <v>425</v>
      </c>
      <c r="D4519" t="s">
        <v>2010</v>
      </c>
      <c r="F4519" t="str">
        <f>"?286"</f>
        <v>?286</v>
      </c>
      <c r="G4519" t="s">
        <v>49</v>
      </c>
      <c r="K4519" t="s">
        <v>429</v>
      </c>
      <c r="L4519" t="s">
        <v>52</v>
      </c>
      <c r="M4519">
        <v>137697.75</v>
      </c>
      <c r="N4519">
        <v>470678</v>
      </c>
      <c r="O4519" t="s">
        <v>53</v>
      </c>
      <c r="P4519" t="s">
        <v>54</v>
      </c>
      <c r="AP4519" t="s">
        <v>53</v>
      </c>
      <c r="AR4519" t="s">
        <v>53</v>
      </c>
      <c r="BH4519" t="s">
        <v>53</v>
      </c>
    </row>
    <row r="4520" spans="1:60" x14ac:dyDescent="0.2">
      <c r="A4520" t="s">
        <v>425</v>
      </c>
      <c r="B4520" t="s">
        <v>425</v>
      </c>
      <c r="C4520" t="s">
        <v>425</v>
      </c>
      <c r="D4520" t="s">
        <v>2010</v>
      </c>
      <c r="F4520" t="str">
        <f>"?287"</f>
        <v>?287</v>
      </c>
      <c r="G4520" t="s">
        <v>49</v>
      </c>
      <c r="K4520" t="s">
        <v>429</v>
      </c>
      <c r="L4520" t="s">
        <v>52</v>
      </c>
      <c r="M4520">
        <v>137697</v>
      </c>
      <c r="N4520">
        <v>470711.16</v>
      </c>
      <c r="O4520" t="s">
        <v>53</v>
      </c>
      <c r="P4520" t="s">
        <v>54</v>
      </c>
      <c r="AP4520" t="s">
        <v>53</v>
      </c>
      <c r="AR4520" t="s">
        <v>53</v>
      </c>
      <c r="BH4520" t="s">
        <v>53</v>
      </c>
    </row>
    <row r="4521" spans="1:60" x14ac:dyDescent="0.2">
      <c r="A4521" t="s">
        <v>425</v>
      </c>
      <c r="B4521" t="s">
        <v>425</v>
      </c>
      <c r="C4521" t="s">
        <v>425</v>
      </c>
      <c r="D4521" t="s">
        <v>2010</v>
      </c>
      <c r="F4521" t="str">
        <f>"?288"</f>
        <v>?288</v>
      </c>
      <c r="G4521" t="s">
        <v>49</v>
      </c>
      <c r="K4521" t="s">
        <v>429</v>
      </c>
      <c r="L4521" t="s">
        <v>52</v>
      </c>
      <c r="M4521">
        <v>137839.26999999999</v>
      </c>
      <c r="N4521">
        <v>470735.97</v>
      </c>
      <c r="O4521" t="s">
        <v>53</v>
      </c>
      <c r="P4521" t="s">
        <v>54</v>
      </c>
      <c r="AP4521" t="s">
        <v>53</v>
      </c>
      <c r="AR4521" t="s">
        <v>53</v>
      </c>
      <c r="BH4521" t="s">
        <v>53</v>
      </c>
    </row>
    <row r="4522" spans="1:60" x14ac:dyDescent="0.2">
      <c r="A4522" t="s">
        <v>425</v>
      </c>
      <c r="B4522" t="s">
        <v>425</v>
      </c>
      <c r="C4522" t="s">
        <v>425</v>
      </c>
      <c r="D4522" t="s">
        <v>2010</v>
      </c>
      <c r="F4522" t="str">
        <f>"?289"</f>
        <v>?289</v>
      </c>
      <c r="G4522" t="s">
        <v>49</v>
      </c>
      <c r="K4522" t="s">
        <v>429</v>
      </c>
      <c r="L4522" t="s">
        <v>52</v>
      </c>
      <c r="M4522">
        <v>137799.79999999999</v>
      </c>
      <c r="N4522">
        <v>470735.22</v>
      </c>
      <c r="O4522" t="s">
        <v>53</v>
      </c>
      <c r="P4522" t="s">
        <v>54</v>
      </c>
      <c r="AP4522" t="s">
        <v>53</v>
      </c>
      <c r="AR4522" t="s">
        <v>53</v>
      </c>
      <c r="BH4522" t="s">
        <v>53</v>
      </c>
    </row>
    <row r="4523" spans="1:60" x14ac:dyDescent="0.2">
      <c r="A4523" t="s">
        <v>425</v>
      </c>
      <c r="B4523" t="s">
        <v>425</v>
      </c>
      <c r="C4523" t="s">
        <v>425</v>
      </c>
      <c r="D4523" t="s">
        <v>2010</v>
      </c>
      <c r="F4523" t="str">
        <f>"?290"</f>
        <v>?290</v>
      </c>
      <c r="G4523" t="s">
        <v>49</v>
      </c>
      <c r="K4523" t="s">
        <v>429</v>
      </c>
      <c r="L4523" t="s">
        <v>52</v>
      </c>
      <c r="M4523">
        <v>137767.79999999999</v>
      </c>
      <c r="N4523">
        <v>470734.14</v>
      </c>
      <c r="O4523" t="s">
        <v>53</v>
      </c>
      <c r="P4523" t="s">
        <v>54</v>
      </c>
      <c r="AP4523" t="s">
        <v>53</v>
      </c>
      <c r="AR4523" t="s">
        <v>53</v>
      </c>
      <c r="BH4523" t="s">
        <v>53</v>
      </c>
    </row>
    <row r="4524" spans="1:60" x14ac:dyDescent="0.2">
      <c r="A4524" t="s">
        <v>425</v>
      </c>
      <c r="B4524" t="s">
        <v>425</v>
      </c>
      <c r="C4524" t="s">
        <v>425</v>
      </c>
      <c r="D4524" t="s">
        <v>2010</v>
      </c>
      <c r="F4524" t="str">
        <f>"?291"</f>
        <v>?291</v>
      </c>
      <c r="G4524" t="s">
        <v>49</v>
      </c>
      <c r="K4524" t="s">
        <v>429</v>
      </c>
      <c r="L4524" t="s">
        <v>52</v>
      </c>
      <c r="M4524">
        <v>137728.69</v>
      </c>
      <c r="N4524">
        <v>470733.69</v>
      </c>
      <c r="O4524" t="s">
        <v>53</v>
      </c>
      <c r="P4524" t="s">
        <v>54</v>
      </c>
      <c r="AP4524" t="s">
        <v>53</v>
      </c>
      <c r="AR4524" t="s">
        <v>53</v>
      </c>
      <c r="BH4524" t="s">
        <v>53</v>
      </c>
    </row>
    <row r="4525" spans="1:60" x14ac:dyDescent="0.2">
      <c r="A4525" t="s">
        <v>425</v>
      </c>
      <c r="B4525" t="s">
        <v>425</v>
      </c>
      <c r="C4525" t="s">
        <v>425</v>
      </c>
      <c r="D4525" t="s">
        <v>2010</v>
      </c>
      <c r="F4525" t="str">
        <f>"?292"</f>
        <v>?292</v>
      </c>
      <c r="G4525" t="s">
        <v>49</v>
      </c>
      <c r="K4525" t="s">
        <v>429</v>
      </c>
      <c r="L4525" t="s">
        <v>52</v>
      </c>
      <c r="M4525">
        <v>137692.07999999999</v>
      </c>
      <c r="N4525">
        <v>470741.85</v>
      </c>
      <c r="O4525" t="s">
        <v>53</v>
      </c>
      <c r="P4525" t="s">
        <v>54</v>
      </c>
      <c r="AP4525" t="s">
        <v>53</v>
      </c>
      <c r="AR4525" t="s">
        <v>53</v>
      </c>
      <c r="BH4525" t="s">
        <v>53</v>
      </c>
    </row>
    <row r="4526" spans="1:60" x14ac:dyDescent="0.2">
      <c r="A4526" t="s">
        <v>425</v>
      </c>
      <c r="B4526" t="s">
        <v>425</v>
      </c>
      <c r="C4526" t="s">
        <v>425</v>
      </c>
      <c r="D4526" t="s">
        <v>2010</v>
      </c>
      <c r="F4526" t="str">
        <f>"?293"</f>
        <v>?293</v>
      </c>
      <c r="G4526" t="s">
        <v>49</v>
      </c>
      <c r="K4526" t="s">
        <v>429</v>
      </c>
      <c r="L4526" t="s">
        <v>52</v>
      </c>
      <c r="M4526">
        <v>137657.78</v>
      </c>
      <c r="N4526">
        <v>470732.09</v>
      </c>
      <c r="O4526" t="s">
        <v>53</v>
      </c>
      <c r="P4526" t="s">
        <v>54</v>
      </c>
      <c r="AP4526" t="s">
        <v>53</v>
      </c>
      <c r="AR4526" t="s">
        <v>53</v>
      </c>
      <c r="BH4526" t="s">
        <v>53</v>
      </c>
    </row>
    <row r="4527" spans="1:60" x14ac:dyDescent="0.2">
      <c r="A4527" t="s">
        <v>425</v>
      </c>
      <c r="B4527" t="s">
        <v>425</v>
      </c>
      <c r="C4527" t="s">
        <v>425</v>
      </c>
      <c r="D4527" t="s">
        <v>2010</v>
      </c>
      <c r="F4527" t="str">
        <f>"?294"</f>
        <v>?294</v>
      </c>
      <c r="G4527" t="s">
        <v>49</v>
      </c>
      <c r="K4527" t="s">
        <v>429</v>
      </c>
      <c r="L4527" t="s">
        <v>52</v>
      </c>
      <c r="M4527">
        <v>137618</v>
      </c>
      <c r="N4527">
        <v>470731.38</v>
      </c>
      <c r="O4527" t="s">
        <v>53</v>
      </c>
      <c r="P4527" t="s">
        <v>54</v>
      </c>
      <c r="AP4527" t="s">
        <v>53</v>
      </c>
      <c r="AR4527" t="s">
        <v>53</v>
      </c>
      <c r="BH4527" t="s">
        <v>53</v>
      </c>
    </row>
    <row r="4528" spans="1:60" x14ac:dyDescent="0.2">
      <c r="A4528" t="s">
        <v>425</v>
      </c>
      <c r="B4528" t="s">
        <v>425</v>
      </c>
      <c r="C4528" t="s">
        <v>425</v>
      </c>
      <c r="D4528" t="s">
        <v>2010</v>
      </c>
      <c r="F4528" t="str">
        <f>"?295"</f>
        <v>?295</v>
      </c>
      <c r="G4528" t="s">
        <v>49</v>
      </c>
      <c r="K4528" t="s">
        <v>429</v>
      </c>
      <c r="L4528" t="s">
        <v>52</v>
      </c>
      <c r="M4528">
        <v>137459.35999999999</v>
      </c>
      <c r="N4528">
        <v>470603</v>
      </c>
      <c r="O4528" t="s">
        <v>53</v>
      </c>
      <c r="P4528" t="s">
        <v>54</v>
      </c>
      <c r="AP4528" t="s">
        <v>53</v>
      </c>
      <c r="AR4528" t="s">
        <v>53</v>
      </c>
      <c r="BH4528" t="s">
        <v>53</v>
      </c>
    </row>
    <row r="4529" spans="1:78" x14ac:dyDescent="0.2">
      <c r="A4529" t="s">
        <v>425</v>
      </c>
      <c r="B4529" t="s">
        <v>425</v>
      </c>
      <c r="C4529" t="s">
        <v>425</v>
      </c>
      <c r="D4529" t="s">
        <v>2010</v>
      </c>
      <c r="F4529" t="str">
        <f>"?296"</f>
        <v>?296</v>
      </c>
      <c r="G4529" t="s">
        <v>49</v>
      </c>
      <c r="K4529" t="s">
        <v>429</v>
      </c>
      <c r="L4529" t="s">
        <v>52</v>
      </c>
      <c r="M4529">
        <v>137460.09</v>
      </c>
      <c r="N4529">
        <v>470634.69</v>
      </c>
      <c r="O4529" t="s">
        <v>53</v>
      </c>
      <c r="P4529" t="s">
        <v>54</v>
      </c>
      <c r="AP4529" t="s">
        <v>53</v>
      </c>
      <c r="AR4529" t="s">
        <v>53</v>
      </c>
      <c r="BH4529" t="s">
        <v>53</v>
      </c>
    </row>
    <row r="4530" spans="1:78" x14ac:dyDescent="0.2">
      <c r="A4530" t="s">
        <v>425</v>
      </c>
      <c r="B4530" t="s">
        <v>425</v>
      </c>
      <c r="C4530" t="s">
        <v>425</v>
      </c>
      <c r="D4530" t="s">
        <v>2010</v>
      </c>
      <c r="F4530" t="str">
        <f>"?297"</f>
        <v>?297</v>
      </c>
      <c r="G4530" t="s">
        <v>49</v>
      </c>
      <c r="K4530" t="s">
        <v>429</v>
      </c>
      <c r="L4530" t="s">
        <v>52</v>
      </c>
      <c r="M4530">
        <v>137579.99</v>
      </c>
      <c r="N4530">
        <v>470730.6</v>
      </c>
      <c r="O4530" t="s">
        <v>53</v>
      </c>
      <c r="P4530" t="s">
        <v>54</v>
      </c>
      <c r="AP4530" t="s">
        <v>53</v>
      </c>
      <c r="AR4530" t="s">
        <v>53</v>
      </c>
      <c r="BH4530" t="s">
        <v>53</v>
      </c>
    </row>
    <row r="4531" spans="1:78" x14ac:dyDescent="0.2">
      <c r="A4531" t="s">
        <v>425</v>
      </c>
      <c r="B4531" t="s">
        <v>425</v>
      </c>
      <c r="C4531" t="s">
        <v>425</v>
      </c>
      <c r="D4531" t="s">
        <v>2010</v>
      </c>
      <c r="F4531" t="str">
        <f>"?298"</f>
        <v>?298</v>
      </c>
      <c r="G4531" t="s">
        <v>49</v>
      </c>
      <c r="K4531" t="s">
        <v>429</v>
      </c>
      <c r="L4531" t="s">
        <v>52</v>
      </c>
      <c r="M4531">
        <v>137456.84</v>
      </c>
      <c r="N4531">
        <v>470665.63</v>
      </c>
      <c r="O4531" t="s">
        <v>53</v>
      </c>
      <c r="P4531" t="s">
        <v>54</v>
      </c>
      <c r="AP4531" t="s">
        <v>53</v>
      </c>
      <c r="AR4531" t="s">
        <v>53</v>
      </c>
      <c r="BH4531" t="s">
        <v>53</v>
      </c>
    </row>
    <row r="4532" spans="1:78" x14ac:dyDescent="0.2">
      <c r="A4532" t="s">
        <v>425</v>
      </c>
      <c r="B4532" t="s">
        <v>425</v>
      </c>
      <c r="C4532" t="s">
        <v>425</v>
      </c>
      <c r="D4532" t="s">
        <v>2010</v>
      </c>
      <c r="F4532" t="str">
        <f>"?299"</f>
        <v>?299</v>
      </c>
      <c r="G4532" t="s">
        <v>49</v>
      </c>
      <c r="K4532" t="s">
        <v>429</v>
      </c>
      <c r="L4532" t="s">
        <v>52</v>
      </c>
      <c r="M4532">
        <v>137546.85</v>
      </c>
      <c r="N4532">
        <v>470729.35</v>
      </c>
      <c r="O4532" t="s">
        <v>53</v>
      </c>
      <c r="P4532" t="s">
        <v>54</v>
      </c>
      <c r="AP4532" t="s">
        <v>53</v>
      </c>
      <c r="AR4532" t="s">
        <v>53</v>
      </c>
      <c r="BH4532" t="s">
        <v>53</v>
      </c>
    </row>
    <row r="4533" spans="1:78" x14ac:dyDescent="0.2">
      <c r="A4533" t="s">
        <v>425</v>
      </c>
      <c r="B4533" t="s">
        <v>425</v>
      </c>
      <c r="C4533" t="s">
        <v>425</v>
      </c>
      <c r="D4533" t="s">
        <v>2010</v>
      </c>
      <c r="F4533" t="str">
        <f>"?302"</f>
        <v>?302</v>
      </c>
      <c r="G4533" t="s">
        <v>49</v>
      </c>
      <c r="K4533" t="s">
        <v>429</v>
      </c>
      <c r="L4533" t="s">
        <v>52</v>
      </c>
      <c r="M4533">
        <v>137439.47</v>
      </c>
      <c r="N4533">
        <v>470448.78</v>
      </c>
      <c r="O4533" t="s">
        <v>53</v>
      </c>
      <c r="P4533" t="s">
        <v>54</v>
      </c>
      <c r="AP4533" t="s">
        <v>53</v>
      </c>
      <c r="AR4533" t="s">
        <v>53</v>
      </c>
      <c r="BH4533" t="s">
        <v>53</v>
      </c>
    </row>
    <row r="4534" spans="1:78" x14ac:dyDescent="0.2">
      <c r="A4534" t="s">
        <v>425</v>
      </c>
      <c r="B4534" t="s">
        <v>425</v>
      </c>
      <c r="C4534" t="s">
        <v>425</v>
      </c>
      <c r="D4534" t="s">
        <v>2010</v>
      </c>
      <c r="F4534" t="str">
        <f>"?303"</f>
        <v>?303</v>
      </c>
      <c r="G4534" t="s">
        <v>49</v>
      </c>
      <c r="K4534" t="s">
        <v>429</v>
      </c>
      <c r="L4534" t="s">
        <v>52</v>
      </c>
      <c r="M4534">
        <v>137429.79999999999</v>
      </c>
      <c r="N4534">
        <v>470471.5</v>
      </c>
      <c r="O4534" t="s">
        <v>53</v>
      </c>
      <c r="P4534" t="s">
        <v>54</v>
      </c>
      <c r="AP4534" t="s">
        <v>53</v>
      </c>
      <c r="AR4534" t="s">
        <v>53</v>
      </c>
      <c r="BH4534" t="s">
        <v>53</v>
      </c>
    </row>
    <row r="4535" spans="1:78" x14ac:dyDescent="0.2">
      <c r="A4535" t="s">
        <v>425</v>
      </c>
      <c r="B4535" t="s">
        <v>425</v>
      </c>
      <c r="C4535" t="s">
        <v>425</v>
      </c>
      <c r="D4535" t="s">
        <v>2010</v>
      </c>
      <c r="F4535" t="str">
        <f>"?304"</f>
        <v>?304</v>
      </c>
      <c r="G4535" t="s">
        <v>49</v>
      </c>
      <c r="K4535" t="s">
        <v>429</v>
      </c>
      <c r="L4535" t="s">
        <v>52</v>
      </c>
      <c r="M4535">
        <v>137428.85999999999</v>
      </c>
      <c r="N4535">
        <v>470501.66</v>
      </c>
      <c r="O4535" t="s">
        <v>53</v>
      </c>
      <c r="P4535" t="s">
        <v>54</v>
      </c>
      <c r="AP4535" t="s">
        <v>53</v>
      </c>
      <c r="AR4535" t="s">
        <v>53</v>
      </c>
      <c r="BH4535" t="s">
        <v>53</v>
      </c>
    </row>
    <row r="4536" spans="1:78" x14ac:dyDescent="0.2">
      <c r="A4536" t="s">
        <v>425</v>
      </c>
      <c r="B4536" t="s">
        <v>425</v>
      </c>
      <c r="C4536" t="s">
        <v>425</v>
      </c>
      <c r="D4536" t="s">
        <v>2010</v>
      </c>
      <c r="F4536" t="str">
        <f>"?305"</f>
        <v>?305</v>
      </c>
      <c r="G4536" t="s">
        <v>49</v>
      </c>
      <c r="K4536" t="s">
        <v>429</v>
      </c>
      <c r="L4536" t="s">
        <v>52</v>
      </c>
      <c r="M4536">
        <v>137428.10999999999</v>
      </c>
      <c r="N4536">
        <v>470531.13</v>
      </c>
      <c r="O4536" t="s">
        <v>53</v>
      </c>
      <c r="P4536" t="s">
        <v>54</v>
      </c>
      <c r="AP4536" t="s">
        <v>53</v>
      </c>
      <c r="AR4536" t="s">
        <v>53</v>
      </c>
      <c r="BH4536" t="s">
        <v>53</v>
      </c>
    </row>
    <row r="4537" spans="1:78" x14ac:dyDescent="0.2">
      <c r="A4537" t="s">
        <v>425</v>
      </c>
      <c r="B4537" t="s">
        <v>425</v>
      </c>
      <c r="C4537" t="s">
        <v>425</v>
      </c>
      <c r="D4537" t="s">
        <v>2010</v>
      </c>
      <c r="F4537" t="str">
        <f>"?306"</f>
        <v>?306</v>
      </c>
      <c r="G4537" t="s">
        <v>49</v>
      </c>
      <c r="K4537" t="s">
        <v>429</v>
      </c>
      <c r="L4537" t="s">
        <v>52</v>
      </c>
      <c r="M4537">
        <v>137426.95000000001</v>
      </c>
      <c r="N4537">
        <v>470560.97</v>
      </c>
      <c r="O4537" t="s">
        <v>53</v>
      </c>
      <c r="P4537" t="s">
        <v>54</v>
      </c>
      <c r="AP4537" t="s">
        <v>53</v>
      </c>
      <c r="AR4537" t="s">
        <v>53</v>
      </c>
      <c r="BH4537" t="s">
        <v>53</v>
      </c>
    </row>
    <row r="4538" spans="1:78" x14ac:dyDescent="0.2">
      <c r="A4538" t="s">
        <v>425</v>
      </c>
      <c r="B4538" t="s">
        <v>425</v>
      </c>
      <c r="C4538" t="s">
        <v>425</v>
      </c>
      <c r="D4538" t="s">
        <v>2010</v>
      </c>
      <c r="F4538" t="str">
        <f>"?307"</f>
        <v>?307</v>
      </c>
      <c r="G4538" t="s">
        <v>49</v>
      </c>
      <c r="K4538" t="s">
        <v>429</v>
      </c>
      <c r="L4538" t="s">
        <v>52</v>
      </c>
      <c r="M4538">
        <v>137436.07999999999</v>
      </c>
      <c r="N4538">
        <v>470590.47</v>
      </c>
      <c r="O4538" t="s">
        <v>53</v>
      </c>
      <c r="P4538" t="s">
        <v>54</v>
      </c>
      <c r="AP4538" t="s">
        <v>53</v>
      </c>
      <c r="AR4538" t="s">
        <v>53</v>
      </c>
      <c r="BH4538" t="s">
        <v>53</v>
      </c>
    </row>
    <row r="4539" spans="1:78" x14ac:dyDescent="0.2">
      <c r="A4539" t="s">
        <v>112</v>
      </c>
      <c r="B4539" t="s">
        <v>113</v>
      </c>
      <c r="C4539" t="s">
        <v>114</v>
      </c>
      <c r="D4539" t="s">
        <v>428</v>
      </c>
      <c r="F4539" t="str">
        <f>"254361"</f>
        <v>254361</v>
      </c>
      <c r="G4539" t="s">
        <v>49</v>
      </c>
      <c r="H4539" t="s">
        <v>2112</v>
      </c>
      <c r="K4539" t="s">
        <v>51</v>
      </c>
      <c r="L4539" t="s">
        <v>52</v>
      </c>
      <c r="M4539">
        <v>136995.929</v>
      </c>
      <c r="N4539">
        <v>470692.95400000003</v>
      </c>
      <c r="O4539" t="s">
        <v>53</v>
      </c>
      <c r="P4539" t="s">
        <v>54</v>
      </c>
      <c r="Q4539" t="s">
        <v>55</v>
      </c>
      <c r="T4539" t="s">
        <v>431</v>
      </c>
      <c r="U4539">
        <v>40</v>
      </c>
      <c r="V4539" s="1">
        <v>39083</v>
      </c>
      <c r="W4539" s="1">
        <v>39083</v>
      </c>
      <c r="X4539" s="1">
        <v>39083</v>
      </c>
      <c r="Y4539" s="1">
        <v>53693</v>
      </c>
      <c r="Z4539" t="s">
        <v>51</v>
      </c>
      <c r="AB4539" t="s">
        <v>54</v>
      </c>
      <c r="AE4539" t="s">
        <v>79</v>
      </c>
      <c r="AF4539">
        <v>20</v>
      </c>
      <c r="AG4539" s="1">
        <v>39264</v>
      </c>
      <c r="AH4539" s="1">
        <v>39264</v>
      </c>
      <c r="AI4539" s="1">
        <v>39264</v>
      </c>
      <c r="AJ4539" s="1">
        <v>46569</v>
      </c>
      <c r="AK4539" t="s">
        <v>51</v>
      </c>
      <c r="AN4539">
        <v>0</v>
      </c>
      <c r="AO4539" t="s">
        <v>54</v>
      </c>
      <c r="AP4539" t="s">
        <v>53</v>
      </c>
      <c r="AQ4539">
        <v>0</v>
      </c>
      <c r="AR4539" t="s">
        <v>145</v>
      </c>
      <c r="AS4539">
        <v>0</v>
      </c>
      <c r="AT4539">
        <v>0</v>
      </c>
      <c r="BK4539" t="s">
        <v>59</v>
      </c>
      <c r="BL4539">
        <v>14000</v>
      </c>
      <c r="BM4539" s="1">
        <v>39264</v>
      </c>
      <c r="BN4539" s="1">
        <v>39264</v>
      </c>
      <c r="BO4539" s="1">
        <v>39264</v>
      </c>
      <c r="BP4539" s="1">
        <v>40464</v>
      </c>
      <c r="BQ4539" t="s">
        <v>51</v>
      </c>
      <c r="BS4539" t="s">
        <v>60</v>
      </c>
      <c r="BT4539" t="s">
        <v>54</v>
      </c>
      <c r="BU4539" t="s">
        <v>61</v>
      </c>
      <c r="BV4539" t="s">
        <v>62</v>
      </c>
      <c r="BX4539">
        <v>24</v>
      </c>
      <c r="BY4539">
        <v>0</v>
      </c>
      <c r="BZ4539">
        <v>0</v>
      </c>
    </row>
    <row r="4540" spans="1:78" x14ac:dyDescent="0.2">
      <c r="A4540" t="s">
        <v>112</v>
      </c>
      <c r="B4540" t="s">
        <v>113</v>
      </c>
      <c r="C4540" t="s">
        <v>114</v>
      </c>
      <c r="D4540" t="s">
        <v>2111</v>
      </c>
      <c r="F4540" t="str">
        <f>"?31"</f>
        <v>?31</v>
      </c>
      <c r="G4540" t="s">
        <v>49</v>
      </c>
      <c r="K4540" t="s">
        <v>427</v>
      </c>
      <c r="L4540" t="s">
        <v>52</v>
      </c>
      <c r="M4540">
        <v>137574.95000000001</v>
      </c>
      <c r="N4540">
        <v>474640.35</v>
      </c>
      <c r="O4540" t="s">
        <v>53</v>
      </c>
      <c r="P4540" t="s">
        <v>54</v>
      </c>
      <c r="AP4540" t="s">
        <v>53</v>
      </c>
      <c r="AR4540" t="s">
        <v>53</v>
      </c>
      <c r="BH4540" t="s">
        <v>53</v>
      </c>
    </row>
    <row r="4541" spans="1:78" x14ac:dyDescent="0.2">
      <c r="A4541" t="s">
        <v>425</v>
      </c>
      <c r="B4541" t="s">
        <v>425</v>
      </c>
      <c r="C4541" t="s">
        <v>425</v>
      </c>
      <c r="D4541" t="s">
        <v>2010</v>
      </c>
      <c r="F4541" t="str">
        <f>"?318"</f>
        <v>?318</v>
      </c>
      <c r="G4541" t="s">
        <v>49</v>
      </c>
      <c r="K4541" t="s">
        <v>429</v>
      </c>
      <c r="L4541" t="s">
        <v>52</v>
      </c>
      <c r="M4541">
        <v>137399.6</v>
      </c>
      <c r="N4541">
        <v>470730.58</v>
      </c>
      <c r="O4541" t="s">
        <v>53</v>
      </c>
      <c r="P4541" t="s">
        <v>54</v>
      </c>
      <c r="AP4541" t="s">
        <v>53</v>
      </c>
      <c r="AR4541" t="s">
        <v>53</v>
      </c>
      <c r="BH4541" t="s">
        <v>53</v>
      </c>
    </row>
    <row r="4542" spans="1:78" x14ac:dyDescent="0.2">
      <c r="A4542" t="s">
        <v>425</v>
      </c>
      <c r="B4542" t="s">
        <v>425</v>
      </c>
      <c r="C4542" t="s">
        <v>425</v>
      </c>
      <c r="D4542" t="s">
        <v>2010</v>
      </c>
      <c r="F4542" t="str">
        <f>"?319"</f>
        <v>?319</v>
      </c>
      <c r="G4542" t="s">
        <v>49</v>
      </c>
      <c r="K4542" t="s">
        <v>429</v>
      </c>
      <c r="L4542" t="s">
        <v>52</v>
      </c>
      <c r="M4542">
        <v>137320.42000000001</v>
      </c>
      <c r="N4542">
        <v>470699.57</v>
      </c>
      <c r="O4542" t="s">
        <v>53</v>
      </c>
      <c r="P4542" t="s">
        <v>54</v>
      </c>
      <c r="AP4542" t="s">
        <v>53</v>
      </c>
      <c r="AR4542" t="s">
        <v>53</v>
      </c>
      <c r="BH4542" t="s">
        <v>53</v>
      </c>
    </row>
    <row r="4543" spans="1:78" x14ac:dyDescent="0.2">
      <c r="A4543" t="s">
        <v>112</v>
      </c>
      <c r="B4543" t="s">
        <v>113</v>
      </c>
      <c r="C4543" t="s">
        <v>114</v>
      </c>
      <c r="D4543" t="s">
        <v>2111</v>
      </c>
      <c r="F4543" t="str">
        <f>"?32"</f>
        <v>?32</v>
      </c>
      <c r="G4543" t="s">
        <v>49</v>
      </c>
      <c r="K4543" t="s">
        <v>427</v>
      </c>
      <c r="L4543" t="s">
        <v>52</v>
      </c>
      <c r="M4543">
        <v>137535.34</v>
      </c>
      <c r="N4543">
        <v>474638.07</v>
      </c>
      <c r="O4543" t="s">
        <v>53</v>
      </c>
      <c r="P4543" t="s">
        <v>54</v>
      </c>
      <c r="AP4543" t="s">
        <v>53</v>
      </c>
      <c r="AR4543" t="s">
        <v>53</v>
      </c>
      <c r="BH4543" t="s">
        <v>53</v>
      </c>
    </row>
    <row r="4544" spans="1:78" x14ac:dyDescent="0.2">
      <c r="A4544" t="s">
        <v>425</v>
      </c>
      <c r="B4544" t="s">
        <v>425</v>
      </c>
      <c r="C4544" t="s">
        <v>425</v>
      </c>
      <c r="D4544" t="s">
        <v>2010</v>
      </c>
      <c r="F4544" t="str">
        <f>"?320"</f>
        <v>?320</v>
      </c>
      <c r="G4544" t="s">
        <v>49</v>
      </c>
      <c r="K4544" t="s">
        <v>429</v>
      </c>
      <c r="L4544" t="s">
        <v>52</v>
      </c>
      <c r="M4544">
        <v>137358.09</v>
      </c>
      <c r="N4544">
        <v>470700.64</v>
      </c>
      <c r="O4544" t="s">
        <v>53</v>
      </c>
      <c r="P4544" t="s">
        <v>54</v>
      </c>
      <c r="AP4544" t="s">
        <v>53</v>
      </c>
      <c r="AR4544" t="s">
        <v>53</v>
      </c>
      <c r="BH4544" t="s">
        <v>53</v>
      </c>
    </row>
    <row r="4545" spans="1:78" x14ac:dyDescent="0.2">
      <c r="A4545" t="s">
        <v>425</v>
      </c>
      <c r="B4545" t="s">
        <v>425</v>
      </c>
      <c r="C4545" t="s">
        <v>425</v>
      </c>
      <c r="D4545" t="s">
        <v>2010</v>
      </c>
      <c r="F4545" t="str">
        <f>"?321"</f>
        <v>?321</v>
      </c>
      <c r="G4545" t="s">
        <v>49</v>
      </c>
      <c r="K4545" t="s">
        <v>429</v>
      </c>
      <c r="L4545" t="s">
        <v>52</v>
      </c>
      <c r="M4545">
        <v>137365.54999999999</v>
      </c>
      <c r="N4545">
        <v>470729.72</v>
      </c>
      <c r="O4545" t="s">
        <v>53</v>
      </c>
      <c r="P4545" t="s">
        <v>54</v>
      </c>
      <c r="AP4545" t="s">
        <v>53</v>
      </c>
      <c r="AR4545" t="s">
        <v>53</v>
      </c>
      <c r="BH4545" t="s">
        <v>53</v>
      </c>
    </row>
    <row r="4546" spans="1:78" x14ac:dyDescent="0.2">
      <c r="A4546" t="s">
        <v>112</v>
      </c>
      <c r="B4546" t="s">
        <v>113</v>
      </c>
      <c r="C4546" t="s">
        <v>114</v>
      </c>
      <c r="D4546" t="s">
        <v>2010</v>
      </c>
      <c r="F4546" t="str">
        <f>"?322"</f>
        <v>?322</v>
      </c>
      <c r="G4546" t="s">
        <v>49</v>
      </c>
      <c r="K4546" t="s">
        <v>51</v>
      </c>
      <c r="L4546" t="s">
        <v>52</v>
      </c>
      <c r="M4546">
        <v>137256.84</v>
      </c>
      <c r="N4546">
        <v>470715.26</v>
      </c>
      <c r="O4546" t="s">
        <v>53</v>
      </c>
      <c r="P4546" t="s">
        <v>54</v>
      </c>
      <c r="Q4546" t="s">
        <v>55</v>
      </c>
      <c r="T4546" t="s">
        <v>431</v>
      </c>
      <c r="U4546">
        <v>40</v>
      </c>
      <c r="V4546" s="1">
        <v>35612</v>
      </c>
      <c r="W4546" s="1">
        <v>35612</v>
      </c>
      <c r="X4546" s="1">
        <v>35612</v>
      </c>
      <c r="Y4546" s="1">
        <v>50222</v>
      </c>
      <c r="Z4546" t="s">
        <v>51</v>
      </c>
      <c r="AB4546" t="s">
        <v>54</v>
      </c>
      <c r="AC4546">
        <v>1</v>
      </c>
      <c r="AE4546" t="s">
        <v>79</v>
      </c>
      <c r="AF4546">
        <v>20</v>
      </c>
      <c r="AG4546" s="1">
        <v>35612</v>
      </c>
      <c r="AH4546" s="1">
        <v>35612</v>
      </c>
      <c r="AI4546" s="1">
        <v>35612</v>
      </c>
      <c r="AJ4546" s="1">
        <v>42917</v>
      </c>
      <c r="AK4546" t="s">
        <v>51</v>
      </c>
      <c r="AN4546">
        <v>0</v>
      </c>
      <c r="AO4546" t="s">
        <v>54</v>
      </c>
      <c r="AP4546" t="s">
        <v>53</v>
      </c>
      <c r="AQ4546">
        <v>0</v>
      </c>
      <c r="AR4546" t="s">
        <v>145</v>
      </c>
      <c r="AS4546">
        <v>0</v>
      </c>
      <c r="AT4546">
        <v>0</v>
      </c>
      <c r="AW4546" t="s">
        <v>79</v>
      </c>
      <c r="AX4546">
        <v>20</v>
      </c>
      <c r="AY4546" s="1">
        <v>35612</v>
      </c>
      <c r="AZ4546" s="1">
        <v>35612</v>
      </c>
      <c r="BA4546" s="1">
        <v>35612</v>
      </c>
      <c r="BB4546" s="1">
        <v>42917</v>
      </c>
      <c r="BC4546" t="s">
        <v>51</v>
      </c>
      <c r="BE4546" t="s">
        <v>54</v>
      </c>
      <c r="BF4546">
        <v>5</v>
      </c>
      <c r="BG4546">
        <v>0</v>
      </c>
      <c r="BH4546" t="s">
        <v>53</v>
      </c>
      <c r="BK4546" t="s">
        <v>59</v>
      </c>
      <c r="BL4546">
        <v>14000</v>
      </c>
      <c r="BM4546" s="1">
        <v>42917</v>
      </c>
      <c r="BN4546" s="1">
        <v>42917</v>
      </c>
      <c r="BO4546" s="1">
        <v>42917</v>
      </c>
      <c r="BP4546" s="1">
        <v>44117</v>
      </c>
      <c r="BQ4546" t="s">
        <v>51</v>
      </c>
      <c r="BS4546" t="s">
        <v>60</v>
      </c>
      <c r="BT4546" t="s">
        <v>54</v>
      </c>
      <c r="BU4546" t="s">
        <v>61</v>
      </c>
      <c r="BV4546" t="s">
        <v>62</v>
      </c>
      <c r="BX4546">
        <v>24</v>
      </c>
      <c r="BY4546">
        <v>0</v>
      </c>
      <c r="BZ4546">
        <v>0</v>
      </c>
    </row>
    <row r="4547" spans="1:78" x14ac:dyDescent="0.2">
      <c r="A4547" t="s">
        <v>112</v>
      </c>
      <c r="B4547" t="s">
        <v>113</v>
      </c>
      <c r="C4547" t="s">
        <v>114</v>
      </c>
      <c r="D4547" t="s">
        <v>2106</v>
      </c>
      <c r="F4547" t="str">
        <f>"?323"</f>
        <v>?323</v>
      </c>
      <c r="G4547" t="s">
        <v>49</v>
      </c>
      <c r="K4547" t="s">
        <v>429</v>
      </c>
      <c r="L4547" t="s">
        <v>52</v>
      </c>
      <c r="M4547">
        <v>138059.35</v>
      </c>
      <c r="N4547">
        <v>472327.75</v>
      </c>
      <c r="O4547" t="s">
        <v>53</v>
      </c>
      <c r="P4547" t="s">
        <v>54</v>
      </c>
      <c r="AP4547" t="s">
        <v>53</v>
      </c>
      <c r="AR4547" t="s">
        <v>53</v>
      </c>
      <c r="BH4547" t="s">
        <v>53</v>
      </c>
    </row>
    <row r="4548" spans="1:78" x14ac:dyDescent="0.2">
      <c r="A4548" t="s">
        <v>425</v>
      </c>
      <c r="B4548" t="s">
        <v>425</v>
      </c>
      <c r="C4548" t="s">
        <v>425</v>
      </c>
      <c r="D4548" t="s">
        <v>2010</v>
      </c>
      <c r="F4548" t="str">
        <f>"?327"</f>
        <v>?327</v>
      </c>
      <c r="G4548" t="s">
        <v>49</v>
      </c>
      <c r="K4548" t="s">
        <v>429</v>
      </c>
      <c r="L4548" t="s">
        <v>52</v>
      </c>
      <c r="M4548">
        <v>137420.60999999999</v>
      </c>
      <c r="N4548">
        <v>470690.4</v>
      </c>
      <c r="O4548" t="s">
        <v>53</v>
      </c>
      <c r="P4548" t="s">
        <v>54</v>
      </c>
      <c r="AP4548" t="s">
        <v>53</v>
      </c>
      <c r="AR4548" t="s">
        <v>53</v>
      </c>
      <c r="BH4548" t="s">
        <v>53</v>
      </c>
    </row>
    <row r="4549" spans="1:78" x14ac:dyDescent="0.2">
      <c r="A4549" t="s">
        <v>425</v>
      </c>
      <c r="B4549" t="s">
        <v>425</v>
      </c>
      <c r="C4549" t="s">
        <v>425</v>
      </c>
      <c r="D4549" t="s">
        <v>2010</v>
      </c>
      <c r="F4549" t="str">
        <f>"?328"</f>
        <v>?328</v>
      </c>
      <c r="G4549" t="s">
        <v>49</v>
      </c>
      <c r="K4549" t="s">
        <v>429</v>
      </c>
      <c r="L4549" t="s">
        <v>52</v>
      </c>
      <c r="M4549">
        <v>137454.01</v>
      </c>
      <c r="N4549">
        <v>470694.55</v>
      </c>
      <c r="O4549" t="s">
        <v>53</v>
      </c>
      <c r="P4549" t="s">
        <v>54</v>
      </c>
      <c r="AP4549" t="s">
        <v>53</v>
      </c>
      <c r="AR4549" t="s">
        <v>53</v>
      </c>
      <c r="BH4549" t="s">
        <v>53</v>
      </c>
    </row>
    <row r="4550" spans="1:78" x14ac:dyDescent="0.2">
      <c r="A4550" t="s">
        <v>425</v>
      </c>
      <c r="B4550" t="s">
        <v>425</v>
      </c>
      <c r="C4550" t="s">
        <v>425</v>
      </c>
      <c r="D4550" t="s">
        <v>2010</v>
      </c>
      <c r="F4550" t="str">
        <f>"?329"</f>
        <v>?329</v>
      </c>
      <c r="G4550" t="s">
        <v>49</v>
      </c>
      <c r="K4550" t="s">
        <v>429</v>
      </c>
      <c r="L4550" t="s">
        <v>52</v>
      </c>
      <c r="M4550">
        <v>137509.79</v>
      </c>
      <c r="N4550">
        <v>470728.22</v>
      </c>
      <c r="O4550" t="s">
        <v>53</v>
      </c>
      <c r="P4550" t="s">
        <v>54</v>
      </c>
      <c r="AP4550" t="s">
        <v>53</v>
      </c>
      <c r="AR4550" t="s">
        <v>53</v>
      </c>
      <c r="BH4550" t="s">
        <v>53</v>
      </c>
    </row>
    <row r="4551" spans="1:78" x14ac:dyDescent="0.2">
      <c r="A4551" t="s">
        <v>112</v>
      </c>
      <c r="B4551" t="s">
        <v>113</v>
      </c>
      <c r="C4551" t="s">
        <v>114</v>
      </c>
      <c r="D4551" t="s">
        <v>2111</v>
      </c>
      <c r="F4551" t="str">
        <f>"?33"</f>
        <v>?33</v>
      </c>
      <c r="G4551" t="s">
        <v>49</v>
      </c>
      <c r="K4551" t="s">
        <v>427</v>
      </c>
      <c r="L4551" t="s">
        <v>52</v>
      </c>
      <c r="M4551">
        <v>137495.84</v>
      </c>
      <c r="N4551">
        <v>474636.26</v>
      </c>
      <c r="O4551" t="s">
        <v>53</v>
      </c>
      <c r="P4551" t="s">
        <v>54</v>
      </c>
      <c r="AP4551" t="s">
        <v>53</v>
      </c>
      <c r="AR4551" t="s">
        <v>53</v>
      </c>
      <c r="BH4551" t="s">
        <v>53</v>
      </c>
    </row>
    <row r="4552" spans="1:78" x14ac:dyDescent="0.2">
      <c r="A4552" t="s">
        <v>425</v>
      </c>
      <c r="B4552" t="s">
        <v>425</v>
      </c>
      <c r="C4552" t="s">
        <v>425</v>
      </c>
      <c r="D4552" t="s">
        <v>2010</v>
      </c>
      <c r="F4552" t="str">
        <f>"?330"</f>
        <v>?330</v>
      </c>
      <c r="G4552" t="s">
        <v>49</v>
      </c>
      <c r="K4552" t="s">
        <v>429</v>
      </c>
      <c r="L4552" t="s">
        <v>52</v>
      </c>
      <c r="M4552">
        <v>137471.74</v>
      </c>
      <c r="N4552">
        <v>470726.81</v>
      </c>
      <c r="O4552" t="s">
        <v>53</v>
      </c>
      <c r="P4552" t="s">
        <v>54</v>
      </c>
      <c r="AP4552" t="s">
        <v>53</v>
      </c>
      <c r="AR4552" t="s">
        <v>53</v>
      </c>
      <c r="BH4552" t="s">
        <v>53</v>
      </c>
    </row>
    <row r="4553" spans="1:78" x14ac:dyDescent="0.2">
      <c r="A4553" t="s">
        <v>425</v>
      </c>
      <c r="B4553" t="s">
        <v>425</v>
      </c>
      <c r="C4553" t="s">
        <v>425</v>
      </c>
      <c r="D4553" t="s">
        <v>2010</v>
      </c>
      <c r="F4553" t="str">
        <f>"?331"</f>
        <v>?331</v>
      </c>
      <c r="G4553" t="s">
        <v>49</v>
      </c>
      <c r="K4553" t="s">
        <v>429</v>
      </c>
      <c r="L4553" t="s">
        <v>52</v>
      </c>
      <c r="M4553">
        <v>137453.26</v>
      </c>
      <c r="N4553">
        <v>470724.91</v>
      </c>
      <c r="O4553" t="s">
        <v>53</v>
      </c>
      <c r="P4553" t="s">
        <v>54</v>
      </c>
      <c r="AP4553" t="s">
        <v>53</v>
      </c>
      <c r="AR4553" t="s">
        <v>53</v>
      </c>
      <c r="BH4553" t="s">
        <v>53</v>
      </c>
    </row>
    <row r="4554" spans="1:78" x14ac:dyDescent="0.2">
      <c r="A4554" t="s">
        <v>425</v>
      </c>
      <c r="B4554" t="s">
        <v>425</v>
      </c>
      <c r="C4554" t="s">
        <v>425</v>
      </c>
      <c r="D4554" t="s">
        <v>2010</v>
      </c>
      <c r="F4554" t="str">
        <f>"?332"</f>
        <v>?332</v>
      </c>
      <c r="G4554" t="s">
        <v>49</v>
      </c>
      <c r="K4554" t="s">
        <v>429</v>
      </c>
      <c r="L4554" t="s">
        <v>52</v>
      </c>
      <c r="M4554">
        <v>137415.82999999999</v>
      </c>
      <c r="N4554">
        <v>470711.94</v>
      </c>
      <c r="O4554" t="s">
        <v>53</v>
      </c>
      <c r="P4554" t="s">
        <v>54</v>
      </c>
      <c r="AP4554" t="s">
        <v>53</v>
      </c>
      <c r="AR4554" t="s">
        <v>53</v>
      </c>
      <c r="BH4554" t="s">
        <v>53</v>
      </c>
    </row>
    <row r="4555" spans="1:78" x14ac:dyDescent="0.2">
      <c r="A4555" t="s">
        <v>425</v>
      </c>
      <c r="B4555" t="s">
        <v>425</v>
      </c>
      <c r="C4555" t="s">
        <v>425</v>
      </c>
      <c r="D4555" t="s">
        <v>2010</v>
      </c>
      <c r="F4555" t="str">
        <f>"?333"</f>
        <v>?333</v>
      </c>
      <c r="G4555" t="s">
        <v>49</v>
      </c>
      <c r="K4555" t="s">
        <v>429</v>
      </c>
      <c r="L4555" t="s">
        <v>52</v>
      </c>
      <c r="M4555">
        <v>137392.51</v>
      </c>
      <c r="N4555">
        <v>470701.93</v>
      </c>
      <c r="O4555" t="s">
        <v>53</v>
      </c>
      <c r="P4555" t="s">
        <v>54</v>
      </c>
      <c r="AP4555" t="s">
        <v>53</v>
      </c>
      <c r="AR4555" t="s">
        <v>53</v>
      </c>
      <c r="BH4555" t="s">
        <v>53</v>
      </c>
    </row>
    <row r="4556" spans="1:78" x14ac:dyDescent="0.2">
      <c r="A4556" t="s">
        <v>112</v>
      </c>
      <c r="B4556" t="s">
        <v>113</v>
      </c>
      <c r="C4556" t="s">
        <v>114</v>
      </c>
      <c r="D4556" t="s">
        <v>2010</v>
      </c>
      <c r="F4556" t="str">
        <f>"?334"</f>
        <v>?334</v>
      </c>
      <c r="G4556" t="s">
        <v>49</v>
      </c>
      <c r="K4556" t="s">
        <v>51</v>
      </c>
      <c r="L4556" t="s">
        <v>52</v>
      </c>
      <c r="M4556">
        <v>137257.16</v>
      </c>
      <c r="N4556">
        <v>470683.88</v>
      </c>
      <c r="O4556" t="s">
        <v>53</v>
      </c>
      <c r="P4556" t="s">
        <v>54</v>
      </c>
      <c r="Q4556" t="s">
        <v>55</v>
      </c>
      <c r="T4556" t="s">
        <v>431</v>
      </c>
      <c r="U4556">
        <v>40</v>
      </c>
      <c r="V4556" s="1">
        <v>35612</v>
      </c>
      <c r="W4556" s="1">
        <v>35612</v>
      </c>
      <c r="X4556" s="1">
        <v>35612</v>
      </c>
      <c r="Y4556" s="1">
        <v>50222</v>
      </c>
      <c r="Z4556" t="s">
        <v>51</v>
      </c>
      <c r="AB4556" t="s">
        <v>54</v>
      </c>
      <c r="AC4556">
        <v>1</v>
      </c>
      <c r="AE4556" t="s">
        <v>79</v>
      </c>
      <c r="AF4556">
        <v>20</v>
      </c>
      <c r="AG4556" s="1">
        <v>35612</v>
      </c>
      <c r="AH4556" s="1">
        <v>35612</v>
      </c>
      <c r="AI4556" s="1">
        <v>35612</v>
      </c>
      <c r="AJ4556" s="1">
        <v>42917</v>
      </c>
      <c r="AK4556" t="s">
        <v>51</v>
      </c>
      <c r="AN4556">
        <v>0</v>
      </c>
      <c r="AO4556" t="s">
        <v>54</v>
      </c>
      <c r="AP4556" t="s">
        <v>53</v>
      </c>
      <c r="AQ4556">
        <v>0</v>
      </c>
      <c r="AR4556" t="s">
        <v>145</v>
      </c>
      <c r="AS4556">
        <v>0</v>
      </c>
      <c r="AT4556">
        <v>0</v>
      </c>
      <c r="AW4556" t="s">
        <v>79</v>
      </c>
      <c r="AX4556">
        <v>20</v>
      </c>
      <c r="AY4556" s="1">
        <v>35612</v>
      </c>
      <c r="AZ4556" s="1">
        <v>35612</v>
      </c>
      <c r="BA4556" s="1">
        <v>35612</v>
      </c>
      <c r="BB4556" s="1">
        <v>42917</v>
      </c>
      <c r="BC4556" t="s">
        <v>51</v>
      </c>
      <c r="BE4556" t="s">
        <v>54</v>
      </c>
      <c r="BF4556">
        <v>5</v>
      </c>
      <c r="BG4556">
        <v>0</v>
      </c>
      <c r="BH4556" t="s">
        <v>53</v>
      </c>
      <c r="BK4556" t="s">
        <v>59</v>
      </c>
      <c r="BL4556">
        <v>14000</v>
      </c>
      <c r="BM4556" s="1">
        <v>42917</v>
      </c>
      <c r="BN4556" s="1">
        <v>42917</v>
      </c>
      <c r="BO4556" s="1">
        <v>42917</v>
      </c>
      <c r="BP4556" s="1">
        <v>44117</v>
      </c>
      <c r="BQ4556" t="s">
        <v>51</v>
      </c>
      <c r="BS4556" t="s">
        <v>60</v>
      </c>
      <c r="BT4556" t="s">
        <v>54</v>
      </c>
      <c r="BU4556" t="s">
        <v>61</v>
      </c>
      <c r="BV4556" t="s">
        <v>62</v>
      </c>
      <c r="BX4556">
        <v>24</v>
      </c>
      <c r="BY4556">
        <v>0</v>
      </c>
      <c r="BZ4556">
        <v>0</v>
      </c>
    </row>
    <row r="4557" spans="1:78" x14ac:dyDescent="0.2">
      <c r="A4557" t="s">
        <v>425</v>
      </c>
      <c r="B4557" t="s">
        <v>425</v>
      </c>
      <c r="C4557" t="s">
        <v>425</v>
      </c>
      <c r="D4557" t="s">
        <v>2010</v>
      </c>
      <c r="F4557" t="str">
        <f>"?335"</f>
        <v>?335</v>
      </c>
      <c r="G4557" t="s">
        <v>49</v>
      </c>
      <c r="K4557" t="s">
        <v>429</v>
      </c>
      <c r="L4557" t="s">
        <v>52</v>
      </c>
      <c r="M4557">
        <v>137437.57</v>
      </c>
      <c r="N4557">
        <v>470725.92</v>
      </c>
      <c r="O4557" t="s">
        <v>53</v>
      </c>
      <c r="P4557" t="s">
        <v>54</v>
      </c>
      <c r="AP4557" t="s">
        <v>53</v>
      </c>
      <c r="AR4557" t="s">
        <v>53</v>
      </c>
      <c r="BH4557" t="s">
        <v>53</v>
      </c>
    </row>
    <row r="4558" spans="1:78" x14ac:dyDescent="0.2">
      <c r="A4558" t="s">
        <v>112</v>
      </c>
      <c r="B4558" t="s">
        <v>113</v>
      </c>
      <c r="C4558" t="s">
        <v>114</v>
      </c>
      <c r="D4558" t="s">
        <v>2111</v>
      </c>
      <c r="F4558" t="str">
        <f>"?34"</f>
        <v>?34</v>
      </c>
      <c r="G4558" t="s">
        <v>49</v>
      </c>
      <c r="K4558" t="s">
        <v>427</v>
      </c>
      <c r="L4558" t="s">
        <v>52</v>
      </c>
      <c r="M4558">
        <v>137455.13</v>
      </c>
      <c r="N4558">
        <v>474634.85</v>
      </c>
      <c r="O4558" t="s">
        <v>53</v>
      </c>
      <c r="P4558" t="s">
        <v>54</v>
      </c>
      <c r="AP4558" t="s">
        <v>53</v>
      </c>
      <c r="AR4558" t="s">
        <v>53</v>
      </c>
      <c r="BH4558" t="s">
        <v>53</v>
      </c>
    </row>
    <row r="4559" spans="1:78" x14ac:dyDescent="0.2">
      <c r="A4559" t="s">
        <v>112</v>
      </c>
      <c r="B4559" t="s">
        <v>113</v>
      </c>
      <c r="C4559" t="s">
        <v>114</v>
      </c>
      <c r="D4559" t="s">
        <v>428</v>
      </c>
      <c r="F4559" t="str">
        <f>"254360"</f>
        <v>254360</v>
      </c>
      <c r="G4559" t="s">
        <v>49</v>
      </c>
      <c r="H4559" t="s">
        <v>2112</v>
      </c>
      <c r="K4559" t="s">
        <v>51</v>
      </c>
      <c r="L4559" t="s">
        <v>52</v>
      </c>
      <c r="M4559">
        <v>136994.402</v>
      </c>
      <c r="N4559">
        <v>470671.30099999998</v>
      </c>
      <c r="O4559" t="s">
        <v>53</v>
      </c>
      <c r="P4559" t="s">
        <v>54</v>
      </c>
      <c r="Q4559" t="s">
        <v>55</v>
      </c>
      <c r="T4559" t="s">
        <v>431</v>
      </c>
      <c r="U4559">
        <v>40</v>
      </c>
      <c r="V4559" s="1">
        <v>39083</v>
      </c>
      <c r="W4559" s="1">
        <v>39083</v>
      </c>
      <c r="X4559" s="1">
        <v>39083</v>
      </c>
      <c r="Y4559" s="1">
        <v>53693</v>
      </c>
      <c r="Z4559" t="s">
        <v>51</v>
      </c>
      <c r="AB4559" t="s">
        <v>54</v>
      </c>
      <c r="AE4559" t="s">
        <v>79</v>
      </c>
      <c r="AF4559">
        <v>20</v>
      </c>
      <c r="AG4559" s="1">
        <v>39264</v>
      </c>
      <c r="AH4559" s="1">
        <v>39264</v>
      </c>
      <c r="AI4559" s="1">
        <v>39264</v>
      </c>
      <c r="AJ4559" s="1">
        <v>46569</v>
      </c>
      <c r="AK4559" t="s">
        <v>51</v>
      </c>
      <c r="AN4559">
        <v>0</v>
      </c>
      <c r="AO4559" t="s">
        <v>54</v>
      </c>
      <c r="AP4559" t="s">
        <v>53</v>
      </c>
      <c r="AQ4559">
        <v>0</v>
      </c>
      <c r="AR4559" t="s">
        <v>145</v>
      </c>
      <c r="AS4559">
        <v>0</v>
      </c>
      <c r="AT4559">
        <v>0</v>
      </c>
      <c r="BK4559" t="s">
        <v>59</v>
      </c>
      <c r="BL4559">
        <v>14000</v>
      </c>
      <c r="BM4559" s="1">
        <v>39264</v>
      </c>
      <c r="BN4559" s="1">
        <v>39264</v>
      </c>
      <c r="BO4559" s="1">
        <v>39264</v>
      </c>
      <c r="BP4559" s="1">
        <v>40464</v>
      </c>
      <c r="BQ4559" t="s">
        <v>51</v>
      </c>
      <c r="BS4559" t="s">
        <v>60</v>
      </c>
      <c r="BT4559" t="s">
        <v>54</v>
      </c>
      <c r="BU4559" t="s">
        <v>61</v>
      </c>
      <c r="BV4559" t="s">
        <v>62</v>
      </c>
      <c r="BX4559">
        <v>24</v>
      </c>
      <c r="BY4559">
        <v>0</v>
      </c>
      <c r="BZ4559">
        <v>0</v>
      </c>
    </row>
    <row r="4560" spans="1:78" x14ac:dyDescent="0.2">
      <c r="A4560" t="s">
        <v>112</v>
      </c>
      <c r="B4560" t="s">
        <v>113</v>
      </c>
      <c r="C4560" t="s">
        <v>114</v>
      </c>
      <c r="D4560" t="s">
        <v>428</v>
      </c>
      <c r="F4560" t="str">
        <f>"254359"</f>
        <v>254359</v>
      </c>
      <c r="G4560" t="s">
        <v>49</v>
      </c>
      <c r="H4560" t="s">
        <v>2112</v>
      </c>
      <c r="K4560" t="s">
        <v>51</v>
      </c>
      <c r="L4560" t="s">
        <v>52</v>
      </c>
      <c r="M4560">
        <v>136973.45199999999</v>
      </c>
      <c r="N4560">
        <v>470668.815</v>
      </c>
      <c r="O4560" t="s">
        <v>53</v>
      </c>
      <c r="P4560" t="s">
        <v>54</v>
      </c>
      <c r="Q4560" t="s">
        <v>55</v>
      </c>
      <c r="T4560" t="s">
        <v>431</v>
      </c>
      <c r="U4560">
        <v>40</v>
      </c>
      <c r="V4560" s="1">
        <v>39083</v>
      </c>
      <c r="W4560" s="1">
        <v>39083</v>
      </c>
      <c r="X4560" s="1">
        <v>39083</v>
      </c>
      <c r="Y4560" s="1">
        <v>53693</v>
      </c>
      <c r="Z4560" t="s">
        <v>51</v>
      </c>
      <c r="AB4560" t="s">
        <v>54</v>
      </c>
      <c r="AE4560" t="s">
        <v>79</v>
      </c>
      <c r="AF4560">
        <v>20</v>
      </c>
      <c r="AG4560" s="1">
        <v>39264</v>
      </c>
      <c r="AH4560" s="1">
        <v>39264</v>
      </c>
      <c r="AI4560" s="1">
        <v>39264</v>
      </c>
      <c r="AJ4560" s="1">
        <v>46569</v>
      </c>
      <c r="AK4560" t="s">
        <v>51</v>
      </c>
      <c r="AN4560">
        <v>0</v>
      </c>
      <c r="AO4560" t="s">
        <v>54</v>
      </c>
      <c r="AP4560" t="s">
        <v>53</v>
      </c>
      <c r="AQ4560">
        <v>0</v>
      </c>
      <c r="AR4560" t="s">
        <v>145</v>
      </c>
      <c r="AS4560">
        <v>0</v>
      </c>
      <c r="AT4560">
        <v>0</v>
      </c>
      <c r="BK4560" t="s">
        <v>59</v>
      </c>
      <c r="BL4560">
        <v>14000</v>
      </c>
      <c r="BM4560" s="1">
        <v>39264</v>
      </c>
      <c r="BN4560" s="1">
        <v>39264</v>
      </c>
      <c r="BO4560" s="1">
        <v>39264</v>
      </c>
      <c r="BP4560" s="1">
        <v>40464</v>
      </c>
      <c r="BQ4560" t="s">
        <v>51</v>
      </c>
      <c r="BS4560" t="s">
        <v>60</v>
      </c>
      <c r="BT4560" t="s">
        <v>54</v>
      </c>
      <c r="BU4560" t="s">
        <v>61</v>
      </c>
      <c r="BV4560" t="s">
        <v>62</v>
      </c>
      <c r="BX4560">
        <v>24</v>
      </c>
      <c r="BY4560">
        <v>0</v>
      </c>
      <c r="BZ4560">
        <v>0</v>
      </c>
    </row>
    <row r="4561" spans="1:78" x14ac:dyDescent="0.2">
      <c r="A4561" t="s">
        <v>112</v>
      </c>
      <c r="B4561" t="s">
        <v>113</v>
      </c>
      <c r="C4561" t="s">
        <v>114</v>
      </c>
      <c r="D4561" t="s">
        <v>428</v>
      </c>
      <c r="F4561" t="str">
        <f>"254358"</f>
        <v>254358</v>
      </c>
      <c r="G4561" t="s">
        <v>49</v>
      </c>
      <c r="H4561" t="s">
        <v>2112</v>
      </c>
      <c r="K4561" t="s">
        <v>51</v>
      </c>
      <c r="L4561" t="s">
        <v>52</v>
      </c>
      <c r="M4561">
        <v>136953.83100000001</v>
      </c>
      <c r="N4561">
        <v>470669.71100000001</v>
      </c>
      <c r="O4561" t="s">
        <v>53</v>
      </c>
      <c r="P4561" t="s">
        <v>54</v>
      </c>
      <c r="Q4561" t="s">
        <v>55</v>
      </c>
      <c r="T4561" t="s">
        <v>431</v>
      </c>
      <c r="U4561">
        <v>40</v>
      </c>
      <c r="V4561" s="1">
        <v>39083</v>
      </c>
      <c r="W4561" s="1">
        <v>39083</v>
      </c>
      <c r="X4561" s="1">
        <v>39083</v>
      </c>
      <c r="Y4561" s="1">
        <v>53693</v>
      </c>
      <c r="Z4561" t="s">
        <v>51</v>
      </c>
      <c r="AB4561" t="s">
        <v>54</v>
      </c>
      <c r="AE4561" t="s">
        <v>79</v>
      </c>
      <c r="AF4561">
        <v>20</v>
      </c>
      <c r="AG4561" s="1">
        <v>39264</v>
      </c>
      <c r="AH4561" s="1">
        <v>39264</v>
      </c>
      <c r="AI4561" s="1">
        <v>39264</v>
      </c>
      <c r="AJ4561" s="1">
        <v>46569</v>
      </c>
      <c r="AK4561" t="s">
        <v>51</v>
      </c>
      <c r="AN4561">
        <v>0</v>
      </c>
      <c r="AO4561" t="s">
        <v>54</v>
      </c>
      <c r="AP4561" t="s">
        <v>53</v>
      </c>
      <c r="AQ4561">
        <v>0</v>
      </c>
      <c r="AR4561" t="s">
        <v>145</v>
      </c>
      <c r="AS4561">
        <v>0</v>
      </c>
      <c r="AT4561">
        <v>0</v>
      </c>
      <c r="BK4561" t="s">
        <v>59</v>
      </c>
      <c r="BL4561">
        <v>14000</v>
      </c>
      <c r="BM4561" s="1">
        <v>39264</v>
      </c>
      <c r="BN4561" s="1">
        <v>39264</v>
      </c>
      <c r="BO4561" s="1">
        <v>39264</v>
      </c>
      <c r="BP4561" s="1">
        <v>40464</v>
      </c>
      <c r="BQ4561" t="s">
        <v>51</v>
      </c>
      <c r="BS4561" t="s">
        <v>60</v>
      </c>
      <c r="BT4561" t="s">
        <v>54</v>
      </c>
      <c r="BU4561" t="s">
        <v>61</v>
      </c>
      <c r="BV4561" t="s">
        <v>62</v>
      </c>
      <c r="BX4561">
        <v>24</v>
      </c>
      <c r="BY4561">
        <v>0</v>
      </c>
      <c r="BZ4561">
        <v>0</v>
      </c>
    </row>
    <row r="4562" spans="1:78" x14ac:dyDescent="0.2">
      <c r="A4562" t="s">
        <v>112</v>
      </c>
      <c r="B4562" t="s">
        <v>113</v>
      </c>
      <c r="C4562" t="s">
        <v>114</v>
      </c>
      <c r="D4562" t="s">
        <v>428</v>
      </c>
      <c r="F4562" t="str">
        <f>"254357"</f>
        <v>254357</v>
      </c>
      <c r="G4562" t="s">
        <v>49</v>
      </c>
      <c r="H4562" t="s">
        <v>2112</v>
      </c>
      <c r="K4562" t="s">
        <v>51</v>
      </c>
      <c r="L4562" t="s">
        <v>52</v>
      </c>
      <c r="M4562">
        <v>136951.666</v>
      </c>
      <c r="N4562">
        <v>470648.179</v>
      </c>
      <c r="O4562" t="s">
        <v>53</v>
      </c>
      <c r="P4562" t="s">
        <v>54</v>
      </c>
      <c r="Q4562" t="s">
        <v>55</v>
      </c>
      <c r="T4562" t="s">
        <v>431</v>
      </c>
      <c r="U4562">
        <v>40</v>
      </c>
      <c r="V4562" s="1">
        <v>39083</v>
      </c>
      <c r="W4562" s="1">
        <v>39083</v>
      </c>
      <c r="X4562" s="1">
        <v>39083</v>
      </c>
      <c r="Y4562" s="1">
        <v>53693</v>
      </c>
      <c r="Z4562" t="s">
        <v>51</v>
      </c>
      <c r="AB4562" t="s">
        <v>54</v>
      </c>
      <c r="AE4562" t="s">
        <v>79</v>
      </c>
      <c r="AF4562">
        <v>20</v>
      </c>
      <c r="AG4562" s="1">
        <v>39264</v>
      </c>
      <c r="AH4562" s="1">
        <v>39264</v>
      </c>
      <c r="AI4562" s="1">
        <v>39264</v>
      </c>
      <c r="AJ4562" s="1">
        <v>46569</v>
      </c>
      <c r="AK4562" t="s">
        <v>51</v>
      </c>
      <c r="AN4562">
        <v>0</v>
      </c>
      <c r="AO4562" t="s">
        <v>54</v>
      </c>
      <c r="AP4562" t="s">
        <v>53</v>
      </c>
      <c r="AQ4562">
        <v>0</v>
      </c>
      <c r="AR4562" t="s">
        <v>145</v>
      </c>
      <c r="AS4562">
        <v>0</v>
      </c>
      <c r="AT4562">
        <v>0</v>
      </c>
      <c r="BK4562" t="s">
        <v>59</v>
      </c>
      <c r="BL4562">
        <v>14000</v>
      </c>
      <c r="BM4562" s="1">
        <v>39264</v>
      </c>
      <c r="BN4562" s="1">
        <v>39264</v>
      </c>
      <c r="BO4562" s="1">
        <v>39264</v>
      </c>
      <c r="BP4562" s="1">
        <v>40464</v>
      </c>
      <c r="BQ4562" t="s">
        <v>51</v>
      </c>
      <c r="BS4562" t="s">
        <v>60</v>
      </c>
      <c r="BT4562" t="s">
        <v>54</v>
      </c>
      <c r="BU4562" t="s">
        <v>61</v>
      </c>
      <c r="BV4562" t="s">
        <v>62</v>
      </c>
      <c r="BX4562">
        <v>24</v>
      </c>
      <c r="BY4562">
        <v>0</v>
      </c>
      <c r="BZ4562">
        <v>0</v>
      </c>
    </row>
    <row r="4563" spans="1:78" x14ac:dyDescent="0.2">
      <c r="A4563" t="s">
        <v>112</v>
      </c>
      <c r="B4563" t="s">
        <v>113</v>
      </c>
      <c r="C4563" t="s">
        <v>114</v>
      </c>
      <c r="D4563" t="s">
        <v>428</v>
      </c>
      <c r="F4563" t="str">
        <f>"254356"</f>
        <v>254356</v>
      </c>
      <c r="G4563" t="s">
        <v>49</v>
      </c>
      <c r="H4563" t="s">
        <v>2112</v>
      </c>
      <c r="K4563" t="s">
        <v>51</v>
      </c>
      <c r="L4563" t="s">
        <v>52</v>
      </c>
      <c r="M4563">
        <v>136951.48499999999</v>
      </c>
      <c r="N4563">
        <v>470620.283</v>
      </c>
      <c r="O4563" t="s">
        <v>53</v>
      </c>
      <c r="P4563" t="s">
        <v>54</v>
      </c>
      <c r="Q4563" t="s">
        <v>55</v>
      </c>
      <c r="T4563" t="s">
        <v>269</v>
      </c>
      <c r="U4563">
        <v>40</v>
      </c>
      <c r="V4563" s="1">
        <v>39083</v>
      </c>
      <c r="W4563" s="1">
        <v>39083</v>
      </c>
      <c r="X4563" s="1">
        <v>39083</v>
      </c>
      <c r="Y4563" s="1">
        <v>53693</v>
      </c>
      <c r="Z4563" t="s">
        <v>51</v>
      </c>
      <c r="AB4563" t="s">
        <v>54</v>
      </c>
      <c r="AE4563" t="s">
        <v>564</v>
      </c>
      <c r="AF4563">
        <v>20</v>
      </c>
      <c r="AG4563" s="1">
        <v>39083</v>
      </c>
      <c r="AH4563" s="1">
        <v>39083</v>
      </c>
      <c r="AI4563" s="1">
        <v>39083</v>
      </c>
      <c r="AJ4563" s="1">
        <v>46388</v>
      </c>
      <c r="AK4563" t="s">
        <v>51</v>
      </c>
      <c r="AN4563">
        <v>0</v>
      </c>
      <c r="AO4563" t="s">
        <v>54</v>
      </c>
      <c r="AP4563" t="s">
        <v>53</v>
      </c>
      <c r="AQ4563">
        <v>0</v>
      </c>
      <c r="AR4563" t="s">
        <v>53</v>
      </c>
      <c r="AS4563">
        <v>0</v>
      </c>
      <c r="AT4563">
        <v>0</v>
      </c>
      <c r="BK4563" t="s">
        <v>65</v>
      </c>
      <c r="BL4563">
        <v>14000</v>
      </c>
      <c r="BM4563" s="1">
        <v>42736</v>
      </c>
      <c r="BN4563" s="1">
        <v>42736</v>
      </c>
      <c r="BO4563" s="1">
        <v>42736</v>
      </c>
      <c r="BP4563" s="1">
        <v>43900</v>
      </c>
      <c r="BQ4563" t="s">
        <v>51</v>
      </c>
      <c r="BS4563" t="s">
        <v>60</v>
      </c>
      <c r="BT4563" t="s">
        <v>54</v>
      </c>
      <c r="BU4563" t="s">
        <v>61</v>
      </c>
      <c r="BV4563" t="s">
        <v>62</v>
      </c>
      <c r="BX4563">
        <v>36</v>
      </c>
      <c r="BY4563">
        <v>0</v>
      </c>
      <c r="BZ4563">
        <v>0</v>
      </c>
    </row>
    <row r="4564" spans="1:78" x14ac:dyDescent="0.2">
      <c r="A4564" t="s">
        <v>112</v>
      </c>
      <c r="B4564" t="s">
        <v>113</v>
      </c>
      <c r="C4564" t="s">
        <v>114</v>
      </c>
      <c r="D4564" t="s">
        <v>428</v>
      </c>
      <c r="F4564" t="str">
        <f>"254355"</f>
        <v>254355</v>
      </c>
      <c r="G4564" t="s">
        <v>49</v>
      </c>
      <c r="H4564" t="s">
        <v>2112</v>
      </c>
      <c r="K4564" t="s">
        <v>51</v>
      </c>
      <c r="L4564" t="s">
        <v>52</v>
      </c>
      <c r="M4564">
        <v>136959.45000000001</v>
      </c>
      <c r="N4564">
        <v>470593.39</v>
      </c>
      <c r="O4564" t="s">
        <v>53</v>
      </c>
      <c r="P4564" t="s">
        <v>54</v>
      </c>
      <c r="Q4564" t="s">
        <v>55</v>
      </c>
      <c r="T4564" t="s">
        <v>431</v>
      </c>
      <c r="U4564">
        <v>40</v>
      </c>
      <c r="V4564" s="1">
        <v>39083</v>
      </c>
      <c r="W4564" s="1">
        <v>39083</v>
      </c>
      <c r="X4564" s="1">
        <v>39083</v>
      </c>
      <c r="Y4564" s="1">
        <v>53693</v>
      </c>
      <c r="Z4564" t="s">
        <v>51</v>
      </c>
      <c r="AB4564" t="s">
        <v>54</v>
      </c>
      <c r="AE4564" t="s">
        <v>79</v>
      </c>
      <c r="AF4564">
        <v>20</v>
      </c>
      <c r="AG4564" s="1">
        <v>39264</v>
      </c>
      <c r="AH4564" s="1">
        <v>39264</v>
      </c>
      <c r="AI4564" s="1">
        <v>39264</v>
      </c>
      <c r="AJ4564" s="1">
        <v>46569</v>
      </c>
      <c r="AK4564" t="s">
        <v>51</v>
      </c>
      <c r="AN4564">
        <v>0</v>
      </c>
      <c r="AO4564" t="s">
        <v>54</v>
      </c>
      <c r="AP4564" t="s">
        <v>53</v>
      </c>
      <c r="AQ4564">
        <v>0</v>
      </c>
      <c r="AR4564" t="s">
        <v>145</v>
      </c>
      <c r="AS4564">
        <v>0</v>
      </c>
      <c r="AT4564">
        <v>0</v>
      </c>
      <c r="BK4564" t="s">
        <v>59</v>
      </c>
      <c r="BL4564">
        <v>14000</v>
      </c>
      <c r="BM4564" s="1">
        <v>39264</v>
      </c>
      <c r="BN4564" s="1">
        <v>39264</v>
      </c>
      <c r="BO4564" s="1">
        <v>39264</v>
      </c>
      <c r="BP4564" s="1">
        <v>40464</v>
      </c>
      <c r="BQ4564" t="s">
        <v>51</v>
      </c>
      <c r="BS4564" t="s">
        <v>60</v>
      </c>
      <c r="BT4564" t="s">
        <v>54</v>
      </c>
      <c r="BU4564" t="s">
        <v>61</v>
      </c>
      <c r="BV4564" t="s">
        <v>62</v>
      </c>
      <c r="BX4564">
        <v>24</v>
      </c>
      <c r="BY4564">
        <v>0</v>
      </c>
      <c r="BZ4564">
        <v>0</v>
      </c>
    </row>
    <row r="4565" spans="1:78" x14ac:dyDescent="0.2">
      <c r="A4565" t="s">
        <v>112</v>
      </c>
      <c r="B4565" t="s">
        <v>113</v>
      </c>
      <c r="C4565" t="s">
        <v>114</v>
      </c>
      <c r="D4565" t="s">
        <v>2111</v>
      </c>
      <c r="F4565" t="str">
        <f>"?35"</f>
        <v>?35</v>
      </c>
      <c r="G4565" t="s">
        <v>49</v>
      </c>
      <c r="K4565" t="s">
        <v>427</v>
      </c>
      <c r="L4565" t="s">
        <v>52</v>
      </c>
      <c r="M4565">
        <v>137414.78</v>
      </c>
      <c r="N4565">
        <v>474633.18</v>
      </c>
      <c r="O4565" t="s">
        <v>53</v>
      </c>
      <c r="P4565" t="s">
        <v>54</v>
      </c>
      <c r="AP4565" t="s">
        <v>53</v>
      </c>
      <c r="AR4565" t="s">
        <v>53</v>
      </c>
      <c r="BH4565" t="s">
        <v>53</v>
      </c>
    </row>
    <row r="4566" spans="1:78" x14ac:dyDescent="0.2">
      <c r="A4566" t="s">
        <v>112</v>
      </c>
      <c r="B4566" t="s">
        <v>113</v>
      </c>
      <c r="C4566" t="s">
        <v>114</v>
      </c>
      <c r="D4566" t="s">
        <v>428</v>
      </c>
      <c r="F4566" t="str">
        <f>"254354"</f>
        <v>254354</v>
      </c>
      <c r="G4566" t="s">
        <v>49</v>
      </c>
      <c r="H4566" t="s">
        <v>2112</v>
      </c>
      <c r="K4566" t="s">
        <v>51</v>
      </c>
      <c r="L4566" t="s">
        <v>52</v>
      </c>
      <c r="M4566">
        <v>136962.14000000001</v>
      </c>
      <c r="N4566">
        <v>470566.61</v>
      </c>
      <c r="O4566" t="s">
        <v>53</v>
      </c>
      <c r="P4566" t="s">
        <v>54</v>
      </c>
      <c r="Q4566" t="s">
        <v>55</v>
      </c>
      <c r="T4566" t="s">
        <v>431</v>
      </c>
      <c r="U4566">
        <v>40</v>
      </c>
      <c r="V4566" s="1">
        <v>39083</v>
      </c>
      <c r="W4566" s="1">
        <v>39083</v>
      </c>
      <c r="X4566" s="1">
        <v>39083</v>
      </c>
      <c r="Y4566" s="1">
        <v>53693</v>
      </c>
      <c r="Z4566" t="s">
        <v>51</v>
      </c>
      <c r="AB4566" t="s">
        <v>54</v>
      </c>
      <c r="AE4566" t="s">
        <v>79</v>
      </c>
      <c r="AF4566">
        <v>20</v>
      </c>
      <c r="AG4566" s="1">
        <v>39264</v>
      </c>
      <c r="AH4566" s="1">
        <v>39264</v>
      </c>
      <c r="AI4566" s="1">
        <v>39264</v>
      </c>
      <c r="AJ4566" s="1">
        <v>46569</v>
      </c>
      <c r="AK4566" t="s">
        <v>51</v>
      </c>
      <c r="AN4566">
        <v>0</v>
      </c>
      <c r="AO4566" t="s">
        <v>54</v>
      </c>
      <c r="AP4566" t="s">
        <v>53</v>
      </c>
      <c r="AQ4566">
        <v>0</v>
      </c>
      <c r="AR4566" t="s">
        <v>145</v>
      </c>
      <c r="AS4566">
        <v>0</v>
      </c>
      <c r="AT4566">
        <v>0</v>
      </c>
      <c r="BK4566" t="s">
        <v>59</v>
      </c>
      <c r="BL4566">
        <v>14000</v>
      </c>
      <c r="BM4566" s="1">
        <v>39264</v>
      </c>
      <c r="BN4566" s="1">
        <v>39264</v>
      </c>
      <c r="BO4566" s="1">
        <v>39264</v>
      </c>
      <c r="BP4566" s="1">
        <v>40464</v>
      </c>
      <c r="BQ4566" t="s">
        <v>51</v>
      </c>
      <c r="BS4566" t="s">
        <v>60</v>
      </c>
      <c r="BT4566" t="s">
        <v>54</v>
      </c>
      <c r="BU4566" t="s">
        <v>61</v>
      </c>
      <c r="BV4566" t="s">
        <v>62</v>
      </c>
      <c r="BX4566">
        <v>24</v>
      </c>
      <c r="BY4566">
        <v>0</v>
      </c>
      <c r="BZ4566">
        <v>0</v>
      </c>
    </row>
    <row r="4567" spans="1:78" x14ac:dyDescent="0.2">
      <c r="A4567" t="s">
        <v>112</v>
      </c>
      <c r="B4567" t="s">
        <v>113</v>
      </c>
      <c r="C4567" t="s">
        <v>114</v>
      </c>
      <c r="D4567" t="s">
        <v>428</v>
      </c>
      <c r="F4567" t="str">
        <f>"254352"</f>
        <v>254352</v>
      </c>
      <c r="G4567" t="s">
        <v>49</v>
      </c>
      <c r="H4567" t="s">
        <v>2112</v>
      </c>
      <c r="K4567" t="s">
        <v>51</v>
      </c>
      <c r="L4567" t="s">
        <v>52</v>
      </c>
      <c r="M4567">
        <v>136969.65400000001</v>
      </c>
      <c r="N4567">
        <v>470510.995</v>
      </c>
      <c r="O4567" t="s">
        <v>53</v>
      </c>
      <c r="P4567" t="s">
        <v>54</v>
      </c>
      <c r="Q4567" t="s">
        <v>55</v>
      </c>
      <c r="T4567" t="s">
        <v>431</v>
      </c>
      <c r="U4567">
        <v>40</v>
      </c>
      <c r="V4567" s="1">
        <v>39083</v>
      </c>
      <c r="W4567" s="1">
        <v>39083</v>
      </c>
      <c r="X4567" s="1">
        <v>39083</v>
      </c>
      <c r="Y4567" s="1">
        <v>53693</v>
      </c>
      <c r="Z4567" t="s">
        <v>51</v>
      </c>
      <c r="AB4567" t="s">
        <v>54</v>
      </c>
      <c r="AE4567" t="s">
        <v>79</v>
      </c>
      <c r="AF4567">
        <v>20</v>
      </c>
      <c r="AG4567" s="1">
        <v>39264</v>
      </c>
      <c r="AH4567" s="1">
        <v>39264</v>
      </c>
      <c r="AI4567" s="1">
        <v>39264</v>
      </c>
      <c r="AJ4567" s="1">
        <v>46569</v>
      </c>
      <c r="AK4567" t="s">
        <v>51</v>
      </c>
      <c r="AN4567">
        <v>0</v>
      </c>
      <c r="AO4567" t="s">
        <v>54</v>
      </c>
      <c r="AP4567" t="s">
        <v>53</v>
      </c>
      <c r="AQ4567">
        <v>0</v>
      </c>
      <c r="AR4567" t="s">
        <v>145</v>
      </c>
      <c r="AS4567">
        <v>0</v>
      </c>
      <c r="AT4567">
        <v>0</v>
      </c>
      <c r="BK4567" t="s">
        <v>59</v>
      </c>
      <c r="BL4567">
        <v>14000</v>
      </c>
      <c r="BM4567" s="1">
        <v>39264</v>
      </c>
      <c r="BN4567" s="1">
        <v>39264</v>
      </c>
      <c r="BO4567" s="1">
        <v>39264</v>
      </c>
      <c r="BP4567" s="1">
        <v>40464</v>
      </c>
      <c r="BQ4567" t="s">
        <v>51</v>
      </c>
      <c r="BS4567" t="s">
        <v>60</v>
      </c>
      <c r="BT4567" t="s">
        <v>54</v>
      </c>
      <c r="BU4567" t="s">
        <v>61</v>
      </c>
      <c r="BV4567" t="s">
        <v>62</v>
      </c>
      <c r="BX4567">
        <v>24</v>
      </c>
      <c r="BY4567">
        <v>0</v>
      </c>
      <c r="BZ4567">
        <v>0</v>
      </c>
    </row>
    <row r="4568" spans="1:78" x14ac:dyDescent="0.2">
      <c r="A4568" t="s">
        <v>112</v>
      </c>
      <c r="B4568" t="s">
        <v>113</v>
      </c>
      <c r="C4568" t="s">
        <v>114</v>
      </c>
      <c r="D4568" t="s">
        <v>2010</v>
      </c>
      <c r="F4568" t="str">
        <f>"?352"</f>
        <v>?352</v>
      </c>
      <c r="G4568" t="s">
        <v>49</v>
      </c>
      <c r="K4568" t="s">
        <v>2116</v>
      </c>
      <c r="L4568" t="s">
        <v>52</v>
      </c>
      <c r="M4568">
        <v>137068.68</v>
      </c>
      <c r="N4568">
        <v>470671.75</v>
      </c>
      <c r="O4568" t="s">
        <v>53</v>
      </c>
      <c r="P4568" t="s">
        <v>54</v>
      </c>
      <c r="AP4568" t="s">
        <v>53</v>
      </c>
      <c r="AR4568" t="s">
        <v>53</v>
      </c>
      <c r="BH4568" t="s">
        <v>53</v>
      </c>
    </row>
    <row r="4569" spans="1:78" x14ac:dyDescent="0.2">
      <c r="A4569" t="s">
        <v>112</v>
      </c>
      <c r="B4569" t="s">
        <v>113</v>
      </c>
      <c r="C4569" t="s">
        <v>114</v>
      </c>
      <c r="D4569" t="s">
        <v>2010</v>
      </c>
      <c r="F4569" t="str">
        <f>"?353"</f>
        <v>?353</v>
      </c>
      <c r="G4569" t="s">
        <v>49</v>
      </c>
      <c r="K4569" t="s">
        <v>2116</v>
      </c>
      <c r="L4569" t="s">
        <v>52</v>
      </c>
      <c r="M4569">
        <v>137068.85</v>
      </c>
      <c r="N4569">
        <v>470709.2</v>
      </c>
      <c r="O4569" t="s">
        <v>53</v>
      </c>
      <c r="P4569" t="s">
        <v>54</v>
      </c>
      <c r="AP4569" t="s">
        <v>53</v>
      </c>
      <c r="AR4569" t="s">
        <v>53</v>
      </c>
      <c r="BH4569" t="s">
        <v>53</v>
      </c>
    </row>
    <row r="4570" spans="1:78" x14ac:dyDescent="0.2">
      <c r="A4570" t="s">
        <v>112</v>
      </c>
      <c r="B4570" t="s">
        <v>113</v>
      </c>
      <c r="C4570" t="s">
        <v>114</v>
      </c>
      <c r="D4570" t="s">
        <v>2010</v>
      </c>
      <c r="F4570" t="str">
        <f>"?354"</f>
        <v>?354</v>
      </c>
      <c r="G4570" t="s">
        <v>49</v>
      </c>
      <c r="K4570" t="s">
        <v>2116</v>
      </c>
      <c r="L4570" t="s">
        <v>52</v>
      </c>
      <c r="M4570">
        <v>137043.01999999999</v>
      </c>
      <c r="N4570">
        <v>470671.15</v>
      </c>
      <c r="O4570" t="s">
        <v>53</v>
      </c>
      <c r="P4570" t="s">
        <v>54</v>
      </c>
      <c r="AP4570" t="s">
        <v>53</v>
      </c>
      <c r="AR4570" t="s">
        <v>53</v>
      </c>
      <c r="BH4570" t="s">
        <v>53</v>
      </c>
    </row>
    <row r="4571" spans="1:78" x14ac:dyDescent="0.2">
      <c r="A4571" t="s">
        <v>112</v>
      </c>
      <c r="B4571" t="s">
        <v>113</v>
      </c>
      <c r="C4571" t="s">
        <v>114</v>
      </c>
      <c r="D4571" t="s">
        <v>2010</v>
      </c>
      <c r="F4571" t="str">
        <f>"?355"</f>
        <v>?355</v>
      </c>
      <c r="G4571" t="s">
        <v>49</v>
      </c>
      <c r="K4571" t="s">
        <v>2116</v>
      </c>
      <c r="L4571" t="s">
        <v>52</v>
      </c>
      <c r="M4571">
        <v>137018.19</v>
      </c>
      <c r="N4571">
        <v>470674.8</v>
      </c>
      <c r="O4571" t="s">
        <v>53</v>
      </c>
      <c r="P4571" t="s">
        <v>54</v>
      </c>
      <c r="AP4571" t="s">
        <v>53</v>
      </c>
      <c r="AR4571" t="s">
        <v>53</v>
      </c>
      <c r="BH4571" t="s">
        <v>53</v>
      </c>
    </row>
    <row r="4572" spans="1:78" x14ac:dyDescent="0.2">
      <c r="A4572" t="s">
        <v>112</v>
      </c>
      <c r="B4572" t="s">
        <v>113</v>
      </c>
      <c r="C4572" t="s">
        <v>114</v>
      </c>
      <c r="D4572" t="s">
        <v>2010</v>
      </c>
      <c r="F4572" t="str">
        <f>"?356"</f>
        <v>?356</v>
      </c>
      <c r="G4572" t="s">
        <v>49</v>
      </c>
      <c r="K4572" t="s">
        <v>2116</v>
      </c>
      <c r="L4572" t="s">
        <v>52</v>
      </c>
      <c r="M4572">
        <v>137043.29</v>
      </c>
      <c r="N4572">
        <v>470708.39</v>
      </c>
      <c r="O4572" t="s">
        <v>53</v>
      </c>
      <c r="P4572" t="s">
        <v>54</v>
      </c>
      <c r="AP4572" t="s">
        <v>53</v>
      </c>
      <c r="AR4572" t="s">
        <v>53</v>
      </c>
      <c r="BH4572" t="s">
        <v>53</v>
      </c>
    </row>
    <row r="4573" spans="1:78" x14ac:dyDescent="0.2">
      <c r="A4573" t="s">
        <v>112</v>
      </c>
      <c r="B4573" t="s">
        <v>113</v>
      </c>
      <c r="C4573" t="s">
        <v>114</v>
      </c>
      <c r="D4573" t="s">
        <v>2010</v>
      </c>
      <c r="F4573" t="str">
        <f>"?357"</f>
        <v>?357</v>
      </c>
      <c r="G4573" t="s">
        <v>49</v>
      </c>
      <c r="K4573" t="s">
        <v>2116</v>
      </c>
      <c r="L4573" t="s">
        <v>52</v>
      </c>
      <c r="M4573">
        <v>137017.451801891</v>
      </c>
      <c r="N4573">
        <v>470707.71286376502</v>
      </c>
      <c r="O4573" t="s">
        <v>53</v>
      </c>
      <c r="P4573" t="s">
        <v>54</v>
      </c>
      <c r="AP4573" t="s">
        <v>53</v>
      </c>
      <c r="AR4573" t="s">
        <v>53</v>
      </c>
      <c r="BH4573" t="s">
        <v>53</v>
      </c>
    </row>
    <row r="4574" spans="1:78" x14ac:dyDescent="0.2">
      <c r="A4574" t="s">
        <v>112</v>
      </c>
      <c r="B4574" t="s">
        <v>113</v>
      </c>
      <c r="C4574" t="s">
        <v>114</v>
      </c>
      <c r="D4574" t="s">
        <v>428</v>
      </c>
      <c r="F4574" t="str">
        <f>"254353"</f>
        <v>254353</v>
      </c>
      <c r="G4574" t="s">
        <v>49</v>
      </c>
      <c r="H4574" t="s">
        <v>2112</v>
      </c>
      <c r="K4574" t="s">
        <v>51</v>
      </c>
      <c r="L4574" t="s">
        <v>52</v>
      </c>
      <c r="M4574">
        <v>136973.19</v>
      </c>
      <c r="N4574">
        <v>470540.68</v>
      </c>
      <c r="O4574" t="s">
        <v>53</v>
      </c>
      <c r="P4574" t="s">
        <v>54</v>
      </c>
      <c r="Q4574" t="s">
        <v>55</v>
      </c>
      <c r="T4574" t="s">
        <v>431</v>
      </c>
      <c r="U4574">
        <v>40</v>
      </c>
      <c r="V4574" s="1">
        <v>39083</v>
      </c>
      <c r="W4574" s="1">
        <v>39083</v>
      </c>
      <c r="X4574" s="1">
        <v>39083</v>
      </c>
      <c r="Y4574" s="1">
        <v>53693</v>
      </c>
      <c r="Z4574" t="s">
        <v>51</v>
      </c>
      <c r="AB4574" t="s">
        <v>54</v>
      </c>
      <c r="AE4574" t="s">
        <v>79</v>
      </c>
      <c r="AF4574">
        <v>20</v>
      </c>
      <c r="AG4574" s="1">
        <v>39264</v>
      </c>
      <c r="AH4574" s="1">
        <v>39264</v>
      </c>
      <c r="AI4574" s="1">
        <v>39264</v>
      </c>
      <c r="AJ4574" s="1">
        <v>46569</v>
      </c>
      <c r="AK4574" t="s">
        <v>51</v>
      </c>
      <c r="AN4574">
        <v>0</v>
      </c>
      <c r="AO4574" t="s">
        <v>54</v>
      </c>
      <c r="AP4574" t="s">
        <v>53</v>
      </c>
      <c r="AQ4574">
        <v>0</v>
      </c>
      <c r="AR4574" t="s">
        <v>145</v>
      </c>
      <c r="AS4574">
        <v>0</v>
      </c>
      <c r="AT4574">
        <v>0</v>
      </c>
      <c r="BK4574" t="s">
        <v>59</v>
      </c>
      <c r="BL4574">
        <v>14000</v>
      </c>
      <c r="BM4574" s="1">
        <v>39264</v>
      </c>
      <c r="BN4574" s="1">
        <v>39264</v>
      </c>
      <c r="BO4574" s="1">
        <v>39264</v>
      </c>
      <c r="BP4574" s="1">
        <v>40464</v>
      </c>
      <c r="BQ4574" t="s">
        <v>51</v>
      </c>
      <c r="BS4574" t="s">
        <v>60</v>
      </c>
      <c r="BT4574" t="s">
        <v>54</v>
      </c>
      <c r="BU4574" t="s">
        <v>61</v>
      </c>
      <c r="BV4574" t="s">
        <v>62</v>
      </c>
      <c r="BX4574">
        <v>24</v>
      </c>
      <c r="BY4574">
        <v>0</v>
      </c>
      <c r="BZ4574">
        <v>0</v>
      </c>
    </row>
    <row r="4575" spans="1:78" x14ac:dyDescent="0.2">
      <c r="A4575" t="s">
        <v>112</v>
      </c>
      <c r="B4575" t="s">
        <v>113</v>
      </c>
      <c r="C4575" t="s">
        <v>114</v>
      </c>
      <c r="D4575" t="s">
        <v>428</v>
      </c>
      <c r="F4575" t="str">
        <f>"254351"</f>
        <v>254351</v>
      </c>
      <c r="G4575" t="s">
        <v>49</v>
      </c>
      <c r="H4575" t="s">
        <v>2112</v>
      </c>
      <c r="K4575" t="s">
        <v>51</v>
      </c>
      <c r="L4575" t="s">
        <v>52</v>
      </c>
      <c r="M4575">
        <v>136963.6</v>
      </c>
      <c r="N4575">
        <v>470485.81599999999</v>
      </c>
      <c r="O4575" t="s">
        <v>53</v>
      </c>
      <c r="P4575" t="s">
        <v>54</v>
      </c>
      <c r="Q4575" t="s">
        <v>55</v>
      </c>
      <c r="T4575" t="s">
        <v>431</v>
      </c>
      <c r="U4575">
        <v>40</v>
      </c>
      <c r="V4575" s="1">
        <v>39083</v>
      </c>
      <c r="W4575" s="1">
        <v>39083</v>
      </c>
      <c r="X4575" s="1">
        <v>39083</v>
      </c>
      <c r="Y4575" s="1">
        <v>53693</v>
      </c>
      <c r="Z4575" t="s">
        <v>51</v>
      </c>
      <c r="AB4575" t="s">
        <v>54</v>
      </c>
      <c r="AE4575" t="s">
        <v>79</v>
      </c>
      <c r="AF4575">
        <v>20</v>
      </c>
      <c r="AG4575" s="1">
        <v>39264</v>
      </c>
      <c r="AH4575" s="1">
        <v>39264</v>
      </c>
      <c r="AI4575" s="1">
        <v>39264</v>
      </c>
      <c r="AJ4575" s="1">
        <v>46569</v>
      </c>
      <c r="AK4575" t="s">
        <v>51</v>
      </c>
      <c r="AN4575">
        <v>0</v>
      </c>
      <c r="AO4575" t="s">
        <v>54</v>
      </c>
      <c r="AP4575" t="s">
        <v>53</v>
      </c>
      <c r="AQ4575">
        <v>0</v>
      </c>
      <c r="AR4575" t="s">
        <v>145</v>
      </c>
      <c r="AS4575">
        <v>0</v>
      </c>
      <c r="AT4575">
        <v>0</v>
      </c>
      <c r="BK4575" t="s">
        <v>59</v>
      </c>
      <c r="BL4575">
        <v>14000</v>
      </c>
      <c r="BM4575" s="1">
        <v>39264</v>
      </c>
      <c r="BN4575" s="1">
        <v>39264</v>
      </c>
      <c r="BO4575" s="1">
        <v>39264</v>
      </c>
      <c r="BP4575" s="1">
        <v>40464</v>
      </c>
      <c r="BQ4575" t="s">
        <v>51</v>
      </c>
      <c r="BS4575" t="s">
        <v>60</v>
      </c>
      <c r="BT4575" t="s">
        <v>54</v>
      </c>
      <c r="BU4575" t="s">
        <v>61</v>
      </c>
      <c r="BV4575" t="s">
        <v>62</v>
      </c>
      <c r="BX4575">
        <v>24</v>
      </c>
      <c r="BY4575">
        <v>0</v>
      </c>
      <c r="BZ4575">
        <v>0</v>
      </c>
    </row>
    <row r="4576" spans="1:78" x14ac:dyDescent="0.2">
      <c r="A4576" t="s">
        <v>112</v>
      </c>
      <c r="B4576" t="s">
        <v>113</v>
      </c>
      <c r="C4576" t="s">
        <v>114</v>
      </c>
      <c r="D4576" t="s">
        <v>2111</v>
      </c>
      <c r="F4576" t="str">
        <f>"?36"</f>
        <v>?36</v>
      </c>
      <c r="G4576" t="s">
        <v>49</v>
      </c>
      <c r="K4576" t="s">
        <v>427</v>
      </c>
      <c r="L4576" t="s">
        <v>52</v>
      </c>
      <c r="M4576">
        <v>137372.74</v>
      </c>
      <c r="N4576">
        <v>474631.12</v>
      </c>
      <c r="O4576" t="s">
        <v>53</v>
      </c>
      <c r="P4576" t="s">
        <v>54</v>
      </c>
      <c r="AP4576" t="s">
        <v>53</v>
      </c>
      <c r="AR4576" t="s">
        <v>53</v>
      </c>
      <c r="BH4576" t="s">
        <v>53</v>
      </c>
    </row>
    <row r="4577" spans="1:78" x14ac:dyDescent="0.2">
      <c r="A4577" t="s">
        <v>112</v>
      </c>
      <c r="B4577" t="s">
        <v>113</v>
      </c>
      <c r="C4577" t="s">
        <v>114</v>
      </c>
      <c r="D4577" t="s">
        <v>428</v>
      </c>
      <c r="F4577" t="str">
        <f>"254350"</f>
        <v>254350</v>
      </c>
      <c r="G4577" t="s">
        <v>49</v>
      </c>
      <c r="H4577" t="s">
        <v>2112</v>
      </c>
      <c r="K4577" t="s">
        <v>51</v>
      </c>
      <c r="L4577" t="s">
        <v>52</v>
      </c>
      <c r="M4577">
        <v>136965.46900000001</v>
      </c>
      <c r="N4577">
        <v>470457.61099999998</v>
      </c>
      <c r="O4577" t="s">
        <v>53</v>
      </c>
      <c r="P4577" t="s">
        <v>54</v>
      </c>
      <c r="Q4577" t="s">
        <v>55</v>
      </c>
      <c r="T4577" t="s">
        <v>431</v>
      </c>
      <c r="U4577">
        <v>40</v>
      </c>
      <c r="V4577" s="1">
        <v>39083</v>
      </c>
      <c r="W4577" s="1">
        <v>39083</v>
      </c>
      <c r="X4577" s="1">
        <v>39083</v>
      </c>
      <c r="Y4577" s="1">
        <v>53693</v>
      </c>
      <c r="Z4577" t="s">
        <v>51</v>
      </c>
      <c r="AB4577" t="s">
        <v>54</v>
      </c>
      <c r="AE4577" t="s">
        <v>79</v>
      </c>
      <c r="AF4577">
        <v>20</v>
      </c>
      <c r="AG4577" s="1">
        <v>39264</v>
      </c>
      <c r="AH4577" s="1">
        <v>39264</v>
      </c>
      <c r="AI4577" s="1">
        <v>39264</v>
      </c>
      <c r="AJ4577" s="1">
        <v>46569</v>
      </c>
      <c r="AK4577" t="s">
        <v>51</v>
      </c>
      <c r="AN4577">
        <v>0</v>
      </c>
      <c r="AO4577" t="s">
        <v>54</v>
      </c>
      <c r="AP4577" t="s">
        <v>53</v>
      </c>
      <c r="AQ4577">
        <v>0</v>
      </c>
      <c r="AR4577" t="s">
        <v>145</v>
      </c>
      <c r="AS4577">
        <v>0</v>
      </c>
      <c r="AT4577">
        <v>0</v>
      </c>
      <c r="BK4577" t="s">
        <v>59</v>
      </c>
      <c r="BL4577">
        <v>14000</v>
      </c>
      <c r="BM4577" s="1">
        <v>39264</v>
      </c>
      <c r="BN4577" s="1">
        <v>39264</v>
      </c>
      <c r="BO4577" s="1">
        <v>39264</v>
      </c>
      <c r="BP4577" s="1">
        <v>40464</v>
      </c>
      <c r="BQ4577" t="s">
        <v>51</v>
      </c>
      <c r="BS4577" t="s">
        <v>60</v>
      </c>
      <c r="BT4577" t="s">
        <v>54</v>
      </c>
      <c r="BU4577" t="s">
        <v>61</v>
      </c>
      <c r="BV4577" t="s">
        <v>62</v>
      </c>
      <c r="BX4577">
        <v>24</v>
      </c>
      <c r="BY4577">
        <v>0</v>
      </c>
      <c r="BZ4577">
        <v>0</v>
      </c>
    </row>
    <row r="4578" spans="1:78" x14ac:dyDescent="0.2">
      <c r="A4578" t="s">
        <v>112</v>
      </c>
      <c r="B4578" t="s">
        <v>113</v>
      </c>
      <c r="C4578" t="s">
        <v>114</v>
      </c>
      <c r="D4578" t="s">
        <v>2111</v>
      </c>
      <c r="F4578" t="str">
        <f>"?37"</f>
        <v>?37</v>
      </c>
      <c r="G4578" t="s">
        <v>49</v>
      </c>
      <c r="K4578" t="s">
        <v>427</v>
      </c>
      <c r="L4578" t="s">
        <v>52</v>
      </c>
      <c r="M4578">
        <v>137334.01</v>
      </c>
      <c r="N4578">
        <v>474629.4</v>
      </c>
      <c r="O4578" t="s">
        <v>53</v>
      </c>
      <c r="P4578" t="s">
        <v>54</v>
      </c>
      <c r="AP4578" t="s">
        <v>53</v>
      </c>
      <c r="AR4578" t="s">
        <v>53</v>
      </c>
      <c r="BH4578" t="s">
        <v>53</v>
      </c>
    </row>
    <row r="4579" spans="1:78" x14ac:dyDescent="0.2">
      <c r="A4579" t="s">
        <v>112</v>
      </c>
      <c r="B4579" t="s">
        <v>113</v>
      </c>
      <c r="C4579" t="s">
        <v>114</v>
      </c>
      <c r="D4579" t="s">
        <v>2111</v>
      </c>
      <c r="F4579" t="str">
        <f>"?38"</f>
        <v>?38</v>
      </c>
      <c r="G4579" t="s">
        <v>49</v>
      </c>
      <c r="K4579" t="s">
        <v>427</v>
      </c>
      <c r="L4579" t="s">
        <v>52</v>
      </c>
      <c r="M4579">
        <v>137295.98000000001</v>
      </c>
      <c r="N4579">
        <v>474628.14</v>
      </c>
      <c r="O4579" t="s">
        <v>53</v>
      </c>
      <c r="P4579" t="s">
        <v>54</v>
      </c>
      <c r="AP4579" t="s">
        <v>53</v>
      </c>
      <c r="AR4579" t="s">
        <v>53</v>
      </c>
      <c r="BH4579" t="s">
        <v>53</v>
      </c>
    </row>
    <row r="4580" spans="1:78" x14ac:dyDescent="0.2">
      <c r="A4580" t="s">
        <v>112</v>
      </c>
      <c r="B4580" t="s">
        <v>113</v>
      </c>
      <c r="C4580" t="s">
        <v>114</v>
      </c>
      <c r="D4580" t="s">
        <v>1981</v>
      </c>
      <c r="F4580" t="str">
        <f>"?45"</f>
        <v>?45</v>
      </c>
      <c r="G4580" t="s">
        <v>49</v>
      </c>
      <c r="K4580" t="s">
        <v>427</v>
      </c>
      <c r="L4580" t="s">
        <v>52</v>
      </c>
      <c r="M4580">
        <v>137170.14000000001</v>
      </c>
      <c r="N4580">
        <v>474630.44</v>
      </c>
      <c r="O4580" t="s">
        <v>53</v>
      </c>
      <c r="P4580" t="s">
        <v>54</v>
      </c>
      <c r="AP4580" t="s">
        <v>53</v>
      </c>
      <c r="AR4580" t="s">
        <v>53</v>
      </c>
      <c r="BH4580" t="s">
        <v>53</v>
      </c>
    </row>
    <row r="4581" spans="1:78" x14ac:dyDescent="0.2">
      <c r="A4581" t="s">
        <v>425</v>
      </c>
      <c r="B4581" t="s">
        <v>425</v>
      </c>
      <c r="C4581" t="s">
        <v>425</v>
      </c>
      <c r="D4581" t="s">
        <v>2113</v>
      </c>
      <c r="F4581" t="str">
        <f>"?47"</f>
        <v>?47</v>
      </c>
      <c r="G4581" t="s">
        <v>49</v>
      </c>
      <c r="K4581" t="s">
        <v>427</v>
      </c>
      <c r="L4581" t="s">
        <v>52</v>
      </c>
      <c r="M4581">
        <v>137731.01999999999</v>
      </c>
      <c r="N4581">
        <v>474688.53</v>
      </c>
      <c r="O4581" t="s">
        <v>53</v>
      </c>
      <c r="P4581" t="s">
        <v>54</v>
      </c>
      <c r="AP4581" t="s">
        <v>53</v>
      </c>
      <c r="AR4581" t="s">
        <v>53</v>
      </c>
      <c r="BH4581" t="s">
        <v>53</v>
      </c>
    </row>
    <row r="4582" spans="1:78" x14ac:dyDescent="0.2">
      <c r="A4582" t="s">
        <v>425</v>
      </c>
      <c r="B4582" t="s">
        <v>425</v>
      </c>
      <c r="C4582" t="s">
        <v>425</v>
      </c>
      <c r="D4582" t="s">
        <v>2111</v>
      </c>
      <c r="F4582" t="str">
        <f>"?53"</f>
        <v>?53</v>
      </c>
      <c r="G4582" t="s">
        <v>49</v>
      </c>
      <c r="K4582" t="s">
        <v>427</v>
      </c>
      <c r="L4582" t="s">
        <v>52</v>
      </c>
      <c r="M4582">
        <v>137872.82999999999</v>
      </c>
      <c r="N4582">
        <v>474668.35</v>
      </c>
      <c r="O4582" t="s">
        <v>53</v>
      </c>
      <c r="P4582" t="s">
        <v>54</v>
      </c>
      <c r="AP4582" t="s">
        <v>53</v>
      </c>
      <c r="AR4582" t="s">
        <v>53</v>
      </c>
      <c r="BH4582" t="s">
        <v>53</v>
      </c>
    </row>
    <row r="4583" spans="1:78" x14ac:dyDescent="0.2">
      <c r="A4583" t="s">
        <v>425</v>
      </c>
      <c r="B4583" t="s">
        <v>425</v>
      </c>
      <c r="C4583" t="s">
        <v>425</v>
      </c>
      <c r="D4583" t="s">
        <v>2111</v>
      </c>
      <c r="F4583" t="str">
        <f>"?54"</f>
        <v>?54</v>
      </c>
      <c r="G4583" t="s">
        <v>49</v>
      </c>
      <c r="K4583" t="s">
        <v>427</v>
      </c>
      <c r="L4583" t="s">
        <v>52</v>
      </c>
      <c r="M4583">
        <v>137831.19</v>
      </c>
      <c r="N4583">
        <v>474668.35</v>
      </c>
      <c r="O4583" t="s">
        <v>53</v>
      </c>
      <c r="P4583" t="s">
        <v>54</v>
      </c>
      <c r="AP4583" t="s">
        <v>53</v>
      </c>
      <c r="AR4583" t="s">
        <v>53</v>
      </c>
      <c r="BH4583" t="s">
        <v>53</v>
      </c>
    </row>
    <row r="4584" spans="1:78" x14ac:dyDescent="0.2">
      <c r="A4584" t="s">
        <v>112</v>
      </c>
      <c r="B4584" t="s">
        <v>113</v>
      </c>
      <c r="C4584" t="s">
        <v>114</v>
      </c>
      <c r="D4584" t="s">
        <v>2111</v>
      </c>
      <c r="F4584" t="str">
        <f>"?55"</f>
        <v>?55</v>
      </c>
      <c r="G4584" t="s">
        <v>49</v>
      </c>
      <c r="K4584" t="s">
        <v>427</v>
      </c>
      <c r="L4584" t="s">
        <v>52</v>
      </c>
      <c r="M4584">
        <v>137703.31</v>
      </c>
      <c r="N4584">
        <v>474655.16</v>
      </c>
      <c r="O4584" t="s">
        <v>53</v>
      </c>
      <c r="P4584" t="s">
        <v>54</v>
      </c>
      <c r="AP4584" t="s">
        <v>53</v>
      </c>
      <c r="AR4584" t="s">
        <v>53</v>
      </c>
      <c r="BH4584" t="s">
        <v>53</v>
      </c>
    </row>
    <row r="4585" spans="1:78" x14ac:dyDescent="0.2">
      <c r="A4585" t="s">
        <v>112</v>
      </c>
      <c r="B4585" t="s">
        <v>113</v>
      </c>
      <c r="C4585" t="s">
        <v>114</v>
      </c>
      <c r="D4585" t="s">
        <v>2111</v>
      </c>
      <c r="F4585" t="str">
        <f>"?56"</f>
        <v>?56</v>
      </c>
      <c r="G4585" t="s">
        <v>49</v>
      </c>
      <c r="K4585" t="s">
        <v>427</v>
      </c>
      <c r="L4585" t="s">
        <v>52</v>
      </c>
      <c r="M4585">
        <v>137715.51999999999</v>
      </c>
      <c r="N4585">
        <v>474647.83</v>
      </c>
      <c r="O4585" t="s">
        <v>53</v>
      </c>
      <c r="P4585" t="s">
        <v>54</v>
      </c>
      <c r="AP4585" t="s">
        <v>53</v>
      </c>
      <c r="AR4585" t="s">
        <v>53</v>
      </c>
      <c r="BH4585" t="s">
        <v>53</v>
      </c>
    </row>
    <row r="4586" spans="1:78" x14ac:dyDescent="0.2">
      <c r="A4586" t="s">
        <v>112</v>
      </c>
      <c r="B4586" t="s">
        <v>113</v>
      </c>
      <c r="C4586" t="s">
        <v>114</v>
      </c>
      <c r="D4586" t="s">
        <v>2066</v>
      </c>
      <c r="F4586" t="str">
        <f>"?75"</f>
        <v>?75</v>
      </c>
      <c r="G4586" t="s">
        <v>49</v>
      </c>
      <c r="H4586" t="s">
        <v>1979</v>
      </c>
      <c r="K4586" t="s">
        <v>51</v>
      </c>
      <c r="L4586" t="s">
        <v>52</v>
      </c>
      <c r="M4586">
        <v>136866.57</v>
      </c>
      <c r="N4586">
        <v>472669.89</v>
      </c>
      <c r="O4586" t="s">
        <v>53</v>
      </c>
      <c r="P4586" t="s">
        <v>54</v>
      </c>
      <c r="Q4586" t="s">
        <v>55</v>
      </c>
      <c r="T4586" t="s">
        <v>431</v>
      </c>
      <c r="U4586">
        <v>40</v>
      </c>
      <c r="V4586" s="1">
        <v>34700</v>
      </c>
      <c r="W4586" s="1">
        <v>34700</v>
      </c>
      <c r="X4586" s="1">
        <v>34700</v>
      </c>
      <c r="Y4586" s="1">
        <v>49310</v>
      </c>
      <c r="Z4586" t="s">
        <v>51</v>
      </c>
      <c r="AB4586" t="s">
        <v>54</v>
      </c>
      <c r="AC4586">
        <v>1</v>
      </c>
      <c r="AE4586" t="s">
        <v>79</v>
      </c>
      <c r="AF4586">
        <v>20</v>
      </c>
      <c r="AG4586" s="1">
        <v>34700</v>
      </c>
      <c r="AH4586" s="1">
        <v>34700</v>
      </c>
      <c r="AI4586" s="1">
        <v>34700</v>
      </c>
      <c r="AJ4586" s="1">
        <v>42005</v>
      </c>
      <c r="AK4586" t="s">
        <v>51</v>
      </c>
      <c r="AN4586">
        <v>0</v>
      </c>
      <c r="AO4586" t="s">
        <v>54</v>
      </c>
      <c r="AP4586" t="s">
        <v>53</v>
      </c>
      <c r="AQ4586">
        <v>0</v>
      </c>
      <c r="AR4586" t="s">
        <v>145</v>
      </c>
      <c r="AS4586">
        <v>0</v>
      </c>
      <c r="AT4586">
        <v>0</v>
      </c>
      <c r="AW4586" t="s">
        <v>79</v>
      </c>
      <c r="AX4586">
        <v>20</v>
      </c>
      <c r="AY4586" s="1">
        <v>34700</v>
      </c>
      <c r="AZ4586" s="1">
        <v>34700</v>
      </c>
      <c r="BA4586" s="1">
        <v>34700</v>
      </c>
      <c r="BB4586" s="1">
        <v>42005</v>
      </c>
      <c r="BC4586" t="s">
        <v>51</v>
      </c>
      <c r="BE4586" t="s">
        <v>54</v>
      </c>
      <c r="BF4586">
        <v>5</v>
      </c>
      <c r="BG4586">
        <v>0</v>
      </c>
      <c r="BH4586" t="s">
        <v>53</v>
      </c>
      <c r="BK4586" t="s">
        <v>59</v>
      </c>
      <c r="BL4586">
        <v>14000</v>
      </c>
      <c r="BM4586" s="1">
        <v>42917</v>
      </c>
      <c r="BN4586" s="1">
        <v>42917</v>
      </c>
      <c r="BO4586" s="1">
        <v>42917</v>
      </c>
      <c r="BP4586" s="1">
        <v>44117</v>
      </c>
      <c r="BQ4586" t="s">
        <v>51</v>
      </c>
      <c r="BS4586" t="s">
        <v>60</v>
      </c>
      <c r="BT4586" t="s">
        <v>54</v>
      </c>
      <c r="BU4586" t="s">
        <v>61</v>
      </c>
      <c r="BV4586" t="s">
        <v>62</v>
      </c>
      <c r="BX4586">
        <v>24</v>
      </c>
      <c r="BY4586">
        <v>0</v>
      </c>
      <c r="BZ4586">
        <v>0</v>
      </c>
    </row>
    <row r="4587" spans="1:78" x14ac:dyDescent="0.2">
      <c r="A4587" t="s">
        <v>112</v>
      </c>
      <c r="B4587" t="s">
        <v>113</v>
      </c>
      <c r="C4587" t="s">
        <v>114</v>
      </c>
      <c r="D4587" t="s">
        <v>2066</v>
      </c>
      <c r="F4587" t="str">
        <f>"?76"</f>
        <v>?76</v>
      </c>
      <c r="G4587" t="s">
        <v>49</v>
      </c>
      <c r="H4587" t="s">
        <v>1979</v>
      </c>
      <c r="K4587" t="s">
        <v>51</v>
      </c>
      <c r="L4587" t="s">
        <v>52</v>
      </c>
      <c r="M4587">
        <v>136863.93</v>
      </c>
      <c r="N4587">
        <v>472694.94</v>
      </c>
      <c r="O4587" t="s">
        <v>53</v>
      </c>
      <c r="P4587" t="s">
        <v>54</v>
      </c>
      <c r="Q4587" t="s">
        <v>55</v>
      </c>
      <c r="T4587" t="s">
        <v>431</v>
      </c>
      <c r="U4587">
        <v>40</v>
      </c>
      <c r="V4587" s="1">
        <v>34700</v>
      </c>
      <c r="W4587" s="1">
        <v>34700</v>
      </c>
      <c r="X4587" s="1">
        <v>34700</v>
      </c>
      <c r="Y4587" s="1">
        <v>49310</v>
      </c>
      <c r="Z4587" t="s">
        <v>51</v>
      </c>
      <c r="AB4587" t="s">
        <v>54</v>
      </c>
      <c r="AC4587">
        <v>1</v>
      </c>
      <c r="AE4587" t="s">
        <v>79</v>
      </c>
      <c r="AF4587">
        <v>20</v>
      </c>
      <c r="AG4587" s="1">
        <v>34700</v>
      </c>
      <c r="AH4587" s="1">
        <v>34700</v>
      </c>
      <c r="AI4587" s="1">
        <v>34700</v>
      </c>
      <c r="AJ4587" s="1">
        <v>42005</v>
      </c>
      <c r="AK4587" t="s">
        <v>51</v>
      </c>
      <c r="AN4587">
        <v>0</v>
      </c>
      <c r="AO4587" t="s">
        <v>54</v>
      </c>
      <c r="AP4587" t="s">
        <v>53</v>
      </c>
      <c r="AQ4587">
        <v>0</v>
      </c>
      <c r="AR4587" t="s">
        <v>145</v>
      </c>
      <c r="AS4587">
        <v>0</v>
      </c>
      <c r="AT4587">
        <v>0</v>
      </c>
      <c r="AW4587" t="s">
        <v>79</v>
      </c>
      <c r="AX4587">
        <v>20</v>
      </c>
      <c r="AY4587" s="1">
        <v>34700</v>
      </c>
      <c r="AZ4587" s="1">
        <v>34700</v>
      </c>
      <c r="BA4587" s="1">
        <v>34700</v>
      </c>
      <c r="BB4587" s="1">
        <v>42005</v>
      </c>
      <c r="BC4587" t="s">
        <v>51</v>
      </c>
      <c r="BE4587" t="s">
        <v>54</v>
      </c>
      <c r="BF4587">
        <v>5</v>
      </c>
      <c r="BG4587">
        <v>0</v>
      </c>
      <c r="BH4587" t="s">
        <v>53</v>
      </c>
      <c r="BK4587" t="s">
        <v>59</v>
      </c>
      <c r="BL4587">
        <v>14000</v>
      </c>
      <c r="BM4587" s="1">
        <v>42917</v>
      </c>
      <c r="BN4587" s="1">
        <v>42917</v>
      </c>
      <c r="BO4587" s="1">
        <v>42917</v>
      </c>
      <c r="BP4587" s="1">
        <v>44117</v>
      </c>
      <c r="BQ4587" t="s">
        <v>51</v>
      </c>
      <c r="BS4587" t="s">
        <v>60</v>
      </c>
      <c r="BT4587" t="s">
        <v>54</v>
      </c>
      <c r="BU4587" t="s">
        <v>61</v>
      </c>
      <c r="BV4587" t="s">
        <v>62</v>
      </c>
      <c r="BX4587">
        <v>24</v>
      </c>
      <c r="BY4587">
        <v>0</v>
      </c>
      <c r="BZ4587">
        <v>0</v>
      </c>
    </row>
    <row r="4588" spans="1:78" x14ac:dyDescent="0.2">
      <c r="A4588" t="s">
        <v>112</v>
      </c>
      <c r="B4588" t="s">
        <v>113</v>
      </c>
      <c r="C4588" t="s">
        <v>114</v>
      </c>
      <c r="D4588" t="s">
        <v>2066</v>
      </c>
      <c r="F4588" t="str">
        <f>"251314"</f>
        <v>251314</v>
      </c>
      <c r="G4588" t="s">
        <v>49</v>
      </c>
      <c r="H4588" t="s">
        <v>1979</v>
      </c>
      <c r="K4588" t="s">
        <v>2117</v>
      </c>
      <c r="L4588" t="s">
        <v>52</v>
      </c>
      <c r="M4588">
        <v>136861.29999999999</v>
      </c>
      <c r="N4588">
        <v>472776.67</v>
      </c>
      <c r="O4588" t="s">
        <v>53</v>
      </c>
      <c r="P4588" t="s">
        <v>54</v>
      </c>
      <c r="Q4588" t="s">
        <v>55</v>
      </c>
      <c r="T4588" t="s">
        <v>431</v>
      </c>
      <c r="U4588">
        <v>40</v>
      </c>
      <c r="V4588" s="1">
        <v>34700</v>
      </c>
      <c r="W4588" s="1">
        <v>34700</v>
      </c>
      <c r="X4588" s="1">
        <v>34700</v>
      </c>
      <c r="Y4588" s="1">
        <v>49310</v>
      </c>
      <c r="Z4588" t="s">
        <v>51</v>
      </c>
      <c r="AB4588" t="s">
        <v>54</v>
      </c>
      <c r="AC4588">
        <v>1</v>
      </c>
      <c r="AE4588" t="s">
        <v>79</v>
      </c>
      <c r="AF4588">
        <v>20</v>
      </c>
      <c r="AG4588" s="1">
        <v>34700</v>
      </c>
      <c r="AH4588" s="1">
        <v>34700</v>
      </c>
      <c r="AI4588" s="1">
        <v>34700</v>
      </c>
      <c r="AJ4588" s="1">
        <v>42005</v>
      </c>
      <c r="AK4588" t="s">
        <v>51</v>
      </c>
      <c r="AN4588">
        <v>0</v>
      </c>
      <c r="AO4588" t="s">
        <v>54</v>
      </c>
      <c r="AP4588" t="s">
        <v>53</v>
      </c>
      <c r="AQ4588">
        <v>0</v>
      </c>
      <c r="AR4588" t="s">
        <v>145</v>
      </c>
      <c r="AS4588">
        <v>0</v>
      </c>
      <c r="AT4588">
        <v>0</v>
      </c>
      <c r="AW4588" t="s">
        <v>79</v>
      </c>
      <c r="AX4588">
        <v>20</v>
      </c>
      <c r="AY4588" s="1">
        <v>34700</v>
      </c>
      <c r="AZ4588" s="1">
        <v>34700</v>
      </c>
      <c r="BA4588" s="1">
        <v>34700</v>
      </c>
      <c r="BB4588" s="1">
        <v>42005</v>
      </c>
      <c r="BC4588" t="s">
        <v>51</v>
      </c>
      <c r="BE4588" t="s">
        <v>54</v>
      </c>
      <c r="BF4588">
        <v>5</v>
      </c>
      <c r="BG4588">
        <v>0</v>
      </c>
      <c r="BH4588" t="s">
        <v>53</v>
      </c>
      <c r="BK4588" t="s">
        <v>59</v>
      </c>
      <c r="BL4588">
        <v>14000</v>
      </c>
      <c r="BM4588" s="1">
        <v>44949</v>
      </c>
      <c r="BN4588" s="1">
        <v>44949</v>
      </c>
      <c r="BO4588" s="1">
        <v>44949</v>
      </c>
      <c r="BP4588" s="1">
        <v>46123</v>
      </c>
      <c r="BQ4588" t="s">
        <v>51</v>
      </c>
      <c r="BS4588" t="s">
        <v>60</v>
      </c>
      <c r="BT4588" t="s">
        <v>54</v>
      </c>
      <c r="BU4588" t="s">
        <v>61</v>
      </c>
      <c r="BV4588" t="s">
        <v>62</v>
      </c>
      <c r="BX4588">
        <v>24</v>
      </c>
      <c r="BY4588">
        <v>0</v>
      </c>
      <c r="BZ4588">
        <v>0</v>
      </c>
    </row>
    <row r="4589" spans="1:78" x14ac:dyDescent="0.2">
      <c r="A4589" t="s">
        <v>425</v>
      </c>
      <c r="B4589" t="s">
        <v>425</v>
      </c>
      <c r="C4589" t="s">
        <v>425</v>
      </c>
      <c r="D4589" t="s">
        <v>2113</v>
      </c>
      <c r="F4589" t="str">
        <f>"?86"</f>
        <v>?86</v>
      </c>
      <c r="G4589" t="s">
        <v>49</v>
      </c>
      <c r="K4589" t="s">
        <v>427</v>
      </c>
      <c r="L4589" t="s">
        <v>52</v>
      </c>
      <c r="M4589">
        <v>137700.23000000001</v>
      </c>
      <c r="N4589">
        <v>474674.8</v>
      </c>
      <c r="O4589" t="s">
        <v>53</v>
      </c>
      <c r="P4589" t="s">
        <v>54</v>
      </c>
      <c r="AP4589" t="s">
        <v>53</v>
      </c>
      <c r="AR4589" t="s">
        <v>53</v>
      </c>
      <c r="BH4589" t="s">
        <v>53</v>
      </c>
    </row>
    <row r="4590" spans="1:78" x14ac:dyDescent="0.2">
      <c r="A4590" t="s">
        <v>425</v>
      </c>
      <c r="B4590" t="s">
        <v>425</v>
      </c>
      <c r="C4590" t="s">
        <v>425</v>
      </c>
      <c r="D4590" t="s">
        <v>2111</v>
      </c>
      <c r="F4590" t="str">
        <f>"?87"</f>
        <v>?87</v>
      </c>
      <c r="G4590" t="s">
        <v>49</v>
      </c>
      <c r="K4590" t="s">
        <v>427</v>
      </c>
      <c r="L4590" t="s">
        <v>52</v>
      </c>
      <c r="M4590">
        <v>137791.18</v>
      </c>
      <c r="N4590">
        <v>474671.14</v>
      </c>
      <c r="O4590" t="s">
        <v>53</v>
      </c>
      <c r="P4590" t="s">
        <v>54</v>
      </c>
      <c r="AP4590" t="s">
        <v>53</v>
      </c>
      <c r="AR4590" t="s">
        <v>53</v>
      </c>
      <c r="BH4590" t="s">
        <v>53</v>
      </c>
    </row>
    <row r="4591" spans="1:78" x14ac:dyDescent="0.2">
      <c r="A4591" t="s">
        <v>112</v>
      </c>
      <c r="B4591" t="s">
        <v>113</v>
      </c>
      <c r="C4591" t="s">
        <v>114</v>
      </c>
      <c r="D4591" t="s">
        <v>1981</v>
      </c>
      <c r="F4591" t="str">
        <f>"?88"</f>
        <v>?88</v>
      </c>
      <c r="G4591" t="s">
        <v>49</v>
      </c>
      <c r="K4591" t="s">
        <v>427</v>
      </c>
      <c r="L4591" t="s">
        <v>52</v>
      </c>
      <c r="M4591">
        <v>137069.57999999999</v>
      </c>
      <c r="N4591">
        <v>474770.68</v>
      </c>
      <c r="O4591" t="s">
        <v>53</v>
      </c>
      <c r="P4591" t="s">
        <v>54</v>
      </c>
      <c r="AP4591" t="s">
        <v>53</v>
      </c>
      <c r="AR4591" t="s">
        <v>53</v>
      </c>
      <c r="BH4591" t="s">
        <v>53</v>
      </c>
    </row>
    <row r="4592" spans="1:78" x14ac:dyDescent="0.2">
      <c r="A4592" t="s">
        <v>112</v>
      </c>
      <c r="B4592" t="s">
        <v>113</v>
      </c>
      <c r="C4592" t="s">
        <v>114</v>
      </c>
      <c r="D4592" t="s">
        <v>2111</v>
      </c>
      <c r="F4592" t="str">
        <f>"?89"</f>
        <v>?89</v>
      </c>
      <c r="G4592" t="s">
        <v>49</v>
      </c>
      <c r="K4592" t="s">
        <v>427</v>
      </c>
      <c r="L4592" t="s">
        <v>52</v>
      </c>
      <c r="M4592">
        <v>137194.18</v>
      </c>
      <c r="N4592">
        <v>474632.2</v>
      </c>
      <c r="O4592" t="s">
        <v>53</v>
      </c>
      <c r="P4592" t="s">
        <v>54</v>
      </c>
      <c r="AP4592" t="s">
        <v>53</v>
      </c>
      <c r="AR4592" t="s">
        <v>53</v>
      </c>
      <c r="BH4592" t="s">
        <v>53</v>
      </c>
    </row>
    <row r="4593" spans="1:112" x14ac:dyDescent="0.2">
      <c r="A4593" t="s">
        <v>112</v>
      </c>
      <c r="B4593" t="s">
        <v>113</v>
      </c>
      <c r="C4593" t="s">
        <v>114</v>
      </c>
      <c r="D4593" t="s">
        <v>2066</v>
      </c>
      <c r="F4593" t="str">
        <f>"251312"</f>
        <v>251312</v>
      </c>
      <c r="G4593" t="s">
        <v>49</v>
      </c>
      <c r="H4593" t="s">
        <v>2118</v>
      </c>
      <c r="K4593" t="s">
        <v>2117</v>
      </c>
      <c r="L4593" t="s">
        <v>52</v>
      </c>
      <c r="M4593">
        <v>136856.32999999999</v>
      </c>
      <c r="N4593">
        <v>472751.81</v>
      </c>
      <c r="O4593" t="s">
        <v>53</v>
      </c>
      <c r="P4593" t="s">
        <v>54</v>
      </c>
      <c r="AP4593" t="s">
        <v>53</v>
      </c>
      <c r="AR4593" t="s">
        <v>53</v>
      </c>
      <c r="BH4593" t="s">
        <v>53</v>
      </c>
    </row>
    <row r="4594" spans="1:112" x14ac:dyDescent="0.2">
      <c r="A4594" t="s">
        <v>1012</v>
      </c>
      <c r="B4594" t="s">
        <v>1013</v>
      </c>
      <c r="C4594" t="s">
        <v>1052</v>
      </c>
      <c r="D4594" t="s">
        <v>1096</v>
      </c>
      <c r="F4594" t="str">
        <f>"254052"</f>
        <v>254052</v>
      </c>
      <c r="G4594" t="s">
        <v>49</v>
      </c>
      <c r="K4594" t="s">
        <v>51</v>
      </c>
      <c r="L4594" t="s">
        <v>52</v>
      </c>
      <c r="M4594">
        <v>131664.16</v>
      </c>
      <c r="N4594">
        <v>475023.12</v>
      </c>
      <c r="O4594" t="s">
        <v>145</v>
      </c>
      <c r="P4594" t="s">
        <v>54</v>
      </c>
      <c r="Q4594" t="s">
        <v>55</v>
      </c>
      <c r="T4594" t="s">
        <v>246</v>
      </c>
      <c r="U4594">
        <v>40</v>
      </c>
      <c r="V4594" s="1">
        <v>44320</v>
      </c>
      <c r="W4594" s="1">
        <v>44320</v>
      </c>
      <c r="X4594" s="1">
        <v>44320</v>
      </c>
      <c r="Y4594" s="1">
        <v>58930</v>
      </c>
      <c r="Z4594" t="s">
        <v>51</v>
      </c>
      <c r="AB4594" t="s">
        <v>54</v>
      </c>
      <c r="AE4594" t="s">
        <v>243</v>
      </c>
      <c r="AF4594">
        <v>20</v>
      </c>
      <c r="AG4594" s="1">
        <v>44320</v>
      </c>
      <c r="AH4594" s="1">
        <v>44320</v>
      </c>
      <c r="AI4594" s="1">
        <v>44320</v>
      </c>
      <c r="AJ4594" s="1">
        <v>51625</v>
      </c>
      <c r="AK4594" t="s">
        <v>51</v>
      </c>
      <c r="AN4594">
        <v>0</v>
      </c>
      <c r="AO4594" t="s">
        <v>54</v>
      </c>
      <c r="AP4594" t="s">
        <v>53</v>
      </c>
      <c r="AQ4594">
        <v>0</v>
      </c>
      <c r="AR4594" t="s">
        <v>53</v>
      </c>
      <c r="AS4594">
        <v>0</v>
      </c>
      <c r="AT4594">
        <v>0</v>
      </c>
      <c r="AW4594" t="s">
        <v>172</v>
      </c>
      <c r="AX4594">
        <v>15</v>
      </c>
      <c r="AY4594" s="1">
        <v>44320</v>
      </c>
      <c r="AZ4594" s="1">
        <v>44320</v>
      </c>
      <c r="BA4594" s="1">
        <v>44320</v>
      </c>
      <c r="BB4594" s="1">
        <v>49799</v>
      </c>
      <c r="BC4594" t="s">
        <v>51</v>
      </c>
      <c r="BE4594" t="s">
        <v>54</v>
      </c>
      <c r="BF4594">
        <v>40</v>
      </c>
      <c r="BG4594">
        <v>0</v>
      </c>
      <c r="BH4594" t="s">
        <v>145</v>
      </c>
      <c r="CC4594" t="s">
        <v>244</v>
      </c>
      <c r="CD4594">
        <v>100000</v>
      </c>
      <c r="CE4594" s="1">
        <v>44320</v>
      </c>
      <c r="CF4594" s="1">
        <v>44320</v>
      </c>
      <c r="CG4594" s="1">
        <v>44320</v>
      </c>
      <c r="CH4594" s="1">
        <v>52802</v>
      </c>
      <c r="CI4594" t="s">
        <v>51</v>
      </c>
      <c r="CK4594" t="s">
        <v>78</v>
      </c>
      <c r="CM4594" t="s">
        <v>54</v>
      </c>
      <c r="CN4594" t="s">
        <v>174</v>
      </c>
      <c r="CR4594">
        <v>0</v>
      </c>
      <c r="CS4594">
        <v>2150</v>
      </c>
      <c r="CT4594">
        <v>0</v>
      </c>
      <c r="CU4594">
        <v>16</v>
      </c>
      <c r="CX4594" t="s">
        <v>360</v>
      </c>
      <c r="CY4594">
        <v>40</v>
      </c>
      <c r="CZ4594" s="1">
        <v>44320</v>
      </c>
      <c r="DA4594" s="1">
        <v>44320</v>
      </c>
      <c r="DB4594" s="1">
        <v>44320</v>
      </c>
      <c r="DC4594" s="1">
        <v>58930</v>
      </c>
      <c r="DD4594" t="s">
        <v>51</v>
      </c>
      <c r="DF4594" t="s">
        <v>54</v>
      </c>
      <c r="DG4594">
        <v>0</v>
      </c>
      <c r="DH4594">
        <v>0</v>
      </c>
    </row>
    <row r="4595" spans="1:112" x14ac:dyDescent="0.2">
      <c r="A4595" t="s">
        <v>1012</v>
      </c>
      <c r="B4595" t="s">
        <v>1013</v>
      </c>
      <c r="C4595" t="s">
        <v>1014</v>
      </c>
      <c r="D4595" t="s">
        <v>1020</v>
      </c>
      <c r="F4595" t="str">
        <f>"254044"</f>
        <v>254044</v>
      </c>
      <c r="G4595" t="s">
        <v>49</v>
      </c>
      <c r="K4595" t="s">
        <v>51</v>
      </c>
      <c r="L4595" t="s">
        <v>52</v>
      </c>
      <c r="M4595">
        <v>131643.38</v>
      </c>
      <c r="N4595">
        <v>475152.13</v>
      </c>
      <c r="O4595" t="s">
        <v>53</v>
      </c>
      <c r="P4595" t="s">
        <v>54</v>
      </c>
      <c r="Q4595" t="s">
        <v>55</v>
      </c>
      <c r="S4595" t="s">
        <v>514</v>
      </c>
      <c r="T4595" t="s">
        <v>514</v>
      </c>
      <c r="U4595">
        <v>30</v>
      </c>
      <c r="V4595" s="1">
        <v>43282</v>
      </c>
      <c r="W4595" s="1">
        <v>43282</v>
      </c>
      <c r="X4595" s="1">
        <v>43282</v>
      </c>
      <c r="Y4595" s="1">
        <v>54240</v>
      </c>
      <c r="Z4595" t="s">
        <v>51</v>
      </c>
      <c r="AB4595" t="s">
        <v>54</v>
      </c>
      <c r="AC4595">
        <v>1</v>
      </c>
      <c r="AE4595" t="s">
        <v>515</v>
      </c>
      <c r="AF4595">
        <v>20</v>
      </c>
      <c r="AG4595" s="1">
        <v>43282</v>
      </c>
      <c r="AH4595" s="1">
        <v>43282</v>
      </c>
      <c r="AI4595" s="1">
        <v>43282</v>
      </c>
      <c r="AJ4595" s="1">
        <v>50587</v>
      </c>
      <c r="AK4595" t="s">
        <v>51</v>
      </c>
      <c r="AN4595">
        <v>0</v>
      </c>
      <c r="AO4595" t="s">
        <v>54</v>
      </c>
      <c r="AP4595" t="s">
        <v>53</v>
      </c>
      <c r="AQ4595">
        <v>0</v>
      </c>
      <c r="AR4595" t="s">
        <v>53</v>
      </c>
      <c r="AS4595">
        <v>0</v>
      </c>
      <c r="AT4595">
        <v>0</v>
      </c>
      <c r="CC4595" t="s">
        <v>432</v>
      </c>
      <c r="CD4595">
        <v>85000</v>
      </c>
      <c r="CE4595" s="1">
        <v>43282</v>
      </c>
      <c r="CF4595" s="1">
        <v>43282</v>
      </c>
      <c r="CG4595" s="1">
        <v>43282</v>
      </c>
      <c r="CH4595" s="1">
        <v>50869</v>
      </c>
      <c r="CI4595" t="s">
        <v>51</v>
      </c>
      <c r="CK4595" t="s">
        <v>78</v>
      </c>
      <c r="CM4595" t="s">
        <v>54</v>
      </c>
      <c r="CN4595" t="s">
        <v>174</v>
      </c>
      <c r="CO4595" t="s">
        <v>86</v>
      </c>
      <c r="CR4595">
        <v>24</v>
      </c>
      <c r="CS4595">
        <v>0</v>
      </c>
      <c r="CT4595">
        <v>0</v>
      </c>
      <c r="CU4595">
        <v>0</v>
      </c>
    </row>
    <row r="4596" spans="1:112" x14ac:dyDescent="0.2">
      <c r="A4596" t="s">
        <v>1012</v>
      </c>
      <c r="B4596" t="s">
        <v>1013</v>
      </c>
      <c r="C4596" t="s">
        <v>1014</v>
      </c>
      <c r="D4596" t="s">
        <v>1020</v>
      </c>
      <c r="F4596" t="str">
        <f>"254047"</f>
        <v>254047</v>
      </c>
      <c r="G4596" t="s">
        <v>49</v>
      </c>
      <c r="K4596" t="s">
        <v>51</v>
      </c>
      <c r="L4596" t="s">
        <v>52</v>
      </c>
      <c r="M4596">
        <v>131637.1</v>
      </c>
      <c r="N4596">
        <v>475088.17</v>
      </c>
      <c r="O4596" t="s">
        <v>145</v>
      </c>
      <c r="P4596" t="s">
        <v>54</v>
      </c>
      <c r="Q4596" t="s">
        <v>55</v>
      </c>
      <c r="S4596" t="s">
        <v>514</v>
      </c>
      <c r="T4596" t="s">
        <v>514</v>
      </c>
      <c r="U4596">
        <v>30</v>
      </c>
      <c r="V4596" s="1">
        <v>43282</v>
      </c>
      <c r="W4596" s="1">
        <v>43282</v>
      </c>
      <c r="X4596" s="1">
        <v>43282</v>
      </c>
      <c r="Y4596" s="1">
        <v>54240</v>
      </c>
      <c r="Z4596" t="s">
        <v>51</v>
      </c>
      <c r="AB4596" t="s">
        <v>54</v>
      </c>
      <c r="AC4596">
        <v>1</v>
      </c>
      <c r="AE4596" t="s">
        <v>515</v>
      </c>
      <c r="AF4596">
        <v>20</v>
      </c>
      <c r="AG4596" s="1">
        <v>43282</v>
      </c>
      <c r="AH4596" s="1">
        <v>43282</v>
      </c>
      <c r="AI4596" s="1">
        <v>43282</v>
      </c>
      <c r="AJ4596" s="1">
        <v>50587</v>
      </c>
      <c r="AK4596" t="s">
        <v>51</v>
      </c>
      <c r="AN4596">
        <v>0</v>
      </c>
      <c r="AO4596" t="s">
        <v>54</v>
      </c>
      <c r="AP4596" t="s">
        <v>53</v>
      </c>
      <c r="AQ4596">
        <v>0</v>
      </c>
      <c r="AR4596" t="s">
        <v>53</v>
      </c>
      <c r="AS4596">
        <v>0</v>
      </c>
      <c r="AT4596">
        <v>0</v>
      </c>
      <c r="CC4596" t="s">
        <v>432</v>
      </c>
      <c r="CD4596">
        <v>85000</v>
      </c>
      <c r="CE4596" s="1">
        <v>43282</v>
      </c>
      <c r="CF4596" s="1">
        <v>43282</v>
      </c>
      <c r="CG4596" s="1">
        <v>43282</v>
      </c>
      <c r="CH4596" s="1">
        <v>50869</v>
      </c>
      <c r="CI4596" t="s">
        <v>51</v>
      </c>
      <c r="CK4596" t="s">
        <v>78</v>
      </c>
      <c r="CM4596" t="s">
        <v>54</v>
      </c>
      <c r="CN4596" t="s">
        <v>174</v>
      </c>
      <c r="CO4596" t="s">
        <v>86</v>
      </c>
      <c r="CR4596">
        <v>24</v>
      </c>
      <c r="CS4596">
        <v>0</v>
      </c>
      <c r="CT4596">
        <v>0</v>
      </c>
      <c r="CU4596">
        <v>0</v>
      </c>
    </row>
    <row r="4597" spans="1:112" x14ac:dyDescent="0.2">
      <c r="A4597" t="s">
        <v>1012</v>
      </c>
      <c r="B4597" t="s">
        <v>1013</v>
      </c>
      <c r="C4597" t="s">
        <v>1014</v>
      </c>
      <c r="D4597" t="s">
        <v>1096</v>
      </c>
      <c r="F4597" t="str">
        <f>"253378"</f>
        <v>253378</v>
      </c>
      <c r="G4597" t="s">
        <v>49</v>
      </c>
      <c r="K4597" t="s">
        <v>51</v>
      </c>
      <c r="L4597" t="s">
        <v>52</v>
      </c>
      <c r="M4597">
        <v>131627.07</v>
      </c>
      <c r="N4597">
        <v>475032.05</v>
      </c>
      <c r="O4597" t="s">
        <v>53</v>
      </c>
      <c r="P4597" t="s">
        <v>54</v>
      </c>
      <c r="Q4597" t="s">
        <v>55</v>
      </c>
      <c r="T4597" t="s">
        <v>170</v>
      </c>
      <c r="U4597">
        <v>40</v>
      </c>
      <c r="V4597" s="1">
        <v>42370</v>
      </c>
      <c r="W4597" s="1">
        <v>42370</v>
      </c>
      <c r="X4597" s="1">
        <v>42370</v>
      </c>
      <c r="Y4597" s="1">
        <v>56980</v>
      </c>
      <c r="Z4597" t="s">
        <v>51</v>
      </c>
      <c r="AB4597" t="s">
        <v>54</v>
      </c>
      <c r="AC4597" t="s">
        <v>1163</v>
      </c>
      <c r="AE4597" t="s">
        <v>171</v>
      </c>
      <c r="AF4597">
        <v>20</v>
      </c>
      <c r="AG4597" s="1">
        <v>42370</v>
      </c>
      <c r="AH4597" s="1">
        <v>42370</v>
      </c>
      <c r="AI4597" s="1">
        <v>42370</v>
      </c>
      <c r="AJ4597" s="1">
        <v>49675</v>
      </c>
      <c r="AK4597" t="s">
        <v>51</v>
      </c>
      <c r="AN4597">
        <v>0</v>
      </c>
      <c r="AO4597" t="s">
        <v>54</v>
      </c>
      <c r="AP4597" t="s">
        <v>53</v>
      </c>
      <c r="AQ4597">
        <v>0</v>
      </c>
      <c r="AR4597" t="s">
        <v>53</v>
      </c>
      <c r="AS4597">
        <v>0</v>
      </c>
      <c r="AT4597">
        <v>0</v>
      </c>
      <c r="CA4597" t="s">
        <v>1164</v>
      </c>
      <c r="CC4597" t="s">
        <v>250</v>
      </c>
      <c r="CD4597">
        <v>100000</v>
      </c>
      <c r="CE4597" s="1">
        <v>42370</v>
      </c>
      <c r="CF4597" s="1">
        <v>42370</v>
      </c>
      <c r="CG4597" s="1">
        <v>42370</v>
      </c>
      <c r="CH4597" s="1">
        <v>51350</v>
      </c>
      <c r="CI4597" t="s">
        <v>51</v>
      </c>
      <c r="CK4597" t="s">
        <v>78</v>
      </c>
      <c r="CM4597" t="s">
        <v>54</v>
      </c>
      <c r="CN4597" t="s">
        <v>174</v>
      </c>
      <c r="CR4597">
        <v>13.2</v>
      </c>
      <c r="CS4597">
        <v>1800</v>
      </c>
      <c r="CT4597">
        <v>0</v>
      </c>
      <c r="CU4597">
        <v>16</v>
      </c>
      <c r="CX4597" t="s">
        <v>360</v>
      </c>
      <c r="CY4597">
        <v>40</v>
      </c>
      <c r="CZ4597" s="1">
        <v>44075</v>
      </c>
      <c r="DA4597" s="1">
        <v>44075</v>
      </c>
      <c r="DB4597" s="1">
        <v>44075</v>
      </c>
      <c r="DC4597" s="1">
        <v>58685</v>
      </c>
      <c r="DD4597" t="s">
        <v>51</v>
      </c>
      <c r="DF4597" t="s">
        <v>54</v>
      </c>
      <c r="DG4597">
        <v>0</v>
      </c>
      <c r="DH4597">
        <v>0</v>
      </c>
    </row>
    <row r="4598" spans="1:112" x14ac:dyDescent="0.2">
      <c r="A4598" t="s">
        <v>1012</v>
      </c>
      <c r="B4598" t="s">
        <v>1013</v>
      </c>
      <c r="C4598" t="s">
        <v>1014</v>
      </c>
      <c r="D4598" t="s">
        <v>1020</v>
      </c>
      <c r="F4598" t="str">
        <f>"254055"</f>
        <v>254055</v>
      </c>
      <c r="G4598" t="s">
        <v>49</v>
      </c>
      <c r="K4598" t="s">
        <v>51</v>
      </c>
      <c r="L4598" t="s">
        <v>52</v>
      </c>
      <c r="M4598">
        <v>131663.22</v>
      </c>
      <c r="N4598">
        <v>475074.25</v>
      </c>
      <c r="O4598" t="s">
        <v>53</v>
      </c>
      <c r="P4598" t="s">
        <v>54</v>
      </c>
      <c r="Q4598" t="s">
        <v>55</v>
      </c>
      <c r="S4598" t="s">
        <v>514</v>
      </c>
      <c r="T4598" t="s">
        <v>514</v>
      </c>
      <c r="U4598">
        <v>30</v>
      </c>
      <c r="V4598" s="1">
        <v>43221</v>
      </c>
      <c r="W4598" s="1">
        <v>43221</v>
      </c>
      <c r="X4598" s="1">
        <v>43221</v>
      </c>
      <c r="Y4598" s="1">
        <v>54179</v>
      </c>
      <c r="Z4598" t="s">
        <v>51</v>
      </c>
      <c r="AB4598" t="s">
        <v>54</v>
      </c>
      <c r="AC4598">
        <v>1</v>
      </c>
      <c r="AE4598" t="s">
        <v>515</v>
      </c>
      <c r="AF4598">
        <v>20</v>
      </c>
      <c r="AG4598" s="1">
        <v>43374</v>
      </c>
      <c r="AH4598" s="1">
        <v>43374</v>
      </c>
      <c r="AI4598" s="1">
        <v>43374</v>
      </c>
      <c r="AJ4598" s="1">
        <v>50679</v>
      </c>
      <c r="AK4598" t="s">
        <v>51</v>
      </c>
      <c r="AN4598">
        <v>0</v>
      </c>
      <c r="AO4598" t="s">
        <v>54</v>
      </c>
      <c r="AP4598" t="s">
        <v>53</v>
      </c>
      <c r="AQ4598">
        <v>0</v>
      </c>
      <c r="AR4598" t="s">
        <v>53</v>
      </c>
      <c r="AS4598">
        <v>0</v>
      </c>
      <c r="AT4598">
        <v>0</v>
      </c>
      <c r="CC4598" t="s">
        <v>432</v>
      </c>
      <c r="CD4598">
        <v>85000</v>
      </c>
      <c r="CE4598" s="1">
        <v>43221</v>
      </c>
      <c r="CF4598" s="1">
        <v>43221</v>
      </c>
      <c r="CG4598" s="1">
        <v>43374</v>
      </c>
      <c r="CH4598" s="1">
        <v>50831</v>
      </c>
      <c r="CI4598" t="s">
        <v>51</v>
      </c>
      <c r="CK4598" t="s">
        <v>78</v>
      </c>
      <c r="CM4598" t="s">
        <v>54</v>
      </c>
      <c r="CN4598" t="s">
        <v>174</v>
      </c>
      <c r="CO4598" t="s">
        <v>86</v>
      </c>
      <c r="CR4598">
        <v>24</v>
      </c>
      <c r="CS4598">
        <v>0</v>
      </c>
      <c r="CT4598">
        <v>0</v>
      </c>
      <c r="CU4598">
        <v>0</v>
      </c>
    </row>
    <row r="4599" spans="1:112" x14ac:dyDescent="0.2">
      <c r="A4599" t="s">
        <v>1012</v>
      </c>
      <c r="B4599" t="s">
        <v>1013</v>
      </c>
      <c r="C4599" t="s">
        <v>1014</v>
      </c>
      <c r="D4599" t="s">
        <v>1071</v>
      </c>
      <c r="F4599" t="str">
        <f>"254058"</f>
        <v>254058</v>
      </c>
      <c r="G4599" t="s">
        <v>49</v>
      </c>
      <c r="K4599" t="s">
        <v>51</v>
      </c>
      <c r="L4599" t="s">
        <v>52</v>
      </c>
      <c r="M4599">
        <v>131659.9</v>
      </c>
      <c r="N4599">
        <v>475112.51</v>
      </c>
      <c r="O4599" t="s">
        <v>145</v>
      </c>
      <c r="P4599" t="s">
        <v>54</v>
      </c>
      <c r="Q4599" t="s">
        <v>55</v>
      </c>
      <c r="T4599" t="s">
        <v>1076</v>
      </c>
      <c r="U4599">
        <v>30</v>
      </c>
      <c r="V4599" s="1">
        <v>43282</v>
      </c>
      <c r="W4599" s="1">
        <v>43282</v>
      </c>
      <c r="X4599" s="1">
        <v>43282</v>
      </c>
      <c r="Y4599" s="1">
        <v>54240</v>
      </c>
      <c r="Z4599" t="s">
        <v>51</v>
      </c>
      <c r="AB4599" t="s">
        <v>54</v>
      </c>
      <c r="AC4599">
        <v>1</v>
      </c>
      <c r="AE4599" t="s">
        <v>934</v>
      </c>
      <c r="AF4599">
        <v>20</v>
      </c>
      <c r="AG4599" s="1">
        <v>43282</v>
      </c>
      <c r="AH4599" s="1">
        <v>43282</v>
      </c>
      <c r="AI4599" s="1">
        <v>43282</v>
      </c>
      <c r="AJ4599" s="1">
        <v>50587</v>
      </c>
      <c r="AK4599" t="s">
        <v>51</v>
      </c>
      <c r="AN4599">
        <v>0</v>
      </c>
      <c r="AO4599" t="s">
        <v>54</v>
      </c>
      <c r="AP4599" t="s">
        <v>53</v>
      </c>
      <c r="AQ4599">
        <v>0</v>
      </c>
      <c r="AR4599" t="s">
        <v>53</v>
      </c>
      <c r="AS4599">
        <v>0</v>
      </c>
      <c r="AT4599">
        <v>0</v>
      </c>
      <c r="AW4599" t="s">
        <v>79</v>
      </c>
      <c r="AX4599">
        <v>20</v>
      </c>
      <c r="AY4599" s="1">
        <v>43282</v>
      </c>
      <c r="AZ4599" s="1">
        <v>43282</v>
      </c>
      <c r="BA4599" s="1">
        <v>43282</v>
      </c>
      <c r="BB4599" s="1">
        <v>50587</v>
      </c>
      <c r="BC4599" t="s">
        <v>51</v>
      </c>
      <c r="BE4599" t="s">
        <v>54</v>
      </c>
      <c r="BF4599">
        <v>5</v>
      </c>
      <c r="BG4599">
        <v>0</v>
      </c>
      <c r="BH4599" t="s">
        <v>53</v>
      </c>
      <c r="BK4599" t="s">
        <v>146</v>
      </c>
      <c r="BL4599">
        <v>14000</v>
      </c>
      <c r="BM4599" s="1">
        <v>43282</v>
      </c>
      <c r="BN4599" s="1">
        <v>43282</v>
      </c>
      <c r="BO4599" s="1">
        <v>43282</v>
      </c>
      <c r="BP4599" s="1">
        <v>44482</v>
      </c>
      <c r="BQ4599" t="s">
        <v>51</v>
      </c>
      <c r="BS4599" t="s">
        <v>60</v>
      </c>
      <c r="BT4599" t="s">
        <v>54</v>
      </c>
      <c r="BU4599" t="s">
        <v>61</v>
      </c>
      <c r="BV4599" t="s">
        <v>62</v>
      </c>
      <c r="BX4599">
        <v>24</v>
      </c>
      <c r="BY4599">
        <v>0</v>
      </c>
      <c r="BZ4599">
        <v>0</v>
      </c>
    </row>
    <row r="4600" spans="1:112" x14ac:dyDescent="0.2">
      <c r="A4600" t="s">
        <v>1012</v>
      </c>
      <c r="B4600" t="s">
        <v>1013</v>
      </c>
      <c r="C4600" t="s">
        <v>1025</v>
      </c>
      <c r="D4600" t="s">
        <v>2119</v>
      </c>
      <c r="F4600" t="str">
        <f>"251630"</f>
        <v>251630</v>
      </c>
      <c r="G4600" t="s">
        <v>49</v>
      </c>
      <c r="H4600" t="s">
        <v>2120</v>
      </c>
      <c r="I4600" t="s">
        <v>2121</v>
      </c>
      <c r="K4600" t="s">
        <v>51</v>
      </c>
      <c r="L4600" t="s">
        <v>52</v>
      </c>
      <c r="M4600">
        <v>135004.79</v>
      </c>
      <c r="N4600">
        <v>473597.6</v>
      </c>
      <c r="O4600" t="s">
        <v>53</v>
      </c>
      <c r="P4600" t="s">
        <v>54</v>
      </c>
      <c r="Q4600" t="s">
        <v>55</v>
      </c>
      <c r="T4600" t="s">
        <v>81</v>
      </c>
      <c r="U4600">
        <v>40</v>
      </c>
      <c r="V4600" s="1">
        <v>44363</v>
      </c>
      <c r="W4600" s="1">
        <v>44363</v>
      </c>
      <c r="X4600" s="1">
        <v>44363</v>
      </c>
      <c r="Y4600" s="1">
        <v>58973</v>
      </c>
      <c r="Z4600" t="s">
        <v>51</v>
      </c>
      <c r="AB4600" t="s">
        <v>54</v>
      </c>
      <c r="AC4600">
        <v>1</v>
      </c>
      <c r="AE4600" t="s">
        <v>1024</v>
      </c>
      <c r="AF4600">
        <v>20</v>
      </c>
      <c r="AG4600" s="1">
        <v>44363</v>
      </c>
      <c r="AH4600" s="1">
        <v>44363</v>
      </c>
      <c r="AI4600" s="1">
        <v>44363</v>
      </c>
      <c r="AJ4600" s="1">
        <v>51668</v>
      </c>
      <c r="AK4600" t="s">
        <v>51</v>
      </c>
      <c r="AN4600">
        <v>0</v>
      </c>
      <c r="AO4600" t="s">
        <v>54</v>
      </c>
      <c r="AP4600" t="s">
        <v>53</v>
      </c>
      <c r="AQ4600">
        <v>0</v>
      </c>
      <c r="AR4600" t="s">
        <v>145</v>
      </c>
      <c r="AS4600">
        <v>0</v>
      </c>
      <c r="AT4600">
        <v>0</v>
      </c>
      <c r="CC4600" t="s">
        <v>555</v>
      </c>
      <c r="CD4600">
        <v>85000</v>
      </c>
      <c r="CE4600" s="1">
        <v>44363</v>
      </c>
      <c r="CF4600" s="1">
        <v>44363</v>
      </c>
      <c r="CG4600" s="1">
        <v>44363</v>
      </c>
      <c r="CH4600" s="1">
        <v>51955</v>
      </c>
      <c r="CI4600" t="s">
        <v>51</v>
      </c>
      <c r="CK4600" t="s">
        <v>78</v>
      </c>
      <c r="CM4600" t="s">
        <v>54</v>
      </c>
      <c r="CN4600" t="s">
        <v>174</v>
      </c>
      <c r="CO4600" t="s">
        <v>86</v>
      </c>
      <c r="CR4600">
        <v>20</v>
      </c>
      <c r="CS4600">
        <v>0</v>
      </c>
      <c r="CT4600">
        <v>0</v>
      </c>
      <c r="CU4600">
        <v>0</v>
      </c>
    </row>
    <row r="4601" spans="1:112" x14ac:dyDescent="0.2">
      <c r="A4601" t="s">
        <v>1012</v>
      </c>
      <c r="B4601" t="s">
        <v>1013</v>
      </c>
      <c r="C4601" t="s">
        <v>1052</v>
      </c>
      <c r="D4601" t="s">
        <v>1096</v>
      </c>
      <c r="F4601" t="str">
        <f>"254054"</f>
        <v>254054</v>
      </c>
      <c r="G4601" t="s">
        <v>49</v>
      </c>
      <c r="K4601" t="s">
        <v>51</v>
      </c>
      <c r="L4601" t="s">
        <v>52</v>
      </c>
      <c r="M4601">
        <v>131662.13</v>
      </c>
      <c r="N4601">
        <v>475051.74</v>
      </c>
      <c r="O4601" t="s">
        <v>145</v>
      </c>
      <c r="P4601" t="s">
        <v>54</v>
      </c>
      <c r="Q4601" t="s">
        <v>55</v>
      </c>
      <c r="S4601" t="s">
        <v>989</v>
      </c>
      <c r="T4601" t="s">
        <v>989</v>
      </c>
      <c r="U4601">
        <v>30</v>
      </c>
      <c r="V4601" s="1">
        <v>43252</v>
      </c>
      <c r="W4601" s="1">
        <v>43252</v>
      </c>
      <c r="X4601" s="1">
        <v>43252</v>
      </c>
      <c r="Y4601" s="1">
        <v>54210</v>
      </c>
      <c r="Z4601" t="s">
        <v>51</v>
      </c>
      <c r="AB4601" t="s">
        <v>54</v>
      </c>
      <c r="AC4601" t="s">
        <v>1163</v>
      </c>
      <c r="AE4601" t="s">
        <v>171</v>
      </c>
      <c r="AF4601">
        <v>20</v>
      </c>
      <c r="AG4601" s="1">
        <v>43252</v>
      </c>
      <c r="AH4601" s="1">
        <v>43252</v>
      </c>
      <c r="AI4601" s="1">
        <v>43252</v>
      </c>
      <c r="AJ4601" s="1">
        <v>50557</v>
      </c>
      <c r="AK4601" t="s">
        <v>51</v>
      </c>
      <c r="AN4601">
        <v>0</v>
      </c>
      <c r="AO4601" t="s">
        <v>54</v>
      </c>
      <c r="AP4601" t="s">
        <v>53</v>
      </c>
      <c r="AQ4601">
        <v>0</v>
      </c>
      <c r="AR4601" t="s">
        <v>53</v>
      </c>
      <c r="AS4601">
        <v>0</v>
      </c>
      <c r="AT4601">
        <v>0</v>
      </c>
      <c r="CA4601" t="s">
        <v>1164</v>
      </c>
      <c r="CC4601" t="s">
        <v>432</v>
      </c>
      <c r="CD4601">
        <v>85000</v>
      </c>
      <c r="CE4601" s="1">
        <v>43252</v>
      </c>
      <c r="CF4601" s="1">
        <v>43252</v>
      </c>
      <c r="CG4601" s="1">
        <v>43252</v>
      </c>
      <c r="CH4601" s="1">
        <v>50431</v>
      </c>
      <c r="CI4601" t="s">
        <v>51</v>
      </c>
      <c r="CK4601" t="s">
        <v>78</v>
      </c>
      <c r="CM4601" t="s">
        <v>54</v>
      </c>
      <c r="CN4601" t="s">
        <v>174</v>
      </c>
      <c r="CO4601" t="s">
        <v>86</v>
      </c>
      <c r="CR4601">
        <v>24</v>
      </c>
      <c r="CS4601">
        <v>0</v>
      </c>
      <c r="CT4601">
        <v>0</v>
      </c>
      <c r="CU4601">
        <v>0</v>
      </c>
    </row>
    <row r="4602" spans="1:112" x14ac:dyDescent="0.2">
      <c r="A4602" t="s">
        <v>1012</v>
      </c>
      <c r="B4602" t="s">
        <v>1013</v>
      </c>
      <c r="C4602" t="s">
        <v>1025</v>
      </c>
      <c r="D4602" t="s">
        <v>2119</v>
      </c>
      <c r="F4602" t="str">
        <f>"251629"</f>
        <v>251629</v>
      </c>
      <c r="G4602" t="s">
        <v>49</v>
      </c>
      <c r="K4602" t="s">
        <v>51</v>
      </c>
      <c r="L4602" t="s">
        <v>52</v>
      </c>
      <c r="M4602">
        <v>134990.9</v>
      </c>
      <c r="N4602">
        <v>473701.97</v>
      </c>
      <c r="O4602" t="s">
        <v>53</v>
      </c>
      <c r="P4602" t="s">
        <v>54</v>
      </c>
      <c r="Q4602" t="s">
        <v>55</v>
      </c>
      <c r="T4602" t="s">
        <v>81</v>
      </c>
      <c r="U4602">
        <v>40</v>
      </c>
      <c r="V4602" s="1">
        <v>44363</v>
      </c>
      <c r="W4602" s="1">
        <v>44363</v>
      </c>
      <c r="X4602" s="1">
        <v>44363</v>
      </c>
      <c r="Y4602" s="1">
        <v>58973</v>
      </c>
      <c r="Z4602" t="s">
        <v>51</v>
      </c>
      <c r="AB4602" t="s">
        <v>54</v>
      </c>
      <c r="AC4602">
        <v>1</v>
      </c>
      <c r="AE4602" t="s">
        <v>1024</v>
      </c>
      <c r="AF4602">
        <v>20</v>
      </c>
      <c r="AG4602" s="1">
        <v>44363</v>
      </c>
      <c r="AH4602" s="1">
        <v>44363</v>
      </c>
      <c r="AI4602" s="1">
        <v>44363</v>
      </c>
      <c r="AJ4602" s="1">
        <v>51668</v>
      </c>
      <c r="AK4602" t="s">
        <v>51</v>
      </c>
      <c r="AN4602">
        <v>0</v>
      </c>
      <c r="AO4602" t="s">
        <v>54</v>
      </c>
      <c r="AP4602" t="s">
        <v>53</v>
      </c>
      <c r="AQ4602">
        <v>0</v>
      </c>
      <c r="AR4602" t="s">
        <v>145</v>
      </c>
      <c r="AS4602">
        <v>0</v>
      </c>
      <c r="AT4602">
        <v>0</v>
      </c>
      <c r="CC4602" t="s">
        <v>555</v>
      </c>
      <c r="CD4602">
        <v>85000</v>
      </c>
      <c r="CE4602" s="1">
        <v>44363</v>
      </c>
      <c r="CF4602" s="1">
        <v>44363</v>
      </c>
      <c r="CG4602" s="1">
        <v>44363</v>
      </c>
      <c r="CH4602" s="1">
        <v>51955</v>
      </c>
      <c r="CI4602" t="s">
        <v>51</v>
      </c>
      <c r="CK4602" t="s">
        <v>78</v>
      </c>
      <c r="CM4602" t="s">
        <v>54</v>
      </c>
      <c r="CN4602" t="s">
        <v>174</v>
      </c>
      <c r="CO4602" t="s">
        <v>86</v>
      </c>
      <c r="CR4602">
        <v>20</v>
      </c>
      <c r="CS4602">
        <v>0</v>
      </c>
      <c r="CT4602">
        <v>0</v>
      </c>
      <c r="CU4602">
        <v>0</v>
      </c>
    </row>
    <row r="4603" spans="1:112" x14ac:dyDescent="0.2">
      <c r="A4603" t="s">
        <v>1012</v>
      </c>
      <c r="B4603" t="s">
        <v>1013</v>
      </c>
      <c r="C4603" t="s">
        <v>1025</v>
      </c>
      <c r="D4603" t="s">
        <v>2119</v>
      </c>
      <c r="F4603" t="str">
        <f>"251631"</f>
        <v>251631</v>
      </c>
      <c r="G4603" t="s">
        <v>49</v>
      </c>
      <c r="K4603" t="s">
        <v>51</v>
      </c>
      <c r="L4603" t="s">
        <v>52</v>
      </c>
      <c r="M4603">
        <v>135014.48000000001</v>
      </c>
      <c r="N4603">
        <v>473520.72</v>
      </c>
      <c r="O4603" t="s">
        <v>53</v>
      </c>
      <c r="P4603" t="s">
        <v>54</v>
      </c>
      <c r="Q4603" t="s">
        <v>55</v>
      </c>
      <c r="T4603" t="s">
        <v>81</v>
      </c>
      <c r="U4603">
        <v>40</v>
      </c>
      <c r="V4603" s="1">
        <v>44363</v>
      </c>
      <c r="W4603" s="1">
        <v>44363</v>
      </c>
      <c r="X4603" s="1">
        <v>44363</v>
      </c>
      <c r="Y4603" s="1">
        <v>58973</v>
      </c>
      <c r="Z4603" t="s">
        <v>51</v>
      </c>
      <c r="AB4603" t="s">
        <v>54</v>
      </c>
      <c r="AC4603">
        <v>1</v>
      </c>
      <c r="AE4603" t="s">
        <v>1024</v>
      </c>
      <c r="AF4603">
        <v>20</v>
      </c>
      <c r="AG4603" s="1">
        <v>44363</v>
      </c>
      <c r="AH4603" s="1">
        <v>44363</v>
      </c>
      <c r="AI4603" s="1">
        <v>44363</v>
      </c>
      <c r="AJ4603" s="1">
        <v>51668</v>
      </c>
      <c r="AK4603" t="s">
        <v>51</v>
      </c>
      <c r="AN4603">
        <v>0</v>
      </c>
      <c r="AO4603" t="s">
        <v>54</v>
      </c>
      <c r="AP4603" t="s">
        <v>53</v>
      </c>
      <c r="AQ4603">
        <v>0</v>
      </c>
      <c r="AR4603" t="s">
        <v>145</v>
      </c>
      <c r="AS4603">
        <v>0</v>
      </c>
      <c r="AT4603">
        <v>0</v>
      </c>
      <c r="CC4603" t="s">
        <v>555</v>
      </c>
      <c r="CD4603">
        <v>85000</v>
      </c>
      <c r="CE4603" s="1">
        <v>44363</v>
      </c>
      <c r="CF4603" s="1">
        <v>44363</v>
      </c>
      <c r="CG4603" s="1">
        <v>44363</v>
      </c>
      <c r="CH4603" s="1">
        <v>51955</v>
      </c>
      <c r="CI4603" t="s">
        <v>51</v>
      </c>
      <c r="CK4603" t="s">
        <v>78</v>
      </c>
      <c r="CM4603" t="s">
        <v>54</v>
      </c>
      <c r="CN4603" t="s">
        <v>174</v>
      </c>
      <c r="CO4603" t="s">
        <v>86</v>
      </c>
      <c r="CR4603">
        <v>20</v>
      </c>
      <c r="CS4603">
        <v>0</v>
      </c>
      <c r="CT4603">
        <v>0</v>
      </c>
      <c r="CU4603">
        <v>0</v>
      </c>
    </row>
    <row r="4604" spans="1:112" x14ac:dyDescent="0.2">
      <c r="A4604" t="s">
        <v>1012</v>
      </c>
      <c r="B4604" t="s">
        <v>1013</v>
      </c>
      <c r="C4604" t="s">
        <v>1019</v>
      </c>
      <c r="D4604" t="s">
        <v>426</v>
      </c>
      <c r="F4604" t="str">
        <f>"251688"</f>
        <v>251688</v>
      </c>
      <c r="G4604" t="s">
        <v>49</v>
      </c>
      <c r="K4604" t="s">
        <v>51</v>
      </c>
      <c r="L4604" t="s">
        <v>52</v>
      </c>
      <c r="M4604">
        <v>131774.57</v>
      </c>
      <c r="N4604">
        <v>473488.86</v>
      </c>
      <c r="O4604" t="s">
        <v>145</v>
      </c>
      <c r="P4604" t="s">
        <v>54</v>
      </c>
      <c r="Q4604" t="s">
        <v>55</v>
      </c>
      <c r="T4604" t="s">
        <v>81</v>
      </c>
      <c r="U4604">
        <v>40</v>
      </c>
      <c r="V4604" s="1">
        <v>43556</v>
      </c>
      <c r="W4604" s="1">
        <v>43556</v>
      </c>
      <c r="X4604" s="1">
        <v>43556</v>
      </c>
      <c r="Y4604" s="1">
        <v>58166</v>
      </c>
      <c r="Z4604" t="s">
        <v>51</v>
      </c>
      <c r="AB4604" t="s">
        <v>54</v>
      </c>
      <c r="AC4604">
        <v>1</v>
      </c>
      <c r="AE4604" t="s">
        <v>1024</v>
      </c>
      <c r="AF4604">
        <v>20</v>
      </c>
      <c r="AG4604" s="1">
        <v>43556</v>
      </c>
      <c r="AH4604" s="1">
        <v>43556</v>
      </c>
      <c r="AI4604" s="1">
        <v>43556</v>
      </c>
      <c r="AJ4604" s="1">
        <v>50861</v>
      </c>
      <c r="AK4604" t="s">
        <v>51</v>
      </c>
      <c r="AN4604">
        <v>0</v>
      </c>
      <c r="AO4604" t="s">
        <v>54</v>
      </c>
      <c r="AP4604" t="s">
        <v>53</v>
      </c>
      <c r="AQ4604">
        <v>0</v>
      </c>
      <c r="AR4604" t="s">
        <v>145</v>
      </c>
      <c r="AS4604">
        <v>0</v>
      </c>
      <c r="AT4604">
        <v>0</v>
      </c>
      <c r="CC4604" t="s">
        <v>555</v>
      </c>
      <c r="CD4604">
        <v>85000</v>
      </c>
      <c r="CE4604" s="1">
        <v>43556</v>
      </c>
      <c r="CF4604" s="1">
        <v>43556</v>
      </c>
      <c r="CG4604" s="1">
        <v>43556</v>
      </c>
      <c r="CH4604" s="1">
        <v>51174</v>
      </c>
      <c r="CI4604" t="s">
        <v>51</v>
      </c>
      <c r="CK4604" t="s">
        <v>78</v>
      </c>
      <c r="CM4604" t="s">
        <v>54</v>
      </c>
      <c r="CN4604" t="s">
        <v>174</v>
      </c>
      <c r="CO4604" t="s">
        <v>86</v>
      </c>
      <c r="CR4604">
        <v>20</v>
      </c>
      <c r="CS4604">
        <v>0</v>
      </c>
      <c r="CT4604">
        <v>0</v>
      </c>
      <c r="CU4604">
        <v>0</v>
      </c>
      <c r="CX4604" t="s">
        <v>674</v>
      </c>
      <c r="CY4604">
        <v>0</v>
      </c>
      <c r="CZ4604" s="1">
        <v>44316</v>
      </c>
      <c r="DA4604" s="1">
        <v>44316</v>
      </c>
      <c r="DB4604" s="1">
        <v>44316</v>
      </c>
      <c r="DC4604" s="1">
        <v>44316</v>
      </c>
      <c r="DD4604" t="s">
        <v>51</v>
      </c>
      <c r="DF4604" t="s">
        <v>54</v>
      </c>
      <c r="DG4604">
        <v>0</v>
      </c>
      <c r="DH4604">
        <v>0</v>
      </c>
    </row>
    <row r="4605" spans="1:112" x14ac:dyDescent="0.2">
      <c r="A4605" t="s">
        <v>1012</v>
      </c>
      <c r="B4605" t="s">
        <v>1013</v>
      </c>
      <c r="C4605" t="s">
        <v>1019</v>
      </c>
      <c r="D4605" t="s">
        <v>1020</v>
      </c>
      <c r="F4605" t="str">
        <f>"252117"</f>
        <v>252117</v>
      </c>
      <c r="G4605" t="s">
        <v>49</v>
      </c>
      <c r="K4605" t="s">
        <v>51</v>
      </c>
      <c r="L4605" t="s">
        <v>52</v>
      </c>
      <c r="M4605">
        <v>131867.93</v>
      </c>
      <c r="N4605">
        <v>476548.87</v>
      </c>
      <c r="O4605" t="s">
        <v>53</v>
      </c>
      <c r="P4605" t="s">
        <v>54</v>
      </c>
      <c r="Q4605" t="s">
        <v>55</v>
      </c>
      <c r="T4605" t="s">
        <v>81</v>
      </c>
      <c r="U4605">
        <v>40</v>
      </c>
      <c r="V4605" s="1">
        <v>42248</v>
      </c>
      <c r="W4605" s="1">
        <v>42248</v>
      </c>
      <c r="X4605" s="1">
        <v>42248</v>
      </c>
      <c r="Y4605" s="1">
        <v>56858</v>
      </c>
      <c r="Z4605" t="s">
        <v>51</v>
      </c>
      <c r="AB4605" t="s">
        <v>54</v>
      </c>
      <c r="AE4605" t="s">
        <v>64</v>
      </c>
      <c r="AF4605">
        <v>20</v>
      </c>
      <c r="AG4605" s="1">
        <v>42248</v>
      </c>
      <c r="AH4605" s="1">
        <v>42248</v>
      </c>
      <c r="AI4605" s="1">
        <v>42248</v>
      </c>
      <c r="AJ4605" s="1">
        <v>49553</v>
      </c>
      <c r="AK4605" t="s">
        <v>51</v>
      </c>
      <c r="AN4605">
        <v>6</v>
      </c>
      <c r="AO4605" t="s">
        <v>54</v>
      </c>
      <c r="AP4605" t="s">
        <v>53</v>
      </c>
      <c r="AQ4605">
        <v>0</v>
      </c>
      <c r="AR4605" t="s">
        <v>53</v>
      </c>
      <c r="AS4605">
        <v>0</v>
      </c>
      <c r="AT4605">
        <v>0</v>
      </c>
      <c r="AW4605" t="s">
        <v>58</v>
      </c>
      <c r="AX4605">
        <v>20</v>
      </c>
      <c r="AY4605" s="1">
        <v>42248</v>
      </c>
      <c r="AZ4605" s="1">
        <v>42248</v>
      </c>
      <c r="BA4605" s="1">
        <v>42248</v>
      </c>
      <c r="BB4605" s="1">
        <v>49553</v>
      </c>
      <c r="BC4605" t="s">
        <v>51</v>
      </c>
      <c r="BE4605" t="s">
        <v>54</v>
      </c>
      <c r="BF4605">
        <v>2</v>
      </c>
      <c r="BG4605">
        <v>0</v>
      </c>
      <c r="BH4605" t="s">
        <v>53</v>
      </c>
      <c r="BK4605" t="s">
        <v>65</v>
      </c>
      <c r="BL4605">
        <v>14000</v>
      </c>
      <c r="BM4605" s="1">
        <v>42248</v>
      </c>
      <c r="BN4605" s="1">
        <v>42248</v>
      </c>
      <c r="BO4605" s="1">
        <v>42248</v>
      </c>
      <c r="BP4605" s="1">
        <v>43420</v>
      </c>
      <c r="BQ4605" t="s">
        <v>51</v>
      </c>
      <c r="BS4605" t="s">
        <v>60</v>
      </c>
      <c r="BT4605" t="s">
        <v>54</v>
      </c>
      <c r="BU4605" t="s">
        <v>61</v>
      </c>
      <c r="BV4605" t="s">
        <v>62</v>
      </c>
      <c r="BX4605">
        <v>36</v>
      </c>
      <c r="BY4605">
        <v>0</v>
      </c>
      <c r="BZ4605">
        <v>0</v>
      </c>
      <c r="CX4605" t="s">
        <v>360</v>
      </c>
      <c r="CY4605">
        <v>40</v>
      </c>
      <c r="CZ4605" s="1">
        <v>42248</v>
      </c>
      <c r="DA4605" s="1">
        <v>42248</v>
      </c>
      <c r="DB4605" s="1">
        <v>42248</v>
      </c>
      <c r="DC4605" s="1">
        <v>56858</v>
      </c>
      <c r="DD4605" t="s">
        <v>51</v>
      </c>
      <c r="DF4605" t="s">
        <v>54</v>
      </c>
      <c r="DG4605">
        <v>0</v>
      </c>
      <c r="DH4605">
        <v>0</v>
      </c>
    </row>
    <row r="4606" spans="1:112" x14ac:dyDescent="0.2">
      <c r="A4606" t="s">
        <v>180</v>
      </c>
      <c r="B4606" t="s">
        <v>181</v>
      </c>
      <c r="C4606" t="s">
        <v>182</v>
      </c>
      <c r="D4606" t="s">
        <v>545</v>
      </c>
      <c r="F4606" t="str">
        <f>"gemeentewerf"</f>
        <v>gemeentewerf</v>
      </c>
      <c r="G4606" t="s">
        <v>49</v>
      </c>
      <c r="K4606" t="s">
        <v>51</v>
      </c>
      <c r="L4606" t="s">
        <v>52</v>
      </c>
      <c r="M4606">
        <v>135744.69</v>
      </c>
      <c r="N4606">
        <v>472877.71</v>
      </c>
      <c r="O4606" t="s">
        <v>53</v>
      </c>
      <c r="P4606" t="s">
        <v>54</v>
      </c>
      <c r="Q4606" t="s">
        <v>55</v>
      </c>
      <c r="T4606" t="s">
        <v>431</v>
      </c>
      <c r="U4606">
        <v>40</v>
      </c>
      <c r="V4606" s="1">
        <v>25569</v>
      </c>
      <c r="W4606" s="1">
        <v>25569</v>
      </c>
      <c r="X4606" s="1">
        <v>25569</v>
      </c>
      <c r="Y4606" s="1">
        <v>40179</v>
      </c>
      <c r="Z4606" t="s">
        <v>51</v>
      </c>
      <c r="AB4606" t="s">
        <v>54</v>
      </c>
      <c r="AE4606" t="s">
        <v>390</v>
      </c>
      <c r="AF4606">
        <v>20</v>
      </c>
      <c r="AG4606" s="1">
        <v>25569</v>
      </c>
      <c r="AH4606" s="1">
        <v>25569</v>
      </c>
      <c r="AI4606" s="1">
        <v>25569</v>
      </c>
      <c r="AJ4606" s="1">
        <v>32874</v>
      </c>
      <c r="AK4606" t="s">
        <v>51</v>
      </c>
      <c r="AN4606">
        <v>0</v>
      </c>
      <c r="AO4606" t="s">
        <v>54</v>
      </c>
      <c r="AP4606" t="s">
        <v>53</v>
      </c>
      <c r="AQ4606">
        <v>0</v>
      </c>
      <c r="AR4606" t="s">
        <v>53</v>
      </c>
      <c r="AS4606">
        <v>0</v>
      </c>
      <c r="AT4606">
        <v>0</v>
      </c>
      <c r="BK4606" t="s">
        <v>743</v>
      </c>
      <c r="BL4606">
        <v>14000</v>
      </c>
      <c r="BM4606" s="1">
        <v>25569</v>
      </c>
      <c r="BN4606" s="1">
        <v>25569</v>
      </c>
      <c r="BO4606" s="1">
        <v>25569</v>
      </c>
      <c r="BP4606" s="1">
        <v>26733</v>
      </c>
      <c r="BQ4606" t="s">
        <v>51</v>
      </c>
      <c r="BS4606" t="s">
        <v>60</v>
      </c>
      <c r="BT4606" t="s">
        <v>54</v>
      </c>
      <c r="BU4606" t="s">
        <v>61</v>
      </c>
      <c r="BV4606" t="s">
        <v>62</v>
      </c>
      <c r="BX4606">
        <v>50</v>
      </c>
      <c r="BY4606">
        <v>0</v>
      </c>
      <c r="BZ4606">
        <v>0</v>
      </c>
    </row>
    <row r="4607" spans="1:112" x14ac:dyDescent="0.2">
      <c r="A4607" t="s">
        <v>1012</v>
      </c>
      <c r="B4607" t="s">
        <v>1013</v>
      </c>
      <c r="C4607" t="s">
        <v>1014</v>
      </c>
      <c r="D4607" t="s">
        <v>1136</v>
      </c>
      <c r="F4607" t="str">
        <f>"brugstraat_1"</f>
        <v>brugstraat_1</v>
      </c>
      <c r="G4607" t="s">
        <v>49</v>
      </c>
      <c r="K4607" t="s">
        <v>51</v>
      </c>
      <c r="L4607" t="s">
        <v>52</v>
      </c>
      <c r="M4607">
        <v>131615.09</v>
      </c>
      <c r="N4607">
        <v>475141.06</v>
      </c>
      <c r="O4607" t="s">
        <v>53</v>
      </c>
      <c r="P4607" t="s">
        <v>54</v>
      </c>
      <c r="Q4607" t="s">
        <v>55</v>
      </c>
      <c r="T4607" t="s">
        <v>1614</v>
      </c>
      <c r="U4607">
        <v>40</v>
      </c>
      <c r="V4607" s="1">
        <v>29221</v>
      </c>
      <c r="W4607" s="1">
        <v>29221</v>
      </c>
      <c r="X4607" s="1">
        <v>29221</v>
      </c>
      <c r="Y4607" s="1">
        <v>43831</v>
      </c>
      <c r="Z4607" t="s">
        <v>51</v>
      </c>
      <c r="AB4607" t="s">
        <v>54</v>
      </c>
      <c r="AE4607" t="s">
        <v>515</v>
      </c>
      <c r="AF4607">
        <v>20</v>
      </c>
      <c r="AG4607" s="1">
        <v>29221</v>
      </c>
      <c r="AH4607" s="1">
        <v>29221</v>
      </c>
      <c r="AI4607" s="1">
        <v>29221</v>
      </c>
      <c r="AJ4607" s="1">
        <v>36526</v>
      </c>
      <c r="AK4607" t="s">
        <v>51</v>
      </c>
      <c r="AN4607">
        <v>0</v>
      </c>
      <c r="AO4607" t="s">
        <v>54</v>
      </c>
      <c r="AP4607" t="s">
        <v>53</v>
      </c>
      <c r="AQ4607">
        <v>0</v>
      </c>
      <c r="AR4607" t="s">
        <v>53</v>
      </c>
      <c r="AS4607">
        <v>0</v>
      </c>
      <c r="AT4607">
        <v>0</v>
      </c>
      <c r="BK4607" t="s">
        <v>59</v>
      </c>
      <c r="BL4607">
        <v>14000</v>
      </c>
      <c r="BM4607" s="1">
        <v>29221</v>
      </c>
      <c r="BN4607" s="1">
        <v>29221</v>
      </c>
      <c r="BO4607" s="1">
        <v>29221</v>
      </c>
      <c r="BP4607" s="1">
        <v>30475</v>
      </c>
      <c r="BQ4607" t="s">
        <v>51</v>
      </c>
      <c r="BS4607" t="s">
        <v>78</v>
      </c>
      <c r="BT4607" t="s">
        <v>54</v>
      </c>
      <c r="BU4607" t="s">
        <v>61</v>
      </c>
      <c r="BV4607" t="s">
        <v>62</v>
      </c>
      <c r="BX4607">
        <v>24</v>
      </c>
      <c r="BY4607">
        <v>0</v>
      </c>
      <c r="BZ4607">
        <v>0</v>
      </c>
    </row>
    <row r="4608" spans="1:112" x14ac:dyDescent="0.2">
      <c r="A4608" t="s">
        <v>367</v>
      </c>
      <c r="B4608" t="s">
        <v>368</v>
      </c>
      <c r="C4608" t="s">
        <v>369</v>
      </c>
      <c r="D4608" t="s">
        <v>1198</v>
      </c>
      <c r="F4608" t="str">
        <f>"196547"</f>
        <v>196547</v>
      </c>
      <c r="G4608" t="s">
        <v>49</v>
      </c>
      <c r="K4608" t="s">
        <v>51</v>
      </c>
      <c r="L4608" t="s">
        <v>52</v>
      </c>
      <c r="M4608">
        <v>137798.79</v>
      </c>
      <c r="N4608">
        <v>467695.66</v>
      </c>
      <c r="O4608" t="s">
        <v>53</v>
      </c>
      <c r="P4608" t="s">
        <v>54</v>
      </c>
      <c r="Q4608" t="s">
        <v>55</v>
      </c>
      <c r="T4608" t="s">
        <v>818</v>
      </c>
      <c r="U4608">
        <v>40</v>
      </c>
      <c r="V4608" s="1">
        <v>29586</v>
      </c>
      <c r="W4608" s="1">
        <v>29586</v>
      </c>
      <c r="X4608" s="1">
        <v>29586</v>
      </c>
      <c r="Y4608" s="1">
        <v>44196</v>
      </c>
      <c r="Z4608" t="s">
        <v>51</v>
      </c>
      <c r="AB4608" t="s">
        <v>54</v>
      </c>
      <c r="AE4608" t="s">
        <v>827</v>
      </c>
      <c r="AF4608">
        <v>20</v>
      </c>
      <c r="AG4608" s="1">
        <v>29586</v>
      </c>
      <c r="AH4608" s="1">
        <v>29586</v>
      </c>
      <c r="AI4608" s="1">
        <v>29586</v>
      </c>
      <c r="AJ4608" s="1">
        <v>36891</v>
      </c>
      <c r="AK4608" t="s">
        <v>51</v>
      </c>
      <c r="AN4608">
        <v>0</v>
      </c>
      <c r="AO4608" t="s">
        <v>54</v>
      </c>
      <c r="AP4608" t="s">
        <v>53</v>
      </c>
      <c r="AQ4608">
        <v>0</v>
      </c>
      <c r="AR4608" t="s">
        <v>53</v>
      </c>
      <c r="AS4608">
        <v>0</v>
      </c>
      <c r="AT4608">
        <v>0</v>
      </c>
      <c r="CC4608" t="s">
        <v>850</v>
      </c>
      <c r="CD4608">
        <v>1</v>
      </c>
      <c r="CE4608" s="1">
        <v>42552</v>
      </c>
      <c r="CF4608" s="1">
        <v>42552</v>
      </c>
      <c r="CG4608" s="1">
        <v>42552</v>
      </c>
      <c r="CH4608" s="1">
        <v>42552</v>
      </c>
      <c r="CI4608" t="s">
        <v>51</v>
      </c>
      <c r="CK4608" t="s">
        <v>78</v>
      </c>
      <c r="CM4608" t="s">
        <v>54</v>
      </c>
      <c r="CN4608" t="s">
        <v>174</v>
      </c>
      <c r="CO4608" t="s">
        <v>86</v>
      </c>
      <c r="CR4608">
        <v>18</v>
      </c>
      <c r="CS4608">
        <v>0</v>
      </c>
      <c r="CT4608">
        <v>0</v>
      </c>
      <c r="CU4608">
        <v>0</v>
      </c>
    </row>
    <row r="4609" spans="1:112" x14ac:dyDescent="0.2">
      <c r="A4609" t="s">
        <v>1012</v>
      </c>
      <c r="B4609" t="s">
        <v>1013</v>
      </c>
      <c r="C4609" t="s">
        <v>2122</v>
      </c>
      <c r="D4609" t="s">
        <v>2123</v>
      </c>
      <c r="F4609" t="str">
        <f>"254164"</f>
        <v>254164</v>
      </c>
      <c r="G4609" t="s">
        <v>49</v>
      </c>
      <c r="K4609" t="s">
        <v>51</v>
      </c>
      <c r="L4609" t="s">
        <v>52</v>
      </c>
      <c r="M4609">
        <v>131825.82999999999</v>
      </c>
      <c r="N4609">
        <v>473543.11</v>
      </c>
      <c r="O4609" t="s">
        <v>53</v>
      </c>
      <c r="P4609" t="s">
        <v>54</v>
      </c>
      <c r="Q4609" t="s">
        <v>55</v>
      </c>
      <c r="T4609" t="s">
        <v>246</v>
      </c>
      <c r="U4609">
        <v>40</v>
      </c>
      <c r="V4609" s="1">
        <v>44341</v>
      </c>
      <c r="W4609" s="1">
        <v>44341</v>
      </c>
      <c r="X4609" s="1">
        <v>44341</v>
      </c>
      <c r="Y4609" s="1">
        <v>58951</v>
      </c>
      <c r="Z4609" t="s">
        <v>51</v>
      </c>
      <c r="AB4609" t="s">
        <v>54</v>
      </c>
      <c r="AE4609" t="s">
        <v>1065</v>
      </c>
      <c r="AF4609">
        <v>20</v>
      </c>
      <c r="AG4609" s="1">
        <v>44341</v>
      </c>
      <c r="AH4609" s="1">
        <v>44341</v>
      </c>
      <c r="AI4609" s="1">
        <v>44341</v>
      </c>
      <c r="AJ4609" s="1">
        <v>51646</v>
      </c>
      <c r="AK4609" t="s">
        <v>51</v>
      </c>
      <c r="AN4609">
        <v>0</v>
      </c>
      <c r="AO4609" t="s">
        <v>54</v>
      </c>
      <c r="AP4609" t="s">
        <v>53</v>
      </c>
      <c r="AQ4609">
        <v>0</v>
      </c>
      <c r="AR4609" t="s">
        <v>53</v>
      </c>
      <c r="AS4609">
        <v>0</v>
      </c>
      <c r="AT4609">
        <v>0</v>
      </c>
      <c r="AW4609" t="s">
        <v>172</v>
      </c>
      <c r="AX4609">
        <v>15</v>
      </c>
      <c r="AY4609" s="1">
        <v>44341</v>
      </c>
      <c r="AZ4609" s="1">
        <v>44341</v>
      </c>
      <c r="BA4609" s="1">
        <v>44341</v>
      </c>
      <c r="BB4609" s="1">
        <v>49820</v>
      </c>
      <c r="BC4609" t="s">
        <v>51</v>
      </c>
      <c r="BE4609" t="s">
        <v>54</v>
      </c>
      <c r="BF4609">
        <v>40</v>
      </c>
      <c r="BG4609">
        <v>0</v>
      </c>
      <c r="BH4609" t="s">
        <v>145</v>
      </c>
      <c r="CC4609" t="s">
        <v>250</v>
      </c>
      <c r="CD4609">
        <v>100000</v>
      </c>
      <c r="CE4609" s="1">
        <v>44341</v>
      </c>
      <c r="CF4609" s="1">
        <v>44341</v>
      </c>
      <c r="CG4609" s="1">
        <v>44341</v>
      </c>
      <c r="CH4609" s="1">
        <v>53310</v>
      </c>
      <c r="CI4609" t="s">
        <v>51</v>
      </c>
      <c r="CK4609" t="s">
        <v>78</v>
      </c>
      <c r="CM4609" t="s">
        <v>54</v>
      </c>
      <c r="CN4609" t="s">
        <v>174</v>
      </c>
      <c r="CR4609">
        <v>13.2</v>
      </c>
      <c r="CS4609">
        <v>1800</v>
      </c>
      <c r="CT4609">
        <v>0</v>
      </c>
      <c r="CU4609">
        <v>16</v>
      </c>
    </row>
    <row r="4610" spans="1:112" x14ac:dyDescent="0.2">
      <c r="A4610" t="s">
        <v>1012</v>
      </c>
      <c r="B4610" t="s">
        <v>1013</v>
      </c>
      <c r="C4610" t="s">
        <v>1052</v>
      </c>
      <c r="D4610" t="s">
        <v>1053</v>
      </c>
      <c r="F4610" t="str">
        <f>"251866"</f>
        <v>251866</v>
      </c>
      <c r="G4610" t="s">
        <v>49</v>
      </c>
      <c r="K4610" t="s">
        <v>51</v>
      </c>
      <c r="L4610" t="s">
        <v>52</v>
      </c>
      <c r="M4610">
        <v>132090.06</v>
      </c>
      <c r="N4610">
        <v>473860.6</v>
      </c>
      <c r="O4610" t="s">
        <v>53</v>
      </c>
      <c r="P4610" t="s">
        <v>54</v>
      </c>
      <c r="Q4610" t="s">
        <v>55</v>
      </c>
      <c r="T4610" t="s">
        <v>81</v>
      </c>
      <c r="U4610">
        <v>40</v>
      </c>
      <c r="V4610" s="1">
        <v>43469</v>
      </c>
      <c r="W4610" s="1">
        <v>43469</v>
      </c>
      <c r="X4610" s="1">
        <v>43469</v>
      </c>
      <c r="Y4610" s="1">
        <v>58079</v>
      </c>
      <c r="Z4610" t="s">
        <v>51</v>
      </c>
      <c r="AB4610" t="s">
        <v>54</v>
      </c>
      <c r="AC4610">
        <v>1</v>
      </c>
      <c r="AE4610" t="s">
        <v>613</v>
      </c>
      <c r="AF4610">
        <v>20</v>
      </c>
      <c r="AG4610" s="1">
        <v>43469</v>
      </c>
      <c r="AH4610" s="1">
        <v>43469</v>
      </c>
      <c r="AI4610" s="1">
        <v>43469</v>
      </c>
      <c r="AJ4610" s="1">
        <v>50774</v>
      </c>
      <c r="AK4610" t="s">
        <v>51</v>
      </c>
      <c r="AN4610">
        <v>0</v>
      </c>
      <c r="AO4610" t="s">
        <v>54</v>
      </c>
      <c r="AP4610" t="s">
        <v>53</v>
      </c>
      <c r="AQ4610">
        <v>0</v>
      </c>
      <c r="AR4610" t="s">
        <v>53</v>
      </c>
      <c r="AS4610">
        <v>0</v>
      </c>
      <c r="AT4610">
        <v>0</v>
      </c>
      <c r="BK4610" t="s">
        <v>374</v>
      </c>
      <c r="BL4610">
        <v>50000</v>
      </c>
      <c r="BM4610" s="1">
        <v>45057</v>
      </c>
      <c r="BN4610" s="1">
        <v>45057</v>
      </c>
      <c r="BO4610" s="1">
        <v>45057</v>
      </c>
      <c r="BP4610" s="1">
        <v>49297</v>
      </c>
      <c r="BQ4610" t="s">
        <v>51</v>
      </c>
      <c r="BS4610" t="s">
        <v>60</v>
      </c>
      <c r="BT4610" t="s">
        <v>54</v>
      </c>
      <c r="BU4610" t="s">
        <v>61</v>
      </c>
      <c r="BV4610" t="s">
        <v>62</v>
      </c>
      <c r="BX4610">
        <v>26</v>
      </c>
      <c r="BY4610">
        <v>2860</v>
      </c>
      <c r="BZ4610">
        <v>0</v>
      </c>
    </row>
    <row r="4611" spans="1:112" x14ac:dyDescent="0.2">
      <c r="A4611" t="s">
        <v>180</v>
      </c>
      <c r="B4611" t="s">
        <v>181</v>
      </c>
      <c r="C4611" t="s">
        <v>184</v>
      </c>
      <c r="D4611" t="s">
        <v>677</v>
      </c>
      <c r="F4611" t="str">
        <f>"arm_muur"</f>
        <v>arm_muur</v>
      </c>
      <c r="G4611" t="s">
        <v>49</v>
      </c>
      <c r="I4611" t="s">
        <v>2124</v>
      </c>
      <c r="K4611" t="s">
        <v>51</v>
      </c>
      <c r="L4611" t="s">
        <v>52</v>
      </c>
      <c r="M4611">
        <v>136147.22</v>
      </c>
      <c r="N4611">
        <v>472248.58</v>
      </c>
      <c r="O4611" t="s">
        <v>53</v>
      </c>
      <c r="P4611" t="s">
        <v>54</v>
      </c>
      <c r="Q4611" t="s">
        <v>55</v>
      </c>
      <c r="T4611" t="s">
        <v>1614</v>
      </c>
      <c r="U4611">
        <v>40</v>
      </c>
      <c r="V4611" s="1">
        <v>33420</v>
      </c>
      <c r="W4611" s="1">
        <v>33420</v>
      </c>
      <c r="X4611" s="1">
        <v>33420</v>
      </c>
      <c r="Y4611" s="1">
        <v>48030</v>
      </c>
      <c r="Z4611" t="s">
        <v>51</v>
      </c>
      <c r="AB4611" t="s">
        <v>54</v>
      </c>
      <c r="AE4611" t="s">
        <v>685</v>
      </c>
      <c r="AF4611">
        <v>20</v>
      </c>
      <c r="AG4611" s="1">
        <v>33420</v>
      </c>
      <c r="AH4611" s="1">
        <v>33420</v>
      </c>
      <c r="AI4611" s="1">
        <v>33420</v>
      </c>
      <c r="AJ4611" s="1">
        <v>40725</v>
      </c>
      <c r="AK4611" t="s">
        <v>51</v>
      </c>
      <c r="AN4611">
        <v>0</v>
      </c>
      <c r="AO4611" t="s">
        <v>54</v>
      </c>
      <c r="AP4611" t="s">
        <v>53</v>
      </c>
      <c r="AQ4611">
        <v>0</v>
      </c>
      <c r="AR4611" t="s">
        <v>53</v>
      </c>
      <c r="AS4611">
        <v>0</v>
      </c>
      <c r="AT4611">
        <v>0</v>
      </c>
      <c r="BK4611" t="s">
        <v>686</v>
      </c>
      <c r="BL4611">
        <v>8000</v>
      </c>
      <c r="BM4611" s="1">
        <v>33420</v>
      </c>
      <c r="BN4611" s="1">
        <v>33420</v>
      </c>
      <c r="BO4611" s="1">
        <v>33420</v>
      </c>
      <c r="BP4611" s="1">
        <v>34127</v>
      </c>
      <c r="BQ4611" t="s">
        <v>51</v>
      </c>
      <c r="BS4611" t="s">
        <v>78</v>
      </c>
      <c r="BT4611" t="s">
        <v>54</v>
      </c>
      <c r="BU4611" t="s">
        <v>687</v>
      </c>
      <c r="BV4611" t="s">
        <v>688</v>
      </c>
      <c r="BX4611">
        <v>18</v>
      </c>
      <c r="BY4611">
        <v>0</v>
      </c>
      <c r="BZ4611">
        <v>0</v>
      </c>
    </row>
    <row r="4612" spans="1:112" x14ac:dyDescent="0.2">
      <c r="A4612" t="s">
        <v>1012</v>
      </c>
      <c r="B4612" t="s">
        <v>1013</v>
      </c>
      <c r="C4612" t="s">
        <v>1019</v>
      </c>
      <c r="D4612" t="s">
        <v>1069</v>
      </c>
      <c r="F4612" t="str">
        <f>"254383"</f>
        <v>254383</v>
      </c>
      <c r="G4612" t="s">
        <v>49</v>
      </c>
      <c r="K4612" t="s">
        <v>51</v>
      </c>
      <c r="L4612" t="s">
        <v>52</v>
      </c>
      <c r="M4612">
        <v>131861.4</v>
      </c>
      <c r="N4612">
        <v>473739.62</v>
      </c>
      <c r="O4612" t="s">
        <v>53</v>
      </c>
      <c r="P4612" t="s">
        <v>54</v>
      </c>
      <c r="Q4612" t="s">
        <v>55</v>
      </c>
      <c r="T4612" t="s">
        <v>100</v>
      </c>
      <c r="U4612">
        <v>40</v>
      </c>
      <c r="V4612" s="1">
        <v>44320</v>
      </c>
      <c r="W4612" s="1">
        <v>44320</v>
      </c>
      <c r="X4612" s="1">
        <v>44320</v>
      </c>
      <c r="Y4612" s="1">
        <v>58930</v>
      </c>
      <c r="Z4612" t="s">
        <v>51</v>
      </c>
      <c r="AB4612" t="s">
        <v>54</v>
      </c>
      <c r="AE4612" t="s">
        <v>222</v>
      </c>
      <c r="AF4612">
        <v>20</v>
      </c>
      <c r="AG4612" s="1">
        <v>44320</v>
      </c>
      <c r="AH4612" s="1">
        <v>44320</v>
      </c>
      <c r="AI4612" s="1">
        <v>44320</v>
      </c>
      <c r="AJ4612" s="1">
        <v>51625</v>
      </c>
      <c r="AK4612" t="s">
        <v>51</v>
      </c>
      <c r="AN4612">
        <v>0</v>
      </c>
      <c r="AO4612" t="s">
        <v>54</v>
      </c>
      <c r="AP4612" t="s">
        <v>53</v>
      </c>
      <c r="AQ4612">
        <v>0</v>
      </c>
      <c r="AR4612" t="s">
        <v>53</v>
      </c>
      <c r="AS4612">
        <v>0</v>
      </c>
      <c r="AT4612">
        <v>0</v>
      </c>
      <c r="CC4612" t="s">
        <v>250</v>
      </c>
      <c r="CD4612">
        <v>100000</v>
      </c>
      <c r="CE4612" s="1">
        <v>44320</v>
      </c>
      <c r="CF4612" s="1">
        <v>44320</v>
      </c>
      <c r="CG4612" s="1">
        <v>44320</v>
      </c>
      <c r="CH4612" s="1">
        <v>53302</v>
      </c>
      <c r="CI4612" t="s">
        <v>51</v>
      </c>
      <c r="CK4612" t="s">
        <v>78</v>
      </c>
      <c r="CM4612" t="s">
        <v>54</v>
      </c>
      <c r="CN4612" t="s">
        <v>174</v>
      </c>
      <c r="CR4612">
        <v>13.2</v>
      </c>
      <c r="CS4612">
        <v>1800</v>
      </c>
      <c r="CT4612">
        <v>0</v>
      </c>
      <c r="CU4612">
        <v>16</v>
      </c>
      <c r="CX4612" t="s">
        <v>674</v>
      </c>
      <c r="CY4612">
        <v>0</v>
      </c>
      <c r="CZ4612" s="1">
        <v>44320</v>
      </c>
      <c r="DA4612" s="1">
        <v>44320</v>
      </c>
      <c r="DB4612" s="1">
        <v>44320</v>
      </c>
      <c r="DC4612" s="1">
        <v>44320</v>
      </c>
      <c r="DD4612" t="s">
        <v>51</v>
      </c>
      <c r="DF4612" t="s">
        <v>54</v>
      </c>
      <c r="DG4612">
        <v>0</v>
      </c>
      <c r="DH4612">
        <v>0</v>
      </c>
    </row>
    <row r="4613" spans="1:112" x14ac:dyDescent="0.2">
      <c r="A4613" t="s">
        <v>112</v>
      </c>
      <c r="B4613" t="s">
        <v>113</v>
      </c>
      <c r="C4613" t="s">
        <v>114</v>
      </c>
      <c r="D4613" t="s">
        <v>2106</v>
      </c>
      <c r="F4613" t="str">
        <f>"??253256"</f>
        <v>??253256</v>
      </c>
      <c r="G4613" t="s">
        <v>49</v>
      </c>
      <c r="K4613" t="s">
        <v>51</v>
      </c>
      <c r="L4613" t="s">
        <v>52</v>
      </c>
      <c r="M4613">
        <v>136854.43</v>
      </c>
      <c r="N4613">
        <v>472290.91</v>
      </c>
      <c r="O4613" t="s">
        <v>53</v>
      </c>
      <c r="P4613" t="s">
        <v>54</v>
      </c>
      <c r="Q4613" t="s">
        <v>55</v>
      </c>
      <c r="T4613" t="s">
        <v>431</v>
      </c>
      <c r="U4613">
        <v>40</v>
      </c>
      <c r="V4613" s="1">
        <v>29221</v>
      </c>
      <c r="W4613" s="1">
        <v>29221</v>
      </c>
      <c r="X4613" s="1">
        <v>43529</v>
      </c>
      <c r="Y4613" s="1">
        <v>43831</v>
      </c>
      <c r="Z4613" t="s">
        <v>51</v>
      </c>
      <c r="AB4613" t="s">
        <v>54</v>
      </c>
      <c r="AC4613">
        <v>1</v>
      </c>
      <c r="AE4613" t="s">
        <v>79</v>
      </c>
      <c r="AF4613">
        <v>20</v>
      </c>
      <c r="AG4613" s="1">
        <v>34700</v>
      </c>
      <c r="AH4613" s="1">
        <v>34700</v>
      </c>
      <c r="AI4613" s="1">
        <v>43529</v>
      </c>
      <c r="AJ4613" s="1">
        <v>42005</v>
      </c>
      <c r="AK4613" t="s">
        <v>51</v>
      </c>
      <c r="AN4613">
        <v>0</v>
      </c>
      <c r="AO4613" t="s">
        <v>54</v>
      </c>
      <c r="AP4613" t="s">
        <v>53</v>
      </c>
      <c r="AQ4613">
        <v>0</v>
      </c>
      <c r="AR4613" t="s">
        <v>145</v>
      </c>
      <c r="AS4613">
        <v>0</v>
      </c>
      <c r="AT4613">
        <v>0</v>
      </c>
      <c r="AW4613" t="s">
        <v>79</v>
      </c>
      <c r="AX4613">
        <v>20</v>
      </c>
      <c r="AY4613" s="1">
        <v>34700</v>
      </c>
      <c r="AZ4613" s="1">
        <v>34700</v>
      </c>
      <c r="BA4613" s="1">
        <v>43529</v>
      </c>
      <c r="BB4613" s="1">
        <v>42005</v>
      </c>
      <c r="BC4613" t="s">
        <v>51</v>
      </c>
      <c r="BE4613" t="s">
        <v>54</v>
      </c>
      <c r="BF4613">
        <v>5</v>
      </c>
      <c r="BG4613">
        <v>0</v>
      </c>
      <c r="BH4613" t="s">
        <v>53</v>
      </c>
      <c r="BK4613" t="s">
        <v>146</v>
      </c>
      <c r="BL4613">
        <v>14000</v>
      </c>
      <c r="BM4613" s="1">
        <v>42917</v>
      </c>
      <c r="BN4613" s="1">
        <v>42917</v>
      </c>
      <c r="BO4613" s="1">
        <v>43529</v>
      </c>
      <c r="BP4613" s="1">
        <v>44117</v>
      </c>
      <c r="BQ4613" t="s">
        <v>51</v>
      </c>
      <c r="BS4613" t="s">
        <v>60</v>
      </c>
      <c r="BT4613" t="s">
        <v>54</v>
      </c>
      <c r="BU4613" t="s">
        <v>61</v>
      </c>
      <c r="BV4613" t="s">
        <v>62</v>
      </c>
      <c r="BX4613">
        <v>24</v>
      </c>
      <c r="BY4613">
        <v>0</v>
      </c>
      <c r="BZ4613">
        <v>0</v>
      </c>
    </row>
    <row r="4614" spans="1:112" x14ac:dyDescent="0.2">
      <c r="A4614" t="s">
        <v>1012</v>
      </c>
      <c r="B4614" t="s">
        <v>1013</v>
      </c>
      <c r="C4614" t="s">
        <v>1052</v>
      </c>
      <c r="D4614" t="s">
        <v>1092</v>
      </c>
      <c r="F4614" t="str">
        <f>"254376"</f>
        <v>254376</v>
      </c>
      <c r="G4614" t="s">
        <v>49</v>
      </c>
      <c r="K4614" t="s">
        <v>51</v>
      </c>
      <c r="L4614" t="s">
        <v>52</v>
      </c>
      <c r="M4614">
        <v>131717.81</v>
      </c>
      <c r="N4614">
        <v>474818.66</v>
      </c>
      <c r="O4614" t="s">
        <v>53</v>
      </c>
      <c r="P4614" t="s">
        <v>54</v>
      </c>
      <c r="Q4614" t="s">
        <v>55</v>
      </c>
      <c r="T4614" t="s">
        <v>100</v>
      </c>
      <c r="U4614">
        <v>40</v>
      </c>
      <c r="V4614" s="1">
        <v>32143</v>
      </c>
      <c r="W4614" s="1">
        <v>32143</v>
      </c>
      <c r="X4614" s="1">
        <v>32143</v>
      </c>
      <c r="Y4614" s="1">
        <v>46753</v>
      </c>
      <c r="Z4614" t="s">
        <v>51</v>
      </c>
      <c r="AB4614" t="s">
        <v>54</v>
      </c>
      <c r="AE4614" t="s">
        <v>819</v>
      </c>
      <c r="AF4614">
        <v>20</v>
      </c>
      <c r="AG4614" s="1">
        <v>32143</v>
      </c>
      <c r="AH4614" s="1">
        <v>32143</v>
      </c>
      <c r="AI4614" s="1">
        <v>32143</v>
      </c>
      <c r="AJ4614" s="1">
        <v>39448</v>
      </c>
      <c r="AK4614" t="s">
        <v>51</v>
      </c>
      <c r="AN4614">
        <v>0</v>
      </c>
      <c r="AO4614" t="s">
        <v>54</v>
      </c>
      <c r="AP4614" t="s">
        <v>53</v>
      </c>
      <c r="AQ4614">
        <v>0</v>
      </c>
      <c r="AR4614" t="s">
        <v>53</v>
      </c>
      <c r="AS4614">
        <v>0</v>
      </c>
      <c r="AT4614">
        <v>0</v>
      </c>
      <c r="AW4614" t="s">
        <v>161</v>
      </c>
      <c r="AX4614">
        <v>50</v>
      </c>
      <c r="AY4614" s="1">
        <v>32143</v>
      </c>
      <c r="AZ4614" s="1">
        <v>32143</v>
      </c>
      <c r="BA4614" s="1">
        <v>32143</v>
      </c>
      <c r="BB4614" s="1">
        <v>50406</v>
      </c>
      <c r="BC4614" t="s">
        <v>51</v>
      </c>
      <c r="BE4614" t="s">
        <v>54</v>
      </c>
      <c r="BF4614">
        <v>0</v>
      </c>
      <c r="BG4614">
        <v>0</v>
      </c>
      <c r="BH4614" t="s">
        <v>53</v>
      </c>
      <c r="BK4614" t="s">
        <v>720</v>
      </c>
      <c r="BL4614">
        <v>17000</v>
      </c>
      <c r="BM4614" s="1">
        <v>44942</v>
      </c>
      <c r="BN4614" s="1">
        <v>44942</v>
      </c>
      <c r="BO4614" s="1">
        <v>44942</v>
      </c>
      <c r="BP4614" s="1">
        <v>46384</v>
      </c>
      <c r="BQ4614" t="s">
        <v>51</v>
      </c>
      <c r="BS4614" t="s">
        <v>60</v>
      </c>
      <c r="BT4614" t="s">
        <v>54</v>
      </c>
      <c r="BU4614" t="s">
        <v>721</v>
      </c>
      <c r="BV4614" t="s">
        <v>722</v>
      </c>
      <c r="BX4614">
        <v>18</v>
      </c>
      <c r="BY4614">
        <v>0</v>
      </c>
      <c r="BZ4614">
        <v>0</v>
      </c>
      <c r="CX4614" t="s">
        <v>674</v>
      </c>
      <c r="CY4614">
        <v>0</v>
      </c>
      <c r="CZ4614" s="1">
        <v>32143</v>
      </c>
      <c r="DA4614" s="1">
        <v>32143</v>
      </c>
      <c r="DB4614" s="1">
        <v>32143</v>
      </c>
      <c r="DC4614" s="1">
        <v>32143</v>
      </c>
      <c r="DD4614" t="s">
        <v>51</v>
      </c>
      <c r="DF4614" t="s">
        <v>54</v>
      </c>
      <c r="DG4614">
        <v>0</v>
      </c>
      <c r="DH4614">
        <v>0</v>
      </c>
    </row>
    <row r="4615" spans="1:112" x14ac:dyDescent="0.2">
      <c r="A4615" t="s">
        <v>1012</v>
      </c>
      <c r="B4615" t="s">
        <v>1013</v>
      </c>
      <c r="C4615" t="s">
        <v>1019</v>
      </c>
      <c r="D4615" t="s">
        <v>426</v>
      </c>
      <c r="F4615" t="str">
        <f>"251686"</f>
        <v>251686</v>
      </c>
      <c r="G4615" t="s">
        <v>49</v>
      </c>
      <c r="K4615" t="s">
        <v>51</v>
      </c>
      <c r="L4615" t="s">
        <v>52</v>
      </c>
      <c r="M4615">
        <v>131704.99</v>
      </c>
      <c r="N4615">
        <v>473561.34</v>
      </c>
      <c r="O4615" t="s">
        <v>53</v>
      </c>
      <c r="P4615" t="s">
        <v>54</v>
      </c>
      <c r="Q4615" t="s">
        <v>55</v>
      </c>
      <c r="T4615" t="s">
        <v>81</v>
      </c>
      <c r="U4615">
        <v>40</v>
      </c>
      <c r="V4615" s="1">
        <v>43556</v>
      </c>
      <c r="W4615" s="1">
        <v>43556</v>
      </c>
      <c r="X4615" s="1">
        <v>43556</v>
      </c>
      <c r="Y4615" s="1">
        <v>58166</v>
      </c>
      <c r="Z4615" t="s">
        <v>51</v>
      </c>
      <c r="AB4615" t="s">
        <v>54</v>
      </c>
      <c r="AC4615">
        <v>1</v>
      </c>
      <c r="AE4615" t="s">
        <v>1024</v>
      </c>
      <c r="AF4615">
        <v>20</v>
      </c>
      <c r="AG4615" s="1">
        <v>43556</v>
      </c>
      <c r="AH4615" s="1">
        <v>43556</v>
      </c>
      <c r="AI4615" s="1">
        <v>43556</v>
      </c>
      <c r="AJ4615" s="1">
        <v>50861</v>
      </c>
      <c r="AK4615" t="s">
        <v>51</v>
      </c>
      <c r="AN4615">
        <v>0</v>
      </c>
      <c r="AO4615" t="s">
        <v>54</v>
      </c>
      <c r="AP4615" t="s">
        <v>53</v>
      </c>
      <c r="AQ4615">
        <v>0</v>
      </c>
      <c r="AR4615" t="s">
        <v>145</v>
      </c>
      <c r="AS4615">
        <v>0</v>
      </c>
      <c r="AT4615">
        <v>0</v>
      </c>
      <c r="CC4615" t="s">
        <v>555</v>
      </c>
      <c r="CD4615">
        <v>85000</v>
      </c>
      <c r="CE4615" s="1">
        <v>43556</v>
      </c>
      <c r="CF4615" s="1">
        <v>43556</v>
      </c>
      <c r="CG4615" s="1">
        <v>43556</v>
      </c>
      <c r="CH4615" s="1">
        <v>51174</v>
      </c>
      <c r="CI4615" t="s">
        <v>51</v>
      </c>
      <c r="CK4615" t="s">
        <v>78</v>
      </c>
      <c r="CM4615" t="s">
        <v>54</v>
      </c>
      <c r="CN4615" t="s">
        <v>174</v>
      </c>
      <c r="CO4615" t="s">
        <v>86</v>
      </c>
      <c r="CR4615">
        <v>20</v>
      </c>
      <c r="CS4615">
        <v>0</v>
      </c>
      <c r="CT4615">
        <v>0</v>
      </c>
      <c r="CU4615">
        <v>0</v>
      </c>
      <c r="CX4615" t="s">
        <v>674</v>
      </c>
      <c r="CY4615">
        <v>0</v>
      </c>
      <c r="CZ4615" s="1">
        <v>43654</v>
      </c>
      <c r="DA4615" s="1">
        <v>43654</v>
      </c>
      <c r="DB4615" s="1">
        <v>43654</v>
      </c>
      <c r="DC4615" s="1">
        <v>43654</v>
      </c>
      <c r="DD4615" t="s">
        <v>51</v>
      </c>
      <c r="DF4615" t="s">
        <v>54</v>
      </c>
      <c r="DG4615">
        <v>0</v>
      </c>
      <c r="DH4615">
        <v>0</v>
      </c>
    </row>
    <row r="4616" spans="1:112" x14ac:dyDescent="0.2">
      <c r="A4616" t="s">
        <v>180</v>
      </c>
      <c r="B4616" t="s">
        <v>181</v>
      </c>
      <c r="C4616" t="s">
        <v>184</v>
      </c>
      <c r="D4616" t="s">
        <v>781</v>
      </c>
      <c r="F4616" t="str">
        <f>"gang"</f>
        <v>gang</v>
      </c>
      <c r="G4616" t="s">
        <v>49</v>
      </c>
      <c r="H4616" t="s">
        <v>2125</v>
      </c>
      <c r="K4616" t="s">
        <v>51</v>
      </c>
      <c r="L4616" t="s">
        <v>52</v>
      </c>
      <c r="M4616">
        <v>136442.07999999999</v>
      </c>
      <c r="N4616">
        <v>472008.71</v>
      </c>
      <c r="O4616" t="s">
        <v>53</v>
      </c>
      <c r="P4616" t="s">
        <v>54</v>
      </c>
      <c r="Q4616" t="s">
        <v>55</v>
      </c>
      <c r="T4616" t="s">
        <v>1614</v>
      </c>
      <c r="U4616">
        <v>40</v>
      </c>
      <c r="V4616" s="1">
        <v>33786</v>
      </c>
      <c r="W4616" s="1">
        <v>33786</v>
      </c>
      <c r="X4616" s="1">
        <v>33786</v>
      </c>
      <c r="Y4616" s="1">
        <v>48396</v>
      </c>
      <c r="Z4616" t="s">
        <v>51</v>
      </c>
      <c r="AB4616" t="s">
        <v>54</v>
      </c>
      <c r="AE4616" t="s">
        <v>685</v>
      </c>
      <c r="AF4616">
        <v>20</v>
      </c>
      <c r="AG4616" s="1">
        <v>33786</v>
      </c>
      <c r="AH4616" s="1">
        <v>33786</v>
      </c>
      <c r="AI4616" s="1">
        <v>33786</v>
      </c>
      <c r="AJ4616" s="1">
        <v>41091</v>
      </c>
      <c r="AK4616" t="s">
        <v>51</v>
      </c>
      <c r="AN4616">
        <v>0</v>
      </c>
      <c r="AO4616" t="s">
        <v>54</v>
      </c>
      <c r="AP4616" t="s">
        <v>53</v>
      </c>
      <c r="AQ4616">
        <v>0</v>
      </c>
      <c r="AR4616" t="s">
        <v>53</v>
      </c>
      <c r="AS4616">
        <v>0</v>
      </c>
      <c r="AT4616">
        <v>0</v>
      </c>
      <c r="BK4616" t="s">
        <v>59</v>
      </c>
      <c r="BL4616">
        <v>14000</v>
      </c>
      <c r="BM4616" s="1">
        <v>33786</v>
      </c>
      <c r="BN4616" s="1">
        <v>33786</v>
      </c>
      <c r="BO4616" s="1">
        <v>33786</v>
      </c>
      <c r="BP4616" s="1">
        <v>34986</v>
      </c>
      <c r="BQ4616" t="s">
        <v>51</v>
      </c>
      <c r="BS4616" t="s">
        <v>60</v>
      </c>
      <c r="BT4616" t="s">
        <v>54</v>
      </c>
      <c r="BU4616" t="s">
        <v>61</v>
      </c>
      <c r="BV4616" t="s">
        <v>62</v>
      </c>
      <c r="BX4616">
        <v>24</v>
      </c>
      <c r="BY4616">
        <v>0</v>
      </c>
      <c r="BZ4616">
        <v>0</v>
      </c>
    </row>
    <row r="4617" spans="1:112" x14ac:dyDescent="0.2">
      <c r="A4617" t="s">
        <v>180</v>
      </c>
      <c r="B4617" t="s">
        <v>181</v>
      </c>
      <c r="C4617" t="s">
        <v>184</v>
      </c>
      <c r="D4617" t="s">
        <v>705</v>
      </c>
      <c r="F4617" t="str">
        <f>"253878"</f>
        <v>253878</v>
      </c>
      <c r="G4617" t="s">
        <v>49</v>
      </c>
      <c r="K4617" t="s">
        <v>51</v>
      </c>
      <c r="L4617" t="s">
        <v>52</v>
      </c>
      <c r="M4617">
        <v>136371.46</v>
      </c>
      <c r="N4617">
        <v>472295.21</v>
      </c>
      <c r="O4617" t="s">
        <v>53</v>
      </c>
      <c r="P4617" t="s">
        <v>54</v>
      </c>
      <c r="Q4617" t="s">
        <v>55</v>
      </c>
      <c r="T4617" t="s">
        <v>588</v>
      </c>
      <c r="U4617">
        <v>40</v>
      </c>
      <c r="V4617" s="1">
        <v>42186</v>
      </c>
      <c r="W4617" s="1">
        <v>42186</v>
      </c>
      <c r="X4617" s="1">
        <v>42186</v>
      </c>
      <c r="Y4617" s="1">
        <v>56796</v>
      </c>
      <c r="Z4617" t="s">
        <v>51</v>
      </c>
      <c r="AB4617" t="s">
        <v>54</v>
      </c>
      <c r="AE4617" t="s">
        <v>79</v>
      </c>
      <c r="AF4617">
        <v>20</v>
      </c>
      <c r="AG4617" s="1">
        <v>42186</v>
      </c>
      <c r="AH4617" s="1">
        <v>42186</v>
      </c>
      <c r="AI4617" s="1">
        <v>42186</v>
      </c>
      <c r="AJ4617" s="1">
        <v>49491</v>
      </c>
      <c r="AK4617" t="s">
        <v>51</v>
      </c>
      <c r="AN4617">
        <v>0</v>
      </c>
      <c r="AO4617" t="s">
        <v>54</v>
      </c>
      <c r="AP4617" t="s">
        <v>53</v>
      </c>
      <c r="AQ4617">
        <v>0</v>
      </c>
      <c r="AR4617" t="s">
        <v>145</v>
      </c>
      <c r="AS4617">
        <v>0</v>
      </c>
      <c r="AT4617">
        <v>0</v>
      </c>
      <c r="CC4617" t="s">
        <v>432</v>
      </c>
      <c r="CD4617">
        <v>85000</v>
      </c>
      <c r="CE4617" s="1">
        <v>42186</v>
      </c>
      <c r="CF4617" s="1">
        <v>42186</v>
      </c>
      <c r="CG4617" s="1">
        <v>42186</v>
      </c>
      <c r="CH4617" s="1">
        <v>49348</v>
      </c>
      <c r="CI4617" t="s">
        <v>51</v>
      </c>
      <c r="CK4617" t="s">
        <v>78</v>
      </c>
      <c r="CM4617" t="s">
        <v>54</v>
      </c>
      <c r="CN4617" t="s">
        <v>174</v>
      </c>
      <c r="CO4617" t="s">
        <v>86</v>
      </c>
      <c r="CR4617">
        <v>24</v>
      </c>
      <c r="CS4617">
        <v>0</v>
      </c>
      <c r="CT4617">
        <v>0</v>
      </c>
      <c r="CU4617">
        <v>0</v>
      </c>
    </row>
    <row r="4618" spans="1:112" x14ac:dyDescent="0.2">
      <c r="A4618" t="s">
        <v>367</v>
      </c>
      <c r="B4618" t="s">
        <v>368</v>
      </c>
      <c r="C4618" t="s">
        <v>369</v>
      </c>
      <c r="D4618" t="s">
        <v>1241</v>
      </c>
      <c r="F4618" t="str">
        <f>"254079"</f>
        <v>254079</v>
      </c>
      <c r="G4618" t="s">
        <v>49</v>
      </c>
      <c r="K4618" t="s">
        <v>51</v>
      </c>
      <c r="L4618" t="s">
        <v>52</v>
      </c>
      <c r="M4618">
        <v>138078.67000000001</v>
      </c>
      <c r="N4618">
        <v>468462.18</v>
      </c>
      <c r="O4618" t="s">
        <v>53</v>
      </c>
      <c r="P4618" t="s">
        <v>54</v>
      </c>
      <c r="Q4618" t="s">
        <v>55</v>
      </c>
      <c r="T4618" t="s">
        <v>246</v>
      </c>
      <c r="U4618">
        <v>40</v>
      </c>
      <c r="V4618" s="1">
        <v>44265</v>
      </c>
      <c r="W4618" s="1">
        <v>44265</v>
      </c>
      <c r="X4618" s="1">
        <v>44265</v>
      </c>
      <c r="Y4618" s="1">
        <v>58875</v>
      </c>
      <c r="Z4618" t="s">
        <v>51</v>
      </c>
      <c r="AB4618" t="s">
        <v>54</v>
      </c>
      <c r="AE4618" t="s">
        <v>1065</v>
      </c>
      <c r="AF4618">
        <v>20</v>
      </c>
      <c r="AG4618" s="1">
        <v>44265</v>
      </c>
      <c r="AH4618" s="1">
        <v>44265</v>
      </c>
      <c r="AI4618" s="1">
        <v>44265</v>
      </c>
      <c r="AJ4618" s="1">
        <v>51570</v>
      </c>
      <c r="AK4618" t="s">
        <v>51</v>
      </c>
      <c r="AN4618">
        <v>0</v>
      </c>
      <c r="AO4618" t="s">
        <v>54</v>
      </c>
      <c r="AP4618" t="s">
        <v>53</v>
      </c>
      <c r="AQ4618">
        <v>0</v>
      </c>
      <c r="AR4618" t="s">
        <v>53</v>
      </c>
      <c r="AS4618">
        <v>0</v>
      </c>
      <c r="AT4618">
        <v>0</v>
      </c>
      <c r="AW4618" t="s">
        <v>172</v>
      </c>
      <c r="AX4618">
        <v>15</v>
      </c>
      <c r="AY4618" s="1">
        <v>44265</v>
      </c>
      <c r="AZ4618" s="1">
        <v>44265</v>
      </c>
      <c r="BA4618" s="1">
        <v>44265</v>
      </c>
      <c r="BB4618" s="1">
        <v>49744</v>
      </c>
      <c r="BC4618" t="s">
        <v>51</v>
      </c>
      <c r="BE4618" t="s">
        <v>54</v>
      </c>
      <c r="BF4618">
        <v>40</v>
      </c>
      <c r="BG4618">
        <v>0</v>
      </c>
      <c r="BH4618" t="s">
        <v>145</v>
      </c>
      <c r="CC4618" t="s">
        <v>250</v>
      </c>
      <c r="CD4618">
        <v>100000</v>
      </c>
      <c r="CE4618" s="1">
        <v>44265</v>
      </c>
      <c r="CF4618" s="1">
        <v>44265</v>
      </c>
      <c r="CG4618" s="1">
        <v>44265</v>
      </c>
      <c r="CH4618" s="1">
        <v>53265</v>
      </c>
      <c r="CI4618" t="s">
        <v>51</v>
      </c>
      <c r="CK4618" t="s">
        <v>78</v>
      </c>
      <c r="CM4618" t="s">
        <v>54</v>
      </c>
      <c r="CN4618" t="s">
        <v>174</v>
      </c>
      <c r="CR4618">
        <v>13.2</v>
      </c>
      <c r="CS4618">
        <v>1800</v>
      </c>
      <c r="CT4618">
        <v>0</v>
      </c>
      <c r="CU4618">
        <v>16</v>
      </c>
    </row>
    <row r="4619" spans="1:112" x14ac:dyDescent="0.2">
      <c r="A4619" t="s">
        <v>367</v>
      </c>
      <c r="B4619" t="s">
        <v>368</v>
      </c>
      <c r="C4619" t="s">
        <v>369</v>
      </c>
      <c r="D4619" t="s">
        <v>1208</v>
      </c>
      <c r="F4619" t="str">
        <f>"254103"</f>
        <v>254103</v>
      </c>
      <c r="G4619" t="s">
        <v>49</v>
      </c>
      <c r="K4619" t="s">
        <v>51</v>
      </c>
      <c r="L4619" t="s">
        <v>52</v>
      </c>
      <c r="M4619">
        <v>138242.82</v>
      </c>
      <c r="N4619">
        <v>468117.14</v>
      </c>
      <c r="O4619" t="s">
        <v>53</v>
      </c>
      <c r="P4619" t="s">
        <v>54</v>
      </c>
      <c r="Q4619" t="s">
        <v>55</v>
      </c>
      <c r="T4619" t="s">
        <v>841</v>
      </c>
      <c r="U4619">
        <v>40</v>
      </c>
      <c r="V4619" s="1">
        <v>42552</v>
      </c>
      <c r="W4619" s="1">
        <v>42552</v>
      </c>
      <c r="X4619" s="1">
        <v>42552</v>
      </c>
      <c r="Y4619" s="1">
        <v>57162</v>
      </c>
      <c r="Z4619" t="s">
        <v>51</v>
      </c>
      <c r="AB4619" t="s">
        <v>54</v>
      </c>
      <c r="AE4619" t="s">
        <v>356</v>
      </c>
      <c r="AF4619">
        <v>20</v>
      </c>
      <c r="AG4619" s="1">
        <v>42552</v>
      </c>
      <c r="AH4619" s="1">
        <v>42552</v>
      </c>
      <c r="AI4619" s="1">
        <v>42552</v>
      </c>
      <c r="AJ4619" s="1">
        <v>49857</v>
      </c>
      <c r="AK4619" t="s">
        <v>51</v>
      </c>
      <c r="AN4619">
        <v>0</v>
      </c>
      <c r="AO4619" t="s">
        <v>54</v>
      </c>
      <c r="AP4619" t="s">
        <v>53</v>
      </c>
      <c r="AQ4619">
        <v>0</v>
      </c>
      <c r="AR4619" t="s">
        <v>145</v>
      </c>
      <c r="AS4619">
        <v>0</v>
      </c>
      <c r="AT4619">
        <v>0</v>
      </c>
      <c r="CC4619" t="s">
        <v>850</v>
      </c>
      <c r="CD4619">
        <v>1</v>
      </c>
      <c r="CE4619" s="1">
        <v>42552</v>
      </c>
      <c r="CF4619" s="1">
        <v>42552</v>
      </c>
      <c r="CG4619" s="1">
        <v>42552</v>
      </c>
      <c r="CH4619" s="1">
        <v>42552</v>
      </c>
      <c r="CI4619" t="s">
        <v>51</v>
      </c>
      <c r="CK4619" t="s">
        <v>78</v>
      </c>
      <c r="CM4619" t="s">
        <v>54</v>
      </c>
      <c r="CN4619" t="s">
        <v>174</v>
      </c>
      <c r="CO4619" t="s">
        <v>86</v>
      </c>
      <c r="CR4619">
        <v>18</v>
      </c>
      <c r="CS4619">
        <v>0</v>
      </c>
      <c r="CT4619">
        <v>0</v>
      </c>
      <c r="CU4619">
        <v>0</v>
      </c>
    </row>
    <row r="4620" spans="1:112" x14ac:dyDescent="0.2">
      <c r="A4620" t="s">
        <v>180</v>
      </c>
      <c r="B4620" t="s">
        <v>181</v>
      </c>
      <c r="C4620" t="s">
        <v>184</v>
      </c>
      <c r="D4620" t="s">
        <v>662</v>
      </c>
      <c r="F4620" t="str">
        <f>"254123"</f>
        <v>254123</v>
      </c>
      <c r="G4620" t="s">
        <v>49</v>
      </c>
      <c r="H4620" t="s">
        <v>2126</v>
      </c>
      <c r="K4620" t="s">
        <v>51</v>
      </c>
      <c r="L4620" t="s">
        <v>52</v>
      </c>
      <c r="M4620">
        <v>136046.76</v>
      </c>
      <c r="N4620">
        <v>472619.85</v>
      </c>
      <c r="O4620" t="s">
        <v>53</v>
      </c>
      <c r="P4620" t="s">
        <v>54</v>
      </c>
      <c r="Q4620" t="s">
        <v>55</v>
      </c>
      <c r="S4620" t="s">
        <v>1074</v>
      </c>
      <c r="T4620" t="s">
        <v>1074</v>
      </c>
      <c r="U4620">
        <v>30</v>
      </c>
      <c r="V4620" s="1">
        <v>31229</v>
      </c>
      <c r="W4620" s="1">
        <v>31229</v>
      </c>
      <c r="X4620" s="1">
        <v>31229</v>
      </c>
      <c r="Y4620" s="1">
        <v>42186</v>
      </c>
      <c r="Z4620" t="s">
        <v>51</v>
      </c>
      <c r="AB4620" t="s">
        <v>54</v>
      </c>
      <c r="AC4620">
        <v>1</v>
      </c>
      <c r="AE4620" t="s">
        <v>222</v>
      </c>
      <c r="AF4620">
        <v>20</v>
      </c>
      <c r="AG4620" s="1">
        <v>38169</v>
      </c>
      <c r="AH4620" s="1">
        <v>38169</v>
      </c>
      <c r="AI4620" s="1">
        <v>38169</v>
      </c>
      <c r="AK4620" t="s">
        <v>51</v>
      </c>
      <c r="AN4620">
        <v>0</v>
      </c>
      <c r="AO4620" t="s">
        <v>54</v>
      </c>
      <c r="AP4620" t="s">
        <v>53</v>
      </c>
      <c r="AQ4620">
        <v>0</v>
      </c>
      <c r="AR4620" t="s">
        <v>53</v>
      </c>
      <c r="AS4620">
        <v>0</v>
      </c>
      <c r="AT4620">
        <v>0</v>
      </c>
      <c r="CC4620" t="s">
        <v>432</v>
      </c>
      <c r="CD4620">
        <v>85000</v>
      </c>
      <c r="CE4620" s="1">
        <v>42552</v>
      </c>
      <c r="CF4620" s="1">
        <v>42552</v>
      </c>
      <c r="CG4620" s="1">
        <v>42552</v>
      </c>
      <c r="CI4620" t="s">
        <v>51</v>
      </c>
      <c r="CK4620" t="s">
        <v>78</v>
      </c>
      <c r="CM4620" t="s">
        <v>54</v>
      </c>
      <c r="CN4620" t="s">
        <v>174</v>
      </c>
      <c r="CO4620" t="s">
        <v>86</v>
      </c>
      <c r="CR4620">
        <v>24</v>
      </c>
      <c r="CS4620">
        <v>0</v>
      </c>
      <c r="CT4620">
        <v>0</v>
      </c>
      <c r="CU4620">
        <v>0</v>
      </c>
    </row>
    <row r="4621" spans="1:112" x14ac:dyDescent="0.2">
      <c r="A4621" t="s">
        <v>1012</v>
      </c>
      <c r="B4621" t="s">
        <v>1013</v>
      </c>
      <c r="C4621" t="s">
        <v>1052</v>
      </c>
      <c r="D4621" t="s">
        <v>1092</v>
      </c>
      <c r="F4621" t="str">
        <f>"252803"</f>
        <v>252803</v>
      </c>
      <c r="G4621" t="s">
        <v>49</v>
      </c>
      <c r="H4621" t="s">
        <v>2127</v>
      </c>
      <c r="K4621" t="s">
        <v>51</v>
      </c>
      <c r="L4621" t="s">
        <v>52</v>
      </c>
      <c r="M4621">
        <v>131855.12</v>
      </c>
      <c r="N4621">
        <v>474851.99</v>
      </c>
      <c r="O4621" t="s">
        <v>53</v>
      </c>
      <c r="P4621" t="s">
        <v>54</v>
      </c>
      <c r="Q4621" t="s">
        <v>55</v>
      </c>
      <c r="T4621" t="s">
        <v>81</v>
      </c>
      <c r="U4621">
        <v>40</v>
      </c>
      <c r="V4621" s="1">
        <v>43346</v>
      </c>
      <c r="W4621" s="1">
        <v>43346</v>
      </c>
      <c r="X4621" s="1">
        <v>43346</v>
      </c>
      <c r="Y4621" s="1">
        <v>57956</v>
      </c>
      <c r="Z4621" t="s">
        <v>51</v>
      </c>
      <c r="AB4621" t="s">
        <v>54</v>
      </c>
      <c r="AE4621" t="s">
        <v>64</v>
      </c>
      <c r="AF4621">
        <v>20</v>
      </c>
      <c r="AG4621" s="1">
        <v>43346</v>
      </c>
      <c r="AH4621" s="1">
        <v>43346</v>
      </c>
      <c r="AI4621" s="1">
        <v>43346</v>
      </c>
      <c r="AJ4621" s="1">
        <v>50651</v>
      </c>
      <c r="AK4621" t="s">
        <v>51</v>
      </c>
      <c r="AN4621">
        <v>0</v>
      </c>
      <c r="AO4621" t="s">
        <v>54</v>
      </c>
      <c r="AP4621" t="s">
        <v>53</v>
      </c>
      <c r="AQ4621">
        <v>0</v>
      </c>
      <c r="AR4621" t="s">
        <v>53</v>
      </c>
      <c r="AS4621">
        <v>0</v>
      </c>
      <c r="AT4621">
        <v>0</v>
      </c>
      <c r="AW4621" t="s">
        <v>58</v>
      </c>
      <c r="AX4621">
        <v>20</v>
      </c>
      <c r="AY4621" s="1">
        <v>43346</v>
      </c>
      <c r="AZ4621" s="1">
        <v>43346</v>
      </c>
      <c r="BA4621" s="1">
        <v>43346</v>
      </c>
      <c r="BB4621" s="1">
        <v>50651</v>
      </c>
      <c r="BC4621" t="s">
        <v>51</v>
      </c>
      <c r="BE4621" t="s">
        <v>54</v>
      </c>
      <c r="BF4621">
        <v>2</v>
      </c>
      <c r="BG4621">
        <v>0</v>
      </c>
      <c r="BH4621" t="s">
        <v>53</v>
      </c>
      <c r="BK4621" t="s">
        <v>65</v>
      </c>
      <c r="BL4621">
        <v>14000</v>
      </c>
      <c r="BM4621" s="1">
        <v>43346</v>
      </c>
      <c r="BN4621" s="1">
        <v>43346</v>
      </c>
      <c r="BO4621" s="1">
        <v>43346</v>
      </c>
      <c r="BP4621" s="1">
        <v>44518</v>
      </c>
      <c r="BQ4621" t="s">
        <v>51</v>
      </c>
      <c r="BS4621" t="s">
        <v>60</v>
      </c>
      <c r="BT4621" t="s">
        <v>54</v>
      </c>
      <c r="BU4621" t="s">
        <v>61</v>
      </c>
      <c r="BV4621" t="s">
        <v>62</v>
      </c>
      <c r="BX4621">
        <v>36</v>
      </c>
      <c r="BY4621">
        <v>0</v>
      </c>
      <c r="BZ4621">
        <v>0</v>
      </c>
      <c r="CX4621" t="s">
        <v>674</v>
      </c>
      <c r="CY4621">
        <v>0</v>
      </c>
      <c r="CZ4621" s="1">
        <v>36772</v>
      </c>
      <c r="DA4621" s="1">
        <v>36772</v>
      </c>
      <c r="DB4621" s="1">
        <v>36772</v>
      </c>
      <c r="DC4621" s="1">
        <v>36772</v>
      </c>
      <c r="DD4621" t="s">
        <v>51</v>
      </c>
      <c r="DF4621" t="s">
        <v>54</v>
      </c>
      <c r="DG4621">
        <v>0</v>
      </c>
      <c r="DH4621">
        <v>0</v>
      </c>
    </row>
    <row r="4622" spans="1:112" x14ac:dyDescent="0.2">
      <c r="A4622" t="s">
        <v>1012</v>
      </c>
      <c r="B4622" t="s">
        <v>1013</v>
      </c>
      <c r="C4622" t="s">
        <v>1052</v>
      </c>
      <c r="D4622" t="s">
        <v>1092</v>
      </c>
      <c r="F4622" t="str">
        <f>"251992"</f>
        <v>251992</v>
      </c>
      <c r="G4622" t="s">
        <v>49</v>
      </c>
      <c r="H4622" t="s">
        <v>2128</v>
      </c>
      <c r="K4622" t="s">
        <v>51</v>
      </c>
      <c r="L4622" t="s">
        <v>52</v>
      </c>
      <c r="M4622">
        <v>131760.28</v>
      </c>
      <c r="N4622">
        <v>474934.09</v>
      </c>
      <c r="O4622" t="s">
        <v>53</v>
      </c>
      <c r="P4622" t="s">
        <v>54</v>
      </c>
      <c r="Q4622" t="s">
        <v>55</v>
      </c>
      <c r="T4622" t="s">
        <v>81</v>
      </c>
      <c r="U4622">
        <v>40</v>
      </c>
      <c r="V4622" s="1">
        <v>36770</v>
      </c>
      <c r="W4622" s="1">
        <v>36770</v>
      </c>
      <c r="X4622" s="1">
        <v>36770</v>
      </c>
      <c r="Y4622" s="1">
        <v>51380</v>
      </c>
      <c r="Z4622" t="s">
        <v>51</v>
      </c>
      <c r="AB4622" t="s">
        <v>54</v>
      </c>
      <c r="AE4622" t="s">
        <v>613</v>
      </c>
      <c r="AF4622">
        <v>20</v>
      </c>
      <c r="AG4622" s="1">
        <v>36770</v>
      </c>
      <c r="AH4622" s="1">
        <v>36770</v>
      </c>
      <c r="AI4622" s="1">
        <v>36770</v>
      </c>
      <c r="AJ4622" s="1">
        <v>44075</v>
      </c>
      <c r="AK4622" t="s">
        <v>51</v>
      </c>
      <c r="AN4622">
        <v>6</v>
      </c>
      <c r="AO4622" t="s">
        <v>54</v>
      </c>
      <c r="AP4622" t="s">
        <v>53</v>
      </c>
      <c r="AQ4622">
        <v>0</v>
      </c>
      <c r="AR4622" t="s">
        <v>53</v>
      </c>
      <c r="AS4622">
        <v>0</v>
      </c>
      <c r="AT4622">
        <v>0</v>
      </c>
      <c r="AW4622" t="s">
        <v>161</v>
      </c>
      <c r="AX4622">
        <v>50</v>
      </c>
      <c r="AY4622" s="1">
        <v>36770</v>
      </c>
      <c r="AZ4622" s="1">
        <v>36770</v>
      </c>
      <c r="BA4622" s="1">
        <v>36770</v>
      </c>
      <c r="BB4622" s="1">
        <v>55032</v>
      </c>
      <c r="BC4622" t="s">
        <v>51</v>
      </c>
      <c r="BE4622" t="s">
        <v>54</v>
      </c>
      <c r="BF4622">
        <v>0</v>
      </c>
      <c r="BG4622">
        <v>0</v>
      </c>
      <c r="BH4622" t="s">
        <v>53</v>
      </c>
      <c r="BK4622" t="s">
        <v>59</v>
      </c>
      <c r="BL4622">
        <v>14000</v>
      </c>
      <c r="BM4622" s="1">
        <v>44508</v>
      </c>
      <c r="BN4622" s="1">
        <v>44508</v>
      </c>
      <c r="BO4622" s="1">
        <v>44508</v>
      </c>
      <c r="BP4622" s="1">
        <v>45667</v>
      </c>
      <c r="BQ4622" t="s">
        <v>51</v>
      </c>
      <c r="BS4622" t="s">
        <v>60</v>
      </c>
      <c r="BT4622" t="s">
        <v>54</v>
      </c>
      <c r="BU4622" t="s">
        <v>61</v>
      </c>
      <c r="BV4622" t="s">
        <v>62</v>
      </c>
      <c r="BX4622">
        <v>24</v>
      </c>
      <c r="BY4622">
        <v>0</v>
      </c>
      <c r="BZ4622">
        <v>0</v>
      </c>
      <c r="CX4622" t="s">
        <v>674</v>
      </c>
      <c r="CY4622">
        <v>0</v>
      </c>
      <c r="CZ4622" s="1">
        <v>36770</v>
      </c>
      <c r="DA4622" s="1">
        <v>36770</v>
      </c>
      <c r="DB4622" s="1">
        <v>36770</v>
      </c>
      <c r="DC4622" s="1">
        <v>36770</v>
      </c>
      <c r="DD4622" t="s">
        <v>51</v>
      </c>
      <c r="DF4622" t="s">
        <v>54</v>
      </c>
      <c r="DG4622">
        <v>0</v>
      </c>
      <c r="DH4622">
        <v>0</v>
      </c>
    </row>
    <row r="4623" spans="1:112" x14ac:dyDescent="0.2">
      <c r="A4623" t="s">
        <v>1012</v>
      </c>
      <c r="B4623" t="s">
        <v>1013</v>
      </c>
      <c r="C4623" t="s">
        <v>1052</v>
      </c>
      <c r="D4623" t="s">
        <v>1092</v>
      </c>
      <c r="F4623" t="str">
        <f>"???254"</f>
        <v>???254</v>
      </c>
      <c r="G4623" t="s">
        <v>49</v>
      </c>
      <c r="H4623" t="s">
        <v>2128</v>
      </c>
      <c r="K4623" t="s">
        <v>51</v>
      </c>
      <c r="L4623" t="s">
        <v>52</v>
      </c>
      <c r="M4623">
        <v>131733.1</v>
      </c>
      <c r="N4623">
        <v>474931.28</v>
      </c>
      <c r="O4623" t="s">
        <v>53</v>
      </c>
      <c r="P4623" t="s">
        <v>54</v>
      </c>
      <c r="Q4623" t="s">
        <v>55</v>
      </c>
      <c r="T4623" t="s">
        <v>81</v>
      </c>
      <c r="U4623">
        <v>40</v>
      </c>
      <c r="V4623" s="1">
        <v>36770</v>
      </c>
      <c r="W4623" s="1">
        <v>36770</v>
      </c>
      <c r="X4623" s="1">
        <v>36770</v>
      </c>
      <c r="Y4623" s="1">
        <v>51380</v>
      </c>
      <c r="Z4623" t="s">
        <v>51</v>
      </c>
      <c r="AB4623" t="s">
        <v>54</v>
      </c>
      <c r="AE4623" t="s">
        <v>613</v>
      </c>
      <c r="AF4623">
        <v>20</v>
      </c>
      <c r="AG4623" s="1">
        <v>36770</v>
      </c>
      <c r="AH4623" s="1">
        <v>36770</v>
      </c>
      <c r="AI4623" s="1">
        <v>36770</v>
      </c>
      <c r="AJ4623" s="1">
        <v>44075</v>
      </c>
      <c r="AK4623" t="s">
        <v>51</v>
      </c>
      <c r="AN4623">
        <v>6</v>
      </c>
      <c r="AO4623" t="s">
        <v>54</v>
      </c>
      <c r="AP4623" t="s">
        <v>53</v>
      </c>
      <c r="AQ4623">
        <v>0</v>
      </c>
      <c r="AR4623" t="s">
        <v>53</v>
      </c>
      <c r="AS4623">
        <v>0</v>
      </c>
      <c r="AT4623">
        <v>0</v>
      </c>
      <c r="AW4623" t="s">
        <v>333</v>
      </c>
      <c r="AX4623">
        <v>0</v>
      </c>
      <c r="AY4623" s="1">
        <v>36770</v>
      </c>
      <c r="AZ4623" s="1">
        <v>36770</v>
      </c>
      <c r="BA4623" s="1">
        <v>36770</v>
      </c>
      <c r="BB4623" s="1">
        <v>36770</v>
      </c>
      <c r="BC4623" t="s">
        <v>51</v>
      </c>
      <c r="BE4623" t="s">
        <v>54</v>
      </c>
      <c r="BF4623">
        <v>0</v>
      </c>
      <c r="BG4623">
        <v>0</v>
      </c>
      <c r="BH4623" t="s">
        <v>53</v>
      </c>
      <c r="BK4623" t="s">
        <v>59</v>
      </c>
      <c r="BL4623">
        <v>14000</v>
      </c>
      <c r="BM4623" s="1">
        <v>36770</v>
      </c>
      <c r="BN4623" s="1">
        <v>36770</v>
      </c>
      <c r="BO4623" s="1">
        <v>36770</v>
      </c>
      <c r="BP4623" s="1">
        <v>37942</v>
      </c>
      <c r="BQ4623" t="s">
        <v>51</v>
      </c>
      <c r="BS4623" t="s">
        <v>60</v>
      </c>
      <c r="BT4623" t="s">
        <v>54</v>
      </c>
      <c r="BU4623" t="s">
        <v>61</v>
      </c>
      <c r="BV4623" t="s">
        <v>62</v>
      </c>
      <c r="BX4623">
        <v>24</v>
      </c>
      <c r="BY4623">
        <v>0</v>
      </c>
      <c r="BZ4623">
        <v>0</v>
      </c>
      <c r="CX4623" t="s">
        <v>674</v>
      </c>
      <c r="CY4623">
        <v>0</v>
      </c>
      <c r="CZ4623" s="1">
        <v>36770</v>
      </c>
      <c r="DA4623" s="1">
        <v>36770</v>
      </c>
      <c r="DB4623" s="1">
        <v>36770</v>
      </c>
      <c r="DC4623" s="1">
        <v>36770</v>
      </c>
      <c r="DD4623" t="s">
        <v>51</v>
      </c>
      <c r="DF4623" t="s">
        <v>54</v>
      </c>
      <c r="DG4623">
        <v>0</v>
      </c>
      <c r="DH4623">
        <v>0</v>
      </c>
    </row>
    <row r="4624" spans="1:112" x14ac:dyDescent="0.2">
      <c r="A4624" t="s">
        <v>1012</v>
      </c>
      <c r="B4624" t="s">
        <v>1013</v>
      </c>
      <c r="C4624" t="s">
        <v>1014</v>
      </c>
      <c r="D4624" t="s">
        <v>1108</v>
      </c>
      <c r="F4624" t="str">
        <f>"253376"</f>
        <v>253376</v>
      </c>
      <c r="G4624" t="s">
        <v>49</v>
      </c>
      <c r="K4624" t="s">
        <v>51</v>
      </c>
      <c r="L4624" t="s">
        <v>52</v>
      </c>
      <c r="M4624">
        <v>131649.76999999999</v>
      </c>
      <c r="N4624">
        <v>475217.14</v>
      </c>
      <c r="O4624" t="s">
        <v>53</v>
      </c>
      <c r="P4624" t="s">
        <v>54</v>
      </c>
      <c r="Q4624" t="s">
        <v>55</v>
      </c>
      <c r="T4624" t="s">
        <v>81</v>
      </c>
      <c r="U4624">
        <v>40</v>
      </c>
      <c r="V4624" s="1">
        <v>43346</v>
      </c>
      <c r="W4624" s="1">
        <v>43346</v>
      </c>
      <c r="X4624" s="1">
        <v>43346</v>
      </c>
      <c r="Y4624" s="1">
        <v>57956</v>
      </c>
      <c r="Z4624" t="s">
        <v>51</v>
      </c>
      <c r="AB4624" t="s">
        <v>54</v>
      </c>
      <c r="AE4624" t="s">
        <v>57</v>
      </c>
      <c r="AF4624">
        <v>20</v>
      </c>
      <c r="AG4624" s="1">
        <v>43346</v>
      </c>
      <c r="AH4624" s="1">
        <v>43346</v>
      </c>
      <c r="AI4624" s="1">
        <v>43346</v>
      </c>
      <c r="AJ4624" s="1">
        <v>50651</v>
      </c>
      <c r="AK4624" t="s">
        <v>51</v>
      </c>
      <c r="AN4624">
        <v>6</v>
      </c>
      <c r="AO4624" t="s">
        <v>54</v>
      </c>
      <c r="AP4624" t="s">
        <v>53</v>
      </c>
      <c r="AQ4624">
        <v>0</v>
      </c>
      <c r="AR4624" t="s">
        <v>53</v>
      </c>
      <c r="AS4624">
        <v>0</v>
      </c>
      <c r="AT4624">
        <v>0</v>
      </c>
      <c r="AW4624" t="s">
        <v>58</v>
      </c>
      <c r="AX4624">
        <v>20</v>
      </c>
      <c r="AY4624" s="1">
        <v>43346</v>
      </c>
      <c r="AZ4624" s="1">
        <v>43346</v>
      </c>
      <c r="BA4624" s="1">
        <v>43346</v>
      </c>
      <c r="BB4624" s="1">
        <v>50651</v>
      </c>
      <c r="BC4624" t="s">
        <v>51</v>
      </c>
      <c r="BE4624" t="s">
        <v>54</v>
      </c>
      <c r="BF4624">
        <v>2</v>
      </c>
      <c r="BG4624">
        <v>0</v>
      </c>
      <c r="BH4624" t="s">
        <v>53</v>
      </c>
      <c r="BK4624" t="s">
        <v>59</v>
      </c>
      <c r="BL4624">
        <v>14000</v>
      </c>
      <c r="BM4624" s="1">
        <v>43346</v>
      </c>
      <c r="BN4624" s="1">
        <v>43346</v>
      </c>
      <c r="BO4624" s="1">
        <v>43346</v>
      </c>
      <c r="BP4624" s="1">
        <v>44518</v>
      </c>
      <c r="BQ4624" t="s">
        <v>51</v>
      </c>
      <c r="BS4624" t="s">
        <v>60</v>
      </c>
      <c r="BT4624" t="s">
        <v>54</v>
      </c>
      <c r="BU4624" t="s">
        <v>61</v>
      </c>
      <c r="BV4624" t="s">
        <v>62</v>
      </c>
      <c r="BX4624">
        <v>24</v>
      </c>
      <c r="BY4624">
        <v>0</v>
      </c>
      <c r="BZ4624">
        <v>0</v>
      </c>
      <c r="CX4624" t="s">
        <v>360</v>
      </c>
      <c r="CY4624">
        <v>40</v>
      </c>
      <c r="CZ4624" s="1">
        <v>43346</v>
      </c>
      <c r="DA4624" s="1">
        <v>43346</v>
      </c>
      <c r="DB4624" s="1">
        <v>43346</v>
      </c>
      <c r="DC4624" s="1">
        <v>57956</v>
      </c>
      <c r="DD4624" t="s">
        <v>51</v>
      </c>
      <c r="DF4624" t="s">
        <v>54</v>
      </c>
      <c r="DG4624">
        <v>0</v>
      </c>
      <c r="DH4624">
        <v>0</v>
      </c>
    </row>
    <row r="4625" spans="1:112" x14ac:dyDescent="0.2">
      <c r="A4625" t="s">
        <v>1012</v>
      </c>
      <c r="B4625" t="s">
        <v>1013</v>
      </c>
      <c r="C4625" t="s">
        <v>1014</v>
      </c>
      <c r="D4625" t="s">
        <v>1109</v>
      </c>
      <c r="F4625" t="str">
        <f>"254477"</f>
        <v>254477</v>
      </c>
      <c r="G4625" t="s">
        <v>49</v>
      </c>
      <c r="H4625" t="s">
        <v>2129</v>
      </c>
      <c r="K4625" t="s">
        <v>51</v>
      </c>
      <c r="L4625" t="s">
        <v>52</v>
      </c>
      <c r="M4625">
        <v>131691.39000000001</v>
      </c>
      <c r="N4625">
        <v>475588.48</v>
      </c>
      <c r="O4625" t="s">
        <v>53</v>
      </c>
      <c r="P4625" t="s">
        <v>54</v>
      </c>
      <c r="Q4625" t="s">
        <v>55</v>
      </c>
      <c r="T4625" t="s">
        <v>170</v>
      </c>
      <c r="U4625">
        <v>40</v>
      </c>
      <c r="V4625" s="1">
        <v>44440</v>
      </c>
      <c r="W4625" s="1">
        <v>44441</v>
      </c>
      <c r="X4625" s="1">
        <v>44441</v>
      </c>
      <c r="Y4625" s="1">
        <v>59051</v>
      </c>
      <c r="Z4625" t="s">
        <v>51</v>
      </c>
      <c r="AB4625" t="s">
        <v>54</v>
      </c>
      <c r="AE4625" t="s">
        <v>356</v>
      </c>
      <c r="AF4625">
        <v>20</v>
      </c>
      <c r="AG4625" s="1">
        <v>44440</v>
      </c>
      <c r="AH4625" s="1">
        <v>44440</v>
      </c>
      <c r="AI4625" s="1">
        <v>44441</v>
      </c>
      <c r="AJ4625" s="1">
        <v>51745</v>
      </c>
      <c r="AK4625" t="s">
        <v>51</v>
      </c>
      <c r="AN4625">
        <v>6</v>
      </c>
      <c r="AO4625" t="s">
        <v>54</v>
      </c>
      <c r="AP4625" t="s">
        <v>53</v>
      </c>
      <c r="AQ4625">
        <v>0</v>
      </c>
      <c r="AR4625" t="s">
        <v>145</v>
      </c>
      <c r="AS4625">
        <v>0</v>
      </c>
      <c r="AT4625">
        <v>0</v>
      </c>
      <c r="CC4625" t="s">
        <v>250</v>
      </c>
      <c r="CD4625">
        <v>100000</v>
      </c>
      <c r="CE4625" s="1">
        <v>44440</v>
      </c>
      <c r="CF4625" s="1">
        <v>44441</v>
      </c>
      <c r="CG4625" s="1">
        <v>44441</v>
      </c>
      <c r="CH4625" s="1">
        <v>52892</v>
      </c>
      <c r="CI4625" t="s">
        <v>51</v>
      </c>
      <c r="CK4625" t="s">
        <v>78</v>
      </c>
      <c r="CM4625" t="s">
        <v>54</v>
      </c>
      <c r="CN4625" t="s">
        <v>174</v>
      </c>
      <c r="CR4625">
        <v>13.2</v>
      </c>
      <c r="CS4625">
        <v>1800</v>
      </c>
      <c r="CT4625">
        <v>0</v>
      </c>
      <c r="CU4625">
        <v>16</v>
      </c>
      <c r="CX4625" t="s">
        <v>360</v>
      </c>
      <c r="CY4625">
        <v>40</v>
      </c>
      <c r="CZ4625" s="1">
        <v>42248</v>
      </c>
      <c r="DA4625" s="1">
        <v>42248</v>
      </c>
      <c r="DB4625" s="1">
        <v>42248</v>
      </c>
      <c r="DC4625" s="1">
        <v>56858</v>
      </c>
      <c r="DD4625" t="s">
        <v>51</v>
      </c>
      <c r="DF4625" t="s">
        <v>54</v>
      </c>
      <c r="DG4625">
        <v>0</v>
      </c>
      <c r="DH4625">
        <v>0</v>
      </c>
    </row>
    <row r="4626" spans="1:112" x14ac:dyDescent="0.2">
      <c r="A4626" t="s">
        <v>1012</v>
      </c>
      <c r="B4626" t="s">
        <v>1013</v>
      </c>
      <c r="C4626" t="s">
        <v>1052</v>
      </c>
      <c r="D4626" t="s">
        <v>1090</v>
      </c>
      <c r="F4626" t="str">
        <f>"251964"</f>
        <v>251964</v>
      </c>
      <c r="G4626" t="s">
        <v>49</v>
      </c>
      <c r="K4626" t="s">
        <v>51</v>
      </c>
      <c r="L4626" t="s">
        <v>52</v>
      </c>
      <c r="M4626">
        <v>131729.15</v>
      </c>
      <c r="N4626">
        <v>474679.75</v>
      </c>
      <c r="O4626" t="s">
        <v>53</v>
      </c>
      <c r="P4626" t="s">
        <v>54</v>
      </c>
      <c r="Q4626" t="s">
        <v>55</v>
      </c>
      <c r="T4626" t="s">
        <v>100</v>
      </c>
      <c r="U4626">
        <v>40</v>
      </c>
      <c r="V4626" s="1">
        <v>40422</v>
      </c>
      <c r="W4626" s="1">
        <v>40422</v>
      </c>
      <c r="X4626" s="1">
        <v>40422</v>
      </c>
      <c r="Y4626" s="1">
        <v>55032</v>
      </c>
      <c r="Z4626" t="s">
        <v>51</v>
      </c>
      <c r="AB4626" t="s">
        <v>54</v>
      </c>
      <c r="AE4626" t="s">
        <v>819</v>
      </c>
      <c r="AF4626">
        <v>20</v>
      </c>
      <c r="AG4626" s="1">
        <v>40422</v>
      </c>
      <c r="AH4626" s="1">
        <v>40422</v>
      </c>
      <c r="AI4626" s="1">
        <v>40422</v>
      </c>
      <c r="AJ4626" s="1">
        <v>47727</v>
      </c>
      <c r="AK4626" t="s">
        <v>51</v>
      </c>
      <c r="AN4626">
        <v>0</v>
      </c>
      <c r="AO4626" t="s">
        <v>54</v>
      </c>
      <c r="AP4626" t="s">
        <v>53</v>
      </c>
      <c r="AQ4626">
        <v>0</v>
      </c>
      <c r="AR4626" t="s">
        <v>53</v>
      </c>
      <c r="AS4626">
        <v>0</v>
      </c>
      <c r="AT4626">
        <v>0</v>
      </c>
      <c r="AW4626" t="s">
        <v>161</v>
      </c>
      <c r="AX4626">
        <v>50</v>
      </c>
      <c r="AY4626" s="1">
        <v>40422</v>
      </c>
      <c r="AZ4626" s="1">
        <v>40422</v>
      </c>
      <c r="BA4626" s="1">
        <v>40422</v>
      </c>
      <c r="BB4626" s="1">
        <v>58685</v>
      </c>
      <c r="BC4626" t="s">
        <v>51</v>
      </c>
      <c r="BE4626" t="s">
        <v>54</v>
      </c>
      <c r="BF4626">
        <v>0</v>
      </c>
      <c r="BG4626">
        <v>0</v>
      </c>
      <c r="BH4626" t="s">
        <v>53</v>
      </c>
      <c r="BK4626" t="s">
        <v>720</v>
      </c>
      <c r="BL4626">
        <v>17000</v>
      </c>
      <c r="BM4626" s="1">
        <v>40422</v>
      </c>
      <c r="BN4626" s="1">
        <v>40422</v>
      </c>
      <c r="BO4626" s="1">
        <v>40422</v>
      </c>
      <c r="BP4626" s="1">
        <v>41851</v>
      </c>
      <c r="BQ4626" t="s">
        <v>51</v>
      </c>
      <c r="BS4626" t="s">
        <v>60</v>
      </c>
      <c r="BT4626" t="s">
        <v>54</v>
      </c>
      <c r="BU4626" t="s">
        <v>721</v>
      </c>
      <c r="BV4626" t="s">
        <v>722</v>
      </c>
      <c r="BX4626">
        <v>18</v>
      </c>
      <c r="BY4626">
        <v>0</v>
      </c>
      <c r="BZ4626">
        <v>0</v>
      </c>
      <c r="CX4626" t="s">
        <v>674</v>
      </c>
      <c r="CY4626">
        <v>0</v>
      </c>
      <c r="CZ4626" s="1">
        <v>40422</v>
      </c>
      <c r="DA4626" s="1">
        <v>40422</v>
      </c>
      <c r="DB4626" s="1">
        <v>40422</v>
      </c>
      <c r="DC4626" s="1">
        <v>40422</v>
      </c>
      <c r="DD4626" t="s">
        <v>51</v>
      </c>
      <c r="DF4626" t="s">
        <v>54</v>
      </c>
      <c r="DG4626">
        <v>0</v>
      </c>
      <c r="DH4626">
        <v>0</v>
      </c>
    </row>
    <row r="4627" spans="1:112" x14ac:dyDescent="0.2">
      <c r="A4627" t="s">
        <v>180</v>
      </c>
      <c r="B4627" t="s">
        <v>181</v>
      </c>
      <c r="C4627" t="s">
        <v>184</v>
      </c>
      <c r="D4627" t="s">
        <v>780</v>
      </c>
      <c r="F4627" t="str">
        <f>"hans ??"</f>
        <v>hans ??</v>
      </c>
      <c r="G4627" t="s">
        <v>49</v>
      </c>
      <c r="H4627" t="s">
        <v>2130</v>
      </c>
      <c r="K4627" t="s">
        <v>51</v>
      </c>
      <c r="L4627" t="s">
        <v>52</v>
      </c>
      <c r="M4627">
        <v>136394.4</v>
      </c>
      <c r="N4627">
        <v>472117.66</v>
      </c>
      <c r="O4627" t="s">
        <v>53</v>
      </c>
      <c r="P4627" t="s">
        <v>54</v>
      </c>
      <c r="Q4627" t="s">
        <v>55</v>
      </c>
      <c r="T4627" t="s">
        <v>246</v>
      </c>
      <c r="U4627">
        <v>40</v>
      </c>
      <c r="V4627" s="1">
        <v>34151</v>
      </c>
      <c r="W4627" s="1">
        <v>34151</v>
      </c>
      <c r="X4627" s="1">
        <v>34151</v>
      </c>
      <c r="Y4627" s="1">
        <v>48761</v>
      </c>
      <c r="Z4627" t="s">
        <v>51</v>
      </c>
      <c r="AB4627" t="s">
        <v>54</v>
      </c>
      <c r="AE4627" t="s">
        <v>1065</v>
      </c>
      <c r="AF4627">
        <v>20</v>
      </c>
      <c r="AG4627" s="1">
        <v>34151</v>
      </c>
      <c r="AH4627" s="1">
        <v>34151</v>
      </c>
      <c r="AI4627" s="1">
        <v>34151</v>
      </c>
      <c r="AJ4627" s="1">
        <v>41456</v>
      </c>
      <c r="AK4627" t="s">
        <v>51</v>
      </c>
      <c r="AN4627">
        <v>0</v>
      </c>
      <c r="AO4627" t="s">
        <v>54</v>
      </c>
      <c r="AP4627" t="s">
        <v>53</v>
      </c>
      <c r="AQ4627">
        <v>0</v>
      </c>
      <c r="AR4627" t="s">
        <v>53</v>
      </c>
      <c r="AS4627">
        <v>0</v>
      </c>
      <c r="AT4627">
        <v>0</v>
      </c>
      <c r="AW4627" t="s">
        <v>172</v>
      </c>
      <c r="AX4627">
        <v>15</v>
      </c>
      <c r="AY4627" s="1">
        <v>34151</v>
      </c>
      <c r="AZ4627" s="1">
        <v>34151</v>
      </c>
      <c r="BA4627" s="1">
        <v>34151</v>
      </c>
      <c r="BB4627" s="1">
        <v>39630</v>
      </c>
      <c r="BC4627" t="s">
        <v>51</v>
      </c>
      <c r="BE4627" t="s">
        <v>54</v>
      </c>
      <c r="BF4627">
        <v>40</v>
      </c>
      <c r="BG4627">
        <v>0</v>
      </c>
      <c r="BH4627" t="s">
        <v>145</v>
      </c>
      <c r="CC4627" t="s">
        <v>250</v>
      </c>
      <c r="CD4627">
        <v>100000</v>
      </c>
      <c r="CE4627" s="1">
        <v>34151</v>
      </c>
      <c r="CF4627" s="1">
        <v>34151</v>
      </c>
      <c r="CG4627" s="1">
        <v>34151</v>
      </c>
      <c r="CH4627" s="1">
        <v>43100</v>
      </c>
      <c r="CI4627" t="s">
        <v>51</v>
      </c>
      <c r="CK4627" t="s">
        <v>78</v>
      </c>
      <c r="CM4627" t="s">
        <v>54</v>
      </c>
      <c r="CN4627" t="s">
        <v>174</v>
      </c>
      <c r="CR4627">
        <v>13.2</v>
      </c>
      <c r="CS4627">
        <v>1800</v>
      </c>
      <c r="CT4627">
        <v>0</v>
      </c>
      <c r="CU4627">
        <v>16</v>
      </c>
    </row>
    <row r="4628" spans="1:112" x14ac:dyDescent="0.2">
      <c r="A4628" t="s">
        <v>1012</v>
      </c>
      <c r="B4628" t="s">
        <v>1013</v>
      </c>
      <c r="C4628" t="s">
        <v>1019</v>
      </c>
      <c r="D4628" t="s">
        <v>2131</v>
      </c>
      <c r="F4628" t="str">
        <f>"254172"</f>
        <v>254172</v>
      </c>
      <c r="G4628" t="s">
        <v>49</v>
      </c>
      <c r="H4628" t="s">
        <v>2132</v>
      </c>
      <c r="I4628" t="s">
        <v>2131</v>
      </c>
      <c r="K4628" t="s">
        <v>51</v>
      </c>
      <c r="L4628" t="s">
        <v>52</v>
      </c>
      <c r="M4628">
        <v>131873.91</v>
      </c>
      <c r="N4628">
        <v>473656.45</v>
      </c>
      <c r="O4628" t="s">
        <v>53</v>
      </c>
      <c r="P4628" t="s">
        <v>54</v>
      </c>
      <c r="Q4628" t="s">
        <v>55</v>
      </c>
      <c r="T4628" t="s">
        <v>246</v>
      </c>
      <c r="U4628">
        <v>40</v>
      </c>
      <c r="V4628" s="1">
        <v>44341</v>
      </c>
      <c r="W4628" s="1">
        <v>44341</v>
      </c>
      <c r="X4628" s="1">
        <v>44341</v>
      </c>
      <c r="Y4628" s="1">
        <v>58951</v>
      </c>
      <c r="Z4628" t="s">
        <v>51</v>
      </c>
      <c r="AB4628" t="s">
        <v>54</v>
      </c>
      <c r="AE4628" t="s">
        <v>1065</v>
      </c>
      <c r="AF4628">
        <v>20</v>
      </c>
      <c r="AG4628" s="1">
        <v>44341</v>
      </c>
      <c r="AH4628" s="1">
        <v>44341</v>
      </c>
      <c r="AI4628" s="1">
        <v>44341</v>
      </c>
      <c r="AJ4628" s="1">
        <v>51646</v>
      </c>
      <c r="AK4628" t="s">
        <v>51</v>
      </c>
      <c r="AN4628">
        <v>0</v>
      </c>
      <c r="AO4628" t="s">
        <v>54</v>
      </c>
      <c r="AP4628" t="s">
        <v>53</v>
      </c>
      <c r="AQ4628">
        <v>0</v>
      </c>
      <c r="AR4628" t="s">
        <v>53</v>
      </c>
      <c r="AS4628">
        <v>0</v>
      </c>
      <c r="AT4628">
        <v>0</v>
      </c>
      <c r="AW4628" t="s">
        <v>172</v>
      </c>
      <c r="AX4628">
        <v>15</v>
      </c>
      <c r="AY4628" s="1">
        <v>44341</v>
      </c>
      <c r="AZ4628" s="1">
        <v>44341</v>
      </c>
      <c r="BA4628" s="1">
        <v>44341</v>
      </c>
      <c r="BB4628" s="1">
        <v>49820</v>
      </c>
      <c r="BC4628" t="s">
        <v>51</v>
      </c>
      <c r="BE4628" t="s">
        <v>54</v>
      </c>
      <c r="BF4628">
        <v>40</v>
      </c>
      <c r="BG4628">
        <v>0</v>
      </c>
      <c r="BH4628" t="s">
        <v>145</v>
      </c>
      <c r="CC4628" t="s">
        <v>250</v>
      </c>
      <c r="CD4628">
        <v>100000</v>
      </c>
      <c r="CE4628" s="1">
        <v>44341</v>
      </c>
      <c r="CF4628" s="1">
        <v>44341</v>
      </c>
      <c r="CG4628" s="1">
        <v>44341</v>
      </c>
      <c r="CH4628" s="1">
        <v>53310</v>
      </c>
      <c r="CI4628" t="s">
        <v>51</v>
      </c>
      <c r="CK4628" t="s">
        <v>78</v>
      </c>
      <c r="CM4628" t="s">
        <v>54</v>
      </c>
      <c r="CN4628" t="s">
        <v>174</v>
      </c>
      <c r="CR4628">
        <v>13.2</v>
      </c>
      <c r="CS4628">
        <v>1800</v>
      </c>
      <c r="CT4628">
        <v>0</v>
      </c>
      <c r="CU4628">
        <v>16</v>
      </c>
    </row>
    <row r="4629" spans="1:112" x14ac:dyDescent="0.2">
      <c r="A4629" t="s">
        <v>1012</v>
      </c>
      <c r="B4629" t="s">
        <v>1013</v>
      </c>
      <c r="C4629" t="s">
        <v>1019</v>
      </c>
      <c r="D4629" t="s">
        <v>1169</v>
      </c>
      <c r="F4629" t="str">
        <f>"254176"</f>
        <v>254176</v>
      </c>
      <c r="G4629" t="s">
        <v>49</v>
      </c>
      <c r="H4629" t="s">
        <v>2131</v>
      </c>
      <c r="I4629" t="s">
        <v>2131</v>
      </c>
      <c r="K4629" t="s">
        <v>51</v>
      </c>
      <c r="L4629" t="s">
        <v>52</v>
      </c>
      <c r="M4629">
        <v>131854.54999999999</v>
      </c>
      <c r="N4629">
        <v>473666.37</v>
      </c>
      <c r="O4629" t="s">
        <v>53</v>
      </c>
      <c r="P4629" t="s">
        <v>54</v>
      </c>
      <c r="Q4629" t="s">
        <v>55</v>
      </c>
      <c r="T4629" t="s">
        <v>246</v>
      </c>
      <c r="U4629">
        <v>40</v>
      </c>
      <c r="V4629" s="1">
        <v>44341</v>
      </c>
      <c r="W4629" s="1">
        <v>44341</v>
      </c>
      <c r="X4629" s="1">
        <v>44341</v>
      </c>
      <c r="Y4629" s="1">
        <v>58951</v>
      </c>
      <c r="Z4629" t="s">
        <v>51</v>
      </c>
      <c r="AB4629" t="s">
        <v>54</v>
      </c>
      <c r="AE4629" t="s">
        <v>1065</v>
      </c>
      <c r="AF4629">
        <v>20</v>
      </c>
      <c r="AG4629" s="1">
        <v>44341</v>
      </c>
      <c r="AH4629" s="1">
        <v>44341</v>
      </c>
      <c r="AI4629" s="1">
        <v>44341</v>
      </c>
      <c r="AJ4629" s="1">
        <v>51646</v>
      </c>
      <c r="AK4629" t="s">
        <v>51</v>
      </c>
      <c r="AN4629">
        <v>0</v>
      </c>
      <c r="AO4629" t="s">
        <v>54</v>
      </c>
      <c r="AP4629" t="s">
        <v>53</v>
      </c>
      <c r="AQ4629">
        <v>0</v>
      </c>
      <c r="AR4629" t="s">
        <v>53</v>
      </c>
      <c r="AS4629">
        <v>0</v>
      </c>
      <c r="AT4629">
        <v>0</v>
      </c>
      <c r="AW4629" t="s">
        <v>172</v>
      </c>
      <c r="AX4629">
        <v>15</v>
      </c>
      <c r="AY4629" s="1">
        <v>44341</v>
      </c>
      <c r="AZ4629" s="1">
        <v>44341</v>
      </c>
      <c r="BA4629" s="1">
        <v>44341</v>
      </c>
      <c r="BB4629" s="1">
        <v>49820</v>
      </c>
      <c r="BC4629" t="s">
        <v>51</v>
      </c>
      <c r="BE4629" t="s">
        <v>54</v>
      </c>
      <c r="BF4629">
        <v>40</v>
      </c>
      <c r="BG4629">
        <v>0</v>
      </c>
      <c r="BH4629" t="s">
        <v>145</v>
      </c>
      <c r="CC4629" t="s">
        <v>250</v>
      </c>
      <c r="CD4629">
        <v>100000</v>
      </c>
      <c r="CE4629" s="1">
        <v>44341</v>
      </c>
      <c r="CF4629" s="1">
        <v>44341</v>
      </c>
      <c r="CG4629" s="1">
        <v>44341</v>
      </c>
      <c r="CH4629" s="1">
        <v>53310</v>
      </c>
      <c r="CI4629" t="s">
        <v>51</v>
      </c>
      <c r="CK4629" t="s">
        <v>78</v>
      </c>
      <c r="CM4629" t="s">
        <v>54</v>
      </c>
      <c r="CN4629" t="s">
        <v>174</v>
      </c>
      <c r="CR4629">
        <v>13.2</v>
      </c>
      <c r="CS4629">
        <v>1800</v>
      </c>
      <c r="CT4629">
        <v>0</v>
      </c>
      <c r="CU4629">
        <v>16</v>
      </c>
    </row>
    <row r="4630" spans="1:112" x14ac:dyDescent="0.2">
      <c r="A4630" t="s">
        <v>1012</v>
      </c>
      <c r="B4630" t="s">
        <v>1013</v>
      </c>
      <c r="C4630" t="s">
        <v>1019</v>
      </c>
      <c r="D4630" t="s">
        <v>2131</v>
      </c>
      <c r="F4630" t="str">
        <f>"254175"</f>
        <v>254175</v>
      </c>
      <c r="G4630" t="s">
        <v>49</v>
      </c>
      <c r="H4630" t="s">
        <v>2131</v>
      </c>
      <c r="I4630" t="s">
        <v>2131</v>
      </c>
      <c r="K4630" t="s">
        <v>51</v>
      </c>
      <c r="L4630" t="s">
        <v>52</v>
      </c>
      <c r="M4630">
        <v>131834.37</v>
      </c>
      <c r="N4630">
        <v>473672.78</v>
      </c>
      <c r="O4630" t="s">
        <v>53</v>
      </c>
      <c r="P4630" t="s">
        <v>54</v>
      </c>
      <c r="Q4630" t="s">
        <v>55</v>
      </c>
      <c r="T4630" t="s">
        <v>246</v>
      </c>
      <c r="U4630">
        <v>40</v>
      </c>
      <c r="V4630" s="1">
        <v>44341</v>
      </c>
      <c r="W4630" s="1">
        <v>44341</v>
      </c>
      <c r="X4630" s="1">
        <v>44341</v>
      </c>
      <c r="Y4630" s="1">
        <v>58951</v>
      </c>
      <c r="Z4630" t="s">
        <v>51</v>
      </c>
      <c r="AB4630" t="s">
        <v>54</v>
      </c>
      <c r="AE4630" t="s">
        <v>1065</v>
      </c>
      <c r="AF4630">
        <v>20</v>
      </c>
      <c r="AG4630" s="1">
        <v>44341</v>
      </c>
      <c r="AH4630" s="1">
        <v>44341</v>
      </c>
      <c r="AI4630" s="1">
        <v>44341</v>
      </c>
      <c r="AJ4630" s="1">
        <v>51646</v>
      </c>
      <c r="AK4630" t="s">
        <v>51</v>
      </c>
      <c r="AN4630">
        <v>0</v>
      </c>
      <c r="AO4630" t="s">
        <v>54</v>
      </c>
      <c r="AP4630" t="s">
        <v>53</v>
      </c>
      <c r="AQ4630">
        <v>0</v>
      </c>
      <c r="AR4630" t="s">
        <v>53</v>
      </c>
      <c r="AS4630">
        <v>0</v>
      </c>
      <c r="AT4630">
        <v>0</v>
      </c>
      <c r="AW4630" t="s">
        <v>172</v>
      </c>
      <c r="AX4630">
        <v>15</v>
      </c>
      <c r="AY4630" s="1">
        <v>44341</v>
      </c>
      <c r="AZ4630" s="1">
        <v>44341</v>
      </c>
      <c r="BA4630" s="1">
        <v>44341</v>
      </c>
      <c r="BB4630" s="1">
        <v>49820</v>
      </c>
      <c r="BC4630" t="s">
        <v>51</v>
      </c>
      <c r="BE4630" t="s">
        <v>54</v>
      </c>
      <c r="BF4630">
        <v>40</v>
      </c>
      <c r="BG4630">
        <v>0</v>
      </c>
      <c r="BH4630" t="s">
        <v>145</v>
      </c>
      <c r="CC4630" t="s">
        <v>250</v>
      </c>
      <c r="CD4630">
        <v>100000</v>
      </c>
      <c r="CE4630" s="1">
        <v>44341</v>
      </c>
      <c r="CF4630" s="1">
        <v>44341</v>
      </c>
      <c r="CG4630" s="1">
        <v>44341</v>
      </c>
      <c r="CH4630" s="1">
        <v>53310</v>
      </c>
      <c r="CI4630" t="s">
        <v>51</v>
      </c>
      <c r="CK4630" t="s">
        <v>78</v>
      </c>
      <c r="CM4630" t="s">
        <v>54</v>
      </c>
      <c r="CN4630" t="s">
        <v>174</v>
      </c>
      <c r="CR4630">
        <v>13.2</v>
      </c>
      <c r="CS4630">
        <v>1800</v>
      </c>
      <c r="CT4630">
        <v>0</v>
      </c>
      <c r="CU4630">
        <v>16</v>
      </c>
    </row>
    <row r="4631" spans="1:112" x14ac:dyDescent="0.2">
      <c r="A4631" t="s">
        <v>1012</v>
      </c>
      <c r="B4631" t="s">
        <v>1013</v>
      </c>
      <c r="C4631" t="s">
        <v>1019</v>
      </c>
      <c r="D4631" t="s">
        <v>2131</v>
      </c>
      <c r="F4631" t="str">
        <f>"254174"</f>
        <v>254174</v>
      </c>
      <c r="G4631" t="s">
        <v>49</v>
      </c>
      <c r="I4631" t="s">
        <v>2131</v>
      </c>
      <c r="K4631" t="s">
        <v>51</v>
      </c>
      <c r="L4631" t="s">
        <v>52</v>
      </c>
      <c r="M4631">
        <v>131831.16</v>
      </c>
      <c r="N4631">
        <v>473661.16</v>
      </c>
      <c r="O4631" t="s">
        <v>53</v>
      </c>
      <c r="P4631" t="s">
        <v>54</v>
      </c>
      <c r="Q4631" t="s">
        <v>55</v>
      </c>
      <c r="T4631" t="s">
        <v>246</v>
      </c>
      <c r="U4631">
        <v>40</v>
      </c>
      <c r="V4631" s="1">
        <v>44341</v>
      </c>
      <c r="W4631" s="1">
        <v>44341</v>
      </c>
      <c r="X4631" s="1">
        <v>44341</v>
      </c>
      <c r="Y4631" s="1">
        <v>58951</v>
      </c>
      <c r="Z4631" t="s">
        <v>51</v>
      </c>
      <c r="AB4631" t="s">
        <v>54</v>
      </c>
      <c r="AE4631" t="s">
        <v>1065</v>
      </c>
      <c r="AF4631">
        <v>20</v>
      </c>
      <c r="AG4631" s="1">
        <v>44341</v>
      </c>
      <c r="AH4631" s="1">
        <v>44341</v>
      </c>
      <c r="AI4631" s="1">
        <v>44341</v>
      </c>
      <c r="AJ4631" s="1">
        <v>51646</v>
      </c>
      <c r="AK4631" t="s">
        <v>51</v>
      </c>
      <c r="AN4631">
        <v>0</v>
      </c>
      <c r="AO4631" t="s">
        <v>54</v>
      </c>
      <c r="AP4631" t="s">
        <v>53</v>
      </c>
      <c r="AQ4631">
        <v>0</v>
      </c>
      <c r="AR4631" t="s">
        <v>53</v>
      </c>
      <c r="AS4631">
        <v>0</v>
      </c>
      <c r="AT4631">
        <v>0</v>
      </c>
      <c r="AW4631" t="s">
        <v>172</v>
      </c>
      <c r="AX4631">
        <v>15</v>
      </c>
      <c r="AY4631" s="1">
        <v>44341</v>
      </c>
      <c r="AZ4631" s="1">
        <v>44341</v>
      </c>
      <c r="BA4631" s="1">
        <v>44341</v>
      </c>
      <c r="BB4631" s="1">
        <v>49820</v>
      </c>
      <c r="BC4631" t="s">
        <v>51</v>
      </c>
      <c r="BE4631" t="s">
        <v>54</v>
      </c>
      <c r="BF4631">
        <v>40</v>
      </c>
      <c r="BG4631">
        <v>0</v>
      </c>
      <c r="BH4631" t="s">
        <v>145</v>
      </c>
      <c r="CC4631" t="s">
        <v>250</v>
      </c>
      <c r="CD4631">
        <v>100000</v>
      </c>
      <c r="CE4631" s="1">
        <v>44341</v>
      </c>
      <c r="CF4631" s="1">
        <v>44341</v>
      </c>
      <c r="CG4631" s="1">
        <v>44341</v>
      </c>
      <c r="CH4631" s="1">
        <v>53310</v>
      </c>
      <c r="CI4631" t="s">
        <v>51</v>
      </c>
      <c r="CK4631" t="s">
        <v>78</v>
      </c>
      <c r="CM4631" t="s">
        <v>54</v>
      </c>
      <c r="CN4631" t="s">
        <v>174</v>
      </c>
      <c r="CR4631">
        <v>13.2</v>
      </c>
      <c r="CS4631">
        <v>1800</v>
      </c>
      <c r="CT4631">
        <v>0</v>
      </c>
      <c r="CU4631">
        <v>16</v>
      </c>
    </row>
    <row r="4632" spans="1:112" x14ac:dyDescent="0.2">
      <c r="A4632" t="s">
        <v>1012</v>
      </c>
      <c r="B4632" t="s">
        <v>1013</v>
      </c>
      <c r="C4632" t="s">
        <v>1019</v>
      </c>
      <c r="D4632" t="s">
        <v>2131</v>
      </c>
      <c r="F4632" t="str">
        <f>"254173"</f>
        <v>254173</v>
      </c>
      <c r="G4632" t="s">
        <v>49</v>
      </c>
      <c r="I4632" t="s">
        <v>2131</v>
      </c>
      <c r="K4632" t="s">
        <v>51</v>
      </c>
      <c r="L4632" t="s">
        <v>52</v>
      </c>
      <c r="M4632">
        <v>131852.66</v>
      </c>
      <c r="N4632">
        <v>473654.53</v>
      </c>
      <c r="O4632" t="s">
        <v>53</v>
      </c>
      <c r="P4632" t="s">
        <v>54</v>
      </c>
      <c r="Q4632" t="s">
        <v>55</v>
      </c>
      <c r="T4632" t="s">
        <v>246</v>
      </c>
      <c r="U4632">
        <v>40</v>
      </c>
      <c r="V4632" s="1">
        <v>44341</v>
      </c>
      <c r="W4632" s="1">
        <v>44341</v>
      </c>
      <c r="X4632" s="1">
        <v>44341</v>
      </c>
      <c r="Y4632" s="1">
        <v>58951</v>
      </c>
      <c r="Z4632" t="s">
        <v>51</v>
      </c>
      <c r="AB4632" t="s">
        <v>54</v>
      </c>
      <c r="AE4632" t="s">
        <v>1065</v>
      </c>
      <c r="AF4632">
        <v>20</v>
      </c>
      <c r="AG4632" s="1">
        <v>44341</v>
      </c>
      <c r="AH4632" s="1">
        <v>44341</v>
      </c>
      <c r="AI4632" s="1">
        <v>44341</v>
      </c>
      <c r="AJ4632" s="1">
        <v>51646</v>
      </c>
      <c r="AK4632" t="s">
        <v>51</v>
      </c>
      <c r="AN4632">
        <v>0</v>
      </c>
      <c r="AO4632" t="s">
        <v>54</v>
      </c>
      <c r="AP4632" t="s">
        <v>53</v>
      </c>
      <c r="AQ4632">
        <v>0</v>
      </c>
      <c r="AR4632" t="s">
        <v>53</v>
      </c>
      <c r="AS4632">
        <v>0</v>
      </c>
      <c r="AT4632">
        <v>0</v>
      </c>
      <c r="AW4632" t="s">
        <v>172</v>
      </c>
      <c r="AX4632">
        <v>15</v>
      </c>
      <c r="AY4632" s="1">
        <v>44341</v>
      </c>
      <c r="AZ4632" s="1">
        <v>44341</v>
      </c>
      <c r="BA4632" s="1">
        <v>44341</v>
      </c>
      <c r="BB4632" s="1">
        <v>49820</v>
      </c>
      <c r="BC4632" t="s">
        <v>51</v>
      </c>
      <c r="BE4632" t="s">
        <v>54</v>
      </c>
      <c r="BF4632">
        <v>40</v>
      </c>
      <c r="BG4632">
        <v>0</v>
      </c>
      <c r="BH4632" t="s">
        <v>145</v>
      </c>
      <c r="CC4632" t="s">
        <v>250</v>
      </c>
      <c r="CD4632">
        <v>100000</v>
      </c>
      <c r="CE4632" s="1">
        <v>44341</v>
      </c>
      <c r="CF4632" s="1">
        <v>44341</v>
      </c>
      <c r="CG4632" s="1">
        <v>44341</v>
      </c>
      <c r="CH4632" s="1">
        <v>53310</v>
      </c>
      <c r="CI4632" t="s">
        <v>51</v>
      </c>
      <c r="CK4632" t="s">
        <v>78</v>
      </c>
      <c r="CM4632" t="s">
        <v>54</v>
      </c>
      <c r="CN4632" t="s">
        <v>174</v>
      </c>
      <c r="CR4632">
        <v>13.2</v>
      </c>
      <c r="CS4632">
        <v>1800</v>
      </c>
      <c r="CT4632">
        <v>0</v>
      </c>
      <c r="CU4632">
        <v>16</v>
      </c>
    </row>
    <row r="4633" spans="1:112" x14ac:dyDescent="0.2">
      <c r="A4633" t="s">
        <v>1012</v>
      </c>
      <c r="B4633" t="s">
        <v>1013</v>
      </c>
      <c r="C4633" t="s">
        <v>1019</v>
      </c>
      <c r="D4633" t="s">
        <v>2131</v>
      </c>
      <c r="F4633" t="str">
        <f>"254171"</f>
        <v>254171</v>
      </c>
      <c r="G4633" t="s">
        <v>49</v>
      </c>
      <c r="I4633" t="s">
        <v>2131</v>
      </c>
      <c r="K4633" t="s">
        <v>51</v>
      </c>
      <c r="L4633" t="s">
        <v>52</v>
      </c>
      <c r="M4633">
        <v>131858.76</v>
      </c>
      <c r="N4633">
        <v>473631.61</v>
      </c>
      <c r="O4633" t="s">
        <v>53</v>
      </c>
      <c r="P4633" t="s">
        <v>54</v>
      </c>
      <c r="Q4633" t="s">
        <v>55</v>
      </c>
      <c r="T4633" t="s">
        <v>246</v>
      </c>
      <c r="U4633">
        <v>40</v>
      </c>
      <c r="V4633" s="1">
        <v>44341</v>
      </c>
      <c r="W4633" s="1">
        <v>44341</v>
      </c>
      <c r="X4633" s="1">
        <v>44341</v>
      </c>
      <c r="Y4633" s="1">
        <v>58951</v>
      </c>
      <c r="Z4633" t="s">
        <v>51</v>
      </c>
      <c r="AB4633" t="s">
        <v>54</v>
      </c>
      <c r="AE4633" t="s">
        <v>1065</v>
      </c>
      <c r="AF4633">
        <v>20</v>
      </c>
      <c r="AG4633" s="1">
        <v>44341</v>
      </c>
      <c r="AH4633" s="1">
        <v>44341</v>
      </c>
      <c r="AI4633" s="1">
        <v>44341</v>
      </c>
      <c r="AJ4633" s="1">
        <v>51646</v>
      </c>
      <c r="AK4633" t="s">
        <v>51</v>
      </c>
      <c r="AN4633">
        <v>0</v>
      </c>
      <c r="AO4633" t="s">
        <v>54</v>
      </c>
      <c r="AP4633" t="s">
        <v>53</v>
      </c>
      <c r="AQ4633">
        <v>0</v>
      </c>
      <c r="AR4633" t="s">
        <v>53</v>
      </c>
      <c r="AS4633">
        <v>0</v>
      </c>
      <c r="AT4633">
        <v>0</v>
      </c>
      <c r="AW4633" t="s">
        <v>172</v>
      </c>
      <c r="AX4633">
        <v>15</v>
      </c>
      <c r="AY4633" s="1">
        <v>44341</v>
      </c>
      <c r="AZ4633" s="1">
        <v>44341</v>
      </c>
      <c r="BA4633" s="1">
        <v>44341</v>
      </c>
      <c r="BB4633" s="1">
        <v>49820</v>
      </c>
      <c r="BC4633" t="s">
        <v>51</v>
      </c>
      <c r="BE4633" t="s">
        <v>54</v>
      </c>
      <c r="BF4633">
        <v>40</v>
      </c>
      <c r="BG4633">
        <v>0</v>
      </c>
      <c r="BH4633" t="s">
        <v>145</v>
      </c>
      <c r="CC4633" t="s">
        <v>250</v>
      </c>
      <c r="CD4633">
        <v>100000</v>
      </c>
      <c r="CE4633" s="1">
        <v>44341</v>
      </c>
      <c r="CF4633" s="1">
        <v>44341</v>
      </c>
      <c r="CG4633" s="1">
        <v>44341</v>
      </c>
      <c r="CH4633" s="1">
        <v>53310</v>
      </c>
      <c r="CI4633" t="s">
        <v>51</v>
      </c>
      <c r="CK4633" t="s">
        <v>78</v>
      </c>
      <c r="CM4633" t="s">
        <v>54</v>
      </c>
      <c r="CN4633" t="s">
        <v>174</v>
      </c>
      <c r="CR4633">
        <v>13.2</v>
      </c>
      <c r="CS4633">
        <v>1800</v>
      </c>
      <c r="CT4633">
        <v>0</v>
      </c>
      <c r="CU4633">
        <v>16</v>
      </c>
    </row>
    <row r="4634" spans="1:112" x14ac:dyDescent="0.2">
      <c r="A4634" t="s">
        <v>1012</v>
      </c>
      <c r="B4634" t="s">
        <v>1013</v>
      </c>
      <c r="C4634" t="s">
        <v>1019</v>
      </c>
      <c r="D4634" t="s">
        <v>2131</v>
      </c>
      <c r="F4634" t="str">
        <f>"254170"</f>
        <v>254170</v>
      </c>
      <c r="G4634" t="s">
        <v>49</v>
      </c>
      <c r="I4634" t="s">
        <v>2131</v>
      </c>
      <c r="K4634" t="s">
        <v>51</v>
      </c>
      <c r="L4634" t="s">
        <v>52</v>
      </c>
      <c r="M4634">
        <v>131852.81</v>
      </c>
      <c r="N4634">
        <v>473613.25</v>
      </c>
      <c r="O4634" t="s">
        <v>53</v>
      </c>
      <c r="P4634" t="s">
        <v>54</v>
      </c>
      <c r="Q4634" t="s">
        <v>55</v>
      </c>
      <c r="T4634" t="s">
        <v>246</v>
      </c>
      <c r="U4634">
        <v>40</v>
      </c>
      <c r="V4634" s="1">
        <v>44341</v>
      </c>
      <c r="W4634" s="1">
        <v>44341</v>
      </c>
      <c r="X4634" s="1">
        <v>44341</v>
      </c>
      <c r="Y4634" s="1">
        <v>58951</v>
      </c>
      <c r="Z4634" t="s">
        <v>51</v>
      </c>
      <c r="AB4634" t="s">
        <v>54</v>
      </c>
      <c r="AE4634" t="s">
        <v>1065</v>
      </c>
      <c r="AF4634">
        <v>20</v>
      </c>
      <c r="AG4634" s="1">
        <v>44341</v>
      </c>
      <c r="AH4634" s="1">
        <v>44341</v>
      </c>
      <c r="AI4634" s="1">
        <v>44341</v>
      </c>
      <c r="AJ4634" s="1">
        <v>51646</v>
      </c>
      <c r="AK4634" t="s">
        <v>51</v>
      </c>
      <c r="AN4634">
        <v>0</v>
      </c>
      <c r="AO4634" t="s">
        <v>54</v>
      </c>
      <c r="AP4634" t="s">
        <v>53</v>
      </c>
      <c r="AQ4634">
        <v>0</v>
      </c>
      <c r="AR4634" t="s">
        <v>53</v>
      </c>
      <c r="AS4634">
        <v>0</v>
      </c>
      <c r="AT4634">
        <v>0</v>
      </c>
      <c r="AW4634" t="s">
        <v>172</v>
      </c>
      <c r="AX4634">
        <v>15</v>
      </c>
      <c r="AY4634" s="1">
        <v>44341</v>
      </c>
      <c r="AZ4634" s="1">
        <v>44341</v>
      </c>
      <c r="BA4634" s="1">
        <v>44341</v>
      </c>
      <c r="BB4634" s="1">
        <v>49820</v>
      </c>
      <c r="BC4634" t="s">
        <v>51</v>
      </c>
      <c r="BE4634" t="s">
        <v>54</v>
      </c>
      <c r="BF4634">
        <v>40</v>
      </c>
      <c r="BG4634">
        <v>0</v>
      </c>
      <c r="BH4634" t="s">
        <v>145</v>
      </c>
      <c r="CC4634" t="s">
        <v>250</v>
      </c>
      <c r="CD4634">
        <v>100000</v>
      </c>
      <c r="CE4634" s="1">
        <v>44341</v>
      </c>
      <c r="CF4634" s="1">
        <v>44341</v>
      </c>
      <c r="CG4634" s="1">
        <v>44341</v>
      </c>
      <c r="CH4634" s="1">
        <v>53310</v>
      </c>
      <c r="CI4634" t="s">
        <v>51</v>
      </c>
      <c r="CK4634" t="s">
        <v>78</v>
      </c>
      <c r="CM4634" t="s">
        <v>54</v>
      </c>
      <c r="CN4634" t="s">
        <v>174</v>
      </c>
      <c r="CR4634">
        <v>13.2</v>
      </c>
      <c r="CS4634">
        <v>1800</v>
      </c>
      <c r="CT4634">
        <v>0</v>
      </c>
      <c r="CU4634">
        <v>16</v>
      </c>
    </row>
    <row r="4635" spans="1:112" x14ac:dyDescent="0.2">
      <c r="A4635" t="s">
        <v>1012</v>
      </c>
      <c r="B4635" t="s">
        <v>1013</v>
      </c>
      <c r="C4635" t="s">
        <v>1019</v>
      </c>
      <c r="D4635" t="s">
        <v>2133</v>
      </c>
      <c r="F4635" t="str">
        <f>"254130"</f>
        <v>254130</v>
      </c>
      <c r="G4635" t="s">
        <v>49</v>
      </c>
      <c r="I4635" t="s">
        <v>2133</v>
      </c>
      <c r="K4635" t="s">
        <v>51</v>
      </c>
      <c r="L4635" t="s">
        <v>52</v>
      </c>
      <c r="M4635">
        <v>131840.99</v>
      </c>
      <c r="N4635">
        <v>473601.24</v>
      </c>
      <c r="O4635" t="s">
        <v>53</v>
      </c>
      <c r="P4635" t="s">
        <v>54</v>
      </c>
      <c r="Q4635" t="s">
        <v>55</v>
      </c>
      <c r="T4635" t="s">
        <v>246</v>
      </c>
      <c r="U4635">
        <v>40</v>
      </c>
      <c r="V4635" s="1">
        <v>44341</v>
      </c>
      <c r="W4635" s="1">
        <v>44341</v>
      </c>
      <c r="X4635" s="1">
        <v>44341</v>
      </c>
      <c r="Y4635" s="1">
        <v>58951</v>
      </c>
      <c r="Z4635" t="s">
        <v>51</v>
      </c>
      <c r="AB4635" t="s">
        <v>54</v>
      </c>
      <c r="AE4635" t="s">
        <v>1065</v>
      </c>
      <c r="AF4635">
        <v>20</v>
      </c>
      <c r="AG4635" s="1">
        <v>44341</v>
      </c>
      <c r="AH4635" s="1">
        <v>44341</v>
      </c>
      <c r="AI4635" s="1">
        <v>44341</v>
      </c>
      <c r="AJ4635" s="1">
        <v>51646</v>
      </c>
      <c r="AK4635" t="s">
        <v>51</v>
      </c>
      <c r="AN4635">
        <v>0</v>
      </c>
      <c r="AO4635" t="s">
        <v>54</v>
      </c>
      <c r="AP4635" t="s">
        <v>53</v>
      </c>
      <c r="AQ4635">
        <v>0</v>
      </c>
      <c r="AR4635" t="s">
        <v>53</v>
      </c>
      <c r="AS4635">
        <v>0</v>
      </c>
      <c r="AT4635">
        <v>0</v>
      </c>
      <c r="AW4635" t="s">
        <v>172</v>
      </c>
      <c r="AX4635">
        <v>15</v>
      </c>
      <c r="AY4635" s="1">
        <v>44341</v>
      </c>
      <c r="AZ4635" s="1">
        <v>44341</v>
      </c>
      <c r="BA4635" s="1">
        <v>44341</v>
      </c>
      <c r="BB4635" s="1">
        <v>49820</v>
      </c>
      <c r="BC4635" t="s">
        <v>51</v>
      </c>
      <c r="BE4635" t="s">
        <v>54</v>
      </c>
      <c r="BF4635">
        <v>40</v>
      </c>
      <c r="BG4635">
        <v>0</v>
      </c>
      <c r="BH4635" t="s">
        <v>145</v>
      </c>
      <c r="CC4635" t="s">
        <v>250</v>
      </c>
      <c r="CD4635">
        <v>100000</v>
      </c>
      <c r="CE4635" s="1">
        <v>44341</v>
      </c>
      <c r="CF4635" s="1">
        <v>44341</v>
      </c>
      <c r="CG4635" s="1">
        <v>44341</v>
      </c>
      <c r="CH4635" s="1">
        <v>53310</v>
      </c>
      <c r="CI4635" t="s">
        <v>51</v>
      </c>
      <c r="CK4635" t="s">
        <v>78</v>
      </c>
      <c r="CM4635" t="s">
        <v>54</v>
      </c>
      <c r="CN4635" t="s">
        <v>174</v>
      </c>
      <c r="CR4635">
        <v>13.2</v>
      </c>
      <c r="CS4635">
        <v>1800</v>
      </c>
      <c r="CT4635">
        <v>0</v>
      </c>
      <c r="CU4635">
        <v>16</v>
      </c>
    </row>
    <row r="4636" spans="1:112" x14ac:dyDescent="0.2">
      <c r="A4636" t="s">
        <v>1012</v>
      </c>
      <c r="B4636" t="s">
        <v>1013</v>
      </c>
      <c r="C4636" t="s">
        <v>1019</v>
      </c>
      <c r="D4636" t="s">
        <v>2133</v>
      </c>
      <c r="F4636" t="str">
        <f>"254129"</f>
        <v>254129</v>
      </c>
      <c r="G4636" t="s">
        <v>49</v>
      </c>
      <c r="I4636" t="s">
        <v>2133</v>
      </c>
      <c r="K4636" t="s">
        <v>51</v>
      </c>
      <c r="L4636" t="s">
        <v>52</v>
      </c>
      <c r="M4636">
        <v>131815.95000000001</v>
      </c>
      <c r="N4636">
        <v>473609.14</v>
      </c>
      <c r="O4636" t="s">
        <v>53</v>
      </c>
      <c r="P4636" t="s">
        <v>54</v>
      </c>
      <c r="Q4636" t="s">
        <v>55</v>
      </c>
      <c r="T4636" t="s">
        <v>246</v>
      </c>
      <c r="U4636">
        <v>40</v>
      </c>
      <c r="V4636" s="1">
        <v>44341</v>
      </c>
      <c r="W4636" s="1">
        <v>44341</v>
      </c>
      <c r="X4636" s="1">
        <v>44341</v>
      </c>
      <c r="Y4636" s="1">
        <v>58951</v>
      </c>
      <c r="Z4636" t="s">
        <v>51</v>
      </c>
      <c r="AB4636" t="s">
        <v>54</v>
      </c>
      <c r="AE4636" t="s">
        <v>1065</v>
      </c>
      <c r="AF4636">
        <v>20</v>
      </c>
      <c r="AG4636" s="1">
        <v>44341</v>
      </c>
      <c r="AH4636" s="1">
        <v>44341</v>
      </c>
      <c r="AI4636" s="1">
        <v>44341</v>
      </c>
      <c r="AJ4636" s="1">
        <v>51646</v>
      </c>
      <c r="AK4636" t="s">
        <v>51</v>
      </c>
      <c r="AN4636">
        <v>0</v>
      </c>
      <c r="AO4636" t="s">
        <v>54</v>
      </c>
      <c r="AP4636" t="s">
        <v>53</v>
      </c>
      <c r="AQ4636">
        <v>0</v>
      </c>
      <c r="AR4636" t="s">
        <v>53</v>
      </c>
      <c r="AS4636">
        <v>0</v>
      </c>
      <c r="AT4636">
        <v>0</v>
      </c>
      <c r="AW4636" t="s">
        <v>172</v>
      </c>
      <c r="AX4636">
        <v>15</v>
      </c>
      <c r="AY4636" s="1">
        <v>44341</v>
      </c>
      <c r="AZ4636" s="1">
        <v>44341</v>
      </c>
      <c r="BA4636" s="1">
        <v>44341</v>
      </c>
      <c r="BB4636" s="1">
        <v>49820</v>
      </c>
      <c r="BC4636" t="s">
        <v>51</v>
      </c>
      <c r="BE4636" t="s">
        <v>54</v>
      </c>
      <c r="BF4636">
        <v>40</v>
      </c>
      <c r="BG4636">
        <v>0</v>
      </c>
      <c r="BH4636" t="s">
        <v>145</v>
      </c>
      <c r="CC4636" t="s">
        <v>250</v>
      </c>
      <c r="CD4636">
        <v>100000</v>
      </c>
      <c r="CE4636" s="1">
        <v>44341</v>
      </c>
      <c r="CF4636" s="1">
        <v>44341</v>
      </c>
      <c r="CG4636" s="1">
        <v>44341</v>
      </c>
      <c r="CH4636" s="1">
        <v>53310</v>
      </c>
      <c r="CI4636" t="s">
        <v>51</v>
      </c>
      <c r="CK4636" t="s">
        <v>78</v>
      </c>
      <c r="CM4636" t="s">
        <v>54</v>
      </c>
      <c r="CN4636" t="s">
        <v>174</v>
      </c>
      <c r="CR4636">
        <v>13.2</v>
      </c>
      <c r="CS4636">
        <v>1800</v>
      </c>
      <c r="CT4636">
        <v>0</v>
      </c>
      <c r="CU4636">
        <v>16</v>
      </c>
    </row>
    <row r="4637" spans="1:112" x14ac:dyDescent="0.2">
      <c r="A4637" t="s">
        <v>1012</v>
      </c>
      <c r="B4637" t="s">
        <v>1013</v>
      </c>
      <c r="C4637" t="s">
        <v>1019</v>
      </c>
      <c r="D4637" t="s">
        <v>2133</v>
      </c>
      <c r="F4637" t="str">
        <f>"254128"</f>
        <v>254128</v>
      </c>
      <c r="G4637" t="s">
        <v>49</v>
      </c>
      <c r="I4637" t="s">
        <v>2133</v>
      </c>
      <c r="K4637" t="s">
        <v>51</v>
      </c>
      <c r="L4637" t="s">
        <v>52</v>
      </c>
      <c r="M4637">
        <v>131793.25</v>
      </c>
      <c r="N4637">
        <v>473616.25</v>
      </c>
      <c r="O4637" t="s">
        <v>53</v>
      </c>
      <c r="P4637" t="s">
        <v>54</v>
      </c>
      <c r="Q4637" t="s">
        <v>55</v>
      </c>
      <c r="T4637" t="s">
        <v>246</v>
      </c>
      <c r="U4637">
        <v>40</v>
      </c>
      <c r="V4637" s="1">
        <v>44341</v>
      </c>
      <c r="W4637" s="1">
        <v>44341</v>
      </c>
      <c r="X4637" s="1">
        <v>44341</v>
      </c>
      <c r="Y4637" s="1">
        <v>58951</v>
      </c>
      <c r="Z4637" t="s">
        <v>51</v>
      </c>
      <c r="AB4637" t="s">
        <v>54</v>
      </c>
      <c r="AE4637" t="s">
        <v>1065</v>
      </c>
      <c r="AF4637">
        <v>20</v>
      </c>
      <c r="AG4637" s="1">
        <v>44341</v>
      </c>
      <c r="AH4637" s="1">
        <v>44341</v>
      </c>
      <c r="AI4637" s="1">
        <v>44341</v>
      </c>
      <c r="AJ4637" s="1">
        <v>51646</v>
      </c>
      <c r="AK4637" t="s">
        <v>51</v>
      </c>
      <c r="AN4637">
        <v>0</v>
      </c>
      <c r="AO4637" t="s">
        <v>54</v>
      </c>
      <c r="AP4637" t="s">
        <v>53</v>
      </c>
      <c r="AQ4637">
        <v>0</v>
      </c>
      <c r="AR4637" t="s">
        <v>53</v>
      </c>
      <c r="AS4637">
        <v>0</v>
      </c>
      <c r="AT4637">
        <v>0</v>
      </c>
      <c r="AW4637" t="s">
        <v>172</v>
      </c>
      <c r="AX4637">
        <v>15</v>
      </c>
      <c r="AY4637" s="1">
        <v>44341</v>
      </c>
      <c r="AZ4637" s="1">
        <v>44341</v>
      </c>
      <c r="BA4637" s="1">
        <v>44341</v>
      </c>
      <c r="BB4637" s="1">
        <v>49820</v>
      </c>
      <c r="BC4637" t="s">
        <v>51</v>
      </c>
      <c r="BE4637" t="s">
        <v>54</v>
      </c>
      <c r="BF4637">
        <v>40</v>
      </c>
      <c r="BG4637">
        <v>0</v>
      </c>
      <c r="BH4637" t="s">
        <v>145</v>
      </c>
      <c r="CC4637" t="s">
        <v>250</v>
      </c>
      <c r="CD4637">
        <v>100000</v>
      </c>
      <c r="CE4637" s="1">
        <v>44341</v>
      </c>
      <c r="CF4637" s="1">
        <v>44341</v>
      </c>
      <c r="CG4637" s="1">
        <v>44341</v>
      </c>
      <c r="CH4637" s="1">
        <v>53310</v>
      </c>
      <c r="CI4637" t="s">
        <v>51</v>
      </c>
      <c r="CK4637" t="s">
        <v>78</v>
      </c>
      <c r="CM4637" t="s">
        <v>54</v>
      </c>
      <c r="CN4637" t="s">
        <v>174</v>
      </c>
      <c r="CR4637">
        <v>13.2</v>
      </c>
      <c r="CS4637">
        <v>1800</v>
      </c>
      <c r="CT4637">
        <v>0</v>
      </c>
      <c r="CU4637">
        <v>16</v>
      </c>
    </row>
    <row r="4638" spans="1:112" x14ac:dyDescent="0.2">
      <c r="A4638" t="s">
        <v>1012</v>
      </c>
      <c r="B4638" t="s">
        <v>1013</v>
      </c>
      <c r="C4638" t="s">
        <v>1019</v>
      </c>
      <c r="D4638" t="s">
        <v>2133</v>
      </c>
      <c r="F4638" t="str">
        <f>"254127"</f>
        <v>254127</v>
      </c>
      <c r="G4638" t="s">
        <v>49</v>
      </c>
      <c r="I4638" t="s">
        <v>2133</v>
      </c>
      <c r="K4638" t="s">
        <v>51</v>
      </c>
      <c r="L4638" t="s">
        <v>52</v>
      </c>
      <c r="M4638">
        <v>131771.17000000001</v>
      </c>
      <c r="N4638">
        <v>473623.11</v>
      </c>
      <c r="O4638" t="s">
        <v>53</v>
      </c>
      <c r="P4638" t="s">
        <v>54</v>
      </c>
      <c r="Q4638" t="s">
        <v>55</v>
      </c>
      <c r="T4638" t="s">
        <v>246</v>
      </c>
      <c r="U4638">
        <v>40</v>
      </c>
      <c r="V4638" s="1">
        <v>44341</v>
      </c>
      <c r="W4638" s="1">
        <v>44341</v>
      </c>
      <c r="X4638" s="1">
        <v>44341</v>
      </c>
      <c r="Y4638" s="1">
        <v>58951</v>
      </c>
      <c r="Z4638" t="s">
        <v>51</v>
      </c>
      <c r="AB4638" t="s">
        <v>54</v>
      </c>
      <c r="AE4638" t="s">
        <v>1065</v>
      </c>
      <c r="AF4638">
        <v>20</v>
      </c>
      <c r="AG4638" s="1">
        <v>44341</v>
      </c>
      <c r="AH4638" s="1">
        <v>44341</v>
      </c>
      <c r="AI4638" s="1">
        <v>44341</v>
      </c>
      <c r="AJ4638" s="1">
        <v>51646</v>
      </c>
      <c r="AK4638" t="s">
        <v>51</v>
      </c>
      <c r="AN4638">
        <v>0</v>
      </c>
      <c r="AO4638" t="s">
        <v>54</v>
      </c>
      <c r="AP4638" t="s">
        <v>53</v>
      </c>
      <c r="AQ4638">
        <v>0</v>
      </c>
      <c r="AR4638" t="s">
        <v>53</v>
      </c>
      <c r="AS4638">
        <v>0</v>
      </c>
      <c r="AT4638">
        <v>0</v>
      </c>
      <c r="AW4638" t="s">
        <v>172</v>
      </c>
      <c r="AX4638">
        <v>15</v>
      </c>
      <c r="AY4638" s="1">
        <v>44341</v>
      </c>
      <c r="AZ4638" s="1">
        <v>44341</v>
      </c>
      <c r="BA4638" s="1">
        <v>44341</v>
      </c>
      <c r="BB4638" s="1">
        <v>49820</v>
      </c>
      <c r="BC4638" t="s">
        <v>51</v>
      </c>
      <c r="BE4638" t="s">
        <v>54</v>
      </c>
      <c r="BF4638">
        <v>40</v>
      </c>
      <c r="BG4638">
        <v>0</v>
      </c>
      <c r="BH4638" t="s">
        <v>145</v>
      </c>
      <c r="CC4638" t="s">
        <v>250</v>
      </c>
      <c r="CD4638">
        <v>100000</v>
      </c>
      <c r="CE4638" s="1">
        <v>44341</v>
      </c>
      <c r="CF4638" s="1">
        <v>44341</v>
      </c>
      <c r="CG4638" s="1">
        <v>44341</v>
      </c>
      <c r="CH4638" s="1">
        <v>53310</v>
      </c>
      <c r="CI4638" t="s">
        <v>51</v>
      </c>
      <c r="CK4638" t="s">
        <v>78</v>
      </c>
      <c r="CM4638" t="s">
        <v>54</v>
      </c>
      <c r="CN4638" t="s">
        <v>174</v>
      </c>
      <c r="CR4638">
        <v>13.2</v>
      </c>
      <c r="CS4638">
        <v>1800</v>
      </c>
      <c r="CT4638">
        <v>0</v>
      </c>
      <c r="CU4638">
        <v>16</v>
      </c>
    </row>
    <row r="4639" spans="1:112" x14ac:dyDescent="0.2">
      <c r="A4639" t="s">
        <v>1012</v>
      </c>
      <c r="B4639" t="s">
        <v>1013</v>
      </c>
      <c r="C4639" t="s">
        <v>1019</v>
      </c>
      <c r="D4639" t="s">
        <v>2133</v>
      </c>
      <c r="F4639" t="str">
        <f>"254126"</f>
        <v>254126</v>
      </c>
      <c r="G4639" t="s">
        <v>49</v>
      </c>
      <c r="I4639" t="s">
        <v>2133</v>
      </c>
      <c r="K4639" t="s">
        <v>51</v>
      </c>
      <c r="L4639" t="s">
        <v>52</v>
      </c>
      <c r="M4639">
        <v>131748.35</v>
      </c>
      <c r="N4639">
        <v>473630.53</v>
      </c>
      <c r="O4639" t="s">
        <v>53</v>
      </c>
      <c r="P4639" t="s">
        <v>54</v>
      </c>
      <c r="Q4639" t="s">
        <v>55</v>
      </c>
      <c r="T4639" t="s">
        <v>246</v>
      </c>
      <c r="U4639">
        <v>40</v>
      </c>
      <c r="V4639" s="1">
        <v>44341</v>
      </c>
      <c r="W4639" s="1">
        <v>44341</v>
      </c>
      <c r="X4639" s="1">
        <v>44341</v>
      </c>
      <c r="Y4639" s="1">
        <v>58951</v>
      </c>
      <c r="Z4639" t="s">
        <v>51</v>
      </c>
      <c r="AB4639" t="s">
        <v>54</v>
      </c>
      <c r="AE4639" t="s">
        <v>1065</v>
      </c>
      <c r="AF4639">
        <v>20</v>
      </c>
      <c r="AG4639" s="1">
        <v>44341</v>
      </c>
      <c r="AH4639" s="1">
        <v>44341</v>
      </c>
      <c r="AI4639" s="1">
        <v>44341</v>
      </c>
      <c r="AJ4639" s="1">
        <v>51646</v>
      </c>
      <c r="AK4639" t="s">
        <v>51</v>
      </c>
      <c r="AN4639">
        <v>0</v>
      </c>
      <c r="AO4639" t="s">
        <v>54</v>
      </c>
      <c r="AP4639" t="s">
        <v>53</v>
      </c>
      <c r="AQ4639">
        <v>0</v>
      </c>
      <c r="AR4639" t="s">
        <v>53</v>
      </c>
      <c r="AS4639">
        <v>0</v>
      </c>
      <c r="AT4639">
        <v>0</v>
      </c>
      <c r="AW4639" t="s">
        <v>172</v>
      </c>
      <c r="AX4639">
        <v>15</v>
      </c>
      <c r="AY4639" s="1">
        <v>44341</v>
      </c>
      <c r="AZ4639" s="1">
        <v>44341</v>
      </c>
      <c r="BA4639" s="1">
        <v>44341</v>
      </c>
      <c r="BB4639" s="1">
        <v>49820</v>
      </c>
      <c r="BC4639" t="s">
        <v>51</v>
      </c>
      <c r="BE4639" t="s">
        <v>54</v>
      </c>
      <c r="BF4639">
        <v>40</v>
      </c>
      <c r="BG4639">
        <v>0</v>
      </c>
      <c r="BH4639" t="s">
        <v>145</v>
      </c>
      <c r="CC4639" t="s">
        <v>250</v>
      </c>
      <c r="CD4639">
        <v>100000</v>
      </c>
      <c r="CE4639" s="1">
        <v>44341</v>
      </c>
      <c r="CF4639" s="1">
        <v>44341</v>
      </c>
      <c r="CG4639" s="1">
        <v>44341</v>
      </c>
      <c r="CH4639" s="1">
        <v>53310</v>
      </c>
      <c r="CI4639" t="s">
        <v>51</v>
      </c>
      <c r="CK4639" t="s">
        <v>78</v>
      </c>
      <c r="CM4639" t="s">
        <v>54</v>
      </c>
      <c r="CN4639" t="s">
        <v>174</v>
      </c>
      <c r="CR4639">
        <v>13.2</v>
      </c>
      <c r="CS4639">
        <v>1800</v>
      </c>
      <c r="CT4639">
        <v>0</v>
      </c>
      <c r="CU4639">
        <v>16</v>
      </c>
    </row>
    <row r="4640" spans="1:112" x14ac:dyDescent="0.2">
      <c r="A4640" t="s">
        <v>1012</v>
      </c>
      <c r="B4640" t="s">
        <v>1013</v>
      </c>
      <c r="C4640" t="s">
        <v>1019</v>
      </c>
      <c r="D4640" t="s">
        <v>2133</v>
      </c>
      <c r="F4640" t="str">
        <f>"254125"</f>
        <v>254125</v>
      </c>
      <c r="G4640" t="s">
        <v>49</v>
      </c>
      <c r="I4640" t="s">
        <v>2133</v>
      </c>
      <c r="K4640" t="s">
        <v>51</v>
      </c>
      <c r="L4640" t="s">
        <v>52</v>
      </c>
      <c r="M4640">
        <v>131725.03</v>
      </c>
      <c r="N4640">
        <v>473637.3</v>
      </c>
      <c r="O4640" t="s">
        <v>53</v>
      </c>
      <c r="P4640" t="s">
        <v>54</v>
      </c>
      <c r="Q4640" t="s">
        <v>55</v>
      </c>
      <c r="T4640" t="s">
        <v>246</v>
      </c>
      <c r="U4640">
        <v>40</v>
      </c>
      <c r="V4640" s="1">
        <v>44341</v>
      </c>
      <c r="W4640" s="1">
        <v>44341</v>
      </c>
      <c r="X4640" s="1">
        <v>44341</v>
      </c>
      <c r="Y4640" s="1">
        <v>58951</v>
      </c>
      <c r="Z4640" t="s">
        <v>51</v>
      </c>
      <c r="AB4640" t="s">
        <v>54</v>
      </c>
      <c r="AE4640" t="s">
        <v>1065</v>
      </c>
      <c r="AF4640">
        <v>20</v>
      </c>
      <c r="AG4640" s="1">
        <v>44341</v>
      </c>
      <c r="AH4640" s="1">
        <v>44341</v>
      </c>
      <c r="AI4640" s="1">
        <v>44341</v>
      </c>
      <c r="AJ4640" s="1">
        <v>51646</v>
      </c>
      <c r="AK4640" t="s">
        <v>51</v>
      </c>
      <c r="AN4640">
        <v>0</v>
      </c>
      <c r="AO4640" t="s">
        <v>54</v>
      </c>
      <c r="AP4640" t="s">
        <v>53</v>
      </c>
      <c r="AQ4640">
        <v>0</v>
      </c>
      <c r="AR4640" t="s">
        <v>53</v>
      </c>
      <c r="AS4640">
        <v>0</v>
      </c>
      <c r="AT4640">
        <v>0</v>
      </c>
      <c r="AW4640" t="s">
        <v>172</v>
      </c>
      <c r="AX4640">
        <v>15</v>
      </c>
      <c r="AY4640" s="1">
        <v>44341</v>
      </c>
      <c r="AZ4640" s="1">
        <v>44341</v>
      </c>
      <c r="BA4640" s="1">
        <v>44341</v>
      </c>
      <c r="BB4640" s="1">
        <v>49820</v>
      </c>
      <c r="BC4640" t="s">
        <v>51</v>
      </c>
      <c r="BE4640" t="s">
        <v>54</v>
      </c>
      <c r="BF4640">
        <v>40</v>
      </c>
      <c r="BG4640">
        <v>0</v>
      </c>
      <c r="BH4640" t="s">
        <v>145</v>
      </c>
      <c r="CC4640" t="s">
        <v>250</v>
      </c>
      <c r="CD4640">
        <v>100000</v>
      </c>
      <c r="CE4640" s="1">
        <v>44341</v>
      </c>
      <c r="CF4640" s="1">
        <v>44341</v>
      </c>
      <c r="CG4640" s="1">
        <v>44341</v>
      </c>
      <c r="CH4640" s="1">
        <v>53310</v>
      </c>
      <c r="CI4640" t="s">
        <v>51</v>
      </c>
      <c r="CK4640" t="s">
        <v>78</v>
      </c>
      <c r="CM4640" t="s">
        <v>54</v>
      </c>
      <c r="CN4640" t="s">
        <v>174</v>
      </c>
      <c r="CR4640">
        <v>13.2</v>
      </c>
      <c r="CS4640">
        <v>1800</v>
      </c>
      <c r="CT4640">
        <v>0</v>
      </c>
      <c r="CU4640">
        <v>16</v>
      </c>
    </row>
    <row r="4641" spans="1:99" x14ac:dyDescent="0.2">
      <c r="A4641" t="s">
        <v>1012</v>
      </c>
      <c r="B4641" t="s">
        <v>1013</v>
      </c>
      <c r="C4641" t="s">
        <v>1019</v>
      </c>
      <c r="D4641" t="s">
        <v>2133</v>
      </c>
      <c r="F4641" t="str">
        <f>"254124"</f>
        <v>254124</v>
      </c>
      <c r="G4641" t="s">
        <v>49</v>
      </c>
      <c r="I4641" t="s">
        <v>2133</v>
      </c>
      <c r="K4641" t="s">
        <v>51</v>
      </c>
      <c r="L4641" t="s">
        <v>52</v>
      </c>
      <c r="M4641">
        <v>131697.45000000001</v>
      </c>
      <c r="N4641">
        <v>473637.33</v>
      </c>
      <c r="O4641" t="s">
        <v>53</v>
      </c>
      <c r="P4641" t="s">
        <v>54</v>
      </c>
      <c r="Q4641" t="s">
        <v>55</v>
      </c>
      <c r="T4641" t="s">
        <v>246</v>
      </c>
      <c r="U4641">
        <v>40</v>
      </c>
      <c r="V4641" s="1">
        <v>44341</v>
      </c>
      <c r="W4641" s="1">
        <v>44341</v>
      </c>
      <c r="X4641" s="1">
        <v>44341</v>
      </c>
      <c r="Y4641" s="1">
        <v>58951</v>
      </c>
      <c r="Z4641" t="s">
        <v>51</v>
      </c>
      <c r="AB4641" t="s">
        <v>54</v>
      </c>
      <c r="AE4641" t="s">
        <v>1065</v>
      </c>
      <c r="AF4641">
        <v>20</v>
      </c>
      <c r="AG4641" s="1">
        <v>44341</v>
      </c>
      <c r="AH4641" s="1">
        <v>44341</v>
      </c>
      <c r="AI4641" s="1">
        <v>44341</v>
      </c>
      <c r="AJ4641" s="1">
        <v>51646</v>
      </c>
      <c r="AK4641" t="s">
        <v>51</v>
      </c>
      <c r="AN4641">
        <v>0</v>
      </c>
      <c r="AO4641" t="s">
        <v>54</v>
      </c>
      <c r="AP4641" t="s">
        <v>53</v>
      </c>
      <c r="AQ4641">
        <v>0</v>
      </c>
      <c r="AR4641" t="s">
        <v>53</v>
      </c>
      <c r="AS4641">
        <v>0</v>
      </c>
      <c r="AT4641">
        <v>0</v>
      </c>
      <c r="AW4641" t="s">
        <v>172</v>
      </c>
      <c r="AX4641">
        <v>15</v>
      </c>
      <c r="AY4641" s="1">
        <v>44341</v>
      </c>
      <c r="AZ4641" s="1">
        <v>44341</v>
      </c>
      <c r="BA4641" s="1">
        <v>44341</v>
      </c>
      <c r="BB4641" s="1">
        <v>49820</v>
      </c>
      <c r="BC4641" t="s">
        <v>51</v>
      </c>
      <c r="BE4641" t="s">
        <v>54</v>
      </c>
      <c r="BF4641">
        <v>40</v>
      </c>
      <c r="BG4641">
        <v>0</v>
      </c>
      <c r="BH4641" t="s">
        <v>145</v>
      </c>
      <c r="CC4641" t="s">
        <v>250</v>
      </c>
      <c r="CD4641">
        <v>100000</v>
      </c>
      <c r="CE4641" s="1">
        <v>44341</v>
      </c>
      <c r="CF4641" s="1">
        <v>44341</v>
      </c>
      <c r="CG4641" s="1">
        <v>44341</v>
      </c>
      <c r="CH4641" s="1">
        <v>53310</v>
      </c>
      <c r="CI4641" t="s">
        <v>51</v>
      </c>
      <c r="CK4641" t="s">
        <v>78</v>
      </c>
      <c r="CM4641" t="s">
        <v>54</v>
      </c>
      <c r="CN4641" t="s">
        <v>174</v>
      </c>
      <c r="CR4641">
        <v>13.2</v>
      </c>
      <c r="CS4641">
        <v>1800</v>
      </c>
      <c r="CT4641">
        <v>0</v>
      </c>
      <c r="CU4641">
        <v>16</v>
      </c>
    </row>
    <row r="4642" spans="1:99" x14ac:dyDescent="0.2">
      <c r="A4642" t="s">
        <v>1012</v>
      </c>
      <c r="B4642" t="s">
        <v>1013</v>
      </c>
      <c r="C4642" t="s">
        <v>1019</v>
      </c>
      <c r="D4642" t="s">
        <v>2133</v>
      </c>
      <c r="F4642" t="str">
        <f>"254132"</f>
        <v>254132</v>
      </c>
      <c r="G4642" t="s">
        <v>49</v>
      </c>
      <c r="I4642" t="s">
        <v>2133</v>
      </c>
      <c r="K4642" t="s">
        <v>51</v>
      </c>
      <c r="L4642" t="s">
        <v>52</v>
      </c>
      <c r="M4642">
        <v>131766.03</v>
      </c>
      <c r="N4642">
        <v>473601.93</v>
      </c>
      <c r="O4642" t="s">
        <v>53</v>
      </c>
      <c r="P4642" t="s">
        <v>54</v>
      </c>
      <c r="Q4642" t="s">
        <v>55</v>
      </c>
      <c r="T4642" t="s">
        <v>246</v>
      </c>
      <c r="U4642">
        <v>40</v>
      </c>
      <c r="V4642" s="1">
        <v>44341</v>
      </c>
      <c r="W4642" s="1">
        <v>44341</v>
      </c>
      <c r="X4642" s="1">
        <v>44341</v>
      </c>
      <c r="Y4642" s="1">
        <v>58951</v>
      </c>
      <c r="Z4642" t="s">
        <v>51</v>
      </c>
      <c r="AB4642" t="s">
        <v>54</v>
      </c>
      <c r="AE4642" t="s">
        <v>1065</v>
      </c>
      <c r="AF4642">
        <v>20</v>
      </c>
      <c r="AG4642" s="1">
        <v>44341</v>
      </c>
      <c r="AH4642" s="1">
        <v>44341</v>
      </c>
      <c r="AI4642" s="1">
        <v>44341</v>
      </c>
      <c r="AJ4642" s="1">
        <v>51646</v>
      </c>
      <c r="AK4642" t="s">
        <v>51</v>
      </c>
      <c r="AN4642">
        <v>0</v>
      </c>
      <c r="AO4642" t="s">
        <v>54</v>
      </c>
      <c r="AP4642" t="s">
        <v>53</v>
      </c>
      <c r="AQ4642">
        <v>0</v>
      </c>
      <c r="AR4642" t="s">
        <v>53</v>
      </c>
      <c r="AS4642">
        <v>0</v>
      </c>
      <c r="AT4642">
        <v>0</v>
      </c>
      <c r="AW4642" t="s">
        <v>172</v>
      </c>
      <c r="AX4642">
        <v>15</v>
      </c>
      <c r="AY4642" s="1">
        <v>44341</v>
      </c>
      <c r="AZ4642" s="1">
        <v>44341</v>
      </c>
      <c r="BA4642" s="1">
        <v>44341</v>
      </c>
      <c r="BB4642" s="1">
        <v>49820</v>
      </c>
      <c r="BC4642" t="s">
        <v>51</v>
      </c>
      <c r="BE4642" t="s">
        <v>54</v>
      </c>
      <c r="BF4642">
        <v>40</v>
      </c>
      <c r="BG4642">
        <v>0</v>
      </c>
      <c r="BH4642" t="s">
        <v>145</v>
      </c>
      <c r="CC4642" t="s">
        <v>250</v>
      </c>
      <c r="CD4642">
        <v>100000</v>
      </c>
      <c r="CE4642" s="1">
        <v>44341</v>
      </c>
      <c r="CF4642" s="1">
        <v>44341</v>
      </c>
      <c r="CG4642" s="1">
        <v>44341</v>
      </c>
      <c r="CH4642" s="1">
        <v>53310</v>
      </c>
      <c r="CI4642" t="s">
        <v>51</v>
      </c>
      <c r="CK4642" t="s">
        <v>78</v>
      </c>
      <c r="CM4642" t="s">
        <v>54</v>
      </c>
      <c r="CN4642" t="s">
        <v>174</v>
      </c>
      <c r="CR4642">
        <v>13.2</v>
      </c>
      <c r="CS4642">
        <v>1800</v>
      </c>
      <c r="CT4642">
        <v>0</v>
      </c>
      <c r="CU4642">
        <v>16</v>
      </c>
    </row>
    <row r="4643" spans="1:99" x14ac:dyDescent="0.2">
      <c r="A4643" t="s">
        <v>1012</v>
      </c>
      <c r="B4643" t="s">
        <v>1013</v>
      </c>
      <c r="C4643" t="s">
        <v>1019</v>
      </c>
      <c r="D4643" t="s">
        <v>2133</v>
      </c>
      <c r="F4643" t="str">
        <f>"254131"</f>
        <v>254131</v>
      </c>
      <c r="G4643" t="s">
        <v>49</v>
      </c>
      <c r="I4643" t="s">
        <v>2133</v>
      </c>
      <c r="K4643" t="s">
        <v>51</v>
      </c>
      <c r="L4643" t="s">
        <v>52</v>
      </c>
      <c r="M4643">
        <v>131751.6</v>
      </c>
      <c r="N4643">
        <v>473607.24</v>
      </c>
      <c r="O4643" t="s">
        <v>53</v>
      </c>
      <c r="P4643" t="s">
        <v>54</v>
      </c>
      <c r="Q4643" t="s">
        <v>55</v>
      </c>
      <c r="T4643" t="s">
        <v>246</v>
      </c>
      <c r="U4643">
        <v>40</v>
      </c>
      <c r="V4643" s="1">
        <v>44341</v>
      </c>
      <c r="W4643" s="1">
        <v>44341</v>
      </c>
      <c r="X4643" s="1">
        <v>44341</v>
      </c>
      <c r="Y4643" s="1">
        <v>58951</v>
      </c>
      <c r="Z4643" t="s">
        <v>51</v>
      </c>
      <c r="AB4643" t="s">
        <v>54</v>
      </c>
      <c r="AE4643" t="s">
        <v>1065</v>
      </c>
      <c r="AF4643">
        <v>20</v>
      </c>
      <c r="AG4643" s="1">
        <v>44341</v>
      </c>
      <c r="AH4643" s="1">
        <v>44341</v>
      </c>
      <c r="AI4643" s="1">
        <v>44341</v>
      </c>
      <c r="AJ4643" s="1">
        <v>51646</v>
      </c>
      <c r="AK4643" t="s">
        <v>51</v>
      </c>
      <c r="AN4643">
        <v>0</v>
      </c>
      <c r="AO4643" t="s">
        <v>54</v>
      </c>
      <c r="AP4643" t="s">
        <v>53</v>
      </c>
      <c r="AQ4643">
        <v>0</v>
      </c>
      <c r="AR4643" t="s">
        <v>53</v>
      </c>
      <c r="AS4643">
        <v>0</v>
      </c>
      <c r="AT4643">
        <v>0</v>
      </c>
      <c r="AW4643" t="s">
        <v>172</v>
      </c>
      <c r="AX4643">
        <v>15</v>
      </c>
      <c r="AY4643" s="1">
        <v>44341</v>
      </c>
      <c r="AZ4643" s="1">
        <v>44341</v>
      </c>
      <c r="BA4643" s="1">
        <v>44341</v>
      </c>
      <c r="BB4643" s="1">
        <v>49820</v>
      </c>
      <c r="BC4643" t="s">
        <v>51</v>
      </c>
      <c r="BE4643" t="s">
        <v>54</v>
      </c>
      <c r="BF4643">
        <v>40</v>
      </c>
      <c r="BG4643">
        <v>0</v>
      </c>
      <c r="BH4643" t="s">
        <v>145</v>
      </c>
      <c r="CC4643" t="s">
        <v>250</v>
      </c>
      <c r="CD4643">
        <v>100000</v>
      </c>
      <c r="CE4643" s="1">
        <v>44341</v>
      </c>
      <c r="CF4643" s="1">
        <v>44341</v>
      </c>
      <c r="CG4643" s="1">
        <v>44341</v>
      </c>
      <c r="CH4643" s="1">
        <v>53310</v>
      </c>
      <c r="CI4643" t="s">
        <v>51</v>
      </c>
      <c r="CK4643" t="s">
        <v>78</v>
      </c>
      <c r="CM4643" t="s">
        <v>54</v>
      </c>
      <c r="CN4643" t="s">
        <v>174</v>
      </c>
      <c r="CR4643">
        <v>13.2</v>
      </c>
      <c r="CS4643">
        <v>1800</v>
      </c>
      <c r="CT4643">
        <v>0</v>
      </c>
      <c r="CU4643">
        <v>16</v>
      </c>
    </row>
    <row r="4644" spans="1:99" x14ac:dyDescent="0.2">
      <c r="A4644" t="s">
        <v>1012</v>
      </c>
      <c r="B4644" t="s">
        <v>1013</v>
      </c>
      <c r="C4644" t="s">
        <v>2122</v>
      </c>
      <c r="D4644" t="s">
        <v>2123</v>
      </c>
      <c r="F4644" t="str">
        <f>"254169"</f>
        <v>254169</v>
      </c>
      <c r="G4644" t="s">
        <v>49</v>
      </c>
      <c r="K4644" t="s">
        <v>51</v>
      </c>
      <c r="L4644" t="s">
        <v>52</v>
      </c>
      <c r="M4644">
        <v>131726.07999999999</v>
      </c>
      <c r="N4644">
        <v>473556.36</v>
      </c>
      <c r="O4644" t="s">
        <v>53</v>
      </c>
      <c r="P4644" t="s">
        <v>54</v>
      </c>
      <c r="Q4644" t="s">
        <v>55</v>
      </c>
      <c r="T4644" t="s">
        <v>246</v>
      </c>
      <c r="U4644">
        <v>40</v>
      </c>
      <c r="V4644" s="1">
        <v>44341</v>
      </c>
      <c r="W4644" s="1">
        <v>44341</v>
      </c>
      <c r="X4644" s="1">
        <v>44341</v>
      </c>
      <c r="Y4644" s="1">
        <v>58951</v>
      </c>
      <c r="Z4644" t="s">
        <v>51</v>
      </c>
      <c r="AB4644" t="s">
        <v>54</v>
      </c>
      <c r="AE4644" t="s">
        <v>1065</v>
      </c>
      <c r="AF4644">
        <v>20</v>
      </c>
      <c r="AG4644" s="1">
        <v>44341</v>
      </c>
      <c r="AH4644" s="1">
        <v>44341</v>
      </c>
      <c r="AI4644" s="1">
        <v>44341</v>
      </c>
      <c r="AJ4644" s="1">
        <v>51646</v>
      </c>
      <c r="AK4644" t="s">
        <v>51</v>
      </c>
      <c r="AN4644">
        <v>0</v>
      </c>
      <c r="AO4644" t="s">
        <v>54</v>
      </c>
      <c r="AP4644" t="s">
        <v>53</v>
      </c>
      <c r="AQ4644">
        <v>0</v>
      </c>
      <c r="AR4644" t="s">
        <v>53</v>
      </c>
      <c r="AS4644">
        <v>0</v>
      </c>
      <c r="AT4644">
        <v>0</v>
      </c>
      <c r="AW4644" t="s">
        <v>172</v>
      </c>
      <c r="AX4644">
        <v>15</v>
      </c>
      <c r="AY4644" s="1">
        <v>44341</v>
      </c>
      <c r="AZ4644" s="1">
        <v>44341</v>
      </c>
      <c r="BA4644" s="1">
        <v>44341</v>
      </c>
      <c r="BB4644" s="1">
        <v>49820</v>
      </c>
      <c r="BC4644" t="s">
        <v>51</v>
      </c>
      <c r="BE4644" t="s">
        <v>54</v>
      </c>
      <c r="BF4644">
        <v>40</v>
      </c>
      <c r="BG4644">
        <v>0</v>
      </c>
      <c r="BH4644" t="s">
        <v>145</v>
      </c>
      <c r="CC4644" t="s">
        <v>250</v>
      </c>
      <c r="CD4644">
        <v>100000</v>
      </c>
      <c r="CE4644" s="1">
        <v>44341</v>
      </c>
      <c r="CF4644" s="1">
        <v>44341</v>
      </c>
      <c r="CG4644" s="1">
        <v>44341</v>
      </c>
      <c r="CH4644" s="1">
        <v>53310</v>
      </c>
      <c r="CI4644" t="s">
        <v>51</v>
      </c>
      <c r="CK4644" t="s">
        <v>78</v>
      </c>
      <c r="CM4644" t="s">
        <v>54</v>
      </c>
      <c r="CN4644" t="s">
        <v>174</v>
      </c>
      <c r="CR4644">
        <v>13.2</v>
      </c>
      <c r="CS4644">
        <v>1800</v>
      </c>
      <c r="CT4644">
        <v>0</v>
      </c>
      <c r="CU4644">
        <v>16</v>
      </c>
    </row>
    <row r="4645" spans="1:99" x14ac:dyDescent="0.2">
      <c r="A4645" t="s">
        <v>1012</v>
      </c>
      <c r="B4645" t="s">
        <v>1013</v>
      </c>
      <c r="C4645" t="s">
        <v>2122</v>
      </c>
      <c r="D4645" t="s">
        <v>2123</v>
      </c>
      <c r="F4645" t="str">
        <f>"254165"</f>
        <v>254165</v>
      </c>
      <c r="G4645" t="s">
        <v>49</v>
      </c>
      <c r="I4645" t="s">
        <v>2123</v>
      </c>
      <c r="K4645" t="s">
        <v>51</v>
      </c>
      <c r="L4645" t="s">
        <v>52</v>
      </c>
      <c r="M4645">
        <v>131807.87</v>
      </c>
      <c r="N4645">
        <v>473548.55</v>
      </c>
      <c r="O4645" t="s">
        <v>53</v>
      </c>
      <c r="P4645" t="s">
        <v>54</v>
      </c>
      <c r="Q4645" t="s">
        <v>55</v>
      </c>
      <c r="T4645" t="s">
        <v>246</v>
      </c>
      <c r="U4645">
        <v>40</v>
      </c>
      <c r="V4645" s="1">
        <v>44341</v>
      </c>
      <c r="W4645" s="1">
        <v>44341</v>
      </c>
      <c r="X4645" s="1">
        <v>44341</v>
      </c>
      <c r="Y4645" s="1">
        <v>58951</v>
      </c>
      <c r="Z4645" t="s">
        <v>51</v>
      </c>
      <c r="AB4645" t="s">
        <v>54</v>
      </c>
      <c r="AE4645" t="s">
        <v>1065</v>
      </c>
      <c r="AF4645">
        <v>20</v>
      </c>
      <c r="AG4645" s="1">
        <v>44341</v>
      </c>
      <c r="AH4645" s="1">
        <v>44341</v>
      </c>
      <c r="AI4645" s="1">
        <v>44341</v>
      </c>
      <c r="AJ4645" s="1">
        <v>51646</v>
      </c>
      <c r="AK4645" t="s">
        <v>51</v>
      </c>
      <c r="AN4645">
        <v>0</v>
      </c>
      <c r="AO4645" t="s">
        <v>54</v>
      </c>
      <c r="AP4645" t="s">
        <v>53</v>
      </c>
      <c r="AQ4645">
        <v>0</v>
      </c>
      <c r="AR4645" t="s">
        <v>53</v>
      </c>
      <c r="AS4645">
        <v>0</v>
      </c>
      <c r="AT4645">
        <v>0</v>
      </c>
      <c r="AW4645" t="s">
        <v>172</v>
      </c>
      <c r="AX4645">
        <v>15</v>
      </c>
      <c r="AY4645" s="1">
        <v>44341</v>
      </c>
      <c r="AZ4645" s="1">
        <v>44341</v>
      </c>
      <c r="BA4645" s="1">
        <v>44341</v>
      </c>
      <c r="BB4645" s="1">
        <v>49820</v>
      </c>
      <c r="BC4645" t="s">
        <v>51</v>
      </c>
      <c r="BE4645" t="s">
        <v>54</v>
      </c>
      <c r="BF4645">
        <v>40</v>
      </c>
      <c r="BG4645">
        <v>0</v>
      </c>
      <c r="BH4645" t="s">
        <v>145</v>
      </c>
      <c r="CC4645" t="s">
        <v>250</v>
      </c>
      <c r="CD4645">
        <v>100000</v>
      </c>
      <c r="CE4645" s="1">
        <v>44341</v>
      </c>
      <c r="CF4645" s="1">
        <v>44341</v>
      </c>
      <c r="CG4645" s="1">
        <v>44341</v>
      </c>
      <c r="CH4645" s="1">
        <v>53310</v>
      </c>
      <c r="CI4645" t="s">
        <v>51</v>
      </c>
      <c r="CK4645" t="s">
        <v>78</v>
      </c>
      <c r="CM4645" t="s">
        <v>54</v>
      </c>
      <c r="CN4645" t="s">
        <v>174</v>
      </c>
      <c r="CR4645">
        <v>13.2</v>
      </c>
      <c r="CS4645">
        <v>1800</v>
      </c>
      <c r="CT4645">
        <v>0</v>
      </c>
      <c r="CU4645">
        <v>16</v>
      </c>
    </row>
    <row r="4646" spans="1:99" x14ac:dyDescent="0.2">
      <c r="A4646" t="s">
        <v>1012</v>
      </c>
      <c r="B4646" t="s">
        <v>1013</v>
      </c>
      <c r="C4646" t="s">
        <v>2122</v>
      </c>
      <c r="D4646" t="s">
        <v>2123</v>
      </c>
      <c r="F4646" t="str">
        <f>"254166"</f>
        <v>254166</v>
      </c>
      <c r="G4646" t="s">
        <v>49</v>
      </c>
      <c r="K4646" t="s">
        <v>51</v>
      </c>
      <c r="L4646" t="s">
        <v>52</v>
      </c>
      <c r="M4646">
        <v>131790.73000000001</v>
      </c>
      <c r="N4646">
        <v>473553.88</v>
      </c>
      <c r="O4646" t="s">
        <v>53</v>
      </c>
      <c r="P4646" t="s">
        <v>54</v>
      </c>
      <c r="Q4646" t="s">
        <v>55</v>
      </c>
      <c r="T4646" t="s">
        <v>246</v>
      </c>
      <c r="U4646">
        <v>40</v>
      </c>
      <c r="V4646" s="1">
        <v>44341</v>
      </c>
      <c r="W4646" s="1">
        <v>44341</v>
      </c>
      <c r="X4646" s="1">
        <v>44341</v>
      </c>
      <c r="Y4646" s="1">
        <v>58951</v>
      </c>
      <c r="Z4646" t="s">
        <v>51</v>
      </c>
      <c r="AB4646" t="s">
        <v>54</v>
      </c>
      <c r="AE4646" t="s">
        <v>1065</v>
      </c>
      <c r="AF4646">
        <v>20</v>
      </c>
      <c r="AG4646" s="1">
        <v>44341</v>
      </c>
      <c r="AH4646" s="1">
        <v>44341</v>
      </c>
      <c r="AI4646" s="1">
        <v>44341</v>
      </c>
      <c r="AJ4646" s="1">
        <v>51646</v>
      </c>
      <c r="AK4646" t="s">
        <v>51</v>
      </c>
      <c r="AN4646">
        <v>0</v>
      </c>
      <c r="AO4646" t="s">
        <v>54</v>
      </c>
      <c r="AP4646" t="s">
        <v>53</v>
      </c>
      <c r="AQ4646">
        <v>0</v>
      </c>
      <c r="AR4646" t="s">
        <v>53</v>
      </c>
      <c r="AS4646">
        <v>0</v>
      </c>
      <c r="AT4646">
        <v>0</v>
      </c>
      <c r="AW4646" t="s">
        <v>172</v>
      </c>
      <c r="AX4646">
        <v>15</v>
      </c>
      <c r="AY4646" s="1">
        <v>44341</v>
      </c>
      <c r="AZ4646" s="1">
        <v>44341</v>
      </c>
      <c r="BA4646" s="1">
        <v>44341</v>
      </c>
      <c r="BB4646" s="1">
        <v>49820</v>
      </c>
      <c r="BC4646" t="s">
        <v>51</v>
      </c>
      <c r="BE4646" t="s">
        <v>54</v>
      </c>
      <c r="BF4646">
        <v>40</v>
      </c>
      <c r="BG4646">
        <v>0</v>
      </c>
      <c r="BH4646" t="s">
        <v>145</v>
      </c>
      <c r="CC4646" t="s">
        <v>250</v>
      </c>
      <c r="CD4646">
        <v>100000</v>
      </c>
      <c r="CE4646" s="1">
        <v>44341</v>
      </c>
      <c r="CF4646" s="1">
        <v>44341</v>
      </c>
      <c r="CG4646" s="1">
        <v>44341</v>
      </c>
      <c r="CH4646" s="1">
        <v>53310</v>
      </c>
      <c r="CI4646" t="s">
        <v>51</v>
      </c>
      <c r="CK4646" t="s">
        <v>78</v>
      </c>
      <c r="CM4646" t="s">
        <v>54</v>
      </c>
      <c r="CN4646" t="s">
        <v>174</v>
      </c>
      <c r="CR4646">
        <v>13.2</v>
      </c>
      <c r="CS4646">
        <v>1800</v>
      </c>
      <c r="CT4646">
        <v>0</v>
      </c>
      <c r="CU4646">
        <v>16</v>
      </c>
    </row>
    <row r="4647" spans="1:99" x14ac:dyDescent="0.2">
      <c r="A4647" t="s">
        <v>1012</v>
      </c>
      <c r="B4647" t="s">
        <v>1013</v>
      </c>
      <c r="C4647" t="s">
        <v>2122</v>
      </c>
      <c r="D4647" t="s">
        <v>2123</v>
      </c>
      <c r="F4647" t="str">
        <f>"254168"</f>
        <v>254168</v>
      </c>
      <c r="G4647" t="s">
        <v>49</v>
      </c>
      <c r="K4647" t="s">
        <v>51</v>
      </c>
      <c r="L4647" t="s">
        <v>52</v>
      </c>
      <c r="M4647">
        <v>131742.19</v>
      </c>
      <c r="N4647">
        <v>473569.52</v>
      </c>
      <c r="O4647" t="s">
        <v>53</v>
      </c>
      <c r="P4647" t="s">
        <v>54</v>
      </c>
      <c r="Q4647" t="s">
        <v>55</v>
      </c>
      <c r="T4647" t="s">
        <v>246</v>
      </c>
      <c r="U4647">
        <v>40</v>
      </c>
      <c r="V4647" s="1">
        <v>44341</v>
      </c>
      <c r="W4647" s="1">
        <v>44341</v>
      </c>
      <c r="X4647" s="1">
        <v>44341</v>
      </c>
      <c r="Y4647" s="1">
        <v>58951</v>
      </c>
      <c r="Z4647" t="s">
        <v>51</v>
      </c>
      <c r="AB4647" t="s">
        <v>54</v>
      </c>
      <c r="AE4647" t="s">
        <v>1065</v>
      </c>
      <c r="AF4647">
        <v>20</v>
      </c>
      <c r="AG4647" s="1">
        <v>44341</v>
      </c>
      <c r="AH4647" s="1">
        <v>44341</v>
      </c>
      <c r="AI4647" s="1">
        <v>44341</v>
      </c>
      <c r="AJ4647" s="1">
        <v>51646</v>
      </c>
      <c r="AK4647" t="s">
        <v>51</v>
      </c>
      <c r="AN4647">
        <v>0</v>
      </c>
      <c r="AO4647" t="s">
        <v>54</v>
      </c>
      <c r="AP4647" t="s">
        <v>53</v>
      </c>
      <c r="AQ4647">
        <v>0</v>
      </c>
      <c r="AR4647" t="s">
        <v>53</v>
      </c>
      <c r="AS4647">
        <v>0</v>
      </c>
      <c r="AT4647">
        <v>0</v>
      </c>
      <c r="AW4647" t="s">
        <v>172</v>
      </c>
      <c r="AX4647">
        <v>15</v>
      </c>
      <c r="AY4647" s="1">
        <v>44341</v>
      </c>
      <c r="AZ4647" s="1">
        <v>44341</v>
      </c>
      <c r="BA4647" s="1">
        <v>44341</v>
      </c>
      <c r="BB4647" s="1">
        <v>49820</v>
      </c>
      <c r="BC4647" t="s">
        <v>51</v>
      </c>
      <c r="BE4647" t="s">
        <v>54</v>
      </c>
      <c r="BF4647">
        <v>40</v>
      </c>
      <c r="BG4647">
        <v>0</v>
      </c>
      <c r="BH4647" t="s">
        <v>145</v>
      </c>
      <c r="CC4647" t="s">
        <v>250</v>
      </c>
      <c r="CD4647">
        <v>100000</v>
      </c>
      <c r="CE4647" s="1">
        <v>44341</v>
      </c>
      <c r="CF4647" s="1">
        <v>44341</v>
      </c>
      <c r="CG4647" s="1">
        <v>44341</v>
      </c>
      <c r="CH4647" s="1">
        <v>53310</v>
      </c>
      <c r="CI4647" t="s">
        <v>51</v>
      </c>
      <c r="CK4647" t="s">
        <v>78</v>
      </c>
      <c r="CM4647" t="s">
        <v>54</v>
      </c>
      <c r="CN4647" t="s">
        <v>174</v>
      </c>
      <c r="CR4647">
        <v>13.2</v>
      </c>
      <c r="CS4647">
        <v>1800</v>
      </c>
      <c r="CT4647">
        <v>0</v>
      </c>
      <c r="CU4647">
        <v>16</v>
      </c>
    </row>
    <row r="4648" spans="1:99" x14ac:dyDescent="0.2">
      <c r="A4648" t="s">
        <v>1012</v>
      </c>
      <c r="B4648" t="s">
        <v>1013</v>
      </c>
      <c r="C4648" t="s">
        <v>2122</v>
      </c>
      <c r="D4648" t="s">
        <v>2123</v>
      </c>
      <c r="F4648" t="str">
        <f>"254167"</f>
        <v>254167</v>
      </c>
      <c r="G4648" t="s">
        <v>49</v>
      </c>
      <c r="K4648" t="s">
        <v>51</v>
      </c>
      <c r="L4648" t="s">
        <v>52</v>
      </c>
      <c r="M4648">
        <v>131765.29</v>
      </c>
      <c r="N4648">
        <v>473561.77</v>
      </c>
      <c r="O4648" t="s">
        <v>53</v>
      </c>
      <c r="P4648" t="s">
        <v>54</v>
      </c>
      <c r="Q4648" t="s">
        <v>55</v>
      </c>
      <c r="T4648" t="s">
        <v>246</v>
      </c>
      <c r="U4648">
        <v>40</v>
      </c>
      <c r="V4648" s="1">
        <v>44341</v>
      </c>
      <c r="W4648" s="1">
        <v>44341</v>
      </c>
      <c r="X4648" s="1">
        <v>44341</v>
      </c>
      <c r="Y4648" s="1">
        <v>58951</v>
      </c>
      <c r="Z4648" t="s">
        <v>51</v>
      </c>
      <c r="AB4648" t="s">
        <v>54</v>
      </c>
      <c r="AE4648" t="s">
        <v>1065</v>
      </c>
      <c r="AF4648">
        <v>20</v>
      </c>
      <c r="AG4648" s="1">
        <v>44341</v>
      </c>
      <c r="AH4648" s="1">
        <v>44341</v>
      </c>
      <c r="AI4648" s="1">
        <v>44341</v>
      </c>
      <c r="AJ4648" s="1">
        <v>51646</v>
      </c>
      <c r="AK4648" t="s">
        <v>51</v>
      </c>
      <c r="AN4648">
        <v>0</v>
      </c>
      <c r="AO4648" t="s">
        <v>54</v>
      </c>
      <c r="AP4648" t="s">
        <v>53</v>
      </c>
      <c r="AQ4648">
        <v>0</v>
      </c>
      <c r="AR4648" t="s">
        <v>53</v>
      </c>
      <c r="AS4648">
        <v>0</v>
      </c>
      <c r="AT4648">
        <v>0</v>
      </c>
      <c r="AW4648" t="s">
        <v>172</v>
      </c>
      <c r="AX4648">
        <v>15</v>
      </c>
      <c r="AY4648" s="1">
        <v>44341</v>
      </c>
      <c r="AZ4648" s="1">
        <v>44341</v>
      </c>
      <c r="BA4648" s="1">
        <v>44341</v>
      </c>
      <c r="BB4648" s="1">
        <v>49820</v>
      </c>
      <c r="BC4648" t="s">
        <v>51</v>
      </c>
      <c r="BE4648" t="s">
        <v>54</v>
      </c>
      <c r="BF4648">
        <v>40</v>
      </c>
      <c r="BG4648">
        <v>0</v>
      </c>
      <c r="BH4648" t="s">
        <v>145</v>
      </c>
      <c r="CC4648" t="s">
        <v>250</v>
      </c>
      <c r="CD4648">
        <v>100000</v>
      </c>
      <c r="CE4648" s="1">
        <v>44341</v>
      </c>
      <c r="CF4648" s="1">
        <v>44341</v>
      </c>
      <c r="CG4648" s="1">
        <v>44341</v>
      </c>
      <c r="CH4648" s="1">
        <v>53310</v>
      </c>
      <c r="CI4648" t="s">
        <v>51</v>
      </c>
      <c r="CK4648" t="s">
        <v>78</v>
      </c>
      <c r="CM4648" t="s">
        <v>54</v>
      </c>
      <c r="CN4648" t="s">
        <v>174</v>
      </c>
      <c r="CR4648">
        <v>13.2</v>
      </c>
      <c r="CS4648">
        <v>1800</v>
      </c>
      <c r="CT4648">
        <v>0</v>
      </c>
      <c r="CU4648">
        <v>16</v>
      </c>
    </row>
    <row r="4649" spans="1:99" x14ac:dyDescent="0.2">
      <c r="A4649" t="s">
        <v>1012</v>
      </c>
      <c r="B4649" t="s">
        <v>1013</v>
      </c>
      <c r="C4649" t="s">
        <v>1019</v>
      </c>
      <c r="D4649" t="s">
        <v>2131</v>
      </c>
      <c r="F4649" t="str">
        <f>"254161"</f>
        <v>254161</v>
      </c>
      <c r="G4649" t="s">
        <v>49</v>
      </c>
      <c r="I4649" t="s">
        <v>2131</v>
      </c>
      <c r="K4649" t="s">
        <v>51</v>
      </c>
      <c r="L4649" t="s">
        <v>52</v>
      </c>
      <c r="M4649">
        <v>131832.29</v>
      </c>
      <c r="N4649">
        <v>473563.47</v>
      </c>
      <c r="O4649" t="s">
        <v>53</v>
      </c>
      <c r="P4649" t="s">
        <v>54</v>
      </c>
      <c r="Q4649" t="s">
        <v>55</v>
      </c>
      <c r="T4649" t="s">
        <v>246</v>
      </c>
      <c r="U4649">
        <v>40</v>
      </c>
      <c r="V4649" s="1">
        <v>44341</v>
      </c>
      <c r="W4649" s="1">
        <v>44341</v>
      </c>
      <c r="X4649" s="1">
        <v>44341</v>
      </c>
      <c r="Y4649" s="1">
        <v>58951</v>
      </c>
      <c r="Z4649" t="s">
        <v>51</v>
      </c>
      <c r="AB4649" t="s">
        <v>54</v>
      </c>
      <c r="AE4649" t="s">
        <v>1065</v>
      </c>
      <c r="AF4649">
        <v>20</v>
      </c>
      <c r="AG4649" s="1">
        <v>44341</v>
      </c>
      <c r="AH4649" s="1">
        <v>44341</v>
      </c>
      <c r="AI4649" s="1">
        <v>44341</v>
      </c>
      <c r="AJ4649" s="1">
        <v>51646</v>
      </c>
      <c r="AK4649" t="s">
        <v>51</v>
      </c>
      <c r="AN4649">
        <v>0</v>
      </c>
      <c r="AO4649" t="s">
        <v>54</v>
      </c>
      <c r="AP4649" t="s">
        <v>53</v>
      </c>
      <c r="AQ4649">
        <v>0</v>
      </c>
      <c r="AR4649" t="s">
        <v>53</v>
      </c>
      <c r="AS4649">
        <v>0</v>
      </c>
      <c r="AT4649">
        <v>0</v>
      </c>
      <c r="AW4649" t="s">
        <v>172</v>
      </c>
      <c r="AX4649">
        <v>15</v>
      </c>
      <c r="AY4649" s="1">
        <v>44341</v>
      </c>
      <c r="AZ4649" s="1">
        <v>44341</v>
      </c>
      <c r="BA4649" s="1">
        <v>44341</v>
      </c>
      <c r="BB4649" s="1">
        <v>49820</v>
      </c>
      <c r="BC4649" t="s">
        <v>51</v>
      </c>
      <c r="BE4649" t="s">
        <v>54</v>
      </c>
      <c r="BF4649">
        <v>40</v>
      </c>
      <c r="BG4649">
        <v>0</v>
      </c>
      <c r="BH4649" t="s">
        <v>145</v>
      </c>
      <c r="CC4649" t="s">
        <v>250</v>
      </c>
      <c r="CD4649">
        <v>100000</v>
      </c>
      <c r="CE4649" s="1">
        <v>44341</v>
      </c>
      <c r="CF4649" s="1">
        <v>44341</v>
      </c>
      <c r="CG4649" s="1">
        <v>44341</v>
      </c>
      <c r="CH4649" s="1">
        <v>53310</v>
      </c>
      <c r="CI4649" t="s">
        <v>51</v>
      </c>
      <c r="CK4649" t="s">
        <v>78</v>
      </c>
      <c r="CM4649" t="s">
        <v>54</v>
      </c>
      <c r="CN4649" t="s">
        <v>174</v>
      </c>
      <c r="CR4649">
        <v>13.2</v>
      </c>
      <c r="CS4649">
        <v>1800</v>
      </c>
      <c r="CT4649">
        <v>0</v>
      </c>
      <c r="CU4649">
        <v>16</v>
      </c>
    </row>
    <row r="4650" spans="1:99" x14ac:dyDescent="0.2">
      <c r="A4650" t="s">
        <v>1012</v>
      </c>
      <c r="B4650" t="s">
        <v>1013</v>
      </c>
      <c r="C4650" t="s">
        <v>1019</v>
      </c>
      <c r="D4650" t="s">
        <v>2131</v>
      </c>
      <c r="F4650" t="str">
        <f>"254163"</f>
        <v>254163</v>
      </c>
      <c r="G4650" t="s">
        <v>49</v>
      </c>
      <c r="I4650" t="s">
        <v>2131</v>
      </c>
      <c r="K4650" t="s">
        <v>51</v>
      </c>
      <c r="L4650" t="s">
        <v>52</v>
      </c>
      <c r="M4650">
        <v>131842.23999999999</v>
      </c>
      <c r="N4650">
        <v>473585.86</v>
      </c>
      <c r="O4650" t="s">
        <v>53</v>
      </c>
      <c r="P4650" t="s">
        <v>54</v>
      </c>
      <c r="Q4650" t="s">
        <v>55</v>
      </c>
      <c r="T4650" t="s">
        <v>246</v>
      </c>
      <c r="U4650">
        <v>40</v>
      </c>
      <c r="V4650" s="1">
        <v>44341</v>
      </c>
      <c r="W4650" s="1">
        <v>44341</v>
      </c>
      <c r="X4650" s="1">
        <v>44341</v>
      </c>
      <c r="Y4650" s="1">
        <v>58951</v>
      </c>
      <c r="Z4650" t="s">
        <v>51</v>
      </c>
      <c r="AB4650" t="s">
        <v>54</v>
      </c>
      <c r="AE4650" t="s">
        <v>1065</v>
      </c>
      <c r="AF4650">
        <v>20</v>
      </c>
      <c r="AG4650" s="1">
        <v>44341</v>
      </c>
      <c r="AH4650" s="1">
        <v>44341</v>
      </c>
      <c r="AI4650" s="1">
        <v>44341</v>
      </c>
      <c r="AJ4650" s="1">
        <v>51646</v>
      </c>
      <c r="AK4650" t="s">
        <v>51</v>
      </c>
      <c r="AN4650">
        <v>0</v>
      </c>
      <c r="AO4650" t="s">
        <v>54</v>
      </c>
      <c r="AP4650" t="s">
        <v>53</v>
      </c>
      <c r="AQ4650">
        <v>0</v>
      </c>
      <c r="AR4650" t="s">
        <v>53</v>
      </c>
      <c r="AS4650">
        <v>0</v>
      </c>
      <c r="AT4650">
        <v>0</v>
      </c>
      <c r="AW4650" t="s">
        <v>172</v>
      </c>
      <c r="AX4650">
        <v>15</v>
      </c>
      <c r="AY4650" s="1">
        <v>44341</v>
      </c>
      <c r="AZ4650" s="1">
        <v>44341</v>
      </c>
      <c r="BA4650" s="1">
        <v>44341</v>
      </c>
      <c r="BB4650" s="1">
        <v>49820</v>
      </c>
      <c r="BC4650" t="s">
        <v>51</v>
      </c>
      <c r="BE4650" t="s">
        <v>54</v>
      </c>
      <c r="BF4650">
        <v>40</v>
      </c>
      <c r="BG4650">
        <v>0</v>
      </c>
      <c r="BH4650" t="s">
        <v>145</v>
      </c>
      <c r="CC4650" t="s">
        <v>250</v>
      </c>
      <c r="CD4650">
        <v>100000</v>
      </c>
      <c r="CE4650" s="1">
        <v>44341</v>
      </c>
      <c r="CF4650" s="1">
        <v>44341</v>
      </c>
      <c r="CG4650" s="1">
        <v>44341</v>
      </c>
      <c r="CH4650" s="1">
        <v>53310</v>
      </c>
      <c r="CI4650" t="s">
        <v>51</v>
      </c>
      <c r="CK4650" t="s">
        <v>78</v>
      </c>
      <c r="CM4650" t="s">
        <v>54</v>
      </c>
      <c r="CN4650" t="s">
        <v>174</v>
      </c>
      <c r="CR4650">
        <v>13.2</v>
      </c>
      <c r="CS4650">
        <v>1800</v>
      </c>
      <c r="CT4650">
        <v>0</v>
      </c>
      <c r="CU4650">
        <v>16</v>
      </c>
    </row>
    <row r="4651" spans="1:99" x14ac:dyDescent="0.2">
      <c r="A4651" t="s">
        <v>1012</v>
      </c>
      <c r="B4651" t="s">
        <v>1013</v>
      </c>
      <c r="C4651" t="s">
        <v>1019</v>
      </c>
      <c r="D4651" t="s">
        <v>2134</v>
      </c>
      <c r="F4651" t="str">
        <f>"254179"</f>
        <v>254179</v>
      </c>
      <c r="G4651" t="s">
        <v>49</v>
      </c>
      <c r="H4651" t="s">
        <v>2135</v>
      </c>
      <c r="I4651" t="s">
        <v>2135</v>
      </c>
      <c r="K4651" t="s">
        <v>51</v>
      </c>
      <c r="L4651" t="s">
        <v>52</v>
      </c>
      <c r="M4651">
        <v>131672.59</v>
      </c>
      <c r="N4651">
        <v>473694.23</v>
      </c>
      <c r="O4651" t="s">
        <v>53</v>
      </c>
      <c r="P4651" t="s">
        <v>54</v>
      </c>
      <c r="Q4651" t="s">
        <v>55</v>
      </c>
      <c r="T4651" t="s">
        <v>246</v>
      </c>
      <c r="U4651">
        <v>40</v>
      </c>
      <c r="V4651" s="1">
        <v>44341</v>
      </c>
      <c r="W4651" s="1">
        <v>44341</v>
      </c>
      <c r="X4651" s="1">
        <v>44341</v>
      </c>
      <c r="Y4651" s="1">
        <v>58951</v>
      </c>
      <c r="Z4651" t="s">
        <v>51</v>
      </c>
      <c r="AB4651" t="s">
        <v>54</v>
      </c>
      <c r="AE4651" t="s">
        <v>1065</v>
      </c>
      <c r="AF4651">
        <v>20</v>
      </c>
      <c r="AG4651" s="1">
        <v>44341</v>
      </c>
      <c r="AH4651" s="1">
        <v>44341</v>
      </c>
      <c r="AI4651" s="1">
        <v>44341</v>
      </c>
      <c r="AJ4651" s="1">
        <v>51646</v>
      </c>
      <c r="AK4651" t="s">
        <v>51</v>
      </c>
      <c r="AN4651">
        <v>0</v>
      </c>
      <c r="AO4651" t="s">
        <v>54</v>
      </c>
      <c r="AP4651" t="s">
        <v>53</v>
      </c>
      <c r="AQ4651">
        <v>0</v>
      </c>
      <c r="AR4651" t="s">
        <v>53</v>
      </c>
      <c r="AS4651">
        <v>0</v>
      </c>
      <c r="AT4651">
        <v>0</v>
      </c>
      <c r="AW4651" t="s">
        <v>172</v>
      </c>
      <c r="AX4651">
        <v>15</v>
      </c>
      <c r="AY4651" s="1">
        <v>44341</v>
      </c>
      <c r="AZ4651" s="1">
        <v>44341</v>
      </c>
      <c r="BA4651" s="1">
        <v>44341</v>
      </c>
      <c r="BB4651" s="1">
        <v>49820</v>
      </c>
      <c r="BC4651" t="s">
        <v>51</v>
      </c>
      <c r="BE4651" t="s">
        <v>54</v>
      </c>
      <c r="BF4651">
        <v>40</v>
      </c>
      <c r="BG4651">
        <v>0</v>
      </c>
      <c r="BH4651" t="s">
        <v>145</v>
      </c>
      <c r="CC4651" t="s">
        <v>250</v>
      </c>
      <c r="CD4651">
        <v>100000</v>
      </c>
      <c r="CE4651" s="1">
        <v>44341</v>
      </c>
      <c r="CF4651" s="1">
        <v>44341</v>
      </c>
      <c r="CG4651" s="1">
        <v>44341</v>
      </c>
      <c r="CH4651" s="1">
        <v>53310</v>
      </c>
      <c r="CI4651" t="s">
        <v>51</v>
      </c>
      <c r="CK4651" t="s">
        <v>78</v>
      </c>
      <c r="CM4651" t="s">
        <v>54</v>
      </c>
      <c r="CN4651" t="s">
        <v>174</v>
      </c>
      <c r="CR4651">
        <v>13.2</v>
      </c>
      <c r="CS4651">
        <v>1800</v>
      </c>
      <c r="CT4651">
        <v>0</v>
      </c>
      <c r="CU4651">
        <v>16</v>
      </c>
    </row>
    <row r="4652" spans="1:99" x14ac:dyDescent="0.2">
      <c r="A4652" t="s">
        <v>1012</v>
      </c>
      <c r="B4652" t="s">
        <v>1013</v>
      </c>
      <c r="C4652" t="s">
        <v>1019</v>
      </c>
      <c r="D4652" t="s">
        <v>2134</v>
      </c>
      <c r="F4652" t="str">
        <f>"254181"</f>
        <v>254181</v>
      </c>
      <c r="G4652" t="s">
        <v>49</v>
      </c>
      <c r="I4652" t="s">
        <v>2134</v>
      </c>
      <c r="K4652" t="s">
        <v>51</v>
      </c>
      <c r="L4652" t="s">
        <v>52</v>
      </c>
      <c r="M4652">
        <v>131694.12</v>
      </c>
      <c r="N4652">
        <v>473683.18</v>
      </c>
      <c r="O4652" t="s">
        <v>53</v>
      </c>
      <c r="P4652" t="s">
        <v>54</v>
      </c>
      <c r="Q4652" t="s">
        <v>55</v>
      </c>
      <c r="T4652" t="s">
        <v>246</v>
      </c>
      <c r="U4652">
        <v>40</v>
      </c>
      <c r="V4652" s="1">
        <v>44341</v>
      </c>
      <c r="W4652" s="1">
        <v>44341</v>
      </c>
      <c r="X4652" s="1">
        <v>44341</v>
      </c>
      <c r="Y4652" s="1">
        <v>58951</v>
      </c>
      <c r="Z4652" t="s">
        <v>51</v>
      </c>
      <c r="AB4652" t="s">
        <v>54</v>
      </c>
      <c r="AE4652" t="s">
        <v>1065</v>
      </c>
      <c r="AF4652">
        <v>20</v>
      </c>
      <c r="AG4652" s="1">
        <v>44341</v>
      </c>
      <c r="AH4652" s="1">
        <v>44341</v>
      </c>
      <c r="AI4652" s="1">
        <v>44341</v>
      </c>
      <c r="AJ4652" s="1">
        <v>51646</v>
      </c>
      <c r="AK4652" t="s">
        <v>51</v>
      </c>
      <c r="AN4652">
        <v>0</v>
      </c>
      <c r="AO4652" t="s">
        <v>54</v>
      </c>
      <c r="AP4652" t="s">
        <v>53</v>
      </c>
      <c r="AQ4652">
        <v>0</v>
      </c>
      <c r="AR4652" t="s">
        <v>53</v>
      </c>
      <c r="AS4652">
        <v>0</v>
      </c>
      <c r="AT4652">
        <v>0</v>
      </c>
      <c r="AW4652" t="s">
        <v>172</v>
      </c>
      <c r="AX4652">
        <v>15</v>
      </c>
      <c r="AY4652" s="1">
        <v>44341</v>
      </c>
      <c r="AZ4652" s="1">
        <v>44341</v>
      </c>
      <c r="BA4652" s="1">
        <v>44341</v>
      </c>
      <c r="BB4652" s="1">
        <v>49820</v>
      </c>
      <c r="BC4652" t="s">
        <v>51</v>
      </c>
      <c r="BE4652" t="s">
        <v>54</v>
      </c>
      <c r="BF4652">
        <v>40</v>
      </c>
      <c r="BG4652">
        <v>0</v>
      </c>
      <c r="BH4652" t="s">
        <v>145</v>
      </c>
      <c r="CC4652" t="s">
        <v>250</v>
      </c>
      <c r="CD4652">
        <v>100000</v>
      </c>
      <c r="CE4652" s="1">
        <v>44341</v>
      </c>
      <c r="CF4652" s="1">
        <v>44341</v>
      </c>
      <c r="CG4652" s="1">
        <v>44341</v>
      </c>
      <c r="CH4652" s="1">
        <v>53310</v>
      </c>
      <c r="CI4652" t="s">
        <v>51</v>
      </c>
      <c r="CK4652" t="s">
        <v>78</v>
      </c>
      <c r="CM4652" t="s">
        <v>54</v>
      </c>
      <c r="CN4652" t="s">
        <v>174</v>
      </c>
      <c r="CR4652">
        <v>13.2</v>
      </c>
      <c r="CS4652">
        <v>1800</v>
      </c>
      <c r="CT4652">
        <v>0</v>
      </c>
      <c r="CU4652">
        <v>16</v>
      </c>
    </row>
    <row r="4653" spans="1:99" x14ac:dyDescent="0.2">
      <c r="A4653" t="s">
        <v>1012</v>
      </c>
      <c r="B4653" t="s">
        <v>1013</v>
      </c>
      <c r="C4653" t="s">
        <v>1019</v>
      </c>
      <c r="D4653" t="s">
        <v>2134</v>
      </c>
      <c r="F4653" t="str">
        <f>"254180"</f>
        <v>254180</v>
      </c>
      <c r="G4653" t="s">
        <v>49</v>
      </c>
      <c r="I4653" t="s">
        <v>2134</v>
      </c>
      <c r="K4653" t="s">
        <v>51</v>
      </c>
      <c r="L4653" t="s">
        <v>52</v>
      </c>
      <c r="M4653">
        <v>131686.23000000001</v>
      </c>
      <c r="N4653">
        <v>473690.4</v>
      </c>
      <c r="O4653" t="s">
        <v>53</v>
      </c>
      <c r="P4653" t="s">
        <v>54</v>
      </c>
      <c r="Q4653" t="s">
        <v>55</v>
      </c>
      <c r="T4653" t="s">
        <v>246</v>
      </c>
      <c r="U4653">
        <v>40</v>
      </c>
      <c r="V4653" s="1">
        <v>44341</v>
      </c>
      <c r="W4653" s="1">
        <v>44341</v>
      </c>
      <c r="X4653" s="1">
        <v>44341</v>
      </c>
      <c r="Y4653" s="1">
        <v>58951</v>
      </c>
      <c r="Z4653" t="s">
        <v>51</v>
      </c>
      <c r="AB4653" t="s">
        <v>54</v>
      </c>
      <c r="AE4653" t="s">
        <v>1065</v>
      </c>
      <c r="AF4653">
        <v>20</v>
      </c>
      <c r="AG4653" s="1">
        <v>44341</v>
      </c>
      <c r="AH4653" s="1">
        <v>44341</v>
      </c>
      <c r="AI4653" s="1">
        <v>44341</v>
      </c>
      <c r="AJ4653" s="1">
        <v>51646</v>
      </c>
      <c r="AK4653" t="s">
        <v>51</v>
      </c>
      <c r="AN4653">
        <v>0</v>
      </c>
      <c r="AO4653" t="s">
        <v>54</v>
      </c>
      <c r="AP4653" t="s">
        <v>53</v>
      </c>
      <c r="AQ4653">
        <v>0</v>
      </c>
      <c r="AR4653" t="s">
        <v>53</v>
      </c>
      <c r="AS4653">
        <v>0</v>
      </c>
      <c r="AT4653">
        <v>0</v>
      </c>
      <c r="AW4653" t="s">
        <v>172</v>
      </c>
      <c r="AX4653">
        <v>15</v>
      </c>
      <c r="AY4653" s="1">
        <v>44341</v>
      </c>
      <c r="AZ4653" s="1">
        <v>44341</v>
      </c>
      <c r="BA4653" s="1">
        <v>44341</v>
      </c>
      <c r="BB4653" s="1">
        <v>49820</v>
      </c>
      <c r="BC4653" t="s">
        <v>51</v>
      </c>
      <c r="BE4653" t="s">
        <v>54</v>
      </c>
      <c r="BF4653">
        <v>40</v>
      </c>
      <c r="BG4653">
        <v>0</v>
      </c>
      <c r="BH4653" t="s">
        <v>145</v>
      </c>
      <c r="CC4653" t="s">
        <v>250</v>
      </c>
      <c r="CD4653">
        <v>100000</v>
      </c>
      <c r="CE4653" s="1">
        <v>44341</v>
      </c>
      <c r="CF4653" s="1">
        <v>44341</v>
      </c>
      <c r="CG4653" s="1">
        <v>44341</v>
      </c>
      <c r="CH4653" s="1">
        <v>53310</v>
      </c>
      <c r="CI4653" t="s">
        <v>51</v>
      </c>
      <c r="CK4653" t="s">
        <v>78</v>
      </c>
      <c r="CM4653" t="s">
        <v>54</v>
      </c>
      <c r="CN4653" t="s">
        <v>174</v>
      </c>
      <c r="CR4653">
        <v>13.2</v>
      </c>
      <c r="CS4653">
        <v>1800</v>
      </c>
      <c r="CT4653">
        <v>0</v>
      </c>
      <c r="CU4653">
        <v>16</v>
      </c>
    </row>
    <row r="4654" spans="1:99" x14ac:dyDescent="0.2">
      <c r="A4654" t="s">
        <v>1012</v>
      </c>
      <c r="B4654" t="s">
        <v>1013</v>
      </c>
      <c r="C4654" t="s">
        <v>1019</v>
      </c>
      <c r="D4654" t="s">
        <v>2134</v>
      </c>
      <c r="F4654" t="str">
        <f>"254182"</f>
        <v>254182</v>
      </c>
      <c r="G4654" t="s">
        <v>49</v>
      </c>
      <c r="I4654" t="s">
        <v>2134</v>
      </c>
      <c r="K4654" t="s">
        <v>51</v>
      </c>
      <c r="L4654" t="s">
        <v>52</v>
      </c>
      <c r="M4654">
        <v>131711.09</v>
      </c>
      <c r="N4654">
        <v>473682.82</v>
      </c>
      <c r="O4654" t="s">
        <v>53</v>
      </c>
      <c r="P4654" t="s">
        <v>54</v>
      </c>
      <c r="Q4654" t="s">
        <v>55</v>
      </c>
      <c r="T4654" t="s">
        <v>246</v>
      </c>
      <c r="U4654">
        <v>40</v>
      </c>
      <c r="V4654" s="1">
        <v>44341</v>
      </c>
      <c r="W4654" s="1">
        <v>44341</v>
      </c>
      <c r="X4654" s="1">
        <v>44341</v>
      </c>
      <c r="Y4654" s="1">
        <v>58951</v>
      </c>
      <c r="Z4654" t="s">
        <v>51</v>
      </c>
      <c r="AB4654" t="s">
        <v>54</v>
      </c>
      <c r="AE4654" t="s">
        <v>1065</v>
      </c>
      <c r="AF4654">
        <v>20</v>
      </c>
      <c r="AG4654" s="1">
        <v>44341</v>
      </c>
      <c r="AH4654" s="1">
        <v>44341</v>
      </c>
      <c r="AI4654" s="1">
        <v>44341</v>
      </c>
      <c r="AJ4654" s="1">
        <v>51646</v>
      </c>
      <c r="AK4654" t="s">
        <v>51</v>
      </c>
      <c r="AN4654">
        <v>0</v>
      </c>
      <c r="AO4654" t="s">
        <v>54</v>
      </c>
      <c r="AP4654" t="s">
        <v>53</v>
      </c>
      <c r="AQ4654">
        <v>0</v>
      </c>
      <c r="AR4654" t="s">
        <v>53</v>
      </c>
      <c r="AS4654">
        <v>0</v>
      </c>
      <c r="AT4654">
        <v>0</v>
      </c>
      <c r="AW4654" t="s">
        <v>172</v>
      </c>
      <c r="AX4654">
        <v>15</v>
      </c>
      <c r="AY4654" s="1">
        <v>44341</v>
      </c>
      <c r="AZ4654" s="1">
        <v>44341</v>
      </c>
      <c r="BA4654" s="1">
        <v>44341</v>
      </c>
      <c r="BB4654" s="1">
        <v>49820</v>
      </c>
      <c r="BC4654" t="s">
        <v>51</v>
      </c>
      <c r="BE4654" t="s">
        <v>54</v>
      </c>
      <c r="BF4654">
        <v>40</v>
      </c>
      <c r="BG4654">
        <v>0</v>
      </c>
      <c r="BH4654" t="s">
        <v>145</v>
      </c>
      <c r="CC4654" t="s">
        <v>250</v>
      </c>
      <c r="CD4654">
        <v>100000</v>
      </c>
      <c r="CE4654" s="1">
        <v>44341</v>
      </c>
      <c r="CF4654" s="1">
        <v>44341</v>
      </c>
      <c r="CG4654" s="1">
        <v>44341</v>
      </c>
      <c r="CH4654" s="1">
        <v>53310</v>
      </c>
      <c r="CI4654" t="s">
        <v>51</v>
      </c>
      <c r="CK4654" t="s">
        <v>78</v>
      </c>
      <c r="CM4654" t="s">
        <v>54</v>
      </c>
      <c r="CN4654" t="s">
        <v>174</v>
      </c>
      <c r="CR4654">
        <v>13.2</v>
      </c>
      <c r="CS4654">
        <v>1800</v>
      </c>
      <c r="CT4654">
        <v>0</v>
      </c>
      <c r="CU4654">
        <v>16</v>
      </c>
    </row>
    <row r="4655" spans="1:99" x14ac:dyDescent="0.2">
      <c r="A4655" t="s">
        <v>1012</v>
      </c>
      <c r="B4655" t="s">
        <v>1013</v>
      </c>
      <c r="C4655" t="s">
        <v>1019</v>
      </c>
      <c r="D4655" t="s">
        <v>2134</v>
      </c>
      <c r="F4655" t="str">
        <f>"254178"</f>
        <v>254178</v>
      </c>
      <c r="G4655" t="s">
        <v>49</v>
      </c>
      <c r="I4655" t="s">
        <v>2134</v>
      </c>
      <c r="K4655" t="s">
        <v>51</v>
      </c>
      <c r="L4655" t="s">
        <v>52</v>
      </c>
      <c r="M4655">
        <v>131712.85999999999</v>
      </c>
      <c r="N4655">
        <v>473664.39</v>
      </c>
      <c r="O4655" t="s">
        <v>53</v>
      </c>
      <c r="P4655" t="s">
        <v>54</v>
      </c>
      <c r="Q4655" t="s">
        <v>55</v>
      </c>
      <c r="T4655" t="s">
        <v>246</v>
      </c>
      <c r="U4655">
        <v>40</v>
      </c>
      <c r="V4655" s="1">
        <v>44341</v>
      </c>
      <c r="W4655" s="1">
        <v>44341</v>
      </c>
      <c r="X4655" s="1">
        <v>44341</v>
      </c>
      <c r="Y4655" s="1">
        <v>58951</v>
      </c>
      <c r="Z4655" t="s">
        <v>51</v>
      </c>
      <c r="AB4655" t="s">
        <v>54</v>
      </c>
      <c r="AE4655" t="s">
        <v>1065</v>
      </c>
      <c r="AF4655">
        <v>20</v>
      </c>
      <c r="AG4655" s="1">
        <v>44341</v>
      </c>
      <c r="AH4655" s="1">
        <v>44341</v>
      </c>
      <c r="AI4655" s="1">
        <v>44341</v>
      </c>
      <c r="AJ4655" s="1">
        <v>51646</v>
      </c>
      <c r="AK4655" t="s">
        <v>51</v>
      </c>
      <c r="AN4655">
        <v>0</v>
      </c>
      <c r="AO4655" t="s">
        <v>54</v>
      </c>
      <c r="AP4655" t="s">
        <v>53</v>
      </c>
      <c r="AQ4655">
        <v>0</v>
      </c>
      <c r="AR4655" t="s">
        <v>53</v>
      </c>
      <c r="AS4655">
        <v>0</v>
      </c>
      <c r="AT4655">
        <v>0</v>
      </c>
      <c r="AW4655" t="s">
        <v>172</v>
      </c>
      <c r="AX4655">
        <v>15</v>
      </c>
      <c r="AY4655" s="1">
        <v>44341</v>
      </c>
      <c r="AZ4655" s="1">
        <v>44341</v>
      </c>
      <c r="BA4655" s="1">
        <v>44341</v>
      </c>
      <c r="BB4655" s="1">
        <v>49820</v>
      </c>
      <c r="BC4655" t="s">
        <v>51</v>
      </c>
      <c r="BE4655" t="s">
        <v>54</v>
      </c>
      <c r="BF4655">
        <v>40</v>
      </c>
      <c r="BG4655">
        <v>0</v>
      </c>
      <c r="BH4655" t="s">
        <v>145</v>
      </c>
      <c r="CC4655" t="s">
        <v>250</v>
      </c>
      <c r="CD4655">
        <v>100000</v>
      </c>
      <c r="CE4655" s="1">
        <v>44341</v>
      </c>
      <c r="CF4655" s="1">
        <v>44341</v>
      </c>
      <c r="CG4655" s="1">
        <v>44341</v>
      </c>
      <c r="CH4655" s="1">
        <v>53310</v>
      </c>
      <c r="CI4655" t="s">
        <v>51</v>
      </c>
      <c r="CK4655" t="s">
        <v>78</v>
      </c>
      <c r="CM4655" t="s">
        <v>54</v>
      </c>
      <c r="CN4655" t="s">
        <v>174</v>
      </c>
      <c r="CR4655">
        <v>13.2</v>
      </c>
      <c r="CS4655">
        <v>1800</v>
      </c>
      <c r="CT4655">
        <v>0</v>
      </c>
      <c r="CU4655">
        <v>16</v>
      </c>
    </row>
    <row r="4656" spans="1:99" x14ac:dyDescent="0.2">
      <c r="A4656" t="s">
        <v>1012</v>
      </c>
      <c r="B4656" t="s">
        <v>1013</v>
      </c>
      <c r="C4656" t="s">
        <v>1019</v>
      </c>
      <c r="D4656" t="s">
        <v>2134</v>
      </c>
      <c r="F4656" t="str">
        <f>"254177"</f>
        <v>254177</v>
      </c>
      <c r="G4656" t="s">
        <v>49</v>
      </c>
      <c r="I4656" t="s">
        <v>2134</v>
      </c>
      <c r="K4656" t="s">
        <v>51</v>
      </c>
      <c r="L4656" t="s">
        <v>52</v>
      </c>
      <c r="M4656">
        <v>131709.01999999999</v>
      </c>
      <c r="N4656">
        <v>473652.02</v>
      </c>
      <c r="O4656" t="s">
        <v>53</v>
      </c>
      <c r="P4656" t="s">
        <v>54</v>
      </c>
      <c r="Q4656" t="s">
        <v>55</v>
      </c>
      <c r="T4656" t="s">
        <v>246</v>
      </c>
      <c r="U4656">
        <v>40</v>
      </c>
      <c r="V4656" s="1">
        <v>44341</v>
      </c>
      <c r="W4656" s="1">
        <v>44341</v>
      </c>
      <c r="X4656" s="1">
        <v>44341</v>
      </c>
      <c r="Y4656" s="1">
        <v>58951</v>
      </c>
      <c r="Z4656" t="s">
        <v>51</v>
      </c>
      <c r="AB4656" t="s">
        <v>54</v>
      </c>
      <c r="AE4656" t="s">
        <v>1065</v>
      </c>
      <c r="AF4656">
        <v>20</v>
      </c>
      <c r="AG4656" s="1">
        <v>44341</v>
      </c>
      <c r="AH4656" s="1">
        <v>44341</v>
      </c>
      <c r="AI4656" s="1">
        <v>44341</v>
      </c>
      <c r="AJ4656" s="1">
        <v>51646</v>
      </c>
      <c r="AK4656" t="s">
        <v>51</v>
      </c>
      <c r="AN4656">
        <v>0</v>
      </c>
      <c r="AO4656" t="s">
        <v>54</v>
      </c>
      <c r="AP4656" t="s">
        <v>53</v>
      </c>
      <c r="AQ4656">
        <v>0</v>
      </c>
      <c r="AR4656" t="s">
        <v>53</v>
      </c>
      <c r="AS4656">
        <v>0</v>
      </c>
      <c r="AT4656">
        <v>0</v>
      </c>
      <c r="AW4656" t="s">
        <v>172</v>
      </c>
      <c r="AX4656">
        <v>15</v>
      </c>
      <c r="AY4656" s="1">
        <v>44341</v>
      </c>
      <c r="AZ4656" s="1">
        <v>44341</v>
      </c>
      <c r="BA4656" s="1">
        <v>44341</v>
      </c>
      <c r="BB4656" s="1">
        <v>49820</v>
      </c>
      <c r="BC4656" t="s">
        <v>51</v>
      </c>
      <c r="BE4656" t="s">
        <v>54</v>
      </c>
      <c r="BF4656">
        <v>40</v>
      </c>
      <c r="BG4656">
        <v>0</v>
      </c>
      <c r="BH4656" t="s">
        <v>145</v>
      </c>
      <c r="CC4656" t="s">
        <v>250</v>
      </c>
      <c r="CD4656">
        <v>100000</v>
      </c>
      <c r="CE4656" s="1">
        <v>44341</v>
      </c>
      <c r="CF4656" s="1">
        <v>44341</v>
      </c>
      <c r="CG4656" s="1">
        <v>44341</v>
      </c>
      <c r="CH4656" s="1">
        <v>53310</v>
      </c>
      <c r="CI4656" t="s">
        <v>51</v>
      </c>
      <c r="CK4656" t="s">
        <v>78</v>
      </c>
      <c r="CM4656" t="s">
        <v>54</v>
      </c>
      <c r="CN4656" t="s">
        <v>174</v>
      </c>
      <c r="CR4656">
        <v>13.2</v>
      </c>
      <c r="CS4656">
        <v>1800</v>
      </c>
      <c r="CT4656">
        <v>0</v>
      </c>
      <c r="CU4656">
        <v>16</v>
      </c>
    </row>
    <row r="4657" spans="1:112" x14ac:dyDescent="0.2">
      <c r="A4657" t="s">
        <v>1012</v>
      </c>
      <c r="B4657" t="s">
        <v>1013</v>
      </c>
      <c r="C4657" t="s">
        <v>1019</v>
      </c>
      <c r="D4657" t="s">
        <v>2134</v>
      </c>
      <c r="F4657" t="str">
        <f>"254183"</f>
        <v>254183</v>
      </c>
      <c r="G4657" t="s">
        <v>49</v>
      </c>
      <c r="I4657" t="s">
        <v>2136</v>
      </c>
      <c r="K4657" t="s">
        <v>51</v>
      </c>
      <c r="L4657" t="s">
        <v>52</v>
      </c>
      <c r="M4657">
        <v>131730.71</v>
      </c>
      <c r="N4657">
        <v>473676.83</v>
      </c>
      <c r="O4657" t="s">
        <v>53</v>
      </c>
      <c r="P4657" t="s">
        <v>54</v>
      </c>
      <c r="Q4657" t="s">
        <v>55</v>
      </c>
      <c r="T4657" t="s">
        <v>246</v>
      </c>
      <c r="U4657">
        <v>40</v>
      </c>
      <c r="V4657" s="1">
        <v>44341</v>
      </c>
      <c r="W4657" s="1">
        <v>44341</v>
      </c>
      <c r="X4657" s="1">
        <v>44341</v>
      </c>
      <c r="Y4657" s="1">
        <v>58951</v>
      </c>
      <c r="Z4657" t="s">
        <v>51</v>
      </c>
      <c r="AB4657" t="s">
        <v>54</v>
      </c>
      <c r="AE4657" t="s">
        <v>1065</v>
      </c>
      <c r="AF4657">
        <v>20</v>
      </c>
      <c r="AG4657" s="1">
        <v>44341</v>
      </c>
      <c r="AH4657" s="1">
        <v>44341</v>
      </c>
      <c r="AI4657" s="1">
        <v>44341</v>
      </c>
      <c r="AJ4657" s="1">
        <v>51646</v>
      </c>
      <c r="AK4657" t="s">
        <v>51</v>
      </c>
      <c r="AN4657">
        <v>0</v>
      </c>
      <c r="AO4657" t="s">
        <v>54</v>
      </c>
      <c r="AP4657" t="s">
        <v>53</v>
      </c>
      <c r="AQ4657">
        <v>0</v>
      </c>
      <c r="AR4657" t="s">
        <v>53</v>
      </c>
      <c r="AS4657">
        <v>0</v>
      </c>
      <c r="AT4657">
        <v>0</v>
      </c>
      <c r="AW4657" t="s">
        <v>172</v>
      </c>
      <c r="AX4657">
        <v>15</v>
      </c>
      <c r="AY4657" s="1">
        <v>44341</v>
      </c>
      <c r="AZ4657" s="1">
        <v>44341</v>
      </c>
      <c r="BA4657" s="1">
        <v>44341</v>
      </c>
      <c r="BB4657" s="1">
        <v>49820</v>
      </c>
      <c r="BC4657" t="s">
        <v>51</v>
      </c>
      <c r="BE4657" t="s">
        <v>54</v>
      </c>
      <c r="BF4657">
        <v>40</v>
      </c>
      <c r="BG4657">
        <v>0</v>
      </c>
      <c r="BH4657" t="s">
        <v>145</v>
      </c>
      <c r="CC4657" t="s">
        <v>250</v>
      </c>
      <c r="CD4657">
        <v>100000</v>
      </c>
      <c r="CE4657" s="1">
        <v>44341</v>
      </c>
      <c r="CF4657" s="1">
        <v>44341</v>
      </c>
      <c r="CG4657" s="1">
        <v>44341</v>
      </c>
      <c r="CH4657" s="1">
        <v>53310</v>
      </c>
      <c r="CI4657" t="s">
        <v>51</v>
      </c>
      <c r="CK4657" t="s">
        <v>78</v>
      </c>
      <c r="CM4657" t="s">
        <v>54</v>
      </c>
      <c r="CN4657" t="s">
        <v>174</v>
      </c>
      <c r="CR4657">
        <v>13.2</v>
      </c>
      <c r="CS4657">
        <v>1800</v>
      </c>
      <c r="CT4657">
        <v>0</v>
      </c>
      <c r="CU4657">
        <v>16</v>
      </c>
    </row>
    <row r="4658" spans="1:112" x14ac:dyDescent="0.2">
      <c r="A4658" t="s">
        <v>1012</v>
      </c>
      <c r="B4658" t="s">
        <v>1013</v>
      </c>
      <c r="C4658" t="s">
        <v>1019</v>
      </c>
      <c r="D4658" t="s">
        <v>2134</v>
      </c>
      <c r="F4658" t="str">
        <f>"254186"</f>
        <v>254186</v>
      </c>
      <c r="G4658" t="s">
        <v>49</v>
      </c>
      <c r="I4658" t="s">
        <v>2134</v>
      </c>
      <c r="K4658" t="s">
        <v>51</v>
      </c>
      <c r="L4658" t="s">
        <v>52</v>
      </c>
      <c r="M4658">
        <v>131754.69</v>
      </c>
      <c r="N4658">
        <v>473669.38</v>
      </c>
      <c r="O4658" t="s">
        <v>53</v>
      </c>
      <c r="P4658" t="s">
        <v>54</v>
      </c>
      <c r="Q4658" t="s">
        <v>55</v>
      </c>
      <c r="T4658" t="s">
        <v>246</v>
      </c>
      <c r="U4658">
        <v>40</v>
      </c>
      <c r="V4658" s="1">
        <v>44341</v>
      </c>
      <c r="W4658" s="1">
        <v>44341</v>
      </c>
      <c r="X4658" s="1">
        <v>44341</v>
      </c>
      <c r="Y4658" s="1">
        <v>58951</v>
      </c>
      <c r="Z4658" t="s">
        <v>51</v>
      </c>
      <c r="AB4658" t="s">
        <v>54</v>
      </c>
      <c r="AE4658" t="s">
        <v>1065</v>
      </c>
      <c r="AF4658">
        <v>20</v>
      </c>
      <c r="AG4658" s="1">
        <v>44341</v>
      </c>
      <c r="AH4658" s="1">
        <v>44341</v>
      </c>
      <c r="AI4658" s="1">
        <v>44341</v>
      </c>
      <c r="AJ4658" s="1">
        <v>51646</v>
      </c>
      <c r="AK4658" t="s">
        <v>51</v>
      </c>
      <c r="AN4658">
        <v>0</v>
      </c>
      <c r="AO4658" t="s">
        <v>54</v>
      </c>
      <c r="AP4658" t="s">
        <v>53</v>
      </c>
      <c r="AQ4658">
        <v>0</v>
      </c>
      <c r="AR4658" t="s">
        <v>53</v>
      </c>
      <c r="AS4658">
        <v>0</v>
      </c>
      <c r="AT4658">
        <v>0</v>
      </c>
      <c r="AW4658" t="s">
        <v>172</v>
      </c>
      <c r="AX4658">
        <v>15</v>
      </c>
      <c r="AY4658" s="1">
        <v>44341</v>
      </c>
      <c r="AZ4658" s="1">
        <v>44341</v>
      </c>
      <c r="BA4658" s="1">
        <v>44341</v>
      </c>
      <c r="BB4658" s="1">
        <v>49820</v>
      </c>
      <c r="BC4658" t="s">
        <v>51</v>
      </c>
      <c r="BE4658" t="s">
        <v>54</v>
      </c>
      <c r="BF4658">
        <v>40</v>
      </c>
      <c r="BG4658">
        <v>0</v>
      </c>
      <c r="BH4658" t="s">
        <v>145</v>
      </c>
      <c r="CC4658" t="s">
        <v>250</v>
      </c>
      <c r="CD4658">
        <v>100000</v>
      </c>
      <c r="CE4658" s="1">
        <v>44341</v>
      </c>
      <c r="CF4658" s="1">
        <v>44341</v>
      </c>
      <c r="CG4658" s="1">
        <v>44341</v>
      </c>
      <c r="CH4658" s="1">
        <v>53310</v>
      </c>
      <c r="CI4658" t="s">
        <v>51</v>
      </c>
      <c r="CK4658" t="s">
        <v>78</v>
      </c>
      <c r="CM4658" t="s">
        <v>54</v>
      </c>
      <c r="CN4658" t="s">
        <v>174</v>
      </c>
      <c r="CR4658">
        <v>13.2</v>
      </c>
      <c r="CS4658">
        <v>1800</v>
      </c>
      <c r="CT4658">
        <v>0</v>
      </c>
      <c r="CU4658">
        <v>16</v>
      </c>
    </row>
    <row r="4659" spans="1:112" x14ac:dyDescent="0.2">
      <c r="A4659" t="s">
        <v>1012</v>
      </c>
      <c r="B4659" t="s">
        <v>1013</v>
      </c>
      <c r="C4659" t="s">
        <v>1019</v>
      </c>
      <c r="D4659" t="s">
        <v>2134</v>
      </c>
      <c r="F4659" t="str">
        <f>"254187"</f>
        <v>254187</v>
      </c>
      <c r="G4659" t="s">
        <v>49</v>
      </c>
      <c r="I4659" t="s">
        <v>2134</v>
      </c>
      <c r="K4659" t="s">
        <v>51</v>
      </c>
      <c r="L4659" t="s">
        <v>52</v>
      </c>
      <c r="M4659">
        <v>131772.82</v>
      </c>
      <c r="N4659">
        <v>473663.72</v>
      </c>
      <c r="O4659" t="s">
        <v>53</v>
      </c>
      <c r="P4659" t="s">
        <v>54</v>
      </c>
      <c r="Q4659" t="s">
        <v>55</v>
      </c>
      <c r="T4659" t="s">
        <v>246</v>
      </c>
      <c r="U4659">
        <v>40</v>
      </c>
      <c r="V4659" s="1">
        <v>44341</v>
      </c>
      <c r="W4659" s="1">
        <v>44341</v>
      </c>
      <c r="X4659" s="1">
        <v>44341</v>
      </c>
      <c r="Y4659" s="1">
        <v>58951</v>
      </c>
      <c r="Z4659" t="s">
        <v>51</v>
      </c>
      <c r="AB4659" t="s">
        <v>54</v>
      </c>
      <c r="AE4659" t="s">
        <v>1065</v>
      </c>
      <c r="AF4659">
        <v>20</v>
      </c>
      <c r="AG4659" s="1">
        <v>44341</v>
      </c>
      <c r="AH4659" s="1">
        <v>44341</v>
      </c>
      <c r="AI4659" s="1">
        <v>44341</v>
      </c>
      <c r="AJ4659" s="1">
        <v>51646</v>
      </c>
      <c r="AK4659" t="s">
        <v>51</v>
      </c>
      <c r="AN4659">
        <v>0</v>
      </c>
      <c r="AO4659" t="s">
        <v>54</v>
      </c>
      <c r="AP4659" t="s">
        <v>53</v>
      </c>
      <c r="AQ4659">
        <v>0</v>
      </c>
      <c r="AR4659" t="s">
        <v>53</v>
      </c>
      <c r="AS4659">
        <v>0</v>
      </c>
      <c r="AT4659">
        <v>0</v>
      </c>
      <c r="AW4659" t="s">
        <v>172</v>
      </c>
      <c r="AX4659">
        <v>15</v>
      </c>
      <c r="AY4659" s="1">
        <v>44341</v>
      </c>
      <c r="AZ4659" s="1">
        <v>44341</v>
      </c>
      <c r="BA4659" s="1">
        <v>44341</v>
      </c>
      <c r="BB4659" s="1">
        <v>49820</v>
      </c>
      <c r="BC4659" t="s">
        <v>51</v>
      </c>
      <c r="BE4659" t="s">
        <v>54</v>
      </c>
      <c r="BF4659">
        <v>40</v>
      </c>
      <c r="BG4659">
        <v>0</v>
      </c>
      <c r="BH4659" t="s">
        <v>145</v>
      </c>
      <c r="CC4659" t="s">
        <v>250</v>
      </c>
      <c r="CD4659">
        <v>100000</v>
      </c>
      <c r="CE4659" s="1">
        <v>44341</v>
      </c>
      <c r="CF4659" s="1">
        <v>44341</v>
      </c>
      <c r="CG4659" s="1">
        <v>44341</v>
      </c>
      <c r="CH4659" s="1">
        <v>53310</v>
      </c>
      <c r="CI4659" t="s">
        <v>51</v>
      </c>
      <c r="CK4659" t="s">
        <v>78</v>
      </c>
      <c r="CM4659" t="s">
        <v>54</v>
      </c>
      <c r="CN4659" t="s">
        <v>174</v>
      </c>
      <c r="CR4659">
        <v>13.2</v>
      </c>
      <c r="CS4659">
        <v>1800</v>
      </c>
      <c r="CT4659">
        <v>0</v>
      </c>
      <c r="CU4659">
        <v>16</v>
      </c>
    </row>
    <row r="4660" spans="1:112" x14ac:dyDescent="0.2">
      <c r="A4660" t="s">
        <v>1012</v>
      </c>
      <c r="B4660" t="s">
        <v>1013</v>
      </c>
      <c r="C4660" t="s">
        <v>1019</v>
      </c>
      <c r="D4660" t="s">
        <v>2134</v>
      </c>
      <c r="F4660" t="str">
        <f>"254188"</f>
        <v>254188</v>
      </c>
      <c r="G4660" t="s">
        <v>49</v>
      </c>
      <c r="I4660" t="s">
        <v>2134</v>
      </c>
      <c r="K4660" t="s">
        <v>51</v>
      </c>
      <c r="L4660" t="s">
        <v>52</v>
      </c>
      <c r="M4660">
        <v>131796.62</v>
      </c>
      <c r="N4660">
        <v>473656.33</v>
      </c>
      <c r="O4660" t="s">
        <v>53</v>
      </c>
      <c r="P4660" t="s">
        <v>54</v>
      </c>
      <c r="Q4660" t="s">
        <v>55</v>
      </c>
      <c r="T4660" t="s">
        <v>246</v>
      </c>
      <c r="U4660">
        <v>40</v>
      </c>
      <c r="V4660" s="1">
        <v>44341</v>
      </c>
      <c r="W4660" s="1">
        <v>44341</v>
      </c>
      <c r="X4660" s="1">
        <v>44341</v>
      </c>
      <c r="Y4660" s="1">
        <v>58951</v>
      </c>
      <c r="Z4660" t="s">
        <v>51</v>
      </c>
      <c r="AB4660" t="s">
        <v>54</v>
      </c>
      <c r="AE4660" t="s">
        <v>1065</v>
      </c>
      <c r="AF4660">
        <v>20</v>
      </c>
      <c r="AG4660" s="1">
        <v>44341</v>
      </c>
      <c r="AH4660" s="1">
        <v>44341</v>
      </c>
      <c r="AI4660" s="1">
        <v>44341</v>
      </c>
      <c r="AJ4660" s="1">
        <v>51646</v>
      </c>
      <c r="AK4660" t="s">
        <v>51</v>
      </c>
      <c r="AN4660">
        <v>0</v>
      </c>
      <c r="AO4660" t="s">
        <v>54</v>
      </c>
      <c r="AP4660" t="s">
        <v>53</v>
      </c>
      <c r="AQ4660">
        <v>0</v>
      </c>
      <c r="AR4660" t="s">
        <v>53</v>
      </c>
      <c r="AS4660">
        <v>0</v>
      </c>
      <c r="AT4660">
        <v>0</v>
      </c>
      <c r="AW4660" t="s">
        <v>172</v>
      </c>
      <c r="AX4660">
        <v>15</v>
      </c>
      <c r="AY4660" s="1">
        <v>44341</v>
      </c>
      <c r="AZ4660" s="1">
        <v>44341</v>
      </c>
      <c r="BA4660" s="1">
        <v>44341</v>
      </c>
      <c r="BB4660" s="1">
        <v>49820</v>
      </c>
      <c r="BC4660" t="s">
        <v>51</v>
      </c>
      <c r="BE4660" t="s">
        <v>54</v>
      </c>
      <c r="BF4660">
        <v>40</v>
      </c>
      <c r="BG4660">
        <v>0</v>
      </c>
      <c r="BH4660" t="s">
        <v>145</v>
      </c>
      <c r="CC4660" t="s">
        <v>250</v>
      </c>
      <c r="CD4660">
        <v>100000</v>
      </c>
      <c r="CE4660" s="1">
        <v>44341</v>
      </c>
      <c r="CF4660" s="1">
        <v>44341</v>
      </c>
      <c r="CG4660" s="1">
        <v>44341</v>
      </c>
      <c r="CH4660" s="1">
        <v>53310</v>
      </c>
      <c r="CI4660" t="s">
        <v>51</v>
      </c>
      <c r="CK4660" t="s">
        <v>78</v>
      </c>
      <c r="CM4660" t="s">
        <v>54</v>
      </c>
      <c r="CN4660" t="s">
        <v>174</v>
      </c>
      <c r="CR4660">
        <v>13.2</v>
      </c>
      <c r="CS4660">
        <v>1800</v>
      </c>
      <c r="CT4660">
        <v>0</v>
      </c>
      <c r="CU4660">
        <v>16</v>
      </c>
    </row>
    <row r="4661" spans="1:112" x14ac:dyDescent="0.2">
      <c r="A4661" t="s">
        <v>1012</v>
      </c>
      <c r="B4661" t="s">
        <v>1013</v>
      </c>
      <c r="C4661" t="s">
        <v>1019</v>
      </c>
      <c r="D4661" t="s">
        <v>2134</v>
      </c>
      <c r="F4661" t="str">
        <f>"254184"</f>
        <v>254184</v>
      </c>
      <c r="G4661" t="s">
        <v>49</v>
      </c>
      <c r="I4661" t="s">
        <v>2134</v>
      </c>
      <c r="K4661" t="s">
        <v>51</v>
      </c>
      <c r="L4661" t="s">
        <v>52</v>
      </c>
      <c r="M4661">
        <v>131744.23000000001</v>
      </c>
      <c r="N4661">
        <v>473696.11</v>
      </c>
      <c r="O4661" t="s">
        <v>53</v>
      </c>
      <c r="P4661" t="s">
        <v>54</v>
      </c>
      <c r="Q4661" t="s">
        <v>55</v>
      </c>
      <c r="T4661" t="s">
        <v>246</v>
      </c>
      <c r="U4661">
        <v>40</v>
      </c>
      <c r="V4661" s="1">
        <v>44341</v>
      </c>
      <c r="W4661" s="1">
        <v>44341</v>
      </c>
      <c r="X4661" s="1">
        <v>44341</v>
      </c>
      <c r="Y4661" s="1">
        <v>58951</v>
      </c>
      <c r="Z4661" t="s">
        <v>51</v>
      </c>
      <c r="AB4661" t="s">
        <v>54</v>
      </c>
      <c r="AE4661" t="s">
        <v>1065</v>
      </c>
      <c r="AF4661">
        <v>20</v>
      </c>
      <c r="AG4661" s="1">
        <v>44341</v>
      </c>
      <c r="AH4661" s="1">
        <v>44341</v>
      </c>
      <c r="AI4661" s="1">
        <v>44341</v>
      </c>
      <c r="AJ4661" s="1">
        <v>51646</v>
      </c>
      <c r="AK4661" t="s">
        <v>51</v>
      </c>
      <c r="AN4661">
        <v>0</v>
      </c>
      <c r="AO4661" t="s">
        <v>54</v>
      </c>
      <c r="AP4661" t="s">
        <v>53</v>
      </c>
      <c r="AQ4661">
        <v>0</v>
      </c>
      <c r="AR4661" t="s">
        <v>53</v>
      </c>
      <c r="AS4661">
        <v>0</v>
      </c>
      <c r="AT4661">
        <v>0</v>
      </c>
      <c r="AW4661" t="s">
        <v>172</v>
      </c>
      <c r="AX4661">
        <v>15</v>
      </c>
      <c r="AY4661" s="1">
        <v>44341</v>
      </c>
      <c r="AZ4661" s="1">
        <v>44341</v>
      </c>
      <c r="BA4661" s="1">
        <v>44341</v>
      </c>
      <c r="BB4661" s="1">
        <v>49820</v>
      </c>
      <c r="BC4661" t="s">
        <v>51</v>
      </c>
      <c r="BE4661" t="s">
        <v>54</v>
      </c>
      <c r="BF4661">
        <v>40</v>
      </c>
      <c r="BG4661">
        <v>0</v>
      </c>
      <c r="BH4661" t="s">
        <v>145</v>
      </c>
      <c r="CC4661" t="s">
        <v>250</v>
      </c>
      <c r="CD4661">
        <v>100000</v>
      </c>
      <c r="CE4661" s="1">
        <v>44341</v>
      </c>
      <c r="CF4661" s="1">
        <v>44341</v>
      </c>
      <c r="CG4661" s="1">
        <v>44341</v>
      </c>
      <c r="CH4661" s="1">
        <v>53310</v>
      </c>
      <c r="CI4661" t="s">
        <v>51</v>
      </c>
      <c r="CK4661" t="s">
        <v>78</v>
      </c>
      <c r="CM4661" t="s">
        <v>54</v>
      </c>
      <c r="CN4661" t="s">
        <v>174</v>
      </c>
      <c r="CR4661">
        <v>13.2</v>
      </c>
      <c r="CS4661">
        <v>1800</v>
      </c>
      <c r="CT4661">
        <v>0</v>
      </c>
      <c r="CU4661">
        <v>16</v>
      </c>
    </row>
    <row r="4662" spans="1:112" x14ac:dyDescent="0.2">
      <c r="A4662" t="s">
        <v>1012</v>
      </c>
      <c r="B4662" t="s">
        <v>1013</v>
      </c>
      <c r="C4662" t="s">
        <v>1019</v>
      </c>
      <c r="D4662" t="s">
        <v>2134</v>
      </c>
      <c r="F4662" t="str">
        <f>"254185"</f>
        <v>254185</v>
      </c>
      <c r="G4662" t="s">
        <v>49</v>
      </c>
      <c r="I4662" t="s">
        <v>2134</v>
      </c>
      <c r="K4662" t="s">
        <v>51</v>
      </c>
      <c r="L4662" t="s">
        <v>52</v>
      </c>
      <c r="M4662">
        <v>131751.84</v>
      </c>
      <c r="N4662">
        <v>473693.7</v>
      </c>
      <c r="O4662" t="s">
        <v>53</v>
      </c>
      <c r="P4662" t="s">
        <v>54</v>
      </c>
      <c r="Q4662" t="s">
        <v>55</v>
      </c>
      <c r="T4662" t="s">
        <v>246</v>
      </c>
      <c r="U4662">
        <v>40</v>
      </c>
      <c r="V4662" s="1">
        <v>44341</v>
      </c>
      <c r="W4662" s="1">
        <v>44341</v>
      </c>
      <c r="X4662" s="1">
        <v>44341</v>
      </c>
      <c r="Y4662" s="1">
        <v>58951</v>
      </c>
      <c r="Z4662" t="s">
        <v>51</v>
      </c>
      <c r="AB4662" t="s">
        <v>54</v>
      </c>
      <c r="AE4662" t="s">
        <v>1065</v>
      </c>
      <c r="AF4662">
        <v>20</v>
      </c>
      <c r="AG4662" s="1">
        <v>44341</v>
      </c>
      <c r="AH4662" s="1">
        <v>44341</v>
      </c>
      <c r="AI4662" s="1">
        <v>44341</v>
      </c>
      <c r="AJ4662" s="1">
        <v>51646</v>
      </c>
      <c r="AK4662" t="s">
        <v>51</v>
      </c>
      <c r="AN4662">
        <v>0</v>
      </c>
      <c r="AO4662" t="s">
        <v>54</v>
      </c>
      <c r="AP4662" t="s">
        <v>53</v>
      </c>
      <c r="AQ4662">
        <v>0</v>
      </c>
      <c r="AR4662" t="s">
        <v>53</v>
      </c>
      <c r="AS4662">
        <v>0</v>
      </c>
      <c r="AT4662">
        <v>0</v>
      </c>
      <c r="AW4662" t="s">
        <v>172</v>
      </c>
      <c r="AX4662">
        <v>15</v>
      </c>
      <c r="AY4662" s="1">
        <v>44341</v>
      </c>
      <c r="AZ4662" s="1">
        <v>44341</v>
      </c>
      <c r="BA4662" s="1">
        <v>44341</v>
      </c>
      <c r="BB4662" s="1">
        <v>49820</v>
      </c>
      <c r="BC4662" t="s">
        <v>51</v>
      </c>
      <c r="BE4662" t="s">
        <v>54</v>
      </c>
      <c r="BF4662">
        <v>40</v>
      </c>
      <c r="BG4662">
        <v>0</v>
      </c>
      <c r="BH4662" t="s">
        <v>145</v>
      </c>
      <c r="CC4662" t="s">
        <v>250</v>
      </c>
      <c r="CD4662">
        <v>100000</v>
      </c>
      <c r="CE4662" s="1">
        <v>44341</v>
      </c>
      <c r="CF4662" s="1">
        <v>44341</v>
      </c>
      <c r="CG4662" s="1">
        <v>44341</v>
      </c>
      <c r="CH4662" s="1">
        <v>53310</v>
      </c>
      <c r="CI4662" t="s">
        <v>51</v>
      </c>
      <c r="CK4662" t="s">
        <v>78</v>
      </c>
      <c r="CM4662" t="s">
        <v>54</v>
      </c>
      <c r="CN4662" t="s">
        <v>174</v>
      </c>
      <c r="CR4662">
        <v>13.2</v>
      </c>
      <c r="CS4662">
        <v>1800</v>
      </c>
      <c r="CT4662">
        <v>0</v>
      </c>
      <c r="CU4662">
        <v>16</v>
      </c>
    </row>
    <row r="4663" spans="1:112" x14ac:dyDescent="0.2">
      <c r="A4663" t="s">
        <v>1012</v>
      </c>
      <c r="B4663" t="s">
        <v>1013</v>
      </c>
      <c r="C4663" t="s">
        <v>1052</v>
      </c>
      <c r="D4663" t="s">
        <v>1082</v>
      </c>
      <c r="F4663" t="str">
        <f>"254389"</f>
        <v>254389</v>
      </c>
      <c r="G4663" t="s">
        <v>49</v>
      </c>
      <c r="H4663" t="s">
        <v>2137</v>
      </c>
      <c r="K4663" t="s">
        <v>51</v>
      </c>
      <c r="L4663" t="s">
        <v>52</v>
      </c>
      <c r="M4663">
        <v>131730.35999999999</v>
      </c>
      <c r="N4663">
        <v>474306.38</v>
      </c>
      <c r="O4663" t="s">
        <v>53</v>
      </c>
      <c r="P4663" t="s">
        <v>54</v>
      </c>
      <c r="Q4663" t="s">
        <v>55</v>
      </c>
      <c r="T4663" t="s">
        <v>100</v>
      </c>
      <c r="U4663">
        <v>40</v>
      </c>
      <c r="V4663" s="1">
        <v>32143</v>
      </c>
      <c r="W4663" s="1">
        <v>32143</v>
      </c>
      <c r="X4663" s="1">
        <v>32143</v>
      </c>
      <c r="Y4663" s="1">
        <v>46753</v>
      </c>
      <c r="Z4663" t="s">
        <v>51</v>
      </c>
      <c r="AB4663" t="s">
        <v>54</v>
      </c>
      <c r="AE4663" t="s">
        <v>1081</v>
      </c>
      <c r="AF4663">
        <v>20</v>
      </c>
      <c r="AG4663" s="1">
        <v>32143</v>
      </c>
      <c r="AH4663" s="1">
        <v>32143</v>
      </c>
      <c r="AI4663" s="1">
        <v>32143</v>
      </c>
      <c r="AJ4663" s="1">
        <v>39448</v>
      </c>
      <c r="AK4663" t="s">
        <v>51</v>
      </c>
      <c r="AN4663">
        <v>4</v>
      </c>
      <c r="AO4663" t="s">
        <v>54</v>
      </c>
      <c r="AP4663" t="s">
        <v>53</v>
      </c>
      <c r="AQ4663">
        <v>0</v>
      </c>
      <c r="AR4663" t="s">
        <v>53</v>
      </c>
      <c r="AS4663">
        <v>0</v>
      </c>
      <c r="AT4663">
        <v>0</v>
      </c>
      <c r="AW4663" t="s">
        <v>58</v>
      </c>
      <c r="AX4663">
        <v>20</v>
      </c>
      <c r="AY4663" s="1">
        <v>32143</v>
      </c>
      <c r="AZ4663" s="1">
        <v>32143</v>
      </c>
      <c r="BA4663" s="1">
        <v>32143</v>
      </c>
      <c r="BB4663" s="1">
        <v>39448</v>
      </c>
      <c r="BC4663" t="s">
        <v>51</v>
      </c>
      <c r="BE4663" t="s">
        <v>54</v>
      </c>
      <c r="BF4663">
        <v>2</v>
      </c>
      <c r="BG4663">
        <v>0</v>
      </c>
      <c r="BH4663" t="s">
        <v>53</v>
      </c>
      <c r="BK4663" t="s">
        <v>59</v>
      </c>
      <c r="BL4663">
        <v>14000</v>
      </c>
      <c r="BM4663" s="1">
        <v>32143</v>
      </c>
      <c r="BN4663" s="1">
        <v>32143</v>
      </c>
      <c r="BO4663" s="1">
        <v>32143</v>
      </c>
      <c r="BP4663" s="1">
        <v>33307</v>
      </c>
      <c r="BQ4663" t="s">
        <v>51</v>
      </c>
      <c r="BS4663" t="s">
        <v>60</v>
      </c>
      <c r="BT4663" t="s">
        <v>54</v>
      </c>
      <c r="BU4663" t="s">
        <v>61</v>
      </c>
      <c r="BV4663" t="s">
        <v>62</v>
      </c>
      <c r="BX4663">
        <v>24</v>
      </c>
      <c r="BY4663">
        <v>0</v>
      </c>
      <c r="BZ4663">
        <v>0</v>
      </c>
      <c r="CX4663" t="s">
        <v>674</v>
      </c>
      <c r="CY4663">
        <v>0</v>
      </c>
      <c r="CZ4663" s="1">
        <v>32143</v>
      </c>
      <c r="DA4663" s="1">
        <v>32143</v>
      </c>
      <c r="DB4663" s="1">
        <v>32143</v>
      </c>
      <c r="DC4663" s="1">
        <v>32143</v>
      </c>
      <c r="DD4663" t="s">
        <v>51</v>
      </c>
      <c r="DF4663" t="s">
        <v>54</v>
      </c>
      <c r="DG4663">
        <v>0</v>
      </c>
      <c r="DH4663">
        <v>0</v>
      </c>
    </row>
    <row r="4664" spans="1:112" x14ac:dyDescent="0.2">
      <c r="A4664" t="s">
        <v>1012</v>
      </c>
      <c r="B4664" t="s">
        <v>1013</v>
      </c>
      <c r="C4664" t="s">
        <v>1019</v>
      </c>
      <c r="D4664" t="s">
        <v>1064</v>
      </c>
      <c r="F4664" t="str">
        <f>"254213"</f>
        <v>254213</v>
      </c>
      <c r="G4664" t="s">
        <v>49</v>
      </c>
      <c r="K4664" t="s">
        <v>51</v>
      </c>
      <c r="L4664" t="s">
        <v>52</v>
      </c>
      <c r="M4664">
        <v>131735.16</v>
      </c>
      <c r="N4664">
        <v>473835.75</v>
      </c>
      <c r="O4664" t="s">
        <v>53</v>
      </c>
      <c r="P4664" t="s">
        <v>54</v>
      </c>
      <c r="Q4664" t="s">
        <v>55</v>
      </c>
      <c r="T4664" t="s">
        <v>246</v>
      </c>
      <c r="U4664">
        <v>40</v>
      </c>
      <c r="V4664" s="1">
        <v>43009</v>
      </c>
      <c r="W4664" s="1">
        <v>43009</v>
      </c>
      <c r="X4664" s="1">
        <v>43009</v>
      </c>
      <c r="Y4664" s="1">
        <v>57619</v>
      </c>
      <c r="Z4664" t="s">
        <v>51</v>
      </c>
      <c r="AB4664" t="s">
        <v>54</v>
      </c>
      <c r="AE4664" t="s">
        <v>1065</v>
      </c>
      <c r="AF4664">
        <v>20</v>
      </c>
      <c r="AG4664" s="1">
        <v>43009</v>
      </c>
      <c r="AH4664" s="1">
        <v>43009</v>
      </c>
      <c r="AI4664" s="1">
        <v>43009</v>
      </c>
      <c r="AJ4664" s="1">
        <v>50314</v>
      </c>
      <c r="AK4664" t="s">
        <v>51</v>
      </c>
      <c r="AN4664">
        <v>0</v>
      </c>
      <c r="AO4664" t="s">
        <v>54</v>
      </c>
      <c r="AP4664" t="s">
        <v>53</v>
      </c>
      <c r="AQ4664">
        <v>0</v>
      </c>
      <c r="AR4664" t="s">
        <v>53</v>
      </c>
      <c r="AS4664">
        <v>0</v>
      </c>
      <c r="AT4664">
        <v>0</v>
      </c>
      <c r="AW4664" t="s">
        <v>172</v>
      </c>
      <c r="AX4664">
        <v>15</v>
      </c>
      <c r="AY4664" s="1">
        <v>43009</v>
      </c>
      <c r="AZ4664" s="1">
        <v>43009</v>
      </c>
      <c r="BA4664" s="1">
        <v>43009</v>
      </c>
      <c r="BB4664" s="1">
        <v>48488</v>
      </c>
      <c r="BC4664" t="s">
        <v>51</v>
      </c>
      <c r="BE4664" t="s">
        <v>54</v>
      </c>
      <c r="BF4664">
        <v>40</v>
      </c>
      <c r="BG4664">
        <v>0</v>
      </c>
      <c r="BH4664" t="s">
        <v>145</v>
      </c>
      <c r="CC4664" t="s">
        <v>1066</v>
      </c>
      <c r="CD4664">
        <v>100000</v>
      </c>
      <c r="CE4664" s="1">
        <v>43009</v>
      </c>
      <c r="CF4664" s="1">
        <v>43009</v>
      </c>
      <c r="CG4664" s="1">
        <v>43009</v>
      </c>
      <c r="CH4664" s="1">
        <v>51921</v>
      </c>
      <c r="CI4664" t="s">
        <v>51</v>
      </c>
      <c r="CK4664" t="s">
        <v>78</v>
      </c>
      <c r="CM4664" t="s">
        <v>54</v>
      </c>
      <c r="CN4664" t="s">
        <v>174</v>
      </c>
      <c r="CR4664">
        <v>11</v>
      </c>
      <c r="CS4664">
        <v>1600</v>
      </c>
      <c r="CT4664">
        <v>0</v>
      </c>
      <c r="CU4664">
        <v>16</v>
      </c>
      <c r="CX4664" t="s">
        <v>360</v>
      </c>
      <c r="CY4664">
        <v>40</v>
      </c>
      <c r="CZ4664" s="1">
        <v>43009</v>
      </c>
      <c r="DA4664" s="1">
        <v>43009</v>
      </c>
      <c r="DB4664" s="1">
        <v>43009</v>
      </c>
      <c r="DC4664" s="1">
        <v>57619</v>
      </c>
      <c r="DD4664" t="s">
        <v>51</v>
      </c>
      <c r="DF4664" t="s">
        <v>54</v>
      </c>
      <c r="DG4664">
        <v>0</v>
      </c>
      <c r="DH4664">
        <v>0</v>
      </c>
    </row>
    <row r="4665" spans="1:112" x14ac:dyDescent="0.2">
      <c r="A4665" t="s">
        <v>1012</v>
      </c>
      <c r="B4665" t="s">
        <v>1013</v>
      </c>
      <c r="C4665" t="s">
        <v>1052</v>
      </c>
      <c r="D4665" t="s">
        <v>1082</v>
      </c>
      <c r="F4665" t="str">
        <f>"254337"</f>
        <v>254337</v>
      </c>
      <c r="G4665" t="s">
        <v>49</v>
      </c>
      <c r="H4665" t="s">
        <v>285</v>
      </c>
      <c r="K4665" t="s">
        <v>51</v>
      </c>
      <c r="L4665" t="s">
        <v>52</v>
      </c>
      <c r="M4665">
        <v>131775.07</v>
      </c>
      <c r="N4665">
        <v>474375.42</v>
      </c>
      <c r="O4665" t="s">
        <v>53</v>
      </c>
      <c r="P4665" t="s">
        <v>54</v>
      </c>
      <c r="Q4665" t="s">
        <v>55</v>
      </c>
      <c r="T4665" t="s">
        <v>100</v>
      </c>
      <c r="U4665">
        <v>40</v>
      </c>
      <c r="V4665" s="1">
        <v>32143</v>
      </c>
      <c r="W4665" s="1">
        <v>32143</v>
      </c>
      <c r="X4665" s="1">
        <v>32143</v>
      </c>
      <c r="Y4665" s="1">
        <v>46753</v>
      </c>
      <c r="Z4665" t="s">
        <v>51</v>
      </c>
      <c r="AB4665" t="s">
        <v>54</v>
      </c>
      <c r="AE4665" t="s">
        <v>1081</v>
      </c>
      <c r="AF4665">
        <v>20</v>
      </c>
      <c r="AG4665" s="1">
        <v>32143</v>
      </c>
      <c r="AH4665" s="1">
        <v>32143</v>
      </c>
      <c r="AI4665" s="1">
        <v>32143</v>
      </c>
      <c r="AJ4665" s="1">
        <v>39448</v>
      </c>
      <c r="AK4665" t="s">
        <v>51</v>
      </c>
      <c r="AN4665">
        <v>0</v>
      </c>
      <c r="AO4665" t="s">
        <v>54</v>
      </c>
      <c r="AP4665" t="s">
        <v>53</v>
      </c>
      <c r="AQ4665">
        <v>0</v>
      </c>
      <c r="AR4665" t="s">
        <v>53</v>
      </c>
      <c r="AS4665">
        <v>0</v>
      </c>
      <c r="AT4665">
        <v>0</v>
      </c>
      <c r="AW4665" t="s">
        <v>58</v>
      </c>
      <c r="AX4665">
        <v>20</v>
      </c>
      <c r="AY4665" s="1">
        <v>32143</v>
      </c>
      <c r="AZ4665" s="1">
        <v>32143</v>
      </c>
      <c r="BA4665" s="1">
        <v>32143</v>
      </c>
      <c r="BB4665" s="1">
        <v>39448</v>
      </c>
      <c r="BC4665" t="s">
        <v>51</v>
      </c>
      <c r="BE4665" t="s">
        <v>54</v>
      </c>
      <c r="BF4665">
        <v>2</v>
      </c>
      <c r="BG4665">
        <v>0</v>
      </c>
      <c r="BH4665" t="s">
        <v>53</v>
      </c>
      <c r="BK4665" t="s">
        <v>59</v>
      </c>
      <c r="BL4665">
        <v>14000</v>
      </c>
      <c r="BM4665" s="1">
        <v>32143</v>
      </c>
      <c r="BN4665" s="1">
        <v>32143</v>
      </c>
      <c r="BO4665" s="1">
        <v>32143</v>
      </c>
      <c r="BP4665" s="1">
        <v>33307</v>
      </c>
      <c r="BQ4665" t="s">
        <v>51</v>
      </c>
      <c r="BS4665" t="s">
        <v>60</v>
      </c>
      <c r="BT4665" t="s">
        <v>54</v>
      </c>
      <c r="BU4665" t="s">
        <v>61</v>
      </c>
      <c r="BV4665" t="s">
        <v>62</v>
      </c>
      <c r="BX4665">
        <v>24</v>
      </c>
      <c r="BY4665">
        <v>0</v>
      </c>
      <c r="BZ4665">
        <v>0</v>
      </c>
      <c r="CX4665" t="s">
        <v>674</v>
      </c>
      <c r="CY4665">
        <v>0</v>
      </c>
      <c r="CZ4665" s="1">
        <v>32143</v>
      </c>
      <c r="DA4665" s="1">
        <v>32143</v>
      </c>
      <c r="DB4665" s="1">
        <v>32143</v>
      </c>
      <c r="DC4665" s="1">
        <v>32143</v>
      </c>
      <c r="DD4665" t="s">
        <v>51</v>
      </c>
      <c r="DF4665" t="s">
        <v>54</v>
      </c>
      <c r="DG4665">
        <v>0</v>
      </c>
      <c r="DH4665">
        <v>0</v>
      </c>
    </row>
    <row r="4666" spans="1:112" x14ac:dyDescent="0.2">
      <c r="A4666" t="s">
        <v>1012</v>
      </c>
      <c r="B4666" t="s">
        <v>1013</v>
      </c>
      <c r="C4666" t="s">
        <v>1019</v>
      </c>
      <c r="D4666" t="s">
        <v>2133</v>
      </c>
      <c r="F4666" t="str">
        <f>"254143"</f>
        <v>254143</v>
      </c>
      <c r="G4666" t="s">
        <v>49</v>
      </c>
      <c r="I4666" t="s">
        <v>2133</v>
      </c>
      <c r="K4666" t="s">
        <v>51</v>
      </c>
      <c r="L4666" t="s">
        <v>52</v>
      </c>
      <c r="M4666">
        <v>132084.72</v>
      </c>
      <c r="N4666">
        <v>473530.4</v>
      </c>
      <c r="O4666" t="s">
        <v>53</v>
      </c>
      <c r="P4666" t="s">
        <v>54</v>
      </c>
      <c r="Q4666" t="s">
        <v>55</v>
      </c>
      <c r="T4666" t="s">
        <v>246</v>
      </c>
      <c r="U4666">
        <v>40</v>
      </c>
      <c r="V4666" s="1">
        <v>44341</v>
      </c>
      <c r="W4666" s="1">
        <v>44341</v>
      </c>
      <c r="X4666" s="1">
        <v>44341</v>
      </c>
      <c r="Y4666" s="1">
        <v>58951</v>
      </c>
      <c r="Z4666" t="s">
        <v>51</v>
      </c>
      <c r="AB4666" t="s">
        <v>54</v>
      </c>
      <c r="AE4666" t="s">
        <v>1065</v>
      </c>
      <c r="AF4666">
        <v>20</v>
      </c>
      <c r="AG4666" s="1">
        <v>44341</v>
      </c>
      <c r="AH4666" s="1">
        <v>44341</v>
      </c>
      <c r="AI4666" s="1">
        <v>44341</v>
      </c>
      <c r="AJ4666" s="1">
        <v>51646</v>
      </c>
      <c r="AK4666" t="s">
        <v>51</v>
      </c>
      <c r="AN4666">
        <v>0</v>
      </c>
      <c r="AO4666" t="s">
        <v>54</v>
      </c>
      <c r="AP4666" t="s">
        <v>53</v>
      </c>
      <c r="AQ4666">
        <v>0</v>
      </c>
      <c r="AR4666" t="s">
        <v>53</v>
      </c>
      <c r="AS4666">
        <v>0</v>
      </c>
      <c r="AT4666">
        <v>0</v>
      </c>
      <c r="AW4666" t="s">
        <v>172</v>
      </c>
      <c r="AX4666">
        <v>15</v>
      </c>
      <c r="AY4666" s="1">
        <v>44341</v>
      </c>
      <c r="AZ4666" s="1">
        <v>44341</v>
      </c>
      <c r="BA4666" s="1">
        <v>44341</v>
      </c>
      <c r="BB4666" s="1">
        <v>49820</v>
      </c>
      <c r="BC4666" t="s">
        <v>51</v>
      </c>
      <c r="BE4666" t="s">
        <v>54</v>
      </c>
      <c r="BF4666">
        <v>40</v>
      </c>
      <c r="BG4666">
        <v>0</v>
      </c>
      <c r="BH4666" t="s">
        <v>145</v>
      </c>
      <c r="CC4666" t="s">
        <v>250</v>
      </c>
      <c r="CD4666">
        <v>100000</v>
      </c>
      <c r="CE4666" s="1">
        <v>44341</v>
      </c>
      <c r="CF4666" s="1">
        <v>44341</v>
      </c>
      <c r="CG4666" s="1">
        <v>44341</v>
      </c>
      <c r="CH4666" s="1">
        <v>53310</v>
      </c>
      <c r="CI4666" t="s">
        <v>51</v>
      </c>
      <c r="CK4666" t="s">
        <v>78</v>
      </c>
      <c r="CM4666" t="s">
        <v>54</v>
      </c>
      <c r="CN4666" t="s">
        <v>174</v>
      </c>
      <c r="CR4666">
        <v>13.2</v>
      </c>
      <c r="CS4666">
        <v>1800</v>
      </c>
      <c r="CT4666">
        <v>0</v>
      </c>
      <c r="CU4666">
        <v>16</v>
      </c>
    </row>
    <row r="4667" spans="1:112" x14ac:dyDescent="0.2">
      <c r="A4667" t="s">
        <v>1012</v>
      </c>
      <c r="B4667" t="s">
        <v>1013</v>
      </c>
      <c r="C4667" t="s">
        <v>1019</v>
      </c>
      <c r="D4667" t="s">
        <v>2133</v>
      </c>
      <c r="F4667" t="str">
        <f>"254144"</f>
        <v>254144</v>
      </c>
      <c r="G4667" t="s">
        <v>49</v>
      </c>
      <c r="I4667" t="s">
        <v>2133</v>
      </c>
      <c r="K4667" t="s">
        <v>51</v>
      </c>
      <c r="L4667" t="s">
        <v>52</v>
      </c>
      <c r="M4667">
        <v>132099.24</v>
      </c>
      <c r="N4667">
        <v>473539.93</v>
      </c>
      <c r="O4667" t="s">
        <v>53</v>
      </c>
      <c r="P4667" t="s">
        <v>54</v>
      </c>
      <c r="Q4667" t="s">
        <v>55</v>
      </c>
      <c r="T4667" t="s">
        <v>246</v>
      </c>
      <c r="U4667">
        <v>40</v>
      </c>
      <c r="V4667" s="1">
        <v>44341</v>
      </c>
      <c r="W4667" s="1">
        <v>44341</v>
      </c>
      <c r="X4667" s="1">
        <v>44341</v>
      </c>
      <c r="Y4667" s="1">
        <v>58951</v>
      </c>
      <c r="Z4667" t="s">
        <v>51</v>
      </c>
      <c r="AB4667" t="s">
        <v>54</v>
      </c>
      <c r="AE4667" t="s">
        <v>1065</v>
      </c>
      <c r="AF4667">
        <v>20</v>
      </c>
      <c r="AG4667" s="1">
        <v>44341</v>
      </c>
      <c r="AH4667" s="1">
        <v>44341</v>
      </c>
      <c r="AI4667" s="1">
        <v>44341</v>
      </c>
      <c r="AJ4667" s="1">
        <v>51646</v>
      </c>
      <c r="AK4667" t="s">
        <v>51</v>
      </c>
      <c r="AN4667">
        <v>0</v>
      </c>
      <c r="AO4667" t="s">
        <v>54</v>
      </c>
      <c r="AP4667" t="s">
        <v>53</v>
      </c>
      <c r="AQ4667">
        <v>0</v>
      </c>
      <c r="AR4667" t="s">
        <v>53</v>
      </c>
      <c r="AS4667">
        <v>0</v>
      </c>
      <c r="AT4667">
        <v>0</v>
      </c>
      <c r="AW4667" t="s">
        <v>172</v>
      </c>
      <c r="AX4667">
        <v>15</v>
      </c>
      <c r="AY4667" s="1">
        <v>44341</v>
      </c>
      <c r="AZ4667" s="1">
        <v>44341</v>
      </c>
      <c r="BA4667" s="1">
        <v>44341</v>
      </c>
      <c r="BB4667" s="1">
        <v>49820</v>
      </c>
      <c r="BC4667" t="s">
        <v>51</v>
      </c>
      <c r="BE4667" t="s">
        <v>54</v>
      </c>
      <c r="BF4667">
        <v>40</v>
      </c>
      <c r="BG4667">
        <v>0</v>
      </c>
      <c r="BH4667" t="s">
        <v>145</v>
      </c>
      <c r="CC4667" t="s">
        <v>250</v>
      </c>
      <c r="CD4667">
        <v>100000</v>
      </c>
      <c r="CE4667" s="1">
        <v>44341</v>
      </c>
      <c r="CF4667" s="1">
        <v>44341</v>
      </c>
      <c r="CG4667" s="1">
        <v>44341</v>
      </c>
      <c r="CH4667" s="1">
        <v>53310</v>
      </c>
      <c r="CI4667" t="s">
        <v>51</v>
      </c>
      <c r="CK4667" t="s">
        <v>78</v>
      </c>
      <c r="CM4667" t="s">
        <v>54</v>
      </c>
      <c r="CN4667" t="s">
        <v>174</v>
      </c>
      <c r="CR4667">
        <v>13.2</v>
      </c>
      <c r="CS4667">
        <v>1800</v>
      </c>
      <c r="CT4667">
        <v>0</v>
      </c>
      <c r="CU4667">
        <v>16</v>
      </c>
    </row>
    <row r="4668" spans="1:112" x14ac:dyDescent="0.2">
      <c r="A4668" t="s">
        <v>1012</v>
      </c>
      <c r="B4668" t="s">
        <v>1013</v>
      </c>
      <c r="C4668" t="s">
        <v>1019</v>
      </c>
      <c r="D4668" t="s">
        <v>2133</v>
      </c>
      <c r="F4668" t="str">
        <f>"254145"</f>
        <v>254145</v>
      </c>
      <c r="G4668" t="s">
        <v>49</v>
      </c>
      <c r="I4668" t="s">
        <v>2133</v>
      </c>
      <c r="K4668" t="s">
        <v>51</v>
      </c>
      <c r="L4668" t="s">
        <v>52</v>
      </c>
      <c r="M4668">
        <v>132119.22</v>
      </c>
      <c r="N4668">
        <v>473550.07</v>
      </c>
      <c r="O4668" t="s">
        <v>53</v>
      </c>
      <c r="P4668" t="s">
        <v>54</v>
      </c>
      <c r="Q4668" t="s">
        <v>55</v>
      </c>
      <c r="T4668" t="s">
        <v>246</v>
      </c>
      <c r="U4668">
        <v>40</v>
      </c>
      <c r="V4668" s="1">
        <v>44341</v>
      </c>
      <c r="W4668" s="1">
        <v>44341</v>
      </c>
      <c r="X4668" s="1">
        <v>44341</v>
      </c>
      <c r="Y4668" s="1">
        <v>58951</v>
      </c>
      <c r="Z4668" t="s">
        <v>51</v>
      </c>
      <c r="AB4668" t="s">
        <v>54</v>
      </c>
      <c r="AE4668" t="s">
        <v>1065</v>
      </c>
      <c r="AF4668">
        <v>20</v>
      </c>
      <c r="AG4668" s="1">
        <v>44341</v>
      </c>
      <c r="AH4668" s="1">
        <v>44341</v>
      </c>
      <c r="AI4668" s="1">
        <v>44341</v>
      </c>
      <c r="AJ4668" s="1">
        <v>51646</v>
      </c>
      <c r="AK4668" t="s">
        <v>51</v>
      </c>
      <c r="AN4668">
        <v>0</v>
      </c>
      <c r="AO4668" t="s">
        <v>54</v>
      </c>
      <c r="AP4668" t="s">
        <v>53</v>
      </c>
      <c r="AQ4668">
        <v>0</v>
      </c>
      <c r="AR4668" t="s">
        <v>53</v>
      </c>
      <c r="AS4668">
        <v>0</v>
      </c>
      <c r="AT4668">
        <v>0</v>
      </c>
      <c r="AW4668" t="s">
        <v>172</v>
      </c>
      <c r="AX4668">
        <v>15</v>
      </c>
      <c r="AY4668" s="1">
        <v>44341</v>
      </c>
      <c r="AZ4668" s="1">
        <v>44341</v>
      </c>
      <c r="BA4668" s="1">
        <v>44341</v>
      </c>
      <c r="BB4668" s="1">
        <v>49820</v>
      </c>
      <c r="BC4668" t="s">
        <v>51</v>
      </c>
      <c r="BE4668" t="s">
        <v>54</v>
      </c>
      <c r="BF4668">
        <v>40</v>
      </c>
      <c r="BG4668">
        <v>0</v>
      </c>
      <c r="BH4668" t="s">
        <v>145</v>
      </c>
      <c r="CC4668" t="s">
        <v>250</v>
      </c>
      <c r="CD4668">
        <v>100000</v>
      </c>
      <c r="CE4668" s="1">
        <v>44341</v>
      </c>
      <c r="CF4668" s="1">
        <v>44341</v>
      </c>
      <c r="CG4668" s="1">
        <v>44341</v>
      </c>
      <c r="CH4668" s="1">
        <v>53310</v>
      </c>
      <c r="CI4668" t="s">
        <v>51</v>
      </c>
      <c r="CK4668" t="s">
        <v>78</v>
      </c>
      <c r="CM4668" t="s">
        <v>54</v>
      </c>
      <c r="CN4668" t="s">
        <v>174</v>
      </c>
      <c r="CR4668">
        <v>13.2</v>
      </c>
      <c r="CS4668">
        <v>1800</v>
      </c>
      <c r="CT4668">
        <v>0</v>
      </c>
      <c r="CU4668">
        <v>16</v>
      </c>
    </row>
    <row r="4669" spans="1:112" x14ac:dyDescent="0.2">
      <c r="A4669" t="s">
        <v>1012</v>
      </c>
      <c r="B4669" t="s">
        <v>1013</v>
      </c>
      <c r="C4669" t="s">
        <v>1019</v>
      </c>
      <c r="D4669" t="s">
        <v>2133</v>
      </c>
      <c r="F4669" t="str">
        <f>"254146"</f>
        <v>254146</v>
      </c>
      <c r="G4669" t="s">
        <v>49</v>
      </c>
      <c r="I4669" t="s">
        <v>2133</v>
      </c>
      <c r="K4669" t="s">
        <v>51</v>
      </c>
      <c r="L4669" t="s">
        <v>52</v>
      </c>
      <c r="M4669">
        <v>132144.01999999999</v>
      </c>
      <c r="N4669">
        <v>473558.43</v>
      </c>
      <c r="O4669" t="s">
        <v>53</v>
      </c>
      <c r="P4669" t="s">
        <v>54</v>
      </c>
      <c r="Q4669" t="s">
        <v>55</v>
      </c>
      <c r="T4669" t="s">
        <v>246</v>
      </c>
      <c r="U4669">
        <v>40</v>
      </c>
      <c r="V4669" s="1">
        <v>44341</v>
      </c>
      <c r="W4669" s="1">
        <v>44341</v>
      </c>
      <c r="X4669" s="1">
        <v>44341</v>
      </c>
      <c r="Y4669" s="1">
        <v>58951</v>
      </c>
      <c r="Z4669" t="s">
        <v>51</v>
      </c>
      <c r="AB4669" t="s">
        <v>54</v>
      </c>
      <c r="AE4669" t="s">
        <v>1065</v>
      </c>
      <c r="AF4669">
        <v>20</v>
      </c>
      <c r="AG4669" s="1">
        <v>44341</v>
      </c>
      <c r="AH4669" s="1">
        <v>44341</v>
      </c>
      <c r="AI4669" s="1">
        <v>44341</v>
      </c>
      <c r="AJ4669" s="1">
        <v>51646</v>
      </c>
      <c r="AK4669" t="s">
        <v>51</v>
      </c>
      <c r="AN4669">
        <v>0</v>
      </c>
      <c r="AO4669" t="s">
        <v>54</v>
      </c>
      <c r="AP4669" t="s">
        <v>53</v>
      </c>
      <c r="AQ4669">
        <v>0</v>
      </c>
      <c r="AR4669" t="s">
        <v>53</v>
      </c>
      <c r="AS4669">
        <v>0</v>
      </c>
      <c r="AT4669">
        <v>0</v>
      </c>
      <c r="AW4669" t="s">
        <v>172</v>
      </c>
      <c r="AX4669">
        <v>15</v>
      </c>
      <c r="AY4669" s="1">
        <v>44341</v>
      </c>
      <c r="AZ4669" s="1">
        <v>44341</v>
      </c>
      <c r="BA4669" s="1">
        <v>44341</v>
      </c>
      <c r="BB4669" s="1">
        <v>49820</v>
      </c>
      <c r="BC4669" t="s">
        <v>51</v>
      </c>
      <c r="BE4669" t="s">
        <v>54</v>
      </c>
      <c r="BF4669">
        <v>40</v>
      </c>
      <c r="BG4669">
        <v>0</v>
      </c>
      <c r="BH4669" t="s">
        <v>145</v>
      </c>
      <c r="CC4669" t="s">
        <v>250</v>
      </c>
      <c r="CD4669">
        <v>100000</v>
      </c>
      <c r="CE4669" s="1">
        <v>44341</v>
      </c>
      <c r="CF4669" s="1">
        <v>44341</v>
      </c>
      <c r="CG4669" s="1">
        <v>44341</v>
      </c>
      <c r="CH4669" s="1">
        <v>53310</v>
      </c>
      <c r="CI4669" t="s">
        <v>51</v>
      </c>
      <c r="CK4669" t="s">
        <v>78</v>
      </c>
      <c r="CM4669" t="s">
        <v>54</v>
      </c>
      <c r="CN4669" t="s">
        <v>174</v>
      </c>
      <c r="CR4669">
        <v>13.2</v>
      </c>
      <c r="CS4669">
        <v>1800</v>
      </c>
      <c r="CT4669">
        <v>0</v>
      </c>
      <c r="CU4669">
        <v>16</v>
      </c>
    </row>
    <row r="4670" spans="1:112" x14ac:dyDescent="0.2">
      <c r="A4670" t="s">
        <v>1012</v>
      </c>
      <c r="B4670" t="s">
        <v>1013</v>
      </c>
      <c r="C4670" t="s">
        <v>1019</v>
      </c>
      <c r="D4670" t="s">
        <v>2133</v>
      </c>
      <c r="F4670" t="str">
        <f>"254142"</f>
        <v>254142</v>
      </c>
      <c r="G4670" t="s">
        <v>49</v>
      </c>
      <c r="I4670" t="s">
        <v>2133</v>
      </c>
      <c r="K4670" t="s">
        <v>51</v>
      </c>
      <c r="L4670" t="s">
        <v>52</v>
      </c>
      <c r="M4670">
        <v>132069.96</v>
      </c>
      <c r="N4670">
        <v>473531.34</v>
      </c>
      <c r="O4670" t="s">
        <v>53</v>
      </c>
      <c r="P4670" t="s">
        <v>54</v>
      </c>
      <c r="Q4670" t="s">
        <v>55</v>
      </c>
      <c r="T4670" t="s">
        <v>246</v>
      </c>
      <c r="U4670">
        <v>40</v>
      </c>
      <c r="V4670" s="1">
        <v>44341</v>
      </c>
      <c r="W4670" s="1">
        <v>44341</v>
      </c>
      <c r="X4670" s="1">
        <v>44341</v>
      </c>
      <c r="Y4670" s="1">
        <v>58951</v>
      </c>
      <c r="Z4670" t="s">
        <v>51</v>
      </c>
      <c r="AB4670" t="s">
        <v>54</v>
      </c>
      <c r="AE4670" t="s">
        <v>1065</v>
      </c>
      <c r="AF4670">
        <v>20</v>
      </c>
      <c r="AG4670" s="1">
        <v>44341</v>
      </c>
      <c r="AH4670" s="1">
        <v>44341</v>
      </c>
      <c r="AI4670" s="1">
        <v>44341</v>
      </c>
      <c r="AJ4670" s="1">
        <v>51646</v>
      </c>
      <c r="AK4670" t="s">
        <v>51</v>
      </c>
      <c r="AN4670">
        <v>0</v>
      </c>
      <c r="AO4670" t="s">
        <v>54</v>
      </c>
      <c r="AP4670" t="s">
        <v>53</v>
      </c>
      <c r="AQ4670">
        <v>0</v>
      </c>
      <c r="AR4670" t="s">
        <v>53</v>
      </c>
      <c r="AS4670">
        <v>0</v>
      </c>
      <c r="AT4670">
        <v>0</v>
      </c>
      <c r="AW4670" t="s">
        <v>172</v>
      </c>
      <c r="AX4670">
        <v>15</v>
      </c>
      <c r="AY4670" s="1">
        <v>44341</v>
      </c>
      <c r="AZ4670" s="1">
        <v>44341</v>
      </c>
      <c r="BA4670" s="1">
        <v>44341</v>
      </c>
      <c r="BB4670" s="1">
        <v>49820</v>
      </c>
      <c r="BC4670" t="s">
        <v>51</v>
      </c>
      <c r="BE4670" t="s">
        <v>54</v>
      </c>
      <c r="BF4670">
        <v>40</v>
      </c>
      <c r="BG4670">
        <v>0</v>
      </c>
      <c r="BH4670" t="s">
        <v>145</v>
      </c>
      <c r="CC4670" t="s">
        <v>250</v>
      </c>
      <c r="CD4670">
        <v>100000</v>
      </c>
      <c r="CE4670" s="1">
        <v>44341</v>
      </c>
      <c r="CF4670" s="1">
        <v>44341</v>
      </c>
      <c r="CG4670" s="1">
        <v>44341</v>
      </c>
      <c r="CH4670" s="1">
        <v>53310</v>
      </c>
      <c r="CI4670" t="s">
        <v>51</v>
      </c>
      <c r="CK4670" t="s">
        <v>78</v>
      </c>
      <c r="CM4670" t="s">
        <v>54</v>
      </c>
      <c r="CN4670" t="s">
        <v>174</v>
      </c>
      <c r="CR4670">
        <v>13.2</v>
      </c>
      <c r="CS4670">
        <v>1800</v>
      </c>
      <c r="CT4670">
        <v>0</v>
      </c>
      <c r="CU4670">
        <v>16</v>
      </c>
    </row>
    <row r="4671" spans="1:112" x14ac:dyDescent="0.2">
      <c r="A4671" t="s">
        <v>1012</v>
      </c>
      <c r="B4671" t="s">
        <v>1013</v>
      </c>
      <c r="C4671" t="s">
        <v>1019</v>
      </c>
      <c r="D4671" t="s">
        <v>2133</v>
      </c>
      <c r="F4671" t="str">
        <f>"254141"</f>
        <v>254141</v>
      </c>
      <c r="G4671" t="s">
        <v>49</v>
      </c>
      <c r="I4671" t="s">
        <v>2133</v>
      </c>
      <c r="K4671" t="s">
        <v>51</v>
      </c>
      <c r="L4671" t="s">
        <v>52</v>
      </c>
      <c r="M4671">
        <v>132046.54999999999</v>
      </c>
      <c r="N4671">
        <v>473537.91</v>
      </c>
      <c r="O4671" t="s">
        <v>53</v>
      </c>
      <c r="P4671" t="s">
        <v>54</v>
      </c>
      <c r="Q4671" t="s">
        <v>55</v>
      </c>
      <c r="T4671" t="s">
        <v>246</v>
      </c>
      <c r="U4671">
        <v>40</v>
      </c>
      <c r="V4671" s="1">
        <v>44341</v>
      </c>
      <c r="W4671" s="1">
        <v>44341</v>
      </c>
      <c r="X4671" s="1">
        <v>44341</v>
      </c>
      <c r="Y4671" s="1">
        <v>58951</v>
      </c>
      <c r="Z4671" t="s">
        <v>51</v>
      </c>
      <c r="AB4671" t="s">
        <v>54</v>
      </c>
      <c r="AE4671" t="s">
        <v>1065</v>
      </c>
      <c r="AF4671">
        <v>20</v>
      </c>
      <c r="AG4671" s="1">
        <v>44341</v>
      </c>
      <c r="AH4671" s="1">
        <v>44341</v>
      </c>
      <c r="AI4671" s="1">
        <v>44341</v>
      </c>
      <c r="AJ4671" s="1">
        <v>51646</v>
      </c>
      <c r="AK4671" t="s">
        <v>51</v>
      </c>
      <c r="AN4671">
        <v>0</v>
      </c>
      <c r="AO4671" t="s">
        <v>54</v>
      </c>
      <c r="AP4671" t="s">
        <v>53</v>
      </c>
      <c r="AQ4671">
        <v>0</v>
      </c>
      <c r="AR4671" t="s">
        <v>53</v>
      </c>
      <c r="AS4671">
        <v>0</v>
      </c>
      <c r="AT4671">
        <v>0</v>
      </c>
      <c r="AW4671" t="s">
        <v>172</v>
      </c>
      <c r="AX4671">
        <v>15</v>
      </c>
      <c r="AY4671" s="1">
        <v>44341</v>
      </c>
      <c r="AZ4671" s="1">
        <v>44341</v>
      </c>
      <c r="BA4671" s="1">
        <v>44341</v>
      </c>
      <c r="BB4671" s="1">
        <v>49820</v>
      </c>
      <c r="BC4671" t="s">
        <v>51</v>
      </c>
      <c r="BE4671" t="s">
        <v>54</v>
      </c>
      <c r="BF4671">
        <v>40</v>
      </c>
      <c r="BG4671">
        <v>0</v>
      </c>
      <c r="BH4671" t="s">
        <v>145</v>
      </c>
      <c r="CC4671" t="s">
        <v>250</v>
      </c>
      <c r="CD4671">
        <v>100000</v>
      </c>
      <c r="CE4671" s="1">
        <v>44341</v>
      </c>
      <c r="CF4671" s="1">
        <v>44341</v>
      </c>
      <c r="CG4671" s="1">
        <v>44341</v>
      </c>
      <c r="CH4671" s="1">
        <v>53310</v>
      </c>
      <c r="CI4671" t="s">
        <v>51</v>
      </c>
      <c r="CK4671" t="s">
        <v>78</v>
      </c>
      <c r="CM4671" t="s">
        <v>54</v>
      </c>
      <c r="CN4671" t="s">
        <v>174</v>
      </c>
      <c r="CR4671">
        <v>13.2</v>
      </c>
      <c r="CS4671">
        <v>1800</v>
      </c>
      <c r="CT4671">
        <v>0</v>
      </c>
      <c r="CU4671">
        <v>16</v>
      </c>
    </row>
    <row r="4672" spans="1:112" x14ac:dyDescent="0.2">
      <c r="A4672" t="s">
        <v>1012</v>
      </c>
      <c r="B4672" t="s">
        <v>1013</v>
      </c>
      <c r="C4672" t="s">
        <v>1019</v>
      </c>
      <c r="D4672" t="s">
        <v>2133</v>
      </c>
      <c r="F4672" t="str">
        <f>"254139"</f>
        <v>254139</v>
      </c>
      <c r="G4672" t="s">
        <v>49</v>
      </c>
      <c r="I4672" t="s">
        <v>2133</v>
      </c>
      <c r="K4672" t="s">
        <v>51</v>
      </c>
      <c r="L4672" t="s">
        <v>52</v>
      </c>
      <c r="M4672">
        <v>132000.5</v>
      </c>
      <c r="N4672">
        <v>473552.01</v>
      </c>
      <c r="O4672" t="s">
        <v>53</v>
      </c>
      <c r="P4672" t="s">
        <v>54</v>
      </c>
      <c r="Q4672" t="s">
        <v>55</v>
      </c>
      <c r="T4672" t="s">
        <v>246</v>
      </c>
      <c r="U4672">
        <v>40</v>
      </c>
      <c r="V4672" s="1">
        <v>44341</v>
      </c>
      <c r="W4672" s="1">
        <v>44341</v>
      </c>
      <c r="X4672" s="1">
        <v>44341</v>
      </c>
      <c r="Y4672" s="1">
        <v>58951</v>
      </c>
      <c r="Z4672" t="s">
        <v>51</v>
      </c>
      <c r="AB4672" t="s">
        <v>54</v>
      </c>
      <c r="AE4672" t="s">
        <v>1065</v>
      </c>
      <c r="AF4672">
        <v>20</v>
      </c>
      <c r="AG4672" s="1">
        <v>44341</v>
      </c>
      <c r="AH4672" s="1">
        <v>44341</v>
      </c>
      <c r="AI4672" s="1">
        <v>44341</v>
      </c>
      <c r="AJ4672" s="1">
        <v>51646</v>
      </c>
      <c r="AK4672" t="s">
        <v>51</v>
      </c>
      <c r="AN4672">
        <v>0</v>
      </c>
      <c r="AO4672" t="s">
        <v>54</v>
      </c>
      <c r="AP4672" t="s">
        <v>53</v>
      </c>
      <c r="AQ4672">
        <v>0</v>
      </c>
      <c r="AR4672" t="s">
        <v>53</v>
      </c>
      <c r="AS4672">
        <v>0</v>
      </c>
      <c r="AT4672">
        <v>0</v>
      </c>
      <c r="AW4672" t="s">
        <v>172</v>
      </c>
      <c r="AX4672">
        <v>15</v>
      </c>
      <c r="AY4672" s="1">
        <v>44341</v>
      </c>
      <c r="AZ4672" s="1">
        <v>44341</v>
      </c>
      <c r="BA4672" s="1">
        <v>44341</v>
      </c>
      <c r="BB4672" s="1">
        <v>49820</v>
      </c>
      <c r="BC4672" t="s">
        <v>51</v>
      </c>
      <c r="BE4672" t="s">
        <v>54</v>
      </c>
      <c r="BF4672">
        <v>40</v>
      </c>
      <c r="BG4672">
        <v>0</v>
      </c>
      <c r="BH4672" t="s">
        <v>145</v>
      </c>
      <c r="CC4672" t="s">
        <v>250</v>
      </c>
      <c r="CD4672">
        <v>100000</v>
      </c>
      <c r="CE4672" s="1">
        <v>44341</v>
      </c>
      <c r="CF4672" s="1">
        <v>44341</v>
      </c>
      <c r="CG4672" s="1">
        <v>44341</v>
      </c>
      <c r="CH4672" s="1">
        <v>53310</v>
      </c>
      <c r="CI4672" t="s">
        <v>51</v>
      </c>
      <c r="CK4672" t="s">
        <v>78</v>
      </c>
      <c r="CM4672" t="s">
        <v>54</v>
      </c>
      <c r="CN4672" t="s">
        <v>174</v>
      </c>
      <c r="CR4672">
        <v>13.2</v>
      </c>
      <c r="CS4672">
        <v>1800</v>
      </c>
      <c r="CT4672">
        <v>0</v>
      </c>
      <c r="CU4672">
        <v>16</v>
      </c>
    </row>
    <row r="4673" spans="1:99" x14ac:dyDescent="0.2">
      <c r="A4673" t="s">
        <v>1012</v>
      </c>
      <c r="B4673" t="s">
        <v>1013</v>
      </c>
      <c r="C4673" t="s">
        <v>1019</v>
      </c>
      <c r="D4673" t="s">
        <v>2133</v>
      </c>
      <c r="F4673" t="str">
        <f>"254140"</f>
        <v>254140</v>
      </c>
      <c r="G4673" t="s">
        <v>49</v>
      </c>
      <c r="I4673" t="s">
        <v>2133</v>
      </c>
      <c r="K4673" t="s">
        <v>51</v>
      </c>
      <c r="L4673" t="s">
        <v>52</v>
      </c>
      <c r="M4673">
        <v>132023.63</v>
      </c>
      <c r="N4673">
        <v>473544.65</v>
      </c>
      <c r="O4673" t="s">
        <v>53</v>
      </c>
      <c r="P4673" t="s">
        <v>54</v>
      </c>
      <c r="Q4673" t="s">
        <v>55</v>
      </c>
      <c r="T4673" t="s">
        <v>246</v>
      </c>
      <c r="U4673">
        <v>40</v>
      </c>
      <c r="V4673" s="1">
        <v>44341</v>
      </c>
      <c r="W4673" s="1">
        <v>44341</v>
      </c>
      <c r="X4673" s="1">
        <v>44341</v>
      </c>
      <c r="Y4673" s="1">
        <v>58951</v>
      </c>
      <c r="Z4673" t="s">
        <v>51</v>
      </c>
      <c r="AB4673" t="s">
        <v>54</v>
      </c>
      <c r="AE4673" t="s">
        <v>1065</v>
      </c>
      <c r="AF4673">
        <v>20</v>
      </c>
      <c r="AG4673" s="1">
        <v>44341</v>
      </c>
      <c r="AH4673" s="1">
        <v>44341</v>
      </c>
      <c r="AI4673" s="1">
        <v>44341</v>
      </c>
      <c r="AJ4673" s="1">
        <v>51646</v>
      </c>
      <c r="AK4673" t="s">
        <v>51</v>
      </c>
      <c r="AN4673">
        <v>0</v>
      </c>
      <c r="AO4673" t="s">
        <v>54</v>
      </c>
      <c r="AP4673" t="s">
        <v>53</v>
      </c>
      <c r="AQ4673">
        <v>0</v>
      </c>
      <c r="AR4673" t="s">
        <v>53</v>
      </c>
      <c r="AS4673">
        <v>0</v>
      </c>
      <c r="AT4673">
        <v>0</v>
      </c>
      <c r="AW4673" t="s">
        <v>172</v>
      </c>
      <c r="AX4673">
        <v>15</v>
      </c>
      <c r="AY4673" s="1">
        <v>44341</v>
      </c>
      <c r="AZ4673" s="1">
        <v>44341</v>
      </c>
      <c r="BA4673" s="1">
        <v>44341</v>
      </c>
      <c r="BB4673" s="1">
        <v>49820</v>
      </c>
      <c r="BC4673" t="s">
        <v>51</v>
      </c>
      <c r="BE4673" t="s">
        <v>54</v>
      </c>
      <c r="BF4673">
        <v>40</v>
      </c>
      <c r="BG4673">
        <v>0</v>
      </c>
      <c r="BH4673" t="s">
        <v>145</v>
      </c>
      <c r="CC4673" t="s">
        <v>250</v>
      </c>
      <c r="CD4673">
        <v>100000</v>
      </c>
      <c r="CE4673" s="1">
        <v>44341</v>
      </c>
      <c r="CF4673" s="1">
        <v>44341</v>
      </c>
      <c r="CG4673" s="1">
        <v>44341</v>
      </c>
      <c r="CH4673" s="1">
        <v>53310</v>
      </c>
      <c r="CI4673" t="s">
        <v>51</v>
      </c>
      <c r="CK4673" t="s">
        <v>78</v>
      </c>
      <c r="CM4673" t="s">
        <v>54</v>
      </c>
      <c r="CN4673" t="s">
        <v>174</v>
      </c>
      <c r="CR4673">
        <v>13.2</v>
      </c>
      <c r="CS4673">
        <v>1800</v>
      </c>
      <c r="CT4673">
        <v>0</v>
      </c>
      <c r="CU4673">
        <v>16</v>
      </c>
    </row>
    <row r="4674" spans="1:99" x14ac:dyDescent="0.2">
      <c r="A4674" t="s">
        <v>1012</v>
      </c>
      <c r="B4674" t="s">
        <v>1013</v>
      </c>
      <c r="C4674" t="s">
        <v>2122</v>
      </c>
      <c r="D4674" t="s">
        <v>2123</v>
      </c>
      <c r="F4674" t="str">
        <f>"254147"</f>
        <v>254147</v>
      </c>
      <c r="G4674" t="s">
        <v>49</v>
      </c>
      <c r="K4674" t="s">
        <v>51</v>
      </c>
      <c r="L4674" t="s">
        <v>52</v>
      </c>
      <c r="M4674">
        <v>132062.38</v>
      </c>
      <c r="N4674">
        <v>473499.72</v>
      </c>
      <c r="O4674" t="s">
        <v>53</v>
      </c>
      <c r="P4674" t="s">
        <v>54</v>
      </c>
      <c r="Q4674" t="s">
        <v>55</v>
      </c>
      <c r="T4674" t="s">
        <v>246</v>
      </c>
      <c r="U4674">
        <v>40</v>
      </c>
      <c r="V4674" s="1">
        <v>44341</v>
      </c>
      <c r="W4674" s="1">
        <v>44341</v>
      </c>
      <c r="X4674" s="1">
        <v>44341</v>
      </c>
      <c r="Y4674" s="1">
        <v>58951</v>
      </c>
      <c r="Z4674" t="s">
        <v>51</v>
      </c>
      <c r="AB4674" t="s">
        <v>54</v>
      </c>
      <c r="AE4674" t="s">
        <v>1065</v>
      </c>
      <c r="AF4674">
        <v>20</v>
      </c>
      <c r="AG4674" s="1">
        <v>44341</v>
      </c>
      <c r="AH4674" s="1">
        <v>44341</v>
      </c>
      <c r="AI4674" s="1">
        <v>44341</v>
      </c>
      <c r="AJ4674" s="1">
        <v>51646</v>
      </c>
      <c r="AK4674" t="s">
        <v>51</v>
      </c>
      <c r="AN4674">
        <v>0</v>
      </c>
      <c r="AO4674" t="s">
        <v>54</v>
      </c>
      <c r="AP4674" t="s">
        <v>53</v>
      </c>
      <c r="AQ4674">
        <v>0</v>
      </c>
      <c r="AR4674" t="s">
        <v>53</v>
      </c>
      <c r="AS4674">
        <v>0</v>
      </c>
      <c r="AT4674">
        <v>0</v>
      </c>
      <c r="AW4674" t="s">
        <v>172</v>
      </c>
      <c r="AX4674">
        <v>15</v>
      </c>
      <c r="AY4674" s="1">
        <v>44341</v>
      </c>
      <c r="AZ4674" s="1">
        <v>44341</v>
      </c>
      <c r="BA4674" s="1">
        <v>44341</v>
      </c>
      <c r="BB4674" s="1">
        <v>49820</v>
      </c>
      <c r="BC4674" t="s">
        <v>51</v>
      </c>
      <c r="BE4674" t="s">
        <v>54</v>
      </c>
      <c r="BF4674">
        <v>40</v>
      </c>
      <c r="BG4674">
        <v>0</v>
      </c>
      <c r="BH4674" t="s">
        <v>145</v>
      </c>
      <c r="CC4674" t="s">
        <v>250</v>
      </c>
      <c r="CD4674">
        <v>100000</v>
      </c>
      <c r="CE4674" s="1">
        <v>44341</v>
      </c>
      <c r="CF4674" s="1">
        <v>44341</v>
      </c>
      <c r="CG4674" s="1">
        <v>44341</v>
      </c>
      <c r="CH4674" s="1">
        <v>53310</v>
      </c>
      <c r="CI4674" t="s">
        <v>51</v>
      </c>
      <c r="CK4674" t="s">
        <v>78</v>
      </c>
      <c r="CM4674" t="s">
        <v>54</v>
      </c>
      <c r="CN4674" t="s">
        <v>174</v>
      </c>
      <c r="CR4674">
        <v>13.2</v>
      </c>
      <c r="CS4674">
        <v>1800</v>
      </c>
      <c r="CT4674">
        <v>0</v>
      </c>
      <c r="CU4674">
        <v>16</v>
      </c>
    </row>
    <row r="4675" spans="1:99" x14ac:dyDescent="0.2">
      <c r="A4675" t="s">
        <v>1012</v>
      </c>
      <c r="B4675" t="s">
        <v>1013</v>
      </c>
      <c r="C4675" t="s">
        <v>2122</v>
      </c>
      <c r="D4675" t="s">
        <v>2123</v>
      </c>
      <c r="F4675" t="str">
        <f>"254148"</f>
        <v>254148</v>
      </c>
      <c r="G4675" t="s">
        <v>49</v>
      </c>
      <c r="K4675" t="s">
        <v>51</v>
      </c>
      <c r="L4675" t="s">
        <v>52</v>
      </c>
      <c r="M4675">
        <v>132040.88</v>
      </c>
      <c r="N4675">
        <v>473475.75</v>
      </c>
      <c r="O4675" t="s">
        <v>53</v>
      </c>
      <c r="P4675" t="s">
        <v>54</v>
      </c>
      <c r="Q4675" t="s">
        <v>55</v>
      </c>
      <c r="T4675" t="s">
        <v>246</v>
      </c>
      <c r="U4675">
        <v>40</v>
      </c>
      <c r="V4675" s="1">
        <v>44341</v>
      </c>
      <c r="W4675" s="1">
        <v>44341</v>
      </c>
      <c r="X4675" s="1">
        <v>44341</v>
      </c>
      <c r="Y4675" s="1">
        <v>58951</v>
      </c>
      <c r="Z4675" t="s">
        <v>51</v>
      </c>
      <c r="AB4675" t="s">
        <v>54</v>
      </c>
      <c r="AE4675" t="s">
        <v>1065</v>
      </c>
      <c r="AF4675">
        <v>20</v>
      </c>
      <c r="AG4675" s="1">
        <v>44341</v>
      </c>
      <c r="AH4675" s="1">
        <v>44341</v>
      </c>
      <c r="AI4675" s="1">
        <v>44341</v>
      </c>
      <c r="AJ4675" s="1">
        <v>51646</v>
      </c>
      <c r="AK4675" t="s">
        <v>51</v>
      </c>
      <c r="AN4675">
        <v>0</v>
      </c>
      <c r="AO4675" t="s">
        <v>54</v>
      </c>
      <c r="AP4675" t="s">
        <v>53</v>
      </c>
      <c r="AQ4675">
        <v>0</v>
      </c>
      <c r="AR4675" t="s">
        <v>53</v>
      </c>
      <c r="AS4675">
        <v>0</v>
      </c>
      <c r="AT4675">
        <v>0</v>
      </c>
      <c r="AW4675" t="s">
        <v>172</v>
      </c>
      <c r="AX4675">
        <v>15</v>
      </c>
      <c r="AY4675" s="1">
        <v>44341</v>
      </c>
      <c r="AZ4675" s="1">
        <v>44341</v>
      </c>
      <c r="BA4675" s="1">
        <v>44341</v>
      </c>
      <c r="BB4675" s="1">
        <v>49820</v>
      </c>
      <c r="BC4675" t="s">
        <v>51</v>
      </c>
      <c r="BE4675" t="s">
        <v>54</v>
      </c>
      <c r="BF4675">
        <v>40</v>
      </c>
      <c r="BG4675">
        <v>0</v>
      </c>
      <c r="BH4675" t="s">
        <v>145</v>
      </c>
      <c r="CC4675" t="s">
        <v>250</v>
      </c>
      <c r="CD4675">
        <v>100000</v>
      </c>
      <c r="CE4675" s="1">
        <v>44341</v>
      </c>
      <c r="CF4675" s="1">
        <v>44341</v>
      </c>
      <c r="CG4675" s="1">
        <v>44341</v>
      </c>
      <c r="CH4675" s="1">
        <v>53310</v>
      </c>
      <c r="CI4675" t="s">
        <v>51</v>
      </c>
      <c r="CK4675" t="s">
        <v>78</v>
      </c>
      <c r="CM4675" t="s">
        <v>54</v>
      </c>
      <c r="CN4675" t="s">
        <v>174</v>
      </c>
      <c r="CR4675">
        <v>13.2</v>
      </c>
      <c r="CS4675">
        <v>1800</v>
      </c>
      <c r="CT4675">
        <v>0</v>
      </c>
      <c r="CU4675">
        <v>16</v>
      </c>
    </row>
    <row r="4676" spans="1:99" x14ac:dyDescent="0.2">
      <c r="A4676" t="s">
        <v>1012</v>
      </c>
      <c r="B4676" t="s">
        <v>1013</v>
      </c>
      <c r="C4676" t="s">
        <v>2122</v>
      </c>
      <c r="D4676" t="s">
        <v>2123</v>
      </c>
      <c r="F4676" t="str">
        <f>"254149"</f>
        <v>254149</v>
      </c>
      <c r="G4676" t="s">
        <v>49</v>
      </c>
      <c r="K4676" t="s">
        <v>51</v>
      </c>
      <c r="L4676" t="s">
        <v>52</v>
      </c>
      <c r="M4676">
        <v>132023.73000000001</v>
      </c>
      <c r="N4676">
        <v>473481.42</v>
      </c>
      <c r="O4676" t="s">
        <v>53</v>
      </c>
      <c r="P4676" t="s">
        <v>54</v>
      </c>
      <c r="Q4676" t="s">
        <v>55</v>
      </c>
      <c r="T4676" t="s">
        <v>246</v>
      </c>
      <c r="U4676">
        <v>40</v>
      </c>
      <c r="V4676" s="1">
        <v>44341</v>
      </c>
      <c r="W4676" s="1">
        <v>44341</v>
      </c>
      <c r="X4676" s="1">
        <v>44341</v>
      </c>
      <c r="Y4676" s="1">
        <v>58951</v>
      </c>
      <c r="Z4676" t="s">
        <v>51</v>
      </c>
      <c r="AB4676" t="s">
        <v>54</v>
      </c>
      <c r="AE4676" t="s">
        <v>1065</v>
      </c>
      <c r="AF4676">
        <v>20</v>
      </c>
      <c r="AG4676" s="1">
        <v>44341</v>
      </c>
      <c r="AH4676" s="1">
        <v>44341</v>
      </c>
      <c r="AI4676" s="1">
        <v>44341</v>
      </c>
      <c r="AJ4676" s="1">
        <v>51646</v>
      </c>
      <c r="AK4676" t="s">
        <v>51</v>
      </c>
      <c r="AN4676">
        <v>0</v>
      </c>
      <c r="AO4676" t="s">
        <v>54</v>
      </c>
      <c r="AP4676" t="s">
        <v>53</v>
      </c>
      <c r="AQ4676">
        <v>0</v>
      </c>
      <c r="AR4676" t="s">
        <v>53</v>
      </c>
      <c r="AS4676">
        <v>0</v>
      </c>
      <c r="AT4676">
        <v>0</v>
      </c>
      <c r="AW4676" t="s">
        <v>172</v>
      </c>
      <c r="AX4676">
        <v>15</v>
      </c>
      <c r="AY4676" s="1">
        <v>44341</v>
      </c>
      <c r="AZ4676" s="1">
        <v>44341</v>
      </c>
      <c r="BA4676" s="1">
        <v>44341</v>
      </c>
      <c r="BB4676" s="1">
        <v>49820</v>
      </c>
      <c r="BC4676" t="s">
        <v>51</v>
      </c>
      <c r="BE4676" t="s">
        <v>54</v>
      </c>
      <c r="BF4676">
        <v>40</v>
      </c>
      <c r="BG4676">
        <v>0</v>
      </c>
      <c r="BH4676" t="s">
        <v>145</v>
      </c>
      <c r="CC4676" t="s">
        <v>250</v>
      </c>
      <c r="CD4676">
        <v>100000</v>
      </c>
      <c r="CE4676" s="1">
        <v>44341</v>
      </c>
      <c r="CF4676" s="1">
        <v>44341</v>
      </c>
      <c r="CG4676" s="1">
        <v>44341</v>
      </c>
      <c r="CH4676" s="1">
        <v>53310</v>
      </c>
      <c r="CI4676" t="s">
        <v>51</v>
      </c>
      <c r="CK4676" t="s">
        <v>78</v>
      </c>
      <c r="CM4676" t="s">
        <v>54</v>
      </c>
      <c r="CN4676" t="s">
        <v>174</v>
      </c>
      <c r="CR4676">
        <v>13.2</v>
      </c>
      <c r="CS4676">
        <v>1800</v>
      </c>
      <c r="CT4676">
        <v>0</v>
      </c>
      <c r="CU4676">
        <v>16</v>
      </c>
    </row>
    <row r="4677" spans="1:99" x14ac:dyDescent="0.2">
      <c r="A4677" t="s">
        <v>1012</v>
      </c>
      <c r="B4677" t="s">
        <v>1013</v>
      </c>
      <c r="C4677" t="s">
        <v>2122</v>
      </c>
      <c r="D4677" t="s">
        <v>2123</v>
      </c>
      <c r="F4677" t="str">
        <f>"254150"</f>
        <v>254150</v>
      </c>
      <c r="G4677" t="s">
        <v>49</v>
      </c>
      <c r="K4677" t="s">
        <v>51</v>
      </c>
      <c r="L4677" t="s">
        <v>52</v>
      </c>
      <c r="M4677">
        <v>132006.35</v>
      </c>
      <c r="N4677">
        <v>473486.82</v>
      </c>
      <c r="O4677" t="s">
        <v>53</v>
      </c>
      <c r="P4677" t="s">
        <v>54</v>
      </c>
      <c r="Q4677" t="s">
        <v>55</v>
      </c>
      <c r="T4677" t="s">
        <v>246</v>
      </c>
      <c r="U4677">
        <v>40</v>
      </c>
      <c r="V4677" s="1">
        <v>44341</v>
      </c>
      <c r="W4677" s="1">
        <v>44341</v>
      </c>
      <c r="X4677" s="1">
        <v>44341</v>
      </c>
      <c r="Y4677" s="1">
        <v>58951</v>
      </c>
      <c r="Z4677" t="s">
        <v>51</v>
      </c>
      <c r="AB4677" t="s">
        <v>54</v>
      </c>
      <c r="AE4677" t="s">
        <v>1065</v>
      </c>
      <c r="AF4677">
        <v>20</v>
      </c>
      <c r="AG4677" s="1">
        <v>44341</v>
      </c>
      <c r="AH4677" s="1">
        <v>44341</v>
      </c>
      <c r="AI4677" s="1">
        <v>44341</v>
      </c>
      <c r="AJ4677" s="1">
        <v>51646</v>
      </c>
      <c r="AK4677" t="s">
        <v>51</v>
      </c>
      <c r="AN4677">
        <v>0</v>
      </c>
      <c r="AO4677" t="s">
        <v>54</v>
      </c>
      <c r="AP4677" t="s">
        <v>53</v>
      </c>
      <c r="AQ4677">
        <v>0</v>
      </c>
      <c r="AR4677" t="s">
        <v>53</v>
      </c>
      <c r="AS4677">
        <v>0</v>
      </c>
      <c r="AT4677">
        <v>0</v>
      </c>
      <c r="AW4677" t="s">
        <v>172</v>
      </c>
      <c r="AX4677">
        <v>15</v>
      </c>
      <c r="AY4677" s="1">
        <v>44341</v>
      </c>
      <c r="AZ4677" s="1">
        <v>44341</v>
      </c>
      <c r="BA4677" s="1">
        <v>44341</v>
      </c>
      <c r="BB4677" s="1">
        <v>49820</v>
      </c>
      <c r="BC4677" t="s">
        <v>51</v>
      </c>
      <c r="BE4677" t="s">
        <v>54</v>
      </c>
      <c r="BF4677">
        <v>40</v>
      </c>
      <c r="BG4677">
        <v>0</v>
      </c>
      <c r="BH4677" t="s">
        <v>145</v>
      </c>
      <c r="CC4677" t="s">
        <v>250</v>
      </c>
      <c r="CD4677">
        <v>100000</v>
      </c>
      <c r="CE4677" s="1">
        <v>44341</v>
      </c>
      <c r="CF4677" s="1">
        <v>44341</v>
      </c>
      <c r="CG4677" s="1">
        <v>44341</v>
      </c>
      <c r="CH4677" s="1">
        <v>53310</v>
      </c>
      <c r="CI4677" t="s">
        <v>51</v>
      </c>
      <c r="CK4677" t="s">
        <v>78</v>
      </c>
      <c r="CM4677" t="s">
        <v>54</v>
      </c>
      <c r="CN4677" t="s">
        <v>174</v>
      </c>
      <c r="CR4677">
        <v>13.2</v>
      </c>
      <c r="CS4677">
        <v>1800</v>
      </c>
      <c r="CT4677">
        <v>0</v>
      </c>
      <c r="CU4677">
        <v>16</v>
      </c>
    </row>
    <row r="4678" spans="1:99" x14ac:dyDescent="0.2">
      <c r="A4678" t="s">
        <v>1012</v>
      </c>
      <c r="B4678" t="s">
        <v>1013</v>
      </c>
      <c r="C4678" t="s">
        <v>2122</v>
      </c>
      <c r="D4678" t="s">
        <v>2123</v>
      </c>
      <c r="F4678" t="str">
        <f>"254151"</f>
        <v>254151</v>
      </c>
      <c r="G4678" t="s">
        <v>49</v>
      </c>
      <c r="K4678" t="s">
        <v>51</v>
      </c>
      <c r="L4678" t="s">
        <v>52</v>
      </c>
      <c r="M4678">
        <v>131988.89000000001</v>
      </c>
      <c r="N4678">
        <v>473492.17</v>
      </c>
      <c r="O4678" t="s">
        <v>53</v>
      </c>
      <c r="P4678" t="s">
        <v>54</v>
      </c>
      <c r="Q4678" t="s">
        <v>55</v>
      </c>
      <c r="T4678" t="s">
        <v>246</v>
      </c>
      <c r="U4678">
        <v>40</v>
      </c>
      <c r="V4678" s="1">
        <v>44341</v>
      </c>
      <c r="W4678" s="1">
        <v>44341</v>
      </c>
      <c r="X4678" s="1">
        <v>44341</v>
      </c>
      <c r="Y4678" s="1">
        <v>58951</v>
      </c>
      <c r="Z4678" t="s">
        <v>51</v>
      </c>
      <c r="AB4678" t="s">
        <v>54</v>
      </c>
      <c r="AE4678" t="s">
        <v>1065</v>
      </c>
      <c r="AF4678">
        <v>20</v>
      </c>
      <c r="AG4678" s="1">
        <v>44341</v>
      </c>
      <c r="AH4678" s="1">
        <v>44341</v>
      </c>
      <c r="AI4678" s="1">
        <v>44341</v>
      </c>
      <c r="AJ4678" s="1">
        <v>51646</v>
      </c>
      <c r="AK4678" t="s">
        <v>51</v>
      </c>
      <c r="AN4678">
        <v>0</v>
      </c>
      <c r="AO4678" t="s">
        <v>54</v>
      </c>
      <c r="AP4678" t="s">
        <v>53</v>
      </c>
      <c r="AQ4678">
        <v>0</v>
      </c>
      <c r="AR4678" t="s">
        <v>53</v>
      </c>
      <c r="AS4678">
        <v>0</v>
      </c>
      <c r="AT4678">
        <v>0</v>
      </c>
      <c r="AW4678" t="s">
        <v>172</v>
      </c>
      <c r="AX4678">
        <v>15</v>
      </c>
      <c r="AY4678" s="1">
        <v>44341</v>
      </c>
      <c r="AZ4678" s="1">
        <v>44341</v>
      </c>
      <c r="BA4678" s="1">
        <v>44341</v>
      </c>
      <c r="BB4678" s="1">
        <v>49820</v>
      </c>
      <c r="BC4678" t="s">
        <v>51</v>
      </c>
      <c r="BE4678" t="s">
        <v>54</v>
      </c>
      <c r="BF4678">
        <v>40</v>
      </c>
      <c r="BG4678">
        <v>0</v>
      </c>
      <c r="BH4678" t="s">
        <v>145</v>
      </c>
      <c r="CC4678" t="s">
        <v>250</v>
      </c>
      <c r="CD4678">
        <v>100000</v>
      </c>
      <c r="CE4678" s="1">
        <v>44341</v>
      </c>
      <c r="CF4678" s="1">
        <v>44341</v>
      </c>
      <c r="CG4678" s="1">
        <v>44341</v>
      </c>
      <c r="CH4678" s="1">
        <v>53310</v>
      </c>
      <c r="CI4678" t="s">
        <v>51</v>
      </c>
      <c r="CK4678" t="s">
        <v>78</v>
      </c>
      <c r="CM4678" t="s">
        <v>54</v>
      </c>
      <c r="CN4678" t="s">
        <v>174</v>
      </c>
      <c r="CR4678">
        <v>13.2</v>
      </c>
      <c r="CS4678">
        <v>1800</v>
      </c>
      <c r="CT4678">
        <v>0</v>
      </c>
      <c r="CU4678">
        <v>16</v>
      </c>
    </row>
    <row r="4679" spans="1:99" x14ac:dyDescent="0.2">
      <c r="A4679" t="s">
        <v>1012</v>
      </c>
      <c r="B4679" t="s">
        <v>1013</v>
      </c>
      <c r="C4679" t="s">
        <v>2122</v>
      </c>
      <c r="D4679" t="s">
        <v>2123</v>
      </c>
      <c r="F4679" t="str">
        <f>"254152"</f>
        <v>254152</v>
      </c>
      <c r="G4679" t="s">
        <v>49</v>
      </c>
      <c r="K4679" t="s">
        <v>51</v>
      </c>
      <c r="L4679" t="s">
        <v>52</v>
      </c>
      <c r="M4679">
        <v>131971.98000000001</v>
      </c>
      <c r="N4679">
        <v>473497.29</v>
      </c>
      <c r="O4679" t="s">
        <v>53</v>
      </c>
      <c r="P4679" t="s">
        <v>54</v>
      </c>
      <c r="Q4679" t="s">
        <v>55</v>
      </c>
      <c r="T4679" t="s">
        <v>246</v>
      </c>
      <c r="U4679">
        <v>40</v>
      </c>
      <c r="V4679" s="1">
        <v>44341</v>
      </c>
      <c r="W4679" s="1">
        <v>44341</v>
      </c>
      <c r="X4679" s="1">
        <v>44341</v>
      </c>
      <c r="Y4679" s="1">
        <v>58951</v>
      </c>
      <c r="Z4679" t="s">
        <v>51</v>
      </c>
      <c r="AB4679" t="s">
        <v>54</v>
      </c>
      <c r="AE4679" t="s">
        <v>1065</v>
      </c>
      <c r="AF4679">
        <v>20</v>
      </c>
      <c r="AG4679" s="1">
        <v>44341</v>
      </c>
      <c r="AH4679" s="1">
        <v>44341</v>
      </c>
      <c r="AI4679" s="1">
        <v>44341</v>
      </c>
      <c r="AJ4679" s="1">
        <v>51646</v>
      </c>
      <c r="AK4679" t="s">
        <v>51</v>
      </c>
      <c r="AN4679">
        <v>0</v>
      </c>
      <c r="AO4679" t="s">
        <v>54</v>
      </c>
      <c r="AP4679" t="s">
        <v>53</v>
      </c>
      <c r="AQ4679">
        <v>0</v>
      </c>
      <c r="AR4679" t="s">
        <v>53</v>
      </c>
      <c r="AS4679">
        <v>0</v>
      </c>
      <c r="AT4679">
        <v>0</v>
      </c>
      <c r="AW4679" t="s">
        <v>172</v>
      </c>
      <c r="AX4679">
        <v>15</v>
      </c>
      <c r="AY4679" s="1">
        <v>44341</v>
      </c>
      <c r="AZ4679" s="1">
        <v>44341</v>
      </c>
      <c r="BA4679" s="1">
        <v>44341</v>
      </c>
      <c r="BB4679" s="1">
        <v>49820</v>
      </c>
      <c r="BC4679" t="s">
        <v>51</v>
      </c>
      <c r="BE4679" t="s">
        <v>54</v>
      </c>
      <c r="BF4679">
        <v>40</v>
      </c>
      <c r="BG4679">
        <v>0</v>
      </c>
      <c r="BH4679" t="s">
        <v>145</v>
      </c>
      <c r="CC4679" t="s">
        <v>250</v>
      </c>
      <c r="CD4679">
        <v>100000</v>
      </c>
      <c r="CE4679" s="1">
        <v>44341</v>
      </c>
      <c r="CF4679" s="1">
        <v>44341</v>
      </c>
      <c r="CG4679" s="1">
        <v>44341</v>
      </c>
      <c r="CH4679" s="1">
        <v>53310</v>
      </c>
      <c r="CI4679" t="s">
        <v>51</v>
      </c>
      <c r="CK4679" t="s">
        <v>78</v>
      </c>
      <c r="CM4679" t="s">
        <v>54</v>
      </c>
      <c r="CN4679" t="s">
        <v>174</v>
      </c>
      <c r="CR4679">
        <v>13.2</v>
      </c>
      <c r="CS4679">
        <v>1800</v>
      </c>
      <c r="CT4679">
        <v>0</v>
      </c>
      <c r="CU4679">
        <v>16</v>
      </c>
    </row>
    <row r="4680" spans="1:99" x14ac:dyDescent="0.2">
      <c r="A4680" t="s">
        <v>1012</v>
      </c>
      <c r="B4680" t="s">
        <v>1013</v>
      </c>
      <c r="C4680" t="s">
        <v>2122</v>
      </c>
      <c r="D4680" t="s">
        <v>2123</v>
      </c>
      <c r="F4680" t="str">
        <f>"254153"</f>
        <v>254153</v>
      </c>
      <c r="G4680" t="s">
        <v>49</v>
      </c>
      <c r="K4680" t="s">
        <v>51</v>
      </c>
      <c r="L4680" t="s">
        <v>52</v>
      </c>
      <c r="M4680">
        <v>131956.38</v>
      </c>
      <c r="N4680">
        <v>473502.32</v>
      </c>
      <c r="O4680" t="s">
        <v>53</v>
      </c>
      <c r="P4680" t="s">
        <v>54</v>
      </c>
      <c r="Q4680" t="s">
        <v>55</v>
      </c>
      <c r="T4680" t="s">
        <v>246</v>
      </c>
      <c r="U4680">
        <v>40</v>
      </c>
      <c r="V4680" s="1">
        <v>44341</v>
      </c>
      <c r="W4680" s="1">
        <v>44341</v>
      </c>
      <c r="X4680" s="1">
        <v>44341</v>
      </c>
      <c r="Y4680" s="1">
        <v>58951</v>
      </c>
      <c r="Z4680" t="s">
        <v>51</v>
      </c>
      <c r="AB4680" t="s">
        <v>54</v>
      </c>
      <c r="AE4680" t="s">
        <v>1065</v>
      </c>
      <c r="AF4680">
        <v>20</v>
      </c>
      <c r="AG4680" s="1">
        <v>44341</v>
      </c>
      <c r="AH4680" s="1">
        <v>44341</v>
      </c>
      <c r="AI4680" s="1">
        <v>44341</v>
      </c>
      <c r="AJ4680" s="1">
        <v>51646</v>
      </c>
      <c r="AK4680" t="s">
        <v>51</v>
      </c>
      <c r="AN4680">
        <v>0</v>
      </c>
      <c r="AO4680" t="s">
        <v>54</v>
      </c>
      <c r="AP4680" t="s">
        <v>53</v>
      </c>
      <c r="AQ4680">
        <v>0</v>
      </c>
      <c r="AR4680" t="s">
        <v>53</v>
      </c>
      <c r="AS4680">
        <v>0</v>
      </c>
      <c r="AT4680">
        <v>0</v>
      </c>
      <c r="AW4680" t="s">
        <v>172</v>
      </c>
      <c r="AX4680">
        <v>15</v>
      </c>
      <c r="AY4680" s="1">
        <v>44341</v>
      </c>
      <c r="AZ4680" s="1">
        <v>44341</v>
      </c>
      <c r="BA4680" s="1">
        <v>44341</v>
      </c>
      <c r="BB4680" s="1">
        <v>49820</v>
      </c>
      <c r="BC4680" t="s">
        <v>51</v>
      </c>
      <c r="BE4680" t="s">
        <v>54</v>
      </c>
      <c r="BF4680">
        <v>40</v>
      </c>
      <c r="BG4680">
        <v>0</v>
      </c>
      <c r="BH4680" t="s">
        <v>145</v>
      </c>
      <c r="CC4680" t="s">
        <v>250</v>
      </c>
      <c r="CD4680">
        <v>100000</v>
      </c>
      <c r="CE4680" s="1">
        <v>44341</v>
      </c>
      <c r="CF4680" s="1">
        <v>44341</v>
      </c>
      <c r="CG4680" s="1">
        <v>44341</v>
      </c>
      <c r="CH4680" s="1">
        <v>53310</v>
      </c>
      <c r="CI4680" t="s">
        <v>51</v>
      </c>
      <c r="CK4680" t="s">
        <v>78</v>
      </c>
      <c r="CM4680" t="s">
        <v>54</v>
      </c>
      <c r="CN4680" t="s">
        <v>174</v>
      </c>
      <c r="CR4680">
        <v>13.2</v>
      </c>
      <c r="CS4680">
        <v>1800</v>
      </c>
      <c r="CT4680">
        <v>0</v>
      </c>
      <c r="CU4680">
        <v>16</v>
      </c>
    </row>
    <row r="4681" spans="1:99" x14ac:dyDescent="0.2">
      <c r="A4681" t="s">
        <v>112</v>
      </c>
      <c r="B4681" t="s">
        <v>113</v>
      </c>
      <c r="C4681" t="s">
        <v>114</v>
      </c>
      <c r="D4681" t="s">
        <v>452</v>
      </c>
      <c r="F4681" t="str">
        <f>"253942"</f>
        <v>253942</v>
      </c>
      <c r="G4681" t="s">
        <v>49</v>
      </c>
      <c r="K4681" t="s">
        <v>51</v>
      </c>
      <c r="L4681" t="s">
        <v>52</v>
      </c>
      <c r="M4681">
        <v>136802.53</v>
      </c>
      <c r="N4681">
        <v>473444.65</v>
      </c>
      <c r="O4681" t="s">
        <v>53</v>
      </c>
      <c r="P4681" t="s">
        <v>54</v>
      </c>
      <c r="Q4681" t="s">
        <v>55</v>
      </c>
      <c r="T4681" t="s">
        <v>2138</v>
      </c>
      <c r="U4681">
        <v>40</v>
      </c>
      <c r="V4681" s="1">
        <v>31778</v>
      </c>
      <c r="W4681" s="1">
        <v>31778</v>
      </c>
      <c r="X4681" s="1">
        <v>31778</v>
      </c>
      <c r="Y4681" s="1">
        <v>46388</v>
      </c>
      <c r="Z4681" t="s">
        <v>51</v>
      </c>
      <c r="AB4681" t="s">
        <v>54</v>
      </c>
      <c r="AE4681" t="s">
        <v>84</v>
      </c>
      <c r="AF4681">
        <v>20</v>
      </c>
      <c r="AG4681" s="1">
        <v>42736</v>
      </c>
      <c r="AH4681" s="1">
        <v>42736</v>
      </c>
      <c r="AI4681" s="1">
        <v>42736</v>
      </c>
      <c r="AJ4681" s="1">
        <v>50041</v>
      </c>
      <c r="AK4681" t="s">
        <v>51</v>
      </c>
      <c r="AN4681">
        <v>0</v>
      </c>
      <c r="AO4681" t="s">
        <v>54</v>
      </c>
      <c r="AP4681" t="s">
        <v>53</v>
      </c>
      <c r="AQ4681">
        <v>0</v>
      </c>
      <c r="AR4681" t="s">
        <v>53</v>
      </c>
      <c r="AS4681">
        <v>0</v>
      </c>
      <c r="AT4681">
        <v>0</v>
      </c>
      <c r="BK4681" t="s">
        <v>59</v>
      </c>
      <c r="BL4681">
        <v>14000</v>
      </c>
      <c r="BM4681" s="1">
        <v>42736</v>
      </c>
      <c r="BN4681" s="1">
        <v>42736</v>
      </c>
      <c r="BO4681" s="1">
        <v>42736</v>
      </c>
      <c r="BP4681" s="1">
        <v>43900</v>
      </c>
      <c r="BQ4681" t="s">
        <v>51</v>
      </c>
      <c r="BS4681" t="s">
        <v>60</v>
      </c>
      <c r="BT4681" t="s">
        <v>54</v>
      </c>
      <c r="BU4681" t="s">
        <v>61</v>
      </c>
      <c r="BV4681" t="s">
        <v>62</v>
      </c>
      <c r="BX4681">
        <v>24</v>
      </c>
      <c r="BY4681">
        <v>0</v>
      </c>
      <c r="BZ4681">
        <v>0</v>
      </c>
    </row>
    <row r="4682" spans="1:99" x14ac:dyDescent="0.2">
      <c r="A4682" t="s">
        <v>112</v>
      </c>
      <c r="B4682" t="s">
        <v>113</v>
      </c>
      <c r="C4682" t="s">
        <v>114</v>
      </c>
      <c r="D4682" t="s">
        <v>153</v>
      </c>
      <c r="F4682" t="str">
        <f>"253943"</f>
        <v>253943</v>
      </c>
      <c r="G4682" t="s">
        <v>49</v>
      </c>
      <c r="K4682" t="s">
        <v>51</v>
      </c>
      <c r="L4682" t="s">
        <v>52</v>
      </c>
      <c r="M4682">
        <v>136799.25</v>
      </c>
      <c r="N4682">
        <v>473458.2</v>
      </c>
      <c r="O4682" t="s">
        <v>53</v>
      </c>
      <c r="P4682" t="s">
        <v>54</v>
      </c>
      <c r="Q4682" t="s">
        <v>55</v>
      </c>
      <c r="T4682" t="s">
        <v>2138</v>
      </c>
      <c r="U4682">
        <v>40</v>
      </c>
      <c r="V4682" s="1">
        <v>31778</v>
      </c>
      <c r="W4682" s="1">
        <v>31778</v>
      </c>
      <c r="X4682" s="1">
        <v>31778</v>
      </c>
      <c r="Y4682" s="1">
        <v>46388</v>
      </c>
      <c r="Z4682" t="s">
        <v>51</v>
      </c>
      <c r="AB4682" t="s">
        <v>54</v>
      </c>
      <c r="AE4682" t="s">
        <v>84</v>
      </c>
      <c r="AF4682">
        <v>20</v>
      </c>
      <c r="AG4682" s="1">
        <v>42736</v>
      </c>
      <c r="AH4682" s="1">
        <v>42736</v>
      </c>
      <c r="AI4682" s="1">
        <v>42736</v>
      </c>
      <c r="AJ4682" s="1">
        <v>50041</v>
      </c>
      <c r="AK4682" t="s">
        <v>51</v>
      </c>
      <c r="AN4682">
        <v>0</v>
      </c>
      <c r="AO4682" t="s">
        <v>54</v>
      </c>
      <c r="AP4682" t="s">
        <v>53</v>
      </c>
      <c r="AQ4682">
        <v>0</v>
      </c>
      <c r="AR4682" t="s">
        <v>53</v>
      </c>
      <c r="AS4682">
        <v>0</v>
      </c>
      <c r="AT4682">
        <v>0</v>
      </c>
      <c r="BK4682" t="s">
        <v>59</v>
      </c>
      <c r="BL4682">
        <v>14000</v>
      </c>
      <c r="BM4682" s="1">
        <v>42736</v>
      </c>
      <c r="BN4682" s="1">
        <v>42736</v>
      </c>
      <c r="BO4682" s="1">
        <v>42736</v>
      </c>
      <c r="BP4682" s="1">
        <v>43900</v>
      </c>
      <c r="BQ4682" t="s">
        <v>51</v>
      </c>
      <c r="BS4682" t="s">
        <v>60</v>
      </c>
      <c r="BT4682" t="s">
        <v>54</v>
      </c>
      <c r="BU4682" t="s">
        <v>61</v>
      </c>
      <c r="BV4682" t="s">
        <v>62</v>
      </c>
      <c r="BX4682">
        <v>24</v>
      </c>
      <c r="BY4682">
        <v>0</v>
      </c>
      <c r="BZ4682">
        <v>0</v>
      </c>
    </row>
    <row r="4683" spans="1:99" x14ac:dyDescent="0.2">
      <c r="A4683" t="s">
        <v>1012</v>
      </c>
      <c r="B4683" t="s">
        <v>1013</v>
      </c>
      <c r="C4683" t="s">
        <v>2122</v>
      </c>
      <c r="D4683" t="s">
        <v>2123</v>
      </c>
      <c r="F4683" t="str">
        <f>"254159"</f>
        <v>254159</v>
      </c>
      <c r="G4683" t="s">
        <v>49</v>
      </c>
      <c r="K4683" t="s">
        <v>51</v>
      </c>
      <c r="L4683" t="s">
        <v>52</v>
      </c>
      <c r="M4683">
        <v>131856.53</v>
      </c>
      <c r="N4683">
        <v>473533.04</v>
      </c>
      <c r="O4683" t="s">
        <v>53</v>
      </c>
      <c r="P4683" t="s">
        <v>54</v>
      </c>
      <c r="Q4683" t="s">
        <v>55</v>
      </c>
      <c r="T4683" t="s">
        <v>246</v>
      </c>
      <c r="U4683">
        <v>40</v>
      </c>
      <c r="V4683" s="1">
        <v>44341</v>
      </c>
      <c r="W4683" s="1">
        <v>44341</v>
      </c>
      <c r="X4683" s="1">
        <v>44341</v>
      </c>
      <c r="Y4683" s="1">
        <v>58951</v>
      </c>
      <c r="Z4683" t="s">
        <v>51</v>
      </c>
      <c r="AB4683" t="s">
        <v>54</v>
      </c>
      <c r="AE4683" t="s">
        <v>1065</v>
      </c>
      <c r="AF4683">
        <v>20</v>
      </c>
      <c r="AG4683" s="1">
        <v>44341</v>
      </c>
      <c r="AH4683" s="1">
        <v>44341</v>
      </c>
      <c r="AI4683" s="1">
        <v>44341</v>
      </c>
      <c r="AJ4683" s="1">
        <v>51646</v>
      </c>
      <c r="AK4683" t="s">
        <v>51</v>
      </c>
      <c r="AN4683">
        <v>0</v>
      </c>
      <c r="AO4683" t="s">
        <v>54</v>
      </c>
      <c r="AP4683" t="s">
        <v>53</v>
      </c>
      <c r="AQ4683">
        <v>0</v>
      </c>
      <c r="AR4683" t="s">
        <v>53</v>
      </c>
      <c r="AS4683">
        <v>0</v>
      </c>
      <c r="AT4683">
        <v>0</v>
      </c>
      <c r="AW4683" t="s">
        <v>172</v>
      </c>
      <c r="AX4683">
        <v>15</v>
      </c>
      <c r="AY4683" s="1">
        <v>44341</v>
      </c>
      <c r="AZ4683" s="1">
        <v>44341</v>
      </c>
      <c r="BA4683" s="1">
        <v>44341</v>
      </c>
      <c r="BB4683" s="1">
        <v>49820</v>
      </c>
      <c r="BC4683" t="s">
        <v>51</v>
      </c>
      <c r="BE4683" t="s">
        <v>54</v>
      </c>
      <c r="BF4683">
        <v>40</v>
      </c>
      <c r="BG4683">
        <v>0</v>
      </c>
      <c r="BH4683" t="s">
        <v>145</v>
      </c>
      <c r="CC4683" t="s">
        <v>250</v>
      </c>
      <c r="CD4683">
        <v>100000</v>
      </c>
      <c r="CE4683" s="1">
        <v>44341</v>
      </c>
      <c r="CF4683" s="1">
        <v>44341</v>
      </c>
      <c r="CG4683" s="1">
        <v>44341</v>
      </c>
      <c r="CH4683" s="1">
        <v>53310</v>
      </c>
      <c r="CI4683" t="s">
        <v>51</v>
      </c>
      <c r="CK4683" t="s">
        <v>78</v>
      </c>
      <c r="CM4683" t="s">
        <v>54</v>
      </c>
      <c r="CN4683" t="s">
        <v>174</v>
      </c>
      <c r="CR4683">
        <v>13.2</v>
      </c>
      <c r="CS4683">
        <v>1800</v>
      </c>
      <c r="CT4683">
        <v>0</v>
      </c>
      <c r="CU4683">
        <v>16</v>
      </c>
    </row>
    <row r="4684" spans="1:99" x14ac:dyDescent="0.2">
      <c r="A4684" t="s">
        <v>1012</v>
      </c>
      <c r="B4684" t="s">
        <v>1013</v>
      </c>
      <c r="C4684" t="s">
        <v>2122</v>
      </c>
      <c r="D4684" t="s">
        <v>2123</v>
      </c>
      <c r="F4684" t="str">
        <f>"254158"</f>
        <v>254158</v>
      </c>
      <c r="G4684" t="s">
        <v>49</v>
      </c>
      <c r="K4684" t="s">
        <v>51</v>
      </c>
      <c r="L4684" t="s">
        <v>52</v>
      </c>
      <c r="M4684">
        <v>131874.17000000001</v>
      </c>
      <c r="N4684">
        <v>473528.04</v>
      </c>
      <c r="O4684" t="s">
        <v>53</v>
      </c>
      <c r="P4684" t="s">
        <v>54</v>
      </c>
      <c r="Q4684" t="s">
        <v>55</v>
      </c>
      <c r="T4684" t="s">
        <v>246</v>
      </c>
      <c r="U4684">
        <v>40</v>
      </c>
      <c r="V4684" s="1">
        <v>44341</v>
      </c>
      <c r="W4684" s="1">
        <v>44341</v>
      </c>
      <c r="X4684" s="1">
        <v>44341</v>
      </c>
      <c r="Y4684" s="1">
        <v>58951</v>
      </c>
      <c r="Z4684" t="s">
        <v>51</v>
      </c>
      <c r="AB4684" t="s">
        <v>54</v>
      </c>
      <c r="AE4684" t="s">
        <v>1065</v>
      </c>
      <c r="AF4684">
        <v>20</v>
      </c>
      <c r="AG4684" s="1">
        <v>44341</v>
      </c>
      <c r="AH4684" s="1">
        <v>44341</v>
      </c>
      <c r="AI4684" s="1">
        <v>44341</v>
      </c>
      <c r="AJ4684" s="1">
        <v>51646</v>
      </c>
      <c r="AK4684" t="s">
        <v>51</v>
      </c>
      <c r="AN4684">
        <v>0</v>
      </c>
      <c r="AO4684" t="s">
        <v>54</v>
      </c>
      <c r="AP4684" t="s">
        <v>53</v>
      </c>
      <c r="AQ4684">
        <v>0</v>
      </c>
      <c r="AR4684" t="s">
        <v>53</v>
      </c>
      <c r="AS4684">
        <v>0</v>
      </c>
      <c r="AT4684">
        <v>0</v>
      </c>
      <c r="AW4684" t="s">
        <v>172</v>
      </c>
      <c r="AX4684">
        <v>15</v>
      </c>
      <c r="AY4684" s="1">
        <v>44341</v>
      </c>
      <c r="AZ4684" s="1">
        <v>44341</v>
      </c>
      <c r="BA4684" s="1">
        <v>44341</v>
      </c>
      <c r="BB4684" s="1">
        <v>49820</v>
      </c>
      <c r="BC4684" t="s">
        <v>51</v>
      </c>
      <c r="BE4684" t="s">
        <v>54</v>
      </c>
      <c r="BF4684">
        <v>40</v>
      </c>
      <c r="BG4684">
        <v>0</v>
      </c>
      <c r="BH4684" t="s">
        <v>145</v>
      </c>
      <c r="CC4684" t="s">
        <v>250</v>
      </c>
      <c r="CD4684">
        <v>100000</v>
      </c>
      <c r="CE4684" s="1">
        <v>44341</v>
      </c>
      <c r="CF4684" s="1">
        <v>44341</v>
      </c>
      <c r="CG4684" s="1">
        <v>44341</v>
      </c>
      <c r="CH4684" s="1">
        <v>53310</v>
      </c>
      <c r="CI4684" t="s">
        <v>51</v>
      </c>
      <c r="CK4684" t="s">
        <v>78</v>
      </c>
      <c r="CM4684" t="s">
        <v>54</v>
      </c>
      <c r="CN4684" t="s">
        <v>174</v>
      </c>
      <c r="CR4684">
        <v>13.2</v>
      </c>
      <c r="CS4684">
        <v>1800</v>
      </c>
      <c r="CT4684">
        <v>0</v>
      </c>
      <c r="CU4684">
        <v>16</v>
      </c>
    </row>
    <row r="4685" spans="1:99" x14ac:dyDescent="0.2">
      <c r="A4685" t="s">
        <v>1012</v>
      </c>
      <c r="B4685" t="s">
        <v>1013</v>
      </c>
      <c r="C4685" t="s">
        <v>2122</v>
      </c>
      <c r="D4685" t="s">
        <v>2123</v>
      </c>
      <c r="F4685" t="str">
        <f>"254154"</f>
        <v>254154</v>
      </c>
      <c r="G4685" t="s">
        <v>49</v>
      </c>
      <c r="K4685" t="s">
        <v>51</v>
      </c>
      <c r="L4685" t="s">
        <v>52</v>
      </c>
      <c r="M4685">
        <v>131941.94</v>
      </c>
      <c r="N4685">
        <v>473506.81</v>
      </c>
      <c r="O4685" t="s">
        <v>53</v>
      </c>
      <c r="P4685" t="s">
        <v>54</v>
      </c>
      <c r="Q4685" t="s">
        <v>55</v>
      </c>
      <c r="T4685" t="s">
        <v>246</v>
      </c>
      <c r="U4685">
        <v>40</v>
      </c>
      <c r="V4685" s="1">
        <v>44341</v>
      </c>
      <c r="W4685" s="1">
        <v>44341</v>
      </c>
      <c r="X4685" s="1">
        <v>44341</v>
      </c>
      <c r="Y4685" s="1">
        <v>58951</v>
      </c>
      <c r="Z4685" t="s">
        <v>51</v>
      </c>
      <c r="AB4685" t="s">
        <v>54</v>
      </c>
      <c r="AE4685" t="s">
        <v>1065</v>
      </c>
      <c r="AF4685">
        <v>20</v>
      </c>
      <c r="AG4685" s="1">
        <v>44341</v>
      </c>
      <c r="AH4685" s="1">
        <v>44341</v>
      </c>
      <c r="AI4685" s="1">
        <v>44341</v>
      </c>
      <c r="AJ4685" s="1">
        <v>51646</v>
      </c>
      <c r="AK4685" t="s">
        <v>51</v>
      </c>
      <c r="AN4685">
        <v>0</v>
      </c>
      <c r="AO4685" t="s">
        <v>54</v>
      </c>
      <c r="AP4685" t="s">
        <v>53</v>
      </c>
      <c r="AQ4685">
        <v>0</v>
      </c>
      <c r="AR4685" t="s">
        <v>53</v>
      </c>
      <c r="AS4685">
        <v>0</v>
      </c>
      <c r="AT4685">
        <v>0</v>
      </c>
      <c r="AW4685" t="s">
        <v>172</v>
      </c>
      <c r="AX4685">
        <v>15</v>
      </c>
      <c r="AY4685" s="1">
        <v>44341</v>
      </c>
      <c r="AZ4685" s="1">
        <v>44341</v>
      </c>
      <c r="BA4685" s="1">
        <v>44341</v>
      </c>
      <c r="BB4685" s="1">
        <v>49820</v>
      </c>
      <c r="BC4685" t="s">
        <v>51</v>
      </c>
      <c r="BE4685" t="s">
        <v>54</v>
      </c>
      <c r="BF4685">
        <v>40</v>
      </c>
      <c r="BG4685">
        <v>0</v>
      </c>
      <c r="BH4685" t="s">
        <v>145</v>
      </c>
      <c r="CC4685" t="s">
        <v>250</v>
      </c>
      <c r="CD4685">
        <v>100000</v>
      </c>
      <c r="CE4685" s="1">
        <v>44341</v>
      </c>
      <c r="CF4685" s="1">
        <v>44341</v>
      </c>
      <c r="CG4685" s="1">
        <v>44341</v>
      </c>
      <c r="CH4685" s="1">
        <v>53310</v>
      </c>
      <c r="CI4685" t="s">
        <v>51</v>
      </c>
      <c r="CK4685" t="s">
        <v>78</v>
      </c>
      <c r="CM4685" t="s">
        <v>54</v>
      </c>
      <c r="CN4685" t="s">
        <v>174</v>
      </c>
      <c r="CR4685">
        <v>13.2</v>
      </c>
      <c r="CS4685">
        <v>1800</v>
      </c>
      <c r="CT4685">
        <v>0</v>
      </c>
      <c r="CU4685">
        <v>16</v>
      </c>
    </row>
    <row r="4686" spans="1:99" x14ac:dyDescent="0.2">
      <c r="A4686" t="s">
        <v>1012</v>
      </c>
      <c r="B4686" t="s">
        <v>1013</v>
      </c>
      <c r="C4686" t="s">
        <v>2122</v>
      </c>
      <c r="D4686" t="s">
        <v>2123</v>
      </c>
      <c r="F4686" t="str">
        <f>"254157"</f>
        <v>254157</v>
      </c>
      <c r="G4686" t="s">
        <v>49</v>
      </c>
      <c r="K4686" t="s">
        <v>51</v>
      </c>
      <c r="L4686" t="s">
        <v>52</v>
      </c>
      <c r="M4686">
        <v>131890.79999999999</v>
      </c>
      <c r="N4686">
        <v>473522.58</v>
      </c>
      <c r="O4686" t="s">
        <v>53</v>
      </c>
      <c r="P4686" t="s">
        <v>54</v>
      </c>
      <c r="Q4686" t="s">
        <v>55</v>
      </c>
      <c r="T4686" t="s">
        <v>246</v>
      </c>
      <c r="U4686">
        <v>40</v>
      </c>
      <c r="V4686" s="1">
        <v>44341</v>
      </c>
      <c r="W4686" s="1">
        <v>44341</v>
      </c>
      <c r="X4686" s="1">
        <v>44341</v>
      </c>
      <c r="Y4686" s="1">
        <v>58951</v>
      </c>
      <c r="Z4686" t="s">
        <v>51</v>
      </c>
      <c r="AB4686" t="s">
        <v>54</v>
      </c>
      <c r="AE4686" t="s">
        <v>1065</v>
      </c>
      <c r="AF4686">
        <v>20</v>
      </c>
      <c r="AG4686" s="1">
        <v>44341</v>
      </c>
      <c r="AH4686" s="1">
        <v>44341</v>
      </c>
      <c r="AI4686" s="1">
        <v>44341</v>
      </c>
      <c r="AJ4686" s="1">
        <v>51646</v>
      </c>
      <c r="AK4686" t="s">
        <v>51</v>
      </c>
      <c r="AN4686">
        <v>0</v>
      </c>
      <c r="AO4686" t="s">
        <v>54</v>
      </c>
      <c r="AP4686" t="s">
        <v>53</v>
      </c>
      <c r="AQ4686">
        <v>0</v>
      </c>
      <c r="AR4686" t="s">
        <v>53</v>
      </c>
      <c r="AS4686">
        <v>0</v>
      </c>
      <c r="AT4686">
        <v>0</v>
      </c>
      <c r="AW4686" t="s">
        <v>172</v>
      </c>
      <c r="AX4686">
        <v>15</v>
      </c>
      <c r="AY4686" s="1">
        <v>44341</v>
      </c>
      <c r="AZ4686" s="1">
        <v>44341</v>
      </c>
      <c r="BA4686" s="1">
        <v>44341</v>
      </c>
      <c r="BB4686" s="1">
        <v>49820</v>
      </c>
      <c r="BC4686" t="s">
        <v>51</v>
      </c>
      <c r="BE4686" t="s">
        <v>54</v>
      </c>
      <c r="BF4686">
        <v>40</v>
      </c>
      <c r="BG4686">
        <v>0</v>
      </c>
      <c r="BH4686" t="s">
        <v>145</v>
      </c>
      <c r="CC4686" t="s">
        <v>250</v>
      </c>
      <c r="CD4686">
        <v>100000</v>
      </c>
      <c r="CE4686" s="1">
        <v>44341</v>
      </c>
      <c r="CF4686" s="1">
        <v>44341</v>
      </c>
      <c r="CG4686" s="1">
        <v>44341</v>
      </c>
      <c r="CH4686" s="1">
        <v>53310</v>
      </c>
      <c r="CI4686" t="s">
        <v>51</v>
      </c>
      <c r="CK4686" t="s">
        <v>78</v>
      </c>
      <c r="CM4686" t="s">
        <v>54</v>
      </c>
      <c r="CN4686" t="s">
        <v>174</v>
      </c>
      <c r="CR4686">
        <v>13.2</v>
      </c>
      <c r="CS4686">
        <v>1800</v>
      </c>
      <c r="CT4686">
        <v>0</v>
      </c>
      <c r="CU4686">
        <v>16</v>
      </c>
    </row>
    <row r="4687" spans="1:99" x14ac:dyDescent="0.2">
      <c r="A4687" t="s">
        <v>1012</v>
      </c>
      <c r="B4687" t="s">
        <v>1013</v>
      </c>
      <c r="C4687" t="s">
        <v>2122</v>
      </c>
      <c r="D4687" t="s">
        <v>2123</v>
      </c>
      <c r="F4687" t="str">
        <f>"254155"</f>
        <v>254155</v>
      </c>
      <c r="G4687" t="s">
        <v>49</v>
      </c>
      <c r="K4687" t="s">
        <v>51</v>
      </c>
      <c r="L4687" t="s">
        <v>52</v>
      </c>
      <c r="M4687">
        <v>131925.1</v>
      </c>
      <c r="N4687">
        <v>473511.86</v>
      </c>
      <c r="O4687" t="s">
        <v>53</v>
      </c>
      <c r="P4687" t="s">
        <v>54</v>
      </c>
      <c r="Q4687" t="s">
        <v>55</v>
      </c>
      <c r="T4687" t="s">
        <v>246</v>
      </c>
      <c r="U4687">
        <v>40</v>
      </c>
      <c r="V4687" s="1">
        <v>44341</v>
      </c>
      <c r="W4687" s="1">
        <v>44341</v>
      </c>
      <c r="X4687" s="1">
        <v>44341</v>
      </c>
      <c r="Y4687" s="1">
        <v>58951</v>
      </c>
      <c r="Z4687" t="s">
        <v>51</v>
      </c>
      <c r="AB4687" t="s">
        <v>54</v>
      </c>
      <c r="AE4687" t="s">
        <v>1065</v>
      </c>
      <c r="AF4687">
        <v>20</v>
      </c>
      <c r="AG4687" s="1">
        <v>44341</v>
      </c>
      <c r="AH4687" s="1">
        <v>44341</v>
      </c>
      <c r="AI4687" s="1">
        <v>44341</v>
      </c>
      <c r="AJ4687" s="1">
        <v>51646</v>
      </c>
      <c r="AK4687" t="s">
        <v>51</v>
      </c>
      <c r="AN4687">
        <v>0</v>
      </c>
      <c r="AO4687" t="s">
        <v>54</v>
      </c>
      <c r="AP4687" t="s">
        <v>53</v>
      </c>
      <c r="AQ4687">
        <v>0</v>
      </c>
      <c r="AR4687" t="s">
        <v>53</v>
      </c>
      <c r="AS4687">
        <v>0</v>
      </c>
      <c r="AT4687">
        <v>0</v>
      </c>
      <c r="AW4687" t="s">
        <v>172</v>
      </c>
      <c r="AX4687">
        <v>15</v>
      </c>
      <c r="AY4687" s="1">
        <v>44341</v>
      </c>
      <c r="AZ4687" s="1">
        <v>44341</v>
      </c>
      <c r="BA4687" s="1">
        <v>44341</v>
      </c>
      <c r="BB4687" s="1">
        <v>49820</v>
      </c>
      <c r="BC4687" t="s">
        <v>51</v>
      </c>
      <c r="BE4687" t="s">
        <v>54</v>
      </c>
      <c r="BF4687">
        <v>40</v>
      </c>
      <c r="BG4687">
        <v>0</v>
      </c>
      <c r="BH4687" t="s">
        <v>145</v>
      </c>
      <c r="CC4687" t="s">
        <v>250</v>
      </c>
      <c r="CD4687">
        <v>100000</v>
      </c>
      <c r="CE4687" s="1">
        <v>44341</v>
      </c>
      <c r="CF4687" s="1">
        <v>44341</v>
      </c>
      <c r="CG4687" s="1">
        <v>44341</v>
      </c>
      <c r="CH4687" s="1">
        <v>53310</v>
      </c>
      <c r="CI4687" t="s">
        <v>51</v>
      </c>
      <c r="CK4687" t="s">
        <v>78</v>
      </c>
      <c r="CM4687" t="s">
        <v>54</v>
      </c>
      <c r="CN4687" t="s">
        <v>174</v>
      </c>
      <c r="CR4687">
        <v>13.2</v>
      </c>
      <c r="CS4687">
        <v>1800</v>
      </c>
      <c r="CT4687">
        <v>0</v>
      </c>
      <c r="CU4687">
        <v>16</v>
      </c>
    </row>
    <row r="4688" spans="1:99" x14ac:dyDescent="0.2">
      <c r="A4688" t="s">
        <v>1012</v>
      </c>
      <c r="B4688" t="s">
        <v>1013</v>
      </c>
      <c r="C4688" t="s">
        <v>2122</v>
      </c>
      <c r="D4688" t="s">
        <v>2123</v>
      </c>
      <c r="F4688" t="str">
        <f>"254156"</f>
        <v>254156</v>
      </c>
      <c r="G4688" t="s">
        <v>49</v>
      </c>
      <c r="K4688" t="s">
        <v>51</v>
      </c>
      <c r="L4688" t="s">
        <v>52</v>
      </c>
      <c r="M4688">
        <v>131908.26</v>
      </c>
      <c r="N4688">
        <v>473517.09</v>
      </c>
      <c r="O4688" t="s">
        <v>53</v>
      </c>
      <c r="P4688" t="s">
        <v>54</v>
      </c>
      <c r="Q4688" t="s">
        <v>55</v>
      </c>
      <c r="T4688" t="s">
        <v>246</v>
      </c>
      <c r="U4688">
        <v>40</v>
      </c>
      <c r="V4688" s="1">
        <v>44341</v>
      </c>
      <c r="W4688" s="1">
        <v>44341</v>
      </c>
      <c r="X4688" s="1">
        <v>44341</v>
      </c>
      <c r="Y4688" s="1">
        <v>58951</v>
      </c>
      <c r="Z4688" t="s">
        <v>51</v>
      </c>
      <c r="AB4688" t="s">
        <v>54</v>
      </c>
      <c r="AE4688" t="s">
        <v>1065</v>
      </c>
      <c r="AF4688">
        <v>20</v>
      </c>
      <c r="AG4688" s="1">
        <v>44341</v>
      </c>
      <c r="AH4688" s="1">
        <v>44341</v>
      </c>
      <c r="AI4688" s="1">
        <v>44341</v>
      </c>
      <c r="AJ4688" s="1">
        <v>51646</v>
      </c>
      <c r="AK4688" t="s">
        <v>51</v>
      </c>
      <c r="AN4688">
        <v>0</v>
      </c>
      <c r="AO4688" t="s">
        <v>54</v>
      </c>
      <c r="AP4688" t="s">
        <v>53</v>
      </c>
      <c r="AQ4688">
        <v>0</v>
      </c>
      <c r="AR4688" t="s">
        <v>53</v>
      </c>
      <c r="AS4688">
        <v>0</v>
      </c>
      <c r="AT4688">
        <v>0</v>
      </c>
      <c r="AW4688" t="s">
        <v>172</v>
      </c>
      <c r="AX4688">
        <v>15</v>
      </c>
      <c r="AY4688" s="1">
        <v>44341</v>
      </c>
      <c r="AZ4688" s="1">
        <v>44341</v>
      </c>
      <c r="BA4688" s="1">
        <v>44341</v>
      </c>
      <c r="BB4688" s="1">
        <v>49820</v>
      </c>
      <c r="BC4688" t="s">
        <v>51</v>
      </c>
      <c r="BE4688" t="s">
        <v>54</v>
      </c>
      <c r="BF4688">
        <v>40</v>
      </c>
      <c r="BG4688">
        <v>0</v>
      </c>
      <c r="BH4688" t="s">
        <v>145</v>
      </c>
      <c r="CC4688" t="s">
        <v>250</v>
      </c>
      <c r="CD4688">
        <v>100000</v>
      </c>
      <c r="CE4688" s="1">
        <v>44341</v>
      </c>
      <c r="CF4688" s="1">
        <v>44341</v>
      </c>
      <c r="CG4688" s="1">
        <v>44341</v>
      </c>
      <c r="CH4688" s="1">
        <v>53310</v>
      </c>
      <c r="CI4688" t="s">
        <v>51</v>
      </c>
      <c r="CK4688" t="s">
        <v>78</v>
      </c>
      <c r="CM4688" t="s">
        <v>54</v>
      </c>
      <c r="CN4688" t="s">
        <v>174</v>
      </c>
      <c r="CR4688">
        <v>13.2</v>
      </c>
      <c r="CS4688">
        <v>1800</v>
      </c>
      <c r="CT4688">
        <v>0</v>
      </c>
      <c r="CU4688">
        <v>16</v>
      </c>
    </row>
    <row r="4689" spans="1:112" x14ac:dyDescent="0.2">
      <c r="A4689" t="s">
        <v>1012</v>
      </c>
      <c r="B4689" t="s">
        <v>1013</v>
      </c>
      <c r="C4689" t="s">
        <v>1052</v>
      </c>
      <c r="D4689" t="s">
        <v>1084</v>
      </c>
      <c r="F4689" t="str">
        <f>"254378"</f>
        <v>254378</v>
      </c>
      <c r="G4689" t="s">
        <v>49</v>
      </c>
      <c r="H4689" t="s">
        <v>2139</v>
      </c>
      <c r="I4689" t="s">
        <v>2140</v>
      </c>
      <c r="K4689" t="s">
        <v>51</v>
      </c>
      <c r="L4689" t="s">
        <v>52</v>
      </c>
      <c r="M4689">
        <v>131853.31</v>
      </c>
      <c r="N4689">
        <v>474445.63</v>
      </c>
      <c r="O4689" t="s">
        <v>53</v>
      </c>
      <c r="P4689" t="s">
        <v>54</v>
      </c>
      <c r="Q4689" t="s">
        <v>55</v>
      </c>
      <c r="T4689" t="s">
        <v>100</v>
      </c>
      <c r="U4689">
        <v>40</v>
      </c>
      <c r="V4689" s="1">
        <v>42979</v>
      </c>
      <c r="W4689" s="1">
        <v>42979</v>
      </c>
      <c r="X4689" s="1">
        <v>42979</v>
      </c>
      <c r="Y4689" s="1">
        <v>57589</v>
      </c>
      <c r="Z4689" t="s">
        <v>51</v>
      </c>
      <c r="AB4689" t="s">
        <v>54</v>
      </c>
      <c r="AE4689" t="s">
        <v>1913</v>
      </c>
      <c r="AF4689">
        <v>20</v>
      </c>
      <c r="AG4689" s="1">
        <v>42979</v>
      </c>
      <c r="AH4689" s="1">
        <v>42979</v>
      </c>
      <c r="AI4689" s="1">
        <v>42979</v>
      </c>
      <c r="AJ4689" s="1">
        <v>50284</v>
      </c>
      <c r="AK4689" t="s">
        <v>51</v>
      </c>
      <c r="AN4689">
        <v>4</v>
      </c>
      <c r="AO4689" t="s">
        <v>54</v>
      </c>
      <c r="AP4689" t="s">
        <v>53</v>
      </c>
      <c r="AQ4689">
        <v>0</v>
      </c>
      <c r="AR4689" t="s">
        <v>53</v>
      </c>
      <c r="AS4689">
        <v>0</v>
      </c>
      <c r="AT4689">
        <v>0</v>
      </c>
      <c r="AW4689" t="s">
        <v>58</v>
      </c>
      <c r="AX4689">
        <v>20</v>
      </c>
      <c r="AY4689" s="1">
        <v>42979</v>
      </c>
      <c r="AZ4689" s="1">
        <v>42979</v>
      </c>
      <c r="BA4689" s="1">
        <v>42979</v>
      </c>
      <c r="BB4689" s="1">
        <v>50284</v>
      </c>
      <c r="BC4689" t="s">
        <v>51</v>
      </c>
      <c r="BE4689" t="s">
        <v>54</v>
      </c>
      <c r="BF4689">
        <v>2</v>
      </c>
      <c r="BG4689">
        <v>0</v>
      </c>
      <c r="BH4689" t="s">
        <v>53</v>
      </c>
      <c r="BK4689" t="s">
        <v>2141</v>
      </c>
      <c r="BL4689">
        <v>10000</v>
      </c>
      <c r="BM4689" s="1">
        <v>42979</v>
      </c>
      <c r="BN4689" s="1">
        <v>42979</v>
      </c>
      <c r="BO4689" s="1">
        <v>42979</v>
      </c>
      <c r="BP4689" s="1">
        <v>43807</v>
      </c>
      <c r="BQ4689" t="s">
        <v>51</v>
      </c>
      <c r="BS4689" t="s">
        <v>60</v>
      </c>
      <c r="BT4689" t="s">
        <v>54</v>
      </c>
      <c r="BU4689" t="s">
        <v>2142</v>
      </c>
      <c r="BX4689">
        <v>11</v>
      </c>
      <c r="BY4689">
        <v>900</v>
      </c>
      <c r="BZ4689">
        <v>80</v>
      </c>
      <c r="CX4689" t="s">
        <v>360</v>
      </c>
      <c r="CY4689">
        <v>40</v>
      </c>
      <c r="CZ4689" s="1">
        <v>42979</v>
      </c>
      <c r="DA4689" s="1">
        <v>42979</v>
      </c>
      <c r="DB4689" s="1">
        <v>42979</v>
      </c>
      <c r="DC4689" s="1">
        <v>57589</v>
      </c>
      <c r="DD4689" t="s">
        <v>51</v>
      </c>
      <c r="DF4689" t="s">
        <v>54</v>
      </c>
      <c r="DG4689">
        <v>0</v>
      </c>
      <c r="DH4689">
        <v>0</v>
      </c>
    </row>
    <row r="4690" spans="1:112" x14ac:dyDescent="0.2">
      <c r="A4690" t="s">
        <v>1012</v>
      </c>
      <c r="B4690" t="s">
        <v>1013</v>
      </c>
      <c r="C4690" t="s">
        <v>2122</v>
      </c>
      <c r="D4690" t="s">
        <v>2123</v>
      </c>
      <c r="F4690" t="str">
        <f>"254133"</f>
        <v>254133</v>
      </c>
      <c r="G4690" t="s">
        <v>49</v>
      </c>
      <c r="K4690" t="s">
        <v>51</v>
      </c>
      <c r="L4690" t="s">
        <v>52</v>
      </c>
      <c r="M4690">
        <v>131863.29999999999</v>
      </c>
      <c r="N4690">
        <v>473594.34</v>
      </c>
      <c r="O4690" t="s">
        <v>53</v>
      </c>
      <c r="P4690" t="s">
        <v>54</v>
      </c>
      <c r="Q4690" t="s">
        <v>55</v>
      </c>
      <c r="T4690" t="s">
        <v>246</v>
      </c>
      <c r="U4690">
        <v>40</v>
      </c>
      <c r="V4690" s="1">
        <v>44341</v>
      </c>
      <c r="W4690" s="1">
        <v>44341</v>
      </c>
      <c r="X4690" s="1">
        <v>44341</v>
      </c>
      <c r="Y4690" s="1">
        <v>58951</v>
      </c>
      <c r="Z4690" t="s">
        <v>51</v>
      </c>
      <c r="AB4690" t="s">
        <v>54</v>
      </c>
      <c r="AE4690" t="s">
        <v>1065</v>
      </c>
      <c r="AF4690">
        <v>20</v>
      </c>
      <c r="AG4690" s="1">
        <v>44341</v>
      </c>
      <c r="AH4690" s="1">
        <v>44341</v>
      </c>
      <c r="AI4690" s="1">
        <v>44341</v>
      </c>
      <c r="AJ4690" s="1">
        <v>51646</v>
      </c>
      <c r="AK4690" t="s">
        <v>51</v>
      </c>
      <c r="AN4690">
        <v>0</v>
      </c>
      <c r="AO4690" t="s">
        <v>54</v>
      </c>
      <c r="AP4690" t="s">
        <v>53</v>
      </c>
      <c r="AQ4690">
        <v>0</v>
      </c>
      <c r="AR4690" t="s">
        <v>53</v>
      </c>
      <c r="AS4690">
        <v>0</v>
      </c>
      <c r="AT4690">
        <v>0</v>
      </c>
      <c r="AW4690" t="s">
        <v>172</v>
      </c>
      <c r="AX4690">
        <v>15</v>
      </c>
      <c r="AY4690" s="1">
        <v>44341</v>
      </c>
      <c r="AZ4690" s="1">
        <v>44341</v>
      </c>
      <c r="BA4690" s="1">
        <v>44341</v>
      </c>
      <c r="BB4690" s="1">
        <v>49820</v>
      </c>
      <c r="BC4690" t="s">
        <v>51</v>
      </c>
      <c r="BE4690" t="s">
        <v>54</v>
      </c>
      <c r="BF4690">
        <v>40</v>
      </c>
      <c r="BG4690">
        <v>0</v>
      </c>
      <c r="BH4690" t="s">
        <v>145</v>
      </c>
      <c r="CC4690" t="s">
        <v>250</v>
      </c>
      <c r="CD4690">
        <v>100000</v>
      </c>
      <c r="CE4690" s="1">
        <v>44341</v>
      </c>
      <c r="CF4690" s="1">
        <v>44341</v>
      </c>
      <c r="CG4690" s="1">
        <v>44341</v>
      </c>
      <c r="CH4690" s="1">
        <v>53310</v>
      </c>
      <c r="CI4690" t="s">
        <v>51</v>
      </c>
      <c r="CK4690" t="s">
        <v>78</v>
      </c>
      <c r="CM4690" t="s">
        <v>54</v>
      </c>
      <c r="CN4690" t="s">
        <v>174</v>
      </c>
      <c r="CR4690">
        <v>13.2</v>
      </c>
      <c r="CS4690">
        <v>1800</v>
      </c>
      <c r="CT4690">
        <v>0</v>
      </c>
      <c r="CU4690">
        <v>16</v>
      </c>
    </row>
    <row r="4691" spans="1:112" x14ac:dyDescent="0.2">
      <c r="A4691" t="s">
        <v>1012</v>
      </c>
      <c r="B4691" t="s">
        <v>1013</v>
      </c>
      <c r="C4691" t="s">
        <v>2122</v>
      </c>
      <c r="D4691" t="s">
        <v>2123</v>
      </c>
      <c r="F4691" t="str">
        <f>"254135"</f>
        <v>254135</v>
      </c>
      <c r="G4691" t="s">
        <v>49</v>
      </c>
      <c r="K4691" t="s">
        <v>51</v>
      </c>
      <c r="L4691" t="s">
        <v>52</v>
      </c>
      <c r="M4691">
        <v>131909</v>
      </c>
      <c r="N4691">
        <v>473580.13</v>
      </c>
      <c r="O4691" t="s">
        <v>53</v>
      </c>
      <c r="P4691" t="s">
        <v>54</v>
      </c>
      <c r="Q4691" t="s">
        <v>55</v>
      </c>
      <c r="T4691" t="s">
        <v>246</v>
      </c>
      <c r="U4691">
        <v>40</v>
      </c>
      <c r="V4691" s="1">
        <v>44341</v>
      </c>
      <c r="W4691" s="1">
        <v>44341</v>
      </c>
      <c r="X4691" s="1">
        <v>44341</v>
      </c>
      <c r="Y4691" s="1">
        <v>58951</v>
      </c>
      <c r="Z4691" t="s">
        <v>51</v>
      </c>
      <c r="AB4691" t="s">
        <v>54</v>
      </c>
      <c r="AE4691" t="s">
        <v>1065</v>
      </c>
      <c r="AF4691">
        <v>20</v>
      </c>
      <c r="AG4691" s="1">
        <v>44341</v>
      </c>
      <c r="AH4691" s="1">
        <v>44341</v>
      </c>
      <c r="AI4691" s="1">
        <v>44341</v>
      </c>
      <c r="AJ4691" s="1">
        <v>51646</v>
      </c>
      <c r="AK4691" t="s">
        <v>51</v>
      </c>
      <c r="AN4691">
        <v>0</v>
      </c>
      <c r="AO4691" t="s">
        <v>54</v>
      </c>
      <c r="AP4691" t="s">
        <v>53</v>
      </c>
      <c r="AQ4691">
        <v>0</v>
      </c>
      <c r="AR4691" t="s">
        <v>53</v>
      </c>
      <c r="AS4691">
        <v>0</v>
      </c>
      <c r="AT4691">
        <v>0</v>
      </c>
      <c r="AW4691" t="s">
        <v>172</v>
      </c>
      <c r="AX4691">
        <v>15</v>
      </c>
      <c r="AY4691" s="1">
        <v>44341</v>
      </c>
      <c r="AZ4691" s="1">
        <v>44341</v>
      </c>
      <c r="BA4691" s="1">
        <v>44341</v>
      </c>
      <c r="BB4691" s="1">
        <v>49820</v>
      </c>
      <c r="BC4691" t="s">
        <v>51</v>
      </c>
      <c r="BE4691" t="s">
        <v>54</v>
      </c>
      <c r="BF4691">
        <v>40</v>
      </c>
      <c r="BG4691">
        <v>0</v>
      </c>
      <c r="BH4691" t="s">
        <v>145</v>
      </c>
      <c r="CC4691" t="s">
        <v>250</v>
      </c>
      <c r="CD4691">
        <v>100000</v>
      </c>
      <c r="CE4691" s="1">
        <v>44341</v>
      </c>
      <c r="CF4691" s="1">
        <v>44341</v>
      </c>
      <c r="CG4691" s="1">
        <v>44341</v>
      </c>
      <c r="CH4691" s="1">
        <v>53310</v>
      </c>
      <c r="CI4691" t="s">
        <v>51</v>
      </c>
      <c r="CK4691" t="s">
        <v>78</v>
      </c>
      <c r="CM4691" t="s">
        <v>54</v>
      </c>
      <c r="CN4691" t="s">
        <v>174</v>
      </c>
      <c r="CR4691">
        <v>13.2</v>
      </c>
      <c r="CS4691">
        <v>1800</v>
      </c>
      <c r="CT4691">
        <v>0</v>
      </c>
      <c r="CU4691">
        <v>16</v>
      </c>
    </row>
    <row r="4692" spans="1:112" x14ac:dyDescent="0.2">
      <c r="A4692" t="s">
        <v>1012</v>
      </c>
      <c r="B4692" t="s">
        <v>1013</v>
      </c>
      <c r="C4692" t="s">
        <v>2122</v>
      </c>
      <c r="D4692" t="s">
        <v>2123</v>
      </c>
      <c r="F4692" t="str">
        <f>"254136"</f>
        <v>254136</v>
      </c>
      <c r="G4692" t="s">
        <v>49</v>
      </c>
      <c r="K4692" t="s">
        <v>51</v>
      </c>
      <c r="L4692" t="s">
        <v>52</v>
      </c>
      <c r="M4692">
        <v>131932.35</v>
      </c>
      <c r="N4692">
        <v>473576.56</v>
      </c>
      <c r="O4692" t="s">
        <v>53</v>
      </c>
      <c r="P4692" t="s">
        <v>54</v>
      </c>
      <c r="Q4692" t="s">
        <v>55</v>
      </c>
      <c r="T4692" t="s">
        <v>246</v>
      </c>
      <c r="U4692">
        <v>40</v>
      </c>
      <c r="V4692" s="1">
        <v>44341</v>
      </c>
      <c r="W4692" s="1">
        <v>44341</v>
      </c>
      <c r="X4692" s="1">
        <v>44341</v>
      </c>
      <c r="Y4692" s="1">
        <v>58951</v>
      </c>
      <c r="Z4692" t="s">
        <v>51</v>
      </c>
      <c r="AB4692" t="s">
        <v>54</v>
      </c>
      <c r="AE4692" t="s">
        <v>1065</v>
      </c>
      <c r="AF4692">
        <v>20</v>
      </c>
      <c r="AG4692" s="1">
        <v>44341</v>
      </c>
      <c r="AH4692" s="1">
        <v>44341</v>
      </c>
      <c r="AI4692" s="1">
        <v>44341</v>
      </c>
      <c r="AJ4692" s="1">
        <v>51646</v>
      </c>
      <c r="AK4692" t="s">
        <v>51</v>
      </c>
      <c r="AN4692">
        <v>0</v>
      </c>
      <c r="AO4692" t="s">
        <v>54</v>
      </c>
      <c r="AP4692" t="s">
        <v>53</v>
      </c>
      <c r="AQ4692">
        <v>0</v>
      </c>
      <c r="AR4692" t="s">
        <v>53</v>
      </c>
      <c r="AS4692">
        <v>0</v>
      </c>
      <c r="AT4692">
        <v>0</v>
      </c>
      <c r="AW4692" t="s">
        <v>172</v>
      </c>
      <c r="AX4692">
        <v>15</v>
      </c>
      <c r="AY4692" s="1">
        <v>44341</v>
      </c>
      <c r="AZ4692" s="1">
        <v>44341</v>
      </c>
      <c r="BA4692" s="1">
        <v>44341</v>
      </c>
      <c r="BB4692" s="1">
        <v>49820</v>
      </c>
      <c r="BC4692" t="s">
        <v>51</v>
      </c>
      <c r="BE4692" t="s">
        <v>54</v>
      </c>
      <c r="BF4692">
        <v>40</v>
      </c>
      <c r="BG4692">
        <v>0</v>
      </c>
      <c r="BH4692" t="s">
        <v>145</v>
      </c>
      <c r="CC4692" t="s">
        <v>250</v>
      </c>
      <c r="CD4692">
        <v>100000</v>
      </c>
      <c r="CE4692" s="1">
        <v>44341</v>
      </c>
      <c r="CF4692" s="1">
        <v>44341</v>
      </c>
      <c r="CG4692" s="1">
        <v>44341</v>
      </c>
      <c r="CH4692" s="1">
        <v>53310</v>
      </c>
      <c r="CI4692" t="s">
        <v>51</v>
      </c>
      <c r="CK4692" t="s">
        <v>78</v>
      </c>
      <c r="CM4692" t="s">
        <v>54</v>
      </c>
      <c r="CN4692" t="s">
        <v>174</v>
      </c>
      <c r="CR4692">
        <v>13.2</v>
      </c>
      <c r="CS4692">
        <v>1800</v>
      </c>
      <c r="CT4692">
        <v>0</v>
      </c>
      <c r="CU4692">
        <v>16</v>
      </c>
    </row>
    <row r="4693" spans="1:112" x14ac:dyDescent="0.2">
      <c r="A4693" t="s">
        <v>1012</v>
      </c>
      <c r="B4693" t="s">
        <v>1013</v>
      </c>
      <c r="C4693" t="s">
        <v>2122</v>
      </c>
      <c r="D4693" t="s">
        <v>2123</v>
      </c>
      <c r="F4693" t="str">
        <f>"254137"</f>
        <v>254137</v>
      </c>
      <c r="G4693" t="s">
        <v>49</v>
      </c>
      <c r="K4693" t="s">
        <v>51</v>
      </c>
      <c r="L4693" t="s">
        <v>52</v>
      </c>
      <c r="M4693">
        <v>131956.09</v>
      </c>
      <c r="N4693">
        <v>473569.75</v>
      </c>
      <c r="O4693" t="s">
        <v>53</v>
      </c>
      <c r="P4693" t="s">
        <v>54</v>
      </c>
      <c r="Q4693" t="s">
        <v>55</v>
      </c>
      <c r="T4693" t="s">
        <v>246</v>
      </c>
      <c r="U4693">
        <v>40</v>
      </c>
      <c r="V4693" s="1">
        <v>44341</v>
      </c>
      <c r="W4693" s="1">
        <v>44341</v>
      </c>
      <c r="X4693" s="1">
        <v>44341</v>
      </c>
      <c r="Y4693" s="1">
        <v>58951</v>
      </c>
      <c r="Z4693" t="s">
        <v>51</v>
      </c>
      <c r="AB4693" t="s">
        <v>54</v>
      </c>
      <c r="AE4693" t="s">
        <v>1065</v>
      </c>
      <c r="AF4693">
        <v>20</v>
      </c>
      <c r="AG4693" s="1">
        <v>44341</v>
      </c>
      <c r="AH4693" s="1">
        <v>44341</v>
      </c>
      <c r="AI4693" s="1">
        <v>44341</v>
      </c>
      <c r="AJ4693" s="1">
        <v>51646</v>
      </c>
      <c r="AK4693" t="s">
        <v>51</v>
      </c>
      <c r="AN4693">
        <v>0</v>
      </c>
      <c r="AO4693" t="s">
        <v>54</v>
      </c>
      <c r="AP4693" t="s">
        <v>53</v>
      </c>
      <c r="AQ4693">
        <v>0</v>
      </c>
      <c r="AR4693" t="s">
        <v>53</v>
      </c>
      <c r="AS4693">
        <v>0</v>
      </c>
      <c r="AT4693">
        <v>0</v>
      </c>
      <c r="AW4693" t="s">
        <v>172</v>
      </c>
      <c r="AX4693">
        <v>15</v>
      </c>
      <c r="AY4693" s="1">
        <v>44341</v>
      </c>
      <c r="AZ4693" s="1">
        <v>44341</v>
      </c>
      <c r="BA4693" s="1">
        <v>44341</v>
      </c>
      <c r="BB4693" s="1">
        <v>49820</v>
      </c>
      <c r="BC4693" t="s">
        <v>51</v>
      </c>
      <c r="BE4693" t="s">
        <v>54</v>
      </c>
      <c r="BF4693">
        <v>40</v>
      </c>
      <c r="BG4693">
        <v>0</v>
      </c>
      <c r="BH4693" t="s">
        <v>145</v>
      </c>
      <c r="CC4693" t="s">
        <v>250</v>
      </c>
      <c r="CD4693">
        <v>100000</v>
      </c>
      <c r="CE4693" s="1">
        <v>44341</v>
      </c>
      <c r="CF4693" s="1">
        <v>44341</v>
      </c>
      <c r="CG4693" s="1">
        <v>44341</v>
      </c>
      <c r="CH4693" s="1">
        <v>53310</v>
      </c>
      <c r="CI4693" t="s">
        <v>51</v>
      </c>
      <c r="CK4693" t="s">
        <v>78</v>
      </c>
      <c r="CM4693" t="s">
        <v>54</v>
      </c>
      <c r="CN4693" t="s">
        <v>174</v>
      </c>
      <c r="CR4693">
        <v>13.2</v>
      </c>
      <c r="CS4693">
        <v>1800</v>
      </c>
      <c r="CT4693">
        <v>0</v>
      </c>
      <c r="CU4693">
        <v>16</v>
      </c>
    </row>
    <row r="4694" spans="1:112" x14ac:dyDescent="0.2">
      <c r="A4694" t="s">
        <v>1012</v>
      </c>
      <c r="B4694" t="s">
        <v>1013</v>
      </c>
      <c r="C4694" t="s">
        <v>2122</v>
      </c>
      <c r="D4694" t="s">
        <v>2123</v>
      </c>
      <c r="F4694" t="str">
        <f>"254134"</f>
        <v>254134</v>
      </c>
      <c r="G4694" t="s">
        <v>49</v>
      </c>
      <c r="K4694" t="s">
        <v>51</v>
      </c>
      <c r="L4694" t="s">
        <v>52</v>
      </c>
      <c r="M4694">
        <v>131886.51</v>
      </c>
      <c r="N4694">
        <v>473587.18</v>
      </c>
      <c r="O4694" t="s">
        <v>53</v>
      </c>
      <c r="P4694" t="s">
        <v>54</v>
      </c>
      <c r="Q4694" t="s">
        <v>55</v>
      </c>
      <c r="T4694" t="s">
        <v>246</v>
      </c>
      <c r="U4694">
        <v>40</v>
      </c>
      <c r="V4694" s="1">
        <v>44341</v>
      </c>
      <c r="W4694" s="1">
        <v>44341</v>
      </c>
      <c r="X4694" s="1">
        <v>44341</v>
      </c>
      <c r="Y4694" s="1">
        <v>58951</v>
      </c>
      <c r="Z4694" t="s">
        <v>51</v>
      </c>
      <c r="AB4694" t="s">
        <v>54</v>
      </c>
      <c r="AE4694" t="s">
        <v>1065</v>
      </c>
      <c r="AF4694">
        <v>20</v>
      </c>
      <c r="AG4694" s="1">
        <v>44341</v>
      </c>
      <c r="AH4694" s="1">
        <v>44341</v>
      </c>
      <c r="AI4694" s="1">
        <v>44341</v>
      </c>
      <c r="AJ4694" s="1">
        <v>51646</v>
      </c>
      <c r="AK4694" t="s">
        <v>51</v>
      </c>
      <c r="AN4694">
        <v>0</v>
      </c>
      <c r="AO4694" t="s">
        <v>54</v>
      </c>
      <c r="AP4694" t="s">
        <v>53</v>
      </c>
      <c r="AQ4694">
        <v>0</v>
      </c>
      <c r="AR4694" t="s">
        <v>53</v>
      </c>
      <c r="AS4694">
        <v>0</v>
      </c>
      <c r="AT4694">
        <v>0</v>
      </c>
      <c r="AW4694" t="s">
        <v>172</v>
      </c>
      <c r="AX4694">
        <v>15</v>
      </c>
      <c r="AY4694" s="1">
        <v>44341</v>
      </c>
      <c r="AZ4694" s="1">
        <v>44341</v>
      </c>
      <c r="BA4694" s="1">
        <v>44341</v>
      </c>
      <c r="BB4694" s="1">
        <v>49820</v>
      </c>
      <c r="BC4694" t="s">
        <v>51</v>
      </c>
      <c r="BE4694" t="s">
        <v>54</v>
      </c>
      <c r="BF4694">
        <v>40</v>
      </c>
      <c r="BG4694">
        <v>0</v>
      </c>
      <c r="BH4694" t="s">
        <v>145</v>
      </c>
      <c r="CC4694" t="s">
        <v>250</v>
      </c>
      <c r="CD4694">
        <v>100000</v>
      </c>
      <c r="CE4694" s="1">
        <v>44341</v>
      </c>
      <c r="CF4694" s="1">
        <v>44341</v>
      </c>
      <c r="CG4694" s="1">
        <v>44341</v>
      </c>
      <c r="CH4694" s="1">
        <v>53310</v>
      </c>
      <c r="CI4694" t="s">
        <v>51</v>
      </c>
      <c r="CK4694" t="s">
        <v>78</v>
      </c>
      <c r="CM4694" t="s">
        <v>54</v>
      </c>
      <c r="CN4694" t="s">
        <v>174</v>
      </c>
      <c r="CR4694">
        <v>13.2</v>
      </c>
      <c r="CS4694">
        <v>1800</v>
      </c>
      <c r="CT4694">
        <v>0</v>
      </c>
      <c r="CU4694">
        <v>16</v>
      </c>
    </row>
    <row r="4695" spans="1:112" x14ac:dyDescent="0.2">
      <c r="A4695" t="s">
        <v>1012</v>
      </c>
      <c r="B4695" t="s">
        <v>1013</v>
      </c>
      <c r="C4695" t="s">
        <v>1019</v>
      </c>
      <c r="D4695" t="s">
        <v>2131</v>
      </c>
      <c r="F4695" t="str">
        <f>"254162"</f>
        <v>254162</v>
      </c>
      <c r="G4695" t="s">
        <v>49</v>
      </c>
      <c r="I4695" t="s">
        <v>2131</v>
      </c>
      <c r="K4695" t="s">
        <v>51</v>
      </c>
      <c r="L4695" t="s">
        <v>52</v>
      </c>
      <c r="M4695">
        <v>131854.34</v>
      </c>
      <c r="N4695">
        <v>473588.71</v>
      </c>
      <c r="O4695" t="s">
        <v>53</v>
      </c>
      <c r="P4695" t="s">
        <v>54</v>
      </c>
      <c r="Q4695" t="s">
        <v>55</v>
      </c>
      <c r="T4695" t="s">
        <v>246</v>
      </c>
      <c r="U4695">
        <v>40</v>
      </c>
      <c r="V4695" s="1">
        <v>44341</v>
      </c>
      <c r="W4695" s="1">
        <v>44341</v>
      </c>
      <c r="X4695" s="1">
        <v>44341</v>
      </c>
      <c r="Y4695" s="1">
        <v>58951</v>
      </c>
      <c r="Z4695" t="s">
        <v>51</v>
      </c>
      <c r="AB4695" t="s">
        <v>54</v>
      </c>
      <c r="AE4695" t="s">
        <v>1065</v>
      </c>
      <c r="AF4695">
        <v>20</v>
      </c>
      <c r="AG4695" s="1">
        <v>44341</v>
      </c>
      <c r="AH4695" s="1">
        <v>44341</v>
      </c>
      <c r="AI4695" s="1">
        <v>44341</v>
      </c>
      <c r="AJ4695" s="1">
        <v>51646</v>
      </c>
      <c r="AK4695" t="s">
        <v>51</v>
      </c>
      <c r="AN4695">
        <v>0</v>
      </c>
      <c r="AO4695" t="s">
        <v>54</v>
      </c>
      <c r="AP4695" t="s">
        <v>53</v>
      </c>
      <c r="AQ4695">
        <v>0</v>
      </c>
      <c r="AR4695" t="s">
        <v>53</v>
      </c>
      <c r="AS4695">
        <v>0</v>
      </c>
      <c r="AT4695">
        <v>0</v>
      </c>
      <c r="AW4695" t="s">
        <v>172</v>
      </c>
      <c r="AX4695">
        <v>15</v>
      </c>
      <c r="AY4695" s="1">
        <v>44341</v>
      </c>
      <c r="AZ4695" s="1">
        <v>44341</v>
      </c>
      <c r="BA4695" s="1">
        <v>44341</v>
      </c>
      <c r="BB4695" s="1">
        <v>49820</v>
      </c>
      <c r="BC4695" t="s">
        <v>51</v>
      </c>
      <c r="BE4695" t="s">
        <v>54</v>
      </c>
      <c r="BF4695">
        <v>40</v>
      </c>
      <c r="BG4695">
        <v>0</v>
      </c>
      <c r="BH4695" t="s">
        <v>145</v>
      </c>
      <c r="CC4695" t="s">
        <v>250</v>
      </c>
      <c r="CD4695">
        <v>100000</v>
      </c>
      <c r="CE4695" s="1">
        <v>44341</v>
      </c>
      <c r="CF4695" s="1">
        <v>44341</v>
      </c>
      <c r="CG4695" s="1">
        <v>44341</v>
      </c>
      <c r="CH4695" s="1">
        <v>53310</v>
      </c>
      <c r="CI4695" t="s">
        <v>51</v>
      </c>
      <c r="CK4695" t="s">
        <v>78</v>
      </c>
      <c r="CM4695" t="s">
        <v>54</v>
      </c>
      <c r="CN4695" t="s">
        <v>174</v>
      </c>
      <c r="CR4695">
        <v>13.2</v>
      </c>
      <c r="CS4695">
        <v>1800</v>
      </c>
      <c r="CT4695">
        <v>0</v>
      </c>
      <c r="CU4695">
        <v>16</v>
      </c>
    </row>
    <row r="4696" spans="1:112" x14ac:dyDescent="0.2">
      <c r="A4696" t="s">
        <v>1012</v>
      </c>
      <c r="B4696" t="s">
        <v>1013</v>
      </c>
      <c r="C4696" t="s">
        <v>1019</v>
      </c>
      <c r="D4696" t="s">
        <v>2131</v>
      </c>
      <c r="F4696" t="str">
        <f>"254160"</f>
        <v>254160</v>
      </c>
      <c r="G4696" t="s">
        <v>49</v>
      </c>
      <c r="I4696" t="s">
        <v>2131</v>
      </c>
      <c r="K4696" t="s">
        <v>51</v>
      </c>
      <c r="L4696" t="s">
        <v>52</v>
      </c>
      <c r="M4696">
        <v>131847.72</v>
      </c>
      <c r="N4696">
        <v>473571.44</v>
      </c>
      <c r="O4696" t="s">
        <v>53</v>
      </c>
      <c r="P4696" t="s">
        <v>54</v>
      </c>
      <c r="Q4696" t="s">
        <v>55</v>
      </c>
      <c r="T4696" t="s">
        <v>246</v>
      </c>
      <c r="U4696">
        <v>40</v>
      </c>
      <c r="V4696" s="1">
        <v>44341</v>
      </c>
      <c r="W4696" s="1">
        <v>44341</v>
      </c>
      <c r="X4696" s="1">
        <v>44341</v>
      </c>
      <c r="Y4696" s="1">
        <v>58951</v>
      </c>
      <c r="Z4696" t="s">
        <v>51</v>
      </c>
      <c r="AB4696" t="s">
        <v>54</v>
      </c>
      <c r="AE4696" t="s">
        <v>1065</v>
      </c>
      <c r="AF4696">
        <v>20</v>
      </c>
      <c r="AG4696" s="1">
        <v>44341</v>
      </c>
      <c r="AH4696" s="1">
        <v>44341</v>
      </c>
      <c r="AI4696" s="1">
        <v>44341</v>
      </c>
      <c r="AJ4696" s="1">
        <v>51646</v>
      </c>
      <c r="AK4696" t="s">
        <v>51</v>
      </c>
      <c r="AN4696">
        <v>0</v>
      </c>
      <c r="AO4696" t="s">
        <v>54</v>
      </c>
      <c r="AP4696" t="s">
        <v>53</v>
      </c>
      <c r="AQ4696">
        <v>0</v>
      </c>
      <c r="AR4696" t="s">
        <v>53</v>
      </c>
      <c r="AS4696">
        <v>0</v>
      </c>
      <c r="AT4696">
        <v>0</v>
      </c>
      <c r="AW4696" t="s">
        <v>172</v>
      </c>
      <c r="AX4696">
        <v>15</v>
      </c>
      <c r="AY4696" s="1">
        <v>44341</v>
      </c>
      <c r="AZ4696" s="1">
        <v>44341</v>
      </c>
      <c r="BA4696" s="1">
        <v>44341</v>
      </c>
      <c r="BB4696" s="1">
        <v>49820</v>
      </c>
      <c r="BC4696" t="s">
        <v>51</v>
      </c>
      <c r="BE4696" t="s">
        <v>54</v>
      </c>
      <c r="BF4696">
        <v>40</v>
      </c>
      <c r="BG4696">
        <v>0</v>
      </c>
      <c r="BH4696" t="s">
        <v>145</v>
      </c>
      <c r="CC4696" t="s">
        <v>250</v>
      </c>
      <c r="CD4696">
        <v>100000</v>
      </c>
      <c r="CE4696" s="1">
        <v>44341</v>
      </c>
      <c r="CF4696" s="1">
        <v>44341</v>
      </c>
      <c r="CG4696" s="1">
        <v>44341</v>
      </c>
      <c r="CH4696" s="1">
        <v>53310</v>
      </c>
      <c r="CI4696" t="s">
        <v>51</v>
      </c>
      <c r="CK4696" t="s">
        <v>78</v>
      </c>
      <c r="CM4696" t="s">
        <v>54</v>
      </c>
      <c r="CN4696" t="s">
        <v>174</v>
      </c>
      <c r="CR4696">
        <v>13.2</v>
      </c>
      <c r="CS4696">
        <v>1800</v>
      </c>
      <c r="CT4696">
        <v>0</v>
      </c>
      <c r="CU4696">
        <v>16</v>
      </c>
    </row>
    <row r="4697" spans="1:112" x14ac:dyDescent="0.2">
      <c r="A4697" t="s">
        <v>367</v>
      </c>
      <c r="B4697" t="s">
        <v>368</v>
      </c>
      <c r="C4697" t="s">
        <v>369</v>
      </c>
      <c r="D4697" t="s">
        <v>1528</v>
      </c>
      <c r="F4697" t="str">
        <f>"254252"</f>
        <v>254252</v>
      </c>
      <c r="G4697" t="s">
        <v>49</v>
      </c>
      <c r="K4697" t="s">
        <v>51</v>
      </c>
      <c r="L4697" t="s">
        <v>52</v>
      </c>
      <c r="M4697">
        <v>137896.44</v>
      </c>
      <c r="N4697">
        <v>468048.01</v>
      </c>
      <c r="O4697" t="s">
        <v>53</v>
      </c>
      <c r="P4697" t="s">
        <v>54</v>
      </c>
      <c r="Q4697" t="s">
        <v>55</v>
      </c>
      <c r="T4697" t="s">
        <v>246</v>
      </c>
      <c r="U4697">
        <v>40</v>
      </c>
      <c r="V4697" s="1">
        <v>33058</v>
      </c>
      <c r="W4697" s="1">
        <v>33058</v>
      </c>
      <c r="X4697" s="1">
        <v>33058</v>
      </c>
      <c r="Y4697" s="1">
        <v>47668</v>
      </c>
      <c r="Z4697" t="s">
        <v>51</v>
      </c>
      <c r="AB4697" t="s">
        <v>54</v>
      </c>
      <c r="AE4697" t="s">
        <v>222</v>
      </c>
      <c r="AF4697">
        <v>20</v>
      </c>
      <c r="AG4697" s="1">
        <v>33058</v>
      </c>
      <c r="AH4697" s="1">
        <v>33058</v>
      </c>
      <c r="AI4697" s="1">
        <v>33058</v>
      </c>
      <c r="AJ4697" s="1">
        <v>40363</v>
      </c>
      <c r="AK4697" t="s">
        <v>51</v>
      </c>
      <c r="AN4697">
        <v>0</v>
      </c>
      <c r="AO4697" t="s">
        <v>54</v>
      </c>
      <c r="AP4697" t="s">
        <v>53</v>
      </c>
      <c r="AQ4697">
        <v>0</v>
      </c>
      <c r="AR4697" t="s">
        <v>53</v>
      </c>
      <c r="AS4697">
        <v>0</v>
      </c>
      <c r="AT4697">
        <v>0</v>
      </c>
      <c r="BK4697" t="s">
        <v>59</v>
      </c>
      <c r="BL4697">
        <v>14000</v>
      </c>
      <c r="BM4697" s="1">
        <v>33058</v>
      </c>
      <c r="BN4697" s="1">
        <v>33058</v>
      </c>
      <c r="BO4697" s="1">
        <v>33058</v>
      </c>
      <c r="BP4697" s="1">
        <v>34311</v>
      </c>
      <c r="BQ4697" t="s">
        <v>51</v>
      </c>
      <c r="BS4697" t="s">
        <v>78</v>
      </c>
      <c r="BT4697" t="s">
        <v>54</v>
      </c>
      <c r="BU4697" t="s">
        <v>61</v>
      </c>
      <c r="BV4697" t="s">
        <v>62</v>
      </c>
      <c r="BX4697">
        <v>24</v>
      </c>
      <c r="BY4697">
        <v>0</v>
      </c>
      <c r="BZ4697">
        <v>0</v>
      </c>
    </row>
    <row r="4698" spans="1:112" x14ac:dyDescent="0.2">
      <c r="A4698" t="s">
        <v>367</v>
      </c>
      <c r="B4698" t="s">
        <v>368</v>
      </c>
      <c r="C4698" t="s">
        <v>369</v>
      </c>
      <c r="D4698" t="s">
        <v>1528</v>
      </c>
      <c r="F4698" t="str">
        <f>"254253"</f>
        <v>254253</v>
      </c>
      <c r="G4698" t="s">
        <v>49</v>
      </c>
      <c r="K4698" t="s">
        <v>51</v>
      </c>
      <c r="L4698" t="s">
        <v>52</v>
      </c>
      <c r="M4698">
        <v>137899.48000000001</v>
      </c>
      <c r="N4698">
        <v>468082.14</v>
      </c>
      <c r="O4698" t="s">
        <v>53</v>
      </c>
      <c r="P4698" t="s">
        <v>54</v>
      </c>
      <c r="Q4698" t="s">
        <v>55</v>
      </c>
      <c r="T4698" t="s">
        <v>246</v>
      </c>
      <c r="U4698">
        <v>40</v>
      </c>
      <c r="V4698" s="1">
        <v>33058</v>
      </c>
      <c r="W4698" s="1">
        <v>33058</v>
      </c>
      <c r="X4698" s="1">
        <v>33058</v>
      </c>
      <c r="Y4698" s="1">
        <v>47668</v>
      </c>
      <c r="Z4698" t="s">
        <v>51</v>
      </c>
      <c r="AB4698" t="s">
        <v>54</v>
      </c>
      <c r="AE4698" t="s">
        <v>222</v>
      </c>
      <c r="AF4698">
        <v>20</v>
      </c>
      <c r="AG4698" s="1">
        <v>33058</v>
      </c>
      <c r="AH4698" s="1">
        <v>33058</v>
      </c>
      <c r="AI4698" s="1">
        <v>33058</v>
      </c>
      <c r="AJ4698" s="1">
        <v>40363</v>
      </c>
      <c r="AK4698" t="s">
        <v>51</v>
      </c>
      <c r="AN4698">
        <v>0</v>
      </c>
      <c r="AO4698" t="s">
        <v>54</v>
      </c>
      <c r="AP4698" t="s">
        <v>53</v>
      </c>
      <c r="AQ4698">
        <v>0</v>
      </c>
      <c r="AR4698" t="s">
        <v>53</v>
      </c>
      <c r="AS4698">
        <v>0</v>
      </c>
      <c r="AT4698">
        <v>0</v>
      </c>
      <c r="BK4698" t="s">
        <v>59</v>
      </c>
      <c r="BL4698">
        <v>14000</v>
      </c>
      <c r="BM4698" s="1">
        <v>33058</v>
      </c>
      <c r="BN4698" s="1">
        <v>33058</v>
      </c>
      <c r="BO4698" s="1">
        <v>33058</v>
      </c>
      <c r="BP4698" s="1">
        <v>34311</v>
      </c>
      <c r="BQ4698" t="s">
        <v>51</v>
      </c>
      <c r="BS4698" t="s">
        <v>78</v>
      </c>
      <c r="BT4698" t="s">
        <v>54</v>
      </c>
      <c r="BU4698" t="s">
        <v>61</v>
      </c>
      <c r="BV4698" t="s">
        <v>62</v>
      </c>
      <c r="BX4698">
        <v>24</v>
      </c>
      <c r="BY4698">
        <v>0</v>
      </c>
      <c r="BZ4698">
        <v>0</v>
      </c>
    </row>
    <row r="4699" spans="1:112" x14ac:dyDescent="0.2">
      <c r="A4699" t="s">
        <v>367</v>
      </c>
      <c r="B4699" t="s">
        <v>368</v>
      </c>
      <c r="C4699" t="s">
        <v>369</v>
      </c>
      <c r="D4699" t="s">
        <v>1528</v>
      </c>
      <c r="F4699" t="str">
        <f>"254251"</f>
        <v>254251</v>
      </c>
      <c r="G4699" t="s">
        <v>49</v>
      </c>
      <c r="K4699" t="s">
        <v>51</v>
      </c>
      <c r="L4699" t="s">
        <v>52</v>
      </c>
      <c r="M4699">
        <v>137892.57</v>
      </c>
      <c r="N4699">
        <v>468008.71</v>
      </c>
      <c r="O4699" t="s">
        <v>53</v>
      </c>
      <c r="P4699" t="s">
        <v>54</v>
      </c>
      <c r="Q4699" t="s">
        <v>55</v>
      </c>
      <c r="T4699" t="s">
        <v>246</v>
      </c>
      <c r="U4699">
        <v>40</v>
      </c>
      <c r="V4699" s="1">
        <v>33058</v>
      </c>
      <c r="W4699" s="1">
        <v>33058</v>
      </c>
      <c r="X4699" s="1">
        <v>33058</v>
      </c>
      <c r="Y4699" s="1">
        <v>47668</v>
      </c>
      <c r="Z4699" t="s">
        <v>51</v>
      </c>
      <c r="AB4699" t="s">
        <v>54</v>
      </c>
      <c r="AE4699" t="s">
        <v>222</v>
      </c>
      <c r="AF4699">
        <v>20</v>
      </c>
      <c r="AG4699" s="1">
        <v>33058</v>
      </c>
      <c r="AH4699" s="1">
        <v>33058</v>
      </c>
      <c r="AI4699" s="1">
        <v>33058</v>
      </c>
      <c r="AJ4699" s="1">
        <v>40363</v>
      </c>
      <c r="AK4699" t="s">
        <v>51</v>
      </c>
      <c r="AN4699">
        <v>0</v>
      </c>
      <c r="AO4699" t="s">
        <v>54</v>
      </c>
      <c r="AP4699" t="s">
        <v>53</v>
      </c>
      <c r="AQ4699">
        <v>0</v>
      </c>
      <c r="AR4699" t="s">
        <v>53</v>
      </c>
      <c r="AS4699">
        <v>0</v>
      </c>
      <c r="AT4699">
        <v>0</v>
      </c>
      <c r="BK4699" t="s">
        <v>59</v>
      </c>
      <c r="BL4699">
        <v>14000</v>
      </c>
      <c r="BM4699" s="1">
        <v>33058</v>
      </c>
      <c r="BN4699" s="1">
        <v>33058</v>
      </c>
      <c r="BO4699" s="1">
        <v>33058</v>
      </c>
      <c r="BP4699" s="1">
        <v>34311</v>
      </c>
      <c r="BQ4699" t="s">
        <v>51</v>
      </c>
      <c r="BS4699" t="s">
        <v>78</v>
      </c>
      <c r="BT4699" t="s">
        <v>54</v>
      </c>
      <c r="BU4699" t="s">
        <v>61</v>
      </c>
      <c r="BV4699" t="s">
        <v>62</v>
      </c>
      <c r="BX4699">
        <v>24</v>
      </c>
      <c r="BY4699">
        <v>0</v>
      </c>
      <c r="BZ4699">
        <v>0</v>
      </c>
    </row>
    <row r="4700" spans="1:112" x14ac:dyDescent="0.2">
      <c r="A4700" t="s">
        <v>45</v>
      </c>
      <c r="B4700" t="s">
        <v>46</v>
      </c>
      <c r="C4700" t="s">
        <v>47</v>
      </c>
      <c r="D4700" t="s">
        <v>247</v>
      </c>
      <c r="F4700" t="str">
        <f>"254327"</f>
        <v>254327</v>
      </c>
      <c r="G4700" t="s">
        <v>49</v>
      </c>
      <c r="K4700" t="s">
        <v>51</v>
      </c>
      <c r="L4700" t="s">
        <v>52</v>
      </c>
      <c r="M4700">
        <v>135464.74</v>
      </c>
      <c r="N4700">
        <v>475276.18</v>
      </c>
      <c r="O4700" t="s">
        <v>53</v>
      </c>
      <c r="P4700" t="s">
        <v>54</v>
      </c>
      <c r="Q4700" t="s">
        <v>55</v>
      </c>
      <c r="T4700" t="s">
        <v>246</v>
      </c>
      <c r="U4700">
        <v>40</v>
      </c>
      <c r="V4700" s="1">
        <v>42417</v>
      </c>
      <c r="W4700" s="1">
        <v>42417</v>
      </c>
      <c r="X4700" s="1">
        <v>42417</v>
      </c>
      <c r="Y4700" s="1">
        <v>57027</v>
      </c>
      <c r="Z4700" t="s">
        <v>51</v>
      </c>
      <c r="AB4700" t="s">
        <v>54</v>
      </c>
      <c r="AE4700" t="s">
        <v>243</v>
      </c>
      <c r="AF4700">
        <v>20</v>
      </c>
      <c r="AG4700" s="1">
        <v>42552</v>
      </c>
      <c r="AH4700" s="1">
        <v>42552</v>
      </c>
      <c r="AI4700" s="1">
        <v>42552</v>
      </c>
      <c r="AJ4700" s="1">
        <v>49857</v>
      </c>
      <c r="AK4700" t="s">
        <v>51</v>
      </c>
      <c r="AN4700">
        <v>0</v>
      </c>
      <c r="AO4700" t="s">
        <v>54</v>
      </c>
      <c r="AP4700" t="s">
        <v>53</v>
      </c>
      <c r="AQ4700">
        <v>0</v>
      </c>
      <c r="AR4700" t="s">
        <v>53</v>
      </c>
      <c r="AS4700">
        <v>0</v>
      </c>
      <c r="AT4700">
        <v>0</v>
      </c>
      <c r="CC4700" t="s">
        <v>244</v>
      </c>
      <c r="CD4700">
        <v>100000</v>
      </c>
      <c r="CE4700" s="1">
        <v>42552</v>
      </c>
      <c r="CF4700" s="1">
        <v>42552</v>
      </c>
      <c r="CG4700" s="1">
        <v>42552</v>
      </c>
      <c r="CH4700" s="1">
        <v>51023</v>
      </c>
      <c r="CI4700" t="s">
        <v>51</v>
      </c>
      <c r="CK4700" t="s">
        <v>78</v>
      </c>
      <c r="CM4700" t="s">
        <v>54</v>
      </c>
      <c r="CN4700" t="s">
        <v>174</v>
      </c>
      <c r="CR4700">
        <v>0</v>
      </c>
      <c r="CS4700">
        <v>2150</v>
      </c>
      <c r="CT4700">
        <v>0</v>
      </c>
      <c r="CU4700">
        <v>16</v>
      </c>
    </row>
    <row r="4701" spans="1:112" x14ac:dyDescent="0.2">
      <c r="A4701" t="s">
        <v>45</v>
      </c>
      <c r="B4701" t="s">
        <v>46</v>
      </c>
      <c r="C4701" t="s">
        <v>47</v>
      </c>
      <c r="D4701" t="s">
        <v>247</v>
      </c>
      <c r="F4701" t="str">
        <f>"254328"</f>
        <v>254328</v>
      </c>
      <c r="G4701" t="s">
        <v>49</v>
      </c>
      <c r="K4701" t="s">
        <v>51</v>
      </c>
      <c r="L4701" t="s">
        <v>52</v>
      </c>
      <c r="M4701">
        <v>135438.43</v>
      </c>
      <c r="N4701">
        <v>475280.01</v>
      </c>
      <c r="O4701" t="s">
        <v>53</v>
      </c>
      <c r="P4701" t="s">
        <v>54</v>
      </c>
      <c r="Q4701" t="s">
        <v>55</v>
      </c>
      <c r="T4701" t="s">
        <v>246</v>
      </c>
      <c r="U4701">
        <v>40</v>
      </c>
      <c r="V4701" s="1">
        <v>42552</v>
      </c>
      <c r="W4701" s="1">
        <v>42552</v>
      </c>
      <c r="X4701" s="1">
        <v>42552</v>
      </c>
      <c r="Y4701" s="1">
        <v>57162</v>
      </c>
      <c r="Z4701" t="s">
        <v>51</v>
      </c>
      <c r="AB4701" t="s">
        <v>54</v>
      </c>
      <c r="AE4701" t="s">
        <v>243</v>
      </c>
      <c r="AF4701">
        <v>20</v>
      </c>
      <c r="AG4701" s="1">
        <v>42552</v>
      </c>
      <c r="AH4701" s="1">
        <v>42552</v>
      </c>
      <c r="AI4701" s="1">
        <v>42552</v>
      </c>
      <c r="AJ4701" s="1">
        <v>49857</v>
      </c>
      <c r="AK4701" t="s">
        <v>51</v>
      </c>
      <c r="AN4701">
        <v>0</v>
      </c>
      <c r="AO4701" t="s">
        <v>54</v>
      </c>
      <c r="AP4701" t="s">
        <v>53</v>
      </c>
      <c r="AQ4701">
        <v>0</v>
      </c>
      <c r="AR4701" t="s">
        <v>53</v>
      </c>
      <c r="AS4701">
        <v>0</v>
      </c>
      <c r="AT4701">
        <v>0</v>
      </c>
      <c r="CC4701" t="s">
        <v>244</v>
      </c>
      <c r="CD4701">
        <v>100000</v>
      </c>
      <c r="CE4701" s="1">
        <v>42552</v>
      </c>
      <c r="CF4701" s="1">
        <v>42552</v>
      </c>
      <c r="CG4701" s="1">
        <v>42552</v>
      </c>
      <c r="CH4701" s="1">
        <v>51023</v>
      </c>
      <c r="CI4701" t="s">
        <v>51</v>
      </c>
      <c r="CK4701" t="s">
        <v>78</v>
      </c>
      <c r="CM4701" t="s">
        <v>54</v>
      </c>
      <c r="CN4701" t="s">
        <v>174</v>
      </c>
      <c r="CR4701">
        <v>0</v>
      </c>
      <c r="CS4701">
        <v>2150</v>
      </c>
      <c r="CT4701">
        <v>0</v>
      </c>
      <c r="CU4701">
        <v>16</v>
      </c>
    </row>
    <row r="4702" spans="1:112" x14ac:dyDescent="0.2">
      <c r="A4702" t="s">
        <v>45</v>
      </c>
      <c r="B4702" t="s">
        <v>46</v>
      </c>
      <c r="C4702" t="s">
        <v>47</v>
      </c>
      <c r="D4702" t="s">
        <v>2143</v>
      </c>
      <c r="F4702" t="str">
        <f>"254329"</f>
        <v>254329</v>
      </c>
      <c r="G4702" t="s">
        <v>49</v>
      </c>
      <c r="K4702" t="s">
        <v>51</v>
      </c>
      <c r="L4702" t="s">
        <v>52</v>
      </c>
      <c r="M4702">
        <v>135417.28</v>
      </c>
      <c r="N4702">
        <v>475291.31</v>
      </c>
      <c r="O4702" t="s">
        <v>53</v>
      </c>
      <c r="P4702" t="s">
        <v>54</v>
      </c>
      <c r="Q4702" t="s">
        <v>55</v>
      </c>
      <c r="T4702" t="s">
        <v>246</v>
      </c>
      <c r="U4702">
        <v>40</v>
      </c>
      <c r="V4702" s="1">
        <v>42552</v>
      </c>
      <c r="W4702" s="1">
        <v>42552</v>
      </c>
      <c r="X4702" s="1">
        <v>42552</v>
      </c>
      <c r="Y4702" s="1">
        <v>57162</v>
      </c>
      <c r="Z4702" t="s">
        <v>51</v>
      </c>
      <c r="AB4702" t="s">
        <v>54</v>
      </c>
      <c r="AE4702" t="s">
        <v>243</v>
      </c>
      <c r="AF4702">
        <v>20</v>
      </c>
      <c r="AG4702" s="1">
        <v>42552</v>
      </c>
      <c r="AH4702" s="1">
        <v>42552</v>
      </c>
      <c r="AI4702" s="1">
        <v>42552</v>
      </c>
      <c r="AJ4702" s="1">
        <v>49857</v>
      </c>
      <c r="AK4702" t="s">
        <v>51</v>
      </c>
      <c r="AN4702">
        <v>0</v>
      </c>
      <c r="AO4702" t="s">
        <v>54</v>
      </c>
      <c r="AP4702" t="s">
        <v>53</v>
      </c>
      <c r="AQ4702">
        <v>0</v>
      </c>
      <c r="AR4702" t="s">
        <v>53</v>
      </c>
      <c r="AS4702">
        <v>0</v>
      </c>
      <c r="AT4702">
        <v>0</v>
      </c>
      <c r="CC4702" t="s">
        <v>244</v>
      </c>
      <c r="CD4702">
        <v>100000</v>
      </c>
      <c r="CE4702" s="1">
        <v>42552</v>
      </c>
      <c r="CF4702" s="1">
        <v>42552</v>
      </c>
      <c r="CG4702" s="1">
        <v>42552</v>
      </c>
      <c r="CH4702" s="1">
        <v>51023</v>
      </c>
      <c r="CI4702" t="s">
        <v>51</v>
      </c>
      <c r="CK4702" t="s">
        <v>78</v>
      </c>
      <c r="CM4702" t="s">
        <v>54</v>
      </c>
      <c r="CN4702" t="s">
        <v>174</v>
      </c>
      <c r="CR4702">
        <v>0</v>
      </c>
      <c r="CS4702">
        <v>2150</v>
      </c>
      <c r="CT4702">
        <v>0</v>
      </c>
      <c r="CU4702">
        <v>16</v>
      </c>
    </row>
    <row r="4703" spans="1:112" x14ac:dyDescent="0.2">
      <c r="A4703" t="s">
        <v>45</v>
      </c>
      <c r="B4703" t="s">
        <v>46</v>
      </c>
      <c r="C4703" t="s">
        <v>47</v>
      </c>
      <c r="D4703" t="s">
        <v>2143</v>
      </c>
      <c r="F4703" t="str">
        <f>"254330"</f>
        <v>254330</v>
      </c>
      <c r="G4703" t="s">
        <v>49</v>
      </c>
      <c r="K4703" t="s">
        <v>51</v>
      </c>
      <c r="L4703" t="s">
        <v>52</v>
      </c>
      <c r="M4703">
        <v>135393.64000000001</v>
      </c>
      <c r="N4703">
        <v>475302.94</v>
      </c>
      <c r="O4703" t="s">
        <v>53</v>
      </c>
      <c r="P4703" t="s">
        <v>54</v>
      </c>
      <c r="Q4703" t="s">
        <v>55</v>
      </c>
      <c r="T4703" t="s">
        <v>246</v>
      </c>
      <c r="U4703">
        <v>40</v>
      </c>
      <c r="V4703" s="1">
        <v>42552</v>
      </c>
      <c r="W4703" s="1">
        <v>42552</v>
      </c>
      <c r="X4703" s="1">
        <v>42552</v>
      </c>
      <c r="Y4703" s="1">
        <v>57162</v>
      </c>
      <c r="Z4703" t="s">
        <v>51</v>
      </c>
      <c r="AB4703" t="s">
        <v>54</v>
      </c>
      <c r="AE4703" t="s">
        <v>243</v>
      </c>
      <c r="AF4703">
        <v>20</v>
      </c>
      <c r="AG4703" s="1">
        <v>42552</v>
      </c>
      <c r="AH4703" s="1">
        <v>42552</v>
      </c>
      <c r="AI4703" s="1">
        <v>42552</v>
      </c>
      <c r="AJ4703" s="1">
        <v>49857</v>
      </c>
      <c r="AK4703" t="s">
        <v>51</v>
      </c>
      <c r="AN4703">
        <v>0</v>
      </c>
      <c r="AO4703" t="s">
        <v>54</v>
      </c>
      <c r="AP4703" t="s">
        <v>53</v>
      </c>
      <c r="AQ4703">
        <v>0</v>
      </c>
      <c r="AR4703" t="s">
        <v>53</v>
      </c>
      <c r="AS4703">
        <v>0</v>
      </c>
      <c r="AT4703">
        <v>0</v>
      </c>
      <c r="CC4703" t="s">
        <v>244</v>
      </c>
      <c r="CD4703">
        <v>100000</v>
      </c>
      <c r="CE4703" s="1">
        <v>42552</v>
      </c>
      <c r="CF4703" s="1">
        <v>42552</v>
      </c>
      <c r="CG4703" s="1">
        <v>42552</v>
      </c>
      <c r="CH4703" s="1">
        <v>51023</v>
      </c>
      <c r="CI4703" t="s">
        <v>51</v>
      </c>
      <c r="CK4703" t="s">
        <v>78</v>
      </c>
      <c r="CM4703" t="s">
        <v>54</v>
      </c>
      <c r="CN4703" t="s">
        <v>174</v>
      </c>
      <c r="CR4703">
        <v>0</v>
      </c>
      <c r="CS4703">
        <v>2150</v>
      </c>
      <c r="CT4703">
        <v>0</v>
      </c>
      <c r="CU4703">
        <v>16</v>
      </c>
    </row>
    <row r="4704" spans="1:112" x14ac:dyDescent="0.2">
      <c r="A4704" t="s">
        <v>45</v>
      </c>
      <c r="B4704" t="s">
        <v>46</v>
      </c>
      <c r="C4704" t="s">
        <v>47</v>
      </c>
      <c r="D4704" t="s">
        <v>2143</v>
      </c>
      <c r="F4704" t="str">
        <f>"254331"</f>
        <v>254331</v>
      </c>
      <c r="G4704" t="s">
        <v>49</v>
      </c>
      <c r="K4704" t="s">
        <v>51</v>
      </c>
      <c r="L4704" t="s">
        <v>52</v>
      </c>
      <c r="M4704">
        <v>135377.94</v>
      </c>
      <c r="N4704">
        <v>475311.32</v>
      </c>
      <c r="O4704" t="s">
        <v>53</v>
      </c>
      <c r="P4704" t="s">
        <v>54</v>
      </c>
      <c r="Q4704" t="s">
        <v>55</v>
      </c>
      <c r="T4704" t="s">
        <v>246</v>
      </c>
      <c r="U4704">
        <v>40</v>
      </c>
      <c r="V4704" s="1">
        <v>42552</v>
      </c>
      <c r="W4704" s="1">
        <v>42552</v>
      </c>
      <c r="X4704" s="1">
        <v>42552</v>
      </c>
      <c r="Y4704" s="1">
        <v>57162</v>
      </c>
      <c r="Z4704" t="s">
        <v>51</v>
      </c>
      <c r="AB4704" t="s">
        <v>54</v>
      </c>
      <c r="AE4704" t="s">
        <v>243</v>
      </c>
      <c r="AF4704">
        <v>20</v>
      </c>
      <c r="AG4704" s="1">
        <v>42552</v>
      </c>
      <c r="AH4704" s="1">
        <v>42552</v>
      </c>
      <c r="AI4704" s="1">
        <v>42552</v>
      </c>
      <c r="AJ4704" s="1">
        <v>49857</v>
      </c>
      <c r="AK4704" t="s">
        <v>51</v>
      </c>
      <c r="AN4704">
        <v>0</v>
      </c>
      <c r="AO4704" t="s">
        <v>54</v>
      </c>
      <c r="AP4704" t="s">
        <v>53</v>
      </c>
      <c r="AQ4704">
        <v>0</v>
      </c>
      <c r="AR4704" t="s">
        <v>53</v>
      </c>
      <c r="AS4704">
        <v>0</v>
      </c>
      <c r="AT4704">
        <v>0</v>
      </c>
      <c r="CC4704" t="s">
        <v>244</v>
      </c>
      <c r="CD4704">
        <v>100000</v>
      </c>
      <c r="CE4704" s="1">
        <v>42552</v>
      </c>
      <c r="CF4704" s="1">
        <v>42552</v>
      </c>
      <c r="CG4704" s="1">
        <v>42552</v>
      </c>
      <c r="CH4704" s="1">
        <v>51023</v>
      </c>
      <c r="CI4704" t="s">
        <v>51</v>
      </c>
      <c r="CK4704" t="s">
        <v>78</v>
      </c>
      <c r="CM4704" t="s">
        <v>54</v>
      </c>
      <c r="CN4704" t="s">
        <v>174</v>
      </c>
      <c r="CR4704">
        <v>0</v>
      </c>
      <c r="CS4704">
        <v>2150</v>
      </c>
      <c r="CT4704">
        <v>0</v>
      </c>
      <c r="CU4704">
        <v>16</v>
      </c>
    </row>
    <row r="4705" spans="1:99" x14ac:dyDescent="0.2">
      <c r="A4705" t="s">
        <v>45</v>
      </c>
      <c r="B4705" t="s">
        <v>46</v>
      </c>
      <c r="C4705" t="s">
        <v>47</v>
      </c>
      <c r="D4705" t="s">
        <v>2143</v>
      </c>
      <c r="F4705" t="str">
        <f>"254345"</f>
        <v>254345</v>
      </c>
      <c r="G4705" t="s">
        <v>49</v>
      </c>
      <c r="K4705" t="s">
        <v>51</v>
      </c>
      <c r="L4705" t="s">
        <v>52</v>
      </c>
      <c r="M4705">
        <v>135355.03</v>
      </c>
      <c r="N4705">
        <v>475322.76</v>
      </c>
      <c r="O4705" t="s">
        <v>53</v>
      </c>
      <c r="P4705" t="s">
        <v>54</v>
      </c>
      <c r="Q4705" t="s">
        <v>55</v>
      </c>
      <c r="T4705" t="s">
        <v>246</v>
      </c>
      <c r="U4705">
        <v>40</v>
      </c>
      <c r="V4705" s="1">
        <v>42552</v>
      </c>
      <c r="W4705" s="1">
        <v>42552</v>
      </c>
      <c r="X4705" s="1">
        <v>42552</v>
      </c>
      <c r="Y4705" s="1">
        <v>57162</v>
      </c>
      <c r="Z4705" t="s">
        <v>51</v>
      </c>
      <c r="AB4705" t="s">
        <v>54</v>
      </c>
      <c r="AE4705" t="s">
        <v>243</v>
      </c>
      <c r="AF4705">
        <v>20</v>
      </c>
      <c r="AG4705" s="1">
        <v>42552</v>
      </c>
      <c r="AH4705" s="1">
        <v>42552</v>
      </c>
      <c r="AI4705" s="1">
        <v>42552</v>
      </c>
      <c r="AJ4705" s="1">
        <v>49857</v>
      </c>
      <c r="AK4705" t="s">
        <v>51</v>
      </c>
      <c r="AN4705">
        <v>0</v>
      </c>
      <c r="AO4705" t="s">
        <v>54</v>
      </c>
      <c r="AP4705" t="s">
        <v>53</v>
      </c>
      <c r="AQ4705">
        <v>0</v>
      </c>
      <c r="AR4705" t="s">
        <v>53</v>
      </c>
      <c r="AS4705">
        <v>0</v>
      </c>
      <c r="AT4705">
        <v>0</v>
      </c>
      <c r="CC4705" t="s">
        <v>244</v>
      </c>
      <c r="CD4705">
        <v>100000</v>
      </c>
      <c r="CE4705" s="1">
        <v>42552</v>
      </c>
      <c r="CF4705" s="1">
        <v>42552</v>
      </c>
      <c r="CG4705" s="1">
        <v>42552</v>
      </c>
      <c r="CH4705" s="1">
        <v>51023</v>
      </c>
      <c r="CI4705" t="s">
        <v>51</v>
      </c>
      <c r="CK4705" t="s">
        <v>78</v>
      </c>
      <c r="CM4705" t="s">
        <v>54</v>
      </c>
      <c r="CN4705" t="s">
        <v>174</v>
      </c>
      <c r="CR4705">
        <v>0</v>
      </c>
      <c r="CS4705">
        <v>2150</v>
      </c>
      <c r="CT4705">
        <v>0</v>
      </c>
      <c r="CU4705">
        <v>16</v>
      </c>
    </row>
    <row r="4706" spans="1:99" x14ac:dyDescent="0.2">
      <c r="A4706" t="s">
        <v>45</v>
      </c>
      <c r="B4706" t="s">
        <v>46</v>
      </c>
      <c r="C4706" t="s">
        <v>47</v>
      </c>
      <c r="D4706" t="s">
        <v>2143</v>
      </c>
      <c r="F4706" t="str">
        <f>"254346"</f>
        <v>254346</v>
      </c>
      <c r="G4706" t="s">
        <v>49</v>
      </c>
      <c r="K4706" t="s">
        <v>2116</v>
      </c>
      <c r="L4706" t="s">
        <v>52</v>
      </c>
      <c r="M4706">
        <v>135333.24</v>
      </c>
      <c r="N4706">
        <v>475332.08</v>
      </c>
      <c r="O4706" t="s">
        <v>53</v>
      </c>
      <c r="P4706" t="s">
        <v>54</v>
      </c>
      <c r="Q4706" t="s">
        <v>55</v>
      </c>
      <c r="T4706" t="s">
        <v>246</v>
      </c>
      <c r="U4706">
        <v>40</v>
      </c>
      <c r="V4706" s="1">
        <v>42552</v>
      </c>
      <c r="W4706" s="1">
        <v>42552</v>
      </c>
      <c r="X4706" s="1">
        <v>42552</v>
      </c>
      <c r="Y4706" s="1">
        <v>57162</v>
      </c>
      <c r="Z4706" t="s">
        <v>51</v>
      </c>
      <c r="AB4706" t="s">
        <v>54</v>
      </c>
      <c r="AE4706" t="s">
        <v>243</v>
      </c>
      <c r="AF4706">
        <v>20</v>
      </c>
      <c r="AG4706" s="1">
        <v>42552</v>
      </c>
      <c r="AH4706" s="1">
        <v>42552</v>
      </c>
      <c r="AI4706" s="1">
        <v>42552</v>
      </c>
      <c r="AJ4706" s="1">
        <v>49857</v>
      </c>
      <c r="AK4706" t="s">
        <v>51</v>
      </c>
      <c r="AN4706">
        <v>0</v>
      </c>
      <c r="AO4706" t="s">
        <v>54</v>
      </c>
      <c r="AP4706" t="s">
        <v>53</v>
      </c>
      <c r="AQ4706">
        <v>0</v>
      </c>
      <c r="AR4706" t="s">
        <v>53</v>
      </c>
      <c r="AS4706">
        <v>0</v>
      </c>
      <c r="AT4706">
        <v>0</v>
      </c>
      <c r="CC4706" t="s">
        <v>244</v>
      </c>
      <c r="CD4706">
        <v>100000</v>
      </c>
      <c r="CE4706" s="1">
        <v>42552</v>
      </c>
      <c r="CF4706" s="1">
        <v>42552</v>
      </c>
      <c r="CG4706" s="1">
        <v>42552</v>
      </c>
      <c r="CH4706" s="1">
        <v>51023</v>
      </c>
      <c r="CI4706" t="s">
        <v>51</v>
      </c>
      <c r="CK4706" t="s">
        <v>78</v>
      </c>
      <c r="CM4706" t="s">
        <v>54</v>
      </c>
      <c r="CN4706" t="s">
        <v>174</v>
      </c>
      <c r="CR4706">
        <v>0</v>
      </c>
      <c r="CS4706">
        <v>2150</v>
      </c>
      <c r="CT4706">
        <v>0</v>
      </c>
      <c r="CU4706">
        <v>16</v>
      </c>
    </row>
    <row r="4707" spans="1:99" x14ac:dyDescent="0.2">
      <c r="A4707" t="s">
        <v>45</v>
      </c>
      <c r="B4707" t="s">
        <v>46</v>
      </c>
      <c r="C4707" t="s">
        <v>47</v>
      </c>
      <c r="D4707" t="s">
        <v>2143</v>
      </c>
      <c r="F4707" t="str">
        <f>"254347"</f>
        <v>254347</v>
      </c>
      <c r="G4707" t="s">
        <v>49</v>
      </c>
      <c r="K4707" t="s">
        <v>51</v>
      </c>
      <c r="L4707" t="s">
        <v>52</v>
      </c>
      <c r="M4707">
        <v>135314.65</v>
      </c>
      <c r="N4707">
        <v>475342.62</v>
      </c>
      <c r="O4707" t="s">
        <v>53</v>
      </c>
      <c r="P4707" t="s">
        <v>54</v>
      </c>
      <c r="Q4707" t="s">
        <v>55</v>
      </c>
      <c r="T4707" t="s">
        <v>246</v>
      </c>
      <c r="U4707">
        <v>40</v>
      </c>
      <c r="V4707" s="1">
        <v>42552</v>
      </c>
      <c r="W4707" s="1">
        <v>42552</v>
      </c>
      <c r="X4707" s="1">
        <v>42552</v>
      </c>
      <c r="Y4707" s="1">
        <v>57162</v>
      </c>
      <c r="Z4707" t="s">
        <v>51</v>
      </c>
      <c r="AB4707" t="s">
        <v>54</v>
      </c>
      <c r="AE4707" t="s">
        <v>243</v>
      </c>
      <c r="AF4707">
        <v>20</v>
      </c>
      <c r="AG4707" s="1">
        <v>42552</v>
      </c>
      <c r="AH4707" s="1">
        <v>42552</v>
      </c>
      <c r="AI4707" s="1">
        <v>42552</v>
      </c>
      <c r="AJ4707" s="1">
        <v>49857</v>
      </c>
      <c r="AK4707" t="s">
        <v>51</v>
      </c>
      <c r="AN4707">
        <v>0</v>
      </c>
      <c r="AO4707" t="s">
        <v>54</v>
      </c>
      <c r="AP4707" t="s">
        <v>53</v>
      </c>
      <c r="AQ4707">
        <v>0</v>
      </c>
      <c r="AR4707" t="s">
        <v>53</v>
      </c>
      <c r="AS4707">
        <v>0</v>
      </c>
      <c r="AT4707">
        <v>0</v>
      </c>
      <c r="CC4707" t="s">
        <v>244</v>
      </c>
      <c r="CD4707">
        <v>100000</v>
      </c>
      <c r="CE4707" s="1">
        <v>42552</v>
      </c>
      <c r="CF4707" s="1">
        <v>42552</v>
      </c>
      <c r="CG4707" s="1">
        <v>42552</v>
      </c>
      <c r="CH4707" s="1">
        <v>51023</v>
      </c>
      <c r="CI4707" t="s">
        <v>51</v>
      </c>
      <c r="CK4707" t="s">
        <v>78</v>
      </c>
      <c r="CM4707" t="s">
        <v>54</v>
      </c>
      <c r="CN4707" t="s">
        <v>174</v>
      </c>
      <c r="CR4707">
        <v>0</v>
      </c>
      <c r="CS4707">
        <v>2150</v>
      </c>
      <c r="CT4707">
        <v>0</v>
      </c>
      <c r="CU4707">
        <v>16</v>
      </c>
    </row>
    <row r="4708" spans="1:99" x14ac:dyDescent="0.2">
      <c r="A4708" t="s">
        <v>45</v>
      </c>
      <c r="B4708" t="s">
        <v>46</v>
      </c>
      <c r="C4708" t="s">
        <v>47</v>
      </c>
      <c r="D4708" t="s">
        <v>254</v>
      </c>
      <c r="F4708" t="str">
        <f>"254332"</f>
        <v>254332</v>
      </c>
      <c r="G4708" t="s">
        <v>49</v>
      </c>
      <c r="K4708" t="s">
        <v>51</v>
      </c>
      <c r="L4708" t="s">
        <v>52</v>
      </c>
      <c r="M4708">
        <v>135394.34</v>
      </c>
      <c r="N4708">
        <v>475336.78</v>
      </c>
      <c r="O4708" t="s">
        <v>53</v>
      </c>
      <c r="P4708" t="s">
        <v>54</v>
      </c>
      <c r="Q4708" t="s">
        <v>55</v>
      </c>
      <c r="T4708" t="s">
        <v>246</v>
      </c>
      <c r="U4708">
        <v>40</v>
      </c>
      <c r="V4708" s="1">
        <v>42552</v>
      </c>
      <c r="W4708" s="1">
        <v>42552</v>
      </c>
      <c r="X4708" s="1">
        <v>42552</v>
      </c>
      <c r="Y4708" s="1">
        <v>57162</v>
      </c>
      <c r="Z4708" t="s">
        <v>51</v>
      </c>
      <c r="AB4708" t="s">
        <v>54</v>
      </c>
      <c r="AE4708" t="s">
        <v>243</v>
      </c>
      <c r="AF4708">
        <v>20</v>
      </c>
      <c r="AG4708" s="1">
        <v>42552</v>
      </c>
      <c r="AH4708" s="1">
        <v>42552</v>
      </c>
      <c r="AI4708" s="1">
        <v>42552</v>
      </c>
      <c r="AJ4708" s="1">
        <v>49857</v>
      </c>
      <c r="AK4708" t="s">
        <v>51</v>
      </c>
      <c r="AN4708">
        <v>0</v>
      </c>
      <c r="AO4708" t="s">
        <v>54</v>
      </c>
      <c r="AP4708" t="s">
        <v>53</v>
      </c>
      <c r="AQ4708">
        <v>0</v>
      </c>
      <c r="AR4708" t="s">
        <v>53</v>
      </c>
      <c r="AS4708">
        <v>0</v>
      </c>
      <c r="AT4708">
        <v>0</v>
      </c>
      <c r="CC4708" t="s">
        <v>244</v>
      </c>
      <c r="CD4708">
        <v>100000</v>
      </c>
      <c r="CE4708" s="1">
        <v>42552</v>
      </c>
      <c r="CF4708" s="1">
        <v>42552</v>
      </c>
      <c r="CG4708" s="1">
        <v>42552</v>
      </c>
      <c r="CH4708" s="1">
        <v>51023</v>
      </c>
      <c r="CI4708" t="s">
        <v>51</v>
      </c>
      <c r="CK4708" t="s">
        <v>78</v>
      </c>
      <c r="CM4708" t="s">
        <v>54</v>
      </c>
      <c r="CN4708" t="s">
        <v>174</v>
      </c>
      <c r="CR4708">
        <v>0</v>
      </c>
      <c r="CS4708">
        <v>2150</v>
      </c>
      <c r="CT4708">
        <v>0</v>
      </c>
      <c r="CU4708">
        <v>16</v>
      </c>
    </row>
    <row r="4709" spans="1:99" x14ac:dyDescent="0.2">
      <c r="A4709" t="s">
        <v>45</v>
      </c>
      <c r="B4709" t="s">
        <v>46</v>
      </c>
      <c r="C4709" t="s">
        <v>47</v>
      </c>
      <c r="D4709" t="s">
        <v>254</v>
      </c>
      <c r="F4709" t="str">
        <f>"254333"</f>
        <v>254333</v>
      </c>
      <c r="G4709" t="s">
        <v>49</v>
      </c>
      <c r="K4709" t="s">
        <v>51</v>
      </c>
      <c r="L4709" t="s">
        <v>52</v>
      </c>
      <c r="M4709">
        <v>135401.89000000001</v>
      </c>
      <c r="N4709">
        <v>475365.72</v>
      </c>
      <c r="O4709" t="s">
        <v>53</v>
      </c>
      <c r="P4709" t="s">
        <v>54</v>
      </c>
      <c r="Q4709" t="s">
        <v>55</v>
      </c>
      <c r="T4709" t="s">
        <v>246</v>
      </c>
      <c r="U4709">
        <v>40</v>
      </c>
      <c r="V4709" s="1">
        <v>42552</v>
      </c>
      <c r="W4709" s="1">
        <v>42552</v>
      </c>
      <c r="X4709" s="1">
        <v>42552</v>
      </c>
      <c r="Y4709" s="1">
        <v>57162</v>
      </c>
      <c r="Z4709" t="s">
        <v>51</v>
      </c>
      <c r="AB4709" t="s">
        <v>54</v>
      </c>
      <c r="AE4709" t="s">
        <v>243</v>
      </c>
      <c r="AF4709">
        <v>20</v>
      </c>
      <c r="AG4709" s="1">
        <v>42552</v>
      </c>
      <c r="AH4709" s="1">
        <v>42552</v>
      </c>
      <c r="AI4709" s="1">
        <v>42552</v>
      </c>
      <c r="AJ4709" s="1">
        <v>49857</v>
      </c>
      <c r="AK4709" t="s">
        <v>51</v>
      </c>
      <c r="AN4709">
        <v>0</v>
      </c>
      <c r="AO4709" t="s">
        <v>54</v>
      </c>
      <c r="AP4709" t="s">
        <v>53</v>
      </c>
      <c r="AQ4709">
        <v>0</v>
      </c>
      <c r="AR4709" t="s">
        <v>53</v>
      </c>
      <c r="AS4709">
        <v>0</v>
      </c>
      <c r="AT4709">
        <v>0</v>
      </c>
      <c r="CC4709" t="s">
        <v>244</v>
      </c>
      <c r="CD4709">
        <v>100000</v>
      </c>
      <c r="CE4709" s="1">
        <v>42552</v>
      </c>
      <c r="CF4709" s="1">
        <v>42552</v>
      </c>
      <c r="CG4709" s="1">
        <v>42552</v>
      </c>
      <c r="CH4709" s="1">
        <v>51023</v>
      </c>
      <c r="CI4709" t="s">
        <v>51</v>
      </c>
      <c r="CK4709" t="s">
        <v>78</v>
      </c>
      <c r="CM4709" t="s">
        <v>54</v>
      </c>
      <c r="CN4709" t="s">
        <v>174</v>
      </c>
      <c r="CR4709">
        <v>0</v>
      </c>
      <c r="CS4709">
        <v>2150</v>
      </c>
      <c r="CT4709">
        <v>0</v>
      </c>
      <c r="CU4709">
        <v>16</v>
      </c>
    </row>
    <row r="4710" spans="1:99" x14ac:dyDescent="0.2">
      <c r="A4710" t="s">
        <v>45</v>
      </c>
      <c r="B4710" t="s">
        <v>46</v>
      </c>
      <c r="C4710" t="s">
        <v>47</v>
      </c>
      <c r="D4710" t="s">
        <v>254</v>
      </c>
      <c r="F4710" t="str">
        <f>"254334"</f>
        <v>254334</v>
      </c>
      <c r="G4710" t="s">
        <v>49</v>
      </c>
      <c r="K4710" t="s">
        <v>51</v>
      </c>
      <c r="L4710" t="s">
        <v>52</v>
      </c>
      <c r="M4710">
        <v>135420.71</v>
      </c>
      <c r="N4710">
        <v>475367.26</v>
      </c>
      <c r="O4710" t="s">
        <v>53</v>
      </c>
      <c r="P4710" t="s">
        <v>54</v>
      </c>
      <c r="Q4710" t="s">
        <v>55</v>
      </c>
      <c r="T4710" t="s">
        <v>246</v>
      </c>
      <c r="U4710">
        <v>40</v>
      </c>
      <c r="V4710" s="1">
        <v>42552</v>
      </c>
      <c r="W4710" s="1">
        <v>42552</v>
      </c>
      <c r="X4710" s="1">
        <v>42552</v>
      </c>
      <c r="Y4710" s="1">
        <v>57162</v>
      </c>
      <c r="Z4710" t="s">
        <v>51</v>
      </c>
      <c r="AB4710" t="s">
        <v>54</v>
      </c>
      <c r="AE4710" t="s">
        <v>243</v>
      </c>
      <c r="AF4710">
        <v>20</v>
      </c>
      <c r="AG4710" s="1">
        <v>42552</v>
      </c>
      <c r="AH4710" s="1">
        <v>42552</v>
      </c>
      <c r="AI4710" s="1">
        <v>42552</v>
      </c>
      <c r="AJ4710" s="1">
        <v>49857</v>
      </c>
      <c r="AK4710" t="s">
        <v>51</v>
      </c>
      <c r="AN4710">
        <v>0</v>
      </c>
      <c r="AO4710" t="s">
        <v>54</v>
      </c>
      <c r="AP4710" t="s">
        <v>53</v>
      </c>
      <c r="AQ4710">
        <v>0</v>
      </c>
      <c r="AR4710" t="s">
        <v>53</v>
      </c>
      <c r="AS4710">
        <v>0</v>
      </c>
      <c r="AT4710">
        <v>0</v>
      </c>
      <c r="CC4710" t="s">
        <v>244</v>
      </c>
      <c r="CD4710">
        <v>100000</v>
      </c>
      <c r="CE4710" s="1">
        <v>42552</v>
      </c>
      <c r="CF4710" s="1">
        <v>42552</v>
      </c>
      <c r="CG4710" s="1">
        <v>42552</v>
      </c>
      <c r="CH4710" s="1">
        <v>51023</v>
      </c>
      <c r="CI4710" t="s">
        <v>51</v>
      </c>
      <c r="CK4710" t="s">
        <v>78</v>
      </c>
      <c r="CM4710" t="s">
        <v>54</v>
      </c>
      <c r="CN4710" t="s">
        <v>174</v>
      </c>
      <c r="CR4710">
        <v>0</v>
      </c>
      <c r="CS4710">
        <v>2150</v>
      </c>
      <c r="CT4710">
        <v>0</v>
      </c>
      <c r="CU4710">
        <v>16</v>
      </c>
    </row>
    <row r="4711" spans="1:99" x14ac:dyDescent="0.2">
      <c r="A4711" t="s">
        <v>45</v>
      </c>
      <c r="B4711" t="s">
        <v>46</v>
      </c>
      <c r="C4711" t="s">
        <v>47</v>
      </c>
      <c r="D4711" t="s">
        <v>254</v>
      </c>
      <c r="F4711" t="str">
        <f>"254335"</f>
        <v>254335</v>
      </c>
      <c r="G4711" t="s">
        <v>49</v>
      </c>
      <c r="K4711" t="s">
        <v>51</v>
      </c>
      <c r="L4711" t="s">
        <v>52</v>
      </c>
      <c r="M4711">
        <v>135438.32999999999</v>
      </c>
      <c r="N4711">
        <v>475373.11</v>
      </c>
      <c r="O4711" t="s">
        <v>53</v>
      </c>
      <c r="P4711" t="s">
        <v>54</v>
      </c>
      <c r="Q4711" t="s">
        <v>55</v>
      </c>
      <c r="T4711" t="s">
        <v>246</v>
      </c>
      <c r="U4711">
        <v>40</v>
      </c>
      <c r="V4711" s="1">
        <v>42552</v>
      </c>
      <c r="W4711" s="1">
        <v>42552</v>
      </c>
      <c r="X4711" s="1">
        <v>42552</v>
      </c>
      <c r="Y4711" s="1">
        <v>57162</v>
      </c>
      <c r="Z4711" t="s">
        <v>51</v>
      </c>
      <c r="AB4711" t="s">
        <v>54</v>
      </c>
      <c r="AE4711" t="s">
        <v>243</v>
      </c>
      <c r="AF4711">
        <v>20</v>
      </c>
      <c r="AG4711" s="1">
        <v>42552</v>
      </c>
      <c r="AH4711" s="1">
        <v>42552</v>
      </c>
      <c r="AI4711" s="1">
        <v>42552</v>
      </c>
      <c r="AJ4711" s="1">
        <v>49857</v>
      </c>
      <c r="AK4711" t="s">
        <v>51</v>
      </c>
      <c r="AN4711">
        <v>0</v>
      </c>
      <c r="AO4711" t="s">
        <v>54</v>
      </c>
      <c r="AP4711" t="s">
        <v>53</v>
      </c>
      <c r="AQ4711">
        <v>0</v>
      </c>
      <c r="AR4711" t="s">
        <v>53</v>
      </c>
      <c r="AS4711">
        <v>0</v>
      </c>
      <c r="AT4711">
        <v>0</v>
      </c>
      <c r="CC4711" t="s">
        <v>244</v>
      </c>
      <c r="CD4711">
        <v>100000</v>
      </c>
      <c r="CE4711" s="1">
        <v>42552</v>
      </c>
      <c r="CF4711" s="1">
        <v>42552</v>
      </c>
      <c r="CG4711" s="1">
        <v>42552</v>
      </c>
      <c r="CH4711" s="1">
        <v>51023</v>
      </c>
      <c r="CI4711" t="s">
        <v>51</v>
      </c>
      <c r="CK4711" t="s">
        <v>78</v>
      </c>
      <c r="CM4711" t="s">
        <v>54</v>
      </c>
      <c r="CN4711" t="s">
        <v>174</v>
      </c>
      <c r="CR4711">
        <v>0</v>
      </c>
      <c r="CS4711">
        <v>2150</v>
      </c>
      <c r="CT4711">
        <v>0</v>
      </c>
      <c r="CU4711">
        <v>16</v>
      </c>
    </row>
    <row r="4712" spans="1:99" x14ac:dyDescent="0.2">
      <c r="A4712" t="s">
        <v>45</v>
      </c>
      <c r="B4712" t="s">
        <v>46</v>
      </c>
      <c r="C4712" t="s">
        <v>47</v>
      </c>
      <c r="D4712" t="s">
        <v>256</v>
      </c>
      <c r="F4712" t="str">
        <f>"254340"</f>
        <v>254340</v>
      </c>
      <c r="G4712" t="s">
        <v>49</v>
      </c>
      <c r="K4712" t="s">
        <v>51</v>
      </c>
      <c r="L4712" t="s">
        <v>52</v>
      </c>
      <c r="M4712">
        <v>135415.26999999999</v>
      </c>
      <c r="N4712">
        <v>475385.14</v>
      </c>
      <c r="O4712" t="s">
        <v>53</v>
      </c>
      <c r="P4712" t="s">
        <v>54</v>
      </c>
      <c r="Q4712" t="s">
        <v>55</v>
      </c>
      <c r="T4712" t="s">
        <v>246</v>
      </c>
      <c r="U4712">
        <v>40</v>
      </c>
      <c r="V4712" s="1">
        <v>42552</v>
      </c>
      <c r="W4712" s="1">
        <v>42552</v>
      </c>
      <c r="X4712" s="1">
        <v>42552</v>
      </c>
      <c r="Y4712" s="1">
        <v>57162</v>
      </c>
      <c r="Z4712" t="s">
        <v>51</v>
      </c>
      <c r="AB4712" t="s">
        <v>54</v>
      </c>
      <c r="AE4712" t="s">
        <v>243</v>
      </c>
      <c r="AF4712">
        <v>20</v>
      </c>
      <c r="AG4712" s="1">
        <v>42552</v>
      </c>
      <c r="AH4712" s="1">
        <v>42552</v>
      </c>
      <c r="AI4712" s="1">
        <v>42552</v>
      </c>
      <c r="AJ4712" s="1">
        <v>49857</v>
      </c>
      <c r="AK4712" t="s">
        <v>51</v>
      </c>
      <c r="AN4712">
        <v>0</v>
      </c>
      <c r="AO4712" t="s">
        <v>54</v>
      </c>
      <c r="AP4712" t="s">
        <v>53</v>
      </c>
      <c r="AQ4712">
        <v>0</v>
      </c>
      <c r="AR4712" t="s">
        <v>53</v>
      </c>
      <c r="AS4712">
        <v>0</v>
      </c>
      <c r="AT4712">
        <v>0</v>
      </c>
      <c r="CC4712" t="s">
        <v>244</v>
      </c>
      <c r="CD4712">
        <v>100000</v>
      </c>
      <c r="CE4712" s="1">
        <v>42552</v>
      </c>
      <c r="CF4712" s="1">
        <v>42552</v>
      </c>
      <c r="CG4712" s="1">
        <v>42552</v>
      </c>
      <c r="CH4712" s="1">
        <v>51023</v>
      </c>
      <c r="CI4712" t="s">
        <v>51</v>
      </c>
      <c r="CK4712" t="s">
        <v>78</v>
      </c>
      <c r="CM4712" t="s">
        <v>54</v>
      </c>
      <c r="CN4712" t="s">
        <v>174</v>
      </c>
      <c r="CR4712">
        <v>0</v>
      </c>
      <c r="CS4712">
        <v>2150</v>
      </c>
      <c r="CT4712">
        <v>0</v>
      </c>
      <c r="CU4712">
        <v>16</v>
      </c>
    </row>
    <row r="4713" spans="1:99" x14ac:dyDescent="0.2">
      <c r="A4713" t="s">
        <v>45</v>
      </c>
      <c r="B4713" t="s">
        <v>46</v>
      </c>
      <c r="C4713" t="s">
        <v>47</v>
      </c>
      <c r="D4713" t="s">
        <v>256</v>
      </c>
      <c r="F4713" t="str">
        <f>"254338"</f>
        <v>254338</v>
      </c>
      <c r="G4713" t="s">
        <v>49</v>
      </c>
      <c r="K4713" t="s">
        <v>51</v>
      </c>
      <c r="L4713" t="s">
        <v>52</v>
      </c>
      <c r="M4713">
        <v>135446.01</v>
      </c>
      <c r="N4713">
        <v>475400.13</v>
      </c>
      <c r="O4713" t="s">
        <v>53</v>
      </c>
      <c r="P4713" t="s">
        <v>54</v>
      </c>
      <c r="Q4713" t="s">
        <v>55</v>
      </c>
      <c r="T4713" t="s">
        <v>246</v>
      </c>
      <c r="U4713">
        <v>40</v>
      </c>
      <c r="V4713" s="1">
        <v>42552</v>
      </c>
      <c r="W4713" s="1">
        <v>42552</v>
      </c>
      <c r="X4713" s="1">
        <v>42552</v>
      </c>
      <c r="Y4713" s="1">
        <v>57162</v>
      </c>
      <c r="Z4713" t="s">
        <v>51</v>
      </c>
      <c r="AB4713" t="s">
        <v>54</v>
      </c>
      <c r="AE4713" t="s">
        <v>243</v>
      </c>
      <c r="AF4713">
        <v>20</v>
      </c>
      <c r="AG4713" s="1">
        <v>42552</v>
      </c>
      <c r="AH4713" s="1">
        <v>42552</v>
      </c>
      <c r="AI4713" s="1">
        <v>42552</v>
      </c>
      <c r="AJ4713" s="1">
        <v>49857</v>
      </c>
      <c r="AK4713" t="s">
        <v>51</v>
      </c>
      <c r="AN4713">
        <v>0</v>
      </c>
      <c r="AO4713" t="s">
        <v>54</v>
      </c>
      <c r="AP4713" t="s">
        <v>53</v>
      </c>
      <c r="AQ4713">
        <v>0</v>
      </c>
      <c r="AR4713" t="s">
        <v>53</v>
      </c>
      <c r="AS4713">
        <v>0</v>
      </c>
      <c r="AT4713">
        <v>0</v>
      </c>
      <c r="CC4713" t="s">
        <v>244</v>
      </c>
      <c r="CD4713">
        <v>100000</v>
      </c>
      <c r="CE4713" s="1">
        <v>42552</v>
      </c>
      <c r="CF4713" s="1">
        <v>42552</v>
      </c>
      <c r="CG4713" s="1">
        <v>42552</v>
      </c>
      <c r="CH4713" s="1">
        <v>51023</v>
      </c>
      <c r="CI4713" t="s">
        <v>51</v>
      </c>
      <c r="CK4713" t="s">
        <v>78</v>
      </c>
      <c r="CM4713" t="s">
        <v>54</v>
      </c>
      <c r="CN4713" t="s">
        <v>174</v>
      </c>
      <c r="CR4713">
        <v>0</v>
      </c>
      <c r="CS4713">
        <v>2150</v>
      </c>
      <c r="CT4713">
        <v>0</v>
      </c>
      <c r="CU4713">
        <v>16</v>
      </c>
    </row>
    <row r="4714" spans="1:99" x14ac:dyDescent="0.2">
      <c r="A4714" t="s">
        <v>45</v>
      </c>
      <c r="B4714" t="s">
        <v>46</v>
      </c>
      <c r="C4714" t="s">
        <v>47</v>
      </c>
      <c r="D4714" t="s">
        <v>256</v>
      </c>
      <c r="F4714" t="str">
        <f>"254341"</f>
        <v>254341</v>
      </c>
      <c r="G4714" t="s">
        <v>49</v>
      </c>
      <c r="K4714" t="s">
        <v>51</v>
      </c>
      <c r="L4714" t="s">
        <v>52</v>
      </c>
      <c r="M4714">
        <v>135423.84</v>
      </c>
      <c r="N4714">
        <v>475404.34</v>
      </c>
      <c r="O4714" t="s">
        <v>53</v>
      </c>
      <c r="P4714" t="s">
        <v>54</v>
      </c>
      <c r="Q4714" t="s">
        <v>55</v>
      </c>
      <c r="T4714" t="s">
        <v>246</v>
      </c>
      <c r="U4714">
        <v>40</v>
      </c>
      <c r="V4714" s="1">
        <v>42552</v>
      </c>
      <c r="W4714" s="1">
        <v>42552</v>
      </c>
      <c r="X4714" s="1">
        <v>42552</v>
      </c>
      <c r="Y4714" s="1">
        <v>57162</v>
      </c>
      <c r="Z4714" t="s">
        <v>51</v>
      </c>
      <c r="AB4714" t="s">
        <v>54</v>
      </c>
      <c r="AE4714" t="s">
        <v>243</v>
      </c>
      <c r="AF4714">
        <v>20</v>
      </c>
      <c r="AG4714" s="1">
        <v>42552</v>
      </c>
      <c r="AH4714" s="1">
        <v>42552</v>
      </c>
      <c r="AI4714" s="1">
        <v>42552</v>
      </c>
      <c r="AJ4714" s="1">
        <v>49857</v>
      </c>
      <c r="AK4714" t="s">
        <v>51</v>
      </c>
      <c r="AN4714">
        <v>0</v>
      </c>
      <c r="AO4714" t="s">
        <v>54</v>
      </c>
      <c r="AP4714" t="s">
        <v>53</v>
      </c>
      <c r="AQ4714">
        <v>0</v>
      </c>
      <c r="AR4714" t="s">
        <v>53</v>
      </c>
      <c r="AS4714">
        <v>0</v>
      </c>
      <c r="AT4714">
        <v>0</v>
      </c>
      <c r="CC4714" t="s">
        <v>244</v>
      </c>
      <c r="CD4714">
        <v>100000</v>
      </c>
      <c r="CE4714" s="1">
        <v>42552</v>
      </c>
      <c r="CF4714" s="1">
        <v>42552</v>
      </c>
      <c r="CG4714" s="1">
        <v>42552</v>
      </c>
      <c r="CH4714" s="1">
        <v>51023</v>
      </c>
      <c r="CI4714" t="s">
        <v>51</v>
      </c>
      <c r="CK4714" t="s">
        <v>78</v>
      </c>
      <c r="CM4714" t="s">
        <v>54</v>
      </c>
      <c r="CN4714" t="s">
        <v>174</v>
      </c>
      <c r="CR4714">
        <v>0</v>
      </c>
      <c r="CS4714">
        <v>2150</v>
      </c>
      <c r="CT4714">
        <v>0</v>
      </c>
      <c r="CU4714">
        <v>16</v>
      </c>
    </row>
    <row r="4715" spans="1:99" x14ac:dyDescent="0.2">
      <c r="A4715" t="s">
        <v>45</v>
      </c>
      <c r="B4715" t="s">
        <v>46</v>
      </c>
      <c r="C4715" t="s">
        <v>47</v>
      </c>
      <c r="D4715" t="s">
        <v>256</v>
      </c>
      <c r="F4715" t="str">
        <f>"254342"</f>
        <v>254342</v>
      </c>
      <c r="G4715" t="s">
        <v>49</v>
      </c>
      <c r="K4715" t="s">
        <v>51</v>
      </c>
      <c r="L4715" t="s">
        <v>52</v>
      </c>
      <c r="M4715">
        <v>135401.04</v>
      </c>
      <c r="N4715">
        <v>475409.86</v>
      </c>
      <c r="O4715" t="s">
        <v>53</v>
      </c>
      <c r="P4715" t="s">
        <v>54</v>
      </c>
      <c r="Q4715" t="s">
        <v>55</v>
      </c>
      <c r="T4715" t="s">
        <v>246</v>
      </c>
      <c r="U4715">
        <v>40</v>
      </c>
      <c r="V4715" s="1">
        <v>42552</v>
      </c>
      <c r="W4715" s="1">
        <v>42552</v>
      </c>
      <c r="X4715" s="1">
        <v>42552</v>
      </c>
      <c r="Y4715" s="1">
        <v>57162</v>
      </c>
      <c r="Z4715" t="s">
        <v>51</v>
      </c>
      <c r="AB4715" t="s">
        <v>54</v>
      </c>
      <c r="AE4715" t="s">
        <v>243</v>
      </c>
      <c r="AF4715">
        <v>20</v>
      </c>
      <c r="AG4715" s="1">
        <v>42552</v>
      </c>
      <c r="AH4715" s="1">
        <v>42552</v>
      </c>
      <c r="AI4715" s="1">
        <v>42552</v>
      </c>
      <c r="AJ4715" s="1">
        <v>49857</v>
      </c>
      <c r="AK4715" t="s">
        <v>51</v>
      </c>
      <c r="AN4715">
        <v>0</v>
      </c>
      <c r="AO4715" t="s">
        <v>54</v>
      </c>
      <c r="AP4715" t="s">
        <v>53</v>
      </c>
      <c r="AQ4715">
        <v>0</v>
      </c>
      <c r="AR4715" t="s">
        <v>53</v>
      </c>
      <c r="AS4715">
        <v>0</v>
      </c>
      <c r="AT4715">
        <v>0</v>
      </c>
      <c r="CC4715" t="s">
        <v>244</v>
      </c>
      <c r="CD4715">
        <v>100000</v>
      </c>
      <c r="CE4715" s="1">
        <v>42552</v>
      </c>
      <c r="CF4715" s="1">
        <v>42552</v>
      </c>
      <c r="CG4715" s="1">
        <v>42552</v>
      </c>
      <c r="CH4715" s="1">
        <v>51023</v>
      </c>
      <c r="CI4715" t="s">
        <v>51</v>
      </c>
      <c r="CK4715" t="s">
        <v>78</v>
      </c>
      <c r="CM4715" t="s">
        <v>54</v>
      </c>
      <c r="CN4715" t="s">
        <v>174</v>
      </c>
      <c r="CR4715">
        <v>0</v>
      </c>
      <c r="CS4715">
        <v>2150</v>
      </c>
      <c r="CT4715">
        <v>0</v>
      </c>
      <c r="CU4715">
        <v>16</v>
      </c>
    </row>
    <row r="4716" spans="1:99" x14ac:dyDescent="0.2">
      <c r="A4716" t="s">
        <v>45</v>
      </c>
      <c r="B4716" t="s">
        <v>46</v>
      </c>
      <c r="C4716" t="s">
        <v>47</v>
      </c>
      <c r="D4716" t="s">
        <v>256</v>
      </c>
      <c r="F4716" t="str">
        <f>"254343"</f>
        <v>254343</v>
      </c>
      <c r="G4716" t="s">
        <v>49</v>
      </c>
      <c r="K4716" t="s">
        <v>51</v>
      </c>
      <c r="L4716" t="s">
        <v>52</v>
      </c>
      <c r="M4716">
        <v>135378.71</v>
      </c>
      <c r="N4716">
        <v>475428.66</v>
      </c>
      <c r="O4716" t="s">
        <v>53</v>
      </c>
      <c r="P4716" t="s">
        <v>54</v>
      </c>
      <c r="Q4716" t="s">
        <v>55</v>
      </c>
      <c r="T4716" t="s">
        <v>246</v>
      </c>
      <c r="U4716">
        <v>40</v>
      </c>
      <c r="V4716" s="1">
        <v>42552</v>
      </c>
      <c r="W4716" s="1">
        <v>42552</v>
      </c>
      <c r="X4716" s="1">
        <v>42552</v>
      </c>
      <c r="Y4716" s="1">
        <v>57162</v>
      </c>
      <c r="Z4716" t="s">
        <v>51</v>
      </c>
      <c r="AB4716" t="s">
        <v>54</v>
      </c>
      <c r="AE4716" t="s">
        <v>243</v>
      </c>
      <c r="AF4716">
        <v>20</v>
      </c>
      <c r="AG4716" s="1">
        <v>42552</v>
      </c>
      <c r="AH4716" s="1">
        <v>42552</v>
      </c>
      <c r="AI4716" s="1">
        <v>42552</v>
      </c>
      <c r="AJ4716" s="1">
        <v>49857</v>
      </c>
      <c r="AK4716" t="s">
        <v>51</v>
      </c>
      <c r="AN4716">
        <v>0</v>
      </c>
      <c r="AO4716" t="s">
        <v>54</v>
      </c>
      <c r="AP4716" t="s">
        <v>53</v>
      </c>
      <c r="AQ4716">
        <v>0</v>
      </c>
      <c r="AR4716" t="s">
        <v>53</v>
      </c>
      <c r="AS4716">
        <v>0</v>
      </c>
      <c r="AT4716">
        <v>0</v>
      </c>
      <c r="CC4716" t="s">
        <v>244</v>
      </c>
      <c r="CD4716">
        <v>100000</v>
      </c>
      <c r="CE4716" s="1">
        <v>42552</v>
      </c>
      <c r="CF4716" s="1">
        <v>42552</v>
      </c>
      <c r="CG4716" s="1">
        <v>42552</v>
      </c>
      <c r="CH4716" s="1">
        <v>51023</v>
      </c>
      <c r="CI4716" t="s">
        <v>51</v>
      </c>
      <c r="CK4716" t="s">
        <v>78</v>
      </c>
      <c r="CM4716" t="s">
        <v>54</v>
      </c>
      <c r="CN4716" t="s">
        <v>174</v>
      </c>
      <c r="CR4716">
        <v>0</v>
      </c>
      <c r="CS4716">
        <v>2150</v>
      </c>
      <c r="CT4716">
        <v>0</v>
      </c>
      <c r="CU4716">
        <v>16</v>
      </c>
    </row>
    <row r="4717" spans="1:99" x14ac:dyDescent="0.2">
      <c r="A4717" t="s">
        <v>45</v>
      </c>
      <c r="B4717" t="s">
        <v>46</v>
      </c>
      <c r="C4717" t="s">
        <v>47</v>
      </c>
      <c r="D4717" t="s">
        <v>256</v>
      </c>
      <c r="F4717" t="str">
        <f>"254344"</f>
        <v>254344</v>
      </c>
      <c r="G4717" t="s">
        <v>49</v>
      </c>
      <c r="K4717" t="s">
        <v>51</v>
      </c>
      <c r="L4717" t="s">
        <v>52</v>
      </c>
      <c r="M4717">
        <v>135390.01</v>
      </c>
      <c r="N4717">
        <v>475448.53</v>
      </c>
      <c r="O4717" t="s">
        <v>53</v>
      </c>
      <c r="P4717" t="s">
        <v>54</v>
      </c>
      <c r="Q4717" t="s">
        <v>55</v>
      </c>
      <c r="T4717" t="s">
        <v>246</v>
      </c>
      <c r="U4717">
        <v>40</v>
      </c>
      <c r="V4717" s="1">
        <v>42552</v>
      </c>
      <c r="W4717" s="1">
        <v>42552</v>
      </c>
      <c r="X4717" s="1">
        <v>42552</v>
      </c>
      <c r="Y4717" s="1">
        <v>57162</v>
      </c>
      <c r="Z4717" t="s">
        <v>51</v>
      </c>
      <c r="AB4717" t="s">
        <v>54</v>
      </c>
      <c r="AE4717" t="s">
        <v>243</v>
      </c>
      <c r="AF4717">
        <v>20</v>
      </c>
      <c r="AG4717" s="1">
        <v>42552</v>
      </c>
      <c r="AH4717" s="1">
        <v>42552</v>
      </c>
      <c r="AI4717" s="1">
        <v>42552</v>
      </c>
      <c r="AJ4717" s="1">
        <v>49857</v>
      </c>
      <c r="AK4717" t="s">
        <v>51</v>
      </c>
      <c r="AN4717">
        <v>0</v>
      </c>
      <c r="AO4717" t="s">
        <v>54</v>
      </c>
      <c r="AP4717" t="s">
        <v>53</v>
      </c>
      <c r="AQ4717">
        <v>0</v>
      </c>
      <c r="AR4717" t="s">
        <v>53</v>
      </c>
      <c r="AS4717">
        <v>0</v>
      </c>
      <c r="AT4717">
        <v>0</v>
      </c>
      <c r="CC4717" t="s">
        <v>244</v>
      </c>
      <c r="CD4717">
        <v>100000</v>
      </c>
      <c r="CE4717" s="1">
        <v>42552</v>
      </c>
      <c r="CF4717" s="1">
        <v>42552</v>
      </c>
      <c r="CG4717" s="1">
        <v>42552</v>
      </c>
      <c r="CH4717" s="1">
        <v>51023</v>
      </c>
      <c r="CI4717" t="s">
        <v>51</v>
      </c>
      <c r="CK4717" t="s">
        <v>78</v>
      </c>
      <c r="CM4717" t="s">
        <v>54</v>
      </c>
      <c r="CN4717" t="s">
        <v>174</v>
      </c>
      <c r="CR4717">
        <v>0</v>
      </c>
      <c r="CS4717">
        <v>2150</v>
      </c>
      <c r="CT4717">
        <v>0</v>
      </c>
      <c r="CU4717">
        <v>16</v>
      </c>
    </row>
    <row r="4718" spans="1:99" x14ac:dyDescent="0.2">
      <c r="A4718" t="s">
        <v>45</v>
      </c>
      <c r="B4718" t="s">
        <v>46</v>
      </c>
      <c r="C4718" t="s">
        <v>47</v>
      </c>
      <c r="D4718" t="s">
        <v>87</v>
      </c>
      <c r="F4718" t="str">
        <f>"254316"</f>
        <v>254316</v>
      </c>
      <c r="G4718" t="s">
        <v>49</v>
      </c>
      <c r="K4718" t="s">
        <v>51</v>
      </c>
      <c r="L4718" t="s">
        <v>52</v>
      </c>
      <c r="M4718">
        <v>135378.28</v>
      </c>
      <c r="N4718">
        <v>475474.3</v>
      </c>
      <c r="O4718" t="s">
        <v>53</v>
      </c>
      <c r="P4718" t="s">
        <v>54</v>
      </c>
      <c r="Q4718" t="s">
        <v>55</v>
      </c>
      <c r="T4718" t="s">
        <v>246</v>
      </c>
      <c r="U4718">
        <v>40</v>
      </c>
      <c r="V4718" s="1">
        <v>42552</v>
      </c>
      <c r="W4718" s="1">
        <v>42552</v>
      </c>
      <c r="X4718" s="1">
        <v>42552</v>
      </c>
      <c r="Y4718" s="1">
        <v>57162</v>
      </c>
      <c r="Z4718" t="s">
        <v>51</v>
      </c>
      <c r="AB4718" t="s">
        <v>54</v>
      </c>
      <c r="AE4718" t="s">
        <v>243</v>
      </c>
      <c r="AF4718">
        <v>20</v>
      </c>
      <c r="AG4718" s="1">
        <v>42552</v>
      </c>
      <c r="AH4718" s="1">
        <v>42552</v>
      </c>
      <c r="AI4718" s="1">
        <v>42552</v>
      </c>
      <c r="AJ4718" s="1">
        <v>49857</v>
      </c>
      <c r="AK4718" t="s">
        <v>51</v>
      </c>
      <c r="AN4718">
        <v>0</v>
      </c>
      <c r="AO4718" t="s">
        <v>54</v>
      </c>
      <c r="AP4718" t="s">
        <v>53</v>
      </c>
      <c r="AQ4718">
        <v>0</v>
      </c>
      <c r="AR4718" t="s">
        <v>53</v>
      </c>
      <c r="AS4718">
        <v>0</v>
      </c>
      <c r="AT4718">
        <v>0</v>
      </c>
      <c r="CC4718" t="s">
        <v>244</v>
      </c>
      <c r="CD4718">
        <v>100000</v>
      </c>
      <c r="CE4718" s="1">
        <v>42552</v>
      </c>
      <c r="CF4718" s="1">
        <v>42552</v>
      </c>
      <c r="CG4718" s="1">
        <v>42552</v>
      </c>
      <c r="CH4718" s="1">
        <v>51023</v>
      </c>
      <c r="CI4718" t="s">
        <v>51</v>
      </c>
      <c r="CK4718" t="s">
        <v>78</v>
      </c>
      <c r="CM4718" t="s">
        <v>54</v>
      </c>
      <c r="CN4718" t="s">
        <v>174</v>
      </c>
      <c r="CR4718">
        <v>0</v>
      </c>
      <c r="CS4718">
        <v>2150</v>
      </c>
      <c r="CT4718">
        <v>0</v>
      </c>
      <c r="CU4718">
        <v>16</v>
      </c>
    </row>
    <row r="4719" spans="1:99" x14ac:dyDescent="0.2">
      <c r="A4719" t="s">
        <v>45</v>
      </c>
      <c r="B4719" t="s">
        <v>46</v>
      </c>
      <c r="C4719" t="s">
        <v>45</v>
      </c>
      <c r="D4719" t="s">
        <v>87</v>
      </c>
      <c r="F4719" t="str">
        <f>"254317"</f>
        <v>254317</v>
      </c>
      <c r="G4719" t="s">
        <v>49</v>
      </c>
      <c r="K4719" t="s">
        <v>51</v>
      </c>
      <c r="L4719" t="s">
        <v>52</v>
      </c>
      <c r="M4719">
        <v>135403.07</v>
      </c>
      <c r="N4719">
        <v>475468.81</v>
      </c>
      <c r="O4719" t="s">
        <v>53</v>
      </c>
      <c r="P4719" t="s">
        <v>54</v>
      </c>
      <c r="Q4719" t="s">
        <v>55</v>
      </c>
      <c r="T4719" t="s">
        <v>246</v>
      </c>
      <c r="U4719">
        <v>40</v>
      </c>
      <c r="V4719" s="1">
        <v>42552</v>
      </c>
      <c r="W4719" s="1">
        <v>42552</v>
      </c>
      <c r="X4719" s="1">
        <v>42552</v>
      </c>
      <c r="Y4719" s="1">
        <v>57162</v>
      </c>
      <c r="Z4719" t="s">
        <v>51</v>
      </c>
      <c r="AB4719" t="s">
        <v>54</v>
      </c>
      <c r="AE4719" t="s">
        <v>243</v>
      </c>
      <c r="AF4719">
        <v>20</v>
      </c>
      <c r="AG4719" s="1">
        <v>42552</v>
      </c>
      <c r="AH4719" s="1">
        <v>42552</v>
      </c>
      <c r="AI4719" s="1">
        <v>42552</v>
      </c>
      <c r="AJ4719" s="1">
        <v>49857</v>
      </c>
      <c r="AK4719" t="s">
        <v>51</v>
      </c>
      <c r="AN4719">
        <v>0</v>
      </c>
      <c r="AO4719" t="s">
        <v>54</v>
      </c>
      <c r="AP4719" t="s">
        <v>53</v>
      </c>
      <c r="AQ4719">
        <v>0</v>
      </c>
      <c r="AR4719" t="s">
        <v>53</v>
      </c>
      <c r="AS4719">
        <v>0</v>
      </c>
      <c r="AT4719">
        <v>0</v>
      </c>
      <c r="CC4719" t="s">
        <v>244</v>
      </c>
      <c r="CD4719">
        <v>100000</v>
      </c>
      <c r="CE4719" s="1">
        <v>42552</v>
      </c>
      <c r="CF4719" s="1">
        <v>42552</v>
      </c>
      <c r="CG4719" s="1">
        <v>42552</v>
      </c>
      <c r="CH4719" s="1">
        <v>51023</v>
      </c>
      <c r="CI4719" t="s">
        <v>51</v>
      </c>
      <c r="CK4719" t="s">
        <v>78</v>
      </c>
      <c r="CM4719" t="s">
        <v>54</v>
      </c>
      <c r="CN4719" t="s">
        <v>174</v>
      </c>
      <c r="CR4719">
        <v>0</v>
      </c>
      <c r="CS4719">
        <v>2150</v>
      </c>
      <c r="CT4719">
        <v>0</v>
      </c>
      <c r="CU4719">
        <v>16</v>
      </c>
    </row>
    <row r="4720" spans="1:99" x14ac:dyDescent="0.2">
      <c r="A4720" t="s">
        <v>45</v>
      </c>
      <c r="B4720" t="s">
        <v>46</v>
      </c>
      <c r="C4720" t="s">
        <v>45</v>
      </c>
      <c r="D4720" t="s">
        <v>87</v>
      </c>
      <c r="F4720" t="str">
        <f>"254318"</f>
        <v>254318</v>
      </c>
      <c r="G4720" t="s">
        <v>49</v>
      </c>
      <c r="K4720" t="s">
        <v>51</v>
      </c>
      <c r="L4720" t="s">
        <v>52</v>
      </c>
      <c r="M4720">
        <v>135422.98000000001</v>
      </c>
      <c r="N4720">
        <v>475457.82</v>
      </c>
      <c r="O4720" t="s">
        <v>53</v>
      </c>
      <c r="P4720" t="s">
        <v>54</v>
      </c>
      <c r="Q4720" t="s">
        <v>55</v>
      </c>
      <c r="T4720" t="s">
        <v>246</v>
      </c>
      <c r="U4720">
        <v>40</v>
      </c>
      <c r="V4720" s="1">
        <v>42552</v>
      </c>
      <c r="W4720" s="1">
        <v>42552</v>
      </c>
      <c r="X4720" s="1">
        <v>42552</v>
      </c>
      <c r="Y4720" s="1">
        <v>57162</v>
      </c>
      <c r="Z4720" t="s">
        <v>51</v>
      </c>
      <c r="AB4720" t="s">
        <v>54</v>
      </c>
      <c r="AE4720" t="s">
        <v>243</v>
      </c>
      <c r="AF4720">
        <v>20</v>
      </c>
      <c r="AG4720" s="1">
        <v>42552</v>
      </c>
      <c r="AH4720" s="1">
        <v>42552</v>
      </c>
      <c r="AI4720" s="1">
        <v>42552</v>
      </c>
      <c r="AJ4720" s="1">
        <v>49857</v>
      </c>
      <c r="AK4720" t="s">
        <v>51</v>
      </c>
      <c r="AN4720">
        <v>0</v>
      </c>
      <c r="AO4720" t="s">
        <v>54</v>
      </c>
      <c r="AP4720" t="s">
        <v>53</v>
      </c>
      <c r="AQ4720">
        <v>0</v>
      </c>
      <c r="AR4720" t="s">
        <v>53</v>
      </c>
      <c r="AS4720">
        <v>0</v>
      </c>
      <c r="AT4720">
        <v>0</v>
      </c>
      <c r="CC4720" t="s">
        <v>244</v>
      </c>
      <c r="CD4720">
        <v>100000</v>
      </c>
      <c r="CE4720" s="1">
        <v>42552</v>
      </c>
      <c r="CF4720" s="1">
        <v>42552</v>
      </c>
      <c r="CG4720" s="1">
        <v>42552</v>
      </c>
      <c r="CH4720" s="1">
        <v>51023</v>
      </c>
      <c r="CI4720" t="s">
        <v>51</v>
      </c>
      <c r="CK4720" t="s">
        <v>78</v>
      </c>
      <c r="CM4720" t="s">
        <v>54</v>
      </c>
      <c r="CN4720" t="s">
        <v>174</v>
      </c>
      <c r="CR4720">
        <v>0</v>
      </c>
      <c r="CS4720">
        <v>2150</v>
      </c>
      <c r="CT4720">
        <v>0</v>
      </c>
      <c r="CU4720">
        <v>16</v>
      </c>
    </row>
    <row r="4721" spans="1:99" x14ac:dyDescent="0.2">
      <c r="A4721" t="s">
        <v>45</v>
      </c>
      <c r="B4721" t="s">
        <v>46</v>
      </c>
      <c r="C4721" t="s">
        <v>45</v>
      </c>
      <c r="D4721" t="s">
        <v>87</v>
      </c>
      <c r="F4721" t="str">
        <f>"254321"</f>
        <v>254321</v>
      </c>
      <c r="G4721" t="s">
        <v>49</v>
      </c>
      <c r="K4721" t="s">
        <v>51</v>
      </c>
      <c r="L4721" t="s">
        <v>52</v>
      </c>
      <c r="M4721">
        <v>135443.51999999999</v>
      </c>
      <c r="N4721">
        <v>475446.78</v>
      </c>
      <c r="O4721" t="s">
        <v>53</v>
      </c>
      <c r="P4721" t="s">
        <v>54</v>
      </c>
      <c r="Q4721" t="s">
        <v>55</v>
      </c>
      <c r="T4721" t="s">
        <v>246</v>
      </c>
      <c r="U4721">
        <v>40</v>
      </c>
      <c r="V4721" s="1">
        <v>42552</v>
      </c>
      <c r="W4721" s="1">
        <v>42552</v>
      </c>
      <c r="X4721" s="1">
        <v>42552</v>
      </c>
      <c r="Y4721" s="1">
        <v>57162</v>
      </c>
      <c r="Z4721" t="s">
        <v>51</v>
      </c>
      <c r="AB4721" t="s">
        <v>54</v>
      </c>
      <c r="AE4721" t="s">
        <v>243</v>
      </c>
      <c r="AF4721">
        <v>20</v>
      </c>
      <c r="AG4721" s="1">
        <v>42552</v>
      </c>
      <c r="AH4721" s="1">
        <v>42552</v>
      </c>
      <c r="AI4721" s="1">
        <v>42552</v>
      </c>
      <c r="AJ4721" s="1">
        <v>49857</v>
      </c>
      <c r="AK4721" t="s">
        <v>51</v>
      </c>
      <c r="AN4721">
        <v>0</v>
      </c>
      <c r="AO4721" t="s">
        <v>54</v>
      </c>
      <c r="AP4721" t="s">
        <v>53</v>
      </c>
      <c r="AQ4721">
        <v>0</v>
      </c>
      <c r="AR4721" t="s">
        <v>53</v>
      </c>
      <c r="AS4721">
        <v>0</v>
      </c>
      <c r="AT4721">
        <v>0</v>
      </c>
      <c r="CC4721" t="s">
        <v>244</v>
      </c>
      <c r="CD4721">
        <v>100000</v>
      </c>
      <c r="CE4721" s="1">
        <v>42552</v>
      </c>
      <c r="CF4721" s="1">
        <v>42552</v>
      </c>
      <c r="CG4721" s="1">
        <v>42552</v>
      </c>
      <c r="CH4721" s="1">
        <v>51023</v>
      </c>
      <c r="CI4721" t="s">
        <v>51</v>
      </c>
      <c r="CK4721" t="s">
        <v>78</v>
      </c>
      <c r="CM4721" t="s">
        <v>54</v>
      </c>
      <c r="CN4721" t="s">
        <v>174</v>
      </c>
      <c r="CR4721">
        <v>0</v>
      </c>
      <c r="CS4721">
        <v>2150</v>
      </c>
      <c r="CT4721">
        <v>0</v>
      </c>
      <c r="CU4721">
        <v>16</v>
      </c>
    </row>
    <row r="4722" spans="1:99" x14ac:dyDescent="0.2">
      <c r="A4722" t="s">
        <v>45</v>
      </c>
      <c r="B4722" t="s">
        <v>46</v>
      </c>
      <c r="C4722" t="s">
        <v>45</v>
      </c>
      <c r="D4722" t="s">
        <v>87</v>
      </c>
      <c r="F4722" t="str">
        <f>"254322"</f>
        <v>254322</v>
      </c>
      <c r="G4722" t="s">
        <v>49</v>
      </c>
      <c r="K4722" t="s">
        <v>51</v>
      </c>
      <c r="L4722" t="s">
        <v>52</v>
      </c>
      <c r="M4722">
        <v>135520.46</v>
      </c>
      <c r="N4722">
        <v>475408.45</v>
      </c>
      <c r="O4722" t="s">
        <v>53</v>
      </c>
      <c r="P4722" t="s">
        <v>54</v>
      </c>
      <c r="Q4722" t="s">
        <v>55</v>
      </c>
      <c r="T4722" t="s">
        <v>246</v>
      </c>
      <c r="U4722">
        <v>40</v>
      </c>
      <c r="V4722" s="1">
        <v>42552</v>
      </c>
      <c r="W4722" s="1">
        <v>42552</v>
      </c>
      <c r="X4722" s="1">
        <v>42552</v>
      </c>
      <c r="Y4722" s="1">
        <v>57162</v>
      </c>
      <c r="Z4722" t="s">
        <v>51</v>
      </c>
      <c r="AB4722" t="s">
        <v>54</v>
      </c>
      <c r="AE4722" t="s">
        <v>243</v>
      </c>
      <c r="AF4722">
        <v>20</v>
      </c>
      <c r="AG4722" s="1">
        <v>42552</v>
      </c>
      <c r="AH4722" s="1">
        <v>42552</v>
      </c>
      <c r="AI4722" s="1">
        <v>42552</v>
      </c>
      <c r="AJ4722" s="1">
        <v>49857</v>
      </c>
      <c r="AK4722" t="s">
        <v>51</v>
      </c>
      <c r="AN4722">
        <v>0</v>
      </c>
      <c r="AO4722" t="s">
        <v>54</v>
      </c>
      <c r="AP4722" t="s">
        <v>53</v>
      </c>
      <c r="AQ4722">
        <v>0</v>
      </c>
      <c r="AR4722" t="s">
        <v>53</v>
      </c>
      <c r="AS4722">
        <v>0</v>
      </c>
      <c r="AT4722">
        <v>0</v>
      </c>
      <c r="CC4722" t="s">
        <v>244</v>
      </c>
      <c r="CD4722">
        <v>100000</v>
      </c>
      <c r="CE4722" s="1">
        <v>42552</v>
      </c>
      <c r="CF4722" s="1">
        <v>42552</v>
      </c>
      <c r="CG4722" s="1">
        <v>42552</v>
      </c>
      <c r="CH4722" s="1">
        <v>51023</v>
      </c>
      <c r="CI4722" t="s">
        <v>51</v>
      </c>
      <c r="CK4722" t="s">
        <v>78</v>
      </c>
      <c r="CM4722" t="s">
        <v>54</v>
      </c>
      <c r="CN4722" t="s">
        <v>174</v>
      </c>
      <c r="CR4722">
        <v>0</v>
      </c>
      <c r="CS4722">
        <v>2150</v>
      </c>
      <c r="CT4722">
        <v>0</v>
      </c>
      <c r="CU4722">
        <v>16</v>
      </c>
    </row>
    <row r="4723" spans="1:99" x14ac:dyDescent="0.2">
      <c r="A4723" t="s">
        <v>1012</v>
      </c>
      <c r="B4723" t="s">
        <v>1013</v>
      </c>
      <c r="C4723" t="s">
        <v>1052</v>
      </c>
      <c r="D4723" t="s">
        <v>1071</v>
      </c>
      <c r="F4723" t="str">
        <f>"254309"</f>
        <v>254309</v>
      </c>
      <c r="G4723" t="s">
        <v>49</v>
      </c>
      <c r="K4723" t="s">
        <v>51</v>
      </c>
      <c r="L4723" t="s">
        <v>52</v>
      </c>
      <c r="M4723">
        <v>131576.6</v>
      </c>
      <c r="N4723">
        <v>474392.6</v>
      </c>
      <c r="O4723" t="s">
        <v>53</v>
      </c>
      <c r="P4723" t="s">
        <v>54</v>
      </c>
      <c r="Q4723" t="s">
        <v>55</v>
      </c>
      <c r="S4723" t="s">
        <v>1074</v>
      </c>
      <c r="T4723" t="s">
        <v>1074</v>
      </c>
      <c r="U4723">
        <v>30</v>
      </c>
      <c r="V4723" s="1">
        <v>44242</v>
      </c>
      <c r="W4723" s="1">
        <v>44242</v>
      </c>
      <c r="X4723" s="1">
        <v>44242</v>
      </c>
      <c r="Y4723" s="1">
        <v>55199</v>
      </c>
      <c r="Z4723" t="s">
        <v>51</v>
      </c>
      <c r="AB4723" t="s">
        <v>54</v>
      </c>
      <c r="AC4723">
        <v>1</v>
      </c>
      <c r="AE4723" t="s">
        <v>243</v>
      </c>
      <c r="AF4723">
        <v>20</v>
      </c>
      <c r="AG4723" s="1">
        <v>44242</v>
      </c>
      <c r="AH4723" s="1">
        <v>44242</v>
      </c>
      <c r="AI4723" s="1">
        <v>44242</v>
      </c>
      <c r="AJ4723" s="1">
        <v>51547</v>
      </c>
      <c r="AK4723" t="s">
        <v>51</v>
      </c>
      <c r="AN4723">
        <v>0</v>
      </c>
      <c r="AO4723" t="s">
        <v>54</v>
      </c>
      <c r="AP4723" t="s">
        <v>53</v>
      </c>
      <c r="AQ4723">
        <v>0</v>
      </c>
      <c r="AR4723" t="s">
        <v>53</v>
      </c>
      <c r="AS4723">
        <v>0</v>
      </c>
      <c r="AT4723">
        <v>0</v>
      </c>
      <c r="CC4723" t="s">
        <v>432</v>
      </c>
      <c r="CD4723">
        <v>85000</v>
      </c>
      <c r="CE4723" s="1">
        <v>44242</v>
      </c>
      <c r="CF4723" s="1">
        <v>44242</v>
      </c>
      <c r="CG4723" s="1">
        <v>44242</v>
      </c>
      <c r="CH4723" s="1">
        <v>51870</v>
      </c>
      <c r="CI4723" t="s">
        <v>51</v>
      </c>
      <c r="CK4723" t="s">
        <v>78</v>
      </c>
      <c r="CM4723" t="s">
        <v>54</v>
      </c>
      <c r="CN4723" t="s">
        <v>174</v>
      </c>
      <c r="CO4723" t="s">
        <v>86</v>
      </c>
      <c r="CR4723">
        <v>24</v>
      </c>
      <c r="CS4723">
        <v>0</v>
      </c>
      <c r="CT4723">
        <v>0</v>
      </c>
      <c r="CU4723">
        <v>0</v>
      </c>
    </row>
    <row r="4724" spans="1:99" x14ac:dyDescent="0.2">
      <c r="A4724" t="s">
        <v>1012</v>
      </c>
      <c r="B4724" t="s">
        <v>1013</v>
      </c>
      <c r="C4724" t="s">
        <v>1052</v>
      </c>
      <c r="D4724" t="s">
        <v>1071</v>
      </c>
      <c r="F4724" t="str">
        <f>"254308"</f>
        <v>254308</v>
      </c>
      <c r="G4724" t="s">
        <v>49</v>
      </c>
      <c r="K4724" t="s">
        <v>51</v>
      </c>
      <c r="L4724" t="s">
        <v>52</v>
      </c>
      <c r="M4724">
        <v>131580.41</v>
      </c>
      <c r="N4724">
        <v>474419.11</v>
      </c>
      <c r="O4724" t="s">
        <v>53</v>
      </c>
      <c r="P4724" t="s">
        <v>54</v>
      </c>
      <c r="Q4724" t="s">
        <v>55</v>
      </c>
      <c r="S4724" t="s">
        <v>1074</v>
      </c>
      <c r="T4724" t="s">
        <v>1074</v>
      </c>
      <c r="U4724">
        <v>30</v>
      </c>
      <c r="V4724" s="1">
        <v>44242</v>
      </c>
      <c r="W4724" s="1">
        <v>44242</v>
      </c>
      <c r="X4724" s="1">
        <v>44242</v>
      </c>
      <c r="Y4724" s="1">
        <v>55199</v>
      </c>
      <c r="Z4724" t="s">
        <v>51</v>
      </c>
      <c r="AB4724" t="s">
        <v>54</v>
      </c>
      <c r="AC4724">
        <v>1</v>
      </c>
      <c r="AE4724" t="s">
        <v>243</v>
      </c>
      <c r="AF4724">
        <v>20</v>
      </c>
      <c r="AG4724" s="1">
        <v>44242</v>
      </c>
      <c r="AH4724" s="1">
        <v>44242</v>
      </c>
      <c r="AI4724" s="1">
        <v>44242</v>
      </c>
      <c r="AJ4724" s="1">
        <v>51547</v>
      </c>
      <c r="AK4724" t="s">
        <v>51</v>
      </c>
      <c r="AN4724">
        <v>0</v>
      </c>
      <c r="AO4724" t="s">
        <v>54</v>
      </c>
      <c r="AP4724" t="s">
        <v>53</v>
      </c>
      <c r="AQ4724">
        <v>0</v>
      </c>
      <c r="AR4724" t="s">
        <v>53</v>
      </c>
      <c r="AS4724">
        <v>0</v>
      </c>
      <c r="AT4724">
        <v>0</v>
      </c>
      <c r="CC4724" t="s">
        <v>432</v>
      </c>
      <c r="CD4724">
        <v>85000</v>
      </c>
      <c r="CE4724" s="1">
        <v>44242</v>
      </c>
      <c r="CF4724" s="1">
        <v>44242</v>
      </c>
      <c r="CG4724" s="1">
        <v>44242</v>
      </c>
      <c r="CH4724" s="1">
        <v>51870</v>
      </c>
      <c r="CI4724" t="s">
        <v>51</v>
      </c>
      <c r="CK4724" t="s">
        <v>78</v>
      </c>
      <c r="CM4724" t="s">
        <v>54</v>
      </c>
      <c r="CN4724" t="s">
        <v>174</v>
      </c>
      <c r="CO4724" t="s">
        <v>86</v>
      </c>
      <c r="CR4724">
        <v>24</v>
      </c>
      <c r="CS4724">
        <v>0</v>
      </c>
      <c r="CT4724">
        <v>0</v>
      </c>
      <c r="CU4724">
        <v>0</v>
      </c>
    </row>
    <row r="4725" spans="1:99" x14ac:dyDescent="0.2">
      <c r="A4725" t="s">
        <v>1012</v>
      </c>
      <c r="B4725" t="s">
        <v>1013</v>
      </c>
      <c r="C4725" t="s">
        <v>1052</v>
      </c>
      <c r="D4725" t="s">
        <v>1071</v>
      </c>
      <c r="F4725" t="str">
        <f>"254306"</f>
        <v>254306</v>
      </c>
      <c r="G4725" t="s">
        <v>49</v>
      </c>
      <c r="K4725" t="s">
        <v>51</v>
      </c>
      <c r="L4725" t="s">
        <v>52</v>
      </c>
      <c r="M4725">
        <v>131587.68</v>
      </c>
      <c r="N4725">
        <v>474470.19</v>
      </c>
      <c r="O4725" t="s">
        <v>53</v>
      </c>
      <c r="P4725" t="s">
        <v>54</v>
      </c>
      <c r="Q4725" t="s">
        <v>55</v>
      </c>
      <c r="S4725" t="s">
        <v>1074</v>
      </c>
      <c r="T4725" t="s">
        <v>1074</v>
      </c>
      <c r="U4725">
        <v>30</v>
      </c>
      <c r="V4725" s="1">
        <v>44242</v>
      </c>
      <c r="W4725" s="1">
        <v>44242</v>
      </c>
      <c r="X4725" s="1">
        <v>44242</v>
      </c>
      <c r="Y4725" s="1">
        <v>55199</v>
      </c>
      <c r="Z4725" t="s">
        <v>51</v>
      </c>
      <c r="AB4725" t="s">
        <v>54</v>
      </c>
      <c r="AC4725">
        <v>1</v>
      </c>
      <c r="AE4725" t="s">
        <v>243</v>
      </c>
      <c r="AF4725">
        <v>20</v>
      </c>
      <c r="AG4725" s="1">
        <v>44242</v>
      </c>
      <c r="AH4725" s="1">
        <v>44242</v>
      </c>
      <c r="AI4725" s="1">
        <v>44242</v>
      </c>
      <c r="AJ4725" s="1">
        <v>51547</v>
      </c>
      <c r="AK4725" t="s">
        <v>51</v>
      </c>
      <c r="AN4725">
        <v>0</v>
      </c>
      <c r="AO4725" t="s">
        <v>54</v>
      </c>
      <c r="AP4725" t="s">
        <v>53</v>
      </c>
      <c r="AQ4725">
        <v>0</v>
      </c>
      <c r="AR4725" t="s">
        <v>53</v>
      </c>
      <c r="AS4725">
        <v>0</v>
      </c>
      <c r="AT4725">
        <v>0</v>
      </c>
      <c r="CC4725" t="s">
        <v>432</v>
      </c>
      <c r="CD4725">
        <v>85000</v>
      </c>
      <c r="CE4725" s="1">
        <v>44242</v>
      </c>
      <c r="CF4725" s="1">
        <v>44242</v>
      </c>
      <c r="CG4725" s="1">
        <v>44242</v>
      </c>
      <c r="CH4725" s="1">
        <v>51870</v>
      </c>
      <c r="CI4725" t="s">
        <v>51</v>
      </c>
      <c r="CK4725" t="s">
        <v>78</v>
      </c>
      <c r="CM4725" t="s">
        <v>54</v>
      </c>
      <c r="CN4725" t="s">
        <v>174</v>
      </c>
      <c r="CO4725" t="s">
        <v>86</v>
      </c>
      <c r="CR4725">
        <v>24</v>
      </c>
      <c r="CS4725">
        <v>0</v>
      </c>
      <c r="CT4725">
        <v>0</v>
      </c>
      <c r="CU4725">
        <v>0</v>
      </c>
    </row>
    <row r="4726" spans="1:99" x14ac:dyDescent="0.2">
      <c r="A4726" t="s">
        <v>1012</v>
      </c>
      <c r="B4726" t="s">
        <v>1013</v>
      </c>
      <c r="C4726" t="s">
        <v>1052</v>
      </c>
      <c r="D4726" t="s">
        <v>1071</v>
      </c>
      <c r="F4726" t="str">
        <f>"254305"</f>
        <v>254305</v>
      </c>
      <c r="G4726" t="s">
        <v>49</v>
      </c>
      <c r="K4726" t="s">
        <v>51</v>
      </c>
      <c r="L4726" t="s">
        <v>52</v>
      </c>
      <c r="M4726">
        <v>131591.23000000001</v>
      </c>
      <c r="N4726">
        <v>474496.55</v>
      </c>
      <c r="O4726" t="s">
        <v>53</v>
      </c>
      <c r="P4726" t="s">
        <v>54</v>
      </c>
      <c r="Q4726" t="s">
        <v>55</v>
      </c>
      <c r="S4726" t="s">
        <v>1074</v>
      </c>
      <c r="T4726" t="s">
        <v>1074</v>
      </c>
      <c r="U4726">
        <v>30</v>
      </c>
      <c r="V4726" s="1">
        <v>44242</v>
      </c>
      <c r="W4726" s="1">
        <v>44242</v>
      </c>
      <c r="X4726" s="1">
        <v>44242</v>
      </c>
      <c r="Y4726" s="1">
        <v>55199</v>
      </c>
      <c r="Z4726" t="s">
        <v>51</v>
      </c>
      <c r="AB4726" t="s">
        <v>54</v>
      </c>
      <c r="AC4726">
        <v>1</v>
      </c>
      <c r="AE4726" t="s">
        <v>243</v>
      </c>
      <c r="AF4726">
        <v>20</v>
      </c>
      <c r="AG4726" s="1">
        <v>44242</v>
      </c>
      <c r="AH4726" s="1">
        <v>44242</v>
      </c>
      <c r="AI4726" s="1">
        <v>44242</v>
      </c>
      <c r="AJ4726" s="1">
        <v>51547</v>
      </c>
      <c r="AK4726" t="s">
        <v>51</v>
      </c>
      <c r="AN4726">
        <v>0</v>
      </c>
      <c r="AO4726" t="s">
        <v>54</v>
      </c>
      <c r="AP4726" t="s">
        <v>53</v>
      </c>
      <c r="AQ4726">
        <v>0</v>
      </c>
      <c r="AR4726" t="s">
        <v>53</v>
      </c>
      <c r="AS4726">
        <v>0</v>
      </c>
      <c r="AT4726">
        <v>0</v>
      </c>
      <c r="CC4726" t="s">
        <v>432</v>
      </c>
      <c r="CD4726">
        <v>85000</v>
      </c>
      <c r="CE4726" s="1">
        <v>44242</v>
      </c>
      <c r="CF4726" s="1">
        <v>44242</v>
      </c>
      <c r="CG4726" s="1">
        <v>44242</v>
      </c>
      <c r="CH4726" s="1">
        <v>51870</v>
      </c>
      <c r="CI4726" t="s">
        <v>51</v>
      </c>
      <c r="CK4726" t="s">
        <v>78</v>
      </c>
      <c r="CM4726" t="s">
        <v>54</v>
      </c>
      <c r="CN4726" t="s">
        <v>174</v>
      </c>
      <c r="CO4726" t="s">
        <v>86</v>
      </c>
      <c r="CR4726">
        <v>24</v>
      </c>
      <c r="CS4726">
        <v>0</v>
      </c>
      <c r="CT4726">
        <v>0</v>
      </c>
      <c r="CU4726">
        <v>0</v>
      </c>
    </row>
    <row r="4727" spans="1:99" x14ac:dyDescent="0.2">
      <c r="A4727" t="s">
        <v>1012</v>
      </c>
      <c r="B4727" t="s">
        <v>1013</v>
      </c>
      <c r="C4727" t="s">
        <v>1052</v>
      </c>
      <c r="D4727" t="s">
        <v>1071</v>
      </c>
      <c r="F4727" t="str">
        <f>"254304"</f>
        <v>254304</v>
      </c>
      <c r="G4727" t="s">
        <v>49</v>
      </c>
      <c r="K4727" t="s">
        <v>51</v>
      </c>
      <c r="L4727" t="s">
        <v>52</v>
      </c>
      <c r="M4727">
        <v>131594.87</v>
      </c>
      <c r="N4727">
        <v>474522.46</v>
      </c>
      <c r="O4727" t="s">
        <v>53</v>
      </c>
      <c r="P4727" t="s">
        <v>54</v>
      </c>
      <c r="Q4727" t="s">
        <v>55</v>
      </c>
      <c r="S4727" t="s">
        <v>1074</v>
      </c>
      <c r="T4727" t="s">
        <v>1074</v>
      </c>
      <c r="U4727">
        <v>30</v>
      </c>
      <c r="V4727" s="1">
        <v>44242</v>
      </c>
      <c r="W4727" s="1">
        <v>44242</v>
      </c>
      <c r="X4727" s="1">
        <v>44242</v>
      </c>
      <c r="Y4727" s="1">
        <v>55199</v>
      </c>
      <c r="Z4727" t="s">
        <v>51</v>
      </c>
      <c r="AB4727" t="s">
        <v>54</v>
      </c>
      <c r="AC4727">
        <v>1</v>
      </c>
      <c r="AE4727" t="s">
        <v>243</v>
      </c>
      <c r="AF4727">
        <v>20</v>
      </c>
      <c r="AG4727" s="1">
        <v>44242</v>
      </c>
      <c r="AH4727" s="1">
        <v>44242</v>
      </c>
      <c r="AI4727" s="1">
        <v>44242</v>
      </c>
      <c r="AJ4727" s="1">
        <v>51547</v>
      </c>
      <c r="AK4727" t="s">
        <v>51</v>
      </c>
      <c r="AN4727">
        <v>0</v>
      </c>
      <c r="AO4727" t="s">
        <v>54</v>
      </c>
      <c r="AP4727" t="s">
        <v>53</v>
      </c>
      <c r="AQ4727">
        <v>0</v>
      </c>
      <c r="AR4727" t="s">
        <v>53</v>
      </c>
      <c r="AS4727">
        <v>0</v>
      </c>
      <c r="AT4727">
        <v>0</v>
      </c>
      <c r="CC4727" t="s">
        <v>432</v>
      </c>
      <c r="CD4727">
        <v>85000</v>
      </c>
      <c r="CE4727" s="1">
        <v>44242</v>
      </c>
      <c r="CF4727" s="1">
        <v>44242</v>
      </c>
      <c r="CG4727" s="1">
        <v>44242</v>
      </c>
      <c r="CH4727" s="1">
        <v>51870</v>
      </c>
      <c r="CI4727" t="s">
        <v>51</v>
      </c>
      <c r="CK4727" t="s">
        <v>78</v>
      </c>
      <c r="CM4727" t="s">
        <v>54</v>
      </c>
      <c r="CN4727" t="s">
        <v>174</v>
      </c>
      <c r="CO4727" t="s">
        <v>86</v>
      </c>
      <c r="CR4727">
        <v>24</v>
      </c>
      <c r="CS4727">
        <v>0</v>
      </c>
      <c r="CT4727">
        <v>0</v>
      </c>
      <c r="CU4727">
        <v>0</v>
      </c>
    </row>
    <row r="4728" spans="1:99" x14ac:dyDescent="0.2">
      <c r="A4728" t="s">
        <v>1012</v>
      </c>
      <c r="B4728" t="s">
        <v>1013</v>
      </c>
      <c r="C4728" t="s">
        <v>1052</v>
      </c>
      <c r="D4728" t="s">
        <v>1071</v>
      </c>
      <c r="F4728" t="str">
        <f>"254303"</f>
        <v>254303</v>
      </c>
      <c r="G4728" t="s">
        <v>49</v>
      </c>
      <c r="K4728" t="s">
        <v>51</v>
      </c>
      <c r="L4728" t="s">
        <v>52</v>
      </c>
      <c r="M4728">
        <v>131597.75</v>
      </c>
      <c r="N4728">
        <v>474547.37</v>
      </c>
      <c r="O4728" t="s">
        <v>53</v>
      </c>
      <c r="P4728" t="s">
        <v>54</v>
      </c>
      <c r="Q4728" t="s">
        <v>55</v>
      </c>
      <c r="S4728" t="s">
        <v>1074</v>
      </c>
      <c r="T4728" t="s">
        <v>1074</v>
      </c>
      <c r="U4728">
        <v>30</v>
      </c>
      <c r="V4728" s="1">
        <v>44242</v>
      </c>
      <c r="W4728" s="1">
        <v>44242</v>
      </c>
      <c r="X4728" s="1">
        <v>44242</v>
      </c>
      <c r="Y4728" s="1">
        <v>55199</v>
      </c>
      <c r="Z4728" t="s">
        <v>51</v>
      </c>
      <c r="AB4728" t="s">
        <v>54</v>
      </c>
      <c r="AC4728">
        <v>1</v>
      </c>
      <c r="AE4728" t="s">
        <v>243</v>
      </c>
      <c r="AF4728">
        <v>20</v>
      </c>
      <c r="AG4728" s="1">
        <v>44242</v>
      </c>
      <c r="AH4728" s="1">
        <v>44242</v>
      </c>
      <c r="AI4728" s="1">
        <v>44242</v>
      </c>
      <c r="AJ4728" s="1">
        <v>51547</v>
      </c>
      <c r="AK4728" t="s">
        <v>51</v>
      </c>
      <c r="AN4728">
        <v>0</v>
      </c>
      <c r="AO4728" t="s">
        <v>54</v>
      </c>
      <c r="AP4728" t="s">
        <v>53</v>
      </c>
      <c r="AQ4728">
        <v>0</v>
      </c>
      <c r="AR4728" t="s">
        <v>53</v>
      </c>
      <c r="AS4728">
        <v>0</v>
      </c>
      <c r="AT4728">
        <v>0</v>
      </c>
      <c r="CC4728" t="s">
        <v>432</v>
      </c>
      <c r="CD4728">
        <v>85000</v>
      </c>
      <c r="CE4728" s="1">
        <v>44242</v>
      </c>
      <c r="CF4728" s="1">
        <v>44242</v>
      </c>
      <c r="CG4728" s="1">
        <v>44242</v>
      </c>
      <c r="CH4728" s="1">
        <v>51870</v>
      </c>
      <c r="CI4728" t="s">
        <v>51</v>
      </c>
      <c r="CK4728" t="s">
        <v>78</v>
      </c>
      <c r="CM4728" t="s">
        <v>54</v>
      </c>
      <c r="CN4728" t="s">
        <v>174</v>
      </c>
      <c r="CO4728" t="s">
        <v>86</v>
      </c>
      <c r="CR4728">
        <v>24</v>
      </c>
      <c r="CS4728">
        <v>0</v>
      </c>
      <c r="CT4728">
        <v>0</v>
      </c>
      <c r="CU4728">
        <v>0</v>
      </c>
    </row>
    <row r="4729" spans="1:99" x14ac:dyDescent="0.2">
      <c r="A4729" t="s">
        <v>1012</v>
      </c>
      <c r="B4729" t="s">
        <v>1013</v>
      </c>
      <c r="C4729" t="s">
        <v>1052</v>
      </c>
      <c r="D4729" t="s">
        <v>1071</v>
      </c>
      <c r="F4729" t="str">
        <f>"254302"</f>
        <v>254302</v>
      </c>
      <c r="G4729" t="s">
        <v>49</v>
      </c>
      <c r="K4729" t="s">
        <v>51</v>
      </c>
      <c r="L4729" t="s">
        <v>52</v>
      </c>
      <c r="M4729">
        <v>131600.07999999999</v>
      </c>
      <c r="N4729">
        <v>474571.99</v>
      </c>
      <c r="O4729" t="s">
        <v>53</v>
      </c>
      <c r="P4729" t="s">
        <v>54</v>
      </c>
      <c r="Q4729" t="s">
        <v>55</v>
      </c>
      <c r="S4729" t="s">
        <v>1074</v>
      </c>
      <c r="T4729" t="s">
        <v>1074</v>
      </c>
      <c r="U4729">
        <v>30</v>
      </c>
      <c r="V4729" s="1">
        <v>44242</v>
      </c>
      <c r="W4729" s="1">
        <v>44242</v>
      </c>
      <c r="X4729" s="1">
        <v>44242</v>
      </c>
      <c r="Y4729" s="1">
        <v>55199</v>
      </c>
      <c r="Z4729" t="s">
        <v>51</v>
      </c>
      <c r="AB4729" t="s">
        <v>54</v>
      </c>
      <c r="AC4729">
        <v>1</v>
      </c>
      <c r="AE4729" t="s">
        <v>243</v>
      </c>
      <c r="AF4729">
        <v>20</v>
      </c>
      <c r="AG4729" s="1">
        <v>44242</v>
      </c>
      <c r="AH4729" s="1">
        <v>44242</v>
      </c>
      <c r="AI4729" s="1">
        <v>44242</v>
      </c>
      <c r="AJ4729" s="1">
        <v>51547</v>
      </c>
      <c r="AK4729" t="s">
        <v>51</v>
      </c>
      <c r="AN4729">
        <v>0</v>
      </c>
      <c r="AO4729" t="s">
        <v>54</v>
      </c>
      <c r="AP4729" t="s">
        <v>53</v>
      </c>
      <c r="AQ4729">
        <v>0</v>
      </c>
      <c r="AR4729" t="s">
        <v>53</v>
      </c>
      <c r="AS4729">
        <v>0</v>
      </c>
      <c r="AT4729">
        <v>0</v>
      </c>
      <c r="CC4729" t="s">
        <v>432</v>
      </c>
      <c r="CD4729">
        <v>85000</v>
      </c>
      <c r="CE4729" s="1">
        <v>44242</v>
      </c>
      <c r="CF4729" s="1">
        <v>44242</v>
      </c>
      <c r="CG4729" s="1">
        <v>44242</v>
      </c>
      <c r="CH4729" s="1">
        <v>51870</v>
      </c>
      <c r="CI4729" t="s">
        <v>51</v>
      </c>
      <c r="CK4729" t="s">
        <v>78</v>
      </c>
      <c r="CM4729" t="s">
        <v>54</v>
      </c>
      <c r="CN4729" t="s">
        <v>174</v>
      </c>
      <c r="CO4729" t="s">
        <v>86</v>
      </c>
      <c r="CR4729">
        <v>24</v>
      </c>
      <c r="CS4729">
        <v>0</v>
      </c>
      <c r="CT4729">
        <v>0</v>
      </c>
      <c r="CU4729">
        <v>0</v>
      </c>
    </row>
    <row r="4730" spans="1:99" x14ac:dyDescent="0.2">
      <c r="A4730" t="s">
        <v>1012</v>
      </c>
      <c r="B4730" t="s">
        <v>1013</v>
      </c>
      <c r="C4730" t="s">
        <v>1052</v>
      </c>
      <c r="D4730" t="s">
        <v>1071</v>
      </c>
      <c r="F4730" t="str">
        <f>"254301"</f>
        <v>254301</v>
      </c>
      <c r="G4730" t="s">
        <v>49</v>
      </c>
      <c r="K4730" t="s">
        <v>51</v>
      </c>
      <c r="L4730" t="s">
        <v>52</v>
      </c>
      <c r="M4730">
        <v>131606.31</v>
      </c>
      <c r="N4730">
        <v>474593.5</v>
      </c>
      <c r="O4730" t="s">
        <v>53</v>
      </c>
      <c r="P4730" t="s">
        <v>54</v>
      </c>
      <c r="Q4730" t="s">
        <v>55</v>
      </c>
      <c r="S4730" t="s">
        <v>1074</v>
      </c>
      <c r="T4730" t="s">
        <v>1074</v>
      </c>
      <c r="U4730">
        <v>30</v>
      </c>
      <c r="V4730" s="1">
        <v>44242</v>
      </c>
      <c r="W4730" s="1">
        <v>44242</v>
      </c>
      <c r="X4730" s="1">
        <v>44242</v>
      </c>
      <c r="Y4730" s="1">
        <v>55199</v>
      </c>
      <c r="Z4730" t="s">
        <v>51</v>
      </c>
      <c r="AB4730" t="s">
        <v>54</v>
      </c>
      <c r="AC4730">
        <v>1</v>
      </c>
      <c r="AE4730" t="s">
        <v>243</v>
      </c>
      <c r="AF4730">
        <v>20</v>
      </c>
      <c r="AG4730" s="1">
        <v>44242</v>
      </c>
      <c r="AH4730" s="1">
        <v>44242</v>
      </c>
      <c r="AI4730" s="1">
        <v>44242</v>
      </c>
      <c r="AJ4730" s="1">
        <v>51547</v>
      </c>
      <c r="AK4730" t="s">
        <v>51</v>
      </c>
      <c r="AN4730">
        <v>0</v>
      </c>
      <c r="AO4730" t="s">
        <v>54</v>
      </c>
      <c r="AP4730" t="s">
        <v>53</v>
      </c>
      <c r="AQ4730">
        <v>0</v>
      </c>
      <c r="AR4730" t="s">
        <v>53</v>
      </c>
      <c r="AS4730">
        <v>0</v>
      </c>
      <c r="AT4730">
        <v>0</v>
      </c>
      <c r="CC4730" t="s">
        <v>432</v>
      </c>
      <c r="CD4730">
        <v>85000</v>
      </c>
      <c r="CE4730" s="1">
        <v>44242</v>
      </c>
      <c r="CF4730" s="1">
        <v>44242</v>
      </c>
      <c r="CG4730" s="1">
        <v>44242</v>
      </c>
      <c r="CH4730" s="1">
        <v>51870</v>
      </c>
      <c r="CI4730" t="s">
        <v>51</v>
      </c>
      <c r="CK4730" t="s">
        <v>78</v>
      </c>
      <c r="CM4730" t="s">
        <v>54</v>
      </c>
      <c r="CN4730" t="s">
        <v>174</v>
      </c>
      <c r="CO4730" t="s">
        <v>86</v>
      </c>
      <c r="CR4730">
        <v>24</v>
      </c>
      <c r="CS4730">
        <v>0</v>
      </c>
      <c r="CT4730">
        <v>0</v>
      </c>
      <c r="CU4730">
        <v>0</v>
      </c>
    </row>
    <row r="4731" spans="1:99" x14ac:dyDescent="0.2">
      <c r="A4731" t="s">
        <v>1012</v>
      </c>
      <c r="B4731" t="s">
        <v>1013</v>
      </c>
      <c r="C4731" t="s">
        <v>1052</v>
      </c>
      <c r="D4731" t="s">
        <v>1071</v>
      </c>
      <c r="F4731" t="str">
        <f>"254300"</f>
        <v>254300</v>
      </c>
      <c r="G4731" t="s">
        <v>49</v>
      </c>
      <c r="K4731" t="s">
        <v>51</v>
      </c>
      <c r="L4731" t="s">
        <v>52</v>
      </c>
      <c r="M4731">
        <v>131608.32000000001</v>
      </c>
      <c r="N4731">
        <v>474608.01</v>
      </c>
      <c r="O4731" t="s">
        <v>53</v>
      </c>
      <c r="P4731" t="s">
        <v>54</v>
      </c>
      <c r="Q4731" t="s">
        <v>55</v>
      </c>
      <c r="S4731" t="s">
        <v>1074</v>
      </c>
      <c r="T4731" t="s">
        <v>1074</v>
      </c>
      <c r="U4731">
        <v>30</v>
      </c>
      <c r="V4731" s="1">
        <v>44242</v>
      </c>
      <c r="W4731" s="1">
        <v>44242</v>
      </c>
      <c r="X4731" s="1">
        <v>44242</v>
      </c>
      <c r="Y4731" s="1">
        <v>55199</v>
      </c>
      <c r="Z4731" t="s">
        <v>51</v>
      </c>
      <c r="AB4731" t="s">
        <v>54</v>
      </c>
      <c r="AC4731">
        <v>1</v>
      </c>
      <c r="AE4731" t="s">
        <v>243</v>
      </c>
      <c r="AF4731">
        <v>20</v>
      </c>
      <c r="AG4731" s="1">
        <v>44242</v>
      </c>
      <c r="AH4731" s="1">
        <v>44242</v>
      </c>
      <c r="AI4731" s="1">
        <v>44242</v>
      </c>
      <c r="AJ4731" s="1">
        <v>51547</v>
      </c>
      <c r="AK4731" t="s">
        <v>51</v>
      </c>
      <c r="AN4731">
        <v>0</v>
      </c>
      <c r="AO4731" t="s">
        <v>54</v>
      </c>
      <c r="AP4731" t="s">
        <v>53</v>
      </c>
      <c r="AQ4731">
        <v>0</v>
      </c>
      <c r="AR4731" t="s">
        <v>53</v>
      </c>
      <c r="AS4731">
        <v>0</v>
      </c>
      <c r="AT4731">
        <v>0</v>
      </c>
      <c r="CC4731" t="s">
        <v>432</v>
      </c>
      <c r="CD4731">
        <v>85000</v>
      </c>
      <c r="CE4731" s="1">
        <v>44242</v>
      </c>
      <c r="CF4731" s="1">
        <v>44242</v>
      </c>
      <c r="CG4731" s="1">
        <v>44242</v>
      </c>
      <c r="CH4731" s="1">
        <v>51870</v>
      </c>
      <c r="CI4731" t="s">
        <v>51</v>
      </c>
      <c r="CK4731" t="s">
        <v>78</v>
      </c>
      <c r="CM4731" t="s">
        <v>54</v>
      </c>
      <c r="CN4731" t="s">
        <v>174</v>
      </c>
      <c r="CO4731" t="s">
        <v>86</v>
      </c>
      <c r="CR4731">
        <v>24</v>
      </c>
      <c r="CS4731">
        <v>0</v>
      </c>
      <c r="CT4731">
        <v>0</v>
      </c>
      <c r="CU4731">
        <v>0</v>
      </c>
    </row>
    <row r="4732" spans="1:99" x14ac:dyDescent="0.2">
      <c r="A4732" t="s">
        <v>1012</v>
      </c>
      <c r="B4732" t="s">
        <v>1013</v>
      </c>
      <c r="C4732" t="s">
        <v>1052</v>
      </c>
      <c r="D4732" t="s">
        <v>1071</v>
      </c>
      <c r="F4732" t="str">
        <f>"254299"</f>
        <v>254299</v>
      </c>
      <c r="G4732" t="s">
        <v>49</v>
      </c>
      <c r="K4732" t="s">
        <v>51</v>
      </c>
      <c r="L4732" t="s">
        <v>52</v>
      </c>
      <c r="M4732">
        <v>131613.21</v>
      </c>
      <c r="N4732">
        <v>474642.47</v>
      </c>
      <c r="O4732" t="s">
        <v>53</v>
      </c>
      <c r="P4732" t="s">
        <v>54</v>
      </c>
      <c r="Q4732" t="s">
        <v>55</v>
      </c>
      <c r="S4732" t="s">
        <v>1074</v>
      </c>
      <c r="T4732" t="s">
        <v>1074</v>
      </c>
      <c r="U4732">
        <v>30</v>
      </c>
      <c r="V4732" s="1">
        <v>44242</v>
      </c>
      <c r="W4732" s="1">
        <v>44242</v>
      </c>
      <c r="X4732" s="1">
        <v>44242</v>
      </c>
      <c r="Y4732" s="1">
        <v>55199</v>
      </c>
      <c r="Z4732" t="s">
        <v>51</v>
      </c>
      <c r="AB4732" t="s">
        <v>54</v>
      </c>
      <c r="AC4732">
        <v>1</v>
      </c>
      <c r="AE4732" t="s">
        <v>243</v>
      </c>
      <c r="AF4732">
        <v>20</v>
      </c>
      <c r="AG4732" s="1">
        <v>44242</v>
      </c>
      <c r="AH4732" s="1">
        <v>44242</v>
      </c>
      <c r="AI4732" s="1">
        <v>44242</v>
      </c>
      <c r="AJ4732" s="1">
        <v>51547</v>
      </c>
      <c r="AK4732" t="s">
        <v>51</v>
      </c>
      <c r="AN4732">
        <v>0</v>
      </c>
      <c r="AO4732" t="s">
        <v>54</v>
      </c>
      <c r="AP4732" t="s">
        <v>53</v>
      </c>
      <c r="AQ4732">
        <v>0</v>
      </c>
      <c r="AR4732" t="s">
        <v>53</v>
      </c>
      <c r="AS4732">
        <v>0</v>
      </c>
      <c r="AT4732">
        <v>0</v>
      </c>
      <c r="CC4732" t="s">
        <v>432</v>
      </c>
      <c r="CD4732">
        <v>85000</v>
      </c>
      <c r="CE4732" s="1">
        <v>44242</v>
      </c>
      <c r="CF4732" s="1">
        <v>44242</v>
      </c>
      <c r="CG4732" s="1">
        <v>44242</v>
      </c>
      <c r="CH4732" s="1">
        <v>51870</v>
      </c>
      <c r="CI4732" t="s">
        <v>51</v>
      </c>
      <c r="CK4732" t="s">
        <v>78</v>
      </c>
      <c r="CM4732" t="s">
        <v>54</v>
      </c>
      <c r="CN4732" t="s">
        <v>174</v>
      </c>
      <c r="CO4732" t="s">
        <v>86</v>
      </c>
      <c r="CR4732">
        <v>24</v>
      </c>
      <c r="CS4732">
        <v>0</v>
      </c>
      <c r="CT4732">
        <v>0</v>
      </c>
      <c r="CU4732">
        <v>0</v>
      </c>
    </row>
    <row r="4733" spans="1:99" x14ac:dyDescent="0.2">
      <c r="A4733" t="s">
        <v>1012</v>
      </c>
      <c r="B4733" t="s">
        <v>1013</v>
      </c>
      <c r="C4733" t="s">
        <v>1052</v>
      </c>
      <c r="D4733" t="s">
        <v>1071</v>
      </c>
      <c r="F4733" t="str">
        <f>"254298"</f>
        <v>254298</v>
      </c>
      <c r="G4733" t="s">
        <v>49</v>
      </c>
      <c r="K4733" t="s">
        <v>51</v>
      </c>
      <c r="L4733" t="s">
        <v>52</v>
      </c>
      <c r="M4733">
        <v>131617.13</v>
      </c>
      <c r="N4733">
        <v>474669.9</v>
      </c>
      <c r="O4733" t="s">
        <v>53</v>
      </c>
      <c r="P4733" t="s">
        <v>54</v>
      </c>
      <c r="Q4733" t="s">
        <v>55</v>
      </c>
      <c r="S4733" t="s">
        <v>1074</v>
      </c>
      <c r="T4733" t="s">
        <v>1074</v>
      </c>
      <c r="U4733">
        <v>30</v>
      </c>
      <c r="V4733" s="1">
        <v>44242</v>
      </c>
      <c r="W4733" s="1">
        <v>44242</v>
      </c>
      <c r="X4733" s="1">
        <v>44242</v>
      </c>
      <c r="Y4733" s="1">
        <v>55199</v>
      </c>
      <c r="Z4733" t="s">
        <v>51</v>
      </c>
      <c r="AB4733" t="s">
        <v>54</v>
      </c>
      <c r="AC4733">
        <v>1</v>
      </c>
      <c r="AE4733" t="s">
        <v>243</v>
      </c>
      <c r="AF4733">
        <v>20</v>
      </c>
      <c r="AG4733" s="1">
        <v>44242</v>
      </c>
      <c r="AH4733" s="1">
        <v>44242</v>
      </c>
      <c r="AI4733" s="1">
        <v>44242</v>
      </c>
      <c r="AJ4733" s="1">
        <v>51547</v>
      </c>
      <c r="AK4733" t="s">
        <v>51</v>
      </c>
      <c r="AN4733">
        <v>0</v>
      </c>
      <c r="AO4733" t="s">
        <v>54</v>
      </c>
      <c r="AP4733" t="s">
        <v>53</v>
      </c>
      <c r="AQ4733">
        <v>0</v>
      </c>
      <c r="AR4733" t="s">
        <v>53</v>
      </c>
      <c r="AS4733">
        <v>0</v>
      </c>
      <c r="AT4733">
        <v>0</v>
      </c>
      <c r="CC4733" t="s">
        <v>432</v>
      </c>
      <c r="CD4733">
        <v>85000</v>
      </c>
      <c r="CE4733" s="1">
        <v>44242</v>
      </c>
      <c r="CF4733" s="1">
        <v>44242</v>
      </c>
      <c r="CG4733" s="1">
        <v>44242</v>
      </c>
      <c r="CH4733" s="1">
        <v>51870</v>
      </c>
      <c r="CI4733" t="s">
        <v>51</v>
      </c>
      <c r="CK4733" t="s">
        <v>78</v>
      </c>
      <c r="CM4733" t="s">
        <v>54</v>
      </c>
      <c r="CN4733" t="s">
        <v>174</v>
      </c>
      <c r="CO4733" t="s">
        <v>86</v>
      </c>
      <c r="CR4733">
        <v>24</v>
      </c>
      <c r="CS4733">
        <v>0</v>
      </c>
      <c r="CT4733">
        <v>0</v>
      </c>
      <c r="CU4733">
        <v>0</v>
      </c>
    </row>
    <row r="4734" spans="1:99" x14ac:dyDescent="0.2">
      <c r="A4734" t="s">
        <v>1012</v>
      </c>
      <c r="B4734" t="s">
        <v>1013</v>
      </c>
      <c r="C4734" t="s">
        <v>1052</v>
      </c>
      <c r="D4734" t="s">
        <v>1071</v>
      </c>
      <c r="F4734" t="str">
        <f>"254297"</f>
        <v>254297</v>
      </c>
      <c r="G4734" t="s">
        <v>49</v>
      </c>
      <c r="K4734" t="s">
        <v>51</v>
      </c>
      <c r="L4734" t="s">
        <v>52</v>
      </c>
      <c r="M4734">
        <v>131622.39999999999</v>
      </c>
      <c r="N4734">
        <v>474699.55</v>
      </c>
      <c r="O4734" t="s">
        <v>53</v>
      </c>
      <c r="P4734" t="s">
        <v>54</v>
      </c>
      <c r="Q4734" t="s">
        <v>55</v>
      </c>
      <c r="S4734" t="s">
        <v>1074</v>
      </c>
      <c r="T4734" t="s">
        <v>1074</v>
      </c>
      <c r="U4734">
        <v>30</v>
      </c>
      <c r="V4734" s="1">
        <v>44242</v>
      </c>
      <c r="W4734" s="1">
        <v>44242</v>
      </c>
      <c r="X4734" s="1">
        <v>44242</v>
      </c>
      <c r="Y4734" s="1">
        <v>55199</v>
      </c>
      <c r="Z4734" t="s">
        <v>51</v>
      </c>
      <c r="AB4734" t="s">
        <v>54</v>
      </c>
      <c r="AC4734">
        <v>1</v>
      </c>
      <c r="AE4734" t="s">
        <v>243</v>
      </c>
      <c r="AF4734">
        <v>20</v>
      </c>
      <c r="AG4734" s="1">
        <v>44242</v>
      </c>
      <c r="AH4734" s="1">
        <v>44242</v>
      </c>
      <c r="AI4734" s="1">
        <v>44242</v>
      </c>
      <c r="AJ4734" s="1">
        <v>51547</v>
      </c>
      <c r="AK4734" t="s">
        <v>51</v>
      </c>
      <c r="AN4734">
        <v>0</v>
      </c>
      <c r="AO4734" t="s">
        <v>54</v>
      </c>
      <c r="AP4734" t="s">
        <v>53</v>
      </c>
      <c r="AQ4734">
        <v>0</v>
      </c>
      <c r="AR4734" t="s">
        <v>53</v>
      </c>
      <c r="AS4734">
        <v>0</v>
      </c>
      <c r="AT4734">
        <v>0</v>
      </c>
      <c r="CC4734" t="s">
        <v>432</v>
      </c>
      <c r="CD4734">
        <v>85000</v>
      </c>
      <c r="CE4734" s="1">
        <v>44242</v>
      </c>
      <c r="CF4734" s="1">
        <v>44242</v>
      </c>
      <c r="CG4734" s="1">
        <v>44242</v>
      </c>
      <c r="CH4734" s="1">
        <v>51870</v>
      </c>
      <c r="CI4734" t="s">
        <v>51</v>
      </c>
      <c r="CK4734" t="s">
        <v>78</v>
      </c>
      <c r="CM4734" t="s">
        <v>54</v>
      </c>
      <c r="CN4734" t="s">
        <v>174</v>
      </c>
      <c r="CO4734" t="s">
        <v>86</v>
      </c>
      <c r="CR4734">
        <v>24</v>
      </c>
      <c r="CS4734">
        <v>0</v>
      </c>
      <c r="CT4734">
        <v>0</v>
      </c>
      <c r="CU4734">
        <v>0</v>
      </c>
    </row>
    <row r="4735" spans="1:99" x14ac:dyDescent="0.2">
      <c r="A4735" t="s">
        <v>1012</v>
      </c>
      <c r="B4735" t="s">
        <v>1013</v>
      </c>
      <c r="C4735" t="s">
        <v>1052</v>
      </c>
      <c r="D4735" t="s">
        <v>1071</v>
      </c>
      <c r="F4735" t="str">
        <f>"254296"</f>
        <v>254296</v>
      </c>
      <c r="G4735" t="s">
        <v>49</v>
      </c>
      <c r="K4735" t="s">
        <v>51</v>
      </c>
      <c r="L4735" t="s">
        <v>52</v>
      </c>
      <c r="M4735">
        <v>131628.26999999999</v>
      </c>
      <c r="N4735">
        <v>474726.62</v>
      </c>
      <c r="O4735" t="s">
        <v>53</v>
      </c>
      <c r="P4735" t="s">
        <v>54</v>
      </c>
      <c r="Q4735" t="s">
        <v>55</v>
      </c>
      <c r="S4735" t="s">
        <v>1074</v>
      </c>
      <c r="T4735" t="s">
        <v>1074</v>
      </c>
      <c r="U4735">
        <v>30</v>
      </c>
      <c r="V4735" s="1">
        <v>44242</v>
      </c>
      <c r="W4735" s="1">
        <v>44242</v>
      </c>
      <c r="X4735" s="1">
        <v>44242</v>
      </c>
      <c r="Y4735" s="1">
        <v>55199</v>
      </c>
      <c r="Z4735" t="s">
        <v>51</v>
      </c>
      <c r="AB4735" t="s">
        <v>54</v>
      </c>
      <c r="AC4735">
        <v>1</v>
      </c>
      <c r="AE4735" t="s">
        <v>243</v>
      </c>
      <c r="AF4735">
        <v>20</v>
      </c>
      <c r="AG4735" s="1">
        <v>44242</v>
      </c>
      <c r="AH4735" s="1">
        <v>44242</v>
      </c>
      <c r="AI4735" s="1">
        <v>44242</v>
      </c>
      <c r="AJ4735" s="1">
        <v>51547</v>
      </c>
      <c r="AK4735" t="s">
        <v>51</v>
      </c>
      <c r="AN4735">
        <v>0</v>
      </c>
      <c r="AO4735" t="s">
        <v>54</v>
      </c>
      <c r="AP4735" t="s">
        <v>53</v>
      </c>
      <c r="AQ4735">
        <v>0</v>
      </c>
      <c r="AR4735" t="s">
        <v>53</v>
      </c>
      <c r="AS4735">
        <v>0</v>
      </c>
      <c r="AT4735">
        <v>0</v>
      </c>
      <c r="CC4735" t="s">
        <v>432</v>
      </c>
      <c r="CD4735">
        <v>85000</v>
      </c>
      <c r="CE4735" s="1">
        <v>44242</v>
      </c>
      <c r="CF4735" s="1">
        <v>44242</v>
      </c>
      <c r="CG4735" s="1">
        <v>44242</v>
      </c>
      <c r="CH4735" s="1">
        <v>51870</v>
      </c>
      <c r="CI4735" t="s">
        <v>51</v>
      </c>
      <c r="CK4735" t="s">
        <v>78</v>
      </c>
      <c r="CM4735" t="s">
        <v>54</v>
      </c>
      <c r="CN4735" t="s">
        <v>174</v>
      </c>
      <c r="CO4735" t="s">
        <v>86</v>
      </c>
      <c r="CR4735">
        <v>24</v>
      </c>
      <c r="CS4735">
        <v>0</v>
      </c>
      <c r="CT4735">
        <v>0</v>
      </c>
      <c r="CU4735">
        <v>0</v>
      </c>
    </row>
    <row r="4736" spans="1:99" x14ac:dyDescent="0.2">
      <c r="A4736" t="s">
        <v>1012</v>
      </c>
      <c r="B4736" t="s">
        <v>1013</v>
      </c>
      <c r="C4736" t="s">
        <v>1052</v>
      </c>
      <c r="D4736" t="s">
        <v>1071</v>
      </c>
      <c r="F4736" t="str">
        <f>"254295"</f>
        <v>254295</v>
      </c>
      <c r="G4736" t="s">
        <v>49</v>
      </c>
      <c r="K4736" t="s">
        <v>51</v>
      </c>
      <c r="L4736" t="s">
        <v>52</v>
      </c>
      <c r="M4736">
        <v>131632.13</v>
      </c>
      <c r="N4736">
        <v>474756.95</v>
      </c>
      <c r="O4736" t="s">
        <v>53</v>
      </c>
      <c r="P4736" t="s">
        <v>54</v>
      </c>
      <c r="Q4736" t="s">
        <v>55</v>
      </c>
      <c r="S4736" t="s">
        <v>1074</v>
      </c>
      <c r="T4736" t="s">
        <v>1074</v>
      </c>
      <c r="U4736">
        <v>30</v>
      </c>
      <c r="V4736" s="1">
        <v>44242</v>
      </c>
      <c r="W4736" s="1">
        <v>44242</v>
      </c>
      <c r="X4736" s="1">
        <v>44242</v>
      </c>
      <c r="Y4736" s="1">
        <v>55199</v>
      </c>
      <c r="Z4736" t="s">
        <v>51</v>
      </c>
      <c r="AB4736" t="s">
        <v>54</v>
      </c>
      <c r="AC4736">
        <v>1</v>
      </c>
      <c r="AE4736" t="s">
        <v>243</v>
      </c>
      <c r="AF4736">
        <v>20</v>
      </c>
      <c r="AG4736" s="1">
        <v>44242</v>
      </c>
      <c r="AH4736" s="1">
        <v>44242</v>
      </c>
      <c r="AI4736" s="1">
        <v>44242</v>
      </c>
      <c r="AJ4736" s="1">
        <v>51547</v>
      </c>
      <c r="AK4736" t="s">
        <v>51</v>
      </c>
      <c r="AN4736">
        <v>0</v>
      </c>
      <c r="AO4736" t="s">
        <v>54</v>
      </c>
      <c r="AP4736" t="s">
        <v>53</v>
      </c>
      <c r="AQ4736">
        <v>0</v>
      </c>
      <c r="AR4736" t="s">
        <v>53</v>
      </c>
      <c r="AS4736">
        <v>0</v>
      </c>
      <c r="AT4736">
        <v>0</v>
      </c>
      <c r="CC4736" t="s">
        <v>432</v>
      </c>
      <c r="CD4736">
        <v>85000</v>
      </c>
      <c r="CE4736" s="1">
        <v>44242</v>
      </c>
      <c r="CF4736" s="1">
        <v>44242</v>
      </c>
      <c r="CG4736" s="1">
        <v>44242</v>
      </c>
      <c r="CH4736" s="1">
        <v>51870</v>
      </c>
      <c r="CI4736" t="s">
        <v>51</v>
      </c>
      <c r="CK4736" t="s">
        <v>78</v>
      </c>
      <c r="CM4736" t="s">
        <v>54</v>
      </c>
      <c r="CN4736" t="s">
        <v>174</v>
      </c>
      <c r="CO4736" t="s">
        <v>86</v>
      </c>
      <c r="CR4736">
        <v>24</v>
      </c>
      <c r="CS4736">
        <v>0</v>
      </c>
      <c r="CT4736">
        <v>0</v>
      </c>
      <c r="CU4736">
        <v>0</v>
      </c>
    </row>
    <row r="4737" spans="1:112" x14ac:dyDescent="0.2">
      <c r="A4737" t="s">
        <v>1012</v>
      </c>
      <c r="B4737" t="s">
        <v>1013</v>
      </c>
      <c r="C4737" t="s">
        <v>1052</v>
      </c>
      <c r="D4737" t="s">
        <v>1071</v>
      </c>
      <c r="F4737" t="str">
        <f>"254294"</f>
        <v>254294</v>
      </c>
      <c r="G4737" t="s">
        <v>49</v>
      </c>
      <c r="K4737" t="s">
        <v>51</v>
      </c>
      <c r="L4737" t="s">
        <v>52</v>
      </c>
      <c r="M4737">
        <v>131635.91</v>
      </c>
      <c r="N4737">
        <v>474785.5</v>
      </c>
      <c r="O4737" t="s">
        <v>53</v>
      </c>
      <c r="P4737" t="s">
        <v>54</v>
      </c>
      <c r="Q4737" t="s">
        <v>55</v>
      </c>
      <c r="S4737" t="s">
        <v>1074</v>
      </c>
      <c r="T4737" t="s">
        <v>1074</v>
      </c>
      <c r="U4737">
        <v>30</v>
      </c>
      <c r="V4737" s="1">
        <v>44242</v>
      </c>
      <c r="W4737" s="1">
        <v>44242</v>
      </c>
      <c r="X4737" s="1">
        <v>44242</v>
      </c>
      <c r="Y4737" s="1">
        <v>55199</v>
      </c>
      <c r="Z4737" t="s">
        <v>51</v>
      </c>
      <c r="AB4737" t="s">
        <v>54</v>
      </c>
      <c r="AC4737">
        <v>1</v>
      </c>
      <c r="AE4737" t="s">
        <v>243</v>
      </c>
      <c r="AF4737">
        <v>20</v>
      </c>
      <c r="AG4737" s="1">
        <v>44242</v>
      </c>
      <c r="AH4737" s="1">
        <v>44242</v>
      </c>
      <c r="AI4737" s="1">
        <v>44242</v>
      </c>
      <c r="AJ4737" s="1">
        <v>51547</v>
      </c>
      <c r="AK4737" t="s">
        <v>51</v>
      </c>
      <c r="AN4737">
        <v>0</v>
      </c>
      <c r="AO4737" t="s">
        <v>54</v>
      </c>
      <c r="AP4737" t="s">
        <v>53</v>
      </c>
      <c r="AQ4737">
        <v>0</v>
      </c>
      <c r="AR4737" t="s">
        <v>53</v>
      </c>
      <c r="AS4737">
        <v>0</v>
      </c>
      <c r="AT4737">
        <v>0</v>
      </c>
      <c r="CC4737" t="s">
        <v>432</v>
      </c>
      <c r="CD4737">
        <v>85000</v>
      </c>
      <c r="CE4737" s="1">
        <v>44242</v>
      </c>
      <c r="CF4737" s="1">
        <v>44242</v>
      </c>
      <c r="CG4737" s="1">
        <v>44242</v>
      </c>
      <c r="CH4737" s="1">
        <v>51870</v>
      </c>
      <c r="CI4737" t="s">
        <v>51</v>
      </c>
      <c r="CK4737" t="s">
        <v>78</v>
      </c>
      <c r="CM4737" t="s">
        <v>54</v>
      </c>
      <c r="CN4737" t="s">
        <v>174</v>
      </c>
      <c r="CO4737" t="s">
        <v>86</v>
      </c>
      <c r="CR4737">
        <v>24</v>
      </c>
      <c r="CS4737">
        <v>0</v>
      </c>
      <c r="CT4737">
        <v>0</v>
      </c>
      <c r="CU4737">
        <v>0</v>
      </c>
    </row>
    <row r="4738" spans="1:112" x14ac:dyDescent="0.2">
      <c r="A4738" t="s">
        <v>1012</v>
      </c>
      <c r="B4738" t="s">
        <v>1013</v>
      </c>
      <c r="C4738" t="s">
        <v>1052</v>
      </c>
      <c r="D4738" t="s">
        <v>1071</v>
      </c>
      <c r="F4738" t="str">
        <f>"254293"</f>
        <v>254293</v>
      </c>
      <c r="G4738" t="s">
        <v>49</v>
      </c>
      <c r="K4738" t="s">
        <v>51</v>
      </c>
      <c r="L4738" t="s">
        <v>52</v>
      </c>
      <c r="M4738">
        <v>131638.59</v>
      </c>
      <c r="N4738">
        <v>474806.99</v>
      </c>
      <c r="O4738" t="s">
        <v>53</v>
      </c>
      <c r="P4738" t="s">
        <v>54</v>
      </c>
      <c r="Q4738" t="s">
        <v>55</v>
      </c>
      <c r="S4738" t="s">
        <v>1074</v>
      </c>
      <c r="T4738" t="s">
        <v>1074</v>
      </c>
      <c r="U4738">
        <v>30</v>
      </c>
      <c r="V4738" s="1">
        <v>44242</v>
      </c>
      <c r="W4738" s="1">
        <v>44242</v>
      </c>
      <c r="X4738" s="1">
        <v>44242</v>
      </c>
      <c r="Y4738" s="1">
        <v>55199</v>
      </c>
      <c r="Z4738" t="s">
        <v>51</v>
      </c>
      <c r="AB4738" t="s">
        <v>54</v>
      </c>
      <c r="AC4738">
        <v>1</v>
      </c>
      <c r="AE4738" t="s">
        <v>243</v>
      </c>
      <c r="AF4738">
        <v>20</v>
      </c>
      <c r="AG4738" s="1">
        <v>44242</v>
      </c>
      <c r="AH4738" s="1">
        <v>44242</v>
      </c>
      <c r="AI4738" s="1">
        <v>44242</v>
      </c>
      <c r="AJ4738" s="1">
        <v>51547</v>
      </c>
      <c r="AK4738" t="s">
        <v>51</v>
      </c>
      <c r="AN4738">
        <v>0</v>
      </c>
      <c r="AO4738" t="s">
        <v>54</v>
      </c>
      <c r="AP4738" t="s">
        <v>53</v>
      </c>
      <c r="AQ4738">
        <v>0</v>
      </c>
      <c r="AR4738" t="s">
        <v>53</v>
      </c>
      <c r="AS4738">
        <v>0</v>
      </c>
      <c r="AT4738">
        <v>0</v>
      </c>
      <c r="CC4738" t="s">
        <v>432</v>
      </c>
      <c r="CD4738">
        <v>85000</v>
      </c>
      <c r="CE4738" s="1">
        <v>44242</v>
      </c>
      <c r="CF4738" s="1">
        <v>44242</v>
      </c>
      <c r="CG4738" s="1">
        <v>44242</v>
      </c>
      <c r="CH4738" s="1">
        <v>51870</v>
      </c>
      <c r="CI4738" t="s">
        <v>51</v>
      </c>
      <c r="CK4738" t="s">
        <v>78</v>
      </c>
      <c r="CM4738" t="s">
        <v>54</v>
      </c>
      <c r="CN4738" t="s">
        <v>174</v>
      </c>
      <c r="CO4738" t="s">
        <v>86</v>
      </c>
      <c r="CR4738">
        <v>24</v>
      </c>
      <c r="CS4738">
        <v>0</v>
      </c>
      <c r="CT4738">
        <v>0</v>
      </c>
      <c r="CU4738">
        <v>0</v>
      </c>
    </row>
    <row r="4739" spans="1:112" x14ac:dyDescent="0.2">
      <c r="A4739" t="s">
        <v>1012</v>
      </c>
      <c r="B4739" t="s">
        <v>1013</v>
      </c>
      <c r="C4739" t="s">
        <v>1052</v>
      </c>
      <c r="D4739" t="s">
        <v>1071</v>
      </c>
      <c r="F4739" t="str">
        <f>"254292"</f>
        <v>254292</v>
      </c>
      <c r="G4739" t="s">
        <v>49</v>
      </c>
      <c r="K4739" t="s">
        <v>51</v>
      </c>
      <c r="L4739" t="s">
        <v>52</v>
      </c>
      <c r="M4739">
        <v>131642.25</v>
      </c>
      <c r="N4739">
        <v>474829.63</v>
      </c>
      <c r="O4739" t="s">
        <v>53</v>
      </c>
      <c r="P4739" t="s">
        <v>54</v>
      </c>
      <c r="Q4739" t="s">
        <v>55</v>
      </c>
      <c r="S4739" t="s">
        <v>1074</v>
      </c>
      <c r="T4739" t="s">
        <v>1074</v>
      </c>
      <c r="U4739">
        <v>30</v>
      </c>
      <c r="V4739" s="1">
        <v>44242</v>
      </c>
      <c r="W4739" s="1">
        <v>44242</v>
      </c>
      <c r="X4739" s="1">
        <v>44242</v>
      </c>
      <c r="Y4739" s="1">
        <v>55199</v>
      </c>
      <c r="Z4739" t="s">
        <v>51</v>
      </c>
      <c r="AB4739" t="s">
        <v>54</v>
      </c>
      <c r="AC4739">
        <v>1</v>
      </c>
      <c r="AE4739" t="s">
        <v>243</v>
      </c>
      <c r="AF4739">
        <v>20</v>
      </c>
      <c r="AG4739" s="1">
        <v>44242</v>
      </c>
      <c r="AH4739" s="1">
        <v>44242</v>
      </c>
      <c r="AI4739" s="1">
        <v>44242</v>
      </c>
      <c r="AJ4739" s="1">
        <v>51547</v>
      </c>
      <c r="AK4739" t="s">
        <v>51</v>
      </c>
      <c r="AN4739">
        <v>0</v>
      </c>
      <c r="AO4739" t="s">
        <v>54</v>
      </c>
      <c r="AP4739" t="s">
        <v>53</v>
      </c>
      <c r="AQ4739">
        <v>0</v>
      </c>
      <c r="AR4739" t="s">
        <v>53</v>
      </c>
      <c r="AS4739">
        <v>0</v>
      </c>
      <c r="AT4739">
        <v>0</v>
      </c>
      <c r="CC4739" t="s">
        <v>432</v>
      </c>
      <c r="CD4739">
        <v>85000</v>
      </c>
      <c r="CE4739" s="1">
        <v>44242</v>
      </c>
      <c r="CF4739" s="1">
        <v>44242</v>
      </c>
      <c r="CG4739" s="1">
        <v>44242</v>
      </c>
      <c r="CH4739" s="1">
        <v>51870</v>
      </c>
      <c r="CI4739" t="s">
        <v>51</v>
      </c>
      <c r="CK4739" t="s">
        <v>78</v>
      </c>
      <c r="CM4739" t="s">
        <v>54</v>
      </c>
      <c r="CN4739" t="s">
        <v>174</v>
      </c>
      <c r="CO4739" t="s">
        <v>86</v>
      </c>
      <c r="CR4739">
        <v>24</v>
      </c>
      <c r="CS4739">
        <v>0</v>
      </c>
      <c r="CT4739">
        <v>0</v>
      </c>
      <c r="CU4739">
        <v>0</v>
      </c>
    </row>
    <row r="4740" spans="1:112" x14ac:dyDescent="0.2">
      <c r="A4740" t="s">
        <v>1012</v>
      </c>
      <c r="B4740" t="s">
        <v>1013</v>
      </c>
      <c r="C4740" t="s">
        <v>1052</v>
      </c>
      <c r="D4740" t="s">
        <v>1071</v>
      </c>
      <c r="F4740" t="str">
        <f>"254291"</f>
        <v>254291</v>
      </c>
      <c r="G4740" t="s">
        <v>49</v>
      </c>
      <c r="K4740" t="s">
        <v>51</v>
      </c>
      <c r="L4740" t="s">
        <v>52</v>
      </c>
      <c r="M4740">
        <v>131645.29</v>
      </c>
      <c r="N4740">
        <v>474851.09</v>
      </c>
      <c r="O4740" t="s">
        <v>53</v>
      </c>
      <c r="P4740" t="s">
        <v>54</v>
      </c>
      <c r="Q4740" t="s">
        <v>55</v>
      </c>
      <c r="S4740" t="s">
        <v>1074</v>
      </c>
      <c r="T4740" t="s">
        <v>1074</v>
      </c>
      <c r="U4740">
        <v>30</v>
      </c>
      <c r="V4740" s="1">
        <v>44242</v>
      </c>
      <c r="W4740" s="1">
        <v>44242</v>
      </c>
      <c r="X4740" s="1">
        <v>44242</v>
      </c>
      <c r="Y4740" s="1">
        <v>55199</v>
      </c>
      <c r="Z4740" t="s">
        <v>51</v>
      </c>
      <c r="AB4740" t="s">
        <v>54</v>
      </c>
      <c r="AC4740">
        <v>1</v>
      </c>
      <c r="AE4740" t="s">
        <v>243</v>
      </c>
      <c r="AF4740">
        <v>20</v>
      </c>
      <c r="AG4740" s="1">
        <v>44242</v>
      </c>
      <c r="AH4740" s="1">
        <v>44242</v>
      </c>
      <c r="AI4740" s="1">
        <v>44242</v>
      </c>
      <c r="AJ4740" s="1">
        <v>51547</v>
      </c>
      <c r="AK4740" t="s">
        <v>51</v>
      </c>
      <c r="AN4740">
        <v>0</v>
      </c>
      <c r="AO4740" t="s">
        <v>54</v>
      </c>
      <c r="AP4740" t="s">
        <v>53</v>
      </c>
      <c r="AQ4740">
        <v>0</v>
      </c>
      <c r="AR4740" t="s">
        <v>53</v>
      </c>
      <c r="AS4740">
        <v>0</v>
      </c>
      <c r="AT4740">
        <v>0</v>
      </c>
      <c r="CC4740" t="s">
        <v>432</v>
      </c>
      <c r="CD4740">
        <v>85000</v>
      </c>
      <c r="CE4740" s="1">
        <v>44242</v>
      </c>
      <c r="CF4740" s="1">
        <v>44242</v>
      </c>
      <c r="CG4740" s="1">
        <v>44242</v>
      </c>
      <c r="CH4740" s="1">
        <v>51870</v>
      </c>
      <c r="CI4740" t="s">
        <v>51</v>
      </c>
      <c r="CK4740" t="s">
        <v>78</v>
      </c>
      <c r="CM4740" t="s">
        <v>54</v>
      </c>
      <c r="CN4740" t="s">
        <v>174</v>
      </c>
      <c r="CO4740" t="s">
        <v>86</v>
      </c>
      <c r="CR4740">
        <v>24</v>
      </c>
      <c r="CS4740">
        <v>0</v>
      </c>
      <c r="CT4740">
        <v>0</v>
      </c>
      <c r="CU4740">
        <v>0</v>
      </c>
    </row>
    <row r="4741" spans="1:112" x14ac:dyDescent="0.2">
      <c r="A4741" t="s">
        <v>1012</v>
      </c>
      <c r="B4741" t="s">
        <v>1013</v>
      </c>
      <c r="C4741" t="s">
        <v>1052</v>
      </c>
      <c r="D4741" t="s">
        <v>1071</v>
      </c>
      <c r="F4741" t="str">
        <f>"254310"</f>
        <v>254310</v>
      </c>
      <c r="G4741" t="s">
        <v>49</v>
      </c>
      <c r="K4741" t="s">
        <v>51</v>
      </c>
      <c r="L4741" t="s">
        <v>52</v>
      </c>
      <c r="M4741">
        <v>131648.04</v>
      </c>
      <c r="N4741">
        <v>474877.16</v>
      </c>
      <c r="O4741" t="s">
        <v>53</v>
      </c>
      <c r="P4741" t="s">
        <v>54</v>
      </c>
      <c r="Q4741" t="s">
        <v>55</v>
      </c>
      <c r="S4741" t="s">
        <v>1074</v>
      </c>
      <c r="T4741" t="s">
        <v>1074</v>
      </c>
      <c r="U4741">
        <v>30</v>
      </c>
      <c r="V4741" s="1">
        <v>44242</v>
      </c>
      <c r="W4741" s="1">
        <v>44242</v>
      </c>
      <c r="X4741" s="1">
        <v>44242</v>
      </c>
      <c r="Y4741" s="1">
        <v>55199</v>
      </c>
      <c r="Z4741" t="s">
        <v>51</v>
      </c>
      <c r="AB4741" t="s">
        <v>54</v>
      </c>
      <c r="AC4741">
        <v>1</v>
      </c>
      <c r="AE4741" t="s">
        <v>243</v>
      </c>
      <c r="AF4741">
        <v>20</v>
      </c>
      <c r="AG4741" s="1">
        <v>44242</v>
      </c>
      <c r="AH4741" s="1">
        <v>44242</v>
      </c>
      <c r="AI4741" s="1">
        <v>44242</v>
      </c>
      <c r="AJ4741" s="1">
        <v>51547</v>
      </c>
      <c r="AK4741" t="s">
        <v>51</v>
      </c>
      <c r="AN4741">
        <v>0</v>
      </c>
      <c r="AO4741" t="s">
        <v>54</v>
      </c>
      <c r="AP4741" t="s">
        <v>53</v>
      </c>
      <c r="AQ4741">
        <v>0</v>
      </c>
      <c r="AR4741" t="s">
        <v>53</v>
      </c>
      <c r="AS4741">
        <v>0</v>
      </c>
      <c r="AT4741">
        <v>0</v>
      </c>
      <c r="CC4741" t="s">
        <v>432</v>
      </c>
      <c r="CD4741">
        <v>85000</v>
      </c>
      <c r="CE4741" s="1">
        <v>44242</v>
      </c>
      <c r="CF4741" s="1">
        <v>44242</v>
      </c>
      <c r="CG4741" s="1">
        <v>44242</v>
      </c>
      <c r="CH4741" s="1">
        <v>51870</v>
      </c>
      <c r="CI4741" t="s">
        <v>51</v>
      </c>
      <c r="CK4741" t="s">
        <v>78</v>
      </c>
      <c r="CM4741" t="s">
        <v>54</v>
      </c>
      <c r="CN4741" t="s">
        <v>174</v>
      </c>
      <c r="CO4741" t="s">
        <v>86</v>
      </c>
      <c r="CR4741">
        <v>24</v>
      </c>
      <c r="CS4741">
        <v>0</v>
      </c>
      <c r="CT4741">
        <v>0</v>
      </c>
      <c r="CU4741">
        <v>0</v>
      </c>
    </row>
    <row r="4742" spans="1:112" x14ac:dyDescent="0.2">
      <c r="A4742" t="s">
        <v>1012</v>
      </c>
      <c r="B4742" t="s">
        <v>1013</v>
      </c>
      <c r="C4742" t="s">
        <v>1052</v>
      </c>
      <c r="D4742" t="s">
        <v>1071</v>
      </c>
      <c r="F4742" t="str">
        <f>"254311"</f>
        <v>254311</v>
      </c>
      <c r="G4742" t="s">
        <v>49</v>
      </c>
      <c r="K4742" t="s">
        <v>51</v>
      </c>
      <c r="L4742" t="s">
        <v>52</v>
      </c>
      <c r="M4742">
        <v>131651.51999999999</v>
      </c>
      <c r="N4742">
        <v>474902.84</v>
      </c>
      <c r="O4742" t="s">
        <v>53</v>
      </c>
      <c r="P4742" t="s">
        <v>54</v>
      </c>
      <c r="Q4742" t="s">
        <v>55</v>
      </c>
      <c r="S4742" t="s">
        <v>1074</v>
      </c>
      <c r="T4742" t="s">
        <v>1074</v>
      </c>
      <c r="U4742">
        <v>30</v>
      </c>
      <c r="V4742" s="1">
        <v>44242</v>
      </c>
      <c r="W4742" s="1">
        <v>44242</v>
      </c>
      <c r="X4742" s="1">
        <v>44242</v>
      </c>
      <c r="Y4742" s="1">
        <v>55199</v>
      </c>
      <c r="Z4742" t="s">
        <v>51</v>
      </c>
      <c r="AB4742" t="s">
        <v>54</v>
      </c>
      <c r="AC4742">
        <v>1</v>
      </c>
      <c r="AE4742" t="s">
        <v>243</v>
      </c>
      <c r="AF4742">
        <v>20</v>
      </c>
      <c r="AG4742" s="1">
        <v>44242</v>
      </c>
      <c r="AH4742" s="1">
        <v>44242</v>
      </c>
      <c r="AI4742" s="1">
        <v>44242</v>
      </c>
      <c r="AJ4742" s="1">
        <v>51547</v>
      </c>
      <c r="AK4742" t="s">
        <v>51</v>
      </c>
      <c r="AN4742">
        <v>0</v>
      </c>
      <c r="AO4742" t="s">
        <v>54</v>
      </c>
      <c r="AP4742" t="s">
        <v>53</v>
      </c>
      <c r="AQ4742">
        <v>0</v>
      </c>
      <c r="AR4742" t="s">
        <v>53</v>
      </c>
      <c r="AS4742">
        <v>0</v>
      </c>
      <c r="AT4742">
        <v>0</v>
      </c>
      <c r="CC4742" t="s">
        <v>432</v>
      </c>
      <c r="CD4742">
        <v>85000</v>
      </c>
      <c r="CE4742" s="1">
        <v>44242</v>
      </c>
      <c r="CF4742" s="1">
        <v>44242</v>
      </c>
      <c r="CG4742" s="1">
        <v>44242</v>
      </c>
      <c r="CH4742" s="1">
        <v>51870</v>
      </c>
      <c r="CI4742" t="s">
        <v>51</v>
      </c>
      <c r="CK4742" t="s">
        <v>78</v>
      </c>
      <c r="CM4742" t="s">
        <v>54</v>
      </c>
      <c r="CN4742" t="s">
        <v>174</v>
      </c>
      <c r="CO4742" t="s">
        <v>86</v>
      </c>
      <c r="CR4742">
        <v>24</v>
      </c>
      <c r="CS4742">
        <v>0</v>
      </c>
      <c r="CT4742">
        <v>0</v>
      </c>
      <c r="CU4742">
        <v>0</v>
      </c>
    </row>
    <row r="4743" spans="1:112" x14ac:dyDescent="0.2">
      <c r="A4743" t="s">
        <v>1012</v>
      </c>
      <c r="B4743" t="s">
        <v>1013</v>
      </c>
      <c r="C4743" t="s">
        <v>1052</v>
      </c>
      <c r="D4743" t="s">
        <v>1071</v>
      </c>
      <c r="F4743" t="str">
        <f>"254312"</f>
        <v>254312</v>
      </c>
      <c r="G4743" t="s">
        <v>49</v>
      </c>
      <c r="K4743" t="s">
        <v>51</v>
      </c>
      <c r="L4743" t="s">
        <v>52</v>
      </c>
      <c r="M4743">
        <v>131654.82</v>
      </c>
      <c r="N4743">
        <v>474928.22</v>
      </c>
      <c r="O4743" t="s">
        <v>53</v>
      </c>
      <c r="P4743" t="s">
        <v>54</v>
      </c>
      <c r="Q4743" t="s">
        <v>55</v>
      </c>
      <c r="S4743" t="s">
        <v>1074</v>
      </c>
      <c r="T4743" t="s">
        <v>1074</v>
      </c>
      <c r="U4743">
        <v>30</v>
      </c>
      <c r="V4743" s="1">
        <v>44242</v>
      </c>
      <c r="W4743" s="1">
        <v>44242</v>
      </c>
      <c r="X4743" s="1">
        <v>44242</v>
      </c>
      <c r="Y4743" s="1">
        <v>55199</v>
      </c>
      <c r="Z4743" t="s">
        <v>51</v>
      </c>
      <c r="AB4743" t="s">
        <v>54</v>
      </c>
      <c r="AC4743">
        <v>1</v>
      </c>
      <c r="AE4743" t="s">
        <v>243</v>
      </c>
      <c r="AF4743">
        <v>20</v>
      </c>
      <c r="AG4743" s="1">
        <v>44242</v>
      </c>
      <c r="AH4743" s="1">
        <v>44242</v>
      </c>
      <c r="AI4743" s="1">
        <v>44242</v>
      </c>
      <c r="AJ4743" s="1">
        <v>51547</v>
      </c>
      <c r="AK4743" t="s">
        <v>51</v>
      </c>
      <c r="AN4743">
        <v>0</v>
      </c>
      <c r="AO4743" t="s">
        <v>54</v>
      </c>
      <c r="AP4743" t="s">
        <v>53</v>
      </c>
      <c r="AQ4743">
        <v>0</v>
      </c>
      <c r="AR4743" t="s">
        <v>53</v>
      </c>
      <c r="AS4743">
        <v>0</v>
      </c>
      <c r="AT4743">
        <v>0</v>
      </c>
      <c r="CC4743" t="s">
        <v>432</v>
      </c>
      <c r="CD4743">
        <v>85000</v>
      </c>
      <c r="CE4743" s="1">
        <v>44242</v>
      </c>
      <c r="CF4743" s="1">
        <v>44242</v>
      </c>
      <c r="CG4743" s="1">
        <v>44242</v>
      </c>
      <c r="CH4743" s="1">
        <v>51870</v>
      </c>
      <c r="CI4743" t="s">
        <v>51</v>
      </c>
      <c r="CK4743" t="s">
        <v>78</v>
      </c>
      <c r="CM4743" t="s">
        <v>54</v>
      </c>
      <c r="CN4743" t="s">
        <v>174</v>
      </c>
      <c r="CO4743" t="s">
        <v>86</v>
      </c>
      <c r="CR4743">
        <v>24</v>
      </c>
      <c r="CS4743">
        <v>0</v>
      </c>
      <c r="CT4743">
        <v>0</v>
      </c>
      <c r="CU4743">
        <v>0</v>
      </c>
    </row>
    <row r="4744" spans="1:112" x14ac:dyDescent="0.2">
      <c r="A4744" t="s">
        <v>1012</v>
      </c>
      <c r="B4744" t="s">
        <v>1013</v>
      </c>
      <c r="C4744" t="s">
        <v>1052</v>
      </c>
      <c r="D4744" t="s">
        <v>1071</v>
      </c>
      <c r="F4744" t="str">
        <f>"254313"</f>
        <v>254313</v>
      </c>
      <c r="G4744" t="s">
        <v>49</v>
      </c>
      <c r="K4744" t="s">
        <v>51</v>
      </c>
      <c r="L4744" t="s">
        <v>52</v>
      </c>
      <c r="M4744">
        <v>131658.41</v>
      </c>
      <c r="N4744">
        <v>474953.28</v>
      </c>
      <c r="O4744" t="s">
        <v>53</v>
      </c>
      <c r="P4744" t="s">
        <v>54</v>
      </c>
      <c r="Q4744" t="s">
        <v>55</v>
      </c>
      <c r="S4744" t="s">
        <v>1074</v>
      </c>
      <c r="T4744" t="s">
        <v>1074</v>
      </c>
      <c r="U4744">
        <v>30</v>
      </c>
      <c r="V4744" s="1">
        <v>44242</v>
      </c>
      <c r="W4744" s="1">
        <v>44242</v>
      </c>
      <c r="X4744" s="1">
        <v>44242</v>
      </c>
      <c r="Y4744" s="1">
        <v>55199</v>
      </c>
      <c r="Z4744" t="s">
        <v>51</v>
      </c>
      <c r="AB4744" t="s">
        <v>54</v>
      </c>
      <c r="AC4744">
        <v>1</v>
      </c>
      <c r="AE4744" t="s">
        <v>243</v>
      </c>
      <c r="AF4744">
        <v>20</v>
      </c>
      <c r="AG4744" s="1">
        <v>44242</v>
      </c>
      <c r="AH4744" s="1">
        <v>44242</v>
      </c>
      <c r="AI4744" s="1">
        <v>44242</v>
      </c>
      <c r="AJ4744" s="1">
        <v>51547</v>
      </c>
      <c r="AK4744" t="s">
        <v>51</v>
      </c>
      <c r="AN4744">
        <v>0</v>
      </c>
      <c r="AO4744" t="s">
        <v>54</v>
      </c>
      <c r="AP4744" t="s">
        <v>53</v>
      </c>
      <c r="AQ4744">
        <v>0</v>
      </c>
      <c r="AR4744" t="s">
        <v>53</v>
      </c>
      <c r="AS4744">
        <v>0</v>
      </c>
      <c r="AT4744">
        <v>0</v>
      </c>
      <c r="CC4744" t="s">
        <v>432</v>
      </c>
      <c r="CD4744">
        <v>85000</v>
      </c>
      <c r="CE4744" s="1">
        <v>44242</v>
      </c>
      <c r="CF4744" s="1">
        <v>44242</v>
      </c>
      <c r="CG4744" s="1">
        <v>44242</v>
      </c>
      <c r="CH4744" s="1">
        <v>51870</v>
      </c>
      <c r="CI4744" t="s">
        <v>51</v>
      </c>
      <c r="CK4744" t="s">
        <v>78</v>
      </c>
      <c r="CM4744" t="s">
        <v>54</v>
      </c>
      <c r="CN4744" t="s">
        <v>174</v>
      </c>
      <c r="CO4744" t="s">
        <v>86</v>
      </c>
      <c r="CR4744">
        <v>24</v>
      </c>
      <c r="CS4744">
        <v>0</v>
      </c>
      <c r="CT4744">
        <v>0</v>
      </c>
      <c r="CU4744">
        <v>0</v>
      </c>
    </row>
    <row r="4745" spans="1:112" x14ac:dyDescent="0.2">
      <c r="A4745" t="s">
        <v>1012</v>
      </c>
      <c r="B4745" t="s">
        <v>1013</v>
      </c>
      <c r="C4745" t="s">
        <v>1052</v>
      </c>
      <c r="D4745" t="s">
        <v>1071</v>
      </c>
      <c r="F4745" t="str">
        <f>"254314"</f>
        <v>254314</v>
      </c>
      <c r="G4745" t="s">
        <v>49</v>
      </c>
      <c r="K4745" t="s">
        <v>51</v>
      </c>
      <c r="L4745" t="s">
        <v>52</v>
      </c>
      <c r="M4745">
        <v>131661.73000000001</v>
      </c>
      <c r="N4745">
        <v>474977.66</v>
      </c>
      <c r="O4745" t="s">
        <v>53</v>
      </c>
      <c r="P4745" t="s">
        <v>54</v>
      </c>
      <c r="Q4745" t="s">
        <v>55</v>
      </c>
      <c r="S4745" t="s">
        <v>1074</v>
      </c>
      <c r="T4745" t="s">
        <v>1074</v>
      </c>
      <c r="U4745">
        <v>30</v>
      </c>
      <c r="V4745" s="1">
        <v>44242</v>
      </c>
      <c r="W4745" s="1">
        <v>44242</v>
      </c>
      <c r="X4745" s="1">
        <v>44242</v>
      </c>
      <c r="Y4745" s="1">
        <v>55199</v>
      </c>
      <c r="Z4745" t="s">
        <v>51</v>
      </c>
      <c r="AB4745" t="s">
        <v>54</v>
      </c>
      <c r="AC4745">
        <v>1</v>
      </c>
      <c r="AE4745" t="s">
        <v>243</v>
      </c>
      <c r="AF4745">
        <v>20</v>
      </c>
      <c r="AG4745" s="1">
        <v>44242</v>
      </c>
      <c r="AH4745" s="1">
        <v>44242</v>
      </c>
      <c r="AI4745" s="1">
        <v>44242</v>
      </c>
      <c r="AJ4745" s="1">
        <v>51547</v>
      </c>
      <c r="AK4745" t="s">
        <v>51</v>
      </c>
      <c r="AN4745">
        <v>0</v>
      </c>
      <c r="AO4745" t="s">
        <v>54</v>
      </c>
      <c r="AP4745" t="s">
        <v>53</v>
      </c>
      <c r="AQ4745">
        <v>0</v>
      </c>
      <c r="AR4745" t="s">
        <v>53</v>
      </c>
      <c r="AS4745">
        <v>0</v>
      </c>
      <c r="AT4745">
        <v>0</v>
      </c>
      <c r="CC4745" t="s">
        <v>432</v>
      </c>
      <c r="CD4745">
        <v>85000</v>
      </c>
      <c r="CE4745" s="1">
        <v>44242</v>
      </c>
      <c r="CF4745" s="1">
        <v>44242</v>
      </c>
      <c r="CG4745" s="1">
        <v>44242</v>
      </c>
      <c r="CH4745" s="1">
        <v>51870</v>
      </c>
      <c r="CI4745" t="s">
        <v>51</v>
      </c>
      <c r="CK4745" t="s">
        <v>78</v>
      </c>
      <c r="CM4745" t="s">
        <v>54</v>
      </c>
      <c r="CN4745" t="s">
        <v>174</v>
      </c>
      <c r="CO4745" t="s">
        <v>86</v>
      </c>
      <c r="CR4745">
        <v>24</v>
      </c>
      <c r="CS4745">
        <v>0</v>
      </c>
      <c r="CT4745">
        <v>0</v>
      </c>
      <c r="CU4745">
        <v>0</v>
      </c>
    </row>
    <row r="4746" spans="1:112" x14ac:dyDescent="0.2">
      <c r="A4746" t="s">
        <v>1012</v>
      </c>
      <c r="B4746" t="s">
        <v>1013</v>
      </c>
      <c r="C4746" t="s">
        <v>1052</v>
      </c>
      <c r="D4746" t="s">
        <v>1071</v>
      </c>
      <c r="F4746" t="str">
        <f>"254315"</f>
        <v>254315</v>
      </c>
      <c r="G4746" t="s">
        <v>49</v>
      </c>
      <c r="K4746" t="s">
        <v>51</v>
      </c>
      <c r="L4746" t="s">
        <v>52</v>
      </c>
      <c r="M4746">
        <v>131664.56</v>
      </c>
      <c r="N4746">
        <v>475002.77</v>
      </c>
      <c r="O4746" t="s">
        <v>53</v>
      </c>
      <c r="P4746" t="s">
        <v>54</v>
      </c>
      <c r="Q4746" t="s">
        <v>55</v>
      </c>
      <c r="S4746" t="s">
        <v>1074</v>
      </c>
      <c r="T4746" t="s">
        <v>1074</v>
      </c>
      <c r="U4746">
        <v>30</v>
      </c>
      <c r="V4746" s="1">
        <v>44242</v>
      </c>
      <c r="W4746" s="1">
        <v>44242</v>
      </c>
      <c r="X4746" s="1">
        <v>44242</v>
      </c>
      <c r="Y4746" s="1">
        <v>55199</v>
      </c>
      <c r="Z4746" t="s">
        <v>51</v>
      </c>
      <c r="AB4746" t="s">
        <v>54</v>
      </c>
      <c r="AC4746">
        <v>1</v>
      </c>
      <c r="AE4746" t="s">
        <v>243</v>
      </c>
      <c r="AF4746">
        <v>20</v>
      </c>
      <c r="AG4746" s="1">
        <v>44242</v>
      </c>
      <c r="AH4746" s="1">
        <v>44242</v>
      </c>
      <c r="AI4746" s="1">
        <v>44242</v>
      </c>
      <c r="AJ4746" s="1">
        <v>51547</v>
      </c>
      <c r="AK4746" t="s">
        <v>51</v>
      </c>
      <c r="AN4746">
        <v>0</v>
      </c>
      <c r="AO4746" t="s">
        <v>54</v>
      </c>
      <c r="AP4746" t="s">
        <v>53</v>
      </c>
      <c r="AQ4746">
        <v>0</v>
      </c>
      <c r="AR4746" t="s">
        <v>53</v>
      </c>
      <c r="AS4746">
        <v>0</v>
      </c>
      <c r="AT4746">
        <v>0</v>
      </c>
      <c r="CC4746" t="s">
        <v>432</v>
      </c>
      <c r="CD4746">
        <v>85000</v>
      </c>
      <c r="CE4746" s="1">
        <v>44242</v>
      </c>
      <c r="CF4746" s="1">
        <v>44242</v>
      </c>
      <c r="CG4746" s="1">
        <v>44242</v>
      </c>
      <c r="CH4746" s="1">
        <v>51870</v>
      </c>
      <c r="CI4746" t="s">
        <v>51</v>
      </c>
      <c r="CK4746" t="s">
        <v>78</v>
      </c>
      <c r="CM4746" t="s">
        <v>54</v>
      </c>
      <c r="CN4746" t="s">
        <v>174</v>
      </c>
      <c r="CO4746" t="s">
        <v>86</v>
      </c>
      <c r="CR4746">
        <v>24</v>
      </c>
      <c r="CS4746">
        <v>0</v>
      </c>
      <c r="CT4746">
        <v>0</v>
      </c>
      <c r="CU4746">
        <v>0</v>
      </c>
    </row>
    <row r="4747" spans="1:112" x14ac:dyDescent="0.2">
      <c r="A4747" t="s">
        <v>1012</v>
      </c>
      <c r="B4747" t="s">
        <v>1013</v>
      </c>
      <c r="C4747" t="s">
        <v>1014</v>
      </c>
      <c r="D4747" t="s">
        <v>1096</v>
      </c>
      <c r="F4747" t="str">
        <f>"252036"</f>
        <v>252036</v>
      </c>
      <c r="G4747" t="s">
        <v>49</v>
      </c>
      <c r="K4747" t="s">
        <v>51</v>
      </c>
      <c r="L4747" t="s">
        <v>52</v>
      </c>
      <c r="M4747">
        <v>131576.6</v>
      </c>
      <c r="N4747">
        <v>474634.3</v>
      </c>
      <c r="O4747" t="s">
        <v>53</v>
      </c>
      <c r="P4747" t="s">
        <v>54</v>
      </c>
      <c r="Q4747" t="s">
        <v>55</v>
      </c>
      <c r="T4747" t="s">
        <v>1054</v>
      </c>
      <c r="U4747">
        <v>40</v>
      </c>
      <c r="V4747" s="1">
        <v>28126</v>
      </c>
      <c r="W4747" s="1">
        <v>28126</v>
      </c>
      <c r="X4747" s="1">
        <v>44105</v>
      </c>
      <c r="Y4747" s="1">
        <v>42736</v>
      </c>
      <c r="Z4747" t="s">
        <v>51</v>
      </c>
      <c r="AB4747" t="s">
        <v>54</v>
      </c>
      <c r="AC4747">
        <v>1</v>
      </c>
      <c r="AE4747" t="s">
        <v>91</v>
      </c>
      <c r="AF4747">
        <v>20</v>
      </c>
      <c r="AG4747" s="1">
        <v>34700</v>
      </c>
      <c r="AH4747" s="1">
        <v>34700</v>
      </c>
      <c r="AI4747" s="1">
        <v>44105</v>
      </c>
      <c r="AJ4747" s="1">
        <v>42005</v>
      </c>
      <c r="AK4747" t="s">
        <v>51</v>
      </c>
      <c r="AN4747">
        <v>0</v>
      </c>
      <c r="AO4747" t="s">
        <v>54</v>
      </c>
      <c r="AP4747" t="s">
        <v>53</v>
      </c>
      <c r="AQ4747">
        <v>0</v>
      </c>
      <c r="AR4747" t="s">
        <v>53</v>
      </c>
      <c r="AS4747">
        <v>0</v>
      </c>
      <c r="AT4747">
        <v>0</v>
      </c>
      <c r="AW4747" t="s">
        <v>58</v>
      </c>
      <c r="AX4747">
        <v>20</v>
      </c>
      <c r="AY4747" s="1">
        <v>34700</v>
      </c>
      <c r="AZ4747" s="1">
        <v>34700</v>
      </c>
      <c r="BA4747" s="1">
        <v>44105</v>
      </c>
      <c r="BB4747" s="1">
        <v>42005</v>
      </c>
      <c r="BC4747" t="s">
        <v>51</v>
      </c>
      <c r="BE4747" t="s">
        <v>54</v>
      </c>
      <c r="BF4747">
        <v>2</v>
      </c>
      <c r="BG4747">
        <v>0</v>
      </c>
      <c r="BH4747" t="s">
        <v>53</v>
      </c>
      <c r="BK4747" t="s">
        <v>92</v>
      </c>
      <c r="BL4747">
        <v>14000</v>
      </c>
      <c r="BM4747" s="1">
        <v>44110</v>
      </c>
      <c r="BN4747" s="1">
        <v>44110</v>
      </c>
      <c r="BO4747" s="1">
        <v>44110</v>
      </c>
      <c r="BP4747" s="1">
        <v>45272</v>
      </c>
      <c r="BQ4747" t="s">
        <v>51</v>
      </c>
      <c r="BS4747" t="s">
        <v>60</v>
      </c>
      <c r="BT4747" t="s">
        <v>54</v>
      </c>
      <c r="BU4747" t="s">
        <v>61</v>
      </c>
      <c r="BV4747" t="s">
        <v>62</v>
      </c>
      <c r="BX4747">
        <v>55</v>
      </c>
      <c r="BY4747">
        <v>0</v>
      </c>
      <c r="BZ4747">
        <v>0</v>
      </c>
      <c r="CX4747" t="s">
        <v>674</v>
      </c>
      <c r="CY4747">
        <v>0</v>
      </c>
      <c r="CZ4747" s="1">
        <v>32143</v>
      </c>
      <c r="DA4747" s="1">
        <v>32143</v>
      </c>
      <c r="DB4747" s="1">
        <v>32143</v>
      </c>
      <c r="DC4747" s="1">
        <v>32143</v>
      </c>
      <c r="DD4747" t="s">
        <v>51</v>
      </c>
      <c r="DF4747" t="s">
        <v>54</v>
      </c>
      <c r="DG4747">
        <v>0</v>
      </c>
      <c r="DH4747">
        <v>0</v>
      </c>
    </row>
    <row r="4748" spans="1:112" x14ac:dyDescent="0.2">
      <c r="A4748" t="s">
        <v>45</v>
      </c>
      <c r="B4748" t="s">
        <v>46</v>
      </c>
      <c r="C4748" t="s">
        <v>47</v>
      </c>
      <c r="D4748" t="s">
        <v>153</v>
      </c>
      <c r="F4748" t="str">
        <f>"254371"</f>
        <v>254371</v>
      </c>
      <c r="G4748" t="s">
        <v>49</v>
      </c>
      <c r="K4748" t="s">
        <v>51</v>
      </c>
      <c r="L4748" t="s">
        <v>52</v>
      </c>
      <c r="M4748">
        <v>136787.07999999999</v>
      </c>
      <c r="N4748">
        <v>473495.96</v>
      </c>
      <c r="O4748" t="s">
        <v>53</v>
      </c>
      <c r="P4748" t="s">
        <v>54</v>
      </c>
      <c r="Q4748" t="s">
        <v>55</v>
      </c>
      <c r="T4748" t="s">
        <v>170</v>
      </c>
      <c r="U4748">
        <v>40</v>
      </c>
      <c r="V4748" s="1">
        <v>42186</v>
      </c>
      <c r="W4748" s="1">
        <v>42186</v>
      </c>
      <c r="X4748" s="1">
        <v>42186</v>
      </c>
      <c r="Y4748" s="1">
        <v>56796</v>
      </c>
      <c r="Z4748" t="s">
        <v>51</v>
      </c>
      <c r="AB4748" t="s">
        <v>54</v>
      </c>
      <c r="AE4748" t="s">
        <v>171</v>
      </c>
      <c r="AF4748">
        <v>20</v>
      </c>
      <c r="AG4748" s="1">
        <v>42186</v>
      </c>
      <c r="AH4748" s="1">
        <v>42186</v>
      </c>
      <c r="AI4748" s="1">
        <v>42186</v>
      </c>
      <c r="AJ4748" s="1">
        <v>49491</v>
      </c>
      <c r="AK4748" t="s">
        <v>51</v>
      </c>
      <c r="AN4748">
        <v>0</v>
      </c>
      <c r="AO4748" t="s">
        <v>54</v>
      </c>
      <c r="AP4748" t="s">
        <v>53</v>
      </c>
      <c r="AQ4748">
        <v>0</v>
      </c>
      <c r="AR4748" t="s">
        <v>53</v>
      </c>
      <c r="AS4748">
        <v>0</v>
      </c>
      <c r="AT4748">
        <v>0</v>
      </c>
      <c r="CC4748" t="s">
        <v>173</v>
      </c>
      <c r="CD4748">
        <v>100000</v>
      </c>
      <c r="CE4748" s="1">
        <v>44341</v>
      </c>
      <c r="CF4748" s="1">
        <v>44341</v>
      </c>
      <c r="CG4748" s="1">
        <v>44341</v>
      </c>
      <c r="CH4748" s="1">
        <v>52822</v>
      </c>
      <c r="CI4748" t="s">
        <v>51</v>
      </c>
      <c r="CK4748" t="s">
        <v>78</v>
      </c>
      <c r="CM4748" t="s">
        <v>54</v>
      </c>
      <c r="CN4748" t="s">
        <v>174</v>
      </c>
      <c r="CO4748" t="s">
        <v>86</v>
      </c>
      <c r="CP4748">
        <v>830</v>
      </c>
      <c r="CR4748">
        <v>19</v>
      </c>
      <c r="CS4748">
        <v>1800</v>
      </c>
      <c r="CT4748">
        <v>0</v>
      </c>
      <c r="CU4748">
        <v>16</v>
      </c>
    </row>
    <row r="4749" spans="1:112" x14ac:dyDescent="0.2">
      <c r="A4749" t="s">
        <v>112</v>
      </c>
      <c r="B4749" t="s">
        <v>113</v>
      </c>
      <c r="C4749" t="s">
        <v>114</v>
      </c>
      <c r="D4749" t="s">
        <v>428</v>
      </c>
      <c r="F4749" t="str">
        <f>"?44"</f>
        <v>?44</v>
      </c>
      <c r="G4749" t="s">
        <v>49</v>
      </c>
      <c r="K4749" t="s">
        <v>51</v>
      </c>
      <c r="L4749" t="s">
        <v>52</v>
      </c>
      <c r="M4749">
        <v>136994.42000000001</v>
      </c>
      <c r="N4749">
        <v>470716.85</v>
      </c>
      <c r="O4749" t="s">
        <v>53</v>
      </c>
      <c r="P4749" t="s">
        <v>54</v>
      </c>
      <c r="Q4749" t="s">
        <v>55</v>
      </c>
      <c r="T4749" t="s">
        <v>431</v>
      </c>
      <c r="U4749">
        <v>40</v>
      </c>
      <c r="V4749" s="1">
        <v>39083</v>
      </c>
      <c r="W4749" s="1">
        <v>39083</v>
      </c>
      <c r="X4749" s="1">
        <v>44105</v>
      </c>
      <c r="Y4749" s="1">
        <v>53693</v>
      </c>
      <c r="Z4749" t="s">
        <v>51</v>
      </c>
      <c r="AB4749" t="s">
        <v>54</v>
      </c>
      <c r="AC4749">
        <v>1</v>
      </c>
      <c r="AE4749" t="s">
        <v>79</v>
      </c>
      <c r="AF4749">
        <v>20</v>
      </c>
      <c r="AG4749" s="1">
        <v>39083</v>
      </c>
      <c r="AH4749" s="1">
        <v>39083</v>
      </c>
      <c r="AI4749" s="1">
        <v>44105</v>
      </c>
      <c r="AJ4749" s="1">
        <v>46388</v>
      </c>
      <c r="AK4749" t="s">
        <v>51</v>
      </c>
      <c r="AN4749">
        <v>0</v>
      </c>
      <c r="AO4749" t="s">
        <v>54</v>
      </c>
      <c r="AP4749" t="s">
        <v>53</v>
      </c>
      <c r="AQ4749">
        <v>0</v>
      </c>
      <c r="AR4749" t="s">
        <v>145</v>
      </c>
      <c r="AS4749">
        <v>0</v>
      </c>
      <c r="AT4749">
        <v>0</v>
      </c>
      <c r="AW4749" t="s">
        <v>79</v>
      </c>
      <c r="AX4749">
        <v>20</v>
      </c>
      <c r="AY4749" s="1">
        <v>39083</v>
      </c>
      <c r="AZ4749" s="1">
        <v>39083</v>
      </c>
      <c r="BA4749" s="1">
        <v>44105</v>
      </c>
      <c r="BB4749" s="1">
        <v>46388</v>
      </c>
      <c r="BC4749" t="s">
        <v>51</v>
      </c>
      <c r="BE4749" t="s">
        <v>54</v>
      </c>
      <c r="BF4749">
        <v>5</v>
      </c>
      <c r="BG4749">
        <v>0</v>
      </c>
      <c r="BH4749" t="s">
        <v>53</v>
      </c>
      <c r="BK4749" t="s">
        <v>146</v>
      </c>
      <c r="BL4749">
        <v>14000</v>
      </c>
      <c r="BM4749" s="1">
        <v>43521</v>
      </c>
      <c r="BN4749" s="1">
        <v>43521</v>
      </c>
      <c r="BO4749" s="1">
        <v>44105</v>
      </c>
      <c r="BP4749" s="1">
        <v>44720</v>
      </c>
      <c r="BQ4749" t="s">
        <v>51</v>
      </c>
      <c r="BS4749" t="s">
        <v>60</v>
      </c>
      <c r="BT4749" t="s">
        <v>54</v>
      </c>
      <c r="BU4749" t="s">
        <v>61</v>
      </c>
      <c r="BV4749" t="s">
        <v>62</v>
      </c>
      <c r="BX4749">
        <v>24</v>
      </c>
      <c r="BY4749">
        <v>0</v>
      </c>
      <c r="BZ4749">
        <v>0</v>
      </c>
    </row>
    <row r="4750" spans="1:112" x14ac:dyDescent="0.2">
      <c r="A4750" t="s">
        <v>367</v>
      </c>
      <c r="B4750" t="s">
        <v>440</v>
      </c>
      <c r="C4750" t="s">
        <v>441</v>
      </c>
      <c r="D4750" t="s">
        <v>2144</v>
      </c>
      <c r="F4750" t="str">
        <f>"254237"</f>
        <v>254237</v>
      </c>
      <c r="G4750" t="s">
        <v>49</v>
      </c>
      <c r="I4750" t="s">
        <v>2145</v>
      </c>
      <c r="K4750" t="s">
        <v>51</v>
      </c>
      <c r="L4750" t="s">
        <v>52</v>
      </c>
      <c r="M4750">
        <v>137948.82999999999</v>
      </c>
      <c r="N4750">
        <v>468867.5</v>
      </c>
      <c r="O4750" t="s">
        <v>53</v>
      </c>
      <c r="P4750" t="s">
        <v>54</v>
      </c>
      <c r="Q4750" t="s">
        <v>55</v>
      </c>
      <c r="T4750" t="s">
        <v>246</v>
      </c>
      <c r="U4750">
        <v>40</v>
      </c>
      <c r="V4750" s="1">
        <v>43466</v>
      </c>
      <c r="W4750" s="1">
        <v>43466</v>
      </c>
      <c r="X4750" s="1">
        <v>43466</v>
      </c>
      <c r="Y4750" s="1">
        <v>58076</v>
      </c>
      <c r="Z4750" t="s">
        <v>51</v>
      </c>
      <c r="AB4750" t="s">
        <v>54</v>
      </c>
      <c r="AE4750" t="s">
        <v>1065</v>
      </c>
      <c r="AF4750">
        <v>20</v>
      </c>
      <c r="AG4750" s="1">
        <v>43466</v>
      </c>
      <c r="AH4750" s="1">
        <v>43466</v>
      </c>
      <c r="AI4750" s="1">
        <v>43466</v>
      </c>
      <c r="AJ4750" s="1">
        <v>50771</v>
      </c>
      <c r="AK4750" t="s">
        <v>51</v>
      </c>
      <c r="AN4750">
        <v>0</v>
      </c>
      <c r="AO4750" t="s">
        <v>54</v>
      </c>
      <c r="AP4750" t="s">
        <v>53</v>
      </c>
      <c r="AQ4750">
        <v>0</v>
      </c>
      <c r="AR4750" t="s">
        <v>53</v>
      </c>
      <c r="AS4750">
        <v>0</v>
      </c>
      <c r="AT4750">
        <v>0</v>
      </c>
      <c r="AW4750" t="s">
        <v>172</v>
      </c>
      <c r="AX4750">
        <v>15</v>
      </c>
      <c r="AY4750" s="1">
        <v>43466</v>
      </c>
      <c r="AZ4750" s="1">
        <v>43466</v>
      </c>
      <c r="BA4750" s="1">
        <v>43466</v>
      </c>
      <c r="BB4750" s="1">
        <v>48945</v>
      </c>
      <c r="BC4750" t="s">
        <v>51</v>
      </c>
      <c r="BE4750" t="s">
        <v>54</v>
      </c>
      <c r="BF4750">
        <v>40</v>
      </c>
      <c r="BG4750">
        <v>0</v>
      </c>
      <c r="BH4750" t="s">
        <v>145</v>
      </c>
      <c r="CC4750" t="s">
        <v>250</v>
      </c>
      <c r="CD4750">
        <v>100000</v>
      </c>
      <c r="CE4750" s="1">
        <v>43466</v>
      </c>
      <c r="CF4750" s="1">
        <v>43466</v>
      </c>
      <c r="CG4750" s="1">
        <v>43466</v>
      </c>
      <c r="CH4750" s="1">
        <v>52445</v>
      </c>
      <c r="CI4750" t="s">
        <v>51</v>
      </c>
      <c r="CK4750" t="s">
        <v>78</v>
      </c>
      <c r="CM4750" t="s">
        <v>54</v>
      </c>
      <c r="CN4750" t="s">
        <v>174</v>
      </c>
      <c r="CR4750">
        <v>13.2</v>
      </c>
      <c r="CS4750">
        <v>1800</v>
      </c>
      <c r="CT4750">
        <v>0</v>
      </c>
      <c r="CU4750">
        <v>16</v>
      </c>
    </row>
    <row r="4751" spans="1:112" x14ac:dyDescent="0.2">
      <c r="A4751" t="s">
        <v>367</v>
      </c>
      <c r="B4751" t="s">
        <v>440</v>
      </c>
      <c r="C4751" t="s">
        <v>441</v>
      </c>
      <c r="D4751" t="s">
        <v>2144</v>
      </c>
      <c r="F4751" t="str">
        <f>"254238"</f>
        <v>254238</v>
      </c>
      <c r="G4751" t="s">
        <v>49</v>
      </c>
      <c r="I4751" t="s">
        <v>2145</v>
      </c>
      <c r="K4751" t="s">
        <v>51</v>
      </c>
      <c r="L4751" t="s">
        <v>52</v>
      </c>
      <c r="M4751">
        <v>137962.32</v>
      </c>
      <c r="N4751">
        <v>468885.49</v>
      </c>
      <c r="O4751" t="s">
        <v>53</v>
      </c>
      <c r="P4751" t="s">
        <v>54</v>
      </c>
      <c r="Q4751" t="s">
        <v>55</v>
      </c>
      <c r="T4751" t="s">
        <v>246</v>
      </c>
      <c r="U4751">
        <v>40</v>
      </c>
      <c r="V4751" s="1">
        <v>43466</v>
      </c>
      <c r="W4751" s="1">
        <v>43466</v>
      </c>
      <c r="X4751" s="1">
        <v>43466</v>
      </c>
      <c r="Y4751" s="1">
        <v>58076</v>
      </c>
      <c r="Z4751" t="s">
        <v>51</v>
      </c>
      <c r="AB4751" t="s">
        <v>54</v>
      </c>
      <c r="AE4751" t="s">
        <v>1065</v>
      </c>
      <c r="AF4751">
        <v>20</v>
      </c>
      <c r="AG4751" s="1">
        <v>43466</v>
      </c>
      <c r="AH4751" s="1">
        <v>43466</v>
      </c>
      <c r="AI4751" s="1">
        <v>43466</v>
      </c>
      <c r="AJ4751" s="1">
        <v>50771</v>
      </c>
      <c r="AK4751" t="s">
        <v>51</v>
      </c>
      <c r="AN4751">
        <v>0</v>
      </c>
      <c r="AO4751" t="s">
        <v>54</v>
      </c>
      <c r="AP4751" t="s">
        <v>53</v>
      </c>
      <c r="AQ4751">
        <v>0</v>
      </c>
      <c r="AR4751" t="s">
        <v>53</v>
      </c>
      <c r="AS4751">
        <v>0</v>
      </c>
      <c r="AT4751">
        <v>0</v>
      </c>
      <c r="AW4751" t="s">
        <v>172</v>
      </c>
      <c r="AX4751">
        <v>15</v>
      </c>
      <c r="AY4751" s="1">
        <v>43466</v>
      </c>
      <c r="AZ4751" s="1">
        <v>43466</v>
      </c>
      <c r="BA4751" s="1">
        <v>43466</v>
      </c>
      <c r="BB4751" s="1">
        <v>48945</v>
      </c>
      <c r="BC4751" t="s">
        <v>51</v>
      </c>
      <c r="BE4751" t="s">
        <v>54</v>
      </c>
      <c r="BF4751">
        <v>40</v>
      </c>
      <c r="BG4751">
        <v>0</v>
      </c>
      <c r="BH4751" t="s">
        <v>145</v>
      </c>
      <c r="CC4751" t="s">
        <v>250</v>
      </c>
      <c r="CD4751">
        <v>100000</v>
      </c>
      <c r="CE4751" s="1">
        <v>43466</v>
      </c>
      <c r="CF4751" s="1">
        <v>43466</v>
      </c>
      <c r="CG4751" s="1">
        <v>43466</v>
      </c>
      <c r="CH4751" s="1">
        <v>52445</v>
      </c>
      <c r="CI4751" t="s">
        <v>51</v>
      </c>
      <c r="CK4751" t="s">
        <v>78</v>
      </c>
      <c r="CM4751" t="s">
        <v>54</v>
      </c>
      <c r="CN4751" t="s">
        <v>174</v>
      </c>
      <c r="CR4751">
        <v>13.2</v>
      </c>
      <c r="CS4751">
        <v>1800</v>
      </c>
      <c r="CT4751">
        <v>0</v>
      </c>
      <c r="CU4751">
        <v>16</v>
      </c>
    </row>
    <row r="4752" spans="1:112" x14ac:dyDescent="0.2">
      <c r="A4752" t="s">
        <v>367</v>
      </c>
      <c r="B4752" t="s">
        <v>440</v>
      </c>
      <c r="C4752" t="s">
        <v>441</v>
      </c>
      <c r="D4752" t="s">
        <v>2144</v>
      </c>
      <c r="F4752" t="str">
        <f>"254240"</f>
        <v>254240</v>
      </c>
      <c r="G4752" t="s">
        <v>49</v>
      </c>
      <c r="I4752" t="s">
        <v>2145</v>
      </c>
      <c r="K4752" t="s">
        <v>51</v>
      </c>
      <c r="L4752" t="s">
        <v>52</v>
      </c>
      <c r="M4752">
        <v>137988.69</v>
      </c>
      <c r="N4752">
        <v>468897.49</v>
      </c>
      <c r="O4752" t="s">
        <v>53</v>
      </c>
      <c r="P4752" t="s">
        <v>54</v>
      </c>
      <c r="Q4752" t="s">
        <v>55</v>
      </c>
      <c r="T4752" t="s">
        <v>246</v>
      </c>
      <c r="U4752">
        <v>40</v>
      </c>
      <c r="V4752" s="1">
        <v>43466</v>
      </c>
      <c r="W4752" s="1">
        <v>43466</v>
      </c>
      <c r="X4752" s="1">
        <v>43466</v>
      </c>
      <c r="Y4752" s="1">
        <v>58076</v>
      </c>
      <c r="Z4752" t="s">
        <v>51</v>
      </c>
      <c r="AB4752" t="s">
        <v>54</v>
      </c>
      <c r="AE4752" t="s">
        <v>1065</v>
      </c>
      <c r="AF4752">
        <v>20</v>
      </c>
      <c r="AG4752" s="1">
        <v>43466</v>
      </c>
      <c r="AH4752" s="1">
        <v>43466</v>
      </c>
      <c r="AI4752" s="1">
        <v>43466</v>
      </c>
      <c r="AJ4752" s="1">
        <v>50771</v>
      </c>
      <c r="AK4752" t="s">
        <v>51</v>
      </c>
      <c r="AN4752">
        <v>0</v>
      </c>
      <c r="AO4752" t="s">
        <v>54</v>
      </c>
      <c r="AP4752" t="s">
        <v>53</v>
      </c>
      <c r="AQ4752">
        <v>0</v>
      </c>
      <c r="AR4752" t="s">
        <v>53</v>
      </c>
      <c r="AS4752">
        <v>0</v>
      </c>
      <c r="AT4752">
        <v>0</v>
      </c>
      <c r="AW4752" t="s">
        <v>172</v>
      </c>
      <c r="AX4752">
        <v>15</v>
      </c>
      <c r="AY4752" s="1">
        <v>43466</v>
      </c>
      <c r="AZ4752" s="1">
        <v>43466</v>
      </c>
      <c r="BA4752" s="1">
        <v>43466</v>
      </c>
      <c r="BB4752" s="1">
        <v>48945</v>
      </c>
      <c r="BC4752" t="s">
        <v>51</v>
      </c>
      <c r="BE4752" t="s">
        <v>54</v>
      </c>
      <c r="BF4752">
        <v>40</v>
      </c>
      <c r="BG4752">
        <v>0</v>
      </c>
      <c r="BH4752" t="s">
        <v>145</v>
      </c>
      <c r="CC4752" t="s">
        <v>250</v>
      </c>
      <c r="CD4752">
        <v>100000</v>
      </c>
      <c r="CE4752" s="1">
        <v>43466</v>
      </c>
      <c r="CF4752" s="1">
        <v>43466</v>
      </c>
      <c r="CG4752" s="1">
        <v>43466</v>
      </c>
      <c r="CH4752" s="1">
        <v>52445</v>
      </c>
      <c r="CI4752" t="s">
        <v>51</v>
      </c>
      <c r="CK4752" t="s">
        <v>78</v>
      </c>
      <c r="CM4752" t="s">
        <v>54</v>
      </c>
      <c r="CN4752" t="s">
        <v>174</v>
      </c>
      <c r="CR4752">
        <v>13.2</v>
      </c>
      <c r="CS4752">
        <v>1800</v>
      </c>
      <c r="CT4752">
        <v>0</v>
      </c>
      <c r="CU4752">
        <v>16</v>
      </c>
    </row>
    <row r="4753" spans="1:112" x14ac:dyDescent="0.2">
      <c r="A4753" t="s">
        <v>367</v>
      </c>
      <c r="B4753" t="s">
        <v>440</v>
      </c>
      <c r="C4753" t="s">
        <v>441</v>
      </c>
      <c r="D4753" t="s">
        <v>2144</v>
      </c>
      <c r="F4753" t="str">
        <f>"254242"</f>
        <v>254242</v>
      </c>
      <c r="G4753" t="s">
        <v>49</v>
      </c>
      <c r="I4753" t="s">
        <v>2145</v>
      </c>
      <c r="K4753" t="s">
        <v>51</v>
      </c>
      <c r="L4753" t="s">
        <v>52</v>
      </c>
      <c r="M4753">
        <v>138009.94</v>
      </c>
      <c r="N4753">
        <v>468907.35</v>
      </c>
      <c r="O4753" t="s">
        <v>53</v>
      </c>
      <c r="P4753" t="s">
        <v>54</v>
      </c>
      <c r="Q4753" t="s">
        <v>55</v>
      </c>
      <c r="T4753" t="s">
        <v>246</v>
      </c>
      <c r="U4753">
        <v>40</v>
      </c>
      <c r="V4753" s="1">
        <v>43466</v>
      </c>
      <c r="W4753" s="1">
        <v>43466</v>
      </c>
      <c r="X4753" s="1">
        <v>43466</v>
      </c>
      <c r="Y4753" s="1">
        <v>58076</v>
      </c>
      <c r="Z4753" t="s">
        <v>51</v>
      </c>
      <c r="AB4753" t="s">
        <v>54</v>
      </c>
      <c r="AE4753" t="s">
        <v>1065</v>
      </c>
      <c r="AF4753">
        <v>20</v>
      </c>
      <c r="AG4753" s="1">
        <v>43466</v>
      </c>
      <c r="AH4753" s="1">
        <v>43466</v>
      </c>
      <c r="AI4753" s="1">
        <v>43466</v>
      </c>
      <c r="AJ4753" s="1">
        <v>50771</v>
      </c>
      <c r="AK4753" t="s">
        <v>51</v>
      </c>
      <c r="AN4753">
        <v>0</v>
      </c>
      <c r="AO4753" t="s">
        <v>54</v>
      </c>
      <c r="AP4753" t="s">
        <v>53</v>
      </c>
      <c r="AQ4753">
        <v>0</v>
      </c>
      <c r="AR4753" t="s">
        <v>53</v>
      </c>
      <c r="AS4753">
        <v>0</v>
      </c>
      <c r="AT4753">
        <v>0</v>
      </c>
      <c r="AW4753" t="s">
        <v>172</v>
      </c>
      <c r="AX4753">
        <v>15</v>
      </c>
      <c r="AY4753" s="1">
        <v>43466</v>
      </c>
      <c r="AZ4753" s="1">
        <v>43466</v>
      </c>
      <c r="BA4753" s="1">
        <v>43466</v>
      </c>
      <c r="BB4753" s="1">
        <v>48945</v>
      </c>
      <c r="BC4753" t="s">
        <v>51</v>
      </c>
      <c r="BE4753" t="s">
        <v>54</v>
      </c>
      <c r="BF4753">
        <v>40</v>
      </c>
      <c r="BG4753">
        <v>0</v>
      </c>
      <c r="BH4753" t="s">
        <v>145</v>
      </c>
      <c r="CC4753" t="s">
        <v>250</v>
      </c>
      <c r="CD4753">
        <v>100000</v>
      </c>
      <c r="CE4753" s="1">
        <v>43466</v>
      </c>
      <c r="CF4753" s="1">
        <v>43466</v>
      </c>
      <c r="CG4753" s="1">
        <v>43466</v>
      </c>
      <c r="CH4753" s="1">
        <v>52445</v>
      </c>
      <c r="CI4753" t="s">
        <v>51</v>
      </c>
      <c r="CK4753" t="s">
        <v>78</v>
      </c>
      <c r="CM4753" t="s">
        <v>54</v>
      </c>
      <c r="CN4753" t="s">
        <v>174</v>
      </c>
      <c r="CR4753">
        <v>13.2</v>
      </c>
      <c r="CS4753">
        <v>1800</v>
      </c>
      <c r="CT4753">
        <v>0</v>
      </c>
      <c r="CU4753">
        <v>16</v>
      </c>
    </row>
    <row r="4754" spans="1:112" x14ac:dyDescent="0.2">
      <c r="A4754" t="s">
        <v>367</v>
      </c>
      <c r="B4754" t="s">
        <v>440</v>
      </c>
      <c r="C4754" t="s">
        <v>441</v>
      </c>
      <c r="D4754" t="s">
        <v>2144</v>
      </c>
      <c r="F4754" t="str">
        <f>"254244"</f>
        <v>254244</v>
      </c>
      <c r="G4754" t="s">
        <v>49</v>
      </c>
      <c r="I4754" t="s">
        <v>2145</v>
      </c>
      <c r="K4754" t="s">
        <v>51</v>
      </c>
      <c r="L4754" t="s">
        <v>52</v>
      </c>
      <c r="M4754">
        <v>138031.1</v>
      </c>
      <c r="N4754">
        <v>468912.1</v>
      </c>
      <c r="O4754" t="s">
        <v>53</v>
      </c>
      <c r="P4754" t="s">
        <v>54</v>
      </c>
      <c r="Q4754" t="s">
        <v>55</v>
      </c>
      <c r="T4754" t="s">
        <v>246</v>
      </c>
      <c r="U4754">
        <v>40</v>
      </c>
      <c r="V4754" s="1">
        <v>43466</v>
      </c>
      <c r="W4754" s="1">
        <v>43466</v>
      </c>
      <c r="X4754" s="1">
        <v>43466</v>
      </c>
      <c r="Y4754" s="1">
        <v>58076</v>
      </c>
      <c r="Z4754" t="s">
        <v>51</v>
      </c>
      <c r="AB4754" t="s">
        <v>54</v>
      </c>
      <c r="AE4754" t="s">
        <v>1065</v>
      </c>
      <c r="AF4754">
        <v>20</v>
      </c>
      <c r="AG4754" s="1">
        <v>43466</v>
      </c>
      <c r="AH4754" s="1">
        <v>43466</v>
      </c>
      <c r="AI4754" s="1">
        <v>43466</v>
      </c>
      <c r="AJ4754" s="1">
        <v>50771</v>
      </c>
      <c r="AK4754" t="s">
        <v>51</v>
      </c>
      <c r="AN4754">
        <v>0</v>
      </c>
      <c r="AO4754" t="s">
        <v>54</v>
      </c>
      <c r="AP4754" t="s">
        <v>53</v>
      </c>
      <c r="AQ4754">
        <v>0</v>
      </c>
      <c r="AR4754" t="s">
        <v>53</v>
      </c>
      <c r="AS4754">
        <v>0</v>
      </c>
      <c r="AT4754">
        <v>0</v>
      </c>
      <c r="AW4754" t="s">
        <v>172</v>
      </c>
      <c r="AX4754">
        <v>15</v>
      </c>
      <c r="AY4754" s="1">
        <v>43466</v>
      </c>
      <c r="AZ4754" s="1">
        <v>43466</v>
      </c>
      <c r="BA4754" s="1">
        <v>43466</v>
      </c>
      <c r="BB4754" s="1">
        <v>48945</v>
      </c>
      <c r="BC4754" t="s">
        <v>51</v>
      </c>
      <c r="BE4754" t="s">
        <v>54</v>
      </c>
      <c r="BF4754">
        <v>40</v>
      </c>
      <c r="BG4754">
        <v>0</v>
      </c>
      <c r="BH4754" t="s">
        <v>145</v>
      </c>
      <c r="CC4754" t="s">
        <v>250</v>
      </c>
      <c r="CD4754">
        <v>100000</v>
      </c>
      <c r="CE4754" s="1">
        <v>43466</v>
      </c>
      <c r="CF4754" s="1">
        <v>43466</v>
      </c>
      <c r="CG4754" s="1">
        <v>43466</v>
      </c>
      <c r="CH4754" s="1">
        <v>52445</v>
      </c>
      <c r="CI4754" t="s">
        <v>51</v>
      </c>
      <c r="CK4754" t="s">
        <v>78</v>
      </c>
      <c r="CM4754" t="s">
        <v>54</v>
      </c>
      <c r="CN4754" t="s">
        <v>174</v>
      </c>
      <c r="CR4754">
        <v>13.2</v>
      </c>
      <c r="CS4754">
        <v>1800</v>
      </c>
      <c r="CT4754">
        <v>0</v>
      </c>
      <c r="CU4754">
        <v>16</v>
      </c>
    </row>
    <row r="4755" spans="1:112" x14ac:dyDescent="0.2">
      <c r="A4755" t="s">
        <v>367</v>
      </c>
      <c r="B4755" t="s">
        <v>440</v>
      </c>
      <c r="C4755" t="s">
        <v>441</v>
      </c>
      <c r="D4755" t="s">
        <v>2144</v>
      </c>
      <c r="F4755" t="str">
        <f>"254245"</f>
        <v>254245</v>
      </c>
      <c r="G4755" t="s">
        <v>49</v>
      </c>
      <c r="I4755" t="s">
        <v>2145</v>
      </c>
      <c r="K4755" t="s">
        <v>51</v>
      </c>
      <c r="L4755" t="s">
        <v>52</v>
      </c>
      <c r="M4755">
        <v>138048.95999999999</v>
      </c>
      <c r="N4755">
        <v>468920.01</v>
      </c>
      <c r="O4755" t="s">
        <v>53</v>
      </c>
      <c r="P4755" t="s">
        <v>54</v>
      </c>
      <c r="Q4755" t="s">
        <v>55</v>
      </c>
      <c r="T4755" t="s">
        <v>246</v>
      </c>
      <c r="U4755">
        <v>40</v>
      </c>
      <c r="V4755" s="1">
        <v>43466</v>
      </c>
      <c r="W4755" s="1">
        <v>43466</v>
      </c>
      <c r="X4755" s="1">
        <v>43466</v>
      </c>
      <c r="Y4755" s="1">
        <v>58076</v>
      </c>
      <c r="Z4755" t="s">
        <v>51</v>
      </c>
      <c r="AB4755" t="s">
        <v>54</v>
      </c>
      <c r="AE4755" t="s">
        <v>1065</v>
      </c>
      <c r="AF4755">
        <v>20</v>
      </c>
      <c r="AG4755" s="1">
        <v>43466</v>
      </c>
      <c r="AH4755" s="1">
        <v>43466</v>
      </c>
      <c r="AI4755" s="1">
        <v>43466</v>
      </c>
      <c r="AJ4755" s="1">
        <v>50771</v>
      </c>
      <c r="AK4755" t="s">
        <v>51</v>
      </c>
      <c r="AN4755">
        <v>0</v>
      </c>
      <c r="AO4755" t="s">
        <v>54</v>
      </c>
      <c r="AP4755" t="s">
        <v>53</v>
      </c>
      <c r="AQ4755">
        <v>0</v>
      </c>
      <c r="AR4755" t="s">
        <v>53</v>
      </c>
      <c r="AS4755">
        <v>0</v>
      </c>
      <c r="AT4755">
        <v>0</v>
      </c>
      <c r="AW4755" t="s">
        <v>172</v>
      </c>
      <c r="AX4755">
        <v>15</v>
      </c>
      <c r="AY4755" s="1">
        <v>43466</v>
      </c>
      <c r="AZ4755" s="1">
        <v>43466</v>
      </c>
      <c r="BA4755" s="1">
        <v>43466</v>
      </c>
      <c r="BB4755" s="1">
        <v>48945</v>
      </c>
      <c r="BC4755" t="s">
        <v>51</v>
      </c>
      <c r="BE4755" t="s">
        <v>54</v>
      </c>
      <c r="BF4755">
        <v>40</v>
      </c>
      <c r="BG4755">
        <v>0</v>
      </c>
      <c r="BH4755" t="s">
        <v>145</v>
      </c>
      <c r="CC4755" t="s">
        <v>250</v>
      </c>
      <c r="CD4755">
        <v>100000</v>
      </c>
      <c r="CE4755" s="1">
        <v>43466</v>
      </c>
      <c r="CF4755" s="1">
        <v>43466</v>
      </c>
      <c r="CG4755" s="1">
        <v>43466</v>
      </c>
      <c r="CH4755" s="1">
        <v>52445</v>
      </c>
      <c r="CI4755" t="s">
        <v>51</v>
      </c>
      <c r="CK4755" t="s">
        <v>78</v>
      </c>
      <c r="CM4755" t="s">
        <v>54</v>
      </c>
      <c r="CN4755" t="s">
        <v>174</v>
      </c>
      <c r="CR4755">
        <v>13.2</v>
      </c>
      <c r="CS4755">
        <v>1800</v>
      </c>
      <c r="CT4755">
        <v>0</v>
      </c>
      <c r="CU4755">
        <v>16</v>
      </c>
    </row>
    <row r="4756" spans="1:112" x14ac:dyDescent="0.2">
      <c r="A4756" t="s">
        <v>367</v>
      </c>
      <c r="B4756" t="s">
        <v>440</v>
      </c>
      <c r="C4756" t="s">
        <v>441</v>
      </c>
      <c r="D4756" t="s">
        <v>2144</v>
      </c>
      <c r="F4756" t="str">
        <f>"254246"</f>
        <v>254246</v>
      </c>
      <c r="G4756" t="s">
        <v>49</v>
      </c>
      <c r="I4756" t="s">
        <v>2145</v>
      </c>
      <c r="K4756" t="s">
        <v>51</v>
      </c>
      <c r="L4756" t="s">
        <v>52</v>
      </c>
      <c r="M4756">
        <v>138067.46</v>
      </c>
      <c r="N4756">
        <v>468928.36</v>
      </c>
      <c r="O4756" t="s">
        <v>53</v>
      </c>
      <c r="P4756" t="s">
        <v>54</v>
      </c>
      <c r="Q4756" t="s">
        <v>55</v>
      </c>
      <c r="T4756" t="s">
        <v>246</v>
      </c>
      <c r="U4756">
        <v>40</v>
      </c>
      <c r="V4756" s="1">
        <v>43466</v>
      </c>
      <c r="W4756" s="1">
        <v>43466</v>
      </c>
      <c r="X4756" s="1">
        <v>43466</v>
      </c>
      <c r="Y4756" s="1">
        <v>58076</v>
      </c>
      <c r="Z4756" t="s">
        <v>51</v>
      </c>
      <c r="AB4756" t="s">
        <v>54</v>
      </c>
      <c r="AE4756" t="s">
        <v>1065</v>
      </c>
      <c r="AF4756">
        <v>20</v>
      </c>
      <c r="AG4756" s="1">
        <v>43466</v>
      </c>
      <c r="AH4756" s="1">
        <v>43466</v>
      </c>
      <c r="AI4756" s="1">
        <v>43466</v>
      </c>
      <c r="AJ4756" s="1">
        <v>50771</v>
      </c>
      <c r="AK4756" t="s">
        <v>51</v>
      </c>
      <c r="AN4756">
        <v>0</v>
      </c>
      <c r="AO4756" t="s">
        <v>54</v>
      </c>
      <c r="AP4756" t="s">
        <v>53</v>
      </c>
      <c r="AQ4756">
        <v>0</v>
      </c>
      <c r="AR4756" t="s">
        <v>53</v>
      </c>
      <c r="AS4756">
        <v>0</v>
      </c>
      <c r="AT4756">
        <v>0</v>
      </c>
      <c r="AW4756" t="s">
        <v>172</v>
      </c>
      <c r="AX4756">
        <v>15</v>
      </c>
      <c r="AY4756" s="1">
        <v>43466</v>
      </c>
      <c r="AZ4756" s="1">
        <v>43466</v>
      </c>
      <c r="BA4756" s="1">
        <v>43466</v>
      </c>
      <c r="BB4756" s="1">
        <v>48945</v>
      </c>
      <c r="BC4756" t="s">
        <v>51</v>
      </c>
      <c r="BE4756" t="s">
        <v>54</v>
      </c>
      <c r="BF4756">
        <v>40</v>
      </c>
      <c r="BG4756">
        <v>0</v>
      </c>
      <c r="BH4756" t="s">
        <v>145</v>
      </c>
      <c r="CC4756" t="s">
        <v>250</v>
      </c>
      <c r="CD4756">
        <v>100000</v>
      </c>
      <c r="CE4756" s="1">
        <v>43466</v>
      </c>
      <c r="CF4756" s="1">
        <v>43466</v>
      </c>
      <c r="CG4756" s="1">
        <v>43466</v>
      </c>
      <c r="CH4756" s="1">
        <v>52445</v>
      </c>
      <c r="CI4756" t="s">
        <v>51</v>
      </c>
      <c r="CK4756" t="s">
        <v>78</v>
      </c>
      <c r="CM4756" t="s">
        <v>54</v>
      </c>
      <c r="CN4756" t="s">
        <v>174</v>
      </c>
      <c r="CR4756">
        <v>13.2</v>
      </c>
      <c r="CS4756">
        <v>1800</v>
      </c>
      <c r="CT4756">
        <v>0</v>
      </c>
      <c r="CU4756">
        <v>16</v>
      </c>
    </row>
    <row r="4757" spans="1:112" x14ac:dyDescent="0.2">
      <c r="A4757" t="s">
        <v>367</v>
      </c>
      <c r="B4757" t="s">
        <v>440</v>
      </c>
      <c r="C4757" t="s">
        <v>441</v>
      </c>
      <c r="D4757" t="s">
        <v>2144</v>
      </c>
      <c r="F4757" t="str">
        <f>"254223"</f>
        <v>254223</v>
      </c>
      <c r="G4757" t="s">
        <v>49</v>
      </c>
      <c r="I4757" t="s">
        <v>2145</v>
      </c>
      <c r="K4757" t="s">
        <v>51</v>
      </c>
      <c r="L4757" t="s">
        <v>52</v>
      </c>
      <c r="M4757">
        <v>138081.89000000001</v>
      </c>
      <c r="N4757">
        <v>468917.92</v>
      </c>
      <c r="O4757" t="s">
        <v>53</v>
      </c>
      <c r="P4757" t="s">
        <v>54</v>
      </c>
      <c r="Q4757" t="s">
        <v>55</v>
      </c>
      <c r="T4757" t="s">
        <v>246</v>
      </c>
      <c r="U4757">
        <v>40</v>
      </c>
      <c r="V4757" s="1">
        <v>43466</v>
      </c>
      <c r="W4757" s="1">
        <v>43466</v>
      </c>
      <c r="X4757" s="1">
        <v>43466</v>
      </c>
      <c r="Y4757" s="1">
        <v>58076</v>
      </c>
      <c r="Z4757" t="s">
        <v>51</v>
      </c>
      <c r="AB4757" t="s">
        <v>54</v>
      </c>
      <c r="AE4757" t="s">
        <v>1065</v>
      </c>
      <c r="AF4757">
        <v>20</v>
      </c>
      <c r="AG4757" s="1">
        <v>43466</v>
      </c>
      <c r="AH4757" s="1">
        <v>43466</v>
      </c>
      <c r="AI4757" s="1">
        <v>43466</v>
      </c>
      <c r="AJ4757" s="1">
        <v>50771</v>
      </c>
      <c r="AK4757" t="s">
        <v>51</v>
      </c>
      <c r="AN4757">
        <v>0</v>
      </c>
      <c r="AO4757" t="s">
        <v>54</v>
      </c>
      <c r="AP4757" t="s">
        <v>53</v>
      </c>
      <c r="AQ4757">
        <v>0</v>
      </c>
      <c r="AR4757" t="s">
        <v>53</v>
      </c>
      <c r="AS4757">
        <v>0</v>
      </c>
      <c r="AT4757">
        <v>0</v>
      </c>
      <c r="AW4757" t="s">
        <v>172</v>
      </c>
      <c r="AX4757">
        <v>15</v>
      </c>
      <c r="AY4757" s="1">
        <v>43466</v>
      </c>
      <c r="AZ4757" s="1">
        <v>43466</v>
      </c>
      <c r="BA4757" s="1">
        <v>43466</v>
      </c>
      <c r="BB4757" s="1">
        <v>48945</v>
      </c>
      <c r="BC4757" t="s">
        <v>51</v>
      </c>
      <c r="BE4757" t="s">
        <v>54</v>
      </c>
      <c r="BF4757">
        <v>40</v>
      </c>
      <c r="BG4757">
        <v>0</v>
      </c>
      <c r="BH4757" t="s">
        <v>145</v>
      </c>
      <c r="CC4757" t="s">
        <v>250</v>
      </c>
      <c r="CD4757">
        <v>100000</v>
      </c>
      <c r="CE4757" s="1">
        <v>43466</v>
      </c>
      <c r="CF4757" s="1">
        <v>43466</v>
      </c>
      <c r="CG4757" s="1">
        <v>43466</v>
      </c>
      <c r="CH4757" s="1">
        <v>52445</v>
      </c>
      <c r="CI4757" t="s">
        <v>51</v>
      </c>
      <c r="CK4757" t="s">
        <v>78</v>
      </c>
      <c r="CM4757" t="s">
        <v>54</v>
      </c>
      <c r="CN4757" t="s">
        <v>174</v>
      </c>
      <c r="CR4757">
        <v>13.2</v>
      </c>
      <c r="CS4757">
        <v>1800</v>
      </c>
      <c r="CT4757">
        <v>0</v>
      </c>
      <c r="CU4757">
        <v>16</v>
      </c>
    </row>
    <row r="4758" spans="1:112" x14ac:dyDescent="0.2">
      <c r="A4758" t="s">
        <v>367</v>
      </c>
      <c r="B4758" t="s">
        <v>440</v>
      </c>
      <c r="C4758" t="s">
        <v>441</v>
      </c>
      <c r="D4758" t="s">
        <v>2144</v>
      </c>
      <c r="F4758" t="str">
        <f>"254222"</f>
        <v>254222</v>
      </c>
      <c r="G4758" t="s">
        <v>49</v>
      </c>
      <c r="I4758" t="s">
        <v>2145</v>
      </c>
      <c r="K4758" t="s">
        <v>51</v>
      </c>
      <c r="L4758" t="s">
        <v>52</v>
      </c>
      <c r="M4758">
        <v>138075.41</v>
      </c>
      <c r="N4758">
        <v>468902.28</v>
      </c>
      <c r="O4758" t="s">
        <v>53</v>
      </c>
      <c r="P4758" t="s">
        <v>54</v>
      </c>
      <c r="Q4758" t="s">
        <v>55</v>
      </c>
      <c r="T4758" t="s">
        <v>246</v>
      </c>
      <c r="U4758">
        <v>40</v>
      </c>
      <c r="V4758" s="1">
        <v>43466</v>
      </c>
      <c r="W4758" s="1">
        <v>43466</v>
      </c>
      <c r="X4758" s="1">
        <v>43466</v>
      </c>
      <c r="Y4758" s="1">
        <v>58076</v>
      </c>
      <c r="Z4758" t="s">
        <v>51</v>
      </c>
      <c r="AB4758" t="s">
        <v>54</v>
      </c>
      <c r="AE4758" t="s">
        <v>1065</v>
      </c>
      <c r="AF4758">
        <v>20</v>
      </c>
      <c r="AG4758" s="1">
        <v>43466</v>
      </c>
      <c r="AH4758" s="1">
        <v>43466</v>
      </c>
      <c r="AI4758" s="1">
        <v>43466</v>
      </c>
      <c r="AJ4758" s="1">
        <v>50771</v>
      </c>
      <c r="AK4758" t="s">
        <v>51</v>
      </c>
      <c r="AN4758">
        <v>0</v>
      </c>
      <c r="AO4758" t="s">
        <v>54</v>
      </c>
      <c r="AP4758" t="s">
        <v>53</v>
      </c>
      <c r="AQ4758">
        <v>0</v>
      </c>
      <c r="AR4758" t="s">
        <v>53</v>
      </c>
      <c r="AS4758">
        <v>0</v>
      </c>
      <c r="AT4758">
        <v>0</v>
      </c>
      <c r="AW4758" t="s">
        <v>172</v>
      </c>
      <c r="AX4758">
        <v>15</v>
      </c>
      <c r="AY4758" s="1">
        <v>43466</v>
      </c>
      <c r="AZ4758" s="1">
        <v>43466</v>
      </c>
      <c r="BA4758" s="1">
        <v>43466</v>
      </c>
      <c r="BB4758" s="1">
        <v>48945</v>
      </c>
      <c r="BC4758" t="s">
        <v>51</v>
      </c>
      <c r="BE4758" t="s">
        <v>54</v>
      </c>
      <c r="BF4758">
        <v>40</v>
      </c>
      <c r="BG4758">
        <v>0</v>
      </c>
      <c r="BH4758" t="s">
        <v>145</v>
      </c>
      <c r="CC4758" t="s">
        <v>250</v>
      </c>
      <c r="CD4758">
        <v>100000</v>
      </c>
      <c r="CE4758" s="1">
        <v>43466</v>
      </c>
      <c r="CF4758" s="1">
        <v>43466</v>
      </c>
      <c r="CG4758" s="1">
        <v>43466</v>
      </c>
      <c r="CH4758" s="1">
        <v>52445</v>
      </c>
      <c r="CI4758" t="s">
        <v>51</v>
      </c>
      <c r="CK4758" t="s">
        <v>78</v>
      </c>
      <c r="CM4758" t="s">
        <v>54</v>
      </c>
      <c r="CN4758" t="s">
        <v>174</v>
      </c>
      <c r="CR4758">
        <v>13.2</v>
      </c>
      <c r="CS4758">
        <v>1800</v>
      </c>
      <c r="CT4758">
        <v>0</v>
      </c>
      <c r="CU4758">
        <v>16</v>
      </c>
    </row>
    <row r="4759" spans="1:112" x14ac:dyDescent="0.2">
      <c r="A4759" t="s">
        <v>367</v>
      </c>
      <c r="B4759" t="s">
        <v>368</v>
      </c>
      <c r="C4759" t="s">
        <v>369</v>
      </c>
      <c r="D4759" t="s">
        <v>2145</v>
      </c>
      <c r="F4759" t="str">
        <f>"254221"</f>
        <v>254221</v>
      </c>
      <c r="G4759" t="s">
        <v>49</v>
      </c>
      <c r="I4759" t="s">
        <v>2145</v>
      </c>
      <c r="K4759" t="s">
        <v>51</v>
      </c>
      <c r="L4759" t="s">
        <v>52</v>
      </c>
      <c r="M4759">
        <v>138087.18</v>
      </c>
      <c r="N4759">
        <v>468886.9</v>
      </c>
      <c r="O4759" t="s">
        <v>53</v>
      </c>
      <c r="P4759" t="s">
        <v>54</v>
      </c>
      <c r="Q4759" t="s">
        <v>55</v>
      </c>
      <c r="T4759" t="s">
        <v>246</v>
      </c>
      <c r="U4759">
        <v>40</v>
      </c>
      <c r="V4759" s="1">
        <v>43466</v>
      </c>
      <c r="W4759" s="1">
        <v>43466</v>
      </c>
      <c r="X4759" s="1">
        <v>43466</v>
      </c>
      <c r="Y4759" s="1">
        <v>58076</v>
      </c>
      <c r="Z4759" t="s">
        <v>51</v>
      </c>
      <c r="AB4759" t="s">
        <v>54</v>
      </c>
      <c r="AE4759" t="s">
        <v>1065</v>
      </c>
      <c r="AF4759">
        <v>20</v>
      </c>
      <c r="AG4759" s="1">
        <v>43466</v>
      </c>
      <c r="AH4759" s="1">
        <v>43466</v>
      </c>
      <c r="AI4759" s="1">
        <v>43466</v>
      </c>
      <c r="AJ4759" s="1">
        <v>50771</v>
      </c>
      <c r="AK4759" t="s">
        <v>51</v>
      </c>
      <c r="AN4759">
        <v>0</v>
      </c>
      <c r="AO4759" t="s">
        <v>54</v>
      </c>
      <c r="AP4759" t="s">
        <v>53</v>
      </c>
      <c r="AQ4759">
        <v>0</v>
      </c>
      <c r="AR4759" t="s">
        <v>53</v>
      </c>
      <c r="AS4759">
        <v>0</v>
      </c>
      <c r="AT4759">
        <v>0</v>
      </c>
      <c r="AW4759" t="s">
        <v>172</v>
      </c>
      <c r="AX4759">
        <v>15</v>
      </c>
      <c r="AY4759" s="1">
        <v>43466</v>
      </c>
      <c r="AZ4759" s="1">
        <v>43466</v>
      </c>
      <c r="BA4759" s="1">
        <v>43466</v>
      </c>
      <c r="BB4759" s="1">
        <v>48945</v>
      </c>
      <c r="BC4759" t="s">
        <v>51</v>
      </c>
      <c r="BE4759" t="s">
        <v>54</v>
      </c>
      <c r="BF4759">
        <v>40</v>
      </c>
      <c r="BG4759">
        <v>0</v>
      </c>
      <c r="BH4759" t="s">
        <v>145</v>
      </c>
      <c r="CC4759" t="s">
        <v>250</v>
      </c>
      <c r="CD4759">
        <v>100000</v>
      </c>
      <c r="CE4759" s="1">
        <v>43466</v>
      </c>
      <c r="CF4759" s="1">
        <v>43466</v>
      </c>
      <c r="CG4759" s="1">
        <v>43466</v>
      </c>
      <c r="CH4759" s="1">
        <v>52445</v>
      </c>
      <c r="CI4759" t="s">
        <v>51</v>
      </c>
      <c r="CK4759" t="s">
        <v>78</v>
      </c>
      <c r="CM4759" t="s">
        <v>54</v>
      </c>
      <c r="CN4759" t="s">
        <v>174</v>
      </c>
      <c r="CR4759">
        <v>13.2</v>
      </c>
      <c r="CS4759">
        <v>1800</v>
      </c>
      <c r="CT4759">
        <v>0</v>
      </c>
      <c r="CU4759">
        <v>16</v>
      </c>
    </row>
    <row r="4760" spans="1:112" x14ac:dyDescent="0.2">
      <c r="A4760" t="s">
        <v>367</v>
      </c>
      <c r="B4760" t="s">
        <v>368</v>
      </c>
      <c r="C4760" t="s">
        <v>369</v>
      </c>
      <c r="D4760" t="s">
        <v>2145</v>
      </c>
      <c r="F4760" t="str">
        <f>"254224"</f>
        <v>254224</v>
      </c>
      <c r="G4760" t="s">
        <v>49</v>
      </c>
      <c r="I4760" t="s">
        <v>2145</v>
      </c>
      <c r="K4760" t="s">
        <v>51</v>
      </c>
      <c r="L4760" t="s">
        <v>52</v>
      </c>
      <c r="M4760">
        <v>138070.97</v>
      </c>
      <c r="N4760">
        <v>468887.26</v>
      </c>
      <c r="O4760" t="s">
        <v>53</v>
      </c>
      <c r="P4760" t="s">
        <v>54</v>
      </c>
      <c r="Q4760" t="s">
        <v>55</v>
      </c>
      <c r="T4760" t="s">
        <v>246</v>
      </c>
      <c r="U4760">
        <v>40</v>
      </c>
      <c r="V4760" s="1">
        <v>43466</v>
      </c>
      <c r="W4760" s="1">
        <v>43466</v>
      </c>
      <c r="X4760" s="1">
        <v>43466</v>
      </c>
      <c r="Y4760" s="1">
        <v>58076</v>
      </c>
      <c r="Z4760" t="s">
        <v>51</v>
      </c>
      <c r="AB4760" t="s">
        <v>54</v>
      </c>
      <c r="AE4760" t="s">
        <v>1065</v>
      </c>
      <c r="AF4760">
        <v>20</v>
      </c>
      <c r="AG4760" s="1">
        <v>43466</v>
      </c>
      <c r="AH4760" s="1">
        <v>43466</v>
      </c>
      <c r="AI4760" s="1">
        <v>43466</v>
      </c>
      <c r="AJ4760" s="1">
        <v>50771</v>
      </c>
      <c r="AK4760" t="s">
        <v>51</v>
      </c>
      <c r="AN4760">
        <v>0</v>
      </c>
      <c r="AO4760" t="s">
        <v>54</v>
      </c>
      <c r="AP4760" t="s">
        <v>53</v>
      </c>
      <c r="AQ4760">
        <v>0</v>
      </c>
      <c r="AR4760" t="s">
        <v>53</v>
      </c>
      <c r="AS4760">
        <v>0</v>
      </c>
      <c r="AT4760">
        <v>0</v>
      </c>
      <c r="AW4760" t="s">
        <v>172</v>
      </c>
      <c r="AX4760">
        <v>15</v>
      </c>
      <c r="AY4760" s="1">
        <v>43466</v>
      </c>
      <c r="AZ4760" s="1">
        <v>43466</v>
      </c>
      <c r="BA4760" s="1">
        <v>43466</v>
      </c>
      <c r="BB4760" s="1">
        <v>48945</v>
      </c>
      <c r="BC4760" t="s">
        <v>51</v>
      </c>
      <c r="BE4760" t="s">
        <v>54</v>
      </c>
      <c r="BF4760">
        <v>40</v>
      </c>
      <c r="BG4760">
        <v>0</v>
      </c>
      <c r="BH4760" t="s">
        <v>145</v>
      </c>
      <c r="CC4760" t="s">
        <v>250</v>
      </c>
      <c r="CD4760">
        <v>100000</v>
      </c>
      <c r="CE4760" s="1">
        <v>43466</v>
      </c>
      <c r="CF4760" s="1">
        <v>43466</v>
      </c>
      <c r="CG4760" s="1">
        <v>43466</v>
      </c>
      <c r="CH4760" s="1">
        <v>52445</v>
      </c>
      <c r="CI4760" t="s">
        <v>51</v>
      </c>
      <c r="CK4760" t="s">
        <v>78</v>
      </c>
      <c r="CM4760" t="s">
        <v>54</v>
      </c>
      <c r="CN4760" t="s">
        <v>174</v>
      </c>
      <c r="CR4760">
        <v>13.2</v>
      </c>
      <c r="CS4760">
        <v>1800</v>
      </c>
      <c r="CT4760">
        <v>0</v>
      </c>
      <c r="CU4760">
        <v>16</v>
      </c>
    </row>
    <row r="4761" spans="1:112" x14ac:dyDescent="0.2">
      <c r="A4761" t="s">
        <v>367</v>
      </c>
      <c r="B4761" t="s">
        <v>368</v>
      </c>
      <c r="C4761" t="s">
        <v>369</v>
      </c>
      <c r="D4761" t="s">
        <v>2145</v>
      </c>
      <c r="F4761" t="str">
        <f>"254225"</f>
        <v>254225</v>
      </c>
      <c r="G4761" t="s">
        <v>49</v>
      </c>
      <c r="I4761" t="s">
        <v>2145</v>
      </c>
      <c r="K4761" t="s">
        <v>51</v>
      </c>
      <c r="L4761" t="s">
        <v>52</v>
      </c>
      <c r="M4761">
        <v>138058.34</v>
      </c>
      <c r="N4761">
        <v>468872.74</v>
      </c>
      <c r="O4761" t="s">
        <v>53</v>
      </c>
      <c r="P4761" t="s">
        <v>54</v>
      </c>
      <c r="Q4761" t="s">
        <v>55</v>
      </c>
      <c r="T4761" t="s">
        <v>246</v>
      </c>
      <c r="U4761">
        <v>40</v>
      </c>
      <c r="V4761" s="1">
        <v>43466</v>
      </c>
      <c r="W4761" s="1">
        <v>43466</v>
      </c>
      <c r="X4761" s="1">
        <v>43466</v>
      </c>
      <c r="Y4761" s="1">
        <v>58076</v>
      </c>
      <c r="Z4761" t="s">
        <v>51</v>
      </c>
      <c r="AB4761" t="s">
        <v>54</v>
      </c>
      <c r="AE4761" t="s">
        <v>1065</v>
      </c>
      <c r="AF4761">
        <v>20</v>
      </c>
      <c r="AG4761" s="1">
        <v>43466</v>
      </c>
      <c r="AH4761" s="1">
        <v>43466</v>
      </c>
      <c r="AI4761" s="1">
        <v>43466</v>
      </c>
      <c r="AJ4761" s="1">
        <v>50771</v>
      </c>
      <c r="AK4761" t="s">
        <v>51</v>
      </c>
      <c r="AN4761">
        <v>0</v>
      </c>
      <c r="AO4761" t="s">
        <v>54</v>
      </c>
      <c r="AP4761" t="s">
        <v>53</v>
      </c>
      <c r="AQ4761">
        <v>0</v>
      </c>
      <c r="AR4761" t="s">
        <v>53</v>
      </c>
      <c r="AS4761">
        <v>0</v>
      </c>
      <c r="AT4761">
        <v>0</v>
      </c>
      <c r="AW4761" t="s">
        <v>172</v>
      </c>
      <c r="AX4761">
        <v>15</v>
      </c>
      <c r="AY4761" s="1">
        <v>43466</v>
      </c>
      <c r="AZ4761" s="1">
        <v>43466</v>
      </c>
      <c r="BA4761" s="1">
        <v>43466</v>
      </c>
      <c r="BB4761" s="1">
        <v>48945</v>
      </c>
      <c r="BC4761" t="s">
        <v>51</v>
      </c>
      <c r="BE4761" t="s">
        <v>54</v>
      </c>
      <c r="BF4761">
        <v>40</v>
      </c>
      <c r="BG4761">
        <v>0</v>
      </c>
      <c r="BH4761" t="s">
        <v>145</v>
      </c>
      <c r="CC4761" t="s">
        <v>250</v>
      </c>
      <c r="CD4761">
        <v>100000</v>
      </c>
      <c r="CE4761" s="1">
        <v>43466</v>
      </c>
      <c r="CF4761" s="1">
        <v>43466</v>
      </c>
      <c r="CG4761" s="1">
        <v>43466</v>
      </c>
      <c r="CH4761" s="1">
        <v>52445</v>
      </c>
      <c r="CI4761" t="s">
        <v>51</v>
      </c>
      <c r="CK4761" t="s">
        <v>78</v>
      </c>
      <c r="CM4761" t="s">
        <v>54</v>
      </c>
      <c r="CN4761" t="s">
        <v>174</v>
      </c>
      <c r="CR4761">
        <v>13.2</v>
      </c>
      <c r="CS4761">
        <v>1800</v>
      </c>
      <c r="CT4761">
        <v>0</v>
      </c>
      <c r="CU4761">
        <v>16</v>
      </c>
    </row>
    <row r="4762" spans="1:112" x14ac:dyDescent="0.2">
      <c r="A4762" t="s">
        <v>367</v>
      </c>
      <c r="B4762" t="s">
        <v>368</v>
      </c>
      <c r="C4762" t="s">
        <v>369</v>
      </c>
      <c r="D4762" t="s">
        <v>2145</v>
      </c>
      <c r="F4762" t="str">
        <f>"254227"</f>
        <v>254227</v>
      </c>
      <c r="G4762" t="s">
        <v>49</v>
      </c>
      <c r="I4762" t="s">
        <v>2145</v>
      </c>
      <c r="K4762" t="s">
        <v>51</v>
      </c>
      <c r="L4762" t="s">
        <v>52</v>
      </c>
      <c r="M4762">
        <v>138072.88</v>
      </c>
      <c r="N4762">
        <v>468845.79</v>
      </c>
      <c r="O4762" t="s">
        <v>53</v>
      </c>
      <c r="P4762" t="s">
        <v>54</v>
      </c>
      <c r="Q4762" t="s">
        <v>55</v>
      </c>
      <c r="T4762" t="s">
        <v>246</v>
      </c>
      <c r="U4762">
        <v>40</v>
      </c>
      <c r="V4762" s="1">
        <v>43466</v>
      </c>
      <c r="W4762" s="1">
        <v>43466</v>
      </c>
      <c r="X4762" s="1">
        <v>43466</v>
      </c>
      <c r="Y4762" s="1">
        <v>58076</v>
      </c>
      <c r="Z4762" t="s">
        <v>51</v>
      </c>
      <c r="AB4762" t="s">
        <v>54</v>
      </c>
      <c r="AE4762" t="s">
        <v>1065</v>
      </c>
      <c r="AF4762">
        <v>20</v>
      </c>
      <c r="AG4762" s="1">
        <v>43466</v>
      </c>
      <c r="AH4762" s="1">
        <v>43466</v>
      </c>
      <c r="AI4762" s="1">
        <v>43466</v>
      </c>
      <c r="AJ4762" s="1">
        <v>50771</v>
      </c>
      <c r="AK4762" t="s">
        <v>51</v>
      </c>
      <c r="AN4762">
        <v>0</v>
      </c>
      <c r="AO4762" t="s">
        <v>54</v>
      </c>
      <c r="AP4762" t="s">
        <v>53</v>
      </c>
      <c r="AQ4762">
        <v>0</v>
      </c>
      <c r="AR4762" t="s">
        <v>53</v>
      </c>
      <c r="AS4762">
        <v>0</v>
      </c>
      <c r="AT4762">
        <v>0</v>
      </c>
      <c r="AW4762" t="s">
        <v>172</v>
      </c>
      <c r="AX4762">
        <v>15</v>
      </c>
      <c r="AY4762" s="1">
        <v>43466</v>
      </c>
      <c r="AZ4762" s="1">
        <v>43466</v>
      </c>
      <c r="BA4762" s="1">
        <v>43466</v>
      </c>
      <c r="BB4762" s="1">
        <v>48945</v>
      </c>
      <c r="BC4762" t="s">
        <v>51</v>
      </c>
      <c r="BE4762" t="s">
        <v>54</v>
      </c>
      <c r="BF4762">
        <v>40</v>
      </c>
      <c r="BG4762">
        <v>0</v>
      </c>
      <c r="BH4762" t="s">
        <v>145</v>
      </c>
      <c r="CC4762" t="s">
        <v>250</v>
      </c>
      <c r="CD4762">
        <v>100000</v>
      </c>
      <c r="CE4762" s="1">
        <v>43466</v>
      </c>
      <c r="CF4762" s="1">
        <v>43466</v>
      </c>
      <c r="CG4762" s="1">
        <v>43466</v>
      </c>
      <c r="CH4762" s="1">
        <v>52445</v>
      </c>
      <c r="CI4762" t="s">
        <v>51</v>
      </c>
      <c r="CK4762" t="s">
        <v>78</v>
      </c>
      <c r="CM4762" t="s">
        <v>54</v>
      </c>
      <c r="CN4762" t="s">
        <v>174</v>
      </c>
      <c r="CR4762">
        <v>13.2</v>
      </c>
      <c r="CS4762">
        <v>1800</v>
      </c>
      <c r="CT4762">
        <v>0</v>
      </c>
      <c r="CU4762">
        <v>16</v>
      </c>
    </row>
    <row r="4763" spans="1:112" x14ac:dyDescent="0.2">
      <c r="A4763" t="s">
        <v>367</v>
      </c>
      <c r="B4763" t="s">
        <v>368</v>
      </c>
      <c r="C4763" t="s">
        <v>369</v>
      </c>
      <c r="D4763" t="s">
        <v>2145</v>
      </c>
      <c r="F4763" t="str">
        <f>"254226"</f>
        <v>254226</v>
      </c>
      <c r="G4763" t="s">
        <v>49</v>
      </c>
      <c r="I4763" t="s">
        <v>2145</v>
      </c>
      <c r="K4763" t="s">
        <v>51</v>
      </c>
      <c r="L4763" t="s">
        <v>52</v>
      </c>
      <c r="M4763">
        <v>138065.53</v>
      </c>
      <c r="N4763">
        <v>468857.07</v>
      </c>
      <c r="O4763" t="s">
        <v>53</v>
      </c>
      <c r="P4763" t="s">
        <v>54</v>
      </c>
      <c r="Q4763" t="s">
        <v>55</v>
      </c>
      <c r="T4763" t="s">
        <v>246</v>
      </c>
      <c r="U4763">
        <v>40</v>
      </c>
      <c r="V4763" s="1">
        <v>43466</v>
      </c>
      <c r="W4763" s="1">
        <v>43466</v>
      </c>
      <c r="X4763" s="1">
        <v>43466</v>
      </c>
      <c r="Y4763" s="1">
        <v>58076</v>
      </c>
      <c r="Z4763" t="s">
        <v>51</v>
      </c>
      <c r="AB4763" t="s">
        <v>54</v>
      </c>
      <c r="AE4763" t="s">
        <v>1065</v>
      </c>
      <c r="AF4763">
        <v>20</v>
      </c>
      <c r="AG4763" s="1">
        <v>43466</v>
      </c>
      <c r="AH4763" s="1">
        <v>43466</v>
      </c>
      <c r="AI4763" s="1">
        <v>43466</v>
      </c>
      <c r="AJ4763" s="1">
        <v>50771</v>
      </c>
      <c r="AK4763" t="s">
        <v>51</v>
      </c>
      <c r="AN4763">
        <v>0</v>
      </c>
      <c r="AO4763" t="s">
        <v>54</v>
      </c>
      <c r="AP4763" t="s">
        <v>53</v>
      </c>
      <c r="AQ4763">
        <v>0</v>
      </c>
      <c r="AR4763" t="s">
        <v>53</v>
      </c>
      <c r="AS4763">
        <v>0</v>
      </c>
      <c r="AT4763">
        <v>0</v>
      </c>
      <c r="AW4763" t="s">
        <v>172</v>
      </c>
      <c r="AX4763">
        <v>15</v>
      </c>
      <c r="AY4763" s="1">
        <v>43466</v>
      </c>
      <c r="AZ4763" s="1">
        <v>43466</v>
      </c>
      <c r="BA4763" s="1">
        <v>43466</v>
      </c>
      <c r="BB4763" s="1">
        <v>48945</v>
      </c>
      <c r="BC4763" t="s">
        <v>51</v>
      </c>
      <c r="BE4763" t="s">
        <v>54</v>
      </c>
      <c r="BF4763">
        <v>40</v>
      </c>
      <c r="BG4763">
        <v>0</v>
      </c>
      <c r="BH4763" t="s">
        <v>145</v>
      </c>
      <c r="CC4763" t="s">
        <v>250</v>
      </c>
      <c r="CD4763">
        <v>100000</v>
      </c>
      <c r="CE4763" s="1">
        <v>43466</v>
      </c>
      <c r="CF4763" s="1">
        <v>43466</v>
      </c>
      <c r="CG4763" s="1">
        <v>43466</v>
      </c>
      <c r="CH4763" s="1">
        <v>52445</v>
      </c>
      <c r="CI4763" t="s">
        <v>51</v>
      </c>
      <c r="CK4763" t="s">
        <v>78</v>
      </c>
      <c r="CM4763" t="s">
        <v>54</v>
      </c>
      <c r="CN4763" t="s">
        <v>174</v>
      </c>
      <c r="CR4763">
        <v>13.2</v>
      </c>
      <c r="CS4763">
        <v>1800</v>
      </c>
      <c r="CT4763">
        <v>0</v>
      </c>
      <c r="CU4763">
        <v>16</v>
      </c>
    </row>
    <row r="4764" spans="1:112" x14ac:dyDescent="0.2">
      <c r="A4764" t="s">
        <v>367</v>
      </c>
      <c r="B4764" t="s">
        <v>368</v>
      </c>
      <c r="C4764" t="s">
        <v>369</v>
      </c>
      <c r="D4764" t="s">
        <v>2145</v>
      </c>
      <c r="F4764" t="str">
        <f>"254229"</f>
        <v>254229</v>
      </c>
      <c r="G4764" t="s">
        <v>49</v>
      </c>
      <c r="I4764" t="s">
        <v>2145</v>
      </c>
      <c r="K4764" t="s">
        <v>51</v>
      </c>
      <c r="L4764" t="s">
        <v>52</v>
      </c>
      <c r="M4764">
        <v>138052.20000000001</v>
      </c>
      <c r="N4764">
        <v>468841.83</v>
      </c>
      <c r="O4764" t="s">
        <v>53</v>
      </c>
      <c r="P4764" t="s">
        <v>54</v>
      </c>
      <c r="Q4764" t="s">
        <v>55</v>
      </c>
      <c r="T4764" t="s">
        <v>246</v>
      </c>
      <c r="U4764">
        <v>40</v>
      </c>
      <c r="V4764" s="1">
        <v>43466</v>
      </c>
      <c r="W4764" s="1">
        <v>43466</v>
      </c>
      <c r="X4764" s="1">
        <v>43466</v>
      </c>
      <c r="Y4764" s="1">
        <v>58076</v>
      </c>
      <c r="Z4764" t="s">
        <v>51</v>
      </c>
      <c r="AB4764" t="s">
        <v>54</v>
      </c>
      <c r="AE4764" t="s">
        <v>1065</v>
      </c>
      <c r="AF4764">
        <v>20</v>
      </c>
      <c r="AG4764" s="1">
        <v>43466</v>
      </c>
      <c r="AH4764" s="1">
        <v>43466</v>
      </c>
      <c r="AI4764" s="1">
        <v>43466</v>
      </c>
      <c r="AJ4764" s="1">
        <v>50771</v>
      </c>
      <c r="AK4764" t="s">
        <v>51</v>
      </c>
      <c r="AN4764">
        <v>0</v>
      </c>
      <c r="AO4764" t="s">
        <v>54</v>
      </c>
      <c r="AP4764" t="s">
        <v>53</v>
      </c>
      <c r="AQ4764">
        <v>0</v>
      </c>
      <c r="AR4764" t="s">
        <v>53</v>
      </c>
      <c r="AS4764">
        <v>0</v>
      </c>
      <c r="AT4764">
        <v>0</v>
      </c>
      <c r="AW4764" t="s">
        <v>172</v>
      </c>
      <c r="AX4764">
        <v>15</v>
      </c>
      <c r="AY4764" s="1">
        <v>43466</v>
      </c>
      <c r="AZ4764" s="1">
        <v>43466</v>
      </c>
      <c r="BA4764" s="1">
        <v>43466</v>
      </c>
      <c r="BB4764" s="1">
        <v>48945</v>
      </c>
      <c r="BC4764" t="s">
        <v>51</v>
      </c>
      <c r="BE4764" t="s">
        <v>54</v>
      </c>
      <c r="BF4764">
        <v>40</v>
      </c>
      <c r="BG4764">
        <v>0</v>
      </c>
      <c r="BH4764" t="s">
        <v>145</v>
      </c>
      <c r="CC4764" t="s">
        <v>250</v>
      </c>
      <c r="CD4764">
        <v>100000</v>
      </c>
      <c r="CE4764" s="1">
        <v>43466</v>
      </c>
      <c r="CF4764" s="1">
        <v>43466</v>
      </c>
      <c r="CG4764" s="1">
        <v>43466</v>
      </c>
      <c r="CH4764" s="1">
        <v>52445</v>
      </c>
      <c r="CI4764" t="s">
        <v>51</v>
      </c>
      <c r="CK4764" t="s">
        <v>78</v>
      </c>
      <c r="CM4764" t="s">
        <v>54</v>
      </c>
      <c r="CN4764" t="s">
        <v>174</v>
      </c>
      <c r="CR4764">
        <v>13.2</v>
      </c>
      <c r="CS4764">
        <v>1800</v>
      </c>
      <c r="CT4764">
        <v>0</v>
      </c>
      <c r="CU4764">
        <v>16</v>
      </c>
    </row>
    <row r="4765" spans="1:112" x14ac:dyDescent="0.2">
      <c r="A4765" t="s">
        <v>367</v>
      </c>
      <c r="B4765" t="s">
        <v>368</v>
      </c>
      <c r="C4765" t="s">
        <v>369</v>
      </c>
      <c r="D4765" t="s">
        <v>2145</v>
      </c>
      <c r="F4765" t="str">
        <f>"254230"</f>
        <v>254230</v>
      </c>
      <c r="G4765" t="s">
        <v>49</v>
      </c>
      <c r="I4765" t="s">
        <v>2145</v>
      </c>
      <c r="K4765" t="s">
        <v>51</v>
      </c>
      <c r="L4765" t="s">
        <v>52</v>
      </c>
      <c r="M4765">
        <v>138033.44</v>
      </c>
      <c r="N4765">
        <v>468836.77</v>
      </c>
      <c r="O4765" t="s">
        <v>53</v>
      </c>
      <c r="P4765" t="s">
        <v>54</v>
      </c>
      <c r="Q4765" t="s">
        <v>55</v>
      </c>
      <c r="T4765" t="s">
        <v>246</v>
      </c>
      <c r="U4765">
        <v>40</v>
      </c>
      <c r="V4765" s="1">
        <v>43466</v>
      </c>
      <c r="W4765" s="1">
        <v>43466</v>
      </c>
      <c r="X4765" s="1">
        <v>43466</v>
      </c>
      <c r="Y4765" s="1">
        <v>58076</v>
      </c>
      <c r="Z4765" t="s">
        <v>51</v>
      </c>
      <c r="AB4765" t="s">
        <v>54</v>
      </c>
      <c r="AE4765" t="s">
        <v>1065</v>
      </c>
      <c r="AF4765">
        <v>20</v>
      </c>
      <c r="AG4765" s="1">
        <v>43466</v>
      </c>
      <c r="AH4765" s="1">
        <v>43466</v>
      </c>
      <c r="AI4765" s="1">
        <v>43466</v>
      </c>
      <c r="AJ4765" s="1">
        <v>50771</v>
      </c>
      <c r="AK4765" t="s">
        <v>51</v>
      </c>
      <c r="AN4765">
        <v>0</v>
      </c>
      <c r="AO4765" t="s">
        <v>54</v>
      </c>
      <c r="AP4765" t="s">
        <v>53</v>
      </c>
      <c r="AQ4765">
        <v>0</v>
      </c>
      <c r="AR4765" t="s">
        <v>53</v>
      </c>
      <c r="AS4765">
        <v>0</v>
      </c>
      <c r="AT4765">
        <v>0</v>
      </c>
      <c r="AW4765" t="s">
        <v>172</v>
      </c>
      <c r="AX4765">
        <v>15</v>
      </c>
      <c r="AY4765" s="1">
        <v>43466</v>
      </c>
      <c r="AZ4765" s="1">
        <v>43466</v>
      </c>
      <c r="BA4765" s="1">
        <v>43466</v>
      </c>
      <c r="BB4765" s="1">
        <v>48945</v>
      </c>
      <c r="BC4765" t="s">
        <v>51</v>
      </c>
      <c r="BE4765" t="s">
        <v>54</v>
      </c>
      <c r="BF4765">
        <v>40</v>
      </c>
      <c r="BG4765">
        <v>0</v>
      </c>
      <c r="BH4765" t="s">
        <v>145</v>
      </c>
      <c r="CC4765" t="s">
        <v>250</v>
      </c>
      <c r="CD4765">
        <v>100000</v>
      </c>
      <c r="CE4765" s="1">
        <v>43466</v>
      </c>
      <c r="CF4765" s="1">
        <v>43466</v>
      </c>
      <c r="CG4765" s="1">
        <v>43466</v>
      </c>
      <c r="CH4765" s="1">
        <v>52445</v>
      </c>
      <c r="CI4765" t="s">
        <v>51</v>
      </c>
      <c r="CK4765" t="s">
        <v>78</v>
      </c>
      <c r="CM4765" t="s">
        <v>54</v>
      </c>
      <c r="CN4765" t="s">
        <v>174</v>
      </c>
      <c r="CR4765">
        <v>13.2</v>
      </c>
      <c r="CS4765">
        <v>1800</v>
      </c>
      <c r="CT4765">
        <v>0</v>
      </c>
      <c r="CU4765">
        <v>16</v>
      </c>
    </row>
    <row r="4766" spans="1:112" x14ac:dyDescent="0.2">
      <c r="A4766" t="s">
        <v>367</v>
      </c>
      <c r="B4766" t="s">
        <v>368</v>
      </c>
      <c r="C4766" t="s">
        <v>369</v>
      </c>
      <c r="D4766" t="s">
        <v>2145</v>
      </c>
      <c r="F4766" t="str">
        <f>"254231"</f>
        <v>254231</v>
      </c>
      <c r="G4766" t="s">
        <v>49</v>
      </c>
      <c r="I4766" t="s">
        <v>2145</v>
      </c>
      <c r="K4766" t="s">
        <v>51</v>
      </c>
      <c r="L4766" t="s">
        <v>52</v>
      </c>
      <c r="M4766">
        <v>138009.14000000001</v>
      </c>
      <c r="N4766">
        <v>468828.01</v>
      </c>
      <c r="O4766" t="s">
        <v>53</v>
      </c>
      <c r="P4766" t="s">
        <v>54</v>
      </c>
      <c r="Q4766" t="s">
        <v>55</v>
      </c>
      <c r="T4766" t="s">
        <v>246</v>
      </c>
      <c r="U4766">
        <v>40</v>
      </c>
      <c r="V4766" s="1">
        <v>43466</v>
      </c>
      <c r="W4766" s="1">
        <v>43466</v>
      </c>
      <c r="X4766" s="1">
        <v>43466</v>
      </c>
      <c r="Y4766" s="1">
        <v>58076</v>
      </c>
      <c r="Z4766" t="s">
        <v>51</v>
      </c>
      <c r="AB4766" t="s">
        <v>54</v>
      </c>
      <c r="AE4766" t="s">
        <v>1065</v>
      </c>
      <c r="AF4766">
        <v>20</v>
      </c>
      <c r="AG4766" s="1">
        <v>43466</v>
      </c>
      <c r="AH4766" s="1">
        <v>43466</v>
      </c>
      <c r="AI4766" s="1">
        <v>43466</v>
      </c>
      <c r="AJ4766" s="1">
        <v>50771</v>
      </c>
      <c r="AK4766" t="s">
        <v>51</v>
      </c>
      <c r="AN4766">
        <v>0</v>
      </c>
      <c r="AO4766" t="s">
        <v>54</v>
      </c>
      <c r="AP4766" t="s">
        <v>53</v>
      </c>
      <c r="AQ4766">
        <v>0</v>
      </c>
      <c r="AR4766" t="s">
        <v>53</v>
      </c>
      <c r="AS4766">
        <v>0</v>
      </c>
      <c r="AT4766">
        <v>0</v>
      </c>
      <c r="AW4766" t="s">
        <v>172</v>
      </c>
      <c r="AX4766">
        <v>15</v>
      </c>
      <c r="AY4766" s="1">
        <v>43466</v>
      </c>
      <c r="AZ4766" s="1">
        <v>43466</v>
      </c>
      <c r="BA4766" s="1">
        <v>43466</v>
      </c>
      <c r="BB4766" s="1">
        <v>48945</v>
      </c>
      <c r="BC4766" t="s">
        <v>51</v>
      </c>
      <c r="BE4766" t="s">
        <v>54</v>
      </c>
      <c r="BF4766">
        <v>40</v>
      </c>
      <c r="BG4766">
        <v>0</v>
      </c>
      <c r="BH4766" t="s">
        <v>145</v>
      </c>
      <c r="CC4766" t="s">
        <v>250</v>
      </c>
      <c r="CD4766">
        <v>100000</v>
      </c>
      <c r="CE4766" s="1">
        <v>43466</v>
      </c>
      <c r="CF4766" s="1">
        <v>43466</v>
      </c>
      <c r="CG4766" s="1">
        <v>43466</v>
      </c>
      <c r="CH4766" s="1">
        <v>52445</v>
      </c>
      <c r="CI4766" t="s">
        <v>51</v>
      </c>
      <c r="CK4766" t="s">
        <v>78</v>
      </c>
      <c r="CM4766" t="s">
        <v>54</v>
      </c>
      <c r="CN4766" t="s">
        <v>174</v>
      </c>
      <c r="CR4766">
        <v>13.2</v>
      </c>
      <c r="CS4766">
        <v>1800</v>
      </c>
      <c r="CT4766">
        <v>0</v>
      </c>
      <c r="CU4766">
        <v>16</v>
      </c>
    </row>
    <row r="4767" spans="1:112" x14ac:dyDescent="0.2">
      <c r="A4767" t="s">
        <v>367</v>
      </c>
      <c r="B4767" t="s">
        <v>368</v>
      </c>
      <c r="C4767" t="s">
        <v>369</v>
      </c>
      <c r="D4767" t="s">
        <v>2145</v>
      </c>
      <c r="F4767" t="str">
        <f>"254232"</f>
        <v>254232</v>
      </c>
      <c r="G4767" t="s">
        <v>49</v>
      </c>
      <c r="I4767" t="s">
        <v>2145</v>
      </c>
      <c r="K4767" t="s">
        <v>51</v>
      </c>
      <c r="L4767" t="s">
        <v>52</v>
      </c>
      <c r="M4767">
        <v>137984.59</v>
      </c>
      <c r="N4767">
        <v>468821.53</v>
      </c>
      <c r="O4767" t="s">
        <v>53</v>
      </c>
      <c r="P4767" t="s">
        <v>54</v>
      </c>
      <c r="Q4767" t="s">
        <v>55</v>
      </c>
      <c r="T4767" t="s">
        <v>246</v>
      </c>
      <c r="U4767">
        <v>40</v>
      </c>
      <c r="V4767" s="1">
        <v>43466</v>
      </c>
      <c r="W4767" s="1">
        <v>43466</v>
      </c>
      <c r="X4767" s="1">
        <v>43466</v>
      </c>
      <c r="Y4767" s="1">
        <v>58076</v>
      </c>
      <c r="Z4767" t="s">
        <v>51</v>
      </c>
      <c r="AB4767" t="s">
        <v>54</v>
      </c>
      <c r="AE4767" t="s">
        <v>1065</v>
      </c>
      <c r="AF4767">
        <v>20</v>
      </c>
      <c r="AG4767" s="1">
        <v>43466</v>
      </c>
      <c r="AH4767" s="1">
        <v>43466</v>
      </c>
      <c r="AI4767" s="1">
        <v>43466</v>
      </c>
      <c r="AJ4767" s="1">
        <v>50771</v>
      </c>
      <c r="AK4767" t="s">
        <v>51</v>
      </c>
      <c r="AN4767">
        <v>0</v>
      </c>
      <c r="AO4767" t="s">
        <v>54</v>
      </c>
      <c r="AP4767" t="s">
        <v>53</v>
      </c>
      <c r="AQ4767">
        <v>0</v>
      </c>
      <c r="AR4767" t="s">
        <v>53</v>
      </c>
      <c r="AS4767">
        <v>0</v>
      </c>
      <c r="AT4767">
        <v>0</v>
      </c>
      <c r="AW4767" t="s">
        <v>172</v>
      </c>
      <c r="AX4767">
        <v>15</v>
      </c>
      <c r="AY4767" s="1">
        <v>43466</v>
      </c>
      <c r="AZ4767" s="1">
        <v>43466</v>
      </c>
      <c r="BA4767" s="1">
        <v>43466</v>
      </c>
      <c r="BB4767" s="1">
        <v>48945</v>
      </c>
      <c r="BC4767" t="s">
        <v>51</v>
      </c>
      <c r="BE4767" t="s">
        <v>54</v>
      </c>
      <c r="BF4767">
        <v>40</v>
      </c>
      <c r="BG4767">
        <v>0</v>
      </c>
      <c r="BH4767" t="s">
        <v>145</v>
      </c>
      <c r="CC4767" t="s">
        <v>250</v>
      </c>
      <c r="CD4767">
        <v>100000</v>
      </c>
      <c r="CE4767" s="1">
        <v>43466</v>
      </c>
      <c r="CF4767" s="1">
        <v>43466</v>
      </c>
      <c r="CG4767" s="1">
        <v>43466</v>
      </c>
      <c r="CH4767" s="1">
        <v>52445</v>
      </c>
      <c r="CI4767" t="s">
        <v>51</v>
      </c>
      <c r="CK4767" t="s">
        <v>78</v>
      </c>
      <c r="CM4767" t="s">
        <v>54</v>
      </c>
      <c r="CN4767" t="s">
        <v>174</v>
      </c>
      <c r="CR4767">
        <v>13.2</v>
      </c>
      <c r="CS4767">
        <v>1800</v>
      </c>
      <c r="CT4767">
        <v>0</v>
      </c>
      <c r="CU4767">
        <v>16</v>
      </c>
    </row>
    <row r="4768" spans="1:112" x14ac:dyDescent="0.2">
      <c r="A4768" t="s">
        <v>112</v>
      </c>
      <c r="B4768" t="s">
        <v>113</v>
      </c>
      <c r="C4768" t="s">
        <v>114</v>
      </c>
      <c r="D4768" t="s">
        <v>2066</v>
      </c>
      <c r="F4768" t="str">
        <f>"253941"</f>
        <v>253941</v>
      </c>
      <c r="G4768" t="s">
        <v>49</v>
      </c>
      <c r="K4768" t="s">
        <v>51</v>
      </c>
      <c r="L4768" t="s">
        <v>52</v>
      </c>
      <c r="M4768">
        <v>136823.09</v>
      </c>
      <c r="N4768">
        <v>473442.64</v>
      </c>
      <c r="O4768" t="s">
        <v>53</v>
      </c>
      <c r="P4768" t="s">
        <v>54</v>
      </c>
      <c r="Q4768" t="s">
        <v>55</v>
      </c>
      <c r="T4768" t="s">
        <v>269</v>
      </c>
      <c r="U4768">
        <v>40</v>
      </c>
      <c r="V4768" s="1">
        <v>42430</v>
      </c>
      <c r="W4768" s="1">
        <v>42430</v>
      </c>
      <c r="X4768" s="1">
        <v>42430</v>
      </c>
      <c r="Y4768" s="1">
        <v>57040</v>
      </c>
      <c r="Z4768" t="s">
        <v>51</v>
      </c>
      <c r="AB4768" t="s">
        <v>54</v>
      </c>
      <c r="AE4768" t="s">
        <v>2085</v>
      </c>
      <c r="AF4768">
        <v>20</v>
      </c>
      <c r="AG4768" s="1">
        <v>42430</v>
      </c>
      <c r="AH4768" s="1">
        <v>42430</v>
      </c>
      <c r="AI4768" s="1">
        <v>42430</v>
      </c>
      <c r="AJ4768" s="1">
        <v>49735</v>
      </c>
      <c r="AK4768" t="s">
        <v>51</v>
      </c>
      <c r="AN4768">
        <v>4</v>
      </c>
      <c r="AO4768" t="s">
        <v>54</v>
      </c>
      <c r="AP4768" t="s">
        <v>53</v>
      </c>
      <c r="AQ4768">
        <v>0</v>
      </c>
      <c r="AR4768" t="s">
        <v>53</v>
      </c>
      <c r="AS4768">
        <v>0</v>
      </c>
      <c r="AT4768">
        <v>0</v>
      </c>
      <c r="AW4768" t="s">
        <v>58</v>
      </c>
      <c r="AX4768">
        <v>20</v>
      </c>
      <c r="AY4768" s="1">
        <v>42430</v>
      </c>
      <c r="AZ4768" s="1">
        <v>42430</v>
      </c>
      <c r="BA4768" s="1">
        <v>42430</v>
      </c>
      <c r="BB4768" s="1">
        <v>49735</v>
      </c>
      <c r="BC4768" t="s">
        <v>51</v>
      </c>
      <c r="BE4768" t="s">
        <v>54</v>
      </c>
      <c r="BF4768">
        <v>2</v>
      </c>
      <c r="BG4768">
        <v>0</v>
      </c>
      <c r="BH4768" t="s">
        <v>53</v>
      </c>
      <c r="BK4768" t="s">
        <v>59</v>
      </c>
      <c r="BL4768">
        <v>14000</v>
      </c>
      <c r="BM4768" s="1">
        <v>42430</v>
      </c>
      <c r="BN4768" s="1">
        <v>42430</v>
      </c>
      <c r="BO4768" s="1">
        <v>42430</v>
      </c>
      <c r="BP4768" s="1">
        <v>43633</v>
      </c>
      <c r="BQ4768" t="s">
        <v>51</v>
      </c>
      <c r="BS4768" t="s">
        <v>60</v>
      </c>
      <c r="BT4768" t="s">
        <v>54</v>
      </c>
      <c r="BU4768" t="s">
        <v>61</v>
      </c>
      <c r="BV4768" t="s">
        <v>62</v>
      </c>
      <c r="BX4768">
        <v>24</v>
      </c>
      <c r="BY4768">
        <v>0</v>
      </c>
      <c r="BZ4768">
        <v>0</v>
      </c>
      <c r="CX4768" t="s">
        <v>674</v>
      </c>
      <c r="CY4768">
        <v>0</v>
      </c>
      <c r="CZ4768" s="1">
        <v>42430</v>
      </c>
      <c r="DA4768" s="1">
        <v>42430</v>
      </c>
      <c r="DB4768" s="1">
        <v>42430</v>
      </c>
      <c r="DC4768" s="1">
        <v>42430</v>
      </c>
      <c r="DD4768" t="s">
        <v>51</v>
      </c>
      <c r="DF4768" t="s">
        <v>54</v>
      </c>
      <c r="DG4768">
        <v>0</v>
      </c>
      <c r="DH4768">
        <v>0</v>
      </c>
    </row>
    <row r="4769" spans="1:112" x14ac:dyDescent="0.2">
      <c r="A4769" t="s">
        <v>1012</v>
      </c>
      <c r="B4769" t="s">
        <v>1013</v>
      </c>
      <c r="C4769" t="s">
        <v>1052</v>
      </c>
      <c r="D4769" t="s">
        <v>2146</v>
      </c>
      <c r="F4769" t="str">
        <f>"254424"</f>
        <v>254424</v>
      </c>
      <c r="G4769" t="s">
        <v>49</v>
      </c>
      <c r="I4769" t="s">
        <v>2147</v>
      </c>
      <c r="K4769" t="s">
        <v>51</v>
      </c>
      <c r="L4769" t="s">
        <v>52</v>
      </c>
      <c r="M4769">
        <v>131986.23000000001</v>
      </c>
      <c r="N4769">
        <v>473884.51</v>
      </c>
      <c r="O4769" t="s">
        <v>53</v>
      </c>
      <c r="P4769" t="s">
        <v>54</v>
      </c>
      <c r="Q4769" t="s">
        <v>55</v>
      </c>
      <c r="T4769" t="s">
        <v>100</v>
      </c>
      <c r="U4769">
        <v>40</v>
      </c>
      <c r="V4769" s="1">
        <v>44244</v>
      </c>
      <c r="W4769" s="1">
        <v>44244</v>
      </c>
      <c r="X4769" s="1">
        <v>44244</v>
      </c>
      <c r="Y4769" s="1">
        <v>58854</v>
      </c>
      <c r="Z4769" t="s">
        <v>51</v>
      </c>
      <c r="AB4769" t="s">
        <v>54</v>
      </c>
      <c r="AE4769" t="s">
        <v>819</v>
      </c>
      <c r="AF4769">
        <v>20</v>
      </c>
      <c r="AG4769" s="1">
        <v>44244</v>
      </c>
      <c r="AH4769" s="1">
        <v>44244</v>
      </c>
      <c r="AI4769" s="1">
        <v>44244</v>
      </c>
      <c r="AJ4769" s="1">
        <v>51549</v>
      </c>
      <c r="AK4769" t="s">
        <v>51</v>
      </c>
      <c r="AN4769">
        <v>0</v>
      </c>
      <c r="AO4769" t="s">
        <v>54</v>
      </c>
      <c r="AP4769" t="s">
        <v>53</v>
      </c>
      <c r="AQ4769">
        <v>0</v>
      </c>
      <c r="AR4769" t="s">
        <v>53</v>
      </c>
      <c r="AS4769">
        <v>0</v>
      </c>
      <c r="AT4769">
        <v>0</v>
      </c>
      <c r="BK4769" t="s">
        <v>720</v>
      </c>
      <c r="BL4769">
        <v>17000</v>
      </c>
      <c r="BM4769" s="1">
        <v>44244</v>
      </c>
      <c r="BN4769" s="1">
        <v>44244</v>
      </c>
      <c r="BO4769" s="1">
        <v>44244</v>
      </c>
      <c r="BP4769" s="1">
        <v>45766</v>
      </c>
      <c r="BQ4769" t="s">
        <v>51</v>
      </c>
      <c r="BS4769" t="s">
        <v>78</v>
      </c>
      <c r="BT4769" t="s">
        <v>54</v>
      </c>
      <c r="BU4769" t="s">
        <v>721</v>
      </c>
      <c r="BV4769" t="s">
        <v>722</v>
      </c>
      <c r="BX4769">
        <v>18</v>
      </c>
      <c r="BY4769">
        <v>0</v>
      </c>
      <c r="BZ4769">
        <v>0</v>
      </c>
    </row>
    <row r="4770" spans="1:112" x14ac:dyDescent="0.2">
      <c r="A4770" t="s">
        <v>1012</v>
      </c>
      <c r="B4770" t="s">
        <v>1013</v>
      </c>
      <c r="C4770" t="s">
        <v>1052</v>
      </c>
      <c r="D4770" t="s">
        <v>2146</v>
      </c>
      <c r="F4770" t="str">
        <f>"254425"</f>
        <v>254425</v>
      </c>
      <c r="G4770" t="s">
        <v>49</v>
      </c>
      <c r="I4770" t="s">
        <v>2147</v>
      </c>
      <c r="K4770" t="s">
        <v>51</v>
      </c>
      <c r="L4770" t="s">
        <v>52</v>
      </c>
      <c r="M4770">
        <v>131989.28</v>
      </c>
      <c r="N4770">
        <v>473909.54</v>
      </c>
      <c r="O4770" t="s">
        <v>53</v>
      </c>
      <c r="P4770" t="s">
        <v>54</v>
      </c>
      <c r="Q4770" t="s">
        <v>55</v>
      </c>
      <c r="T4770" t="s">
        <v>100</v>
      </c>
      <c r="U4770">
        <v>40</v>
      </c>
      <c r="V4770" s="1">
        <v>44244</v>
      </c>
      <c r="W4770" s="1">
        <v>44244</v>
      </c>
      <c r="X4770" s="1">
        <v>44244</v>
      </c>
      <c r="Y4770" s="1">
        <v>58854</v>
      </c>
      <c r="Z4770" t="s">
        <v>51</v>
      </c>
      <c r="AB4770" t="s">
        <v>54</v>
      </c>
      <c r="AE4770" t="s">
        <v>819</v>
      </c>
      <c r="AF4770">
        <v>20</v>
      </c>
      <c r="AG4770" s="1">
        <v>44244</v>
      </c>
      <c r="AH4770" s="1">
        <v>44244</v>
      </c>
      <c r="AI4770" s="1">
        <v>44244</v>
      </c>
      <c r="AJ4770" s="1">
        <v>51549</v>
      </c>
      <c r="AK4770" t="s">
        <v>51</v>
      </c>
      <c r="AN4770">
        <v>0</v>
      </c>
      <c r="AO4770" t="s">
        <v>54</v>
      </c>
      <c r="AP4770" t="s">
        <v>53</v>
      </c>
      <c r="AQ4770">
        <v>0</v>
      </c>
      <c r="AR4770" t="s">
        <v>53</v>
      </c>
      <c r="AS4770">
        <v>0</v>
      </c>
      <c r="AT4770">
        <v>0</v>
      </c>
      <c r="BK4770" t="s">
        <v>720</v>
      </c>
      <c r="BL4770">
        <v>17000</v>
      </c>
      <c r="BM4770" s="1">
        <v>44244</v>
      </c>
      <c r="BN4770" s="1">
        <v>44244</v>
      </c>
      <c r="BO4770" s="1">
        <v>44244</v>
      </c>
      <c r="BP4770" s="1">
        <v>45766</v>
      </c>
      <c r="BQ4770" t="s">
        <v>51</v>
      </c>
      <c r="BS4770" t="s">
        <v>78</v>
      </c>
      <c r="BT4770" t="s">
        <v>54</v>
      </c>
      <c r="BU4770" t="s">
        <v>721</v>
      </c>
      <c r="BV4770" t="s">
        <v>722</v>
      </c>
      <c r="BX4770">
        <v>18</v>
      </c>
      <c r="BY4770">
        <v>0</v>
      </c>
      <c r="BZ4770">
        <v>0</v>
      </c>
    </row>
    <row r="4771" spans="1:112" x14ac:dyDescent="0.2">
      <c r="A4771" t="s">
        <v>1012</v>
      </c>
      <c r="B4771" t="s">
        <v>1013</v>
      </c>
      <c r="C4771" t="s">
        <v>1052</v>
      </c>
      <c r="D4771" t="s">
        <v>2146</v>
      </c>
      <c r="F4771" t="str">
        <f>"254426"</f>
        <v>254426</v>
      </c>
      <c r="G4771" t="s">
        <v>49</v>
      </c>
      <c r="I4771" t="s">
        <v>2147</v>
      </c>
      <c r="K4771" t="s">
        <v>51</v>
      </c>
      <c r="L4771" t="s">
        <v>52</v>
      </c>
      <c r="M4771">
        <v>131993.87</v>
      </c>
      <c r="N4771">
        <v>473927.87</v>
      </c>
      <c r="O4771" t="s">
        <v>53</v>
      </c>
      <c r="P4771" t="s">
        <v>54</v>
      </c>
      <c r="Q4771" t="s">
        <v>55</v>
      </c>
      <c r="T4771" t="s">
        <v>100</v>
      </c>
      <c r="U4771">
        <v>40</v>
      </c>
      <c r="V4771" s="1">
        <v>44244</v>
      </c>
      <c r="W4771" s="1">
        <v>44244</v>
      </c>
      <c r="X4771" s="1">
        <v>44244</v>
      </c>
      <c r="Y4771" s="1">
        <v>58854</v>
      </c>
      <c r="Z4771" t="s">
        <v>51</v>
      </c>
      <c r="AB4771" t="s">
        <v>54</v>
      </c>
      <c r="AE4771" t="s">
        <v>819</v>
      </c>
      <c r="AF4771">
        <v>20</v>
      </c>
      <c r="AG4771" s="1">
        <v>44244</v>
      </c>
      <c r="AH4771" s="1">
        <v>44244</v>
      </c>
      <c r="AI4771" s="1">
        <v>44244</v>
      </c>
      <c r="AJ4771" s="1">
        <v>51549</v>
      </c>
      <c r="AK4771" t="s">
        <v>51</v>
      </c>
      <c r="AN4771">
        <v>0</v>
      </c>
      <c r="AO4771" t="s">
        <v>54</v>
      </c>
      <c r="AP4771" t="s">
        <v>53</v>
      </c>
      <c r="AQ4771">
        <v>0</v>
      </c>
      <c r="AR4771" t="s">
        <v>53</v>
      </c>
      <c r="AS4771">
        <v>0</v>
      </c>
      <c r="AT4771">
        <v>0</v>
      </c>
      <c r="BK4771" t="s">
        <v>720</v>
      </c>
      <c r="BL4771">
        <v>17000</v>
      </c>
      <c r="BM4771" s="1">
        <v>44244</v>
      </c>
      <c r="BN4771" s="1">
        <v>44244</v>
      </c>
      <c r="BO4771" s="1">
        <v>44244</v>
      </c>
      <c r="BP4771" s="1">
        <v>45766</v>
      </c>
      <c r="BQ4771" t="s">
        <v>51</v>
      </c>
      <c r="BS4771" t="s">
        <v>78</v>
      </c>
      <c r="BT4771" t="s">
        <v>54</v>
      </c>
      <c r="BU4771" t="s">
        <v>721</v>
      </c>
      <c r="BV4771" t="s">
        <v>722</v>
      </c>
      <c r="BX4771">
        <v>18</v>
      </c>
      <c r="BY4771">
        <v>0</v>
      </c>
      <c r="BZ4771">
        <v>0</v>
      </c>
    </row>
    <row r="4772" spans="1:112" x14ac:dyDescent="0.2">
      <c r="A4772" t="s">
        <v>1012</v>
      </c>
      <c r="B4772" t="s">
        <v>1013</v>
      </c>
      <c r="C4772" t="s">
        <v>1052</v>
      </c>
      <c r="D4772" t="s">
        <v>2146</v>
      </c>
      <c r="F4772" t="str">
        <f>"254427"</f>
        <v>254427</v>
      </c>
      <c r="G4772" t="s">
        <v>49</v>
      </c>
      <c r="I4772" t="s">
        <v>2147</v>
      </c>
      <c r="K4772" t="s">
        <v>51</v>
      </c>
      <c r="L4772" t="s">
        <v>52</v>
      </c>
      <c r="M4772">
        <v>131973.49</v>
      </c>
      <c r="N4772">
        <v>473931.46</v>
      </c>
      <c r="O4772" t="s">
        <v>53</v>
      </c>
      <c r="P4772" t="s">
        <v>54</v>
      </c>
      <c r="Q4772" t="s">
        <v>55</v>
      </c>
      <c r="T4772" t="s">
        <v>100</v>
      </c>
      <c r="U4772">
        <v>40</v>
      </c>
      <c r="V4772" s="1">
        <v>44244</v>
      </c>
      <c r="W4772" s="1">
        <v>44244</v>
      </c>
      <c r="X4772" s="1">
        <v>44244</v>
      </c>
      <c r="Y4772" s="1">
        <v>58854</v>
      </c>
      <c r="Z4772" t="s">
        <v>51</v>
      </c>
      <c r="AB4772" t="s">
        <v>54</v>
      </c>
      <c r="AE4772" t="s">
        <v>819</v>
      </c>
      <c r="AF4772">
        <v>20</v>
      </c>
      <c r="AG4772" s="1">
        <v>44244</v>
      </c>
      <c r="AH4772" s="1">
        <v>44244</v>
      </c>
      <c r="AI4772" s="1">
        <v>44244</v>
      </c>
      <c r="AJ4772" s="1">
        <v>51549</v>
      </c>
      <c r="AK4772" t="s">
        <v>51</v>
      </c>
      <c r="AN4772">
        <v>0</v>
      </c>
      <c r="AO4772" t="s">
        <v>54</v>
      </c>
      <c r="AP4772" t="s">
        <v>53</v>
      </c>
      <c r="AQ4772">
        <v>0</v>
      </c>
      <c r="AR4772" t="s">
        <v>53</v>
      </c>
      <c r="AS4772">
        <v>0</v>
      </c>
      <c r="AT4772">
        <v>0</v>
      </c>
      <c r="BK4772" t="s">
        <v>720</v>
      </c>
      <c r="BL4772">
        <v>17000</v>
      </c>
      <c r="BM4772" s="1">
        <v>44244</v>
      </c>
      <c r="BN4772" s="1">
        <v>44244</v>
      </c>
      <c r="BO4772" s="1">
        <v>44244</v>
      </c>
      <c r="BP4772" s="1">
        <v>45766</v>
      </c>
      <c r="BQ4772" t="s">
        <v>51</v>
      </c>
      <c r="BS4772" t="s">
        <v>78</v>
      </c>
      <c r="BT4772" t="s">
        <v>54</v>
      </c>
      <c r="BU4772" t="s">
        <v>721</v>
      </c>
      <c r="BV4772" t="s">
        <v>722</v>
      </c>
      <c r="BX4772">
        <v>18</v>
      </c>
      <c r="BY4772">
        <v>0</v>
      </c>
      <c r="BZ4772">
        <v>0</v>
      </c>
    </row>
    <row r="4773" spans="1:112" x14ac:dyDescent="0.2">
      <c r="A4773" t="s">
        <v>1012</v>
      </c>
      <c r="B4773" t="s">
        <v>1013</v>
      </c>
      <c r="C4773" t="s">
        <v>1052</v>
      </c>
      <c r="D4773" t="s">
        <v>2146</v>
      </c>
      <c r="F4773" t="str">
        <f>"254423"</f>
        <v>254423</v>
      </c>
      <c r="G4773" t="s">
        <v>49</v>
      </c>
      <c r="I4773" t="s">
        <v>2147</v>
      </c>
      <c r="K4773" t="s">
        <v>51</v>
      </c>
      <c r="L4773" t="s">
        <v>52</v>
      </c>
      <c r="M4773">
        <v>131986.85</v>
      </c>
      <c r="N4773">
        <v>473863.59</v>
      </c>
      <c r="O4773" t="s">
        <v>53</v>
      </c>
      <c r="P4773" t="s">
        <v>54</v>
      </c>
      <c r="Q4773" t="s">
        <v>55</v>
      </c>
      <c r="T4773" t="s">
        <v>100</v>
      </c>
      <c r="U4773">
        <v>40</v>
      </c>
      <c r="V4773" s="1">
        <v>44244</v>
      </c>
      <c r="W4773" s="1">
        <v>44244</v>
      </c>
      <c r="X4773" s="1">
        <v>44244</v>
      </c>
      <c r="Y4773" s="1">
        <v>58854</v>
      </c>
      <c r="Z4773" t="s">
        <v>51</v>
      </c>
      <c r="AB4773" t="s">
        <v>54</v>
      </c>
      <c r="AE4773" t="s">
        <v>819</v>
      </c>
      <c r="AF4773">
        <v>20</v>
      </c>
      <c r="AG4773" s="1">
        <v>44244</v>
      </c>
      <c r="AH4773" s="1">
        <v>44244</v>
      </c>
      <c r="AI4773" s="1">
        <v>44244</v>
      </c>
      <c r="AJ4773" s="1">
        <v>51549</v>
      </c>
      <c r="AK4773" t="s">
        <v>51</v>
      </c>
      <c r="AN4773">
        <v>0</v>
      </c>
      <c r="AO4773" t="s">
        <v>54</v>
      </c>
      <c r="AP4773" t="s">
        <v>53</v>
      </c>
      <c r="AQ4773">
        <v>0</v>
      </c>
      <c r="AR4773" t="s">
        <v>53</v>
      </c>
      <c r="AS4773">
        <v>0</v>
      </c>
      <c r="AT4773">
        <v>0</v>
      </c>
      <c r="BK4773" t="s">
        <v>720</v>
      </c>
      <c r="BL4773">
        <v>17000</v>
      </c>
      <c r="BM4773" s="1">
        <v>44244</v>
      </c>
      <c r="BN4773" s="1">
        <v>44244</v>
      </c>
      <c r="BO4773" s="1">
        <v>44244</v>
      </c>
      <c r="BP4773" s="1">
        <v>45766</v>
      </c>
      <c r="BQ4773" t="s">
        <v>51</v>
      </c>
      <c r="BS4773" t="s">
        <v>78</v>
      </c>
      <c r="BT4773" t="s">
        <v>54</v>
      </c>
      <c r="BU4773" t="s">
        <v>721</v>
      </c>
      <c r="BV4773" t="s">
        <v>722</v>
      </c>
      <c r="BX4773">
        <v>18</v>
      </c>
      <c r="BY4773">
        <v>0</v>
      </c>
      <c r="BZ4773">
        <v>0</v>
      </c>
    </row>
    <row r="4774" spans="1:112" x14ac:dyDescent="0.2">
      <c r="A4774" t="s">
        <v>1012</v>
      </c>
      <c r="B4774" t="s">
        <v>1013</v>
      </c>
      <c r="C4774" t="s">
        <v>1052</v>
      </c>
      <c r="D4774" t="s">
        <v>2146</v>
      </c>
      <c r="F4774" t="str">
        <f>"254428"</f>
        <v>254428</v>
      </c>
      <c r="G4774" t="s">
        <v>49</v>
      </c>
      <c r="I4774" t="s">
        <v>2147</v>
      </c>
      <c r="K4774" t="s">
        <v>51</v>
      </c>
      <c r="L4774" t="s">
        <v>52</v>
      </c>
      <c r="M4774">
        <v>131951.01</v>
      </c>
      <c r="N4774">
        <v>473931.86</v>
      </c>
      <c r="O4774" t="s">
        <v>53</v>
      </c>
      <c r="P4774" t="s">
        <v>54</v>
      </c>
      <c r="Q4774" t="s">
        <v>55</v>
      </c>
      <c r="T4774" t="s">
        <v>100</v>
      </c>
      <c r="U4774">
        <v>40</v>
      </c>
      <c r="V4774" s="1">
        <v>44244</v>
      </c>
      <c r="W4774" s="1">
        <v>44244</v>
      </c>
      <c r="X4774" s="1">
        <v>44244</v>
      </c>
      <c r="Y4774" s="1">
        <v>58854</v>
      </c>
      <c r="Z4774" t="s">
        <v>51</v>
      </c>
      <c r="AB4774" t="s">
        <v>54</v>
      </c>
      <c r="AE4774" t="s">
        <v>819</v>
      </c>
      <c r="AF4774">
        <v>20</v>
      </c>
      <c r="AG4774" s="1">
        <v>44244</v>
      </c>
      <c r="AH4774" s="1">
        <v>44244</v>
      </c>
      <c r="AI4774" s="1">
        <v>44244</v>
      </c>
      <c r="AJ4774" s="1">
        <v>51549</v>
      </c>
      <c r="AK4774" t="s">
        <v>51</v>
      </c>
      <c r="AN4774">
        <v>0</v>
      </c>
      <c r="AO4774" t="s">
        <v>54</v>
      </c>
      <c r="AP4774" t="s">
        <v>53</v>
      </c>
      <c r="AQ4774">
        <v>0</v>
      </c>
      <c r="AR4774" t="s">
        <v>53</v>
      </c>
      <c r="AS4774">
        <v>0</v>
      </c>
      <c r="AT4774">
        <v>0</v>
      </c>
      <c r="BK4774" t="s">
        <v>720</v>
      </c>
      <c r="BL4774">
        <v>17000</v>
      </c>
      <c r="BM4774" s="1">
        <v>44244</v>
      </c>
      <c r="BN4774" s="1">
        <v>44244</v>
      </c>
      <c r="BO4774" s="1">
        <v>44244</v>
      </c>
      <c r="BP4774" s="1">
        <v>45766</v>
      </c>
      <c r="BQ4774" t="s">
        <v>51</v>
      </c>
      <c r="BS4774" t="s">
        <v>78</v>
      </c>
      <c r="BT4774" t="s">
        <v>54</v>
      </c>
      <c r="BU4774" t="s">
        <v>721</v>
      </c>
      <c r="BV4774" t="s">
        <v>722</v>
      </c>
      <c r="BX4774">
        <v>18</v>
      </c>
      <c r="BY4774">
        <v>0</v>
      </c>
      <c r="BZ4774">
        <v>0</v>
      </c>
    </row>
    <row r="4775" spans="1:112" x14ac:dyDescent="0.2">
      <c r="A4775" t="s">
        <v>1012</v>
      </c>
      <c r="B4775" t="s">
        <v>1013</v>
      </c>
      <c r="C4775" t="s">
        <v>1052</v>
      </c>
      <c r="D4775" t="s">
        <v>2146</v>
      </c>
      <c r="F4775" t="str">
        <f>"254429"</f>
        <v>254429</v>
      </c>
      <c r="G4775" t="s">
        <v>49</v>
      </c>
      <c r="I4775" t="s">
        <v>2147</v>
      </c>
      <c r="K4775" t="s">
        <v>51</v>
      </c>
      <c r="L4775" t="s">
        <v>52</v>
      </c>
      <c r="M4775">
        <v>131931.10999999999</v>
      </c>
      <c r="N4775">
        <v>473936.97</v>
      </c>
      <c r="O4775" t="s">
        <v>53</v>
      </c>
      <c r="P4775" t="s">
        <v>54</v>
      </c>
      <c r="Q4775" t="s">
        <v>55</v>
      </c>
      <c r="T4775" t="s">
        <v>100</v>
      </c>
      <c r="U4775">
        <v>40</v>
      </c>
      <c r="V4775" s="1">
        <v>44244</v>
      </c>
      <c r="W4775" s="1">
        <v>44244</v>
      </c>
      <c r="X4775" s="1">
        <v>44244</v>
      </c>
      <c r="Y4775" s="1">
        <v>58854</v>
      </c>
      <c r="Z4775" t="s">
        <v>51</v>
      </c>
      <c r="AB4775" t="s">
        <v>54</v>
      </c>
      <c r="AE4775" t="s">
        <v>819</v>
      </c>
      <c r="AF4775">
        <v>20</v>
      </c>
      <c r="AG4775" s="1">
        <v>44244</v>
      </c>
      <c r="AH4775" s="1">
        <v>44244</v>
      </c>
      <c r="AI4775" s="1">
        <v>44244</v>
      </c>
      <c r="AJ4775" s="1">
        <v>51549</v>
      </c>
      <c r="AK4775" t="s">
        <v>51</v>
      </c>
      <c r="AN4775">
        <v>0</v>
      </c>
      <c r="AO4775" t="s">
        <v>54</v>
      </c>
      <c r="AP4775" t="s">
        <v>53</v>
      </c>
      <c r="AQ4775">
        <v>0</v>
      </c>
      <c r="AR4775" t="s">
        <v>53</v>
      </c>
      <c r="AS4775">
        <v>0</v>
      </c>
      <c r="AT4775">
        <v>0</v>
      </c>
      <c r="BK4775" t="s">
        <v>720</v>
      </c>
      <c r="BL4775">
        <v>17000</v>
      </c>
      <c r="BM4775" s="1">
        <v>44244</v>
      </c>
      <c r="BN4775" s="1">
        <v>44244</v>
      </c>
      <c r="BO4775" s="1">
        <v>44244</v>
      </c>
      <c r="BP4775" s="1">
        <v>45766</v>
      </c>
      <c r="BQ4775" t="s">
        <v>51</v>
      </c>
      <c r="BS4775" t="s">
        <v>78</v>
      </c>
      <c r="BT4775" t="s">
        <v>54</v>
      </c>
      <c r="BU4775" t="s">
        <v>721</v>
      </c>
      <c r="BV4775" t="s">
        <v>722</v>
      </c>
      <c r="BX4775">
        <v>18</v>
      </c>
      <c r="BY4775">
        <v>0</v>
      </c>
      <c r="BZ4775">
        <v>0</v>
      </c>
    </row>
    <row r="4776" spans="1:112" x14ac:dyDescent="0.2">
      <c r="A4776" t="s">
        <v>1012</v>
      </c>
      <c r="B4776" t="s">
        <v>1013</v>
      </c>
      <c r="C4776" t="s">
        <v>1052</v>
      </c>
      <c r="D4776" t="s">
        <v>2146</v>
      </c>
      <c r="F4776" t="str">
        <f>"254431"</f>
        <v>254431</v>
      </c>
      <c r="G4776" t="s">
        <v>49</v>
      </c>
      <c r="I4776" t="s">
        <v>2147</v>
      </c>
      <c r="K4776" t="s">
        <v>51</v>
      </c>
      <c r="L4776" t="s">
        <v>52</v>
      </c>
      <c r="M4776">
        <v>131927.74</v>
      </c>
      <c r="N4776">
        <v>473956.61</v>
      </c>
      <c r="O4776" t="s">
        <v>53</v>
      </c>
      <c r="P4776" t="s">
        <v>54</v>
      </c>
      <c r="Q4776" t="s">
        <v>55</v>
      </c>
      <c r="T4776" t="s">
        <v>100</v>
      </c>
      <c r="U4776">
        <v>40</v>
      </c>
      <c r="V4776" s="1">
        <v>44244</v>
      </c>
      <c r="W4776" s="1">
        <v>44244</v>
      </c>
      <c r="X4776" s="1">
        <v>44244</v>
      </c>
      <c r="Y4776" s="1">
        <v>58854</v>
      </c>
      <c r="Z4776" t="s">
        <v>51</v>
      </c>
      <c r="AB4776" t="s">
        <v>54</v>
      </c>
      <c r="AE4776" t="s">
        <v>819</v>
      </c>
      <c r="AF4776">
        <v>20</v>
      </c>
      <c r="AG4776" s="1">
        <v>44244</v>
      </c>
      <c r="AH4776" s="1">
        <v>44244</v>
      </c>
      <c r="AI4776" s="1">
        <v>44244</v>
      </c>
      <c r="AJ4776" s="1">
        <v>51549</v>
      </c>
      <c r="AK4776" t="s">
        <v>51</v>
      </c>
      <c r="AN4776">
        <v>0</v>
      </c>
      <c r="AO4776" t="s">
        <v>54</v>
      </c>
      <c r="AP4776" t="s">
        <v>53</v>
      </c>
      <c r="AQ4776">
        <v>0</v>
      </c>
      <c r="AR4776" t="s">
        <v>53</v>
      </c>
      <c r="AS4776">
        <v>0</v>
      </c>
      <c r="AT4776">
        <v>0</v>
      </c>
      <c r="BK4776" t="s">
        <v>720</v>
      </c>
      <c r="BL4776">
        <v>17000</v>
      </c>
      <c r="BM4776" s="1">
        <v>44244</v>
      </c>
      <c r="BN4776" s="1">
        <v>44244</v>
      </c>
      <c r="BO4776" s="1">
        <v>44244</v>
      </c>
      <c r="BP4776" s="1">
        <v>45766</v>
      </c>
      <c r="BQ4776" t="s">
        <v>51</v>
      </c>
      <c r="BS4776" t="s">
        <v>78</v>
      </c>
      <c r="BT4776" t="s">
        <v>54</v>
      </c>
      <c r="BU4776" t="s">
        <v>721</v>
      </c>
      <c r="BV4776" t="s">
        <v>722</v>
      </c>
      <c r="BX4776">
        <v>18</v>
      </c>
      <c r="BY4776">
        <v>0</v>
      </c>
      <c r="BZ4776">
        <v>0</v>
      </c>
    </row>
    <row r="4777" spans="1:112" x14ac:dyDescent="0.2">
      <c r="A4777" t="s">
        <v>1012</v>
      </c>
      <c r="B4777" t="s">
        <v>1013</v>
      </c>
      <c r="C4777" t="s">
        <v>1052</v>
      </c>
      <c r="D4777" t="s">
        <v>2146</v>
      </c>
      <c r="F4777" t="str">
        <f>"254432"</f>
        <v>254432</v>
      </c>
      <c r="G4777" t="s">
        <v>49</v>
      </c>
      <c r="I4777" t="s">
        <v>2147</v>
      </c>
      <c r="K4777" t="s">
        <v>51</v>
      </c>
      <c r="L4777" t="s">
        <v>52</v>
      </c>
      <c r="M4777">
        <v>131908.25</v>
      </c>
      <c r="N4777">
        <v>473961.41</v>
      </c>
      <c r="O4777" t="s">
        <v>53</v>
      </c>
      <c r="P4777" t="s">
        <v>54</v>
      </c>
      <c r="Q4777" t="s">
        <v>55</v>
      </c>
      <c r="T4777" t="s">
        <v>100</v>
      </c>
      <c r="U4777">
        <v>40</v>
      </c>
      <c r="V4777" s="1">
        <v>44244</v>
      </c>
      <c r="W4777" s="1">
        <v>44244</v>
      </c>
      <c r="X4777" s="1">
        <v>44244</v>
      </c>
      <c r="Y4777" s="1">
        <v>58854</v>
      </c>
      <c r="Z4777" t="s">
        <v>51</v>
      </c>
      <c r="AB4777" t="s">
        <v>54</v>
      </c>
      <c r="AE4777" t="s">
        <v>819</v>
      </c>
      <c r="AF4777">
        <v>20</v>
      </c>
      <c r="AG4777" s="1">
        <v>44244</v>
      </c>
      <c r="AH4777" s="1">
        <v>44244</v>
      </c>
      <c r="AI4777" s="1">
        <v>44244</v>
      </c>
      <c r="AJ4777" s="1">
        <v>51549</v>
      </c>
      <c r="AK4777" t="s">
        <v>51</v>
      </c>
      <c r="AN4777">
        <v>0</v>
      </c>
      <c r="AO4777" t="s">
        <v>54</v>
      </c>
      <c r="AP4777" t="s">
        <v>53</v>
      </c>
      <c r="AQ4777">
        <v>0</v>
      </c>
      <c r="AR4777" t="s">
        <v>53</v>
      </c>
      <c r="AS4777">
        <v>0</v>
      </c>
      <c r="AT4777">
        <v>0</v>
      </c>
      <c r="BK4777" t="s">
        <v>720</v>
      </c>
      <c r="BL4777">
        <v>17000</v>
      </c>
      <c r="BM4777" s="1">
        <v>44244</v>
      </c>
      <c r="BN4777" s="1">
        <v>44244</v>
      </c>
      <c r="BO4777" s="1">
        <v>44244</v>
      </c>
      <c r="BP4777" s="1">
        <v>45766</v>
      </c>
      <c r="BQ4777" t="s">
        <v>51</v>
      </c>
      <c r="BS4777" t="s">
        <v>78</v>
      </c>
      <c r="BT4777" t="s">
        <v>54</v>
      </c>
      <c r="BU4777" t="s">
        <v>721</v>
      </c>
      <c r="BV4777" t="s">
        <v>722</v>
      </c>
      <c r="BX4777">
        <v>18</v>
      </c>
      <c r="BY4777">
        <v>0</v>
      </c>
      <c r="BZ4777">
        <v>0</v>
      </c>
    </row>
    <row r="4778" spans="1:112" x14ac:dyDescent="0.2">
      <c r="A4778" t="s">
        <v>1012</v>
      </c>
      <c r="B4778" t="s">
        <v>1013</v>
      </c>
      <c r="C4778" t="s">
        <v>1052</v>
      </c>
      <c r="D4778" t="s">
        <v>2146</v>
      </c>
      <c r="F4778" t="str">
        <f>"254430"</f>
        <v>254430</v>
      </c>
      <c r="G4778" t="s">
        <v>49</v>
      </c>
      <c r="I4778" t="s">
        <v>2147</v>
      </c>
      <c r="K4778" t="s">
        <v>51</v>
      </c>
      <c r="L4778" t="s">
        <v>52</v>
      </c>
      <c r="M4778">
        <v>131926.39000000001</v>
      </c>
      <c r="N4778">
        <v>473917.96</v>
      </c>
      <c r="O4778" t="s">
        <v>53</v>
      </c>
      <c r="P4778" t="s">
        <v>54</v>
      </c>
      <c r="Q4778" t="s">
        <v>55</v>
      </c>
      <c r="T4778" t="s">
        <v>100</v>
      </c>
      <c r="U4778">
        <v>40</v>
      </c>
      <c r="V4778" s="1">
        <v>44244</v>
      </c>
      <c r="W4778" s="1">
        <v>44244</v>
      </c>
      <c r="X4778" s="1">
        <v>44244</v>
      </c>
      <c r="Y4778" s="1">
        <v>58854</v>
      </c>
      <c r="Z4778" t="s">
        <v>51</v>
      </c>
      <c r="AB4778" t="s">
        <v>54</v>
      </c>
      <c r="AE4778" t="s">
        <v>819</v>
      </c>
      <c r="AF4778">
        <v>20</v>
      </c>
      <c r="AG4778" s="1">
        <v>44244</v>
      </c>
      <c r="AH4778" s="1">
        <v>44244</v>
      </c>
      <c r="AI4778" s="1">
        <v>44244</v>
      </c>
      <c r="AJ4778" s="1">
        <v>51549</v>
      </c>
      <c r="AK4778" t="s">
        <v>51</v>
      </c>
      <c r="AN4778">
        <v>0</v>
      </c>
      <c r="AO4778" t="s">
        <v>54</v>
      </c>
      <c r="AP4778" t="s">
        <v>53</v>
      </c>
      <c r="AQ4778">
        <v>0</v>
      </c>
      <c r="AR4778" t="s">
        <v>53</v>
      </c>
      <c r="AS4778">
        <v>0</v>
      </c>
      <c r="AT4778">
        <v>0</v>
      </c>
      <c r="BK4778" t="s">
        <v>720</v>
      </c>
      <c r="BL4778">
        <v>17000</v>
      </c>
      <c r="BM4778" s="1">
        <v>44244</v>
      </c>
      <c r="BN4778" s="1">
        <v>44244</v>
      </c>
      <c r="BO4778" s="1">
        <v>44244</v>
      </c>
      <c r="BP4778" s="1">
        <v>45766</v>
      </c>
      <c r="BQ4778" t="s">
        <v>51</v>
      </c>
      <c r="BS4778" t="s">
        <v>78</v>
      </c>
      <c r="BT4778" t="s">
        <v>54</v>
      </c>
      <c r="BU4778" t="s">
        <v>721</v>
      </c>
      <c r="BV4778" t="s">
        <v>722</v>
      </c>
      <c r="BX4778">
        <v>18</v>
      </c>
      <c r="BY4778">
        <v>0</v>
      </c>
      <c r="BZ4778">
        <v>0</v>
      </c>
    </row>
    <row r="4779" spans="1:112" x14ac:dyDescent="0.2">
      <c r="A4779" t="s">
        <v>1012</v>
      </c>
      <c r="B4779" t="s">
        <v>1013</v>
      </c>
      <c r="C4779" t="s">
        <v>1019</v>
      </c>
      <c r="D4779" t="s">
        <v>1063</v>
      </c>
      <c r="F4779" t="str">
        <f>"254215"</f>
        <v>254215</v>
      </c>
      <c r="G4779" t="s">
        <v>49</v>
      </c>
      <c r="H4779" t="s">
        <v>2148</v>
      </c>
      <c r="K4779" t="s">
        <v>51</v>
      </c>
      <c r="L4779" t="s">
        <v>52</v>
      </c>
      <c r="M4779">
        <v>131743.34</v>
      </c>
      <c r="N4779">
        <v>473854.96</v>
      </c>
      <c r="O4779" t="s">
        <v>53</v>
      </c>
      <c r="P4779" t="s">
        <v>54</v>
      </c>
      <c r="Q4779" t="s">
        <v>55</v>
      </c>
      <c r="T4779" t="s">
        <v>246</v>
      </c>
      <c r="U4779">
        <v>40</v>
      </c>
      <c r="V4779" s="1">
        <v>43009</v>
      </c>
      <c r="W4779" s="1">
        <v>43009</v>
      </c>
      <c r="X4779" s="1">
        <v>43009</v>
      </c>
      <c r="Y4779" s="1">
        <v>57619</v>
      </c>
      <c r="Z4779" t="s">
        <v>51</v>
      </c>
      <c r="AB4779" t="s">
        <v>54</v>
      </c>
      <c r="AE4779" t="s">
        <v>1065</v>
      </c>
      <c r="AF4779">
        <v>20</v>
      </c>
      <c r="AG4779" s="1">
        <v>43009</v>
      </c>
      <c r="AH4779" s="1">
        <v>43009</v>
      </c>
      <c r="AI4779" s="1">
        <v>43009</v>
      </c>
      <c r="AJ4779" s="1">
        <v>50314</v>
      </c>
      <c r="AK4779" t="s">
        <v>51</v>
      </c>
      <c r="AN4779">
        <v>0</v>
      </c>
      <c r="AO4779" t="s">
        <v>54</v>
      </c>
      <c r="AP4779" t="s">
        <v>53</v>
      </c>
      <c r="AQ4779">
        <v>0</v>
      </c>
      <c r="AR4779" t="s">
        <v>53</v>
      </c>
      <c r="AS4779">
        <v>0</v>
      </c>
      <c r="AT4779">
        <v>0</v>
      </c>
      <c r="AW4779" t="s">
        <v>172</v>
      </c>
      <c r="AX4779">
        <v>15</v>
      </c>
      <c r="AY4779" s="1">
        <v>43009</v>
      </c>
      <c r="AZ4779" s="1">
        <v>43009</v>
      </c>
      <c r="BA4779" s="1">
        <v>43009</v>
      </c>
      <c r="BB4779" s="1">
        <v>48488</v>
      </c>
      <c r="BC4779" t="s">
        <v>51</v>
      </c>
      <c r="BE4779" t="s">
        <v>54</v>
      </c>
      <c r="BF4779">
        <v>40</v>
      </c>
      <c r="BG4779">
        <v>0</v>
      </c>
      <c r="BH4779" t="s">
        <v>145</v>
      </c>
      <c r="CC4779" t="s">
        <v>1066</v>
      </c>
      <c r="CD4779">
        <v>100000</v>
      </c>
      <c r="CE4779" s="1">
        <v>43009</v>
      </c>
      <c r="CF4779" s="1">
        <v>43009</v>
      </c>
      <c r="CG4779" s="1">
        <v>43009</v>
      </c>
      <c r="CH4779" s="1">
        <v>51921</v>
      </c>
      <c r="CI4779" t="s">
        <v>51</v>
      </c>
      <c r="CK4779" t="s">
        <v>78</v>
      </c>
      <c r="CM4779" t="s">
        <v>54</v>
      </c>
      <c r="CN4779" t="s">
        <v>174</v>
      </c>
      <c r="CR4779">
        <v>11</v>
      </c>
      <c r="CS4779">
        <v>1600</v>
      </c>
      <c r="CT4779">
        <v>0</v>
      </c>
      <c r="CU4779">
        <v>16</v>
      </c>
      <c r="CX4779" t="s">
        <v>360</v>
      </c>
      <c r="CY4779">
        <v>40</v>
      </c>
      <c r="CZ4779" s="1">
        <v>43009</v>
      </c>
      <c r="DA4779" s="1">
        <v>43009</v>
      </c>
      <c r="DB4779" s="1">
        <v>43009</v>
      </c>
      <c r="DC4779" s="1">
        <v>57619</v>
      </c>
      <c r="DD4779" t="s">
        <v>51</v>
      </c>
      <c r="DF4779" t="s">
        <v>54</v>
      </c>
      <c r="DG4779">
        <v>0</v>
      </c>
      <c r="DH4779">
        <v>0</v>
      </c>
    </row>
    <row r="4780" spans="1:112" x14ac:dyDescent="0.2">
      <c r="A4780" t="s">
        <v>1012</v>
      </c>
      <c r="B4780" t="s">
        <v>1013</v>
      </c>
      <c r="C4780" t="s">
        <v>1019</v>
      </c>
      <c r="D4780" t="s">
        <v>1116</v>
      </c>
      <c r="F4780" t="str">
        <f>"252188"</f>
        <v>252188</v>
      </c>
      <c r="G4780" t="s">
        <v>49</v>
      </c>
      <c r="H4780" t="s">
        <v>2149</v>
      </c>
      <c r="K4780" t="s">
        <v>51</v>
      </c>
      <c r="L4780" t="s">
        <v>52</v>
      </c>
      <c r="M4780">
        <v>132675.9</v>
      </c>
      <c r="N4780">
        <v>477178.69</v>
      </c>
      <c r="O4780" t="s">
        <v>53</v>
      </c>
      <c r="P4780" t="s">
        <v>54</v>
      </c>
      <c r="Q4780" t="s">
        <v>55</v>
      </c>
      <c r="T4780" t="s">
        <v>1118</v>
      </c>
      <c r="U4780">
        <v>40</v>
      </c>
      <c r="V4780" s="1">
        <v>29526</v>
      </c>
      <c r="W4780" s="1">
        <v>29526</v>
      </c>
      <c r="X4780" s="1">
        <v>29526</v>
      </c>
      <c r="Y4780" s="1">
        <v>44136</v>
      </c>
      <c r="Z4780" t="s">
        <v>51</v>
      </c>
      <c r="AB4780" t="s">
        <v>54</v>
      </c>
      <c r="AE4780" t="s">
        <v>356</v>
      </c>
      <c r="AF4780">
        <v>20</v>
      </c>
      <c r="AG4780" s="1">
        <v>43831</v>
      </c>
      <c r="AH4780" s="1">
        <v>43831</v>
      </c>
      <c r="AI4780" s="1">
        <v>43831</v>
      </c>
      <c r="AJ4780" s="1">
        <v>51136</v>
      </c>
      <c r="AK4780" t="s">
        <v>51</v>
      </c>
      <c r="AN4780">
        <v>5</v>
      </c>
      <c r="AO4780" t="s">
        <v>54</v>
      </c>
      <c r="AP4780" t="s">
        <v>53</v>
      </c>
      <c r="AQ4780">
        <v>0</v>
      </c>
      <c r="AR4780" t="s">
        <v>145</v>
      </c>
      <c r="AS4780">
        <v>0</v>
      </c>
      <c r="AT4780">
        <v>0</v>
      </c>
      <c r="AW4780" t="s">
        <v>172</v>
      </c>
      <c r="AX4780">
        <v>15</v>
      </c>
      <c r="AY4780" s="1">
        <v>43831</v>
      </c>
      <c r="AZ4780" s="1">
        <v>43831</v>
      </c>
      <c r="BA4780" s="1">
        <v>43831</v>
      </c>
      <c r="BB4780" s="1">
        <v>49310</v>
      </c>
      <c r="BC4780" t="s">
        <v>51</v>
      </c>
      <c r="BE4780" t="s">
        <v>54</v>
      </c>
      <c r="BF4780">
        <v>40</v>
      </c>
      <c r="BG4780">
        <v>0</v>
      </c>
      <c r="BH4780" t="s">
        <v>145</v>
      </c>
      <c r="CC4780" t="s">
        <v>250</v>
      </c>
      <c r="CD4780">
        <v>100000</v>
      </c>
      <c r="CE4780" s="1">
        <v>43831</v>
      </c>
      <c r="CF4780" s="1">
        <v>43831</v>
      </c>
      <c r="CG4780" s="1">
        <v>43831</v>
      </c>
      <c r="CH4780" s="1">
        <v>52270</v>
      </c>
      <c r="CI4780" t="s">
        <v>51</v>
      </c>
      <c r="CK4780" t="s">
        <v>78</v>
      </c>
      <c r="CM4780" t="s">
        <v>54</v>
      </c>
      <c r="CN4780" t="s">
        <v>174</v>
      </c>
      <c r="CR4780">
        <v>13.2</v>
      </c>
      <c r="CS4780">
        <v>1800</v>
      </c>
      <c r="CT4780">
        <v>0</v>
      </c>
      <c r="CU4780">
        <v>16</v>
      </c>
      <c r="CX4780" t="s">
        <v>674</v>
      </c>
      <c r="CY4780">
        <v>0</v>
      </c>
      <c r="CZ4780" s="1">
        <v>29526</v>
      </c>
      <c r="DA4780" s="1">
        <v>29526</v>
      </c>
      <c r="DB4780" s="1">
        <v>29526</v>
      </c>
      <c r="DC4780" s="1">
        <v>29526</v>
      </c>
      <c r="DD4780" t="s">
        <v>51</v>
      </c>
      <c r="DF4780" t="s">
        <v>54</v>
      </c>
      <c r="DG4780">
        <v>0</v>
      </c>
      <c r="DH4780">
        <v>0</v>
      </c>
    </row>
    <row r="4781" spans="1:112" x14ac:dyDescent="0.2">
      <c r="A4781" t="s">
        <v>1012</v>
      </c>
      <c r="B4781" t="s">
        <v>1013</v>
      </c>
      <c r="C4781" t="s">
        <v>1019</v>
      </c>
      <c r="D4781" t="s">
        <v>1077</v>
      </c>
      <c r="F4781" t="str">
        <f>"251840"</f>
        <v>251840</v>
      </c>
      <c r="G4781" t="s">
        <v>49</v>
      </c>
      <c r="H4781" t="s">
        <v>2150</v>
      </c>
      <c r="K4781" t="s">
        <v>51</v>
      </c>
      <c r="L4781" t="s">
        <v>52</v>
      </c>
      <c r="M4781">
        <v>131792.76</v>
      </c>
      <c r="N4781">
        <v>473917.25</v>
      </c>
      <c r="O4781" t="s">
        <v>53</v>
      </c>
      <c r="P4781" t="s">
        <v>54</v>
      </c>
      <c r="Q4781" t="s">
        <v>55</v>
      </c>
      <c r="T4781" t="s">
        <v>100</v>
      </c>
      <c r="U4781">
        <v>40</v>
      </c>
      <c r="V4781" s="1">
        <v>36526</v>
      </c>
      <c r="W4781" s="1">
        <v>36526</v>
      </c>
      <c r="X4781" s="1">
        <v>36526</v>
      </c>
      <c r="Y4781" s="1">
        <v>51136</v>
      </c>
      <c r="Z4781" t="s">
        <v>51</v>
      </c>
      <c r="AB4781" t="s">
        <v>54</v>
      </c>
      <c r="AE4781" t="s">
        <v>819</v>
      </c>
      <c r="AF4781">
        <v>20</v>
      </c>
      <c r="AG4781" s="1">
        <v>36526</v>
      </c>
      <c r="AH4781" s="1">
        <v>36526</v>
      </c>
      <c r="AI4781" s="1">
        <v>36526</v>
      </c>
      <c r="AJ4781" s="1">
        <v>43831</v>
      </c>
      <c r="AK4781" t="s">
        <v>51</v>
      </c>
      <c r="AN4781">
        <v>0</v>
      </c>
      <c r="AO4781" t="s">
        <v>54</v>
      </c>
      <c r="AP4781" t="s">
        <v>53</v>
      </c>
      <c r="AQ4781">
        <v>0</v>
      </c>
      <c r="AR4781" t="s">
        <v>53</v>
      </c>
      <c r="AS4781">
        <v>0</v>
      </c>
      <c r="AT4781">
        <v>0</v>
      </c>
      <c r="AW4781" t="s">
        <v>161</v>
      </c>
      <c r="AX4781">
        <v>50</v>
      </c>
      <c r="AY4781" s="1">
        <v>36526</v>
      </c>
      <c r="AZ4781" s="1">
        <v>36526</v>
      </c>
      <c r="BA4781" s="1">
        <v>36526</v>
      </c>
      <c r="BB4781" s="1">
        <v>54789</v>
      </c>
      <c r="BC4781" t="s">
        <v>51</v>
      </c>
      <c r="BE4781" t="s">
        <v>54</v>
      </c>
      <c r="BF4781">
        <v>0</v>
      </c>
      <c r="BG4781">
        <v>0</v>
      </c>
      <c r="BH4781" t="s">
        <v>53</v>
      </c>
      <c r="BK4781" t="s">
        <v>720</v>
      </c>
      <c r="BL4781">
        <v>17000</v>
      </c>
      <c r="BM4781" s="1">
        <v>36526</v>
      </c>
      <c r="BN4781" s="1">
        <v>36526</v>
      </c>
      <c r="BO4781" s="1">
        <v>36526</v>
      </c>
      <c r="BP4781" s="1">
        <v>37968</v>
      </c>
      <c r="BQ4781" t="s">
        <v>51</v>
      </c>
      <c r="BS4781" t="s">
        <v>60</v>
      </c>
      <c r="BT4781" t="s">
        <v>54</v>
      </c>
      <c r="BU4781" t="s">
        <v>721</v>
      </c>
      <c r="BV4781" t="s">
        <v>722</v>
      </c>
      <c r="BX4781">
        <v>18</v>
      </c>
      <c r="BY4781">
        <v>0</v>
      </c>
      <c r="BZ4781">
        <v>0</v>
      </c>
      <c r="CX4781" t="s">
        <v>674</v>
      </c>
      <c r="CY4781">
        <v>0</v>
      </c>
      <c r="CZ4781" s="1">
        <v>36526</v>
      </c>
      <c r="DA4781" s="1">
        <v>36526</v>
      </c>
      <c r="DB4781" s="1">
        <v>36526</v>
      </c>
      <c r="DC4781" s="1">
        <v>36526</v>
      </c>
      <c r="DD4781" t="s">
        <v>51</v>
      </c>
      <c r="DF4781" t="s">
        <v>54</v>
      </c>
      <c r="DG4781">
        <v>0</v>
      </c>
      <c r="DH4781">
        <v>0</v>
      </c>
    </row>
    <row r="4782" spans="1:112" x14ac:dyDescent="0.2">
      <c r="A4782" t="s">
        <v>1012</v>
      </c>
      <c r="B4782" t="s">
        <v>1013</v>
      </c>
      <c r="C4782" t="s">
        <v>1019</v>
      </c>
      <c r="D4782" t="s">
        <v>1071</v>
      </c>
      <c r="F4782" t="str">
        <f>"253618"</f>
        <v>253618</v>
      </c>
      <c r="G4782" t="s">
        <v>49</v>
      </c>
      <c r="H4782" t="s">
        <v>2151</v>
      </c>
      <c r="K4782" t="s">
        <v>51</v>
      </c>
      <c r="L4782" t="s">
        <v>52</v>
      </c>
      <c r="M4782">
        <v>131590.94</v>
      </c>
      <c r="N4782">
        <v>474112.54</v>
      </c>
      <c r="O4782" t="s">
        <v>53</v>
      </c>
      <c r="P4782" t="s">
        <v>54</v>
      </c>
      <c r="Q4782" t="s">
        <v>55</v>
      </c>
      <c r="T4782" t="s">
        <v>246</v>
      </c>
      <c r="U4782">
        <v>40</v>
      </c>
      <c r="V4782" s="1">
        <v>42005</v>
      </c>
      <c r="W4782" s="1">
        <v>42005</v>
      </c>
      <c r="X4782" s="1">
        <v>42005</v>
      </c>
      <c r="Y4782" s="1">
        <v>56615</v>
      </c>
      <c r="Z4782" t="s">
        <v>51</v>
      </c>
      <c r="AB4782" t="s">
        <v>54</v>
      </c>
      <c r="AE4782" t="s">
        <v>1065</v>
      </c>
      <c r="AF4782">
        <v>20</v>
      </c>
      <c r="AG4782" s="1">
        <v>42005</v>
      </c>
      <c r="AH4782" s="1">
        <v>42005</v>
      </c>
      <c r="AI4782" s="1">
        <v>42005</v>
      </c>
      <c r="AJ4782" s="1">
        <v>49310</v>
      </c>
      <c r="AK4782" t="s">
        <v>51</v>
      </c>
      <c r="AN4782">
        <v>0</v>
      </c>
      <c r="AO4782" t="s">
        <v>54</v>
      </c>
      <c r="AP4782" t="s">
        <v>53</v>
      </c>
      <c r="AQ4782">
        <v>0</v>
      </c>
      <c r="AR4782" t="s">
        <v>53</v>
      </c>
      <c r="AS4782">
        <v>0</v>
      </c>
      <c r="AT4782">
        <v>0</v>
      </c>
      <c r="AW4782" t="s">
        <v>172</v>
      </c>
      <c r="AX4782">
        <v>15</v>
      </c>
      <c r="AY4782" s="1">
        <v>42005</v>
      </c>
      <c r="AZ4782" s="1">
        <v>42005</v>
      </c>
      <c r="BA4782" s="1">
        <v>42005</v>
      </c>
      <c r="BB4782" s="1">
        <v>47484</v>
      </c>
      <c r="BC4782" t="s">
        <v>51</v>
      </c>
      <c r="BE4782" t="s">
        <v>54</v>
      </c>
      <c r="BF4782">
        <v>40</v>
      </c>
      <c r="BG4782">
        <v>0</v>
      </c>
      <c r="BH4782" t="s">
        <v>145</v>
      </c>
      <c r="CC4782" t="s">
        <v>244</v>
      </c>
      <c r="CD4782">
        <v>100000</v>
      </c>
      <c r="CE4782" s="1">
        <v>42005</v>
      </c>
      <c r="CF4782" s="1">
        <v>42005</v>
      </c>
      <c r="CG4782" s="1">
        <v>42005</v>
      </c>
      <c r="CH4782" s="1">
        <v>50984</v>
      </c>
      <c r="CI4782" t="s">
        <v>51</v>
      </c>
      <c r="CK4782" t="s">
        <v>78</v>
      </c>
      <c r="CM4782" t="s">
        <v>54</v>
      </c>
      <c r="CN4782" t="s">
        <v>174</v>
      </c>
      <c r="CR4782">
        <v>0</v>
      </c>
      <c r="CS4782">
        <v>2150</v>
      </c>
      <c r="CT4782">
        <v>0</v>
      </c>
      <c r="CU4782">
        <v>16</v>
      </c>
      <c r="CX4782" t="s">
        <v>360</v>
      </c>
      <c r="CY4782">
        <v>40</v>
      </c>
      <c r="CZ4782" s="1">
        <v>42005</v>
      </c>
      <c r="DA4782" s="1">
        <v>42005</v>
      </c>
      <c r="DB4782" s="1">
        <v>42005</v>
      </c>
      <c r="DC4782" s="1">
        <v>56615</v>
      </c>
      <c r="DD4782" t="s">
        <v>51</v>
      </c>
      <c r="DF4782" t="s">
        <v>54</v>
      </c>
      <c r="DG4782">
        <v>0</v>
      </c>
      <c r="DH4782">
        <v>0</v>
      </c>
    </row>
    <row r="4783" spans="1:112" x14ac:dyDescent="0.2">
      <c r="A4783" t="s">
        <v>1012</v>
      </c>
      <c r="B4783" t="s">
        <v>1013</v>
      </c>
      <c r="C4783" t="s">
        <v>1019</v>
      </c>
      <c r="D4783" t="s">
        <v>1071</v>
      </c>
      <c r="F4783" t="str">
        <f>"253621"</f>
        <v>253621</v>
      </c>
      <c r="G4783" t="s">
        <v>49</v>
      </c>
      <c r="H4783" t="s">
        <v>2152</v>
      </c>
      <c r="K4783" t="s">
        <v>51</v>
      </c>
      <c r="L4783" t="s">
        <v>52</v>
      </c>
      <c r="M4783">
        <v>131631.79999999999</v>
      </c>
      <c r="N4783">
        <v>474050.6</v>
      </c>
      <c r="O4783" t="s">
        <v>53</v>
      </c>
      <c r="P4783" t="s">
        <v>54</v>
      </c>
      <c r="Q4783" t="s">
        <v>55</v>
      </c>
      <c r="T4783" t="s">
        <v>246</v>
      </c>
      <c r="U4783">
        <v>40</v>
      </c>
      <c r="V4783" s="1">
        <v>42005</v>
      </c>
      <c r="W4783" s="1">
        <v>42005</v>
      </c>
      <c r="X4783" s="1">
        <v>42005</v>
      </c>
      <c r="Y4783" s="1">
        <v>56615</v>
      </c>
      <c r="Z4783" t="s">
        <v>51</v>
      </c>
      <c r="AB4783" t="s">
        <v>54</v>
      </c>
      <c r="AE4783" t="s">
        <v>1065</v>
      </c>
      <c r="AF4783">
        <v>20</v>
      </c>
      <c r="AG4783" s="1">
        <v>42005</v>
      </c>
      <c r="AH4783" s="1">
        <v>42005</v>
      </c>
      <c r="AI4783" s="1">
        <v>42005</v>
      </c>
      <c r="AJ4783" s="1">
        <v>49310</v>
      </c>
      <c r="AK4783" t="s">
        <v>51</v>
      </c>
      <c r="AN4783">
        <v>0</v>
      </c>
      <c r="AO4783" t="s">
        <v>54</v>
      </c>
      <c r="AP4783" t="s">
        <v>53</v>
      </c>
      <c r="AQ4783">
        <v>0</v>
      </c>
      <c r="AR4783" t="s">
        <v>53</v>
      </c>
      <c r="AS4783">
        <v>0</v>
      </c>
      <c r="AT4783">
        <v>0</v>
      </c>
      <c r="AW4783" t="s">
        <v>172</v>
      </c>
      <c r="AX4783">
        <v>15</v>
      </c>
      <c r="AY4783" s="1">
        <v>42005</v>
      </c>
      <c r="AZ4783" s="1">
        <v>42005</v>
      </c>
      <c r="BA4783" s="1">
        <v>42005</v>
      </c>
      <c r="BB4783" s="1">
        <v>47484</v>
      </c>
      <c r="BC4783" t="s">
        <v>51</v>
      </c>
      <c r="BE4783" t="s">
        <v>54</v>
      </c>
      <c r="BF4783">
        <v>40</v>
      </c>
      <c r="BG4783">
        <v>0</v>
      </c>
      <c r="BH4783" t="s">
        <v>145</v>
      </c>
      <c r="CC4783" t="s">
        <v>244</v>
      </c>
      <c r="CD4783">
        <v>100000</v>
      </c>
      <c r="CE4783" s="1">
        <v>42005</v>
      </c>
      <c r="CF4783" s="1">
        <v>42005</v>
      </c>
      <c r="CG4783" s="1">
        <v>42005</v>
      </c>
      <c r="CH4783" s="1">
        <v>50984</v>
      </c>
      <c r="CI4783" t="s">
        <v>51</v>
      </c>
      <c r="CK4783" t="s">
        <v>78</v>
      </c>
      <c r="CM4783" t="s">
        <v>54</v>
      </c>
      <c r="CN4783" t="s">
        <v>174</v>
      </c>
      <c r="CR4783">
        <v>0</v>
      </c>
      <c r="CS4783">
        <v>2150</v>
      </c>
      <c r="CT4783">
        <v>0</v>
      </c>
      <c r="CU4783">
        <v>16</v>
      </c>
      <c r="CX4783" t="s">
        <v>360</v>
      </c>
      <c r="CY4783">
        <v>40</v>
      </c>
      <c r="CZ4783" s="1">
        <v>42005</v>
      </c>
      <c r="DA4783" s="1">
        <v>42005</v>
      </c>
      <c r="DB4783" s="1">
        <v>42005</v>
      </c>
      <c r="DC4783" s="1">
        <v>56615</v>
      </c>
      <c r="DD4783" t="s">
        <v>51</v>
      </c>
      <c r="DF4783" t="s">
        <v>54</v>
      </c>
      <c r="DG4783">
        <v>0</v>
      </c>
      <c r="DH4783">
        <v>0</v>
      </c>
    </row>
    <row r="4784" spans="1:112" x14ac:dyDescent="0.2">
      <c r="A4784" t="s">
        <v>1012</v>
      </c>
      <c r="B4784" t="s">
        <v>1013</v>
      </c>
      <c r="C4784" t="s">
        <v>1019</v>
      </c>
      <c r="D4784" t="s">
        <v>1071</v>
      </c>
      <c r="F4784" t="str">
        <f>"253623"</f>
        <v>253623</v>
      </c>
      <c r="G4784" t="s">
        <v>49</v>
      </c>
      <c r="H4784" t="s">
        <v>2153</v>
      </c>
      <c r="K4784" t="s">
        <v>51</v>
      </c>
      <c r="L4784" t="s">
        <v>52</v>
      </c>
      <c r="M4784">
        <v>131659.75</v>
      </c>
      <c r="N4784">
        <v>474010.22</v>
      </c>
      <c r="O4784" t="s">
        <v>53</v>
      </c>
      <c r="P4784" t="s">
        <v>54</v>
      </c>
      <c r="Q4784" t="s">
        <v>55</v>
      </c>
      <c r="T4784" t="s">
        <v>246</v>
      </c>
      <c r="U4784">
        <v>40</v>
      </c>
      <c r="V4784" s="1">
        <v>42005</v>
      </c>
      <c r="W4784" s="1">
        <v>42005</v>
      </c>
      <c r="X4784" s="1">
        <v>42005</v>
      </c>
      <c r="Y4784" s="1">
        <v>56615</v>
      </c>
      <c r="Z4784" t="s">
        <v>51</v>
      </c>
      <c r="AB4784" t="s">
        <v>54</v>
      </c>
      <c r="AE4784" t="s">
        <v>1065</v>
      </c>
      <c r="AF4784">
        <v>20</v>
      </c>
      <c r="AG4784" s="1">
        <v>42005</v>
      </c>
      <c r="AH4784" s="1">
        <v>42005</v>
      </c>
      <c r="AI4784" s="1">
        <v>42005</v>
      </c>
      <c r="AJ4784" s="1">
        <v>49310</v>
      </c>
      <c r="AK4784" t="s">
        <v>51</v>
      </c>
      <c r="AN4784">
        <v>0</v>
      </c>
      <c r="AO4784" t="s">
        <v>54</v>
      </c>
      <c r="AP4784" t="s">
        <v>53</v>
      </c>
      <c r="AQ4784">
        <v>0</v>
      </c>
      <c r="AR4784" t="s">
        <v>53</v>
      </c>
      <c r="AS4784">
        <v>0</v>
      </c>
      <c r="AT4784">
        <v>0</v>
      </c>
      <c r="AW4784" t="s">
        <v>172</v>
      </c>
      <c r="AX4784">
        <v>15</v>
      </c>
      <c r="AY4784" s="1">
        <v>44865</v>
      </c>
      <c r="AZ4784" s="1">
        <v>44865</v>
      </c>
      <c r="BA4784" s="1">
        <v>44865</v>
      </c>
      <c r="BB4784" s="1">
        <v>50344</v>
      </c>
      <c r="BC4784" t="s">
        <v>51</v>
      </c>
      <c r="BE4784" t="s">
        <v>54</v>
      </c>
      <c r="BF4784">
        <v>40</v>
      </c>
      <c r="BG4784">
        <v>0</v>
      </c>
      <c r="BH4784" t="s">
        <v>145</v>
      </c>
      <c r="CC4784" t="s">
        <v>244</v>
      </c>
      <c r="CD4784">
        <v>100000</v>
      </c>
      <c r="CE4784" s="1">
        <v>42005</v>
      </c>
      <c r="CF4784" s="1">
        <v>42005</v>
      </c>
      <c r="CG4784" s="1">
        <v>44865</v>
      </c>
      <c r="CH4784" s="1">
        <v>50984</v>
      </c>
      <c r="CI4784" t="s">
        <v>51</v>
      </c>
      <c r="CK4784" t="s">
        <v>78</v>
      </c>
      <c r="CM4784" t="s">
        <v>54</v>
      </c>
      <c r="CN4784" t="s">
        <v>174</v>
      </c>
      <c r="CR4784">
        <v>0</v>
      </c>
      <c r="CS4784">
        <v>2150</v>
      </c>
      <c r="CT4784">
        <v>0</v>
      </c>
      <c r="CU4784">
        <v>16</v>
      </c>
      <c r="CX4784" t="s">
        <v>360</v>
      </c>
      <c r="CY4784">
        <v>40</v>
      </c>
      <c r="CZ4784" s="1">
        <v>42005</v>
      </c>
      <c r="DA4784" s="1">
        <v>42005</v>
      </c>
      <c r="DB4784" s="1">
        <v>42005</v>
      </c>
      <c r="DC4784" s="1">
        <v>56615</v>
      </c>
      <c r="DD4784" t="s">
        <v>51</v>
      </c>
      <c r="DF4784" t="s">
        <v>54</v>
      </c>
      <c r="DG4784">
        <v>0</v>
      </c>
      <c r="DH4784">
        <v>0</v>
      </c>
    </row>
    <row r="4785" spans="1:112" x14ac:dyDescent="0.2">
      <c r="A4785" t="s">
        <v>1012</v>
      </c>
      <c r="B4785" t="s">
        <v>1013</v>
      </c>
      <c r="C4785" t="s">
        <v>1014</v>
      </c>
      <c r="D4785" t="s">
        <v>1071</v>
      </c>
      <c r="F4785" t="str">
        <f>"254290"</f>
        <v>254290</v>
      </c>
      <c r="G4785" t="s">
        <v>49</v>
      </c>
      <c r="H4785" t="s">
        <v>2154</v>
      </c>
      <c r="K4785" t="s">
        <v>51</v>
      </c>
      <c r="L4785" t="s">
        <v>52</v>
      </c>
      <c r="M4785">
        <v>131581.81</v>
      </c>
      <c r="N4785">
        <v>474657.14</v>
      </c>
      <c r="O4785" t="s">
        <v>53</v>
      </c>
      <c r="P4785" t="s">
        <v>54</v>
      </c>
      <c r="Q4785" t="s">
        <v>55</v>
      </c>
      <c r="T4785" t="s">
        <v>1054</v>
      </c>
      <c r="U4785">
        <v>40</v>
      </c>
      <c r="V4785" s="1">
        <v>40179</v>
      </c>
      <c r="W4785" s="1">
        <v>40179</v>
      </c>
      <c r="X4785" s="1">
        <v>40179</v>
      </c>
      <c r="Y4785" s="1">
        <v>54789</v>
      </c>
      <c r="Z4785" t="s">
        <v>51</v>
      </c>
      <c r="AB4785" t="s">
        <v>54</v>
      </c>
      <c r="AE4785" t="s">
        <v>91</v>
      </c>
      <c r="AF4785">
        <v>20</v>
      </c>
      <c r="AG4785" s="1">
        <v>40179</v>
      </c>
      <c r="AH4785" s="1">
        <v>40179</v>
      </c>
      <c r="AI4785" s="1">
        <v>40179</v>
      </c>
      <c r="AJ4785" s="1">
        <v>47484</v>
      </c>
      <c r="AK4785" t="s">
        <v>51</v>
      </c>
      <c r="AN4785">
        <v>7</v>
      </c>
      <c r="AO4785" t="s">
        <v>54</v>
      </c>
      <c r="AP4785" t="s">
        <v>53</v>
      </c>
      <c r="AQ4785">
        <v>0</v>
      </c>
      <c r="AR4785" t="s">
        <v>53</v>
      </c>
      <c r="AS4785">
        <v>0</v>
      </c>
      <c r="AT4785">
        <v>0</v>
      </c>
      <c r="AW4785" t="s">
        <v>58</v>
      </c>
      <c r="AX4785">
        <v>20</v>
      </c>
      <c r="AY4785" s="1">
        <v>40179</v>
      </c>
      <c r="AZ4785" s="1">
        <v>40179</v>
      </c>
      <c r="BA4785" s="1">
        <v>40179</v>
      </c>
      <c r="BB4785" s="1">
        <v>47484</v>
      </c>
      <c r="BC4785" t="s">
        <v>51</v>
      </c>
      <c r="BE4785" t="s">
        <v>54</v>
      </c>
      <c r="BF4785">
        <v>2</v>
      </c>
      <c r="BG4785">
        <v>0</v>
      </c>
      <c r="BH4785" t="s">
        <v>53</v>
      </c>
      <c r="BK4785" t="s">
        <v>92</v>
      </c>
      <c r="BL4785">
        <v>14000</v>
      </c>
      <c r="BM4785" s="1">
        <v>40179</v>
      </c>
      <c r="BN4785" s="1">
        <v>40179</v>
      </c>
      <c r="BO4785" s="1">
        <v>40179</v>
      </c>
      <c r="BP4785" s="1">
        <v>41343</v>
      </c>
      <c r="BQ4785" t="s">
        <v>51</v>
      </c>
      <c r="BS4785" t="s">
        <v>60</v>
      </c>
      <c r="BT4785" t="s">
        <v>54</v>
      </c>
      <c r="BU4785" t="s">
        <v>61</v>
      </c>
      <c r="BV4785" t="s">
        <v>62</v>
      </c>
      <c r="BX4785">
        <v>55</v>
      </c>
      <c r="BY4785">
        <v>0</v>
      </c>
      <c r="BZ4785">
        <v>0</v>
      </c>
      <c r="CX4785" t="s">
        <v>360</v>
      </c>
      <c r="CY4785">
        <v>40</v>
      </c>
      <c r="CZ4785" s="1">
        <v>40179</v>
      </c>
      <c r="DA4785" s="1">
        <v>40179</v>
      </c>
      <c r="DB4785" s="1">
        <v>40179</v>
      </c>
      <c r="DC4785" s="1">
        <v>54789</v>
      </c>
      <c r="DD4785" t="s">
        <v>51</v>
      </c>
      <c r="DF4785" t="s">
        <v>54</v>
      </c>
      <c r="DG4785">
        <v>0</v>
      </c>
      <c r="DH4785">
        <v>0</v>
      </c>
    </row>
    <row r="4786" spans="1:112" x14ac:dyDescent="0.2">
      <c r="A4786" t="s">
        <v>1012</v>
      </c>
      <c r="B4786" t="s">
        <v>1013</v>
      </c>
      <c r="C4786" t="s">
        <v>1019</v>
      </c>
      <c r="D4786" t="s">
        <v>1053</v>
      </c>
      <c r="F4786" t="str">
        <f>"254380"</f>
        <v>254380</v>
      </c>
      <c r="G4786" t="s">
        <v>49</v>
      </c>
      <c r="K4786" t="s">
        <v>51</v>
      </c>
      <c r="L4786" t="s">
        <v>52</v>
      </c>
      <c r="M4786">
        <v>132200.35999999999</v>
      </c>
      <c r="N4786">
        <v>473382</v>
      </c>
      <c r="O4786" t="s">
        <v>53</v>
      </c>
      <c r="P4786" t="s">
        <v>54</v>
      </c>
      <c r="Q4786" t="s">
        <v>55</v>
      </c>
      <c r="T4786" t="s">
        <v>698</v>
      </c>
      <c r="U4786">
        <v>40</v>
      </c>
      <c r="V4786" s="1">
        <v>40179</v>
      </c>
      <c r="W4786" s="1">
        <v>40179</v>
      </c>
      <c r="X4786" s="1">
        <v>40179</v>
      </c>
      <c r="Y4786" s="1">
        <v>54789</v>
      </c>
      <c r="Z4786" t="s">
        <v>51</v>
      </c>
      <c r="AB4786" t="s">
        <v>54</v>
      </c>
      <c r="AE4786" t="s">
        <v>1055</v>
      </c>
      <c r="AF4786">
        <v>20</v>
      </c>
      <c r="AG4786" s="1">
        <v>40179</v>
      </c>
      <c r="AH4786" s="1">
        <v>40179</v>
      </c>
      <c r="AI4786" s="1">
        <v>40179</v>
      </c>
      <c r="AJ4786" s="1">
        <v>47484</v>
      </c>
      <c r="AK4786" t="s">
        <v>51</v>
      </c>
      <c r="AN4786">
        <v>9</v>
      </c>
      <c r="AO4786" t="s">
        <v>54</v>
      </c>
      <c r="AP4786" t="s">
        <v>53</v>
      </c>
      <c r="AQ4786">
        <v>0</v>
      </c>
      <c r="AR4786" t="s">
        <v>53</v>
      </c>
      <c r="AS4786">
        <v>0</v>
      </c>
      <c r="AT4786">
        <v>0</v>
      </c>
      <c r="AW4786" t="s">
        <v>161</v>
      </c>
      <c r="AX4786">
        <v>50</v>
      </c>
      <c r="AY4786" s="1">
        <v>40179</v>
      </c>
      <c r="AZ4786" s="1">
        <v>40179</v>
      </c>
      <c r="BA4786" s="1">
        <v>40179</v>
      </c>
      <c r="BB4786" s="1">
        <v>58441</v>
      </c>
      <c r="BC4786" t="s">
        <v>51</v>
      </c>
      <c r="BE4786" t="s">
        <v>54</v>
      </c>
      <c r="BF4786">
        <v>0</v>
      </c>
      <c r="BG4786">
        <v>0</v>
      </c>
      <c r="BH4786" t="s">
        <v>53</v>
      </c>
      <c r="BK4786" t="s">
        <v>361</v>
      </c>
      <c r="BL4786">
        <v>21500</v>
      </c>
      <c r="BM4786" s="1">
        <v>40179</v>
      </c>
      <c r="BN4786" s="1">
        <v>40179</v>
      </c>
      <c r="BO4786" s="1">
        <v>40179</v>
      </c>
      <c r="BP4786" s="1">
        <v>41997</v>
      </c>
      <c r="BQ4786" t="s">
        <v>51</v>
      </c>
      <c r="BS4786" t="s">
        <v>60</v>
      </c>
      <c r="BT4786" t="s">
        <v>54</v>
      </c>
      <c r="BU4786" t="s">
        <v>362</v>
      </c>
      <c r="BV4786" t="s">
        <v>354</v>
      </c>
      <c r="BX4786">
        <v>70</v>
      </c>
      <c r="BY4786">
        <v>0</v>
      </c>
      <c r="BZ4786">
        <v>0</v>
      </c>
      <c r="CX4786" t="s">
        <v>360</v>
      </c>
      <c r="CY4786">
        <v>40</v>
      </c>
      <c r="CZ4786" s="1">
        <v>40179</v>
      </c>
      <c r="DA4786" s="1">
        <v>40179</v>
      </c>
      <c r="DB4786" s="1">
        <v>40179</v>
      </c>
      <c r="DC4786" s="1">
        <v>54789</v>
      </c>
      <c r="DD4786" t="s">
        <v>51</v>
      </c>
      <c r="DF4786" t="s">
        <v>54</v>
      </c>
      <c r="DG4786">
        <v>0</v>
      </c>
      <c r="DH4786">
        <v>0</v>
      </c>
    </row>
    <row r="4787" spans="1:112" x14ac:dyDescent="0.2">
      <c r="A4787" t="s">
        <v>367</v>
      </c>
      <c r="B4787" t="s">
        <v>440</v>
      </c>
      <c r="C4787" t="s">
        <v>441</v>
      </c>
      <c r="D4787" t="s">
        <v>806</v>
      </c>
      <c r="F4787" t="str">
        <f>"254434"</f>
        <v>254434</v>
      </c>
      <c r="G4787" t="s">
        <v>49</v>
      </c>
      <c r="K4787" t="s">
        <v>51</v>
      </c>
      <c r="L4787" t="s">
        <v>52</v>
      </c>
      <c r="M4787">
        <v>133750</v>
      </c>
      <c r="N4787">
        <v>468811.78</v>
      </c>
      <c r="O4787" t="s">
        <v>53</v>
      </c>
      <c r="P4787" t="s">
        <v>54</v>
      </c>
      <c r="Q4787" t="s">
        <v>55</v>
      </c>
      <c r="T4787" t="s">
        <v>1076</v>
      </c>
      <c r="U4787">
        <v>30</v>
      </c>
      <c r="V4787" s="1">
        <v>44236</v>
      </c>
      <c r="W4787" s="1">
        <v>44236</v>
      </c>
      <c r="X4787" s="1">
        <v>44236</v>
      </c>
      <c r="Y4787" s="1">
        <v>55193</v>
      </c>
      <c r="Z4787" t="s">
        <v>51</v>
      </c>
      <c r="AB4787" t="s">
        <v>54</v>
      </c>
      <c r="AC4787">
        <v>1</v>
      </c>
      <c r="AE4787" t="s">
        <v>2155</v>
      </c>
      <c r="AF4787">
        <v>20</v>
      </c>
      <c r="AG4787" s="1">
        <v>44236</v>
      </c>
      <c r="AH4787" s="1">
        <v>44236</v>
      </c>
      <c r="AI4787" s="1">
        <v>44236</v>
      </c>
      <c r="AJ4787" s="1">
        <v>51541</v>
      </c>
      <c r="AK4787" t="s">
        <v>51</v>
      </c>
      <c r="AN4787">
        <v>0</v>
      </c>
      <c r="AO4787" t="s">
        <v>54</v>
      </c>
      <c r="AP4787" t="s">
        <v>53</v>
      </c>
      <c r="AQ4787">
        <v>0</v>
      </c>
      <c r="AR4787" t="s">
        <v>53</v>
      </c>
      <c r="AS4787">
        <v>0</v>
      </c>
      <c r="AT4787">
        <v>0</v>
      </c>
      <c r="AW4787" t="s">
        <v>79</v>
      </c>
      <c r="AX4787">
        <v>20</v>
      </c>
      <c r="AY4787" s="1">
        <v>44236</v>
      </c>
      <c r="AZ4787" s="1">
        <v>44236</v>
      </c>
      <c r="BA4787" s="1">
        <v>44236</v>
      </c>
      <c r="BB4787" s="1">
        <v>51541</v>
      </c>
      <c r="BC4787" t="s">
        <v>51</v>
      </c>
      <c r="BE4787" t="s">
        <v>54</v>
      </c>
      <c r="BF4787">
        <v>5</v>
      </c>
      <c r="BG4787">
        <v>0</v>
      </c>
      <c r="BH4787" t="s">
        <v>53</v>
      </c>
      <c r="BK4787" t="s">
        <v>146</v>
      </c>
      <c r="BL4787">
        <v>14000</v>
      </c>
      <c r="BM4787" s="1">
        <v>44236</v>
      </c>
      <c r="BN4787" s="1">
        <v>44236</v>
      </c>
      <c r="BO4787" s="1">
        <v>44236</v>
      </c>
      <c r="BP4787" s="1">
        <v>45531</v>
      </c>
      <c r="BQ4787" t="s">
        <v>51</v>
      </c>
      <c r="BS4787" t="s">
        <v>78</v>
      </c>
      <c r="BT4787" t="s">
        <v>54</v>
      </c>
      <c r="BU4787" t="s">
        <v>61</v>
      </c>
      <c r="BV4787" t="s">
        <v>62</v>
      </c>
      <c r="BX4787">
        <v>24</v>
      </c>
      <c r="BY4787">
        <v>0</v>
      </c>
      <c r="BZ4787">
        <v>0</v>
      </c>
    </row>
    <row r="4788" spans="1:112" x14ac:dyDescent="0.2">
      <c r="A4788" t="s">
        <v>367</v>
      </c>
      <c r="B4788" t="s">
        <v>440</v>
      </c>
      <c r="C4788" t="s">
        <v>441</v>
      </c>
      <c r="D4788" t="s">
        <v>806</v>
      </c>
      <c r="F4788" t="str">
        <f>"254433"</f>
        <v>254433</v>
      </c>
      <c r="G4788" t="s">
        <v>49</v>
      </c>
      <c r="K4788" t="s">
        <v>51</v>
      </c>
      <c r="L4788" t="s">
        <v>52</v>
      </c>
      <c r="M4788">
        <v>133777.32999999999</v>
      </c>
      <c r="N4788">
        <v>468801.58</v>
      </c>
      <c r="O4788" t="s">
        <v>53</v>
      </c>
      <c r="P4788" t="s">
        <v>54</v>
      </c>
      <c r="Q4788" t="s">
        <v>55</v>
      </c>
      <c r="T4788" t="s">
        <v>1076</v>
      </c>
      <c r="U4788">
        <v>30</v>
      </c>
      <c r="V4788" s="1">
        <v>44236</v>
      </c>
      <c r="W4788" s="1">
        <v>44236</v>
      </c>
      <c r="X4788" s="1">
        <v>44236</v>
      </c>
      <c r="Y4788" s="1">
        <v>55193</v>
      </c>
      <c r="Z4788" t="s">
        <v>51</v>
      </c>
      <c r="AB4788" t="s">
        <v>54</v>
      </c>
      <c r="AC4788">
        <v>1</v>
      </c>
      <c r="AE4788" t="s">
        <v>2155</v>
      </c>
      <c r="AF4788">
        <v>20</v>
      </c>
      <c r="AG4788" s="1">
        <v>44236</v>
      </c>
      <c r="AH4788" s="1">
        <v>44236</v>
      </c>
      <c r="AI4788" s="1">
        <v>44236</v>
      </c>
      <c r="AJ4788" s="1">
        <v>51541</v>
      </c>
      <c r="AK4788" t="s">
        <v>51</v>
      </c>
      <c r="AN4788">
        <v>0</v>
      </c>
      <c r="AO4788" t="s">
        <v>54</v>
      </c>
      <c r="AP4788" t="s">
        <v>53</v>
      </c>
      <c r="AQ4788">
        <v>0</v>
      </c>
      <c r="AR4788" t="s">
        <v>53</v>
      </c>
      <c r="AS4788">
        <v>0</v>
      </c>
      <c r="AT4788">
        <v>0</v>
      </c>
      <c r="AW4788" t="s">
        <v>79</v>
      </c>
      <c r="AX4788">
        <v>20</v>
      </c>
      <c r="AY4788" s="1">
        <v>44236</v>
      </c>
      <c r="AZ4788" s="1">
        <v>44236</v>
      </c>
      <c r="BA4788" s="1">
        <v>44236</v>
      </c>
      <c r="BB4788" s="1">
        <v>51541</v>
      </c>
      <c r="BC4788" t="s">
        <v>51</v>
      </c>
      <c r="BE4788" t="s">
        <v>54</v>
      </c>
      <c r="BF4788">
        <v>5</v>
      </c>
      <c r="BG4788">
        <v>0</v>
      </c>
      <c r="BH4788" t="s">
        <v>53</v>
      </c>
      <c r="BK4788" t="s">
        <v>146</v>
      </c>
      <c r="BL4788">
        <v>14000</v>
      </c>
      <c r="BM4788" s="1">
        <v>44236</v>
      </c>
      <c r="BN4788" s="1">
        <v>44236</v>
      </c>
      <c r="BO4788" s="1">
        <v>44236</v>
      </c>
      <c r="BP4788" s="1">
        <v>45531</v>
      </c>
      <c r="BQ4788" t="s">
        <v>51</v>
      </c>
      <c r="BS4788" t="s">
        <v>78</v>
      </c>
      <c r="BT4788" t="s">
        <v>54</v>
      </c>
      <c r="BU4788" t="s">
        <v>61</v>
      </c>
      <c r="BV4788" t="s">
        <v>62</v>
      </c>
      <c r="BX4788">
        <v>24</v>
      </c>
      <c r="BY4788">
        <v>0</v>
      </c>
      <c r="BZ4788">
        <v>0</v>
      </c>
    </row>
    <row r="4789" spans="1:112" x14ac:dyDescent="0.2">
      <c r="A4789" t="s">
        <v>367</v>
      </c>
      <c r="B4789" t="s">
        <v>440</v>
      </c>
      <c r="C4789" t="s">
        <v>441</v>
      </c>
      <c r="D4789" t="s">
        <v>806</v>
      </c>
      <c r="F4789" t="str">
        <f>"254435"</f>
        <v>254435</v>
      </c>
      <c r="G4789" t="s">
        <v>49</v>
      </c>
      <c r="K4789" t="s">
        <v>51</v>
      </c>
      <c r="L4789" t="s">
        <v>52</v>
      </c>
      <c r="M4789">
        <v>133807.66</v>
      </c>
      <c r="N4789">
        <v>468800.51</v>
      </c>
      <c r="O4789" t="s">
        <v>53</v>
      </c>
      <c r="P4789" t="s">
        <v>54</v>
      </c>
      <c r="Q4789" t="s">
        <v>55</v>
      </c>
      <c r="T4789" t="s">
        <v>1076</v>
      </c>
      <c r="U4789">
        <v>30</v>
      </c>
      <c r="V4789" s="1">
        <v>44236</v>
      </c>
      <c r="W4789" s="1">
        <v>44236</v>
      </c>
      <c r="X4789" s="1">
        <v>44236</v>
      </c>
      <c r="Y4789" s="1">
        <v>55193</v>
      </c>
      <c r="Z4789" t="s">
        <v>51</v>
      </c>
      <c r="AB4789" t="s">
        <v>54</v>
      </c>
      <c r="AC4789">
        <v>1</v>
      </c>
      <c r="AE4789" t="s">
        <v>2155</v>
      </c>
      <c r="AF4789">
        <v>20</v>
      </c>
      <c r="AG4789" s="1">
        <v>44236</v>
      </c>
      <c r="AH4789" s="1">
        <v>44236</v>
      </c>
      <c r="AI4789" s="1">
        <v>44236</v>
      </c>
      <c r="AJ4789" s="1">
        <v>51541</v>
      </c>
      <c r="AK4789" t="s">
        <v>51</v>
      </c>
      <c r="AN4789">
        <v>0</v>
      </c>
      <c r="AO4789" t="s">
        <v>54</v>
      </c>
      <c r="AP4789" t="s">
        <v>53</v>
      </c>
      <c r="AQ4789">
        <v>0</v>
      </c>
      <c r="AR4789" t="s">
        <v>53</v>
      </c>
      <c r="AS4789">
        <v>0</v>
      </c>
      <c r="AT4789">
        <v>0</v>
      </c>
      <c r="AW4789" t="s">
        <v>79</v>
      </c>
      <c r="AX4789">
        <v>20</v>
      </c>
      <c r="AY4789" s="1">
        <v>44236</v>
      </c>
      <c r="AZ4789" s="1">
        <v>44236</v>
      </c>
      <c r="BA4789" s="1">
        <v>44236</v>
      </c>
      <c r="BB4789" s="1">
        <v>51541</v>
      </c>
      <c r="BC4789" t="s">
        <v>51</v>
      </c>
      <c r="BE4789" t="s">
        <v>54</v>
      </c>
      <c r="BF4789">
        <v>5</v>
      </c>
      <c r="BG4789">
        <v>0</v>
      </c>
      <c r="BH4789" t="s">
        <v>53</v>
      </c>
      <c r="BK4789" t="s">
        <v>146</v>
      </c>
      <c r="BL4789">
        <v>14000</v>
      </c>
      <c r="BM4789" s="1">
        <v>44236</v>
      </c>
      <c r="BN4789" s="1">
        <v>44236</v>
      </c>
      <c r="BO4789" s="1">
        <v>44236</v>
      </c>
      <c r="BP4789" s="1">
        <v>45531</v>
      </c>
      <c r="BQ4789" t="s">
        <v>51</v>
      </c>
      <c r="BS4789" t="s">
        <v>78</v>
      </c>
      <c r="BT4789" t="s">
        <v>54</v>
      </c>
      <c r="BU4789" t="s">
        <v>61</v>
      </c>
      <c r="BV4789" t="s">
        <v>62</v>
      </c>
      <c r="BX4789">
        <v>24</v>
      </c>
      <c r="BY4789">
        <v>0</v>
      </c>
      <c r="BZ4789">
        <v>0</v>
      </c>
    </row>
    <row r="4790" spans="1:112" x14ac:dyDescent="0.2">
      <c r="A4790" t="s">
        <v>367</v>
      </c>
      <c r="B4790" t="s">
        <v>440</v>
      </c>
      <c r="C4790" t="s">
        <v>441</v>
      </c>
      <c r="D4790" t="s">
        <v>806</v>
      </c>
      <c r="F4790" t="str">
        <f>"254436"</f>
        <v>254436</v>
      </c>
      <c r="G4790" t="s">
        <v>49</v>
      </c>
      <c r="K4790" t="s">
        <v>51</v>
      </c>
      <c r="L4790" t="s">
        <v>52</v>
      </c>
      <c r="M4790">
        <v>133844.60999999999</v>
      </c>
      <c r="N4790">
        <v>468799.73</v>
      </c>
      <c r="O4790" t="s">
        <v>53</v>
      </c>
      <c r="P4790" t="s">
        <v>54</v>
      </c>
      <c r="Q4790" t="s">
        <v>55</v>
      </c>
      <c r="T4790" t="s">
        <v>1076</v>
      </c>
      <c r="U4790">
        <v>30</v>
      </c>
      <c r="V4790" s="1">
        <v>44236</v>
      </c>
      <c r="W4790" s="1">
        <v>44236</v>
      </c>
      <c r="X4790" s="1">
        <v>44236</v>
      </c>
      <c r="Y4790" s="1">
        <v>55193</v>
      </c>
      <c r="Z4790" t="s">
        <v>51</v>
      </c>
      <c r="AB4790" t="s">
        <v>54</v>
      </c>
      <c r="AC4790">
        <v>1</v>
      </c>
      <c r="AE4790" t="s">
        <v>2155</v>
      </c>
      <c r="AF4790">
        <v>20</v>
      </c>
      <c r="AG4790" s="1">
        <v>44236</v>
      </c>
      <c r="AH4790" s="1">
        <v>44236</v>
      </c>
      <c r="AI4790" s="1">
        <v>44236</v>
      </c>
      <c r="AJ4790" s="1">
        <v>51541</v>
      </c>
      <c r="AK4790" t="s">
        <v>51</v>
      </c>
      <c r="AN4790">
        <v>0</v>
      </c>
      <c r="AO4790" t="s">
        <v>54</v>
      </c>
      <c r="AP4790" t="s">
        <v>53</v>
      </c>
      <c r="AQ4790">
        <v>0</v>
      </c>
      <c r="AR4790" t="s">
        <v>53</v>
      </c>
      <c r="AS4790">
        <v>0</v>
      </c>
      <c r="AT4790">
        <v>0</v>
      </c>
      <c r="AW4790" t="s">
        <v>79</v>
      </c>
      <c r="AX4790">
        <v>20</v>
      </c>
      <c r="AY4790" s="1">
        <v>44236</v>
      </c>
      <c r="AZ4790" s="1">
        <v>44236</v>
      </c>
      <c r="BA4790" s="1">
        <v>44236</v>
      </c>
      <c r="BB4790" s="1">
        <v>51541</v>
      </c>
      <c r="BC4790" t="s">
        <v>51</v>
      </c>
      <c r="BE4790" t="s">
        <v>54</v>
      </c>
      <c r="BF4790">
        <v>5</v>
      </c>
      <c r="BG4790">
        <v>0</v>
      </c>
      <c r="BH4790" t="s">
        <v>53</v>
      </c>
      <c r="BK4790" t="s">
        <v>146</v>
      </c>
      <c r="BL4790">
        <v>14000</v>
      </c>
      <c r="BM4790" s="1">
        <v>44236</v>
      </c>
      <c r="BN4790" s="1">
        <v>44236</v>
      </c>
      <c r="BO4790" s="1">
        <v>44236</v>
      </c>
      <c r="BP4790" s="1">
        <v>45531</v>
      </c>
      <c r="BQ4790" t="s">
        <v>51</v>
      </c>
      <c r="BS4790" t="s">
        <v>78</v>
      </c>
      <c r="BT4790" t="s">
        <v>54</v>
      </c>
      <c r="BU4790" t="s">
        <v>61</v>
      </c>
      <c r="BV4790" t="s">
        <v>62</v>
      </c>
      <c r="BX4790">
        <v>24</v>
      </c>
      <c r="BY4790">
        <v>0</v>
      </c>
      <c r="BZ4790">
        <v>0</v>
      </c>
    </row>
    <row r="4791" spans="1:112" x14ac:dyDescent="0.2">
      <c r="A4791" t="s">
        <v>367</v>
      </c>
      <c r="B4791" t="s">
        <v>440</v>
      </c>
      <c r="C4791" t="s">
        <v>441</v>
      </c>
      <c r="D4791" t="s">
        <v>806</v>
      </c>
      <c r="F4791" t="str">
        <f>"254438"</f>
        <v>254438</v>
      </c>
      <c r="G4791" t="s">
        <v>49</v>
      </c>
      <c r="K4791" t="s">
        <v>51</v>
      </c>
      <c r="L4791" t="s">
        <v>52</v>
      </c>
      <c r="M4791">
        <v>133899.13</v>
      </c>
      <c r="N4791">
        <v>468799.13</v>
      </c>
      <c r="O4791" t="s">
        <v>53</v>
      </c>
      <c r="P4791" t="s">
        <v>54</v>
      </c>
      <c r="Q4791" t="s">
        <v>55</v>
      </c>
      <c r="T4791" t="s">
        <v>1076</v>
      </c>
      <c r="U4791">
        <v>30</v>
      </c>
      <c r="V4791" s="1">
        <v>44236</v>
      </c>
      <c r="W4791" s="1">
        <v>44236</v>
      </c>
      <c r="X4791" s="1">
        <v>44236</v>
      </c>
      <c r="Y4791" s="1">
        <v>55193</v>
      </c>
      <c r="Z4791" t="s">
        <v>51</v>
      </c>
      <c r="AB4791" t="s">
        <v>54</v>
      </c>
      <c r="AC4791">
        <v>1</v>
      </c>
      <c r="AE4791" t="s">
        <v>2155</v>
      </c>
      <c r="AF4791">
        <v>20</v>
      </c>
      <c r="AG4791" s="1">
        <v>44236</v>
      </c>
      <c r="AH4791" s="1">
        <v>44236</v>
      </c>
      <c r="AI4791" s="1">
        <v>44236</v>
      </c>
      <c r="AJ4791" s="1">
        <v>51541</v>
      </c>
      <c r="AK4791" t="s">
        <v>51</v>
      </c>
      <c r="AN4791">
        <v>0</v>
      </c>
      <c r="AO4791" t="s">
        <v>54</v>
      </c>
      <c r="AP4791" t="s">
        <v>53</v>
      </c>
      <c r="AQ4791">
        <v>0</v>
      </c>
      <c r="AR4791" t="s">
        <v>53</v>
      </c>
      <c r="AS4791">
        <v>0</v>
      </c>
      <c r="AT4791">
        <v>0</v>
      </c>
      <c r="AW4791" t="s">
        <v>79</v>
      </c>
      <c r="AX4791">
        <v>20</v>
      </c>
      <c r="AY4791" s="1">
        <v>44236</v>
      </c>
      <c r="AZ4791" s="1">
        <v>44236</v>
      </c>
      <c r="BA4791" s="1">
        <v>44236</v>
      </c>
      <c r="BB4791" s="1">
        <v>51541</v>
      </c>
      <c r="BC4791" t="s">
        <v>51</v>
      </c>
      <c r="BE4791" t="s">
        <v>54</v>
      </c>
      <c r="BF4791">
        <v>5</v>
      </c>
      <c r="BG4791">
        <v>0</v>
      </c>
      <c r="BH4791" t="s">
        <v>53</v>
      </c>
      <c r="BK4791" t="s">
        <v>146</v>
      </c>
      <c r="BL4791">
        <v>14000</v>
      </c>
      <c r="BM4791" s="1">
        <v>44236</v>
      </c>
      <c r="BN4791" s="1">
        <v>44236</v>
      </c>
      <c r="BO4791" s="1">
        <v>44236</v>
      </c>
      <c r="BP4791" s="1">
        <v>45531</v>
      </c>
      <c r="BQ4791" t="s">
        <v>51</v>
      </c>
      <c r="BS4791" t="s">
        <v>78</v>
      </c>
      <c r="BT4791" t="s">
        <v>54</v>
      </c>
      <c r="BU4791" t="s">
        <v>61</v>
      </c>
      <c r="BV4791" t="s">
        <v>62</v>
      </c>
      <c r="BX4791">
        <v>24</v>
      </c>
      <c r="BY4791">
        <v>0</v>
      </c>
      <c r="BZ4791">
        <v>0</v>
      </c>
    </row>
    <row r="4792" spans="1:112" x14ac:dyDescent="0.2">
      <c r="A4792" t="s">
        <v>367</v>
      </c>
      <c r="B4792" t="s">
        <v>440</v>
      </c>
      <c r="C4792" t="s">
        <v>441</v>
      </c>
      <c r="D4792" t="s">
        <v>806</v>
      </c>
      <c r="F4792" t="str">
        <f>"254437"</f>
        <v>254437</v>
      </c>
      <c r="G4792" t="s">
        <v>49</v>
      </c>
      <c r="K4792" t="s">
        <v>51</v>
      </c>
      <c r="L4792" t="s">
        <v>52</v>
      </c>
      <c r="M4792">
        <v>133868.54999999999</v>
      </c>
      <c r="N4792">
        <v>468809.02</v>
      </c>
      <c r="O4792" t="s">
        <v>53</v>
      </c>
      <c r="P4792" t="s">
        <v>54</v>
      </c>
      <c r="Q4792" t="s">
        <v>55</v>
      </c>
      <c r="T4792" t="s">
        <v>1076</v>
      </c>
      <c r="U4792">
        <v>30</v>
      </c>
      <c r="V4792" s="1">
        <v>44236</v>
      </c>
      <c r="W4792" s="1">
        <v>44236</v>
      </c>
      <c r="X4792" s="1">
        <v>44236</v>
      </c>
      <c r="Y4792" s="1">
        <v>55193</v>
      </c>
      <c r="Z4792" t="s">
        <v>51</v>
      </c>
      <c r="AB4792" t="s">
        <v>54</v>
      </c>
      <c r="AC4792">
        <v>1</v>
      </c>
      <c r="AE4792" t="s">
        <v>2155</v>
      </c>
      <c r="AF4792">
        <v>20</v>
      </c>
      <c r="AG4792" s="1">
        <v>44236</v>
      </c>
      <c r="AH4792" s="1">
        <v>44236</v>
      </c>
      <c r="AI4792" s="1">
        <v>44236</v>
      </c>
      <c r="AJ4792" s="1">
        <v>51541</v>
      </c>
      <c r="AK4792" t="s">
        <v>51</v>
      </c>
      <c r="AN4792">
        <v>0</v>
      </c>
      <c r="AO4792" t="s">
        <v>54</v>
      </c>
      <c r="AP4792" t="s">
        <v>53</v>
      </c>
      <c r="AQ4792">
        <v>0</v>
      </c>
      <c r="AR4792" t="s">
        <v>53</v>
      </c>
      <c r="AS4792">
        <v>0</v>
      </c>
      <c r="AT4792">
        <v>0</v>
      </c>
      <c r="AW4792" t="s">
        <v>79</v>
      </c>
      <c r="AX4792">
        <v>20</v>
      </c>
      <c r="AY4792" s="1">
        <v>44236</v>
      </c>
      <c r="AZ4792" s="1">
        <v>44236</v>
      </c>
      <c r="BA4792" s="1">
        <v>44236</v>
      </c>
      <c r="BB4792" s="1">
        <v>51541</v>
      </c>
      <c r="BC4792" t="s">
        <v>51</v>
      </c>
      <c r="BE4792" t="s">
        <v>54</v>
      </c>
      <c r="BF4792">
        <v>5</v>
      </c>
      <c r="BG4792">
        <v>0</v>
      </c>
      <c r="BH4792" t="s">
        <v>53</v>
      </c>
      <c r="BK4792" t="s">
        <v>146</v>
      </c>
      <c r="BL4792">
        <v>14000</v>
      </c>
      <c r="BM4792" s="1">
        <v>44236</v>
      </c>
      <c r="BN4792" s="1">
        <v>44236</v>
      </c>
      <c r="BO4792" s="1">
        <v>44236</v>
      </c>
      <c r="BP4792" s="1">
        <v>45531</v>
      </c>
      <c r="BQ4792" t="s">
        <v>51</v>
      </c>
      <c r="BS4792" t="s">
        <v>78</v>
      </c>
      <c r="BT4792" t="s">
        <v>54</v>
      </c>
      <c r="BU4792" t="s">
        <v>61</v>
      </c>
      <c r="BV4792" t="s">
        <v>62</v>
      </c>
      <c r="BX4792">
        <v>24</v>
      </c>
      <c r="BY4792">
        <v>0</v>
      </c>
      <c r="BZ4792">
        <v>0</v>
      </c>
    </row>
    <row r="4793" spans="1:112" x14ac:dyDescent="0.2">
      <c r="A4793" t="s">
        <v>367</v>
      </c>
      <c r="B4793" t="s">
        <v>440</v>
      </c>
      <c r="C4793" t="s">
        <v>441</v>
      </c>
      <c r="D4793" t="s">
        <v>806</v>
      </c>
      <c r="F4793" t="str">
        <f>"254440"</f>
        <v>254440</v>
      </c>
      <c r="G4793" t="s">
        <v>49</v>
      </c>
      <c r="K4793" t="s">
        <v>51</v>
      </c>
      <c r="L4793" t="s">
        <v>52</v>
      </c>
      <c r="M4793">
        <v>133961.69</v>
      </c>
      <c r="N4793">
        <v>468797.6</v>
      </c>
      <c r="O4793" t="s">
        <v>53</v>
      </c>
      <c r="P4793" t="s">
        <v>54</v>
      </c>
      <c r="Q4793" t="s">
        <v>55</v>
      </c>
      <c r="T4793" t="s">
        <v>1076</v>
      </c>
      <c r="U4793">
        <v>30</v>
      </c>
      <c r="V4793" s="1">
        <v>44236</v>
      </c>
      <c r="W4793" s="1">
        <v>44236</v>
      </c>
      <c r="X4793" s="1">
        <v>44236</v>
      </c>
      <c r="Y4793" s="1">
        <v>55193</v>
      </c>
      <c r="Z4793" t="s">
        <v>51</v>
      </c>
      <c r="AB4793" t="s">
        <v>54</v>
      </c>
      <c r="AC4793">
        <v>1</v>
      </c>
      <c r="AE4793" t="s">
        <v>2155</v>
      </c>
      <c r="AF4793">
        <v>20</v>
      </c>
      <c r="AG4793" s="1">
        <v>44236</v>
      </c>
      <c r="AH4793" s="1">
        <v>44236</v>
      </c>
      <c r="AI4793" s="1">
        <v>44236</v>
      </c>
      <c r="AJ4793" s="1">
        <v>51541</v>
      </c>
      <c r="AK4793" t="s">
        <v>51</v>
      </c>
      <c r="AN4793">
        <v>0</v>
      </c>
      <c r="AO4793" t="s">
        <v>54</v>
      </c>
      <c r="AP4793" t="s">
        <v>53</v>
      </c>
      <c r="AQ4793">
        <v>0</v>
      </c>
      <c r="AR4793" t="s">
        <v>53</v>
      </c>
      <c r="AS4793">
        <v>0</v>
      </c>
      <c r="AT4793">
        <v>0</v>
      </c>
      <c r="AW4793" t="s">
        <v>79</v>
      </c>
      <c r="AX4793">
        <v>20</v>
      </c>
      <c r="AY4793" s="1">
        <v>44236</v>
      </c>
      <c r="AZ4793" s="1">
        <v>44236</v>
      </c>
      <c r="BA4793" s="1">
        <v>44236</v>
      </c>
      <c r="BB4793" s="1">
        <v>51541</v>
      </c>
      <c r="BC4793" t="s">
        <v>51</v>
      </c>
      <c r="BE4793" t="s">
        <v>54</v>
      </c>
      <c r="BF4793">
        <v>5</v>
      </c>
      <c r="BG4793">
        <v>0</v>
      </c>
      <c r="BH4793" t="s">
        <v>53</v>
      </c>
      <c r="BK4793" t="s">
        <v>146</v>
      </c>
      <c r="BL4793">
        <v>14000</v>
      </c>
      <c r="BM4793" s="1">
        <v>44236</v>
      </c>
      <c r="BN4793" s="1">
        <v>44236</v>
      </c>
      <c r="BO4793" s="1">
        <v>44236</v>
      </c>
      <c r="BP4793" s="1">
        <v>45531</v>
      </c>
      <c r="BQ4793" t="s">
        <v>51</v>
      </c>
      <c r="BS4793" t="s">
        <v>78</v>
      </c>
      <c r="BT4793" t="s">
        <v>54</v>
      </c>
      <c r="BU4793" t="s">
        <v>61</v>
      </c>
      <c r="BV4793" t="s">
        <v>62</v>
      </c>
      <c r="BX4793">
        <v>24</v>
      </c>
      <c r="BY4793">
        <v>0</v>
      </c>
      <c r="BZ4793">
        <v>0</v>
      </c>
    </row>
    <row r="4794" spans="1:112" x14ac:dyDescent="0.2">
      <c r="A4794" t="s">
        <v>367</v>
      </c>
      <c r="B4794" t="s">
        <v>440</v>
      </c>
      <c r="C4794" t="s">
        <v>441</v>
      </c>
      <c r="D4794" t="s">
        <v>806</v>
      </c>
      <c r="F4794" t="str">
        <f>"254442"</f>
        <v>254442</v>
      </c>
      <c r="G4794" t="s">
        <v>49</v>
      </c>
      <c r="K4794" t="s">
        <v>51</v>
      </c>
      <c r="L4794" t="s">
        <v>52</v>
      </c>
      <c r="M4794">
        <v>134028.85999999999</v>
      </c>
      <c r="N4794">
        <v>468795.41</v>
      </c>
      <c r="O4794" t="s">
        <v>53</v>
      </c>
      <c r="P4794" t="s">
        <v>54</v>
      </c>
      <c r="Q4794" t="s">
        <v>55</v>
      </c>
      <c r="T4794" t="s">
        <v>1076</v>
      </c>
      <c r="U4794">
        <v>30</v>
      </c>
      <c r="V4794" s="1">
        <v>44236</v>
      </c>
      <c r="W4794" s="1">
        <v>44236</v>
      </c>
      <c r="X4794" s="1">
        <v>44236</v>
      </c>
      <c r="Y4794" s="1">
        <v>55193</v>
      </c>
      <c r="Z4794" t="s">
        <v>51</v>
      </c>
      <c r="AB4794" t="s">
        <v>54</v>
      </c>
      <c r="AC4794">
        <v>1</v>
      </c>
      <c r="AE4794" t="s">
        <v>2155</v>
      </c>
      <c r="AF4794">
        <v>20</v>
      </c>
      <c r="AG4794" s="1">
        <v>44236</v>
      </c>
      <c r="AH4794" s="1">
        <v>44236</v>
      </c>
      <c r="AI4794" s="1">
        <v>44236</v>
      </c>
      <c r="AJ4794" s="1">
        <v>51541</v>
      </c>
      <c r="AK4794" t="s">
        <v>51</v>
      </c>
      <c r="AN4794">
        <v>0</v>
      </c>
      <c r="AO4794" t="s">
        <v>54</v>
      </c>
      <c r="AP4794" t="s">
        <v>53</v>
      </c>
      <c r="AQ4794">
        <v>0</v>
      </c>
      <c r="AR4794" t="s">
        <v>53</v>
      </c>
      <c r="AS4794">
        <v>0</v>
      </c>
      <c r="AT4794">
        <v>0</v>
      </c>
      <c r="AW4794" t="s">
        <v>79</v>
      </c>
      <c r="AX4794">
        <v>20</v>
      </c>
      <c r="AY4794" s="1">
        <v>44236</v>
      </c>
      <c r="AZ4794" s="1">
        <v>44236</v>
      </c>
      <c r="BA4794" s="1">
        <v>44236</v>
      </c>
      <c r="BB4794" s="1">
        <v>51541</v>
      </c>
      <c r="BC4794" t="s">
        <v>51</v>
      </c>
      <c r="BE4794" t="s">
        <v>54</v>
      </c>
      <c r="BF4794">
        <v>5</v>
      </c>
      <c r="BG4794">
        <v>0</v>
      </c>
      <c r="BH4794" t="s">
        <v>53</v>
      </c>
      <c r="BK4794" t="s">
        <v>146</v>
      </c>
      <c r="BL4794">
        <v>14000</v>
      </c>
      <c r="BM4794" s="1">
        <v>44236</v>
      </c>
      <c r="BN4794" s="1">
        <v>44236</v>
      </c>
      <c r="BO4794" s="1">
        <v>44236</v>
      </c>
      <c r="BP4794" s="1">
        <v>45531</v>
      </c>
      <c r="BQ4794" t="s">
        <v>51</v>
      </c>
      <c r="BS4794" t="s">
        <v>78</v>
      </c>
      <c r="BT4794" t="s">
        <v>54</v>
      </c>
      <c r="BU4794" t="s">
        <v>61</v>
      </c>
      <c r="BV4794" t="s">
        <v>62</v>
      </c>
      <c r="BX4794">
        <v>24</v>
      </c>
      <c r="BY4794">
        <v>0</v>
      </c>
      <c r="BZ4794">
        <v>0</v>
      </c>
    </row>
    <row r="4795" spans="1:112" x14ac:dyDescent="0.2">
      <c r="A4795" t="s">
        <v>367</v>
      </c>
      <c r="B4795" t="s">
        <v>368</v>
      </c>
      <c r="C4795" t="s">
        <v>369</v>
      </c>
      <c r="D4795" t="s">
        <v>1392</v>
      </c>
      <c r="F4795" t="str">
        <f>"254445"</f>
        <v>254445</v>
      </c>
      <c r="G4795" t="s">
        <v>49</v>
      </c>
      <c r="K4795" t="s">
        <v>51</v>
      </c>
      <c r="L4795" t="s">
        <v>52</v>
      </c>
      <c r="M4795">
        <v>138268.79999999999</v>
      </c>
      <c r="N4795">
        <v>467389.4</v>
      </c>
      <c r="O4795" t="s">
        <v>53</v>
      </c>
      <c r="P4795" t="s">
        <v>54</v>
      </c>
      <c r="Q4795" t="s">
        <v>55</v>
      </c>
      <c r="T4795" t="s">
        <v>466</v>
      </c>
      <c r="U4795">
        <v>40</v>
      </c>
      <c r="V4795" s="1">
        <v>42552</v>
      </c>
      <c r="W4795" s="1">
        <v>42552</v>
      </c>
      <c r="X4795" s="1">
        <v>42552</v>
      </c>
      <c r="Y4795" s="1">
        <v>57162</v>
      </c>
      <c r="Z4795" t="s">
        <v>51</v>
      </c>
      <c r="AB4795" t="s">
        <v>54</v>
      </c>
      <c r="AE4795" t="s">
        <v>79</v>
      </c>
      <c r="AF4795">
        <v>20</v>
      </c>
      <c r="AG4795" s="1">
        <v>42552</v>
      </c>
      <c r="AH4795" s="1">
        <v>42552</v>
      </c>
      <c r="AI4795" s="1">
        <v>42552</v>
      </c>
      <c r="AJ4795" s="1">
        <v>49857</v>
      </c>
      <c r="AK4795" t="s">
        <v>51</v>
      </c>
      <c r="AN4795">
        <v>0</v>
      </c>
      <c r="AO4795" t="s">
        <v>54</v>
      </c>
      <c r="AP4795" t="s">
        <v>53</v>
      </c>
      <c r="AQ4795">
        <v>0</v>
      </c>
      <c r="AR4795" t="s">
        <v>145</v>
      </c>
      <c r="AS4795">
        <v>0</v>
      </c>
      <c r="AT4795">
        <v>0</v>
      </c>
      <c r="CC4795" t="s">
        <v>439</v>
      </c>
      <c r="CD4795">
        <v>85000</v>
      </c>
      <c r="CE4795" s="1">
        <v>42552</v>
      </c>
      <c r="CF4795" s="1">
        <v>42552</v>
      </c>
      <c r="CG4795" s="1">
        <v>42552</v>
      </c>
      <c r="CH4795" s="1">
        <v>50139</v>
      </c>
      <c r="CI4795" t="s">
        <v>51</v>
      </c>
      <c r="CK4795" t="s">
        <v>78</v>
      </c>
      <c r="CM4795" t="s">
        <v>54</v>
      </c>
      <c r="CN4795" t="s">
        <v>174</v>
      </c>
      <c r="CO4795" t="s">
        <v>86</v>
      </c>
      <c r="CR4795">
        <v>25</v>
      </c>
      <c r="CS4795">
        <v>0</v>
      </c>
      <c r="CT4795">
        <v>0</v>
      </c>
      <c r="CU4795">
        <v>0</v>
      </c>
    </row>
    <row r="4796" spans="1:112" x14ac:dyDescent="0.2">
      <c r="A4796" t="s">
        <v>367</v>
      </c>
      <c r="B4796" t="s">
        <v>368</v>
      </c>
      <c r="C4796" t="s">
        <v>369</v>
      </c>
      <c r="D4796" t="s">
        <v>1392</v>
      </c>
      <c r="F4796" t="str">
        <f>"254446"</f>
        <v>254446</v>
      </c>
      <c r="G4796" t="s">
        <v>49</v>
      </c>
      <c r="K4796" t="s">
        <v>51</v>
      </c>
      <c r="L4796" t="s">
        <v>52</v>
      </c>
      <c r="M4796">
        <v>138240.13</v>
      </c>
      <c r="N4796">
        <v>467371.39</v>
      </c>
      <c r="O4796" t="s">
        <v>53</v>
      </c>
      <c r="P4796" t="s">
        <v>54</v>
      </c>
      <c r="Q4796" t="s">
        <v>55</v>
      </c>
      <c r="T4796" t="s">
        <v>466</v>
      </c>
      <c r="U4796">
        <v>40</v>
      </c>
      <c r="V4796" s="1">
        <v>42552</v>
      </c>
      <c r="W4796" s="1">
        <v>42552</v>
      </c>
      <c r="X4796" s="1">
        <v>42552</v>
      </c>
      <c r="Y4796" s="1">
        <v>57162</v>
      </c>
      <c r="Z4796" t="s">
        <v>51</v>
      </c>
      <c r="AB4796" t="s">
        <v>54</v>
      </c>
      <c r="AE4796" t="s">
        <v>79</v>
      </c>
      <c r="AF4796">
        <v>20</v>
      </c>
      <c r="AG4796" s="1">
        <v>42552</v>
      </c>
      <c r="AH4796" s="1">
        <v>42552</v>
      </c>
      <c r="AI4796" s="1">
        <v>42552</v>
      </c>
      <c r="AJ4796" s="1">
        <v>49857</v>
      </c>
      <c r="AK4796" t="s">
        <v>51</v>
      </c>
      <c r="AN4796">
        <v>0</v>
      </c>
      <c r="AO4796" t="s">
        <v>54</v>
      </c>
      <c r="AP4796" t="s">
        <v>53</v>
      </c>
      <c r="AQ4796">
        <v>0</v>
      </c>
      <c r="AR4796" t="s">
        <v>145</v>
      </c>
      <c r="AS4796">
        <v>0</v>
      </c>
      <c r="AT4796">
        <v>0</v>
      </c>
      <c r="CC4796" t="s">
        <v>439</v>
      </c>
      <c r="CD4796">
        <v>85000</v>
      </c>
      <c r="CE4796" s="1">
        <v>42552</v>
      </c>
      <c r="CF4796" s="1">
        <v>42552</v>
      </c>
      <c r="CG4796" s="1">
        <v>42552</v>
      </c>
      <c r="CH4796" s="1">
        <v>50139</v>
      </c>
      <c r="CI4796" t="s">
        <v>51</v>
      </c>
      <c r="CK4796" t="s">
        <v>78</v>
      </c>
      <c r="CM4796" t="s">
        <v>54</v>
      </c>
      <c r="CN4796" t="s">
        <v>174</v>
      </c>
      <c r="CO4796" t="s">
        <v>86</v>
      </c>
      <c r="CR4796">
        <v>25</v>
      </c>
      <c r="CS4796">
        <v>0</v>
      </c>
      <c r="CT4796">
        <v>0</v>
      </c>
      <c r="CU4796">
        <v>0</v>
      </c>
    </row>
    <row r="4797" spans="1:112" x14ac:dyDescent="0.2">
      <c r="A4797" t="s">
        <v>367</v>
      </c>
      <c r="B4797" t="s">
        <v>368</v>
      </c>
      <c r="C4797" t="s">
        <v>369</v>
      </c>
      <c r="D4797" t="s">
        <v>1392</v>
      </c>
      <c r="F4797" t="str">
        <f>"254447"</f>
        <v>254447</v>
      </c>
      <c r="G4797" t="s">
        <v>49</v>
      </c>
      <c r="K4797" t="s">
        <v>51</v>
      </c>
      <c r="L4797" t="s">
        <v>52</v>
      </c>
      <c r="M4797">
        <v>138225.13</v>
      </c>
      <c r="N4797">
        <v>467338.34</v>
      </c>
      <c r="O4797" t="s">
        <v>53</v>
      </c>
      <c r="P4797" t="s">
        <v>54</v>
      </c>
      <c r="Q4797" t="s">
        <v>55</v>
      </c>
      <c r="T4797" t="s">
        <v>466</v>
      </c>
      <c r="U4797">
        <v>40</v>
      </c>
      <c r="V4797" s="1">
        <v>42552</v>
      </c>
      <c r="W4797" s="1">
        <v>42552</v>
      </c>
      <c r="X4797" s="1">
        <v>42552</v>
      </c>
      <c r="Y4797" s="1">
        <v>57162</v>
      </c>
      <c r="Z4797" t="s">
        <v>51</v>
      </c>
      <c r="AB4797" t="s">
        <v>54</v>
      </c>
      <c r="AE4797" t="s">
        <v>79</v>
      </c>
      <c r="AF4797">
        <v>20</v>
      </c>
      <c r="AG4797" s="1">
        <v>42552</v>
      </c>
      <c r="AH4797" s="1">
        <v>42552</v>
      </c>
      <c r="AI4797" s="1">
        <v>42552</v>
      </c>
      <c r="AJ4797" s="1">
        <v>49857</v>
      </c>
      <c r="AK4797" t="s">
        <v>51</v>
      </c>
      <c r="AN4797">
        <v>0</v>
      </c>
      <c r="AO4797" t="s">
        <v>54</v>
      </c>
      <c r="AP4797" t="s">
        <v>53</v>
      </c>
      <c r="AQ4797">
        <v>0</v>
      </c>
      <c r="AR4797" t="s">
        <v>145</v>
      </c>
      <c r="AS4797">
        <v>0</v>
      </c>
      <c r="AT4797">
        <v>0</v>
      </c>
      <c r="CC4797" t="s">
        <v>439</v>
      </c>
      <c r="CD4797">
        <v>85000</v>
      </c>
      <c r="CE4797" s="1">
        <v>42552</v>
      </c>
      <c r="CF4797" s="1">
        <v>42552</v>
      </c>
      <c r="CG4797" s="1">
        <v>42552</v>
      </c>
      <c r="CH4797" s="1">
        <v>50139</v>
      </c>
      <c r="CI4797" t="s">
        <v>51</v>
      </c>
      <c r="CK4797" t="s">
        <v>78</v>
      </c>
      <c r="CM4797" t="s">
        <v>54</v>
      </c>
      <c r="CN4797" t="s">
        <v>174</v>
      </c>
      <c r="CO4797" t="s">
        <v>86</v>
      </c>
      <c r="CR4797">
        <v>25</v>
      </c>
      <c r="CS4797">
        <v>0</v>
      </c>
      <c r="CT4797">
        <v>0</v>
      </c>
      <c r="CU4797">
        <v>0</v>
      </c>
    </row>
    <row r="4798" spans="1:112" x14ac:dyDescent="0.2">
      <c r="A4798" t="s">
        <v>367</v>
      </c>
      <c r="B4798" t="s">
        <v>368</v>
      </c>
      <c r="C4798" t="s">
        <v>369</v>
      </c>
      <c r="D4798" t="s">
        <v>1392</v>
      </c>
      <c r="F4798" t="str">
        <f>"254448"</f>
        <v>254448</v>
      </c>
      <c r="G4798" t="s">
        <v>49</v>
      </c>
      <c r="K4798" t="s">
        <v>51</v>
      </c>
      <c r="L4798" t="s">
        <v>52</v>
      </c>
      <c r="M4798">
        <v>138198.25</v>
      </c>
      <c r="N4798">
        <v>467315.23</v>
      </c>
      <c r="O4798" t="s">
        <v>53</v>
      </c>
      <c r="P4798" t="s">
        <v>54</v>
      </c>
      <c r="Q4798" t="s">
        <v>55</v>
      </c>
      <c r="T4798" t="s">
        <v>466</v>
      </c>
      <c r="U4798">
        <v>40</v>
      </c>
      <c r="V4798" s="1">
        <v>42552</v>
      </c>
      <c r="W4798" s="1">
        <v>42552</v>
      </c>
      <c r="X4798" s="1">
        <v>42552</v>
      </c>
      <c r="Y4798" s="1">
        <v>57162</v>
      </c>
      <c r="Z4798" t="s">
        <v>51</v>
      </c>
      <c r="AB4798" t="s">
        <v>54</v>
      </c>
      <c r="AE4798" t="s">
        <v>79</v>
      </c>
      <c r="AF4798">
        <v>20</v>
      </c>
      <c r="AG4798" s="1">
        <v>42552</v>
      </c>
      <c r="AH4798" s="1">
        <v>42552</v>
      </c>
      <c r="AI4798" s="1">
        <v>42552</v>
      </c>
      <c r="AJ4798" s="1">
        <v>49857</v>
      </c>
      <c r="AK4798" t="s">
        <v>51</v>
      </c>
      <c r="AN4798">
        <v>0</v>
      </c>
      <c r="AO4798" t="s">
        <v>54</v>
      </c>
      <c r="AP4798" t="s">
        <v>53</v>
      </c>
      <c r="AQ4798">
        <v>0</v>
      </c>
      <c r="AR4798" t="s">
        <v>145</v>
      </c>
      <c r="AS4798">
        <v>0</v>
      </c>
      <c r="AT4798">
        <v>0</v>
      </c>
      <c r="CC4798" t="s">
        <v>439</v>
      </c>
      <c r="CD4798">
        <v>85000</v>
      </c>
      <c r="CE4798" s="1">
        <v>42552</v>
      </c>
      <c r="CF4798" s="1">
        <v>42552</v>
      </c>
      <c r="CG4798" s="1">
        <v>42552</v>
      </c>
      <c r="CH4798" s="1">
        <v>50139</v>
      </c>
      <c r="CI4798" t="s">
        <v>51</v>
      </c>
      <c r="CK4798" t="s">
        <v>78</v>
      </c>
      <c r="CM4798" t="s">
        <v>54</v>
      </c>
      <c r="CN4798" t="s">
        <v>174</v>
      </c>
      <c r="CO4798" t="s">
        <v>86</v>
      </c>
      <c r="CR4798">
        <v>25</v>
      </c>
      <c r="CS4798">
        <v>0</v>
      </c>
      <c r="CT4798">
        <v>0</v>
      </c>
      <c r="CU4798">
        <v>0</v>
      </c>
    </row>
    <row r="4799" spans="1:112" x14ac:dyDescent="0.2">
      <c r="A4799" t="s">
        <v>367</v>
      </c>
      <c r="B4799" t="s">
        <v>368</v>
      </c>
      <c r="C4799" t="s">
        <v>369</v>
      </c>
      <c r="D4799" t="s">
        <v>1392</v>
      </c>
      <c r="F4799" t="str">
        <f>"254449"</f>
        <v>254449</v>
      </c>
      <c r="G4799" t="s">
        <v>49</v>
      </c>
      <c r="K4799" t="s">
        <v>51</v>
      </c>
      <c r="L4799" t="s">
        <v>52</v>
      </c>
      <c r="M4799">
        <v>138178.20000000001</v>
      </c>
      <c r="N4799">
        <v>467286.39</v>
      </c>
      <c r="O4799" t="s">
        <v>53</v>
      </c>
      <c r="P4799" t="s">
        <v>54</v>
      </c>
      <c r="Q4799" t="s">
        <v>55</v>
      </c>
      <c r="T4799" t="s">
        <v>466</v>
      </c>
      <c r="U4799">
        <v>40</v>
      </c>
      <c r="V4799" s="1">
        <v>42552</v>
      </c>
      <c r="W4799" s="1">
        <v>42552</v>
      </c>
      <c r="X4799" s="1">
        <v>42552</v>
      </c>
      <c r="Y4799" s="1">
        <v>57162</v>
      </c>
      <c r="Z4799" t="s">
        <v>51</v>
      </c>
      <c r="AB4799" t="s">
        <v>54</v>
      </c>
      <c r="AE4799" t="s">
        <v>79</v>
      </c>
      <c r="AF4799">
        <v>20</v>
      </c>
      <c r="AG4799" s="1">
        <v>42552</v>
      </c>
      <c r="AH4799" s="1">
        <v>42552</v>
      </c>
      <c r="AI4799" s="1">
        <v>42552</v>
      </c>
      <c r="AJ4799" s="1">
        <v>49857</v>
      </c>
      <c r="AK4799" t="s">
        <v>51</v>
      </c>
      <c r="AN4799">
        <v>0</v>
      </c>
      <c r="AO4799" t="s">
        <v>54</v>
      </c>
      <c r="AP4799" t="s">
        <v>53</v>
      </c>
      <c r="AQ4799">
        <v>0</v>
      </c>
      <c r="AR4799" t="s">
        <v>145</v>
      </c>
      <c r="AS4799">
        <v>0</v>
      </c>
      <c r="AT4799">
        <v>0</v>
      </c>
      <c r="CC4799" t="s">
        <v>439</v>
      </c>
      <c r="CD4799">
        <v>85000</v>
      </c>
      <c r="CE4799" s="1">
        <v>42552</v>
      </c>
      <c r="CF4799" s="1">
        <v>42552</v>
      </c>
      <c r="CG4799" s="1">
        <v>42552</v>
      </c>
      <c r="CH4799" s="1">
        <v>50139</v>
      </c>
      <c r="CI4799" t="s">
        <v>51</v>
      </c>
      <c r="CK4799" t="s">
        <v>78</v>
      </c>
      <c r="CM4799" t="s">
        <v>54</v>
      </c>
      <c r="CN4799" t="s">
        <v>174</v>
      </c>
      <c r="CO4799" t="s">
        <v>86</v>
      </c>
      <c r="CR4799">
        <v>25</v>
      </c>
      <c r="CS4799">
        <v>0</v>
      </c>
      <c r="CT4799">
        <v>0</v>
      </c>
      <c r="CU4799">
        <v>0</v>
      </c>
    </row>
    <row r="4800" spans="1:112" x14ac:dyDescent="0.2">
      <c r="A4800" t="s">
        <v>367</v>
      </c>
      <c r="B4800" t="s">
        <v>368</v>
      </c>
      <c r="C4800" t="s">
        <v>369</v>
      </c>
      <c r="D4800" t="s">
        <v>1392</v>
      </c>
      <c r="F4800" t="str">
        <f>"254450"</f>
        <v>254450</v>
      </c>
      <c r="G4800" t="s">
        <v>49</v>
      </c>
      <c r="K4800" t="s">
        <v>51</v>
      </c>
      <c r="L4800" t="s">
        <v>52</v>
      </c>
      <c r="M4800">
        <v>138163.12</v>
      </c>
      <c r="N4800">
        <v>467267.58</v>
      </c>
      <c r="O4800" t="s">
        <v>53</v>
      </c>
      <c r="P4800" t="s">
        <v>54</v>
      </c>
      <c r="Q4800" t="s">
        <v>55</v>
      </c>
      <c r="T4800" t="s">
        <v>466</v>
      </c>
      <c r="U4800">
        <v>40</v>
      </c>
      <c r="V4800" s="1">
        <v>42552</v>
      </c>
      <c r="W4800" s="1">
        <v>42552</v>
      </c>
      <c r="X4800" s="1">
        <v>42552</v>
      </c>
      <c r="Y4800" s="1">
        <v>57162</v>
      </c>
      <c r="Z4800" t="s">
        <v>51</v>
      </c>
      <c r="AB4800" t="s">
        <v>54</v>
      </c>
      <c r="AE4800" t="s">
        <v>79</v>
      </c>
      <c r="AF4800">
        <v>20</v>
      </c>
      <c r="AG4800" s="1">
        <v>42552</v>
      </c>
      <c r="AH4800" s="1">
        <v>42552</v>
      </c>
      <c r="AI4800" s="1">
        <v>42552</v>
      </c>
      <c r="AJ4800" s="1">
        <v>49857</v>
      </c>
      <c r="AK4800" t="s">
        <v>51</v>
      </c>
      <c r="AN4800">
        <v>0</v>
      </c>
      <c r="AO4800" t="s">
        <v>54</v>
      </c>
      <c r="AP4800" t="s">
        <v>53</v>
      </c>
      <c r="AQ4800">
        <v>0</v>
      </c>
      <c r="AR4800" t="s">
        <v>145</v>
      </c>
      <c r="AS4800">
        <v>0</v>
      </c>
      <c r="AT4800">
        <v>0</v>
      </c>
      <c r="CC4800" t="s">
        <v>439</v>
      </c>
      <c r="CD4800">
        <v>85000</v>
      </c>
      <c r="CE4800" s="1">
        <v>42552</v>
      </c>
      <c r="CF4800" s="1">
        <v>42552</v>
      </c>
      <c r="CG4800" s="1">
        <v>42552</v>
      </c>
      <c r="CH4800" s="1">
        <v>50139</v>
      </c>
      <c r="CI4800" t="s">
        <v>51</v>
      </c>
      <c r="CK4800" t="s">
        <v>78</v>
      </c>
      <c r="CM4800" t="s">
        <v>54</v>
      </c>
      <c r="CN4800" t="s">
        <v>174</v>
      </c>
      <c r="CO4800" t="s">
        <v>86</v>
      </c>
      <c r="CR4800">
        <v>25</v>
      </c>
      <c r="CS4800">
        <v>0</v>
      </c>
      <c r="CT4800">
        <v>0</v>
      </c>
      <c r="CU4800">
        <v>0</v>
      </c>
    </row>
    <row r="4801" spans="1:99" x14ac:dyDescent="0.2">
      <c r="A4801" t="s">
        <v>367</v>
      </c>
      <c r="B4801" t="s">
        <v>368</v>
      </c>
      <c r="C4801" t="s">
        <v>369</v>
      </c>
      <c r="D4801" t="s">
        <v>1392</v>
      </c>
      <c r="F4801" t="str">
        <f>"254451"</f>
        <v>254451</v>
      </c>
      <c r="G4801" t="s">
        <v>49</v>
      </c>
      <c r="K4801" t="s">
        <v>51</v>
      </c>
      <c r="L4801" t="s">
        <v>52</v>
      </c>
      <c r="M4801">
        <v>138142.74</v>
      </c>
      <c r="N4801">
        <v>467244.82</v>
      </c>
      <c r="O4801" t="s">
        <v>53</v>
      </c>
      <c r="P4801" t="s">
        <v>54</v>
      </c>
      <c r="Q4801" t="s">
        <v>55</v>
      </c>
      <c r="T4801" t="s">
        <v>466</v>
      </c>
      <c r="U4801">
        <v>40</v>
      </c>
      <c r="V4801" s="1">
        <v>42552</v>
      </c>
      <c r="W4801" s="1">
        <v>42552</v>
      </c>
      <c r="X4801" s="1">
        <v>42552</v>
      </c>
      <c r="Y4801" s="1">
        <v>57162</v>
      </c>
      <c r="Z4801" t="s">
        <v>51</v>
      </c>
      <c r="AB4801" t="s">
        <v>54</v>
      </c>
      <c r="AE4801" t="s">
        <v>79</v>
      </c>
      <c r="AF4801">
        <v>20</v>
      </c>
      <c r="AG4801" s="1">
        <v>42552</v>
      </c>
      <c r="AH4801" s="1">
        <v>42552</v>
      </c>
      <c r="AI4801" s="1">
        <v>42552</v>
      </c>
      <c r="AJ4801" s="1">
        <v>49857</v>
      </c>
      <c r="AK4801" t="s">
        <v>51</v>
      </c>
      <c r="AN4801">
        <v>0</v>
      </c>
      <c r="AO4801" t="s">
        <v>54</v>
      </c>
      <c r="AP4801" t="s">
        <v>53</v>
      </c>
      <c r="AQ4801">
        <v>0</v>
      </c>
      <c r="AR4801" t="s">
        <v>145</v>
      </c>
      <c r="AS4801">
        <v>0</v>
      </c>
      <c r="AT4801">
        <v>0</v>
      </c>
      <c r="CC4801" t="s">
        <v>439</v>
      </c>
      <c r="CD4801">
        <v>85000</v>
      </c>
      <c r="CE4801" s="1">
        <v>42552</v>
      </c>
      <c r="CF4801" s="1">
        <v>42552</v>
      </c>
      <c r="CG4801" s="1">
        <v>42552</v>
      </c>
      <c r="CH4801" s="1">
        <v>50139</v>
      </c>
      <c r="CI4801" t="s">
        <v>51</v>
      </c>
      <c r="CK4801" t="s">
        <v>78</v>
      </c>
      <c r="CM4801" t="s">
        <v>54</v>
      </c>
      <c r="CN4801" t="s">
        <v>174</v>
      </c>
      <c r="CO4801" t="s">
        <v>86</v>
      </c>
      <c r="CR4801">
        <v>25</v>
      </c>
      <c r="CS4801">
        <v>0</v>
      </c>
      <c r="CT4801">
        <v>0</v>
      </c>
      <c r="CU4801">
        <v>0</v>
      </c>
    </row>
    <row r="4802" spans="1:99" x14ac:dyDescent="0.2">
      <c r="A4802" t="s">
        <v>367</v>
      </c>
      <c r="B4802" t="s">
        <v>368</v>
      </c>
      <c r="C4802" t="s">
        <v>369</v>
      </c>
      <c r="D4802" t="s">
        <v>1392</v>
      </c>
      <c r="F4802" t="str">
        <f>"254452"</f>
        <v>254452</v>
      </c>
      <c r="G4802" t="s">
        <v>49</v>
      </c>
      <c r="K4802" t="s">
        <v>51</v>
      </c>
      <c r="L4802" t="s">
        <v>52</v>
      </c>
      <c r="M4802">
        <v>138125.47</v>
      </c>
      <c r="N4802">
        <v>467223.98</v>
      </c>
      <c r="O4802" t="s">
        <v>53</v>
      </c>
      <c r="P4802" t="s">
        <v>54</v>
      </c>
      <c r="Q4802" t="s">
        <v>55</v>
      </c>
      <c r="T4802" t="s">
        <v>466</v>
      </c>
      <c r="U4802">
        <v>40</v>
      </c>
      <c r="V4802" s="1">
        <v>42552</v>
      </c>
      <c r="W4802" s="1">
        <v>42552</v>
      </c>
      <c r="X4802" s="1">
        <v>42552</v>
      </c>
      <c r="Y4802" s="1">
        <v>57162</v>
      </c>
      <c r="Z4802" t="s">
        <v>51</v>
      </c>
      <c r="AB4802" t="s">
        <v>54</v>
      </c>
      <c r="AE4802" t="s">
        <v>79</v>
      </c>
      <c r="AF4802">
        <v>20</v>
      </c>
      <c r="AG4802" s="1">
        <v>42552</v>
      </c>
      <c r="AH4802" s="1">
        <v>42552</v>
      </c>
      <c r="AI4802" s="1">
        <v>42552</v>
      </c>
      <c r="AJ4802" s="1">
        <v>49857</v>
      </c>
      <c r="AK4802" t="s">
        <v>51</v>
      </c>
      <c r="AN4802">
        <v>0</v>
      </c>
      <c r="AO4802" t="s">
        <v>54</v>
      </c>
      <c r="AP4802" t="s">
        <v>53</v>
      </c>
      <c r="AQ4802">
        <v>0</v>
      </c>
      <c r="AR4802" t="s">
        <v>145</v>
      </c>
      <c r="AS4802">
        <v>0</v>
      </c>
      <c r="AT4802">
        <v>0</v>
      </c>
      <c r="CC4802" t="s">
        <v>439</v>
      </c>
      <c r="CD4802">
        <v>85000</v>
      </c>
      <c r="CE4802" s="1">
        <v>42552</v>
      </c>
      <c r="CF4802" s="1">
        <v>42552</v>
      </c>
      <c r="CG4802" s="1">
        <v>42552</v>
      </c>
      <c r="CH4802" s="1">
        <v>50139</v>
      </c>
      <c r="CI4802" t="s">
        <v>51</v>
      </c>
      <c r="CK4802" t="s">
        <v>78</v>
      </c>
      <c r="CM4802" t="s">
        <v>54</v>
      </c>
      <c r="CN4802" t="s">
        <v>174</v>
      </c>
      <c r="CO4802" t="s">
        <v>86</v>
      </c>
      <c r="CR4802">
        <v>25</v>
      </c>
      <c r="CS4802">
        <v>0</v>
      </c>
      <c r="CT4802">
        <v>0</v>
      </c>
      <c r="CU4802">
        <v>0</v>
      </c>
    </row>
    <row r="4803" spans="1:99" x14ac:dyDescent="0.2">
      <c r="A4803" t="s">
        <v>367</v>
      </c>
      <c r="B4803" t="s">
        <v>368</v>
      </c>
      <c r="C4803" t="s">
        <v>369</v>
      </c>
      <c r="D4803" t="s">
        <v>1392</v>
      </c>
      <c r="F4803" t="str">
        <f>"254453"</f>
        <v>254453</v>
      </c>
      <c r="G4803" t="s">
        <v>49</v>
      </c>
      <c r="K4803" t="s">
        <v>51</v>
      </c>
      <c r="L4803" t="s">
        <v>52</v>
      </c>
      <c r="M4803">
        <v>138109.6</v>
      </c>
      <c r="N4803">
        <v>467207.02</v>
      </c>
      <c r="O4803" t="s">
        <v>53</v>
      </c>
      <c r="P4803" t="s">
        <v>54</v>
      </c>
      <c r="Q4803" t="s">
        <v>55</v>
      </c>
      <c r="T4803" t="s">
        <v>466</v>
      </c>
      <c r="U4803">
        <v>40</v>
      </c>
      <c r="V4803" s="1">
        <v>42552</v>
      </c>
      <c r="W4803" s="1">
        <v>42552</v>
      </c>
      <c r="X4803" s="1">
        <v>42552</v>
      </c>
      <c r="Y4803" s="1">
        <v>57162</v>
      </c>
      <c r="Z4803" t="s">
        <v>51</v>
      </c>
      <c r="AB4803" t="s">
        <v>54</v>
      </c>
      <c r="AE4803" t="s">
        <v>79</v>
      </c>
      <c r="AF4803">
        <v>20</v>
      </c>
      <c r="AG4803" s="1">
        <v>42552</v>
      </c>
      <c r="AH4803" s="1">
        <v>42552</v>
      </c>
      <c r="AI4803" s="1">
        <v>42552</v>
      </c>
      <c r="AJ4803" s="1">
        <v>49857</v>
      </c>
      <c r="AK4803" t="s">
        <v>51</v>
      </c>
      <c r="AN4803">
        <v>0</v>
      </c>
      <c r="AO4803" t="s">
        <v>54</v>
      </c>
      <c r="AP4803" t="s">
        <v>53</v>
      </c>
      <c r="AQ4803">
        <v>0</v>
      </c>
      <c r="AR4803" t="s">
        <v>145</v>
      </c>
      <c r="AS4803">
        <v>0</v>
      </c>
      <c r="AT4803">
        <v>0</v>
      </c>
      <c r="CC4803" t="s">
        <v>439</v>
      </c>
      <c r="CD4803">
        <v>85000</v>
      </c>
      <c r="CE4803" s="1">
        <v>42552</v>
      </c>
      <c r="CF4803" s="1">
        <v>42552</v>
      </c>
      <c r="CG4803" s="1">
        <v>42552</v>
      </c>
      <c r="CH4803" s="1">
        <v>50139</v>
      </c>
      <c r="CI4803" t="s">
        <v>51</v>
      </c>
      <c r="CK4803" t="s">
        <v>78</v>
      </c>
      <c r="CM4803" t="s">
        <v>54</v>
      </c>
      <c r="CN4803" t="s">
        <v>174</v>
      </c>
      <c r="CO4803" t="s">
        <v>86</v>
      </c>
      <c r="CR4803">
        <v>25</v>
      </c>
      <c r="CS4803">
        <v>0</v>
      </c>
      <c r="CT4803">
        <v>0</v>
      </c>
      <c r="CU4803">
        <v>0</v>
      </c>
    </row>
    <row r="4804" spans="1:99" x14ac:dyDescent="0.2">
      <c r="A4804" t="s">
        <v>367</v>
      </c>
      <c r="B4804" t="s">
        <v>368</v>
      </c>
      <c r="C4804" t="s">
        <v>369</v>
      </c>
      <c r="D4804" t="s">
        <v>1392</v>
      </c>
      <c r="F4804" t="str">
        <f>"254454"</f>
        <v>254454</v>
      </c>
      <c r="G4804" t="s">
        <v>49</v>
      </c>
      <c r="K4804" t="s">
        <v>51</v>
      </c>
      <c r="L4804" t="s">
        <v>52</v>
      </c>
      <c r="M4804">
        <v>138089.74</v>
      </c>
      <c r="N4804">
        <v>467186.18</v>
      </c>
      <c r="O4804" t="s">
        <v>53</v>
      </c>
      <c r="P4804" t="s">
        <v>54</v>
      </c>
      <c r="Q4804" t="s">
        <v>55</v>
      </c>
      <c r="T4804" t="s">
        <v>466</v>
      </c>
      <c r="U4804">
        <v>40</v>
      </c>
      <c r="V4804" s="1">
        <v>42552</v>
      </c>
      <c r="W4804" s="1">
        <v>42552</v>
      </c>
      <c r="X4804" s="1">
        <v>42552</v>
      </c>
      <c r="Y4804" s="1">
        <v>57162</v>
      </c>
      <c r="Z4804" t="s">
        <v>51</v>
      </c>
      <c r="AB4804" t="s">
        <v>54</v>
      </c>
      <c r="AE4804" t="s">
        <v>79</v>
      </c>
      <c r="AF4804">
        <v>20</v>
      </c>
      <c r="AG4804" s="1">
        <v>42552</v>
      </c>
      <c r="AH4804" s="1">
        <v>42552</v>
      </c>
      <c r="AI4804" s="1">
        <v>42552</v>
      </c>
      <c r="AJ4804" s="1">
        <v>49857</v>
      </c>
      <c r="AK4804" t="s">
        <v>51</v>
      </c>
      <c r="AN4804">
        <v>0</v>
      </c>
      <c r="AO4804" t="s">
        <v>54</v>
      </c>
      <c r="AP4804" t="s">
        <v>53</v>
      </c>
      <c r="AQ4804">
        <v>0</v>
      </c>
      <c r="AR4804" t="s">
        <v>145</v>
      </c>
      <c r="AS4804">
        <v>0</v>
      </c>
      <c r="AT4804">
        <v>0</v>
      </c>
      <c r="CC4804" t="s">
        <v>439</v>
      </c>
      <c r="CD4804">
        <v>85000</v>
      </c>
      <c r="CE4804" s="1">
        <v>42552</v>
      </c>
      <c r="CF4804" s="1">
        <v>42552</v>
      </c>
      <c r="CG4804" s="1">
        <v>42552</v>
      </c>
      <c r="CH4804" s="1">
        <v>50139</v>
      </c>
      <c r="CI4804" t="s">
        <v>51</v>
      </c>
      <c r="CK4804" t="s">
        <v>78</v>
      </c>
      <c r="CM4804" t="s">
        <v>54</v>
      </c>
      <c r="CN4804" t="s">
        <v>174</v>
      </c>
      <c r="CO4804" t="s">
        <v>86</v>
      </c>
      <c r="CR4804">
        <v>25</v>
      </c>
      <c r="CS4804">
        <v>0</v>
      </c>
      <c r="CT4804">
        <v>0</v>
      </c>
      <c r="CU4804">
        <v>0</v>
      </c>
    </row>
    <row r="4805" spans="1:99" x14ac:dyDescent="0.2">
      <c r="A4805" t="s">
        <v>367</v>
      </c>
      <c r="B4805" t="s">
        <v>368</v>
      </c>
      <c r="C4805" t="s">
        <v>369</v>
      </c>
      <c r="D4805" t="s">
        <v>1392</v>
      </c>
      <c r="F4805" t="str">
        <f>"254455"</f>
        <v>254455</v>
      </c>
      <c r="G4805" t="s">
        <v>49</v>
      </c>
      <c r="K4805" t="s">
        <v>51</v>
      </c>
      <c r="L4805" t="s">
        <v>52</v>
      </c>
      <c r="M4805">
        <v>138069.20000000001</v>
      </c>
      <c r="N4805">
        <v>467167.27</v>
      </c>
      <c r="O4805" t="s">
        <v>53</v>
      </c>
      <c r="P4805" t="s">
        <v>54</v>
      </c>
      <c r="Q4805" t="s">
        <v>55</v>
      </c>
      <c r="T4805" t="s">
        <v>466</v>
      </c>
      <c r="U4805">
        <v>40</v>
      </c>
      <c r="V4805" s="1">
        <v>42552</v>
      </c>
      <c r="W4805" s="1">
        <v>42552</v>
      </c>
      <c r="X4805" s="1">
        <v>42552</v>
      </c>
      <c r="Y4805" s="1">
        <v>57162</v>
      </c>
      <c r="Z4805" t="s">
        <v>51</v>
      </c>
      <c r="AB4805" t="s">
        <v>54</v>
      </c>
      <c r="AE4805" t="s">
        <v>79</v>
      </c>
      <c r="AF4805">
        <v>20</v>
      </c>
      <c r="AG4805" s="1">
        <v>42552</v>
      </c>
      <c r="AH4805" s="1">
        <v>42552</v>
      </c>
      <c r="AI4805" s="1">
        <v>42552</v>
      </c>
      <c r="AJ4805" s="1">
        <v>49857</v>
      </c>
      <c r="AK4805" t="s">
        <v>51</v>
      </c>
      <c r="AN4805">
        <v>0</v>
      </c>
      <c r="AO4805" t="s">
        <v>54</v>
      </c>
      <c r="AP4805" t="s">
        <v>53</v>
      </c>
      <c r="AQ4805">
        <v>0</v>
      </c>
      <c r="AR4805" t="s">
        <v>145</v>
      </c>
      <c r="AS4805">
        <v>0</v>
      </c>
      <c r="AT4805">
        <v>0</v>
      </c>
      <c r="CC4805" t="s">
        <v>439</v>
      </c>
      <c r="CD4805">
        <v>85000</v>
      </c>
      <c r="CE4805" s="1">
        <v>42552</v>
      </c>
      <c r="CF4805" s="1">
        <v>42552</v>
      </c>
      <c r="CG4805" s="1">
        <v>42552</v>
      </c>
      <c r="CH4805" s="1">
        <v>50139</v>
      </c>
      <c r="CI4805" t="s">
        <v>51</v>
      </c>
      <c r="CK4805" t="s">
        <v>78</v>
      </c>
      <c r="CM4805" t="s">
        <v>54</v>
      </c>
      <c r="CN4805" t="s">
        <v>174</v>
      </c>
      <c r="CO4805" t="s">
        <v>86</v>
      </c>
      <c r="CR4805">
        <v>25</v>
      </c>
      <c r="CS4805">
        <v>0</v>
      </c>
      <c r="CT4805">
        <v>0</v>
      </c>
      <c r="CU4805">
        <v>0</v>
      </c>
    </row>
    <row r="4806" spans="1:99" x14ac:dyDescent="0.2">
      <c r="A4806" t="s">
        <v>367</v>
      </c>
      <c r="B4806" t="s">
        <v>368</v>
      </c>
      <c r="C4806" t="s">
        <v>369</v>
      </c>
      <c r="D4806" t="s">
        <v>1392</v>
      </c>
      <c r="F4806" t="str">
        <f>"254456"</f>
        <v>254456</v>
      </c>
      <c r="G4806" t="s">
        <v>49</v>
      </c>
      <c r="K4806" t="s">
        <v>51</v>
      </c>
      <c r="L4806" t="s">
        <v>52</v>
      </c>
      <c r="M4806">
        <v>138048.9</v>
      </c>
      <c r="N4806">
        <v>467149</v>
      </c>
      <c r="O4806" t="s">
        <v>53</v>
      </c>
      <c r="P4806" t="s">
        <v>54</v>
      </c>
      <c r="Q4806" t="s">
        <v>55</v>
      </c>
      <c r="T4806" t="s">
        <v>466</v>
      </c>
      <c r="U4806">
        <v>40</v>
      </c>
      <c r="V4806" s="1">
        <v>42552</v>
      </c>
      <c r="W4806" s="1">
        <v>42552</v>
      </c>
      <c r="X4806" s="1">
        <v>42552</v>
      </c>
      <c r="Y4806" s="1">
        <v>57162</v>
      </c>
      <c r="Z4806" t="s">
        <v>51</v>
      </c>
      <c r="AB4806" t="s">
        <v>54</v>
      </c>
      <c r="AE4806" t="s">
        <v>79</v>
      </c>
      <c r="AF4806">
        <v>20</v>
      </c>
      <c r="AG4806" s="1">
        <v>42552</v>
      </c>
      <c r="AH4806" s="1">
        <v>42552</v>
      </c>
      <c r="AI4806" s="1">
        <v>42552</v>
      </c>
      <c r="AJ4806" s="1">
        <v>49857</v>
      </c>
      <c r="AK4806" t="s">
        <v>51</v>
      </c>
      <c r="AN4806">
        <v>0</v>
      </c>
      <c r="AO4806" t="s">
        <v>54</v>
      </c>
      <c r="AP4806" t="s">
        <v>53</v>
      </c>
      <c r="AQ4806">
        <v>0</v>
      </c>
      <c r="AR4806" t="s">
        <v>145</v>
      </c>
      <c r="AS4806">
        <v>0</v>
      </c>
      <c r="AT4806">
        <v>0</v>
      </c>
      <c r="CC4806" t="s">
        <v>439</v>
      </c>
      <c r="CD4806">
        <v>85000</v>
      </c>
      <c r="CE4806" s="1">
        <v>42552</v>
      </c>
      <c r="CF4806" s="1">
        <v>42552</v>
      </c>
      <c r="CG4806" s="1">
        <v>42552</v>
      </c>
      <c r="CH4806" s="1">
        <v>50139</v>
      </c>
      <c r="CI4806" t="s">
        <v>51</v>
      </c>
      <c r="CK4806" t="s">
        <v>78</v>
      </c>
      <c r="CM4806" t="s">
        <v>54</v>
      </c>
      <c r="CN4806" t="s">
        <v>174</v>
      </c>
      <c r="CO4806" t="s">
        <v>86</v>
      </c>
      <c r="CR4806">
        <v>25</v>
      </c>
      <c r="CS4806">
        <v>0</v>
      </c>
      <c r="CT4806">
        <v>0</v>
      </c>
      <c r="CU4806">
        <v>0</v>
      </c>
    </row>
    <row r="4807" spans="1:99" x14ac:dyDescent="0.2">
      <c r="A4807" t="s">
        <v>367</v>
      </c>
      <c r="B4807" t="s">
        <v>368</v>
      </c>
      <c r="C4807" t="s">
        <v>369</v>
      </c>
      <c r="D4807" t="s">
        <v>1392</v>
      </c>
      <c r="F4807" t="str">
        <f>"254457"</f>
        <v>254457</v>
      </c>
      <c r="G4807" t="s">
        <v>49</v>
      </c>
      <c r="K4807" t="s">
        <v>51</v>
      </c>
      <c r="L4807" t="s">
        <v>52</v>
      </c>
      <c r="M4807">
        <v>138001.37</v>
      </c>
      <c r="N4807">
        <v>467106.85</v>
      </c>
      <c r="O4807" t="s">
        <v>53</v>
      </c>
      <c r="P4807" t="s">
        <v>54</v>
      </c>
      <c r="Q4807" t="s">
        <v>55</v>
      </c>
      <c r="T4807" t="s">
        <v>466</v>
      </c>
      <c r="U4807">
        <v>40</v>
      </c>
      <c r="V4807" s="1">
        <v>42552</v>
      </c>
      <c r="W4807" s="1">
        <v>42552</v>
      </c>
      <c r="X4807" s="1">
        <v>42552</v>
      </c>
      <c r="Y4807" s="1">
        <v>57162</v>
      </c>
      <c r="Z4807" t="s">
        <v>51</v>
      </c>
      <c r="AB4807" t="s">
        <v>54</v>
      </c>
      <c r="AE4807" t="s">
        <v>79</v>
      </c>
      <c r="AF4807">
        <v>20</v>
      </c>
      <c r="AG4807" s="1">
        <v>42552</v>
      </c>
      <c r="AH4807" s="1">
        <v>42552</v>
      </c>
      <c r="AI4807" s="1">
        <v>42552</v>
      </c>
      <c r="AJ4807" s="1">
        <v>49857</v>
      </c>
      <c r="AK4807" t="s">
        <v>51</v>
      </c>
      <c r="AN4807">
        <v>0</v>
      </c>
      <c r="AO4807" t="s">
        <v>54</v>
      </c>
      <c r="AP4807" t="s">
        <v>53</v>
      </c>
      <c r="AQ4807">
        <v>0</v>
      </c>
      <c r="AR4807" t="s">
        <v>145</v>
      </c>
      <c r="AS4807">
        <v>0</v>
      </c>
      <c r="AT4807">
        <v>0</v>
      </c>
      <c r="CC4807" t="s">
        <v>439</v>
      </c>
      <c r="CD4807">
        <v>85000</v>
      </c>
      <c r="CE4807" s="1">
        <v>42552</v>
      </c>
      <c r="CF4807" s="1">
        <v>42552</v>
      </c>
      <c r="CG4807" s="1">
        <v>42552</v>
      </c>
      <c r="CH4807" s="1">
        <v>50139</v>
      </c>
      <c r="CI4807" t="s">
        <v>51</v>
      </c>
      <c r="CK4807" t="s">
        <v>78</v>
      </c>
      <c r="CM4807" t="s">
        <v>54</v>
      </c>
      <c r="CN4807" t="s">
        <v>174</v>
      </c>
      <c r="CO4807" t="s">
        <v>86</v>
      </c>
      <c r="CR4807">
        <v>25</v>
      </c>
      <c r="CS4807">
        <v>0</v>
      </c>
      <c r="CT4807">
        <v>0</v>
      </c>
      <c r="CU4807">
        <v>0</v>
      </c>
    </row>
    <row r="4808" spans="1:99" x14ac:dyDescent="0.2">
      <c r="A4808" t="s">
        <v>367</v>
      </c>
      <c r="B4808" t="s">
        <v>368</v>
      </c>
      <c r="C4808" t="s">
        <v>369</v>
      </c>
      <c r="D4808" t="s">
        <v>1392</v>
      </c>
      <c r="F4808" t="str">
        <f>"254458"</f>
        <v>254458</v>
      </c>
      <c r="G4808" t="s">
        <v>49</v>
      </c>
      <c r="K4808" t="s">
        <v>51</v>
      </c>
      <c r="L4808" t="s">
        <v>52</v>
      </c>
      <c r="M4808">
        <v>137978.92000000001</v>
      </c>
      <c r="N4808">
        <v>467079.25</v>
      </c>
      <c r="O4808" t="s">
        <v>53</v>
      </c>
      <c r="P4808" t="s">
        <v>54</v>
      </c>
      <c r="Q4808" t="s">
        <v>55</v>
      </c>
      <c r="T4808" t="s">
        <v>466</v>
      </c>
      <c r="U4808">
        <v>40</v>
      </c>
      <c r="V4808" s="1">
        <v>42552</v>
      </c>
      <c r="W4808" s="1">
        <v>42552</v>
      </c>
      <c r="X4808" s="1">
        <v>42552</v>
      </c>
      <c r="Y4808" s="1">
        <v>57162</v>
      </c>
      <c r="Z4808" t="s">
        <v>51</v>
      </c>
      <c r="AB4808" t="s">
        <v>54</v>
      </c>
      <c r="AE4808" t="s">
        <v>79</v>
      </c>
      <c r="AF4808">
        <v>20</v>
      </c>
      <c r="AG4808" s="1">
        <v>42552</v>
      </c>
      <c r="AH4808" s="1">
        <v>42552</v>
      </c>
      <c r="AI4808" s="1">
        <v>42552</v>
      </c>
      <c r="AJ4808" s="1">
        <v>49857</v>
      </c>
      <c r="AK4808" t="s">
        <v>51</v>
      </c>
      <c r="AN4808">
        <v>0</v>
      </c>
      <c r="AO4808" t="s">
        <v>54</v>
      </c>
      <c r="AP4808" t="s">
        <v>53</v>
      </c>
      <c r="AQ4808">
        <v>0</v>
      </c>
      <c r="AR4808" t="s">
        <v>145</v>
      </c>
      <c r="AS4808">
        <v>0</v>
      </c>
      <c r="AT4808">
        <v>0</v>
      </c>
      <c r="CC4808" t="s">
        <v>439</v>
      </c>
      <c r="CD4808">
        <v>85000</v>
      </c>
      <c r="CE4808" s="1">
        <v>42552</v>
      </c>
      <c r="CF4808" s="1">
        <v>42552</v>
      </c>
      <c r="CG4808" s="1">
        <v>42552</v>
      </c>
      <c r="CH4808" s="1">
        <v>50139</v>
      </c>
      <c r="CI4808" t="s">
        <v>51</v>
      </c>
      <c r="CK4808" t="s">
        <v>78</v>
      </c>
      <c r="CM4808" t="s">
        <v>54</v>
      </c>
      <c r="CN4808" t="s">
        <v>174</v>
      </c>
      <c r="CO4808" t="s">
        <v>86</v>
      </c>
      <c r="CR4808">
        <v>25</v>
      </c>
      <c r="CS4808">
        <v>0</v>
      </c>
      <c r="CT4808">
        <v>0</v>
      </c>
      <c r="CU4808">
        <v>0</v>
      </c>
    </row>
    <row r="4809" spans="1:99" x14ac:dyDescent="0.2">
      <c r="A4809" t="s">
        <v>367</v>
      </c>
      <c r="B4809" t="s">
        <v>368</v>
      </c>
      <c r="C4809" t="s">
        <v>369</v>
      </c>
      <c r="D4809" t="s">
        <v>1392</v>
      </c>
      <c r="F4809" t="str">
        <f>"254459"</f>
        <v>254459</v>
      </c>
      <c r="G4809" t="s">
        <v>49</v>
      </c>
      <c r="K4809" t="s">
        <v>51</v>
      </c>
      <c r="L4809" t="s">
        <v>52</v>
      </c>
      <c r="M4809">
        <v>137953.43</v>
      </c>
      <c r="N4809">
        <v>467064.44</v>
      </c>
      <c r="O4809" t="s">
        <v>53</v>
      </c>
      <c r="P4809" t="s">
        <v>54</v>
      </c>
      <c r="Q4809" t="s">
        <v>55</v>
      </c>
      <c r="T4809" t="s">
        <v>466</v>
      </c>
      <c r="U4809">
        <v>40</v>
      </c>
      <c r="V4809" s="1">
        <v>42552</v>
      </c>
      <c r="W4809" s="1">
        <v>42552</v>
      </c>
      <c r="X4809" s="1">
        <v>42552</v>
      </c>
      <c r="Y4809" s="1">
        <v>57162</v>
      </c>
      <c r="Z4809" t="s">
        <v>51</v>
      </c>
      <c r="AB4809" t="s">
        <v>54</v>
      </c>
      <c r="AE4809" t="s">
        <v>79</v>
      </c>
      <c r="AF4809">
        <v>20</v>
      </c>
      <c r="AG4809" s="1">
        <v>42552</v>
      </c>
      <c r="AH4809" s="1">
        <v>42552</v>
      </c>
      <c r="AI4809" s="1">
        <v>42552</v>
      </c>
      <c r="AJ4809" s="1">
        <v>49857</v>
      </c>
      <c r="AK4809" t="s">
        <v>51</v>
      </c>
      <c r="AN4809">
        <v>0</v>
      </c>
      <c r="AO4809" t="s">
        <v>54</v>
      </c>
      <c r="AP4809" t="s">
        <v>53</v>
      </c>
      <c r="AQ4809">
        <v>0</v>
      </c>
      <c r="AR4809" t="s">
        <v>145</v>
      </c>
      <c r="AS4809">
        <v>0</v>
      </c>
      <c r="AT4809">
        <v>0</v>
      </c>
      <c r="CC4809" t="s">
        <v>439</v>
      </c>
      <c r="CD4809">
        <v>85000</v>
      </c>
      <c r="CE4809" s="1">
        <v>42552</v>
      </c>
      <c r="CF4809" s="1">
        <v>42552</v>
      </c>
      <c r="CG4809" s="1">
        <v>42552</v>
      </c>
      <c r="CH4809" s="1">
        <v>50139</v>
      </c>
      <c r="CI4809" t="s">
        <v>51</v>
      </c>
      <c r="CK4809" t="s">
        <v>78</v>
      </c>
      <c r="CM4809" t="s">
        <v>54</v>
      </c>
      <c r="CN4809" t="s">
        <v>174</v>
      </c>
      <c r="CO4809" t="s">
        <v>86</v>
      </c>
      <c r="CR4809">
        <v>25</v>
      </c>
      <c r="CS4809">
        <v>0</v>
      </c>
      <c r="CT4809">
        <v>0</v>
      </c>
      <c r="CU4809">
        <v>0</v>
      </c>
    </row>
    <row r="4810" spans="1:99" x14ac:dyDescent="0.2">
      <c r="A4810" t="s">
        <v>367</v>
      </c>
      <c r="B4810" t="s">
        <v>368</v>
      </c>
      <c r="C4810" t="s">
        <v>369</v>
      </c>
      <c r="D4810" t="s">
        <v>1392</v>
      </c>
      <c r="F4810" t="str">
        <f>"254460"</f>
        <v>254460</v>
      </c>
      <c r="G4810" t="s">
        <v>49</v>
      </c>
      <c r="K4810" t="s">
        <v>51</v>
      </c>
      <c r="L4810" t="s">
        <v>52</v>
      </c>
      <c r="M4810">
        <v>137928.75</v>
      </c>
      <c r="N4810">
        <v>467043.52</v>
      </c>
      <c r="O4810" t="s">
        <v>53</v>
      </c>
      <c r="P4810" t="s">
        <v>54</v>
      </c>
      <c r="Q4810" t="s">
        <v>55</v>
      </c>
      <c r="T4810" t="s">
        <v>466</v>
      </c>
      <c r="U4810">
        <v>40</v>
      </c>
      <c r="V4810" s="1">
        <v>42552</v>
      </c>
      <c r="W4810" s="1">
        <v>42552</v>
      </c>
      <c r="X4810" s="1">
        <v>42552</v>
      </c>
      <c r="Y4810" s="1">
        <v>57162</v>
      </c>
      <c r="Z4810" t="s">
        <v>51</v>
      </c>
      <c r="AB4810" t="s">
        <v>54</v>
      </c>
      <c r="AE4810" t="s">
        <v>79</v>
      </c>
      <c r="AF4810">
        <v>20</v>
      </c>
      <c r="AG4810" s="1">
        <v>42552</v>
      </c>
      <c r="AH4810" s="1">
        <v>42552</v>
      </c>
      <c r="AI4810" s="1">
        <v>42552</v>
      </c>
      <c r="AJ4810" s="1">
        <v>49857</v>
      </c>
      <c r="AK4810" t="s">
        <v>51</v>
      </c>
      <c r="AN4810">
        <v>0</v>
      </c>
      <c r="AO4810" t="s">
        <v>54</v>
      </c>
      <c r="AP4810" t="s">
        <v>53</v>
      </c>
      <c r="AQ4810">
        <v>0</v>
      </c>
      <c r="AR4810" t="s">
        <v>145</v>
      </c>
      <c r="AS4810">
        <v>0</v>
      </c>
      <c r="AT4810">
        <v>0</v>
      </c>
      <c r="CC4810" t="s">
        <v>439</v>
      </c>
      <c r="CD4810">
        <v>85000</v>
      </c>
      <c r="CE4810" s="1">
        <v>42552</v>
      </c>
      <c r="CF4810" s="1">
        <v>42552</v>
      </c>
      <c r="CG4810" s="1">
        <v>42552</v>
      </c>
      <c r="CH4810" s="1">
        <v>50139</v>
      </c>
      <c r="CI4810" t="s">
        <v>51</v>
      </c>
      <c r="CK4810" t="s">
        <v>78</v>
      </c>
      <c r="CM4810" t="s">
        <v>54</v>
      </c>
      <c r="CN4810" t="s">
        <v>174</v>
      </c>
      <c r="CO4810" t="s">
        <v>86</v>
      </c>
      <c r="CR4810">
        <v>25</v>
      </c>
      <c r="CS4810">
        <v>0</v>
      </c>
      <c r="CT4810">
        <v>0</v>
      </c>
      <c r="CU4810">
        <v>0</v>
      </c>
    </row>
    <row r="4811" spans="1:99" x14ac:dyDescent="0.2">
      <c r="A4811" t="s">
        <v>367</v>
      </c>
      <c r="B4811" t="s">
        <v>368</v>
      </c>
      <c r="C4811" t="s">
        <v>369</v>
      </c>
      <c r="D4811" t="s">
        <v>1392</v>
      </c>
      <c r="F4811" t="str">
        <f>"254461"</f>
        <v>254461</v>
      </c>
      <c r="G4811" t="s">
        <v>49</v>
      </c>
      <c r="K4811" t="s">
        <v>51</v>
      </c>
      <c r="L4811" t="s">
        <v>52</v>
      </c>
      <c r="M4811">
        <v>137904.93</v>
      </c>
      <c r="N4811">
        <v>467023.01</v>
      </c>
      <c r="O4811" t="s">
        <v>53</v>
      </c>
      <c r="P4811" t="s">
        <v>54</v>
      </c>
      <c r="Q4811" t="s">
        <v>55</v>
      </c>
      <c r="T4811" t="s">
        <v>466</v>
      </c>
      <c r="U4811">
        <v>40</v>
      </c>
      <c r="V4811" s="1">
        <v>42552</v>
      </c>
      <c r="W4811" s="1">
        <v>42552</v>
      </c>
      <c r="X4811" s="1">
        <v>42552</v>
      </c>
      <c r="Y4811" s="1">
        <v>57162</v>
      </c>
      <c r="Z4811" t="s">
        <v>51</v>
      </c>
      <c r="AB4811" t="s">
        <v>54</v>
      </c>
      <c r="AE4811" t="s">
        <v>79</v>
      </c>
      <c r="AF4811">
        <v>20</v>
      </c>
      <c r="AG4811" s="1">
        <v>42552</v>
      </c>
      <c r="AH4811" s="1">
        <v>42552</v>
      </c>
      <c r="AI4811" s="1">
        <v>42552</v>
      </c>
      <c r="AJ4811" s="1">
        <v>49857</v>
      </c>
      <c r="AK4811" t="s">
        <v>51</v>
      </c>
      <c r="AN4811">
        <v>0</v>
      </c>
      <c r="AO4811" t="s">
        <v>54</v>
      </c>
      <c r="AP4811" t="s">
        <v>53</v>
      </c>
      <c r="AQ4811">
        <v>0</v>
      </c>
      <c r="AR4811" t="s">
        <v>145</v>
      </c>
      <c r="AS4811">
        <v>0</v>
      </c>
      <c r="AT4811">
        <v>0</v>
      </c>
      <c r="CC4811" t="s">
        <v>439</v>
      </c>
      <c r="CD4811">
        <v>85000</v>
      </c>
      <c r="CE4811" s="1">
        <v>42552</v>
      </c>
      <c r="CF4811" s="1">
        <v>42552</v>
      </c>
      <c r="CG4811" s="1">
        <v>42552</v>
      </c>
      <c r="CH4811" s="1">
        <v>50139</v>
      </c>
      <c r="CI4811" t="s">
        <v>51</v>
      </c>
      <c r="CK4811" t="s">
        <v>78</v>
      </c>
      <c r="CM4811" t="s">
        <v>54</v>
      </c>
      <c r="CN4811" t="s">
        <v>174</v>
      </c>
      <c r="CO4811" t="s">
        <v>86</v>
      </c>
      <c r="CR4811">
        <v>25</v>
      </c>
      <c r="CS4811">
        <v>0</v>
      </c>
      <c r="CT4811">
        <v>0</v>
      </c>
      <c r="CU4811">
        <v>0</v>
      </c>
    </row>
    <row r="4812" spans="1:99" x14ac:dyDescent="0.2">
      <c r="A4812" t="s">
        <v>367</v>
      </c>
      <c r="B4812" t="s">
        <v>368</v>
      </c>
      <c r="C4812" t="s">
        <v>369</v>
      </c>
      <c r="D4812" t="s">
        <v>1392</v>
      </c>
      <c r="F4812" t="str">
        <f>"254462"</f>
        <v>254462</v>
      </c>
      <c r="G4812" t="s">
        <v>49</v>
      </c>
      <c r="K4812" t="s">
        <v>51</v>
      </c>
      <c r="L4812" t="s">
        <v>52</v>
      </c>
      <c r="M4812">
        <v>137885.43</v>
      </c>
      <c r="N4812">
        <v>467006.6</v>
      </c>
      <c r="O4812" t="s">
        <v>53</v>
      </c>
      <c r="P4812" t="s">
        <v>54</v>
      </c>
      <c r="Q4812" t="s">
        <v>55</v>
      </c>
      <c r="T4812" t="s">
        <v>466</v>
      </c>
      <c r="U4812">
        <v>40</v>
      </c>
      <c r="V4812" s="1">
        <v>42552</v>
      </c>
      <c r="W4812" s="1">
        <v>42552</v>
      </c>
      <c r="X4812" s="1">
        <v>42552</v>
      </c>
      <c r="Y4812" s="1">
        <v>57162</v>
      </c>
      <c r="Z4812" t="s">
        <v>51</v>
      </c>
      <c r="AB4812" t="s">
        <v>54</v>
      </c>
      <c r="AE4812" t="s">
        <v>79</v>
      </c>
      <c r="AF4812">
        <v>20</v>
      </c>
      <c r="AG4812" s="1">
        <v>42552</v>
      </c>
      <c r="AH4812" s="1">
        <v>42552</v>
      </c>
      <c r="AI4812" s="1">
        <v>42552</v>
      </c>
      <c r="AJ4812" s="1">
        <v>49857</v>
      </c>
      <c r="AK4812" t="s">
        <v>51</v>
      </c>
      <c r="AN4812">
        <v>0</v>
      </c>
      <c r="AO4812" t="s">
        <v>54</v>
      </c>
      <c r="AP4812" t="s">
        <v>53</v>
      </c>
      <c r="AQ4812">
        <v>0</v>
      </c>
      <c r="AR4812" t="s">
        <v>145</v>
      </c>
      <c r="AS4812">
        <v>0</v>
      </c>
      <c r="AT4812">
        <v>0</v>
      </c>
      <c r="CC4812" t="s">
        <v>439</v>
      </c>
      <c r="CD4812">
        <v>85000</v>
      </c>
      <c r="CE4812" s="1">
        <v>42552</v>
      </c>
      <c r="CF4812" s="1">
        <v>42552</v>
      </c>
      <c r="CG4812" s="1">
        <v>42552</v>
      </c>
      <c r="CH4812" s="1">
        <v>50139</v>
      </c>
      <c r="CI4812" t="s">
        <v>51</v>
      </c>
      <c r="CK4812" t="s">
        <v>78</v>
      </c>
      <c r="CM4812" t="s">
        <v>54</v>
      </c>
      <c r="CN4812" t="s">
        <v>174</v>
      </c>
      <c r="CO4812" t="s">
        <v>86</v>
      </c>
      <c r="CR4812">
        <v>25</v>
      </c>
      <c r="CS4812">
        <v>0</v>
      </c>
      <c r="CT4812">
        <v>0</v>
      </c>
      <c r="CU4812">
        <v>0</v>
      </c>
    </row>
    <row r="4813" spans="1:99" x14ac:dyDescent="0.2">
      <c r="A4813" t="s">
        <v>367</v>
      </c>
      <c r="B4813" t="s">
        <v>368</v>
      </c>
      <c r="C4813" t="s">
        <v>369</v>
      </c>
      <c r="D4813" t="s">
        <v>1392</v>
      </c>
      <c r="F4813" t="str">
        <f>"254463"</f>
        <v>254463</v>
      </c>
      <c r="G4813" t="s">
        <v>49</v>
      </c>
      <c r="K4813" t="s">
        <v>51</v>
      </c>
      <c r="L4813" t="s">
        <v>52</v>
      </c>
      <c r="M4813">
        <v>137865.76999999999</v>
      </c>
      <c r="N4813">
        <v>466990.13</v>
      </c>
      <c r="O4813" t="s">
        <v>53</v>
      </c>
      <c r="P4813" t="s">
        <v>54</v>
      </c>
      <c r="Q4813" t="s">
        <v>55</v>
      </c>
      <c r="T4813" t="s">
        <v>466</v>
      </c>
      <c r="U4813">
        <v>40</v>
      </c>
      <c r="V4813" s="1">
        <v>42552</v>
      </c>
      <c r="W4813" s="1">
        <v>42552</v>
      </c>
      <c r="X4813" s="1">
        <v>42552</v>
      </c>
      <c r="Y4813" s="1">
        <v>57162</v>
      </c>
      <c r="Z4813" t="s">
        <v>51</v>
      </c>
      <c r="AB4813" t="s">
        <v>54</v>
      </c>
      <c r="AE4813" t="s">
        <v>79</v>
      </c>
      <c r="AF4813">
        <v>20</v>
      </c>
      <c r="AG4813" s="1">
        <v>42552</v>
      </c>
      <c r="AH4813" s="1">
        <v>42552</v>
      </c>
      <c r="AI4813" s="1">
        <v>42552</v>
      </c>
      <c r="AJ4813" s="1">
        <v>49857</v>
      </c>
      <c r="AK4813" t="s">
        <v>51</v>
      </c>
      <c r="AN4813">
        <v>0</v>
      </c>
      <c r="AO4813" t="s">
        <v>54</v>
      </c>
      <c r="AP4813" t="s">
        <v>53</v>
      </c>
      <c r="AQ4813">
        <v>0</v>
      </c>
      <c r="AR4813" t="s">
        <v>145</v>
      </c>
      <c r="AS4813">
        <v>0</v>
      </c>
      <c r="AT4813">
        <v>0</v>
      </c>
      <c r="CC4813" t="s">
        <v>439</v>
      </c>
      <c r="CD4813">
        <v>85000</v>
      </c>
      <c r="CE4813" s="1">
        <v>42552</v>
      </c>
      <c r="CF4813" s="1">
        <v>42552</v>
      </c>
      <c r="CG4813" s="1">
        <v>42552</v>
      </c>
      <c r="CH4813" s="1">
        <v>50139</v>
      </c>
      <c r="CI4813" t="s">
        <v>51</v>
      </c>
      <c r="CK4813" t="s">
        <v>78</v>
      </c>
      <c r="CM4813" t="s">
        <v>54</v>
      </c>
      <c r="CN4813" t="s">
        <v>174</v>
      </c>
      <c r="CO4813" t="s">
        <v>86</v>
      </c>
      <c r="CR4813">
        <v>25</v>
      </c>
      <c r="CS4813">
        <v>0</v>
      </c>
      <c r="CT4813">
        <v>0</v>
      </c>
      <c r="CU4813">
        <v>0</v>
      </c>
    </row>
    <row r="4814" spans="1:99" x14ac:dyDescent="0.2">
      <c r="A4814" t="s">
        <v>367</v>
      </c>
      <c r="B4814" t="s">
        <v>368</v>
      </c>
      <c r="C4814" t="s">
        <v>369</v>
      </c>
      <c r="D4814" t="s">
        <v>1392</v>
      </c>
      <c r="F4814" t="str">
        <f>"254464"</f>
        <v>254464</v>
      </c>
      <c r="G4814" t="s">
        <v>49</v>
      </c>
      <c r="K4814" t="s">
        <v>51</v>
      </c>
      <c r="L4814" t="s">
        <v>52</v>
      </c>
      <c r="M4814">
        <v>137847.48000000001</v>
      </c>
      <c r="N4814">
        <v>466973.79</v>
      </c>
      <c r="O4814" t="s">
        <v>53</v>
      </c>
      <c r="P4814" t="s">
        <v>54</v>
      </c>
      <c r="Q4814" t="s">
        <v>55</v>
      </c>
      <c r="T4814" t="s">
        <v>466</v>
      </c>
      <c r="U4814">
        <v>40</v>
      </c>
      <c r="V4814" s="1">
        <v>42552</v>
      </c>
      <c r="W4814" s="1">
        <v>42552</v>
      </c>
      <c r="X4814" s="1">
        <v>42552</v>
      </c>
      <c r="Y4814" s="1">
        <v>57162</v>
      </c>
      <c r="Z4814" t="s">
        <v>51</v>
      </c>
      <c r="AB4814" t="s">
        <v>54</v>
      </c>
      <c r="AE4814" t="s">
        <v>79</v>
      </c>
      <c r="AF4814">
        <v>20</v>
      </c>
      <c r="AG4814" s="1">
        <v>42552</v>
      </c>
      <c r="AH4814" s="1">
        <v>42552</v>
      </c>
      <c r="AI4814" s="1">
        <v>42552</v>
      </c>
      <c r="AJ4814" s="1">
        <v>49857</v>
      </c>
      <c r="AK4814" t="s">
        <v>51</v>
      </c>
      <c r="AN4814">
        <v>0</v>
      </c>
      <c r="AO4814" t="s">
        <v>54</v>
      </c>
      <c r="AP4814" t="s">
        <v>53</v>
      </c>
      <c r="AQ4814">
        <v>0</v>
      </c>
      <c r="AR4814" t="s">
        <v>145</v>
      </c>
      <c r="AS4814">
        <v>0</v>
      </c>
      <c r="AT4814">
        <v>0</v>
      </c>
      <c r="CC4814" t="s">
        <v>439</v>
      </c>
      <c r="CD4814">
        <v>85000</v>
      </c>
      <c r="CE4814" s="1">
        <v>42552</v>
      </c>
      <c r="CF4814" s="1">
        <v>42552</v>
      </c>
      <c r="CG4814" s="1">
        <v>42552</v>
      </c>
      <c r="CH4814" s="1">
        <v>50139</v>
      </c>
      <c r="CI4814" t="s">
        <v>51</v>
      </c>
      <c r="CK4814" t="s">
        <v>78</v>
      </c>
      <c r="CM4814" t="s">
        <v>54</v>
      </c>
      <c r="CN4814" t="s">
        <v>174</v>
      </c>
      <c r="CO4814" t="s">
        <v>86</v>
      </c>
      <c r="CR4814">
        <v>25</v>
      </c>
      <c r="CS4814">
        <v>0</v>
      </c>
      <c r="CT4814">
        <v>0</v>
      </c>
      <c r="CU4814">
        <v>0</v>
      </c>
    </row>
    <row r="4815" spans="1:99" x14ac:dyDescent="0.2">
      <c r="A4815" t="s">
        <v>367</v>
      </c>
      <c r="B4815" t="s">
        <v>368</v>
      </c>
      <c r="C4815" t="s">
        <v>369</v>
      </c>
      <c r="D4815" t="s">
        <v>1392</v>
      </c>
      <c r="F4815" t="str">
        <f>"254465"</f>
        <v>254465</v>
      </c>
      <c r="G4815" t="s">
        <v>49</v>
      </c>
      <c r="K4815" t="s">
        <v>51</v>
      </c>
      <c r="L4815" t="s">
        <v>52</v>
      </c>
      <c r="M4815">
        <v>137828.46</v>
      </c>
      <c r="N4815">
        <v>466957.99</v>
      </c>
      <c r="O4815" t="s">
        <v>53</v>
      </c>
      <c r="P4815" t="s">
        <v>54</v>
      </c>
      <c r="Q4815" t="s">
        <v>55</v>
      </c>
      <c r="T4815" t="s">
        <v>466</v>
      </c>
      <c r="U4815">
        <v>40</v>
      </c>
      <c r="V4815" s="1">
        <v>42552</v>
      </c>
      <c r="W4815" s="1">
        <v>42552</v>
      </c>
      <c r="X4815" s="1">
        <v>42552</v>
      </c>
      <c r="Y4815" s="1">
        <v>57162</v>
      </c>
      <c r="Z4815" t="s">
        <v>51</v>
      </c>
      <c r="AB4815" t="s">
        <v>54</v>
      </c>
      <c r="AE4815" t="s">
        <v>79</v>
      </c>
      <c r="AF4815">
        <v>20</v>
      </c>
      <c r="AG4815" s="1">
        <v>42552</v>
      </c>
      <c r="AH4815" s="1">
        <v>42552</v>
      </c>
      <c r="AI4815" s="1">
        <v>42552</v>
      </c>
      <c r="AJ4815" s="1">
        <v>49857</v>
      </c>
      <c r="AK4815" t="s">
        <v>51</v>
      </c>
      <c r="AN4815">
        <v>0</v>
      </c>
      <c r="AO4815" t="s">
        <v>54</v>
      </c>
      <c r="AP4815" t="s">
        <v>53</v>
      </c>
      <c r="AQ4815">
        <v>0</v>
      </c>
      <c r="AR4815" t="s">
        <v>145</v>
      </c>
      <c r="AS4815">
        <v>0</v>
      </c>
      <c r="AT4815">
        <v>0</v>
      </c>
      <c r="CC4815" t="s">
        <v>439</v>
      </c>
      <c r="CD4815">
        <v>85000</v>
      </c>
      <c r="CE4815" s="1">
        <v>42552</v>
      </c>
      <c r="CF4815" s="1">
        <v>42552</v>
      </c>
      <c r="CG4815" s="1">
        <v>42552</v>
      </c>
      <c r="CH4815" s="1">
        <v>50139</v>
      </c>
      <c r="CI4815" t="s">
        <v>51</v>
      </c>
      <c r="CK4815" t="s">
        <v>78</v>
      </c>
      <c r="CM4815" t="s">
        <v>54</v>
      </c>
      <c r="CN4815" t="s">
        <v>174</v>
      </c>
      <c r="CO4815" t="s">
        <v>86</v>
      </c>
      <c r="CR4815">
        <v>25</v>
      </c>
      <c r="CS4815">
        <v>0</v>
      </c>
      <c r="CT4815">
        <v>0</v>
      </c>
      <c r="CU4815">
        <v>0</v>
      </c>
    </row>
    <row r="4816" spans="1:99" x14ac:dyDescent="0.2">
      <c r="A4816" t="s">
        <v>367</v>
      </c>
      <c r="B4816" t="s">
        <v>368</v>
      </c>
      <c r="C4816" t="s">
        <v>369</v>
      </c>
      <c r="D4816" t="s">
        <v>1392</v>
      </c>
      <c r="F4816" t="str">
        <f>"254466"</f>
        <v>254466</v>
      </c>
      <c r="G4816" t="s">
        <v>49</v>
      </c>
      <c r="K4816" t="s">
        <v>51</v>
      </c>
      <c r="L4816" t="s">
        <v>52</v>
      </c>
      <c r="M4816">
        <v>137809.35</v>
      </c>
      <c r="N4816">
        <v>466943.57</v>
      </c>
      <c r="O4816" t="s">
        <v>53</v>
      </c>
      <c r="P4816" t="s">
        <v>54</v>
      </c>
      <c r="Q4816" t="s">
        <v>55</v>
      </c>
      <c r="T4816" t="s">
        <v>466</v>
      </c>
      <c r="U4816">
        <v>40</v>
      </c>
      <c r="V4816" s="1">
        <v>42552</v>
      </c>
      <c r="W4816" s="1">
        <v>42552</v>
      </c>
      <c r="X4816" s="1">
        <v>42552</v>
      </c>
      <c r="Y4816" s="1">
        <v>57162</v>
      </c>
      <c r="Z4816" t="s">
        <v>51</v>
      </c>
      <c r="AB4816" t="s">
        <v>54</v>
      </c>
      <c r="AE4816" t="s">
        <v>79</v>
      </c>
      <c r="AF4816">
        <v>20</v>
      </c>
      <c r="AG4816" s="1">
        <v>42552</v>
      </c>
      <c r="AH4816" s="1">
        <v>42552</v>
      </c>
      <c r="AI4816" s="1">
        <v>42552</v>
      </c>
      <c r="AJ4816" s="1">
        <v>49857</v>
      </c>
      <c r="AK4816" t="s">
        <v>51</v>
      </c>
      <c r="AN4816">
        <v>0</v>
      </c>
      <c r="AO4816" t="s">
        <v>54</v>
      </c>
      <c r="AP4816" t="s">
        <v>53</v>
      </c>
      <c r="AQ4816">
        <v>0</v>
      </c>
      <c r="AR4816" t="s">
        <v>145</v>
      </c>
      <c r="AS4816">
        <v>0</v>
      </c>
      <c r="AT4816">
        <v>0</v>
      </c>
      <c r="CC4816" t="s">
        <v>439</v>
      </c>
      <c r="CD4816">
        <v>85000</v>
      </c>
      <c r="CE4816" s="1">
        <v>42552</v>
      </c>
      <c r="CF4816" s="1">
        <v>42552</v>
      </c>
      <c r="CG4816" s="1">
        <v>42552</v>
      </c>
      <c r="CH4816" s="1">
        <v>50139</v>
      </c>
      <c r="CI4816" t="s">
        <v>51</v>
      </c>
      <c r="CK4816" t="s">
        <v>78</v>
      </c>
      <c r="CM4816" t="s">
        <v>54</v>
      </c>
      <c r="CN4816" t="s">
        <v>174</v>
      </c>
      <c r="CO4816" t="s">
        <v>86</v>
      </c>
      <c r="CR4816">
        <v>25</v>
      </c>
      <c r="CS4816">
        <v>0</v>
      </c>
      <c r="CT4816">
        <v>0</v>
      </c>
      <c r="CU4816">
        <v>0</v>
      </c>
    </row>
    <row r="4817" spans="1:99" x14ac:dyDescent="0.2">
      <c r="A4817" t="s">
        <v>367</v>
      </c>
      <c r="B4817" t="s">
        <v>368</v>
      </c>
      <c r="C4817" t="s">
        <v>369</v>
      </c>
      <c r="D4817" t="s">
        <v>1392</v>
      </c>
      <c r="F4817" t="str">
        <f>"254467"</f>
        <v>254467</v>
      </c>
      <c r="G4817" t="s">
        <v>49</v>
      </c>
      <c r="K4817" t="s">
        <v>51</v>
      </c>
      <c r="L4817" t="s">
        <v>52</v>
      </c>
      <c r="M4817">
        <v>137788.66</v>
      </c>
      <c r="N4817">
        <v>466928.31</v>
      </c>
      <c r="O4817" t="s">
        <v>53</v>
      </c>
      <c r="P4817" t="s">
        <v>54</v>
      </c>
      <c r="Q4817" t="s">
        <v>55</v>
      </c>
      <c r="T4817" t="s">
        <v>466</v>
      </c>
      <c r="U4817">
        <v>40</v>
      </c>
      <c r="V4817" s="1">
        <v>42552</v>
      </c>
      <c r="W4817" s="1">
        <v>42552</v>
      </c>
      <c r="X4817" s="1">
        <v>42552</v>
      </c>
      <c r="Y4817" s="1">
        <v>57162</v>
      </c>
      <c r="Z4817" t="s">
        <v>51</v>
      </c>
      <c r="AB4817" t="s">
        <v>54</v>
      </c>
      <c r="AE4817" t="s">
        <v>79</v>
      </c>
      <c r="AF4817">
        <v>20</v>
      </c>
      <c r="AG4817" s="1">
        <v>42552</v>
      </c>
      <c r="AH4817" s="1">
        <v>42552</v>
      </c>
      <c r="AI4817" s="1">
        <v>42552</v>
      </c>
      <c r="AJ4817" s="1">
        <v>49857</v>
      </c>
      <c r="AK4817" t="s">
        <v>51</v>
      </c>
      <c r="AN4817">
        <v>0</v>
      </c>
      <c r="AO4817" t="s">
        <v>54</v>
      </c>
      <c r="AP4817" t="s">
        <v>53</v>
      </c>
      <c r="AQ4817">
        <v>0</v>
      </c>
      <c r="AR4817" t="s">
        <v>145</v>
      </c>
      <c r="AS4817">
        <v>0</v>
      </c>
      <c r="AT4817">
        <v>0</v>
      </c>
      <c r="CC4817" t="s">
        <v>439</v>
      </c>
      <c r="CD4817">
        <v>85000</v>
      </c>
      <c r="CE4817" s="1">
        <v>42552</v>
      </c>
      <c r="CF4817" s="1">
        <v>42552</v>
      </c>
      <c r="CG4817" s="1">
        <v>42552</v>
      </c>
      <c r="CH4817" s="1">
        <v>50139</v>
      </c>
      <c r="CI4817" t="s">
        <v>51</v>
      </c>
      <c r="CK4817" t="s">
        <v>78</v>
      </c>
      <c r="CM4817" t="s">
        <v>54</v>
      </c>
      <c r="CN4817" t="s">
        <v>174</v>
      </c>
      <c r="CO4817" t="s">
        <v>86</v>
      </c>
      <c r="CR4817">
        <v>25</v>
      </c>
      <c r="CS4817">
        <v>0</v>
      </c>
      <c r="CT4817">
        <v>0</v>
      </c>
      <c r="CU4817">
        <v>0</v>
      </c>
    </row>
    <row r="4818" spans="1:99" x14ac:dyDescent="0.2">
      <c r="A4818" t="s">
        <v>367</v>
      </c>
      <c r="B4818" t="s">
        <v>368</v>
      </c>
      <c r="C4818" t="s">
        <v>369</v>
      </c>
      <c r="D4818" t="s">
        <v>1392</v>
      </c>
      <c r="F4818" t="str">
        <f>"254470"</f>
        <v>254470</v>
      </c>
      <c r="G4818" t="s">
        <v>49</v>
      </c>
      <c r="K4818" t="s">
        <v>51</v>
      </c>
      <c r="L4818" t="s">
        <v>52</v>
      </c>
      <c r="M4818">
        <v>137719.07999999999</v>
      </c>
      <c r="N4818">
        <v>466874.55</v>
      </c>
      <c r="O4818" t="s">
        <v>53</v>
      </c>
      <c r="P4818" t="s">
        <v>54</v>
      </c>
      <c r="Q4818" t="s">
        <v>55</v>
      </c>
      <c r="T4818" t="s">
        <v>466</v>
      </c>
      <c r="U4818">
        <v>40</v>
      </c>
      <c r="V4818" s="1">
        <v>42552</v>
      </c>
      <c r="W4818" s="1">
        <v>42552</v>
      </c>
      <c r="X4818" s="1">
        <v>42552</v>
      </c>
      <c r="Y4818" s="1">
        <v>57162</v>
      </c>
      <c r="Z4818" t="s">
        <v>51</v>
      </c>
      <c r="AB4818" t="s">
        <v>54</v>
      </c>
      <c r="AE4818" t="s">
        <v>79</v>
      </c>
      <c r="AF4818">
        <v>20</v>
      </c>
      <c r="AG4818" s="1">
        <v>42552</v>
      </c>
      <c r="AH4818" s="1">
        <v>42552</v>
      </c>
      <c r="AI4818" s="1">
        <v>42552</v>
      </c>
      <c r="AJ4818" s="1">
        <v>49857</v>
      </c>
      <c r="AK4818" t="s">
        <v>51</v>
      </c>
      <c r="AN4818">
        <v>0</v>
      </c>
      <c r="AO4818" t="s">
        <v>54</v>
      </c>
      <c r="AP4818" t="s">
        <v>53</v>
      </c>
      <c r="AQ4818">
        <v>0</v>
      </c>
      <c r="AR4818" t="s">
        <v>145</v>
      </c>
      <c r="AS4818">
        <v>0</v>
      </c>
      <c r="AT4818">
        <v>0</v>
      </c>
      <c r="CC4818" t="s">
        <v>439</v>
      </c>
      <c r="CD4818">
        <v>85000</v>
      </c>
      <c r="CE4818" s="1">
        <v>42552</v>
      </c>
      <c r="CF4818" s="1">
        <v>42552</v>
      </c>
      <c r="CG4818" s="1">
        <v>42552</v>
      </c>
      <c r="CH4818" s="1">
        <v>50139</v>
      </c>
      <c r="CI4818" t="s">
        <v>51</v>
      </c>
      <c r="CK4818" t="s">
        <v>78</v>
      </c>
      <c r="CM4818" t="s">
        <v>54</v>
      </c>
      <c r="CN4818" t="s">
        <v>174</v>
      </c>
      <c r="CO4818" t="s">
        <v>86</v>
      </c>
      <c r="CR4818">
        <v>25</v>
      </c>
      <c r="CS4818">
        <v>0</v>
      </c>
      <c r="CT4818">
        <v>0</v>
      </c>
      <c r="CU4818">
        <v>0</v>
      </c>
    </row>
    <row r="4819" spans="1:99" x14ac:dyDescent="0.2">
      <c r="A4819" t="s">
        <v>367</v>
      </c>
      <c r="B4819" t="s">
        <v>368</v>
      </c>
      <c r="C4819" t="s">
        <v>369</v>
      </c>
      <c r="D4819" t="s">
        <v>1392</v>
      </c>
      <c r="F4819" t="str">
        <f>"254471"</f>
        <v>254471</v>
      </c>
      <c r="G4819" t="s">
        <v>49</v>
      </c>
      <c r="K4819" t="s">
        <v>51</v>
      </c>
      <c r="L4819" t="s">
        <v>52</v>
      </c>
      <c r="M4819">
        <v>137689.16</v>
      </c>
      <c r="N4819">
        <v>466851.62</v>
      </c>
      <c r="O4819" t="s">
        <v>53</v>
      </c>
      <c r="P4819" t="s">
        <v>54</v>
      </c>
      <c r="Q4819" t="s">
        <v>55</v>
      </c>
      <c r="T4819" t="s">
        <v>466</v>
      </c>
      <c r="U4819">
        <v>40</v>
      </c>
      <c r="V4819" s="1">
        <v>42552</v>
      </c>
      <c r="W4819" s="1">
        <v>42552</v>
      </c>
      <c r="X4819" s="1">
        <v>42552</v>
      </c>
      <c r="Y4819" s="1">
        <v>57162</v>
      </c>
      <c r="Z4819" t="s">
        <v>51</v>
      </c>
      <c r="AB4819" t="s">
        <v>54</v>
      </c>
      <c r="AE4819" t="s">
        <v>79</v>
      </c>
      <c r="AF4819">
        <v>20</v>
      </c>
      <c r="AG4819" s="1">
        <v>42552</v>
      </c>
      <c r="AH4819" s="1">
        <v>42552</v>
      </c>
      <c r="AI4819" s="1">
        <v>42552</v>
      </c>
      <c r="AJ4819" s="1">
        <v>49857</v>
      </c>
      <c r="AK4819" t="s">
        <v>51</v>
      </c>
      <c r="AN4819">
        <v>0</v>
      </c>
      <c r="AO4819" t="s">
        <v>54</v>
      </c>
      <c r="AP4819" t="s">
        <v>53</v>
      </c>
      <c r="AQ4819">
        <v>0</v>
      </c>
      <c r="AR4819" t="s">
        <v>145</v>
      </c>
      <c r="AS4819">
        <v>0</v>
      </c>
      <c r="AT4819">
        <v>0</v>
      </c>
      <c r="CC4819" t="s">
        <v>439</v>
      </c>
      <c r="CD4819">
        <v>85000</v>
      </c>
      <c r="CE4819" s="1">
        <v>42552</v>
      </c>
      <c r="CF4819" s="1">
        <v>42552</v>
      </c>
      <c r="CG4819" s="1">
        <v>42552</v>
      </c>
      <c r="CH4819" s="1">
        <v>50139</v>
      </c>
      <c r="CI4819" t="s">
        <v>51</v>
      </c>
      <c r="CK4819" t="s">
        <v>78</v>
      </c>
      <c r="CM4819" t="s">
        <v>54</v>
      </c>
      <c r="CN4819" t="s">
        <v>174</v>
      </c>
      <c r="CO4819" t="s">
        <v>86</v>
      </c>
      <c r="CR4819">
        <v>25</v>
      </c>
      <c r="CS4819">
        <v>0</v>
      </c>
      <c r="CT4819">
        <v>0</v>
      </c>
      <c r="CU4819">
        <v>0</v>
      </c>
    </row>
    <row r="4820" spans="1:99" x14ac:dyDescent="0.2">
      <c r="A4820" t="s">
        <v>367</v>
      </c>
      <c r="B4820" t="s">
        <v>368</v>
      </c>
      <c r="C4820" t="s">
        <v>369</v>
      </c>
      <c r="D4820" t="s">
        <v>1392</v>
      </c>
      <c r="F4820" t="str">
        <f>"254472"</f>
        <v>254472</v>
      </c>
      <c r="G4820" t="s">
        <v>49</v>
      </c>
      <c r="K4820" t="s">
        <v>51</v>
      </c>
      <c r="L4820" t="s">
        <v>52</v>
      </c>
      <c r="M4820">
        <v>137657.19</v>
      </c>
      <c r="N4820">
        <v>466829.4</v>
      </c>
      <c r="O4820" t="s">
        <v>53</v>
      </c>
      <c r="P4820" t="s">
        <v>54</v>
      </c>
      <c r="Q4820" t="s">
        <v>55</v>
      </c>
      <c r="T4820" t="s">
        <v>466</v>
      </c>
      <c r="U4820">
        <v>40</v>
      </c>
      <c r="V4820" s="1">
        <v>42552</v>
      </c>
      <c r="W4820" s="1">
        <v>42552</v>
      </c>
      <c r="X4820" s="1">
        <v>42552</v>
      </c>
      <c r="Y4820" s="1">
        <v>57162</v>
      </c>
      <c r="Z4820" t="s">
        <v>51</v>
      </c>
      <c r="AB4820" t="s">
        <v>54</v>
      </c>
      <c r="AE4820" t="s">
        <v>79</v>
      </c>
      <c r="AF4820">
        <v>20</v>
      </c>
      <c r="AG4820" s="1">
        <v>42552</v>
      </c>
      <c r="AH4820" s="1">
        <v>42552</v>
      </c>
      <c r="AI4820" s="1">
        <v>42552</v>
      </c>
      <c r="AJ4820" s="1">
        <v>49857</v>
      </c>
      <c r="AK4820" t="s">
        <v>51</v>
      </c>
      <c r="AN4820">
        <v>0</v>
      </c>
      <c r="AO4820" t="s">
        <v>54</v>
      </c>
      <c r="AP4820" t="s">
        <v>53</v>
      </c>
      <c r="AQ4820">
        <v>0</v>
      </c>
      <c r="AR4820" t="s">
        <v>145</v>
      </c>
      <c r="AS4820">
        <v>0</v>
      </c>
      <c r="AT4820">
        <v>0</v>
      </c>
      <c r="CC4820" t="s">
        <v>439</v>
      </c>
      <c r="CD4820">
        <v>85000</v>
      </c>
      <c r="CE4820" s="1">
        <v>42552</v>
      </c>
      <c r="CF4820" s="1">
        <v>42552</v>
      </c>
      <c r="CG4820" s="1">
        <v>42552</v>
      </c>
      <c r="CH4820" s="1">
        <v>50139</v>
      </c>
      <c r="CI4820" t="s">
        <v>51</v>
      </c>
      <c r="CK4820" t="s">
        <v>78</v>
      </c>
      <c r="CM4820" t="s">
        <v>54</v>
      </c>
      <c r="CN4820" t="s">
        <v>174</v>
      </c>
      <c r="CO4820" t="s">
        <v>86</v>
      </c>
      <c r="CR4820">
        <v>25</v>
      </c>
      <c r="CS4820">
        <v>0</v>
      </c>
      <c r="CT4820">
        <v>0</v>
      </c>
      <c r="CU4820">
        <v>0</v>
      </c>
    </row>
    <row r="4821" spans="1:99" x14ac:dyDescent="0.2">
      <c r="A4821" t="s">
        <v>367</v>
      </c>
      <c r="B4821" t="s">
        <v>368</v>
      </c>
      <c r="C4821" t="s">
        <v>369</v>
      </c>
      <c r="D4821" t="s">
        <v>1392</v>
      </c>
      <c r="F4821" t="str">
        <f>"254469"</f>
        <v>254469</v>
      </c>
      <c r="G4821" t="s">
        <v>49</v>
      </c>
      <c r="K4821" t="s">
        <v>51</v>
      </c>
      <c r="L4821" t="s">
        <v>52</v>
      </c>
      <c r="M4821">
        <v>137753.21</v>
      </c>
      <c r="N4821">
        <v>466893.41</v>
      </c>
      <c r="O4821" t="s">
        <v>53</v>
      </c>
      <c r="P4821" t="s">
        <v>54</v>
      </c>
      <c r="Q4821" t="s">
        <v>55</v>
      </c>
      <c r="T4821" t="s">
        <v>466</v>
      </c>
      <c r="U4821">
        <v>40</v>
      </c>
      <c r="V4821" s="1">
        <v>42552</v>
      </c>
      <c r="W4821" s="1">
        <v>42552</v>
      </c>
      <c r="X4821" s="1">
        <v>42552</v>
      </c>
      <c r="Y4821" s="1">
        <v>57162</v>
      </c>
      <c r="Z4821" t="s">
        <v>51</v>
      </c>
      <c r="AB4821" t="s">
        <v>54</v>
      </c>
      <c r="AE4821" t="s">
        <v>79</v>
      </c>
      <c r="AF4821">
        <v>20</v>
      </c>
      <c r="AG4821" s="1">
        <v>42552</v>
      </c>
      <c r="AH4821" s="1">
        <v>42552</v>
      </c>
      <c r="AI4821" s="1">
        <v>42552</v>
      </c>
      <c r="AJ4821" s="1">
        <v>49857</v>
      </c>
      <c r="AK4821" t="s">
        <v>51</v>
      </c>
      <c r="AN4821">
        <v>0</v>
      </c>
      <c r="AO4821" t="s">
        <v>54</v>
      </c>
      <c r="AP4821" t="s">
        <v>53</v>
      </c>
      <c r="AQ4821">
        <v>0</v>
      </c>
      <c r="AR4821" t="s">
        <v>145</v>
      </c>
      <c r="AS4821">
        <v>0</v>
      </c>
      <c r="AT4821">
        <v>0</v>
      </c>
      <c r="CC4821" t="s">
        <v>439</v>
      </c>
      <c r="CD4821">
        <v>85000</v>
      </c>
      <c r="CE4821" s="1">
        <v>42552</v>
      </c>
      <c r="CF4821" s="1">
        <v>42552</v>
      </c>
      <c r="CG4821" s="1">
        <v>42552</v>
      </c>
      <c r="CH4821" s="1">
        <v>50139</v>
      </c>
      <c r="CI4821" t="s">
        <v>51</v>
      </c>
      <c r="CK4821" t="s">
        <v>78</v>
      </c>
      <c r="CM4821" t="s">
        <v>54</v>
      </c>
      <c r="CN4821" t="s">
        <v>174</v>
      </c>
      <c r="CO4821" t="s">
        <v>86</v>
      </c>
      <c r="CR4821">
        <v>25</v>
      </c>
      <c r="CS4821">
        <v>0</v>
      </c>
      <c r="CT4821">
        <v>0</v>
      </c>
      <c r="CU4821">
        <v>0</v>
      </c>
    </row>
    <row r="4822" spans="1:99" x14ac:dyDescent="0.2">
      <c r="A4822" t="s">
        <v>367</v>
      </c>
      <c r="B4822" t="s">
        <v>368</v>
      </c>
      <c r="C4822" t="s">
        <v>369</v>
      </c>
      <c r="D4822" t="s">
        <v>1392</v>
      </c>
      <c r="F4822" t="str">
        <f>"254468"</f>
        <v>254468</v>
      </c>
      <c r="G4822" t="s">
        <v>49</v>
      </c>
      <c r="K4822" t="s">
        <v>51</v>
      </c>
      <c r="L4822" t="s">
        <v>52</v>
      </c>
      <c r="M4822">
        <v>137773.53</v>
      </c>
      <c r="N4822">
        <v>466908.96</v>
      </c>
      <c r="O4822" t="s">
        <v>53</v>
      </c>
      <c r="P4822" t="s">
        <v>54</v>
      </c>
      <c r="Q4822" t="s">
        <v>55</v>
      </c>
      <c r="T4822" t="s">
        <v>466</v>
      </c>
      <c r="U4822">
        <v>40</v>
      </c>
      <c r="V4822" s="1">
        <v>42552</v>
      </c>
      <c r="W4822" s="1">
        <v>42552</v>
      </c>
      <c r="X4822" s="1">
        <v>42552</v>
      </c>
      <c r="Y4822" s="1">
        <v>57162</v>
      </c>
      <c r="Z4822" t="s">
        <v>51</v>
      </c>
      <c r="AB4822" t="s">
        <v>54</v>
      </c>
      <c r="AE4822" t="s">
        <v>79</v>
      </c>
      <c r="AF4822">
        <v>20</v>
      </c>
      <c r="AG4822" s="1">
        <v>42552</v>
      </c>
      <c r="AH4822" s="1">
        <v>42552</v>
      </c>
      <c r="AI4822" s="1">
        <v>42552</v>
      </c>
      <c r="AJ4822" s="1">
        <v>49857</v>
      </c>
      <c r="AK4822" t="s">
        <v>51</v>
      </c>
      <c r="AN4822">
        <v>0</v>
      </c>
      <c r="AO4822" t="s">
        <v>54</v>
      </c>
      <c r="AP4822" t="s">
        <v>53</v>
      </c>
      <c r="AQ4822">
        <v>0</v>
      </c>
      <c r="AR4822" t="s">
        <v>145</v>
      </c>
      <c r="AS4822">
        <v>0</v>
      </c>
      <c r="AT4822">
        <v>0</v>
      </c>
      <c r="CC4822" t="s">
        <v>439</v>
      </c>
      <c r="CD4822">
        <v>85000</v>
      </c>
      <c r="CE4822" s="1">
        <v>42552</v>
      </c>
      <c r="CF4822" s="1">
        <v>42552</v>
      </c>
      <c r="CG4822" s="1">
        <v>42552</v>
      </c>
      <c r="CH4822" s="1">
        <v>50139</v>
      </c>
      <c r="CI4822" t="s">
        <v>51</v>
      </c>
      <c r="CK4822" t="s">
        <v>78</v>
      </c>
      <c r="CM4822" t="s">
        <v>54</v>
      </c>
      <c r="CN4822" t="s">
        <v>174</v>
      </c>
      <c r="CO4822" t="s">
        <v>86</v>
      </c>
      <c r="CR4822">
        <v>25</v>
      </c>
      <c r="CS4822">
        <v>0</v>
      </c>
      <c r="CT4822">
        <v>0</v>
      </c>
      <c r="CU4822">
        <v>0</v>
      </c>
    </row>
    <row r="4823" spans="1:99" x14ac:dyDescent="0.2">
      <c r="A4823" t="s">
        <v>367</v>
      </c>
      <c r="B4823" t="s">
        <v>368</v>
      </c>
      <c r="C4823" t="s">
        <v>369</v>
      </c>
      <c r="D4823" t="s">
        <v>1392</v>
      </c>
      <c r="F4823" t="str">
        <f>"254444"</f>
        <v>254444</v>
      </c>
      <c r="G4823" t="s">
        <v>49</v>
      </c>
      <c r="K4823" t="s">
        <v>51</v>
      </c>
      <c r="L4823" t="s">
        <v>52</v>
      </c>
      <c r="M4823">
        <v>138277.85</v>
      </c>
      <c r="N4823">
        <v>467420.18</v>
      </c>
      <c r="O4823" t="s">
        <v>53</v>
      </c>
      <c r="P4823" t="s">
        <v>54</v>
      </c>
      <c r="Q4823" t="s">
        <v>55</v>
      </c>
      <c r="T4823" t="s">
        <v>466</v>
      </c>
      <c r="U4823">
        <v>40</v>
      </c>
      <c r="V4823" s="1">
        <v>42552</v>
      </c>
      <c r="W4823" s="1">
        <v>42552</v>
      </c>
      <c r="X4823" s="1">
        <v>42552</v>
      </c>
      <c r="Y4823" s="1">
        <v>57162</v>
      </c>
      <c r="Z4823" t="s">
        <v>51</v>
      </c>
      <c r="AB4823" t="s">
        <v>54</v>
      </c>
      <c r="AE4823" t="s">
        <v>79</v>
      </c>
      <c r="AF4823">
        <v>20</v>
      </c>
      <c r="AG4823" s="1">
        <v>42552</v>
      </c>
      <c r="AH4823" s="1">
        <v>42552</v>
      </c>
      <c r="AI4823" s="1">
        <v>42552</v>
      </c>
      <c r="AJ4823" s="1">
        <v>49857</v>
      </c>
      <c r="AK4823" t="s">
        <v>51</v>
      </c>
      <c r="AN4823">
        <v>0</v>
      </c>
      <c r="AO4823" t="s">
        <v>54</v>
      </c>
      <c r="AP4823" t="s">
        <v>53</v>
      </c>
      <c r="AQ4823">
        <v>0</v>
      </c>
      <c r="AR4823" t="s">
        <v>145</v>
      </c>
      <c r="AS4823">
        <v>0</v>
      </c>
      <c r="AT4823">
        <v>0</v>
      </c>
      <c r="CC4823" t="s">
        <v>439</v>
      </c>
      <c r="CD4823">
        <v>85000</v>
      </c>
      <c r="CE4823" s="1">
        <v>42552</v>
      </c>
      <c r="CF4823" s="1">
        <v>42552</v>
      </c>
      <c r="CG4823" s="1">
        <v>42552</v>
      </c>
      <c r="CH4823" s="1">
        <v>50139</v>
      </c>
      <c r="CI4823" t="s">
        <v>51</v>
      </c>
      <c r="CK4823" t="s">
        <v>78</v>
      </c>
      <c r="CM4823" t="s">
        <v>54</v>
      </c>
      <c r="CN4823" t="s">
        <v>174</v>
      </c>
      <c r="CO4823" t="s">
        <v>86</v>
      </c>
      <c r="CR4823">
        <v>25</v>
      </c>
      <c r="CS4823">
        <v>0</v>
      </c>
      <c r="CT4823">
        <v>0</v>
      </c>
      <c r="CU4823">
        <v>0</v>
      </c>
    </row>
    <row r="4824" spans="1:99" x14ac:dyDescent="0.2">
      <c r="A4824" t="s">
        <v>367</v>
      </c>
      <c r="B4824" t="s">
        <v>368</v>
      </c>
      <c r="C4824" t="s">
        <v>369</v>
      </c>
      <c r="D4824" t="s">
        <v>1392</v>
      </c>
      <c r="F4824" t="str">
        <f>"254443"</f>
        <v>254443</v>
      </c>
      <c r="G4824" t="s">
        <v>49</v>
      </c>
      <c r="K4824" t="s">
        <v>51</v>
      </c>
      <c r="L4824" t="s">
        <v>52</v>
      </c>
      <c r="M4824">
        <v>138328.29999999999</v>
      </c>
      <c r="N4824">
        <v>467465.82</v>
      </c>
      <c r="O4824" t="s">
        <v>53</v>
      </c>
      <c r="P4824" t="s">
        <v>54</v>
      </c>
      <c r="Q4824" t="s">
        <v>55</v>
      </c>
      <c r="T4824" t="s">
        <v>466</v>
      </c>
      <c r="U4824">
        <v>40</v>
      </c>
      <c r="V4824" s="1">
        <v>42552</v>
      </c>
      <c r="W4824" s="1">
        <v>42552</v>
      </c>
      <c r="X4824" s="1">
        <v>42552</v>
      </c>
      <c r="Y4824" s="1">
        <v>57162</v>
      </c>
      <c r="Z4824" t="s">
        <v>51</v>
      </c>
      <c r="AB4824" t="s">
        <v>54</v>
      </c>
      <c r="AE4824" t="s">
        <v>79</v>
      </c>
      <c r="AF4824">
        <v>20</v>
      </c>
      <c r="AG4824" s="1">
        <v>42552</v>
      </c>
      <c r="AH4824" s="1">
        <v>42552</v>
      </c>
      <c r="AI4824" s="1">
        <v>42552</v>
      </c>
      <c r="AJ4824" s="1">
        <v>49857</v>
      </c>
      <c r="AK4824" t="s">
        <v>51</v>
      </c>
      <c r="AN4824">
        <v>0</v>
      </c>
      <c r="AO4824" t="s">
        <v>54</v>
      </c>
      <c r="AP4824" t="s">
        <v>53</v>
      </c>
      <c r="AQ4824">
        <v>0</v>
      </c>
      <c r="AR4824" t="s">
        <v>145</v>
      </c>
      <c r="AS4824">
        <v>0</v>
      </c>
      <c r="AT4824">
        <v>0</v>
      </c>
      <c r="CC4824" t="s">
        <v>439</v>
      </c>
      <c r="CD4824">
        <v>85000</v>
      </c>
      <c r="CE4824" s="1">
        <v>42552</v>
      </c>
      <c r="CF4824" s="1">
        <v>42552</v>
      </c>
      <c r="CG4824" s="1">
        <v>42552</v>
      </c>
      <c r="CH4824" s="1">
        <v>50139</v>
      </c>
      <c r="CI4824" t="s">
        <v>51</v>
      </c>
      <c r="CK4824" t="s">
        <v>78</v>
      </c>
      <c r="CM4824" t="s">
        <v>54</v>
      </c>
      <c r="CN4824" t="s">
        <v>174</v>
      </c>
      <c r="CO4824" t="s">
        <v>86</v>
      </c>
      <c r="CR4824">
        <v>25</v>
      </c>
      <c r="CS4824">
        <v>0</v>
      </c>
      <c r="CT4824">
        <v>0</v>
      </c>
      <c r="CU4824">
        <v>0</v>
      </c>
    </row>
    <row r="4825" spans="1:99" x14ac:dyDescent="0.2">
      <c r="A4825" t="s">
        <v>367</v>
      </c>
      <c r="B4825" t="s">
        <v>368</v>
      </c>
      <c r="C4825" t="s">
        <v>369</v>
      </c>
      <c r="D4825" t="s">
        <v>1392</v>
      </c>
      <c r="F4825" t="str">
        <f>"254474"</f>
        <v>254474</v>
      </c>
      <c r="G4825" t="s">
        <v>49</v>
      </c>
      <c r="K4825" t="s">
        <v>51</v>
      </c>
      <c r="L4825" t="s">
        <v>52</v>
      </c>
      <c r="M4825">
        <v>137715.16</v>
      </c>
      <c r="N4825">
        <v>466969.11</v>
      </c>
      <c r="O4825" t="s">
        <v>53</v>
      </c>
      <c r="P4825" t="s">
        <v>54</v>
      </c>
      <c r="Q4825" t="s">
        <v>55</v>
      </c>
      <c r="T4825" t="s">
        <v>466</v>
      </c>
      <c r="U4825">
        <v>40</v>
      </c>
      <c r="V4825" s="1">
        <v>42552</v>
      </c>
      <c r="W4825" s="1">
        <v>42552</v>
      </c>
      <c r="X4825" s="1">
        <v>42552</v>
      </c>
      <c r="Y4825" s="1">
        <v>57162</v>
      </c>
      <c r="Z4825" t="s">
        <v>51</v>
      </c>
      <c r="AB4825" t="s">
        <v>54</v>
      </c>
      <c r="AE4825" t="s">
        <v>79</v>
      </c>
      <c r="AF4825">
        <v>20</v>
      </c>
      <c r="AG4825" s="1">
        <v>42552</v>
      </c>
      <c r="AH4825" s="1">
        <v>42552</v>
      </c>
      <c r="AI4825" s="1">
        <v>42552</v>
      </c>
      <c r="AJ4825" s="1">
        <v>49857</v>
      </c>
      <c r="AK4825" t="s">
        <v>51</v>
      </c>
      <c r="AN4825">
        <v>0</v>
      </c>
      <c r="AO4825" t="s">
        <v>54</v>
      </c>
      <c r="AP4825" t="s">
        <v>53</v>
      </c>
      <c r="AQ4825">
        <v>0</v>
      </c>
      <c r="AR4825" t="s">
        <v>145</v>
      </c>
      <c r="AS4825">
        <v>0</v>
      </c>
      <c r="AT4825">
        <v>0</v>
      </c>
      <c r="CC4825" t="s">
        <v>439</v>
      </c>
      <c r="CD4825">
        <v>85000</v>
      </c>
      <c r="CE4825" s="1">
        <v>42552</v>
      </c>
      <c r="CF4825" s="1">
        <v>42552</v>
      </c>
      <c r="CG4825" s="1">
        <v>42552</v>
      </c>
      <c r="CH4825" s="1">
        <v>50139</v>
      </c>
      <c r="CI4825" t="s">
        <v>51</v>
      </c>
      <c r="CK4825" t="s">
        <v>78</v>
      </c>
      <c r="CM4825" t="s">
        <v>54</v>
      </c>
      <c r="CN4825" t="s">
        <v>174</v>
      </c>
      <c r="CO4825" t="s">
        <v>86</v>
      </c>
      <c r="CR4825">
        <v>25</v>
      </c>
      <c r="CS4825">
        <v>0</v>
      </c>
      <c r="CT4825">
        <v>0</v>
      </c>
      <c r="CU4825">
        <v>0</v>
      </c>
    </row>
    <row r="4826" spans="1:99" x14ac:dyDescent="0.2">
      <c r="A4826" t="s">
        <v>367</v>
      </c>
      <c r="B4826" t="s">
        <v>368</v>
      </c>
      <c r="C4826" t="s">
        <v>369</v>
      </c>
      <c r="D4826" t="s">
        <v>1392</v>
      </c>
      <c r="F4826" t="str">
        <f>"254473"</f>
        <v>254473</v>
      </c>
      <c r="G4826" t="s">
        <v>49</v>
      </c>
      <c r="K4826" t="s">
        <v>51</v>
      </c>
      <c r="L4826" t="s">
        <v>52</v>
      </c>
      <c r="M4826">
        <v>137744</v>
      </c>
      <c r="N4826">
        <v>466941.01</v>
      </c>
      <c r="O4826" t="s">
        <v>53</v>
      </c>
      <c r="P4826" t="s">
        <v>54</v>
      </c>
      <c r="Q4826" t="s">
        <v>55</v>
      </c>
      <c r="T4826" t="s">
        <v>466</v>
      </c>
      <c r="U4826">
        <v>40</v>
      </c>
      <c r="V4826" s="1">
        <v>42552</v>
      </c>
      <c r="W4826" s="1">
        <v>42552</v>
      </c>
      <c r="X4826" s="1">
        <v>42552</v>
      </c>
      <c r="Y4826" s="1">
        <v>57162</v>
      </c>
      <c r="Z4826" t="s">
        <v>51</v>
      </c>
      <c r="AB4826" t="s">
        <v>54</v>
      </c>
      <c r="AE4826" t="s">
        <v>79</v>
      </c>
      <c r="AF4826">
        <v>20</v>
      </c>
      <c r="AG4826" s="1">
        <v>42552</v>
      </c>
      <c r="AH4826" s="1">
        <v>42552</v>
      </c>
      <c r="AI4826" s="1">
        <v>42552</v>
      </c>
      <c r="AJ4826" s="1">
        <v>49857</v>
      </c>
      <c r="AK4826" t="s">
        <v>51</v>
      </c>
      <c r="AN4826">
        <v>0</v>
      </c>
      <c r="AO4826" t="s">
        <v>54</v>
      </c>
      <c r="AP4826" t="s">
        <v>53</v>
      </c>
      <c r="AQ4826">
        <v>0</v>
      </c>
      <c r="AR4826" t="s">
        <v>145</v>
      </c>
      <c r="AS4826">
        <v>0</v>
      </c>
      <c r="AT4826">
        <v>0</v>
      </c>
      <c r="CC4826" t="s">
        <v>439</v>
      </c>
      <c r="CD4826">
        <v>85000</v>
      </c>
      <c r="CE4826" s="1">
        <v>42552</v>
      </c>
      <c r="CF4826" s="1">
        <v>42552</v>
      </c>
      <c r="CG4826" s="1">
        <v>42552</v>
      </c>
      <c r="CH4826" s="1">
        <v>50139</v>
      </c>
      <c r="CI4826" t="s">
        <v>51</v>
      </c>
      <c r="CK4826" t="s">
        <v>78</v>
      </c>
      <c r="CM4826" t="s">
        <v>54</v>
      </c>
      <c r="CN4826" t="s">
        <v>174</v>
      </c>
      <c r="CO4826" t="s">
        <v>86</v>
      </c>
      <c r="CR4826">
        <v>25</v>
      </c>
      <c r="CS4826">
        <v>0</v>
      </c>
      <c r="CT4826">
        <v>0</v>
      </c>
      <c r="CU4826">
        <v>0</v>
      </c>
    </row>
    <row r="4827" spans="1:99" x14ac:dyDescent="0.2">
      <c r="A4827" t="s">
        <v>367</v>
      </c>
      <c r="B4827" t="s">
        <v>368</v>
      </c>
      <c r="C4827" t="s">
        <v>369</v>
      </c>
      <c r="D4827" t="s">
        <v>1392</v>
      </c>
      <c r="F4827" t="str">
        <f>"254476"</f>
        <v>254476</v>
      </c>
      <c r="G4827" t="s">
        <v>49</v>
      </c>
      <c r="K4827" t="s">
        <v>51</v>
      </c>
      <c r="L4827" t="s">
        <v>52</v>
      </c>
      <c r="M4827">
        <v>137707.97</v>
      </c>
      <c r="N4827">
        <v>466908.87</v>
      </c>
      <c r="O4827" t="s">
        <v>53</v>
      </c>
      <c r="P4827" t="s">
        <v>54</v>
      </c>
      <c r="Q4827" t="s">
        <v>55</v>
      </c>
      <c r="T4827" t="s">
        <v>466</v>
      </c>
      <c r="U4827">
        <v>40</v>
      </c>
      <c r="V4827" s="1">
        <v>42552</v>
      </c>
      <c r="W4827" s="1">
        <v>42552</v>
      </c>
      <c r="X4827" s="1">
        <v>42552</v>
      </c>
      <c r="Y4827" s="1">
        <v>57162</v>
      </c>
      <c r="Z4827" t="s">
        <v>51</v>
      </c>
      <c r="AB4827" t="s">
        <v>54</v>
      </c>
      <c r="AE4827" t="s">
        <v>79</v>
      </c>
      <c r="AF4827">
        <v>20</v>
      </c>
      <c r="AG4827" s="1">
        <v>42552</v>
      </c>
      <c r="AH4827" s="1">
        <v>42552</v>
      </c>
      <c r="AI4827" s="1">
        <v>42552</v>
      </c>
      <c r="AJ4827" s="1">
        <v>49857</v>
      </c>
      <c r="AK4827" t="s">
        <v>51</v>
      </c>
      <c r="AN4827">
        <v>0</v>
      </c>
      <c r="AO4827" t="s">
        <v>54</v>
      </c>
      <c r="AP4827" t="s">
        <v>53</v>
      </c>
      <c r="AQ4827">
        <v>0</v>
      </c>
      <c r="AR4827" t="s">
        <v>145</v>
      </c>
      <c r="AS4827">
        <v>0</v>
      </c>
      <c r="AT4827">
        <v>0</v>
      </c>
      <c r="CC4827" t="s">
        <v>439</v>
      </c>
      <c r="CD4827">
        <v>85000</v>
      </c>
      <c r="CE4827" s="1">
        <v>42552</v>
      </c>
      <c r="CF4827" s="1">
        <v>42552</v>
      </c>
      <c r="CG4827" s="1">
        <v>42552</v>
      </c>
      <c r="CH4827" s="1">
        <v>50139</v>
      </c>
      <c r="CI4827" t="s">
        <v>51</v>
      </c>
      <c r="CK4827" t="s">
        <v>78</v>
      </c>
      <c r="CM4827" t="s">
        <v>54</v>
      </c>
      <c r="CN4827" t="s">
        <v>174</v>
      </c>
      <c r="CO4827" t="s">
        <v>86</v>
      </c>
      <c r="CR4827">
        <v>25</v>
      </c>
      <c r="CS4827">
        <v>0</v>
      </c>
      <c r="CT4827">
        <v>0</v>
      </c>
      <c r="CU4827">
        <v>0</v>
      </c>
    </row>
    <row r="4828" spans="1:99" x14ac:dyDescent="0.2">
      <c r="A4828" t="s">
        <v>367</v>
      </c>
      <c r="B4828" t="s">
        <v>368</v>
      </c>
      <c r="C4828" t="s">
        <v>369</v>
      </c>
      <c r="D4828" t="s">
        <v>1392</v>
      </c>
      <c r="F4828" t="str">
        <f>"254475"</f>
        <v>254475</v>
      </c>
      <c r="G4828" t="s">
        <v>49</v>
      </c>
      <c r="K4828" t="s">
        <v>51</v>
      </c>
      <c r="L4828" t="s">
        <v>52</v>
      </c>
      <c r="M4828">
        <v>137680.73000000001</v>
      </c>
      <c r="N4828">
        <v>466935.95</v>
      </c>
      <c r="O4828" t="s">
        <v>53</v>
      </c>
      <c r="P4828" t="s">
        <v>54</v>
      </c>
      <c r="Q4828" t="s">
        <v>55</v>
      </c>
      <c r="T4828" t="s">
        <v>466</v>
      </c>
      <c r="U4828">
        <v>40</v>
      </c>
      <c r="V4828" s="1">
        <v>42552</v>
      </c>
      <c r="W4828" s="1">
        <v>42552</v>
      </c>
      <c r="X4828" s="1">
        <v>42552</v>
      </c>
      <c r="Y4828" s="1">
        <v>57162</v>
      </c>
      <c r="Z4828" t="s">
        <v>51</v>
      </c>
      <c r="AB4828" t="s">
        <v>54</v>
      </c>
      <c r="AE4828" t="s">
        <v>79</v>
      </c>
      <c r="AF4828">
        <v>20</v>
      </c>
      <c r="AG4828" s="1">
        <v>42552</v>
      </c>
      <c r="AH4828" s="1">
        <v>42552</v>
      </c>
      <c r="AI4828" s="1">
        <v>42552</v>
      </c>
      <c r="AJ4828" s="1">
        <v>49857</v>
      </c>
      <c r="AK4828" t="s">
        <v>51</v>
      </c>
      <c r="AN4828">
        <v>0</v>
      </c>
      <c r="AO4828" t="s">
        <v>54</v>
      </c>
      <c r="AP4828" t="s">
        <v>53</v>
      </c>
      <c r="AQ4828">
        <v>0</v>
      </c>
      <c r="AR4828" t="s">
        <v>145</v>
      </c>
      <c r="AS4828">
        <v>0</v>
      </c>
      <c r="AT4828">
        <v>0</v>
      </c>
      <c r="CC4828" t="s">
        <v>439</v>
      </c>
      <c r="CD4828">
        <v>85000</v>
      </c>
      <c r="CE4828" s="1">
        <v>42552</v>
      </c>
      <c r="CF4828" s="1">
        <v>42552</v>
      </c>
      <c r="CG4828" s="1">
        <v>42552</v>
      </c>
      <c r="CH4828" s="1">
        <v>50139</v>
      </c>
      <c r="CI4828" t="s">
        <v>51</v>
      </c>
      <c r="CK4828" t="s">
        <v>78</v>
      </c>
      <c r="CM4828" t="s">
        <v>54</v>
      </c>
      <c r="CN4828" t="s">
        <v>174</v>
      </c>
      <c r="CO4828" t="s">
        <v>86</v>
      </c>
      <c r="CR4828">
        <v>25</v>
      </c>
      <c r="CS4828">
        <v>0</v>
      </c>
      <c r="CT4828">
        <v>0</v>
      </c>
      <c r="CU4828">
        <v>0</v>
      </c>
    </row>
    <row r="4829" spans="1:99" x14ac:dyDescent="0.2">
      <c r="A4829" t="s">
        <v>367</v>
      </c>
      <c r="B4829" t="s">
        <v>440</v>
      </c>
      <c r="C4829" t="s">
        <v>441</v>
      </c>
      <c r="D4829" t="s">
        <v>806</v>
      </c>
      <c r="F4829" t="str">
        <f>"254439"</f>
        <v>254439</v>
      </c>
      <c r="G4829" t="s">
        <v>49</v>
      </c>
      <c r="K4829" t="s">
        <v>51</v>
      </c>
      <c r="L4829" t="s">
        <v>52</v>
      </c>
      <c r="M4829">
        <v>133928.01</v>
      </c>
      <c r="N4829">
        <v>468808.46</v>
      </c>
      <c r="O4829" t="s">
        <v>53</v>
      </c>
      <c r="P4829" t="s">
        <v>54</v>
      </c>
      <c r="Q4829" t="s">
        <v>55</v>
      </c>
      <c r="T4829" t="s">
        <v>1076</v>
      </c>
      <c r="U4829">
        <v>30</v>
      </c>
      <c r="V4829" s="1">
        <v>44236</v>
      </c>
      <c r="W4829" s="1">
        <v>44236</v>
      </c>
      <c r="X4829" s="1">
        <v>44236</v>
      </c>
      <c r="Y4829" s="1">
        <v>55193</v>
      </c>
      <c r="Z4829" t="s">
        <v>51</v>
      </c>
      <c r="AB4829" t="s">
        <v>54</v>
      </c>
      <c r="AC4829">
        <v>1</v>
      </c>
      <c r="AE4829" t="s">
        <v>2155</v>
      </c>
      <c r="AF4829">
        <v>20</v>
      </c>
      <c r="AG4829" s="1">
        <v>44236</v>
      </c>
      <c r="AH4829" s="1">
        <v>44236</v>
      </c>
      <c r="AI4829" s="1">
        <v>44236</v>
      </c>
      <c r="AJ4829" s="1">
        <v>51541</v>
      </c>
      <c r="AK4829" t="s">
        <v>51</v>
      </c>
      <c r="AN4829">
        <v>0</v>
      </c>
      <c r="AO4829" t="s">
        <v>54</v>
      </c>
      <c r="AP4829" t="s">
        <v>53</v>
      </c>
      <c r="AQ4829">
        <v>0</v>
      </c>
      <c r="AR4829" t="s">
        <v>53</v>
      </c>
      <c r="AS4829">
        <v>0</v>
      </c>
      <c r="AT4829">
        <v>0</v>
      </c>
      <c r="AW4829" t="s">
        <v>79</v>
      </c>
      <c r="AX4829">
        <v>20</v>
      </c>
      <c r="AY4829" s="1">
        <v>44236</v>
      </c>
      <c r="AZ4829" s="1">
        <v>44236</v>
      </c>
      <c r="BA4829" s="1">
        <v>44236</v>
      </c>
      <c r="BB4829" s="1">
        <v>51541</v>
      </c>
      <c r="BC4829" t="s">
        <v>51</v>
      </c>
      <c r="BE4829" t="s">
        <v>54</v>
      </c>
      <c r="BF4829">
        <v>5</v>
      </c>
      <c r="BG4829">
        <v>0</v>
      </c>
      <c r="BH4829" t="s">
        <v>53</v>
      </c>
      <c r="BK4829" t="s">
        <v>146</v>
      </c>
      <c r="BL4829">
        <v>14000</v>
      </c>
      <c r="BM4829" s="1">
        <v>44236</v>
      </c>
      <c r="BN4829" s="1">
        <v>44236</v>
      </c>
      <c r="BO4829" s="1">
        <v>44236</v>
      </c>
      <c r="BP4829" s="1">
        <v>45531</v>
      </c>
      <c r="BQ4829" t="s">
        <v>51</v>
      </c>
      <c r="BS4829" t="s">
        <v>78</v>
      </c>
      <c r="BT4829" t="s">
        <v>54</v>
      </c>
      <c r="BU4829" t="s">
        <v>61</v>
      </c>
      <c r="BV4829" t="s">
        <v>62</v>
      </c>
      <c r="BX4829">
        <v>24</v>
      </c>
      <c r="BY4829">
        <v>0</v>
      </c>
      <c r="BZ4829">
        <v>0</v>
      </c>
    </row>
    <row r="4830" spans="1:99" x14ac:dyDescent="0.2">
      <c r="A4830" t="s">
        <v>367</v>
      </c>
      <c r="B4830" t="s">
        <v>440</v>
      </c>
      <c r="C4830" t="s">
        <v>441</v>
      </c>
      <c r="D4830" t="s">
        <v>806</v>
      </c>
      <c r="F4830" t="str">
        <f>"254441"</f>
        <v>254441</v>
      </c>
      <c r="G4830" t="s">
        <v>49</v>
      </c>
      <c r="K4830" t="s">
        <v>51</v>
      </c>
      <c r="L4830" t="s">
        <v>52</v>
      </c>
      <c r="M4830">
        <v>133996.03</v>
      </c>
      <c r="N4830">
        <v>468807.42</v>
      </c>
      <c r="O4830" t="s">
        <v>53</v>
      </c>
      <c r="P4830" t="s">
        <v>54</v>
      </c>
      <c r="Q4830" t="s">
        <v>55</v>
      </c>
      <c r="T4830" t="s">
        <v>1076</v>
      </c>
      <c r="U4830">
        <v>30</v>
      </c>
      <c r="V4830" s="1">
        <v>44236</v>
      </c>
      <c r="W4830" s="1">
        <v>44236</v>
      </c>
      <c r="X4830" s="1">
        <v>44236</v>
      </c>
      <c r="Y4830" s="1">
        <v>55193</v>
      </c>
      <c r="Z4830" t="s">
        <v>51</v>
      </c>
      <c r="AB4830" t="s">
        <v>54</v>
      </c>
      <c r="AC4830">
        <v>1</v>
      </c>
      <c r="AE4830" t="s">
        <v>2155</v>
      </c>
      <c r="AF4830">
        <v>20</v>
      </c>
      <c r="AG4830" s="1">
        <v>44236</v>
      </c>
      <c r="AH4830" s="1">
        <v>44236</v>
      </c>
      <c r="AI4830" s="1">
        <v>44236</v>
      </c>
      <c r="AJ4830" s="1">
        <v>51541</v>
      </c>
      <c r="AK4830" t="s">
        <v>51</v>
      </c>
      <c r="AN4830">
        <v>0</v>
      </c>
      <c r="AO4830" t="s">
        <v>54</v>
      </c>
      <c r="AP4830" t="s">
        <v>53</v>
      </c>
      <c r="AQ4830">
        <v>0</v>
      </c>
      <c r="AR4830" t="s">
        <v>53</v>
      </c>
      <c r="AS4830">
        <v>0</v>
      </c>
      <c r="AT4830">
        <v>0</v>
      </c>
      <c r="AW4830" t="s">
        <v>79</v>
      </c>
      <c r="AX4830">
        <v>20</v>
      </c>
      <c r="AY4830" s="1">
        <v>44236</v>
      </c>
      <c r="AZ4830" s="1">
        <v>44236</v>
      </c>
      <c r="BA4830" s="1">
        <v>44236</v>
      </c>
      <c r="BB4830" s="1">
        <v>51541</v>
      </c>
      <c r="BC4830" t="s">
        <v>51</v>
      </c>
      <c r="BE4830" t="s">
        <v>54</v>
      </c>
      <c r="BF4830">
        <v>5</v>
      </c>
      <c r="BG4830">
        <v>0</v>
      </c>
      <c r="BH4830" t="s">
        <v>53</v>
      </c>
      <c r="BK4830" t="s">
        <v>146</v>
      </c>
      <c r="BL4830">
        <v>14000</v>
      </c>
      <c r="BM4830" s="1">
        <v>44236</v>
      </c>
      <c r="BN4830" s="1">
        <v>44236</v>
      </c>
      <c r="BO4830" s="1">
        <v>44236</v>
      </c>
      <c r="BP4830" s="1">
        <v>45531</v>
      </c>
      <c r="BQ4830" t="s">
        <v>51</v>
      </c>
      <c r="BS4830" t="s">
        <v>78</v>
      </c>
      <c r="BT4830" t="s">
        <v>54</v>
      </c>
      <c r="BU4830" t="s">
        <v>61</v>
      </c>
      <c r="BV4830" t="s">
        <v>62</v>
      </c>
      <c r="BX4830">
        <v>24</v>
      </c>
      <c r="BY4830">
        <v>0</v>
      </c>
      <c r="BZ4830">
        <v>0</v>
      </c>
    </row>
    <row r="4831" spans="1:99" x14ac:dyDescent="0.2">
      <c r="A4831" t="s">
        <v>180</v>
      </c>
      <c r="B4831" t="s">
        <v>181</v>
      </c>
      <c r="C4831" t="s">
        <v>182</v>
      </c>
      <c r="D4831" t="s">
        <v>513</v>
      </c>
      <c r="F4831" t="str">
        <f>"?192 Hilversum"</f>
        <v>?192 Hilversum</v>
      </c>
      <c r="G4831" t="s">
        <v>49</v>
      </c>
      <c r="K4831" t="s">
        <v>429</v>
      </c>
      <c r="L4831" t="s">
        <v>52</v>
      </c>
      <c r="M4831">
        <v>134466.67000000001</v>
      </c>
      <c r="N4831">
        <v>470963.05</v>
      </c>
      <c r="O4831" t="s">
        <v>53</v>
      </c>
      <c r="P4831" t="s">
        <v>54</v>
      </c>
      <c r="AP4831" t="s">
        <v>53</v>
      </c>
      <c r="AR4831" t="s">
        <v>53</v>
      </c>
      <c r="BH4831" t="s">
        <v>53</v>
      </c>
    </row>
    <row r="4832" spans="1:99" x14ac:dyDescent="0.2">
      <c r="A4832" t="s">
        <v>180</v>
      </c>
      <c r="B4832" t="s">
        <v>181</v>
      </c>
      <c r="C4832" t="s">
        <v>184</v>
      </c>
      <c r="D4832" t="s">
        <v>513</v>
      </c>
      <c r="F4832" t="str">
        <f>"2501231"</f>
        <v>2501231</v>
      </c>
      <c r="G4832" t="s">
        <v>49</v>
      </c>
      <c r="K4832" t="s">
        <v>51</v>
      </c>
      <c r="L4832" t="s">
        <v>52</v>
      </c>
      <c r="M4832">
        <v>134680.15</v>
      </c>
      <c r="N4832">
        <v>471218.86</v>
      </c>
      <c r="O4832" t="s">
        <v>53</v>
      </c>
      <c r="P4832" t="s">
        <v>54</v>
      </c>
      <c r="Q4832" t="s">
        <v>55</v>
      </c>
      <c r="S4832" t="s">
        <v>514</v>
      </c>
      <c r="T4832" t="s">
        <v>514</v>
      </c>
      <c r="U4832">
        <v>30</v>
      </c>
      <c r="V4832" s="1">
        <v>44197</v>
      </c>
      <c r="W4832" s="1">
        <v>44197</v>
      </c>
      <c r="X4832" s="1">
        <v>44197</v>
      </c>
      <c r="Y4832" s="1">
        <v>55154</v>
      </c>
      <c r="Z4832" t="s">
        <v>51</v>
      </c>
      <c r="AB4832" t="s">
        <v>54</v>
      </c>
      <c r="AC4832">
        <v>1</v>
      </c>
      <c r="AE4832" t="s">
        <v>515</v>
      </c>
      <c r="AF4832">
        <v>20</v>
      </c>
      <c r="AG4832" s="1">
        <v>44197</v>
      </c>
      <c r="AH4832" s="1">
        <v>44197</v>
      </c>
      <c r="AI4832" s="1">
        <v>44197</v>
      </c>
      <c r="AJ4832" s="1">
        <v>51502</v>
      </c>
      <c r="AK4832" t="s">
        <v>51</v>
      </c>
      <c r="AN4832">
        <v>0</v>
      </c>
      <c r="AO4832" t="s">
        <v>54</v>
      </c>
      <c r="AP4832" t="s">
        <v>53</v>
      </c>
      <c r="AQ4832">
        <v>0</v>
      </c>
      <c r="AR4832" t="s">
        <v>53</v>
      </c>
      <c r="AS4832">
        <v>0</v>
      </c>
      <c r="AT4832">
        <v>0</v>
      </c>
      <c r="CC4832" t="s">
        <v>432</v>
      </c>
      <c r="CD4832">
        <v>85000</v>
      </c>
      <c r="CE4832" s="1">
        <v>44197</v>
      </c>
      <c r="CF4832" s="1">
        <v>44197</v>
      </c>
      <c r="CG4832" s="1">
        <v>44197</v>
      </c>
      <c r="CH4832" s="1">
        <v>51826</v>
      </c>
      <c r="CI4832" t="s">
        <v>51</v>
      </c>
      <c r="CK4832" t="s">
        <v>78</v>
      </c>
      <c r="CM4832" t="s">
        <v>54</v>
      </c>
      <c r="CN4832" t="s">
        <v>174</v>
      </c>
      <c r="CO4832" t="s">
        <v>86</v>
      </c>
      <c r="CR4832">
        <v>24</v>
      </c>
      <c r="CS4832">
        <v>0</v>
      </c>
      <c r="CT4832">
        <v>0</v>
      </c>
      <c r="CU4832">
        <v>0</v>
      </c>
    </row>
    <row r="4833" spans="1:99" x14ac:dyDescent="0.2">
      <c r="A4833" t="s">
        <v>180</v>
      </c>
      <c r="B4833" t="s">
        <v>181</v>
      </c>
      <c r="C4833" t="s">
        <v>184</v>
      </c>
      <c r="D4833" t="s">
        <v>513</v>
      </c>
      <c r="F4833" t="str">
        <f>"2021"</f>
        <v>2021</v>
      </c>
      <c r="G4833" t="s">
        <v>49</v>
      </c>
      <c r="K4833" t="s">
        <v>51</v>
      </c>
      <c r="L4833" t="s">
        <v>52</v>
      </c>
      <c r="M4833">
        <v>135069.54</v>
      </c>
      <c r="N4833">
        <v>471539.44</v>
      </c>
      <c r="O4833" t="s">
        <v>53</v>
      </c>
      <c r="P4833" t="s">
        <v>54</v>
      </c>
      <c r="Q4833" t="s">
        <v>55</v>
      </c>
      <c r="T4833" t="s">
        <v>466</v>
      </c>
      <c r="U4833">
        <v>40</v>
      </c>
      <c r="V4833" s="1">
        <v>44197</v>
      </c>
      <c r="W4833" s="1">
        <v>44197</v>
      </c>
      <c r="X4833" s="1">
        <v>44197</v>
      </c>
      <c r="Y4833" s="1">
        <v>58807</v>
      </c>
      <c r="Z4833" t="s">
        <v>51</v>
      </c>
      <c r="AB4833" t="s">
        <v>54</v>
      </c>
      <c r="AE4833" t="s">
        <v>356</v>
      </c>
      <c r="AF4833">
        <v>20</v>
      </c>
      <c r="AG4833" s="1">
        <v>44197</v>
      </c>
      <c r="AH4833" s="1">
        <v>44197</v>
      </c>
      <c r="AI4833" s="1">
        <v>44197</v>
      </c>
      <c r="AJ4833" s="1">
        <v>51502</v>
      </c>
      <c r="AK4833" t="s">
        <v>51</v>
      </c>
      <c r="AN4833">
        <v>0</v>
      </c>
      <c r="AO4833" t="s">
        <v>54</v>
      </c>
      <c r="AP4833" t="s">
        <v>53</v>
      </c>
      <c r="AQ4833">
        <v>0</v>
      </c>
      <c r="AR4833" t="s">
        <v>145</v>
      </c>
      <c r="AS4833">
        <v>0</v>
      </c>
      <c r="AT4833">
        <v>0</v>
      </c>
      <c r="CC4833" t="s">
        <v>529</v>
      </c>
      <c r="CD4833">
        <v>85000</v>
      </c>
      <c r="CE4833" s="1">
        <v>44197</v>
      </c>
      <c r="CF4833" s="1">
        <v>44197</v>
      </c>
      <c r="CG4833" s="1">
        <v>44197</v>
      </c>
      <c r="CH4833" s="1">
        <v>51826</v>
      </c>
      <c r="CI4833" t="s">
        <v>51</v>
      </c>
      <c r="CK4833" t="s">
        <v>78</v>
      </c>
      <c r="CM4833" t="s">
        <v>54</v>
      </c>
      <c r="CN4833" t="s">
        <v>174</v>
      </c>
      <c r="CO4833" t="s">
        <v>86</v>
      </c>
      <c r="CR4833">
        <v>35</v>
      </c>
      <c r="CS4833">
        <v>0</v>
      </c>
      <c r="CT4833">
        <v>0</v>
      </c>
      <c r="CU4833">
        <v>0</v>
      </c>
    </row>
    <row r="4834" spans="1:99" x14ac:dyDescent="0.2">
      <c r="A4834" t="s">
        <v>367</v>
      </c>
      <c r="B4834" t="s">
        <v>368</v>
      </c>
      <c r="C4834" t="s">
        <v>381</v>
      </c>
      <c r="D4834" t="s">
        <v>369</v>
      </c>
      <c r="F4834" t="str">
        <f>"20213"</f>
        <v>20213</v>
      </c>
      <c r="G4834" t="s">
        <v>49</v>
      </c>
      <c r="K4834" t="s">
        <v>51</v>
      </c>
      <c r="L4834" t="s">
        <v>52</v>
      </c>
      <c r="M4834">
        <v>134179.57999999999</v>
      </c>
      <c r="N4834">
        <v>466530.63</v>
      </c>
      <c r="O4834" t="s">
        <v>53</v>
      </c>
      <c r="P4834" t="s">
        <v>54</v>
      </c>
      <c r="Q4834" t="s">
        <v>55</v>
      </c>
      <c r="T4834" t="s">
        <v>2138</v>
      </c>
      <c r="U4834">
        <v>40</v>
      </c>
      <c r="V4834" s="1">
        <v>37288</v>
      </c>
      <c r="W4834" s="1">
        <v>37288</v>
      </c>
      <c r="X4834" s="1">
        <v>37288</v>
      </c>
      <c r="Y4834" s="1">
        <v>51898</v>
      </c>
      <c r="Z4834" t="s">
        <v>51</v>
      </c>
      <c r="AB4834" t="s">
        <v>54</v>
      </c>
      <c r="AE4834" t="s">
        <v>1024</v>
      </c>
      <c r="AF4834">
        <v>20</v>
      </c>
      <c r="AG4834" s="1">
        <v>45047</v>
      </c>
      <c r="AH4834" s="1">
        <v>45047</v>
      </c>
      <c r="AI4834" s="1">
        <v>45047</v>
      </c>
      <c r="AJ4834" s="1">
        <v>52352</v>
      </c>
      <c r="AK4834" t="s">
        <v>51</v>
      </c>
      <c r="AN4834">
        <v>0</v>
      </c>
      <c r="AO4834" t="s">
        <v>54</v>
      </c>
      <c r="AP4834" t="s">
        <v>53</v>
      </c>
      <c r="AQ4834">
        <v>0</v>
      </c>
      <c r="AR4834" t="s">
        <v>145</v>
      </c>
      <c r="AS4834">
        <v>0</v>
      </c>
      <c r="AT4834">
        <v>0</v>
      </c>
      <c r="CC4834" t="s">
        <v>432</v>
      </c>
      <c r="CD4834">
        <v>85000</v>
      </c>
      <c r="CE4834" s="1">
        <v>45047</v>
      </c>
      <c r="CF4834" s="1">
        <v>45047</v>
      </c>
      <c r="CG4834" s="1">
        <v>45047</v>
      </c>
      <c r="CH4834" s="1">
        <v>52657</v>
      </c>
      <c r="CI4834" t="s">
        <v>51</v>
      </c>
      <c r="CK4834" t="s">
        <v>78</v>
      </c>
      <c r="CM4834" t="s">
        <v>54</v>
      </c>
      <c r="CN4834" t="s">
        <v>174</v>
      </c>
      <c r="CO4834" t="s">
        <v>86</v>
      </c>
      <c r="CR4834">
        <v>24</v>
      </c>
      <c r="CS4834">
        <v>0</v>
      </c>
      <c r="CT4834">
        <v>0</v>
      </c>
      <c r="CU4834">
        <v>0</v>
      </c>
    </row>
    <row r="4835" spans="1:99" x14ac:dyDescent="0.2">
      <c r="A4835" t="s">
        <v>45</v>
      </c>
      <c r="B4835" t="s">
        <v>46</v>
      </c>
      <c r="C4835" t="s">
        <v>47</v>
      </c>
      <c r="D4835" t="s">
        <v>256</v>
      </c>
      <c r="F4835" t="str">
        <f>"2-1-2021"</f>
        <v>2-1-2021</v>
      </c>
      <c r="G4835" t="s">
        <v>49</v>
      </c>
      <c r="K4835" t="s">
        <v>51</v>
      </c>
      <c r="L4835" t="s">
        <v>52</v>
      </c>
      <c r="M4835">
        <v>135432</v>
      </c>
      <c r="N4835">
        <v>475390.29</v>
      </c>
      <c r="O4835" t="s">
        <v>53</v>
      </c>
      <c r="P4835" t="s">
        <v>54</v>
      </c>
      <c r="Q4835" t="s">
        <v>55</v>
      </c>
      <c r="T4835" t="s">
        <v>246</v>
      </c>
      <c r="U4835">
        <v>40</v>
      </c>
      <c r="V4835" s="1">
        <v>42552</v>
      </c>
      <c r="W4835" s="1">
        <v>42552</v>
      </c>
      <c r="X4835" s="1">
        <v>42552</v>
      </c>
      <c r="Y4835" s="1">
        <v>57162</v>
      </c>
      <c r="Z4835" t="s">
        <v>51</v>
      </c>
      <c r="AB4835" t="s">
        <v>54</v>
      </c>
      <c r="AE4835" t="s">
        <v>243</v>
      </c>
      <c r="AF4835">
        <v>20</v>
      </c>
      <c r="AG4835" s="1">
        <v>42552</v>
      </c>
      <c r="AH4835" s="1">
        <v>42552</v>
      </c>
      <c r="AI4835" s="1">
        <v>42552</v>
      </c>
      <c r="AJ4835" s="1">
        <v>49857</v>
      </c>
      <c r="AK4835" t="s">
        <v>51</v>
      </c>
      <c r="AN4835">
        <v>0</v>
      </c>
      <c r="AO4835" t="s">
        <v>54</v>
      </c>
      <c r="AP4835" t="s">
        <v>53</v>
      </c>
      <c r="AQ4835">
        <v>0</v>
      </c>
      <c r="AR4835" t="s">
        <v>53</v>
      </c>
      <c r="AS4835">
        <v>0</v>
      </c>
      <c r="AT4835">
        <v>0</v>
      </c>
      <c r="CC4835" t="s">
        <v>244</v>
      </c>
      <c r="CD4835">
        <v>100000</v>
      </c>
      <c r="CE4835" s="1">
        <v>42552</v>
      </c>
      <c r="CF4835" s="1">
        <v>42552</v>
      </c>
      <c r="CG4835" s="1">
        <v>42552</v>
      </c>
      <c r="CH4835" s="1">
        <v>51023</v>
      </c>
      <c r="CI4835" t="s">
        <v>51</v>
      </c>
      <c r="CK4835" t="s">
        <v>78</v>
      </c>
      <c r="CM4835" t="s">
        <v>54</v>
      </c>
      <c r="CN4835" t="s">
        <v>174</v>
      </c>
      <c r="CR4835">
        <v>0</v>
      </c>
      <c r="CS4835">
        <v>2150</v>
      </c>
      <c r="CT4835">
        <v>0</v>
      </c>
      <c r="CU4835">
        <v>16</v>
      </c>
    </row>
    <row r="4836" spans="1:99" x14ac:dyDescent="0.2">
      <c r="A4836" t="s">
        <v>180</v>
      </c>
      <c r="B4836" t="s">
        <v>181</v>
      </c>
      <c r="C4836" t="s">
        <v>184</v>
      </c>
      <c r="D4836" t="s">
        <v>571</v>
      </c>
      <c r="F4836" t="str">
        <f>"8-2-2021"</f>
        <v>8-2-2021</v>
      </c>
      <c r="G4836" t="s">
        <v>49</v>
      </c>
      <c r="K4836" t="s">
        <v>586</v>
      </c>
      <c r="L4836" t="s">
        <v>52</v>
      </c>
      <c r="M4836">
        <v>136100.62</v>
      </c>
      <c r="N4836">
        <v>472695.93</v>
      </c>
      <c r="O4836" t="s">
        <v>53</v>
      </c>
      <c r="P4836" t="s">
        <v>54</v>
      </c>
      <c r="AP4836" t="s">
        <v>53</v>
      </c>
      <c r="AR4836" t="s">
        <v>53</v>
      </c>
      <c r="BH4836" t="s">
        <v>53</v>
      </c>
    </row>
    <row r="4837" spans="1:99" x14ac:dyDescent="0.2">
      <c r="A4837" t="s">
        <v>180</v>
      </c>
      <c r="B4837" t="s">
        <v>181</v>
      </c>
      <c r="C4837" t="s">
        <v>184</v>
      </c>
      <c r="D4837" t="s">
        <v>571</v>
      </c>
      <c r="F4837" t="str">
        <f>"8-2-2021 1"</f>
        <v>8-2-2021 1</v>
      </c>
      <c r="G4837" t="s">
        <v>49</v>
      </c>
      <c r="K4837" t="s">
        <v>51</v>
      </c>
      <c r="L4837" t="s">
        <v>52</v>
      </c>
      <c r="M4837">
        <v>136106.19</v>
      </c>
      <c r="N4837">
        <v>472705.86</v>
      </c>
      <c r="O4837" t="s">
        <v>53</v>
      </c>
      <c r="P4837" t="s">
        <v>54</v>
      </c>
      <c r="Q4837" t="s">
        <v>55</v>
      </c>
      <c r="T4837" t="s">
        <v>588</v>
      </c>
      <c r="U4837">
        <v>40</v>
      </c>
      <c r="V4837" s="1">
        <v>27576</v>
      </c>
      <c r="W4837" s="1">
        <v>27576</v>
      </c>
      <c r="X4837" s="1">
        <v>27576</v>
      </c>
      <c r="Y4837" s="1">
        <v>42186</v>
      </c>
      <c r="Z4837" t="s">
        <v>51</v>
      </c>
      <c r="AB4837" t="s">
        <v>54</v>
      </c>
      <c r="AE4837" t="s">
        <v>222</v>
      </c>
      <c r="AF4837">
        <v>20</v>
      </c>
      <c r="AG4837" s="1">
        <v>36342</v>
      </c>
      <c r="AH4837" s="1">
        <v>36342</v>
      </c>
      <c r="AI4837" s="1">
        <v>36342</v>
      </c>
      <c r="AJ4837" s="1">
        <v>43647</v>
      </c>
      <c r="AK4837" t="s">
        <v>51</v>
      </c>
      <c r="AN4837">
        <v>0</v>
      </c>
      <c r="AO4837" t="s">
        <v>54</v>
      </c>
      <c r="AP4837" t="s">
        <v>53</v>
      </c>
      <c r="AQ4837">
        <v>0</v>
      </c>
      <c r="AR4837" t="s">
        <v>53</v>
      </c>
      <c r="AS4837">
        <v>0</v>
      </c>
      <c r="AT4837">
        <v>0</v>
      </c>
      <c r="CC4837" t="s">
        <v>432</v>
      </c>
      <c r="CD4837">
        <v>85000</v>
      </c>
      <c r="CE4837" s="1">
        <v>42552</v>
      </c>
      <c r="CF4837" s="1">
        <v>42552</v>
      </c>
      <c r="CG4837" s="1">
        <v>42552</v>
      </c>
      <c r="CH4837" s="1">
        <v>49714</v>
      </c>
      <c r="CI4837" t="s">
        <v>51</v>
      </c>
      <c r="CK4837" t="s">
        <v>78</v>
      </c>
      <c r="CM4837" t="s">
        <v>54</v>
      </c>
      <c r="CN4837" t="s">
        <v>174</v>
      </c>
      <c r="CO4837" t="s">
        <v>86</v>
      </c>
      <c r="CR4837">
        <v>24</v>
      </c>
      <c r="CS4837">
        <v>0</v>
      </c>
      <c r="CT4837">
        <v>0</v>
      </c>
      <c r="CU4837">
        <v>0</v>
      </c>
    </row>
    <row r="4838" spans="1:99" x14ac:dyDescent="0.2">
      <c r="A4838" t="s">
        <v>367</v>
      </c>
      <c r="B4838" t="s">
        <v>440</v>
      </c>
      <c r="C4838" t="s">
        <v>441</v>
      </c>
      <c r="D4838" t="s">
        <v>806</v>
      </c>
      <c r="F4838" t="str">
        <f>"8-2-2021 2"</f>
        <v>8-2-2021 2</v>
      </c>
      <c r="G4838" t="s">
        <v>49</v>
      </c>
      <c r="K4838" t="s">
        <v>51</v>
      </c>
      <c r="L4838" t="s">
        <v>52</v>
      </c>
      <c r="M4838">
        <v>134600.60999999999</v>
      </c>
      <c r="N4838">
        <v>468798.44</v>
      </c>
      <c r="O4838" t="s">
        <v>53</v>
      </c>
      <c r="P4838" t="s">
        <v>54</v>
      </c>
      <c r="Q4838" t="s">
        <v>55</v>
      </c>
      <c r="T4838" t="s">
        <v>585</v>
      </c>
      <c r="U4838">
        <v>40</v>
      </c>
      <c r="V4838" s="1">
        <v>44236</v>
      </c>
      <c r="W4838" s="1">
        <v>44236</v>
      </c>
      <c r="X4838" s="1">
        <v>44236</v>
      </c>
      <c r="Y4838" s="1">
        <v>58846</v>
      </c>
      <c r="Z4838" t="s">
        <v>51</v>
      </c>
      <c r="AB4838" t="s">
        <v>54</v>
      </c>
      <c r="AE4838" t="s">
        <v>1174</v>
      </c>
      <c r="AF4838">
        <v>20</v>
      </c>
      <c r="AG4838" s="1">
        <v>44236</v>
      </c>
      <c r="AH4838" s="1">
        <v>44236</v>
      </c>
      <c r="AI4838" s="1">
        <v>44236</v>
      </c>
      <c r="AJ4838" s="1">
        <v>51541</v>
      </c>
      <c r="AK4838" t="s">
        <v>51</v>
      </c>
      <c r="AN4838">
        <v>0</v>
      </c>
      <c r="AO4838" t="s">
        <v>54</v>
      </c>
      <c r="AP4838" t="s">
        <v>53</v>
      </c>
      <c r="AQ4838">
        <v>0</v>
      </c>
      <c r="AR4838" t="s">
        <v>53</v>
      </c>
      <c r="AS4838">
        <v>0</v>
      </c>
      <c r="AT4838">
        <v>0</v>
      </c>
      <c r="CC4838" t="s">
        <v>555</v>
      </c>
      <c r="CD4838">
        <v>85000</v>
      </c>
      <c r="CE4838" s="1">
        <v>44236</v>
      </c>
      <c r="CF4838" s="1">
        <v>44236</v>
      </c>
      <c r="CG4838" s="1">
        <v>44236</v>
      </c>
      <c r="CH4838" s="1">
        <v>51864</v>
      </c>
      <c r="CI4838" t="s">
        <v>51</v>
      </c>
      <c r="CK4838" t="s">
        <v>78</v>
      </c>
      <c r="CM4838" t="s">
        <v>54</v>
      </c>
      <c r="CN4838" t="s">
        <v>174</v>
      </c>
      <c r="CO4838" t="s">
        <v>86</v>
      </c>
      <c r="CR4838">
        <v>20</v>
      </c>
      <c r="CS4838">
        <v>0</v>
      </c>
      <c r="CT4838">
        <v>0</v>
      </c>
      <c r="CU4838">
        <v>0</v>
      </c>
    </row>
    <row r="4839" spans="1:99" x14ac:dyDescent="0.2">
      <c r="A4839" t="s">
        <v>367</v>
      </c>
      <c r="B4839" t="s">
        <v>440</v>
      </c>
      <c r="C4839" t="s">
        <v>441</v>
      </c>
      <c r="D4839" t="s">
        <v>806</v>
      </c>
      <c r="F4839" t="str">
        <f>"8-2-2021 2"</f>
        <v>8-2-2021 2</v>
      </c>
      <c r="G4839" t="s">
        <v>49</v>
      </c>
      <c r="K4839" t="s">
        <v>51</v>
      </c>
      <c r="L4839" t="s">
        <v>52</v>
      </c>
      <c r="M4839">
        <v>134600.60999999999</v>
      </c>
      <c r="N4839">
        <v>468798.44</v>
      </c>
      <c r="O4839" t="s">
        <v>53</v>
      </c>
      <c r="P4839" t="s">
        <v>54</v>
      </c>
      <c r="Q4839" t="s">
        <v>55</v>
      </c>
      <c r="T4839" t="s">
        <v>585</v>
      </c>
      <c r="U4839">
        <v>40</v>
      </c>
      <c r="V4839" s="1">
        <v>44236</v>
      </c>
      <c r="W4839" s="1">
        <v>44236</v>
      </c>
      <c r="X4839" s="1">
        <v>44236</v>
      </c>
      <c r="Y4839" s="1">
        <v>58846</v>
      </c>
      <c r="Z4839" t="s">
        <v>51</v>
      </c>
      <c r="AB4839" t="s">
        <v>54</v>
      </c>
      <c r="AE4839" t="s">
        <v>1174</v>
      </c>
      <c r="AF4839">
        <v>20</v>
      </c>
      <c r="AG4839" s="1">
        <v>44236</v>
      </c>
      <c r="AH4839" s="1">
        <v>44236</v>
      </c>
      <c r="AI4839" s="1">
        <v>44236</v>
      </c>
      <c r="AJ4839" s="1">
        <v>51541</v>
      </c>
      <c r="AK4839" t="s">
        <v>51</v>
      </c>
      <c r="AN4839">
        <v>0</v>
      </c>
      <c r="AO4839" t="s">
        <v>54</v>
      </c>
      <c r="AP4839" t="s">
        <v>53</v>
      </c>
      <c r="AQ4839">
        <v>0</v>
      </c>
      <c r="AR4839" t="s">
        <v>53</v>
      </c>
      <c r="AS4839">
        <v>0</v>
      </c>
      <c r="AT4839">
        <v>0</v>
      </c>
      <c r="CC4839" t="s">
        <v>555</v>
      </c>
      <c r="CD4839">
        <v>85000</v>
      </c>
      <c r="CE4839" s="1">
        <v>44236</v>
      </c>
      <c r="CF4839" s="1">
        <v>44236</v>
      </c>
      <c r="CG4839" s="1">
        <v>44236</v>
      </c>
      <c r="CH4839" s="1">
        <v>51864</v>
      </c>
      <c r="CI4839" t="s">
        <v>51</v>
      </c>
      <c r="CK4839" t="s">
        <v>78</v>
      </c>
      <c r="CM4839" t="s">
        <v>54</v>
      </c>
      <c r="CN4839" t="s">
        <v>174</v>
      </c>
      <c r="CO4839" t="s">
        <v>86</v>
      </c>
      <c r="CR4839">
        <v>20</v>
      </c>
      <c r="CS4839">
        <v>0</v>
      </c>
      <c r="CT4839">
        <v>0</v>
      </c>
      <c r="CU4839">
        <v>0</v>
      </c>
    </row>
    <row r="4840" spans="1:99" x14ac:dyDescent="0.2">
      <c r="A4840" t="s">
        <v>367</v>
      </c>
      <c r="B4840" t="s">
        <v>440</v>
      </c>
      <c r="C4840" t="s">
        <v>441</v>
      </c>
      <c r="D4840" t="s">
        <v>434</v>
      </c>
      <c r="F4840" t="str">
        <f>"9-2-2021"</f>
        <v>9-2-2021</v>
      </c>
      <c r="G4840" t="s">
        <v>49</v>
      </c>
      <c r="K4840" t="s">
        <v>51</v>
      </c>
      <c r="L4840" t="s">
        <v>52</v>
      </c>
      <c r="M4840">
        <v>136309.19</v>
      </c>
      <c r="N4840">
        <v>469022.56</v>
      </c>
      <c r="O4840" t="s">
        <v>53</v>
      </c>
      <c r="P4840" t="s">
        <v>54</v>
      </c>
      <c r="Q4840" t="s">
        <v>55</v>
      </c>
      <c r="T4840" t="s">
        <v>841</v>
      </c>
      <c r="U4840">
        <v>40</v>
      </c>
      <c r="V4840" s="1">
        <v>41821</v>
      </c>
      <c r="W4840" s="1">
        <v>41821</v>
      </c>
      <c r="X4840" s="1">
        <v>41821</v>
      </c>
      <c r="Y4840" s="1">
        <v>56431</v>
      </c>
      <c r="Z4840" t="s">
        <v>51</v>
      </c>
      <c r="AB4840" t="s">
        <v>54</v>
      </c>
      <c r="AE4840" t="s">
        <v>79</v>
      </c>
      <c r="AF4840">
        <v>20</v>
      </c>
      <c r="AG4840" s="1">
        <v>42186</v>
      </c>
      <c r="AH4840" s="1">
        <v>42186</v>
      </c>
      <c r="AI4840" s="1">
        <v>42186</v>
      </c>
      <c r="AJ4840" s="1">
        <v>49491</v>
      </c>
      <c r="AK4840" t="s">
        <v>51</v>
      </c>
      <c r="AN4840">
        <v>0</v>
      </c>
      <c r="AO4840" t="s">
        <v>54</v>
      </c>
      <c r="AP4840" t="s">
        <v>53</v>
      </c>
      <c r="AQ4840">
        <v>0</v>
      </c>
      <c r="AR4840" t="s">
        <v>145</v>
      </c>
      <c r="AS4840">
        <v>0</v>
      </c>
      <c r="AT4840">
        <v>0</v>
      </c>
      <c r="CC4840" t="s">
        <v>555</v>
      </c>
      <c r="CD4840">
        <v>85000</v>
      </c>
      <c r="CE4840" s="1">
        <v>42186</v>
      </c>
      <c r="CF4840" s="1">
        <v>42186</v>
      </c>
      <c r="CG4840" s="1">
        <v>42186</v>
      </c>
      <c r="CH4840" s="1">
        <v>49772</v>
      </c>
      <c r="CI4840" t="s">
        <v>51</v>
      </c>
      <c r="CK4840" t="s">
        <v>78</v>
      </c>
      <c r="CM4840" t="s">
        <v>54</v>
      </c>
      <c r="CN4840" t="s">
        <v>174</v>
      </c>
      <c r="CO4840" t="s">
        <v>86</v>
      </c>
      <c r="CR4840">
        <v>20</v>
      </c>
      <c r="CS4840">
        <v>0</v>
      </c>
      <c r="CT4840">
        <v>0</v>
      </c>
      <c r="CU4840">
        <v>0</v>
      </c>
    </row>
    <row r="4841" spans="1:99" x14ac:dyDescent="0.2">
      <c r="A4841" t="s">
        <v>367</v>
      </c>
      <c r="B4841" t="s">
        <v>440</v>
      </c>
      <c r="C4841" t="s">
        <v>441</v>
      </c>
      <c r="D4841" t="s">
        <v>434</v>
      </c>
      <c r="F4841" t="str">
        <f>"9-2-2021 1"</f>
        <v>9-2-2021 1</v>
      </c>
      <c r="G4841" t="s">
        <v>49</v>
      </c>
      <c r="K4841" t="s">
        <v>51</v>
      </c>
      <c r="L4841" t="s">
        <v>52</v>
      </c>
      <c r="M4841">
        <v>136264.95000000001</v>
      </c>
      <c r="N4841">
        <v>468930.22</v>
      </c>
      <c r="O4841" t="s">
        <v>53</v>
      </c>
      <c r="P4841" t="s">
        <v>54</v>
      </c>
      <c r="Q4841" t="s">
        <v>55</v>
      </c>
      <c r="T4841" t="s">
        <v>841</v>
      </c>
      <c r="U4841">
        <v>40</v>
      </c>
      <c r="V4841" s="1">
        <v>42186</v>
      </c>
      <c r="W4841" s="1">
        <v>42186</v>
      </c>
      <c r="X4841" s="1">
        <v>42186</v>
      </c>
      <c r="Y4841" s="1">
        <v>56796</v>
      </c>
      <c r="Z4841" t="s">
        <v>51</v>
      </c>
      <c r="AB4841" t="s">
        <v>54</v>
      </c>
      <c r="AE4841" t="s">
        <v>79</v>
      </c>
      <c r="AF4841">
        <v>20</v>
      </c>
      <c r="AG4841" s="1">
        <v>42186</v>
      </c>
      <c r="AH4841" s="1">
        <v>42186</v>
      </c>
      <c r="AI4841" s="1">
        <v>42186</v>
      </c>
      <c r="AJ4841" s="1">
        <v>49491</v>
      </c>
      <c r="AK4841" t="s">
        <v>51</v>
      </c>
      <c r="AN4841">
        <v>0</v>
      </c>
      <c r="AO4841" t="s">
        <v>54</v>
      </c>
      <c r="AP4841" t="s">
        <v>53</v>
      </c>
      <c r="AQ4841">
        <v>0</v>
      </c>
      <c r="AR4841" t="s">
        <v>145</v>
      </c>
      <c r="AS4841">
        <v>0</v>
      </c>
      <c r="AT4841">
        <v>0</v>
      </c>
      <c r="CC4841" t="s">
        <v>555</v>
      </c>
      <c r="CD4841">
        <v>85000</v>
      </c>
      <c r="CE4841" s="1">
        <v>42186</v>
      </c>
      <c r="CF4841" s="1">
        <v>42186</v>
      </c>
      <c r="CG4841" s="1">
        <v>42186</v>
      </c>
      <c r="CH4841" s="1">
        <v>49772</v>
      </c>
      <c r="CI4841" t="s">
        <v>51</v>
      </c>
      <c r="CK4841" t="s">
        <v>78</v>
      </c>
      <c r="CM4841" t="s">
        <v>54</v>
      </c>
      <c r="CN4841" t="s">
        <v>174</v>
      </c>
      <c r="CO4841" t="s">
        <v>86</v>
      </c>
      <c r="CR4841">
        <v>20</v>
      </c>
      <c r="CS4841">
        <v>0</v>
      </c>
      <c r="CT4841">
        <v>0</v>
      </c>
      <c r="CU4841">
        <v>0</v>
      </c>
    </row>
    <row r="4842" spans="1:99" x14ac:dyDescent="0.2">
      <c r="A4842" t="s">
        <v>367</v>
      </c>
      <c r="B4842" t="s">
        <v>440</v>
      </c>
      <c r="C4842" t="s">
        <v>441</v>
      </c>
      <c r="D4842" t="s">
        <v>806</v>
      </c>
      <c r="F4842" t="str">
        <f>"9-2-2021 2"</f>
        <v>9-2-2021 2</v>
      </c>
      <c r="G4842" t="s">
        <v>49</v>
      </c>
      <c r="K4842" t="s">
        <v>51</v>
      </c>
      <c r="L4842" t="s">
        <v>52</v>
      </c>
      <c r="M4842">
        <v>133768.54999999999</v>
      </c>
      <c r="N4842">
        <v>468777.77</v>
      </c>
      <c r="O4842" t="s">
        <v>53</v>
      </c>
      <c r="P4842" t="s">
        <v>54</v>
      </c>
      <c r="Q4842" t="s">
        <v>55</v>
      </c>
      <c r="T4842" t="s">
        <v>585</v>
      </c>
      <c r="U4842">
        <v>40</v>
      </c>
      <c r="V4842" s="1">
        <v>44236</v>
      </c>
      <c r="W4842" s="1">
        <v>44236</v>
      </c>
      <c r="X4842" s="1">
        <v>44236</v>
      </c>
      <c r="Y4842" s="1">
        <v>58846</v>
      </c>
      <c r="Z4842" t="s">
        <v>51</v>
      </c>
      <c r="AB4842" t="s">
        <v>54</v>
      </c>
      <c r="AE4842" t="s">
        <v>1174</v>
      </c>
      <c r="AF4842">
        <v>20</v>
      </c>
      <c r="AG4842" s="1">
        <v>44236</v>
      </c>
      <c r="AH4842" s="1">
        <v>44236</v>
      </c>
      <c r="AI4842" s="1">
        <v>44236</v>
      </c>
      <c r="AJ4842" s="1">
        <v>51541</v>
      </c>
      <c r="AK4842" t="s">
        <v>51</v>
      </c>
      <c r="AN4842">
        <v>0</v>
      </c>
      <c r="AO4842" t="s">
        <v>54</v>
      </c>
      <c r="AP4842" t="s">
        <v>53</v>
      </c>
      <c r="AQ4842">
        <v>0</v>
      </c>
      <c r="AR4842" t="s">
        <v>53</v>
      </c>
      <c r="AS4842">
        <v>0</v>
      </c>
      <c r="AT4842">
        <v>0</v>
      </c>
      <c r="CC4842" t="s">
        <v>555</v>
      </c>
      <c r="CD4842">
        <v>85000</v>
      </c>
      <c r="CE4842" s="1">
        <v>44236</v>
      </c>
      <c r="CF4842" s="1">
        <v>44236</v>
      </c>
      <c r="CG4842" s="1">
        <v>44236</v>
      </c>
      <c r="CH4842" s="1">
        <v>51864</v>
      </c>
      <c r="CI4842" t="s">
        <v>51</v>
      </c>
      <c r="CK4842" t="s">
        <v>78</v>
      </c>
      <c r="CM4842" t="s">
        <v>54</v>
      </c>
      <c r="CN4842" t="s">
        <v>174</v>
      </c>
      <c r="CO4842" t="s">
        <v>86</v>
      </c>
      <c r="CR4842">
        <v>20</v>
      </c>
      <c r="CS4842">
        <v>0</v>
      </c>
      <c r="CT4842">
        <v>0</v>
      </c>
      <c r="CU4842">
        <v>0</v>
      </c>
    </row>
    <row r="4843" spans="1:99" x14ac:dyDescent="0.2">
      <c r="A4843" t="s">
        <v>367</v>
      </c>
      <c r="B4843" t="s">
        <v>440</v>
      </c>
      <c r="C4843" t="s">
        <v>441</v>
      </c>
      <c r="D4843" t="s">
        <v>806</v>
      </c>
      <c r="F4843" t="str">
        <f>"9-2-2021 2"</f>
        <v>9-2-2021 2</v>
      </c>
      <c r="G4843" t="s">
        <v>49</v>
      </c>
      <c r="K4843" t="s">
        <v>51</v>
      </c>
      <c r="L4843" t="s">
        <v>52</v>
      </c>
      <c r="M4843">
        <v>133768.54999999999</v>
      </c>
      <c r="N4843">
        <v>468777.77</v>
      </c>
      <c r="O4843" t="s">
        <v>53</v>
      </c>
      <c r="P4843" t="s">
        <v>54</v>
      </c>
      <c r="Q4843" t="s">
        <v>55</v>
      </c>
      <c r="T4843" t="s">
        <v>585</v>
      </c>
      <c r="U4843">
        <v>40</v>
      </c>
      <c r="V4843" s="1">
        <v>44236</v>
      </c>
      <c r="W4843" s="1">
        <v>44236</v>
      </c>
      <c r="X4843" s="1">
        <v>44236</v>
      </c>
      <c r="Y4843" s="1">
        <v>58846</v>
      </c>
      <c r="Z4843" t="s">
        <v>51</v>
      </c>
      <c r="AB4843" t="s">
        <v>54</v>
      </c>
      <c r="AE4843" t="s">
        <v>1174</v>
      </c>
      <c r="AF4843">
        <v>20</v>
      </c>
      <c r="AG4843" s="1">
        <v>44236</v>
      </c>
      <c r="AH4843" s="1">
        <v>44236</v>
      </c>
      <c r="AI4843" s="1">
        <v>44236</v>
      </c>
      <c r="AJ4843" s="1">
        <v>51541</v>
      </c>
      <c r="AK4843" t="s">
        <v>51</v>
      </c>
      <c r="AN4843">
        <v>0</v>
      </c>
      <c r="AO4843" t="s">
        <v>54</v>
      </c>
      <c r="AP4843" t="s">
        <v>53</v>
      </c>
      <c r="AQ4843">
        <v>0</v>
      </c>
      <c r="AR4843" t="s">
        <v>53</v>
      </c>
      <c r="AS4843">
        <v>0</v>
      </c>
      <c r="AT4843">
        <v>0</v>
      </c>
      <c r="CC4843" t="s">
        <v>555</v>
      </c>
      <c r="CD4843">
        <v>85000</v>
      </c>
      <c r="CE4843" s="1">
        <v>44236</v>
      </c>
      <c r="CF4843" s="1">
        <v>44236</v>
      </c>
      <c r="CG4843" s="1">
        <v>44236</v>
      </c>
      <c r="CH4843" s="1">
        <v>51864</v>
      </c>
      <c r="CI4843" t="s">
        <v>51</v>
      </c>
      <c r="CK4843" t="s">
        <v>78</v>
      </c>
      <c r="CM4843" t="s">
        <v>54</v>
      </c>
      <c r="CN4843" t="s">
        <v>174</v>
      </c>
      <c r="CO4843" t="s">
        <v>86</v>
      </c>
      <c r="CR4843">
        <v>20</v>
      </c>
      <c r="CS4843">
        <v>0</v>
      </c>
      <c r="CT4843">
        <v>0</v>
      </c>
      <c r="CU4843">
        <v>0</v>
      </c>
    </row>
    <row r="4844" spans="1:99" x14ac:dyDescent="0.2">
      <c r="A4844" t="s">
        <v>367</v>
      </c>
      <c r="B4844" t="s">
        <v>440</v>
      </c>
      <c r="C4844" t="s">
        <v>441</v>
      </c>
      <c r="D4844" t="s">
        <v>806</v>
      </c>
      <c r="F4844" t="str">
        <f>"9-2-2021 3"</f>
        <v>9-2-2021 3</v>
      </c>
      <c r="G4844" t="s">
        <v>49</v>
      </c>
      <c r="K4844" t="s">
        <v>51</v>
      </c>
      <c r="L4844" t="s">
        <v>52</v>
      </c>
      <c r="M4844">
        <v>133759.91</v>
      </c>
      <c r="N4844">
        <v>468754.33</v>
      </c>
      <c r="O4844" t="s">
        <v>53</v>
      </c>
      <c r="P4844" t="s">
        <v>54</v>
      </c>
      <c r="Q4844" t="s">
        <v>55</v>
      </c>
      <c r="T4844" t="s">
        <v>585</v>
      </c>
      <c r="U4844">
        <v>40</v>
      </c>
      <c r="V4844" s="1">
        <v>44236</v>
      </c>
      <c r="W4844" s="1">
        <v>44236</v>
      </c>
      <c r="X4844" s="1">
        <v>44236</v>
      </c>
      <c r="Y4844" s="1">
        <v>58846</v>
      </c>
      <c r="Z4844" t="s">
        <v>51</v>
      </c>
      <c r="AB4844" t="s">
        <v>54</v>
      </c>
      <c r="AE4844" t="s">
        <v>1174</v>
      </c>
      <c r="AF4844">
        <v>20</v>
      </c>
      <c r="AG4844" s="1">
        <v>44236</v>
      </c>
      <c r="AH4844" s="1">
        <v>44236</v>
      </c>
      <c r="AI4844" s="1">
        <v>44236</v>
      </c>
      <c r="AJ4844" s="1">
        <v>51541</v>
      </c>
      <c r="AK4844" t="s">
        <v>51</v>
      </c>
      <c r="AN4844">
        <v>0</v>
      </c>
      <c r="AO4844" t="s">
        <v>54</v>
      </c>
      <c r="AP4844" t="s">
        <v>53</v>
      </c>
      <c r="AQ4844">
        <v>0</v>
      </c>
      <c r="AR4844" t="s">
        <v>53</v>
      </c>
      <c r="AS4844">
        <v>0</v>
      </c>
      <c r="AT4844">
        <v>0</v>
      </c>
      <c r="CC4844" t="s">
        <v>555</v>
      </c>
      <c r="CD4844">
        <v>85000</v>
      </c>
      <c r="CE4844" s="1">
        <v>44236</v>
      </c>
      <c r="CF4844" s="1">
        <v>44236</v>
      </c>
      <c r="CG4844" s="1">
        <v>44236</v>
      </c>
      <c r="CH4844" s="1">
        <v>51864</v>
      </c>
      <c r="CI4844" t="s">
        <v>51</v>
      </c>
      <c r="CK4844" t="s">
        <v>78</v>
      </c>
      <c r="CM4844" t="s">
        <v>54</v>
      </c>
      <c r="CN4844" t="s">
        <v>174</v>
      </c>
      <c r="CO4844" t="s">
        <v>86</v>
      </c>
      <c r="CR4844">
        <v>20</v>
      </c>
      <c r="CS4844">
        <v>0</v>
      </c>
      <c r="CT4844">
        <v>0</v>
      </c>
      <c r="CU4844">
        <v>0</v>
      </c>
    </row>
    <row r="4845" spans="1:99" x14ac:dyDescent="0.2">
      <c r="A4845" t="s">
        <v>367</v>
      </c>
      <c r="B4845" t="s">
        <v>440</v>
      </c>
      <c r="C4845" t="s">
        <v>441</v>
      </c>
      <c r="D4845" t="s">
        <v>806</v>
      </c>
      <c r="F4845" t="str">
        <f>"9-2-2021 3"</f>
        <v>9-2-2021 3</v>
      </c>
      <c r="G4845" t="s">
        <v>49</v>
      </c>
      <c r="K4845" t="s">
        <v>51</v>
      </c>
      <c r="L4845" t="s">
        <v>52</v>
      </c>
      <c r="M4845">
        <v>133759.91</v>
      </c>
      <c r="N4845">
        <v>468754.33</v>
      </c>
      <c r="O4845" t="s">
        <v>53</v>
      </c>
      <c r="P4845" t="s">
        <v>54</v>
      </c>
      <c r="Q4845" t="s">
        <v>55</v>
      </c>
      <c r="T4845" t="s">
        <v>585</v>
      </c>
      <c r="U4845">
        <v>40</v>
      </c>
      <c r="V4845" s="1">
        <v>44236</v>
      </c>
      <c r="W4845" s="1">
        <v>44236</v>
      </c>
      <c r="X4845" s="1">
        <v>44236</v>
      </c>
      <c r="Y4845" s="1">
        <v>58846</v>
      </c>
      <c r="Z4845" t="s">
        <v>51</v>
      </c>
      <c r="AB4845" t="s">
        <v>54</v>
      </c>
      <c r="AE4845" t="s">
        <v>1174</v>
      </c>
      <c r="AF4845">
        <v>20</v>
      </c>
      <c r="AG4845" s="1">
        <v>44236</v>
      </c>
      <c r="AH4845" s="1">
        <v>44236</v>
      </c>
      <c r="AI4845" s="1">
        <v>44236</v>
      </c>
      <c r="AJ4845" s="1">
        <v>51541</v>
      </c>
      <c r="AK4845" t="s">
        <v>51</v>
      </c>
      <c r="AN4845">
        <v>0</v>
      </c>
      <c r="AO4845" t="s">
        <v>54</v>
      </c>
      <c r="AP4845" t="s">
        <v>53</v>
      </c>
      <c r="AQ4845">
        <v>0</v>
      </c>
      <c r="AR4845" t="s">
        <v>53</v>
      </c>
      <c r="AS4845">
        <v>0</v>
      </c>
      <c r="AT4845">
        <v>0</v>
      </c>
      <c r="CC4845" t="s">
        <v>555</v>
      </c>
      <c r="CD4845">
        <v>85000</v>
      </c>
      <c r="CE4845" s="1">
        <v>44236</v>
      </c>
      <c r="CF4845" s="1">
        <v>44236</v>
      </c>
      <c r="CG4845" s="1">
        <v>44236</v>
      </c>
      <c r="CH4845" s="1">
        <v>51864</v>
      </c>
      <c r="CI4845" t="s">
        <v>51</v>
      </c>
      <c r="CK4845" t="s">
        <v>78</v>
      </c>
      <c r="CM4845" t="s">
        <v>54</v>
      </c>
      <c r="CN4845" t="s">
        <v>174</v>
      </c>
      <c r="CO4845" t="s">
        <v>86</v>
      </c>
      <c r="CR4845">
        <v>20</v>
      </c>
      <c r="CS4845">
        <v>0</v>
      </c>
      <c r="CT4845">
        <v>0</v>
      </c>
      <c r="CU4845">
        <v>0</v>
      </c>
    </row>
    <row r="4846" spans="1:99" x14ac:dyDescent="0.2">
      <c r="A4846" t="s">
        <v>367</v>
      </c>
      <c r="B4846" t="s">
        <v>440</v>
      </c>
      <c r="C4846" t="s">
        <v>441</v>
      </c>
      <c r="D4846" t="s">
        <v>806</v>
      </c>
      <c r="F4846" t="str">
        <f>"9-2-2021 4"</f>
        <v>9-2-2021 4</v>
      </c>
      <c r="G4846" t="s">
        <v>49</v>
      </c>
      <c r="K4846" t="s">
        <v>51</v>
      </c>
      <c r="L4846" t="s">
        <v>52</v>
      </c>
      <c r="M4846">
        <v>133752.94</v>
      </c>
      <c r="N4846">
        <v>468734.98</v>
      </c>
      <c r="O4846" t="s">
        <v>53</v>
      </c>
      <c r="P4846" t="s">
        <v>54</v>
      </c>
      <c r="Q4846" t="s">
        <v>55</v>
      </c>
      <c r="T4846" t="s">
        <v>585</v>
      </c>
      <c r="U4846">
        <v>40</v>
      </c>
      <c r="V4846" s="1">
        <v>44236</v>
      </c>
      <c r="W4846" s="1">
        <v>44236</v>
      </c>
      <c r="X4846" s="1">
        <v>44236</v>
      </c>
      <c r="Y4846" s="1">
        <v>58846</v>
      </c>
      <c r="Z4846" t="s">
        <v>51</v>
      </c>
      <c r="AB4846" t="s">
        <v>54</v>
      </c>
      <c r="AE4846" t="s">
        <v>1174</v>
      </c>
      <c r="AF4846">
        <v>20</v>
      </c>
      <c r="AG4846" s="1">
        <v>44236</v>
      </c>
      <c r="AH4846" s="1">
        <v>44236</v>
      </c>
      <c r="AI4846" s="1">
        <v>44236</v>
      </c>
      <c r="AJ4846" s="1">
        <v>51541</v>
      </c>
      <c r="AK4846" t="s">
        <v>51</v>
      </c>
      <c r="AN4846">
        <v>0</v>
      </c>
      <c r="AO4846" t="s">
        <v>54</v>
      </c>
      <c r="AP4846" t="s">
        <v>53</v>
      </c>
      <c r="AQ4846">
        <v>0</v>
      </c>
      <c r="AR4846" t="s">
        <v>53</v>
      </c>
      <c r="AS4846">
        <v>0</v>
      </c>
      <c r="AT4846">
        <v>0</v>
      </c>
      <c r="CC4846" t="s">
        <v>555</v>
      </c>
      <c r="CD4846">
        <v>85000</v>
      </c>
      <c r="CE4846" s="1">
        <v>44236</v>
      </c>
      <c r="CF4846" s="1">
        <v>44236</v>
      </c>
      <c r="CG4846" s="1">
        <v>44236</v>
      </c>
      <c r="CH4846" s="1">
        <v>51864</v>
      </c>
      <c r="CI4846" t="s">
        <v>51</v>
      </c>
      <c r="CK4846" t="s">
        <v>78</v>
      </c>
      <c r="CM4846" t="s">
        <v>54</v>
      </c>
      <c r="CN4846" t="s">
        <v>174</v>
      </c>
      <c r="CO4846" t="s">
        <v>86</v>
      </c>
      <c r="CR4846">
        <v>20</v>
      </c>
      <c r="CS4846">
        <v>0</v>
      </c>
      <c r="CT4846">
        <v>0</v>
      </c>
      <c r="CU4846">
        <v>0</v>
      </c>
    </row>
    <row r="4847" spans="1:99" x14ac:dyDescent="0.2">
      <c r="A4847" t="s">
        <v>367</v>
      </c>
      <c r="B4847" t="s">
        <v>440</v>
      </c>
      <c r="C4847" t="s">
        <v>441</v>
      </c>
      <c r="D4847" t="s">
        <v>806</v>
      </c>
      <c r="F4847" t="str">
        <f>"9-2-2021 4"</f>
        <v>9-2-2021 4</v>
      </c>
      <c r="G4847" t="s">
        <v>49</v>
      </c>
      <c r="K4847" t="s">
        <v>51</v>
      </c>
      <c r="L4847" t="s">
        <v>52</v>
      </c>
      <c r="M4847">
        <v>133752.94</v>
      </c>
      <c r="N4847">
        <v>468734.98</v>
      </c>
      <c r="O4847" t="s">
        <v>53</v>
      </c>
      <c r="P4847" t="s">
        <v>54</v>
      </c>
      <c r="Q4847" t="s">
        <v>55</v>
      </c>
      <c r="T4847" t="s">
        <v>585</v>
      </c>
      <c r="U4847">
        <v>40</v>
      </c>
      <c r="V4847" s="1">
        <v>44236</v>
      </c>
      <c r="W4847" s="1">
        <v>44236</v>
      </c>
      <c r="X4847" s="1">
        <v>44236</v>
      </c>
      <c r="Y4847" s="1">
        <v>58846</v>
      </c>
      <c r="Z4847" t="s">
        <v>51</v>
      </c>
      <c r="AB4847" t="s">
        <v>54</v>
      </c>
      <c r="AE4847" t="s">
        <v>1174</v>
      </c>
      <c r="AF4847">
        <v>20</v>
      </c>
      <c r="AG4847" s="1">
        <v>44236</v>
      </c>
      <c r="AH4847" s="1">
        <v>44236</v>
      </c>
      <c r="AI4847" s="1">
        <v>44236</v>
      </c>
      <c r="AJ4847" s="1">
        <v>51541</v>
      </c>
      <c r="AK4847" t="s">
        <v>51</v>
      </c>
      <c r="AN4847">
        <v>0</v>
      </c>
      <c r="AO4847" t="s">
        <v>54</v>
      </c>
      <c r="AP4847" t="s">
        <v>53</v>
      </c>
      <c r="AQ4847">
        <v>0</v>
      </c>
      <c r="AR4847" t="s">
        <v>53</v>
      </c>
      <c r="AS4847">
        <v>0</v>
      </c>
      <c r="AT4847">
        <v>0</v>
      </c>
      <c r="CC4847" t="s">
        <v>555</v>
      </c>
      <c r="CD4847">
        <v>85000</v>
      </c>
      <c r="CE4847" s="1">
        <v>44236</v>
      </c>
      <c r="CF4847" s="1">
        <v>44236</v>
      </c>
      <c r="CG4847" s="1">
        <v>44236</v>
      </c>
      <c r="CH4847" s="1">
        <v>51864</v>
      </c>
      <c r="CI4847" t="s">
        <v>51</v>
      </c>
      <c r="CK4847" t="s">
        <v>78</v>
      </c>
      <c r="CM4847" t="s">
        <v>54</v>
      </c>
      <c r="CN4847" t="s">
        <v>174</v>
      </c>
      <c r="CO4847" t="s">
        <v>86</v>
      </c>
      <c r="CR4847">
        <v>20</v>
      </c>
      <c r="CS4847">
        <v>0</v>
      </c>
      <c r="CT4847">
        <v>0</v>
      </c>
      <c r="CU4847">
        <v>0</v>
      </c>
    </row>
    <row r="4848" spans="1:99" x14ac:dyDescent="0.2">
      <c r="A4848" t="s">
        <v>367</v>
      </c>
      <c r="B4848" t="s">
        <v>440</v>
      </c>
      <c r="C4848" t="s">
        <v>441</v>
      </c>
      <c r="D4848" t="s">
        <v>806</v>
      </c>
      <c r="F4848" t="str">
        <f>"9-2-2021 4"</f>
        <v>9-2-2021 4</v>
      </c>
      <c r="G4848" t="s">
        <v>49</v>
      </c>
      <c r="K4848" t="s">
        <v>51</v>
      </c>
      <c r="L4848" t="s">
        <v>52</v>
      </c>
      <c r="M4848">
        <v>133752.94</v>
      </c>
      <c r="N4848">
        <v>468734.98</v>
      </c>
      <c r="O4848" t="s">
        <v>53</v>
      </c>
      <c r="P4848" t="s">
        <v>54</v>
      </c>
      <c r="Q4848" t="s">
        <v>55</v>
      </c>
      <c r="T4848" t="s">
        <v>585</v>
      </c>
      <c r="U4848">
        <v>40</v>
      </c>
      <c r="V4848" s="1">
        <v>44236</v>
      </c>
      <c r="W4848" s="1">
        <v>44236</v>
      </c>
      <c r="X4848" s="1">
        <v>44236</v>
      </c>
      <c r="Y4848" s="1">
        <v>58846</v>
      </c>
      <c r="Z4848" t="s">
        <v>51</v>
      </c>
      <c r="AB4848" t="s">
        <v>54</v>
      </c>
      <c r="AE4848" t="s">
        <v>1174</v>
      </c>
      <c r="AF4848">
        <v>20</v>
      </c>
      <c r="AG4848" s="1">
        <v>44236</v>
      </c>
      <c r="AH4848" s="1">
        <v>44236</v>
      </c>
      <c r="AI4848" s="1">
        <v>44236</v>
      </c>
      <c r="AJ4848" s="1">
        <v>51541</v>
      </c>
      <c r="AK4848" t="s">
        <v>51</v>
      </c>
      <c r="AN4848">
        <v>0</v>
      </c>
      <c r="AO4848" t="s">
        <v>54</v>
      </c>
      <c r="AP4848" t="s">
        <v>53</v>
      </c>
      <c r="AQ4848">
        <v>0</v>
      </c>
      <c r="AR4848" t="s">
        <v>53</v>
      </c>
      <c r="AS4848">
        <v>0</v>
      </c>
      <c r="AT4848">
        <v>0</v>
      </c>
      <c r="CC4848" t="s">
        <v>555</v>
      </c>
      <c r="CD4848">
        <v>85000</v>
      </c>
      <c r="CE4848" s="1">
        <v>44236</v>
      </c>
      <c r="CF4848" s="1">
        <v>44236</v>
      </c>
      <c r="CG4848" s="1">
        <v>44236</v>
      </c>
      <c r="CH4848" s="1">
        <v>51864</v>
      </c>
      <c r="CI4848" t="s">
        <v>51</v>
      </c>
      <c r="CK4848" t="s">
        <v>78</v>
      </c>
      <c r="CM4848" t="s">
        <v>54</v>
      </c>
      <c r="CN4848" t="s">
        <v>174</v>
      </c>
      <c r="CO4848" t="s">
        <v>86</v>
      </c>
      <c r="CR4848">
        <v>20</v>
      </c>
      <c r="CS4848">
        <v>0</v>
      </c>
      <c r="CT4848">
        <v>0</v>
      </c>
      <c r="CU4848">
        <v>0</v>
      </c>
    </row>
    <row r="4849" spans="1:99" x14ac:dyDescent="0.2">
      <c r="A4849" t="s">
        <v>367</v>
      </c>
      <c r="B4849" t="s">
        <v>440</v>
      </c>
      <c r="C4849" t="s">
        <v>441</v>
      </c>
      <c r="D4849" t="s">
        <v>806</v>
      </c>
      <c r="F4849" t="str">
        <f>"9-2-2021 5"</f>
        <v>9-2-2021 5</v>
      </c>
      <c r="G4849" t="s">
        <v>49</v>
      </c>
      <c r="K4849" t="s">
        <v>51</v>
      </c>
      <c r="L4849" t="s">
        <v>52</v>
      </c>
      <c r="M4849">
        <v>133844.75</v>
      </c>
      <c r="N4849">
        <v>468742.09</v>
      </c>
      <c r="O4849" t="s">
        <v>53</v>
      </c>
      <c r="P4849" t="s">
        <v>54</v>
      </c>
      <c r="Q4849" t="s">
        <v>55</v>
      </c>
      <c r="T4849" t="s">
        <v>585</v>
      </c>
      <c r="U4849">
        <v>40</v>
      </c>
      <c r="V4849" s="1">
        <v>44236</v>
      </c>
      <c r="W4849" s="1">
        <v>44236</v>
      </c>
      <c r="X4849" s="1">
        <v>44236</v>
      </c>
      <c r="Y4849" s="1">
        <v>58846</v>
      </c>
      <c r="Z4849" t="s">
        <v>51</v>
      </c>
      <c r="AB4849" t="s">
        <v>54</v>
      </c>
      <c r="AE4849" t="s">
        <v>1174</v>
      </c>
      <c r="AF4849">
        <v>20</v>
      </c>
      <c r="AG4849" s="1">
        <v>44236</v>
      </c>
      <c r="AH4849" s="1">
        <v>44236</v>
      </c>
      <c r="AI4849" s="1">
        <v>44236</v>
      </c>
      <c r="AJ4849" s="1">
        <v>51541</v>
      </c>
      <c r="AK4849" t="s">
        <v>51</v>
      </c>
      <c r="AN4849">
        <v>0</v>
      </c>
      <c r="AO4849" t="s">
        <v>54</v>
      </c>
      <c r="AP4849" t="s">
        <v>53</v>
      </c>
      <c r="AQ4849">
        <v>0</v>
      </c>
      <c r="AR4849" t="s">
        <v>53</v>
      </c>
      <c r="AS4849">
        <v>0</v>
      </c>
      <c r="AT4849">
        <v>0</v>
      </c>
      <c r="CC4849" t="s">
        <v>555</v>
      </c>
      <c r="CD4849">
        <v>85000</v>
      </c>
      <c r="CE4849" s="1">
        <v>44236</v>
      </c>
      <c r="CF4849" s="1">
        <v>44236</v>
      </c>
      <c r="CG4849" s="1">
        <v>44236</v>
      </c>
      <c r="CH4849" s="1">
        <v>51864</v>
      </c>
      <c r="CI4849" t="s">
        <v>51</v>
      </c>
      <c r="CK4849" t="s">
        <v>78</v>
      </c>
      <c r="CM4849" t="s">
        <v>54</v>
      </c>
      <c r="CN4849" t="s">
        <v>174</v>
      </c>
      <c r="CO4849" t="s">
        <v>86</v>
      </c>
      <c r="CR4849">
        <v>20</v>
      </c>
      <c r="CS4849">
        <v>0</v>
      </c>
      <c r="CT4849">
        <v>0</v>
      </c>
      <c r="CU4849">
        <v>0</v>
      </c>
    </row>
    <row r="4850" spans="1:99" x14ac:dyDescent="0.2">
      <c r="A4850" t="s">
        <v>367</v>
      </c>
      <c r="B4850" t="s">
        <v>440</v>
      </c>
      <c r="C4850" t="s">
        <v>441</v>
      </c>
      <c r="D4850" t="s">
        <v>806</v>
      </c>
      <c r="F4850" t="str">
        <f>"9-2-2021 5"</f>
        <v>9-2-2021 5</v>
      </c>
      <c r="G4850" t="s">
        <v>49</v>
      </c>
      <c r="K4850" t="s">
        <v>51</v>
      </c>
      <c r="L4850" t="s">
        <v>52</v>
      </c>
      <c r="M4850">
        <v>133844.75</v>
      </c>
      <c r="N4850">
        <v>468742.09</v>
      </c>
      <c r="O4850" t="s">
        <v>53</v>
      </c>
      <c r="P4850" t="s">
        <v>54</v>
      </c>
      <c r="Q4850" t="s">
        <v>55</v>
      </c>
      <c r="T4850" t="s">
        <v>585</v>
      </c>
      <c r="U4850">
        <v>40</v>
      </c>
      <c r="V4850" s="1">
        <v>44236</v>
      </c>
      <c r="W4850" s="1">
        <v>44236</v>
      </c>
      <c r="X4850" s="1">
        <v>44236</v>
      </c>
      <c r="Y4850" s="1">
        <v>58846</v>
      </c>
      <c r="Z4850" t="s">
        <v>51</v>
      </c>
      <c r="AB4850" t="s">
        <v>54</v>
      </c>
      <c r="AE4850" t="s">
        <v>1174</v>
      </c>
      <c r="AF4850">
        <v>20</v>
      </c>
      <c r="AG4850" s="1">
        <v>44236</v>
      </c>
      <c r="AH4850" s="1">
        <v>44236</v>
      </c>
      <c r="AI4850" s="1">
        <v>44236</v>
      </c>
      <c r="AJ4850" s="1">
        <v>51541</v>
      </c>
      <c r="AK4850" t="s">
        <v>51</v>
      </c>
      <c r="AN4850">
        <v>0</v>
      </c>
      <c r="AO4850" t="s">
        <v>54</v>
      </c>
      <c r="AP4850" t="s">
        <v>53</v>
      </c>
      <c r="AQ4850">
        <v>0</v>
      </c>
      <c r="AR4850" t="s">
        <v>53</v>
      </c>
      <c r="AS4850">
        <v>0</v>
      </c>
      <c r="AT4850">
        <v>0</v>
      </c>
      <c r="CC4850" t="s">
        <v>555</v>
      </c>
      <c r="CD4850">
        <v>85000</v>
      </c>
      <c r="CE4850" s="1">
        <v>44236</v>
      </c>
      <c r="CF4850" s="1">
        <v>44236</v>
      </c>
      <c r="CG4850" s="1">
        <v>44236</v>
      </c>
      <c r="CH4850" s="1">
        <v>51864</v>
      </c>
      <c r="CI4850" t="s">
        <v>51</v>
      </c>
      <c r="CK4850" t="s">
        <v>78</v>
      </c>
      <c r="CM4850" t="s">
        <v>54</v>
      </c>
      <c r="CN4850" t="s">
        <v>174</v>
      </c>
      <c r="CO4850" t="s">
        <v>86</v>
      </c>
      <c r="CR4850">
        <v>20</v>
      </c>
      <c r="CS4850">
        <v>0</v>
      </c>
      <c r="CT4850">
        <v>0</v>
      </c>
      <c r="CU4850">
        <v>0</v>
      </c>
    </row>
    <row r="4851" spans="1:99" x14ac:dyDescent="0.2">
      <c r="A4851" t="s">
        <v>367</v>
      </c>
      <c r="B4851" t="s">
        <v>440</v>
      </c>
      <c r="C4851" t="s">
        <v>441</v>
      </c>
      <c r="D4851" t="s">
        <v>806</v>
      </c>
      <c r="F4851" t="str">
        <f>"9-2-2021 6"</f>
        <v>9-2-2021 6</v>
      </c>
      <c r="G4851" t="s">
        <v>49</v>
      </c>
      <c r="K4851" t="s">
        <v>51</v>
      </c>
      <c r="L4851" t="s">
        <v>52</v>
      </c>
      <c r="M4851">
        <v>133833.10999999999</v>
      </c>
      <c r="N4851">
        <v>468716.62</v>
      </c>
      <c r="O4851" t="s">
        <v>53</v>
      </c>
      <c r="P4851" t="s">
        <v>54</v>
      </c>
      <c r="Q4851" t="s">
        <v>55</v>
      </c>
      <c r="T4851" t="s">
        <v>585</v>
      </c>
      <c r="U4851">
        <v>40</v>
      </c>
      <c r="V4851" s="1">
        <v>44236</v>
      </c>
      <c r="W4851" s="1">
        <v>44236</v>
      </c>
      <c r="X4851" s="1">
        <v>44236</v>
      </c>
      <c r="Y4851" s="1">
        <v>58846</v>
      </c>
      <c r="Z4851" t="s">
        <v>51</v>
      </c>
      <c r="AB4851" t="s">
        <v>54</v>
      </c>
      <c r="AE4851" t="s">
        <v>1174</v>
      </c>
      <c r="AF4851">
        <v>20</v>
      </c>
      <c r="AG4851" s="1">
        <v>44236</v>
      </c>
      <c r="AH4851" s="1">
        <v>44236</v>
      </c>
      <c r="AI4851" s="1">
        <v>44236</v>
      </c>
      <c r="AJ4851" s="1">
        <v>51541</v>
      </c>
      <c r="AK4851" t="s">
        <v>51</v>
      </c>
      <c r="AN4851">
        <v>0</v>
      </c>
      <c r="AO4851" t="s">
        <v>54</v>
      </c>
      <c r="AP4851" t="s">
        <v>53</v>
      </c>
      <c r="AQ4851">
        <v>0</v>
      </c>
      <c r="AR4851" t="s">
        <v>53</v>
      </c>
      <c r="AS4851">
        <v>0</v>
      </c>
      <c r="AT4851">
        <v>0</v>
      </c>
      <c r="CC4851" t="s">
        <v>555</v>
      </c>
      <c r="CD4851">
        <v>85000</v>
      </c>
      <c r="CE4851" s="1">
        <v>44236</v>
      </c>
      <c r="CF4851" s="1">
        <v>44236</v>
      </c>
      <c r="CG4851" s="1">
        <v>44236</v>
      </c>
      <c r="CH4851" s="1">
        <v>51864</v>
      </c>
      <c r="CI4851" t="s">
        <v>51</v>
      </c>
      <c r="CK4851" t="s">
        <v>78</v>
      </c>
      <c r="CM4851" t="s">
        <v>54</v>
      </c>
      <c r="CN4851" t="s">
        <v>174</v>
      </c>
      <c r="CO4851" t="s">
        <v>86</v>
      </c>
      <c r="CR4851">
        <v>20</v>
      </c>
      <c r="CS4851">
        <v>0</v>
      </c>
      <c r="CT4851">
        <v>0</v>
      </c>
      <c r="CU4851">
        <v>0</v>
      </c>
    </row>
    <row r="4852" spans="1:99" x14ac:dyDescent="0.2">
      <c r="A4852" t="s">
        <v>367</v>
      </c>
      <c r="B4852" t="s">
        <v>440</v>
      </c>
      <c r="C4852" t="s">
        <v>441</v>
      </c>
      <c r="D4852" t="s">
        <v>806</v>
      </c>
      <c r="F4852" t="str">
        <f>"9-2-2021 6"</f>
        <v>9-2-2021 6</v>
      </c>
      <c r="G4852" t="s">
        <v>49</v>
      </c>
      <c r="K4852" t="s">
        <v>51</v>
      </c>
      <c r="L4852" t="s">
        <v>52</v>
      </c>
      <c r="M4852">
        <v>133833.10999999999</v>
      </c>
      <c r="N4852">
        <v>468716.62</v>
      </c>
      <c r="O4852" t="s">
        <v>53</v>
      </c>
      <c r="P4852" t="s">
        <v>54</v>
      </c>
      <c r="Q4852" t="s">
        <v>55</v>
      </c>
      <c r="T4852" t="s">
        <v>585</v>
      </c>
      <c r="U4852">
        <v>40</v>
      </c>
      <c r="V4852" s="1">
        <v>44236</v>
      </c>
      <c r="W4852" s="1">
        <v>44236</v>
      </c>
      <c r="X4852" s="1">
        <v>44236</v>
      </c>
      <c r="Y4852" s="1">
        <v>58846</v>
      </c>
      <c r="Z4852" t="s">
        <v>51</v>
      </c>
      <c r="AB4852" t="s">
        <v>54</v>
      </c>
      <c r="AE4852" t="s">
        <v>1174</v>
      </c>
      <c r="AF4852">
        <v>20</v>
      </c>
      <c r="AG4852" s="1">
        <v>44236</v>
      </c>
      <c r="AH4852" s="1">
        <v>44236</v>
      </c>
      <c r="AI4852" s="1">
        <v>44236</v>
      </c>
      <c r="AJ4852" s="1">
        <v>51541</v>
      </c>
      <c r="AK4852" t="s">
        <v>51</v>
      </c>
      <c r="AN4852">
        <v>0</v>
      </c>
      <c r="AO4852" t="s">
        <v>54</v>
      </c>
      <c r="AP4852" t="s">
        <v>53</v>
      </c>
      <c r="AQ4852">
        <v>0</v>
      </c>
      <c r="AR4852" t="s">
        <v>53</v>
      </c>
      <c r="AS4852">
        <v>0</v>
      </c>
      <c r="AT4852">
        <v>0</v>
      </c>
      <c r="CC4852" t="s">
        <v>555</v>
      </c>
      <c r="CD4852">
        <v>85000</v>
      </c>
      <c r="CE4852" s="1">
        <v>44236</v>
      </c>
      <c r="CF4852" s="1">
        <v>44236</v>
      </c>
      <c r="CG4852" s="1">
        <v>44236</v>
      </c>
      <c r="CH4852" s="1">
        <v>51864</v>
      </c>
      <c r="CI4852" t="s">
        <v>51</v>
      </c>
      <c r="CK4852" t="s">
        <v>78</v>
      </c>
      <c r="CM4852" t="s">
        <v>54</v>
      </c>
      <c r="CN4852" t="s">
        <v>174</v>
      </c>
      <c r="CO4852" t="s">
        <v>86</v>
      </c>
      <c r="CR4852">
        <v>20</v>
      </c>
      <c r="CS4852">
        <v>0</v>
      </c>
      <c r="CT4852">
        <v>0</v>
      </c>
      <c r="CU4852">
        <v>0</v>
      </c>
    </row>
    <row r="4853" spans="1:99" x14ac:dyDescent="0.2">
      <c r="A4853" t="s">
        <v>180</v>
      </c>
      <c r="B4853" t="s">
        <v>181</v>
      </c>
      <c r="C4853" t="s">
        <v>184</v>
      </c>
      <c r="D4853" t="s">
        <v>452</v>
      </c>
      <c r="F4853" t="str">
        <f>"10-2-2021"</f>
        <v>10-2-2021</v>
      </c>
      <c r="G4853" t="s">
        <v>49</v>
      </c>
      <c r="K4853" t="s">
        <v>51</v>
      </c>
      <c r="L4853" t="s">
        <v>52</v>
      </c>
      <c r="M4853">
        <v>136805.35</v>
      </c>
      <c r="N4853">
        <v>473056.33</v>
      </c>
      <c r="O4853" t="s">
        <v>53</v>
      </c>
      <c r="P4853" t="s">
        <v>54</v>
      </c>
      <c r="Q4853" t="s">
        <v>55</v>
      </c>
      <c r="T4853" t="s">
        <v>466</v>
      </c>
      <c r="U4853">
        <v>40</v>
      </c>
      <c r="V4853" s="1">
        <v>31959</v>
      </c>
      <c r="W4853" s="1">
        <v>31959</v>
      </c>
      <c r="X4853" s="1">
        <v>31959</v>
      </c>
      <c r="Y4853" s="1">
        <v>46569</v>
      </c>
      <c r="Z4853" t="s">
        <v>51</v>
      </c>
      <c r="AB4853" t="s">
        <v>54</v>
      </c>
      <c r="AE4853" t="s">
        <v>84</v>
      </c>
      <c r="AF4853">
        <v>20</v>
      </c>
      <c r="AG4853" s="1">
        <v>31959</v>
      </c>
      <c r="AH4853" s="1">
        <v>31959</v>
      </c>
      <c r="AI4853" s="1">
        <v>31959</v>
      </c>
      <c r="AJ4853" s="1">
        <v>39264</v>
      </c>
      <c r="AK4853" t="s">
        <v>51</v>
      </c>
      <c r="AN4853">
        <v>0</v>
      </c>
      <c r="AO4853" t="s">
        <v>54</v>
      </c>
      <c r="AP4853" t="s">
        <v>53</v>
      </c>
      <c r="AQ4853">
        <v>0</v>
      </c>
      <c r="AR4853" t="s">
        <v>53</v>
      </c>
      <c r="AS4853">
        <v>0</v>
      </c>
      <c r="AT4853">
        <v>0</v>
      </c>
      <c r="BK4853" t="s">
        <v>59</v>
      </c>
      <c r="BL4853">
        <v>14000</v>
      </c>
      <c r="BM4853" s="1">
        <v>31959</v>
      </c>
      <c r="BN4853" s="1">
        <v>31959</v>
      </c>
      <c r="BO4853" s="1">
        <v>31959</v>
      </c>
      <c r="BP4853" s="1">
        <v>33213</v>
      </c>
      <c r="BQ4853" t="s">
        <v>51</v>
      </c>
      <c r="BS4853" t="s">
        <v>78</v>
      </c>
      <c r="BT4853" t="s">
        <v>54</v>
      </c>
      <c r="BU4853" t="s">
        <v>61</v>
      </c>
      <c r="BV4853" t="s">
        <v>62</v>
      </c>
      <c r="BX4853">
        <v>24</v>
      </c>
      <c r="BY4853">
        <v>0</v>
      </c>
      <c r="BZ4853">
        <v>0</v>
      </c>
    </row>
    <row r="4854" spans="1:99" x14ac:dyDescent="0.2">
      <c r="A4854" t="s">
        <v>112</v>
      </c>
      <c r="B4854" t="s">
        <v>113</v>
      </c>
      <c r="C4854" t="s">
        <v>114</v>
      </c>
      <c r="D4854" t="s">
        <v>428</v>
      </c>
      <c r="F4854" t="str">
        <f>"11-2-2021"</f>
        <v>11-2-2021</v>
      </c>
      <c r="G4854" t="s">
        <v>49</v>
      </c>
      <c r="K4854" t="s">
        <v>51</v>
      </c>
      <c r="L4854" t="s">
        <v>52</v>
      </c>
      <c r="M4854">
        <v>136904.18</v>
      </c>
      <c r="N4854">
        <v>470546.2</v>
      </c>
      <c r="O4854" t="s">
        <v>53</v>
      </c>
      <c r="P4854" t="s">
        <v>54</v>
      </c>
      <c r="Q4854" t="s">
        <v>55</v>
      </c>
      <c r="T4854" t="s">
        <v>183</v>
      </c>
      <c r="U4854">
        <v>40</v>
      </c>
      <c r="V4854" s="1">
        <v>42552</v>
      </c>
      <c r="W4854" s="1">
        <v>42552</v>
      </c>
      <c r="X4854" s="1">
        <v>42552</v>
      </c>
      <c r="Y4854" s="1">
        <v>57162</v>
      </c>
      <c r="Z4854" t="s">
        <v>51</v>
      </c>
      <c r="AB4854" t="s">
        <v>54</v>
      </c>
      <c r="AE4854" t="s">
        <v>79</v>
      </c>
      <c r="AF4854">
        <v>20</v>
      </c>
      <c r="AG4854" s="1">
        <v>42552</v>
      </c>
      <c r="AH4854" s="1">
        <v>42552</v>
      </c>
      <c r="AI4854" s="1">
        <v>42552</v>
      </c>
      <c r="AJ4854" s="1">
        <v>49857</v>
      </c>
      <c r="AK4854" t="s">
        <v>51</v>
      </c>
      <c r="AN4854">
        <v>0</v>
      </c>
      <c r="AO4854" t="s">
        <v>54</v>
      </c>
      <c r="AP4854" t="s">
        <v>53</v>
      </c>
      <c r="AQ4854">
        <v>0</v>
      </c>
      <c r="AR4854" t="s">
        <v>145</v>
      </c>
      <c r="AS4854">
        <v>0</v>
      </c>
      <c r="AT4854">
        <v>0</v>
      </c>
      <c r="CC4854" t="s">
        <v>185</v>
      </c>
      <c r="CD4854">
        <v>85000</v>
      </c>
      <c r="CE4854" s="1">
        <v>42917</v>
      </c>
      <c r="CF4854" s="1">
        <v>42917</v>
      </c>
      <c r="CG4854" s="1">
        <v>42917</v>
      </c>
      <c r="CH4854" s="1">
        <v>50504</v>
      </c>
      <c r="CI4854" t="s">
        <v>51</v>
      </c>
      <c r="CK4854" t="s">
        <v>78</v>
      </c>
      <c r="CM4854" t="s">
        <v>54</v>
      </c>
      <c r="CN4854" t="s">
        <v>174</v>
      </c>
      <c r="CO4854" t="s">
        <v>86</v>
      </c>
      <c r="CR4854">
        <v>15</v>
      </c>
      <c r="CS4854">
        <v>0</v>
      </c>
      <c r="CT4854">
        <v>0</v>
      </c>
      <c r="CU4854">
        <v>0</v>
      </c>
    </row>
    <row r="4855" spans="1:99" x14ac:dyDescent="0.2">
      <c r="A4855" t="s">
        <v>112</v>
      </c>
      <c r="B4855" t="s">
        <v>113</v>
      </c>
      <c r="C4855" t="s">
        <v>114</v>
      </c>
      <c r="D4855" t="s">
        <v>428</v>
      </c>
      <c r="F4855" t="str">
        <f>"11-2-2021 1"</f>
        <v>11-2-2021 1</v>
      </c>
      <c r="G4855" t="s">
        <v>49</v>
      </c>
      <c r="K4855" t="s">
        <v>51</v>
      </c>
      <c r="L4855" t="s">
        <v>52</v>
      </c>
      <c r="M4855">
        <v>136904.76</v>
      </c>
      <c r="N4855">
        <v>470556.78</v>
      </c>
      <c r="O4855" t="s">
        <v>53</v>
      </c>
      <c r="P4855" t="s">
        <v>54</v>
      </c>
      <c r="Q4855" t="s">
        <v>55</v>
      </c>
      <c r="T4855" t="s">
        <v>183</v>
      </c>
      <c r="U4855">
        <v>40</v>
      </c>
      <c r="V4855" s="1">
        <v>42552</v>
      </c>
      <c r="W4855" s="1">
        <v>42552</v>
      </c>
      <c r="X4855" s="1">
        <v>42552</v>
      </c>
      <c r="Y4855" s="1">
        <v>57162</v>
      </c>
      <c r="Z4855" t="s">
        <v>51</v>
      </c>
      <c r="AB4855" t="s">
        <v>54</v>
      </c>
      <c r="AE4855" t="s">
        <v>79</v>
      </c>
      <c r="AF4855">
        <v>20</v>
      </c>
      <c r="AG4855" s="1">
        <v>42552</v>
      </c>
      <c r="AH4855" s="1">
        <v>42552</v>
      </c>
      <c r="AI4855" s="1">
        <v>42552</v>
      </c>
      <c r="AJ4855" s="1">
        <v>49857</v>
      </c>
      <c r="AK4855" t="s">
        <v>51</v>
      </c>
      <c r="AN4855">
        <v>0</v>
      </c>
      <c r="AO4855" t="s">
        <v>54</v>
      </c>
      <c r="AP4855" t="s">
        <v>53</v>
      </c>
      <c r="AQ4855">
        <v>0</v>
      </c>
      <c r="AR4855" t="s">
        <v>145</v>
      </c>
      <c r="AS4855">
        <v>0</v>
      </c>
      <c r="AT4855">
        <v>0</v>
      </c>
      <c r="CC4855" t="s">
        <v>185</v>
      </c>
      <c r="CD4855">
        <v>85000</v>
      </c>
      <c r="CE4855" s="1">
        <v>42552</v>
      </c>
      <c r="CF4855" s="1">
        <v>42552</v>
      </c>
      <c r="CG4855" s="1">
        <v>42552</v>
      </c>
      <c r="CH4855" s="1">
        <v>50139</v>
      </c>
      <c r="CI4855" t="s">
        <v>51</v>
      </c>
      <c r="CK4855" t="s">
        <v>78</v>
      </c>
      <c r="CM4855" t="s">
        <v>54</v>
      </c>
      <c r="CN4855" t="s">
        <v>174</v>
      </c>
      <c r="CO4855" t="s">
        <v>86</v>
      </c>
      <c r="CR4855">
        <v>15</v>
      </c>
      <c r="CS4855">
        <v>0</v>
      </c>
      <c r="CT4855">
        <v>0</v>
      </c>
      <c r="CU4855">
        <v>0</v>
      </c>
    </row>
    <row r="4856" spans="1:99" x14ac:dyDescent="0.2">
      <c r="A4856" t="s">
        <v>1012</v>
      </c>
      <c r="B4856" t="s">
        <v>1013</v>
      </c>
      <c r="C4856" t="s">
        <v>1052</v>
      </c>
      <c r="D4856" t="s">
        <v>1071</v>
      </c>
      <c r="F4856" t="str">
        <f>"15-2-2021"</f>
        <v>15-2-2021</v>
      </c>
      <c r="G4856" t="s">
        <v>49</v>
      </c>
      <c r="K4856" t="s">
        <v>51</v>
      </c>
      <c r="L4856" t="s">
        <v>52</v>
      </c>
      <c r="M4856">
        <v>131669.67000000001</v>
      </c>
      <c r="N4856">
        <v>475045.66</v>
      </c>
      <c r="O4856" t="s">
        <v>53</v>
      </c>
      <c r="P4856" t="s">
        <v>54</v>
      </c>
      <c r="Q4856" t="s">
        <v>55</v>
      </c>
      <c r="T4856" t="s">
        <v>246</v>
      </c>
      <c r="U4856">
        <v>40</v>
      </c>
      <c r="V4856" s="1">
        <v>44242</v>
      </c>
      <c r="W4856" s="1">
        <v>44242</v>
      </c>
      <c r="X4856" s="1">
        <v>44242</v>
      </c>
      <c r="Y4856" s="1">
        <v>58852</v>
      </c>
      <c r="Z4856" t="s">
        <v>51</v>
      </c>
      <c r="AB4856" t="s">
        <v>54</v>
      </c>
      <c r="AE4856" t="s">
        <v>1065</v>
      </c>
      <c r="AF4856">
        <v>20</v>
      </c>
      <c r="AG4856" s="1">
        <v>44242</v>
      </c>
      <c r="AH4856" s="1">
        <v>44242</v>
      </c>
      <c r="AI4856" s="1">
        <v>44242</v>
      </c>
      <c r="AJ4856" s="1">
        <v>51547</v>
      </c>
      <c r="AK4856" t="s">
        <v>51</v>
      </c>
      <c r="AN4856">
        <v>0</v>
      </c>
      <c r="AO4856" t="s">
        <v>54</v>
      </c>
      <c r="AP4856" t="s">
        <v>53</v>
      </c>
      <c r="AQ4856">
        <v>0</v>
      </c>
      <c r="AR4856" t="s">
        <v>53</v>
      </c>
      <c r="AS4856">
        <v>0</v>
      </c>
      <c r="AT4856">
        <v>0</v>
      </c>
      <c r="AW4856" t="s">
        <v>172</v>
      </c>
      <c r="AX4856">
        <v>15</v>
      </c>
      <c r="AY4856" s="1">
        <v>44242</v>
      </c>
      <c r="AZ4856" s="1">
        <v>44242</v>
      </c>
      <c r="BA4856" s="1">
        <v>44242</v>
      </c>
      <c r="BB4856" s="1">
        <v>49720</v>
      </c>
      <c r="BC4856" t="s">
        <v>51</v>
      </c>
      <c r="BE4856" t="s">
        <v>54</v>
      </c>
      <c r="BF4856">
        <v>40</v>
      </c>
      <c r="BG4856">
        <v>0</v>
      </c>
      <c r="BH4856" t="s">
        <v>145</v>
      </c>
      <c r="CC4856" t="s">
        <v>250</v>
      </c>
      <c r="CD4856">
        <v>100000</v>
      </c>
      <c r="CE4856" s="1">
        <v>44242</v>
      </c>
      <c r="CF4856" s="1">
        <v>44242</v>
      </c>
      <c r="CG4856" s="1">
        <v>44242</v>
      </c>
      <c r="CH4856" s="1">
        <v>53244</v>
      </c>
      <c r="CI4856" t="s">
        <v>51</v>
      </c>
      <c r="CK4856" t="s">
        <v>78</v>
      </c>
      <c r="CM4856" t="s">
        <v>54</v>
      </c>
      <c r="CN4856" t="s">
        <v>174</v>
      </c>
      <c r="CR4856">
        <v>13.2</v>
      </c>
      <c r="CS4856">
        <v>1800</v>
      </c>
      <c r="CT4856">
        <v>0</v>
      </c>
      <c r="CU4856">
        <v>16</v>
      </c>
    </row>
    <row r="4857" spans="1:99" x14ac:dyDescent="0.2">
      <c r="A4857" t="s">
        <v>1012</v>
      </c>
      <c r="B4857" t="s">
        <v>1013</v>
      </c>
      <c r="C4857" t="s">
        <v>1052</v>
      </c>
      <c r="D4857" t="s">
        <v>1124</v>
      </c>
      <c r="F4857" t="str">
        <f>"15-2-2021 1"</f>
        <v>15-2-2021 1</v>
      </c>
      <c r="G4857" t="s">
        <v>49</v>
      </c>
      <c r="K4857" t="s">
        <v>51</v>
      </c>
      <c r="L4857" t="s">
        <v>52</v>
      </c>
      <c r="M4857">
        <v>131760.28</v>
      </c>
      <c r="N4857">
        <v>475173.09</v>
      </c>
      <c r="O4857" t="s">
        <v>53</v>
      </c>
      <c r="P4857" t="s">
        <v>54</v>
      </c>
      <c r="Q4857" t="s">
        <v>55</v>
      </c>
      <c r="T4857" t="s">
        <v>81</v>
      </c>
      <c r="U4857">
        <v>40</v>
      </c>
      <c r="V4857" s="1">
        <v>44242</v>
      </c>
      <c r="W4857" s="1">
        <v>44242</v>
      </c>
      <c r="X4857" s="1">
        <v>44242</v>
      </c>
      <c r="Y4857" s="1">
        <v>58852</v>
      </c>
      <c r="Z4857" t="s">
        <v>51</v>
      </c>
      <c r="AB4857" t="s">
        <v>54</v>
      </c>
      <c r="AE4857" t="s">
        <v>356</v>
      </c>
      <c r="AF4857">
        <v>20</v>
      </c>
      <c r="AG4857" s="1">
        <v>44242</v>
      </c>
      <c r="AH4857" s="1">
        <v>44242</v>
      </c>
      <c r="AI4857" s="1">
        <v>44242</v>
      </c>
      <c r="AJ4857" s="1">
        <v>51547</v>
      </c>
      <c r="AK4857" t="s">
        <v>51</v>
      </c>
      <c r="AN4857">
        <v>0</v>
      </c>
      <c r="AO4857" t="s">
        <v>54</v>
      </c>
      <c r="AP4857" t="s">
        <v>53</v>
      </c>
      <c r="AQ4857">
        <v>0</v>
      </c>
      <c r="AR4857" t="s">
        <v>145</v>
      </c>
      <c r="AS4857">
        <v>0</v>
      </c>
      <c r="AT4857">
        <v>0</v>
      </c>
      <c r="CC4857" t="s">
        <v>250</v>
      </c>
      <c r="CD4857">
        <v>100000</v>
      </c>
      <c r="CE4857" s="1">
        <v>44242</v>
      </c>
      <c r="CF4857" s="1">
        <v>44242</v>
      </c>
      <c r="CG4857" s="1">
        <v>44242</v>
      </c>
      <c r="CH4857" s="1">
        <v>53244</v>
      </c>
      <c r="CI4857" t="s">
        <v>51</v>
      </c>
      <c r="CK4857" t="s">
        <v>78</v>
      </c>
      <c r="CM4857" t="s">
        <v>54</v>
      </c>
      <c r="CN4857" t="s">
        <v>174</v>
      </c>
      <c r="CR4857">
        <v>13.2</v>
      </c>
      <c r="CS4857">
        <v>1800</v>
      </c>
      <c r="CT4857">
        <v>0</v>
      </c>
      <c r="CU4857">
        <v>16</v>
      </c>
    </row>
    <row r="4858" spans="1:99" x14ac:dyDescent="0.2">
      <c r="A4858" t="s">
        <v>1012</v>
      </c>
      <c r="B4858" t="s">
        <v>1013</v>
      </c>
      <c r="C4858" t="s">
        <v>1019</v>
      </c>
      <c r="D4858" t="s">
        <v>1168</v>
      </c>
      <c r="F4858" t="str">
        <f>"17-2-2021 1"</f>
        <v>17-2-2021 1</v>
      </c>
      <c r="G4858" t="s">
        <v>49</v>
      </c>
      <c r="K4858" t="s">
        <v>51</v>
      </c>
      <c r="L4858" t="s">
        <v>52</v>
      </c>
      <c r="M4858">
        <v>131895.96</v>
      </c>
      <c r="N4858">
        <v>473908.78</v>
      </c>
      <c r="O4858" t="s">
        <v>53</v>
      </c>
      <c r="P4858" t="s">
        <v>54</v>
      </c>
      <c r="Q4858" t="s">
        <v>55</v>
      </c>
      <c r="T4858" t="s">
        <v>100</v>
      </c>
      <c r="U4858">
        <v>40</v>
      </c>
      <c r="V4858" s="1">
        <v>44217</v>
      </c>
      <c r="W4858" s="1">
        <v>44217</v>
      </c>
      <c r="X4858" s="1">
        <v>44217</v>
      </c>
      <c r="Y4858" s="1">
        <v>58827</v>
      </c>
      <c r="Z4858" t="s">
        <v>51</v>
      </c>
      <c r="AB4858" t="s">
        <v>54</v>
      </c>
      <c r="AE4858" t="s">
        <v>819</v>
      </c>
      <c r="AF4858">
        <v>20</v>
      </c>
      <c r="AG4858" s="1">
        <v>44217</v>
      </c>
      <c r="AH4858" s="1">
        <v>44217</v>
      </c>
      <c r="AI4858" s="1">
        <v>44217</v>
      </c>
      <c r="AJ4858" s="1">
        <v>51522</v>
      </c>
      <c r="AK4858" t="s">
        <v>51</v>
      </c>
      <c r="AN4858">
        <v>0</v>
      </c>
      <c r="AO4858" t="s">
        <v>54</v>
      </c>
      <c r="AP4858" t="s">
        <v>53</v>
      </c>
      <c r="AQ4858">
        <v>0</v>
      </c>
      <c r="AR4858" t="s">
        <v>53</v>
      </c>
      <c r="AS4858">
        <v>0</v>
      </c>
      <c r="AT4858">
        <v>0</v>
      </c>
      <c r="BK4858" t="s">
        <v>720</v>
      </c>
      <c r="BL4858">
        <v>17000</v>
      </c>
      <c r="BM4858" s="1">
        <v>44217</v>
      </c>
      <c r="BN4858" s="1">
        <v>44217</v>
      </c>
      <c r="BO4858" s="1">
        <v>44217</v>
      </c>
      <c r="BP4858" s="1">
        <v>45660</v>
      </c>
      <c r="BQ4858" t="s">
        <v>51</v>
      </c>
      <c r="BS4858" t="s">
        <v>60</v>
      </c>
      <c r="BT4858" t="s">
        <v>54</v>
      </c>
      <c r="BU4858" t="s">
        <v>721</v>
      </c>
      <c r="BV4858" t="s">
        <v>722</v>
      </c>
      <c r="BX4858">
        <v>18</v>
      </c>
      <c r="BY4858">
        <v>0</v>
      </c>
      <c r="BZ4858">
        <v>0</v>
      </c>
    </row>
    <row r="4859" spans="1:99" x14ac:dyDescent="0.2">
      <c r="A4859" t="s">
        <v>1012</v>
      </c>
      <c r="B4859" t="s">
        <v>1013</v>
      </c>
      <c r="C4859" t="s">
        <v>1019</v>
      </c>
      <c r="D4859" t="s">
        <v>1168</v>
      </c>
      <c r="F4859" t="str">
        <f>"17-2-2021 2"</f>
        <v>17-2-2021 2</v>
      </c>
      <c r="G4859" t="s">
        <v>49</v>
      </c>
      <c r="K4859" t="s">
        <v>51</v>
      </c>
      <c r="L4859" t="s">
        <v>52</v>
      </c>
      <c r="M4859">
        <v>131913.57999999999</v>
      </c>
      <c r="N4859">
        <v>473898.87</v>
      </c>
      <c r="O4859" t="s">
        <v>53</v>
      </c>
      <c r="P4859" t="s">
        <v>54</v>
      </c>
      <c r="Q4859" t="s">
        <v>55</v>
      </c>
      <c r="T4859" t="s">
        <v>100</v>
      </c>
      <c r="U4859">
        <v>40</v>
      </c>
      <c r="V4859" s="1">
        <v>44217</v>
      </c>
      <c r="W4859" s="1">
        <v>44217</v>
      </c>
      <c r="X4859" s="1">
        <v>44217</v>
      </c>
      <c r="Y4859" s="1">
        <v>58827</v>
      </c>
      <c r="Z4859" t="s">
        <v>51</v>
      </c>
      <c r="AB4859" t="s">
        <v>54</v>
      </c>
      <c r="AE4859" t="s">
        <v>819</v>
      </c>
      <c r="AF4859">
        <v>20</v>
      </c>
      <c r="AG4859" s="1">
        <v>44217</v>
      </c>
      <c r="AH4859" s="1">
        <v>44217</v>
      </c>
      <c r="AI4859" s="1">
        <v>44217</v>
      </c>
      <c r="AJ4859" s="1">
        <v>51522</v>
      </c>
      <c r="AK4859" t="s">
        <v>51</v>
      </c>
      <c r="AN4859">
        <v>0</v>
      </c>
      <c r="AO4859" t="s">
        <v>54</v>
      </c>
      <c r="AP4859" t="s">
        <v>53</v>
      </c>
      <c r="AQ4859">
        <v>0</v>
      </c>
      <c r="AR4859" t="s">
        <v>53</v>
      </c>
      <c r="AS4859">
        <v>0</v>
      </c>
      <c r="AT4859">
        <v>0</v>
      </c>
      <c r="BK4859" t="s">
        <v>720</v>
      </c>
      <c r="BL4859">
        <v>17000</v>
      </c>
      <c r="BM4859" s="1">
        <v>44217</v>
      </c>
      <c r="BN4859" s="1">
        <v>44217</v>
      </c>
      <c r="BO4859" s="1">
        <v>44217</v>
      </c>
      <c r="BP4859" s="1">
        <v>45660</v>
      </c>
      <c r="BQ4859" t="s">
        <v>51</v>
      </c>
      <c r="BS4859" t="s">
        <v>60</v>
      </c>
      <c r="BT4859" t="s">
        <v>54</v>
      </c>
      <c r="BU4859" t="s">
        <v>721</v>
      </c>
      <c r="BV4859" t="s">
        <v>722</v>
      </c>
      <c r="BX4859">
        <v>18</v>
      </c>
      <c r="BY4859">
        <v>0</v>
      </c>
      <c r="BZ4859">
        <v>0</v>
      </c>
    </row>
    <row r="4860" spans="1:99" x14ac:dyDescent="0.2">
      <c r="A4860" t="s">
        <v>1012</v>
      </c>
      <c r="B4860" t="s">
        <v>1013</v>
      </c>
      <c r="C4860" t="s">
        <v>1019</v>
      </c>
      <c r="D4860" t="s">
        <v>1168</v>
      </c>
      <c r="F4860" t="str">
        <f>"17-2-2021 3"</f>
        <v>17-2-2021 3</v>
      </c>
      <c r="G4860" t="s">
        <v>49</v>
      </c>
      <c r="K4860" t="s">
        <v>51</v>
      </c>
      <c r="L4860" t="s">
        <v>52</v>
      </c>
      <c r="M4860">
        <v>131930.39000000001</v>
      </c>
      <c r="N4860">
        <v>473889.41</v>
      </c>
      <c r="O4860" t="s">
        <v>53</v>
      </c>
      <c r="P4860" t="s">
        <v>54</v>
      </c>
      <c r="Q4860" t="s">
        <v>55</v>
      </c>
      <c r="T4860" t="s">
        <v>100</v>
      </c>
      <c r="U4860">
        <v>40</v>
      </c>
      <c r="V4860" s="1">
        <v>44217</v>
      </c>
      <c r="W4860" s="1">
        <v>44217</v>
      </c>
      <c r="X4860" s="1">
        <v>44217</v>
      </c>
      <c r="Y4860" s="1">
        <v>58827</v>
      </c>
      <c r="Z4860" t="s">
        <v>51</v>
      </c>
      <c r="AB4860" t="s">
        <v>54</v>
      </c>
      <c r="AE4860" t="s">
        <v>819</v>
      </c>
      <c r="AF4860">
        <v>20</v>
      </c>
      <c r="AG4860" s="1">
        <v>44217</v>
      </c>
      <c r="AH4860" s="1">
        <v>44217</v>
      </c>
      <c r="AI4860" s="1">
        <v>44217</v>
      </c>
      <c r="AJ4860" s="1">
        <v>51522</v>
      </c>
      <c r="AK4860" t="s">
        <v>51</v>
      </c>
      <c r="AN4860">
        <v>0</v>
      </c>
      <c r="AO4860" t="s">
        <v>54</v>
      </c>
      <c r="AP4860" t="s">
        <v>53</v>
      </c>
      <c r="AQ4860">
        <v>0</v>
      </c>
      <c r="AR4860" t="s">
        <v>53</v>
      </c>
      <c r="AS4860">
        <v>0</v>
      </c>
      <c r="AT4860">
        <v>0</v>
      </c>
      <c r="BK4860" t="s">
        <v>720</v>
      </c>
      <c r="BL4860">
        <v>17000</v>
      </c>
      <c r="BM4860" s="1">
        <v>44217</v>
      </c>
      <c r="BN4860" s="1">
        <v>44217</v>
      </c>
      <c r="BO4860" s="1">
        <v>44217</v>
      </c>
      <c r="BP4860" s="1">
        <v>45660</v>
      </c>
      <c r="BQ4860" t="s">
        <v>51</v>
      </c>
      <c r="BS4860" t="s">
        <v>60</v>
      </c>
      <c r="BT4860" t="s">
        <v>54</v>
      </c>
      <c r="BU4860" t="s">
        <v>721</v>
      </c>
      <c r="BV4860" t="s">
        <v>722</v>
      </c>
      <c r="BX4860">
        <v>18</v>
      </c>
      <c r="BY4860">
        <v>0</v>
      </c>
      <c r="BZ4860">
        <v>0</v>
      </c>
    </row>
    <row r="4861" spans="1:99" x14ac:dyDescent="0.2">
      <c r="A4861" t="s">
        <v>1012</v>
      </c>
      <c r="B4861" t="s">
        <v>1013</v>
      </c>
      <c r="C4861" t="s">
        <v>1019</v>
      </c>
      <c r="D4861" t="s">
        <v>1168</v>
      </c>
      <c r="F4861" t="str">
        <f>"17-2-2021 4"</f>
        <v>17-2-2021 4</v>
      </c>
      <c r="G4861" t="s">
        <v>49</v>
      </c>
      <c r="K4861" t="s">
        <v>51</v>
      </c>
      <c r="L4861" t="s">
        <v>52</v>
      </c>
      <c r="M4861">
        <v>131947.85</v>
      </c>
      <c r="N4861">
        <v>473879.87</v>
      </c>
      <c r="O4861" t="s">
        <v>53</v>
      </c>
      <c r="P4861" t="s">
        <v>54</v>
      </c>
      <c r="Q4861" t="s">
        <v>55</v>
      </c>
      <c r="T4861" t="s">
        <v>100</v>
      </c>
      <c r="U4861">
        <v>40</v>
      </c>
      <c r="V4861" s="1">
        <v>44217</v>
      </c>
      <c r="W4861" s="1">
        <v>44217</v>
      </c>
      <c r="X4861" s="1">
        <v>44217</v>
      </c>
      <c r="Y4861" s="1">
        <v>58827</v>
      </c>
      <c r="Z4861" t="s">
        <v>51</v>
      </c>
      <c r="AB4861" t="s">
        <v>54</v>
      </c>
      <c r="AE4861" t="s">
        <v>819</v>
      </c>
      <c r="AF4861">
        <v>20</v>
      </c>
      <c r="AG4861" s="1">
        <v>44217</v>
      </c>
      <c r="AH4861" s="1">
        <v>44217</v>
      </c>
      <c r="AI4861" s="1">
        <v>44217</v>
      </c>
      <c r="AJ4861" s="1">
        <v>51522</v>
      </c>
      <c r="AK4861" t="s">
        <v>51</v>
      </c>
      <c r="AN4861">
        <v>0</v>
      </c>
      <c r="AO4861" t="s">
        <v>54</v>
      </c>
      <c r="AP4861" t="s">
        <v>53</v>
      </c>
      <c r="AQ4861">
        <v>0</v>
      </c>
      <c r="AR4861" t="s">
        <v>53</v>
      </c>
      <c r="AS4861">
        <v>0</v>
      </c>
      <c r="AT4861">
        <v>0</v>
      </c>
      <c r="BK4861" t="s">
        <v>720</v>
      </c>
      <c r="BL4861">
        <v>17000</v>
      </c>
      <c r="BM4861" s="1">
        <v>44217</v>
      </c>
      <c r="BN4861" s="1">
        <v>44217</v>
      </c>
      <c r="BO4861" s="1">
        <v>44217</v>
      </c>
      <c r="BP4861" s="1">
        <v>45660</v>
      </c>
      <c r="BQ4861" t="s">
        <v>51</v>
      </c>
      <c r="BS4861" t="s">
        <v>60</v>
      </c>
      <c r="BT4861" t="s">
        <v>54</v>
      </c>
      <c r="BU4861" t="s">
        <v>721</v>
      </c>
      <c r="BV4861" t="s">
        <v>722</v>
      </c>
      <c r="BX4861">
        <v>18</v>
      </c>
      <c r="BY4861">
        <v>0</v>
      </c>
      <c r="BZ4861">
        <v>0</v>
      </c>
    </row>
    <row r="4862" spans="1:99" x14ac:dyDescent="0.2">
      <c r="A4862" t="s">
        <v>1012</v>
      </c>
      <c r="B4862" t="s">
        <v>1013</v>
      </c>
      <c r="C4862" t="s">
        <v>1019</v>
      </c>
      <c r="D4862" t="s">
        <v>1168</v>
      </c>
      <c r="F4862" t="str">
        <f>"17-2-2021 5"</f>
        <v>17-2-2021 5</v>
      </c>
      <c r="G4862" t="s">
        <v>49</v>
      </c>
      <c r="K4862" t="s">
        <v>51</v>
      </c>
      <c r="L4862" t="s">
        <v>52</v>
      </c>
      <c r="M4862">
        <v>131966.75</v>
      </c>
      <c r="N4862">
        <v>473869.41</v>
      </c>
      <c r="O4862" t="s">
        <v>53</v>
      </c>
      <c r="P4862" t="s">
        <v>54</v>
      </c>
      <c r="Q4862" t="s">
        <v>55</v>
      </c>
      <c r="T4862" t="s">
        <v>100</v>
      </c>
      <c r="U4862">
        <v>40</v>
      </c>
      <c r="V4862" s="1">
        <v>44217</v>
      </c>
      <c r="W4862" s="1">
        <v>44217</v>
      </c>
      <c r="X4862" s="1">
        <v>44217</v>
      </c>
      <c r="Y4862" s="1">
        <v>58827</v>
      </c>
      <c r="Z4862" t="s">
        <v>51</v>
      </c>
      <c r="AB4862" t="s">
        <v>54</v>
      </c>
      <c r="AE4862" t="s">
        <v>819</v>
      </c>
      <c r="AF4862">
        <v>20</v>
      </c>
      <c r="AG4862" s="1">
        <v>44217</v>
      </c>
      <c r="AH4862" s="1">
        <v>44217</v>
      </c>
      <c r="AI4862" s="1">
        <v>44217</v>
      </c>
      <c r="AJ4862" s="1">
        <v>51522</v>
      </c>
      <c r="AK4862" t="s">
        <v>51</v>
      </c>
      <c r="AN4862">
        <v>0</v>
      </c>
      <c r="AO4862" t="s">
        <v>54</v>
      </c>
      <c r="AP4862" t="s">
        <v>53</v>
      </c>
      <c r="AQ4862">
        <v>0</v>
      </c>
      <c r="AR4862" t="s">
        <v>53</v>
      </c>
      <c r="AS4862">
        <v>0</v>
      </c>
      <c r="AT4862">
        <v>0</v>
      </c>
      <c r="BK4862" t="s">
        <v>720</v>
      </c>
      <c r="BL4862">
        <v>17000</v>
      </c>
      <c r="BM4862" s="1">
        <v>44217</v>
      </c>
      <c r="BN4862" s="1">
        <v>44217</v>
      </c>
      <c r="BO4862" s="1">
        <v>44217</v>
      </c>
      <c r="BP4862" s="1">
        <v>45660</v>
      </c>
      <c r="BQ4862" t="s">
        <v>51</v>
      </c>
      <c r="BS4862" t="s">
        <v>60</v>
      </c>
      <c r="BT4862" t="s">
        <v>54</v>
      </c>
      <c r="BU4862" t="s">
        <v>721</v>
      </c>
      <c r="BV4862" t="s">
        <v>722</v>
      </c>
      <c r="BX4862">
        <v>18</v>
      </c>
      <c r="BY4862">
        <v>0</v>
      </c>
      <c r="BZ4862">
        <v>0</v>
      </c>
    </row>
    <row r="4863" spans="1:99" x14ac:dyDescent="0.2">
      <c r="A4863" t="s">
        <v>1012</v>
      </c>
      <c r="B4863" t="s">
        <v>1013</v>
      </c>
      <c r="C4863" t="s">
        <v>1019</v>
      </c>
      <c r="D4863" t="s">
        <v>1168</v>
      </c>
      <c r="F4863" t="str">
        <f>"17-2-2021 6"</f>
        <v>17-2-2021 6</v>
      </c>
      <c r="G4863" t="s">
        <v>49</v>
      </c>
      <c r="K4863" t="s">
        <v>51</v>
      </c>
      <c r="L4863" t="s">
        <v>52</v>
      </c>
      <c r="M4863">
        <v>132002.4</v>
      </c>
      <c r="N4863">
        <v>473843.27</v>
      </c>
      <c r="O4863" t="s">
        <v>53</v>
      </c>
      <c r="P4863" t="s">
        <v>54</v>
      </c>
      <c r="Q4863" t="s">
        <v>55</v>
      </c>
      <c r="T4863" t="s">
        <v>100</v>
      </c>
      <c r="U4863">
        <v>40</v>
      </c>
      <c r="V4863" s="1">
        <v>44217</v>
      </c>
      <c r="W4863" s="1">
        <v>44217</v>
      </c>
      <c r="X4863" s="1">
        <v>44217</v>
      </c>
      <c r="Y4863" s="1">
        <v>58827</v>
      </c>
      <c r="Z4863" t="s">
        <v>51</v>
      </c>
      <c r="AB4863" t="s">
        <v>54</v>
      </c>
      <c r="AE4863" t="s">
        <v>819</v>
      </c>
      <c r="AF4863">
        <v>20</v>
      </c>
      <c r="AG4863" s="1">
        <v>44217</v>
      </c>
      <c r="AH4863" s="1">
        <v>44217</v>
      </c>
      <c r="AI4863" s="1">
        <v>44217</v>
      </c>
      <c r="AJ4863" s="1">
        <v>51522</v>
      </c>
      <c r="AK4863" t="s">
        <v>51</v>
      </c>
      <c r="AN4863">
        <v>0</v>
      </c>
      <c r="AO4863" t="s">
        <v>54</v>
      </c>
      <c r="AP4863" t="s">
        <v>53</v>
      </c>
      <c r="AQ4863">
        <v>0</v>
      </c>
      <c r="AR4863" t="s">
        <v>53</v>
      </c>
      <c r="AS4863">
        <v>0</v>
      </c>
      <c r="AT4863">
        <v>0</v>
      </c>
      <c r="BK4863" t="s">
        <v>720</v>
      </c>
      <c r="BL4863">
        <v>17000</v>
      </c>
      <c r="BM4863" s="1">
        <v>44217</v>
      </c>
      <c r="BN4863" s="1">
        <v>44217</v>
      </c>
      <c r="BO4863" s="1">
        <v>44217</v>
      </c>
      <c r="BP4863" s="1">
        <v>45660</v>
      </c>
      <c r="BQ4863" t="s">
        <v>51</v>
      </c>
      <c r="BS4863" t="s">
        <v>60</v>
      </c>
      <c r="BT4863" t="s">
        <v>54</v>
      </c>
      <c r="BU4863" t="s">
        <v>721</v>
      </c>
      <c r="BV4863" t="s">
        <v>722</v>
      </c>
      <c r="BX4863">
        <v>18</v>
      </c>
      <c r="BY4863">
        <v>0</v>
      </c>
      <c r="BZ4863">
        <v>0</v>
      </c>
    </row>
    <row r="4864" spans="1:99" x14ac:dyDescent="0.2">
      <c r="A4864" t="s">
        <v>180</v>
      </c>
      <c r="B4864" t="s">
        <v>181</v>
      </c>
      <c r="C4864" t="s">
        <v>184</v>
      </c>
      <c r="D4864" t="s">
        <v>587</v>
      </c>
      <c r="F4864" t="str">
        <f>"18-2-2021"</f>
        <v>18-2-2021</v>
      </c>
      <c r="G4864" t="s">
        <v>49</v>
      </c>
      <c r="K4864" t="s">
        <v>51</v>
      </c>
      <c r="L4864" t="s">
        <v>52</v>
      </c>
      <c r="M4864">
        <v>136394.4</v>
      </c>
      <c r="N4864">
        <v>472962.96</v>
      </c>
      <c r="O4864" t="s">
        <v>53</v>
      </c>
      <c r="P4864" t="s">
        <v>54</v>
      </c>
      <c r="Q4864" t="s">
        <v>55</v>
      </c>
      <c r="T4864" t="s">
        <v>588</v>
      </c>
      <c r="U4864">
        <v>40</v>
      </c>
      <c r="V4864" s="1">
        <v>27395</v>
      </c>
      <c r="W4864" s="1">
        <v>27395</v>
      </c>
      <c r="X4864" s="1">
        <v>27395</v>
      </c>
      <c r="Y4864" s="1">
        <v>42005</v>
      </c>
      <c r="Z4864" t="s">
        <v>51</v>
      </c>
      <c r="AB4864" t="s">
        <v>54</v>
      </c>
      <c r="AE4864" t="s">
        <v>222</v>
      </c>
      <c r="AF4864">
        <v>20</v>
      </c>
      <c r="AG4864" s="1">
        <v>36342</v>
      </c>
      <c r="AH4864" s="1">
        <v>36342</v>
      </c>
      <c r="AI4864" s="1">
        <v>36342</v>
      </c>
      <c r="AJ4864" s="1">
        <v>43647</v>
      </c>
      <c r="AK4864" t="s">
        <v>51</v>
      </c>
      <c r="AN4864">
        <v>0</v>
      </c>
      <c r="AO4864" t="s">
        <v>54</v>
      </c>
      <c r="AP4864" t="s">
        <v>53</v>
      </c>
      <c r="AQ4864">
        <v>0</v>
      </c>
      <c r="AR4864" t="s">
        <v>53</v>
      </c>
      <c r="AS4864">
        <v>0</v>
      </c>
      <c r="AT4864">
        <v>0</v>
      </c>
      <c r="CC4864" t="s">
        <v>432</v>
      </c>
      <c r="CD4864">
        <v>85000</v>
      </c>
      <c r="CE4864" s="1">
        <v>42552</v>
      </c>
      <c r="CF4864" s="1">
        <v>42552</v>
      </c>
      <c r="CG4864" s="1">
        <v>42552</v>
      </c>
      <c r="CH4864" s="1">
        <v>49714</v>
      </c>
      <c r="CI4864" t="s">
        <v>51</v>
      </c>
      <c r="CK4864" t="s">
        <v>78</v>
      </c>
      <c r="CM4864" t="s">
        <v>54</v>
      </c>
      <c r="CN4864" t="s">
        <v>174</v>
      </c>
      <c r="CO4864" t="s">
        <v>86</v>
      </c>
      <c r="CR4864">
        <v>24</v>
      </c>
      <c r="CS4864">
        <v>0</v>
      </c>
      <c r="CT4864">
        <v>0</v>
      </c>
      <c r="CU4864">
        <v>0</v>
      </c>
    </row>
    <row r="4865" spans="1:112" x14ac:dyDescent="0.2">
      <c r="A4865" t="s">
        <v>367</v>
      </c>
      <c r="B4865" t="s">
        <v>368</v>
      </c>
      <c r="C4865" t="s">
        <v>369</v>
      </c>
      <c r="D4865" t="s">
        <v>1895</v>
      </c>
      <c r="F4865" t="str">
        <f>"3-3-2021"</f>
        <v>3-3-2021</v>
      </c>
      <c r="G4865" t="s">
        <v>49</v>
      </c>
      <c r="K4865" t="s">
        <v>51</v>
      </c>
      <c r="L4865" t="s">
        <v>52</v>
      </c>
      <c r="M4865">
        <v>137566.35999999999</v>
      </c>
      <c r="N4865">
        <v>468627.34</v>
      </c>
      <c r="O4865" t="s">
        <v>53</v>
      </c>
      <c r="P4865" t="s">
        <v>54</v>
      </c>
      <c r="Q4865" t="s">
        <v>55</v>
      </c>
      <c r="T4865" t="s">
        <v>241</v>
      </c>
      <c r="U4865">
        <v>40</v>
      </c>
      <c r="V4865" s="1">
        <v>44258</v>
      </c>
      <c r="W4865" s="1">
        <v>44258</v>
      </c>
      <c r="X4865" s="1">
        <v>44258</v>
      </c>
      <c r="Y4865" s="1">
        <v>58868</v>
      </c>
      <c r="Z4865" t="s">
        <v>51</v>
      </c>
      <c r="AB4865" t="s">
        <v>54</v>
      </c>
      <c r="AE4865" t="s">
        <v>825</v>
      </c>
      <c r="AF4865">
        <v>20</v>
      </c>
      <c r="AG4865" s="1">
        <v>44258</v>
      </c>
      <c r="AH4865" s="1">
        <v>44258</v>
      </c>
      <c r="AI4865" s="1">
        <v>44258</v>
      </c>
      <c r="AJ4865" s="1">
        <v>51563</v>
      </c>
      <c r="AK4865" t="s">
        <v>51</v>
      </c>
      <c r="AN4865">
        <v>0</v>
      </c>
      <c r="AO4865" t="s">
        <v>54</v>
      </c>
      <c r="AP4865" t="s">
        <v>53</v>
      </c>
      <c r="AQ4865">
        <v>0</v>
      </c>
      <c r="AR4865" t="s">
        <v>53</v>
      </c>
      <c r="AS4865">
        <v>0</v>
      </c>
      <c r="AT4865">
        <v>0</v>
      </c>
      <c r="CC4865" t="s">
        <v>555</v>
      </c>
      <c r="CD4865">
        <v>85000</v>
      </c>
      <c r="CE4865" s="1">
        <v>44258</v>
      </c>
      <c r="CF4865" s="1">
        <v>44258</v>
      </c>
      <c r="CG4865" s="1">
        <v>44258</v>
      </c>
      <c r="CH4865" s="1">
        <v>51884</v>
      </c>
      <c r="CI4865" t="s">
        <v>51</v>
      </c>
      <c r="CK4865" t="s">
        <v>78</v>
      </c>
      <c r="CM4865" t="s">
        <v>54</v>
      </c>
      <c r="CN4865" t="s">
        <v>174</v>
      </c>
      <c r="CO4865" t="s">
        <v>86</v>
      </c>
      <c r="CR4865">
        <v>20</v>
      </c>
      <c r="CS4865">
        <v>0</v>
      </c>
      <c r="CT4865">
        <v>0</v>
      </c>
      <c r="CU4865">
        <v>0</v>
      </c>
    </row>
    <row r="4866" spans="1:112" x14ac:dyDescent="0.2">
      <c r="A4866" t="s">
        <v>367</v>
      </c>
      <c r="B4866" t="s">
        <v>368</v>
      </c>
      <c r="C4866" t="s">
        <v>369</v>
      </c>
      <c r="D4866" t="s">
        <v>1497</v>
      </c>
      <c r="F4866" t="str">
        <f>"9-3-2021"</f>
        <v>9-3-2021</v>
      </c>
      <c r="G4866" t="s">
        <v>49</v>
      </c>
      <c r="K4866" t="s">
        <v>51</v>
      </c>
      <c r="L4866" t="s">
        <v>52</v>
      </c>
      <c r="M4866">
        <v>138045.67000000001</v>
      </c>
      <c r="N4866">
        <v>468004.62</v>
      </c>
      <c r="O4866" t="s">
        <v>53</v>
      </c>
      <c r="P4866" t="s">
        <v>54</v>
      </c>
      <c r="Q4866" t="s">
        <v>55</v>
      </c>
      <c r="T4866" t="s">
        <v>805</v>
      </c>
      <c r="U4866">
        <v>40</v>
      </c>
      <c r="V4866" s="1">
        <v>44264</v>
      </c>
      <c r="W4866" s="1">
        <v>44264</v>
      </c>
      <c r="X4866" s="1">
        <v>44264</v>
      </c>
      <c r="Y4866" s="1">
        <v>58874</v>
      </c>
      <c r="Z4866" t="s">
        <v>51</v>
      </c>
      <c r="AB4866" t="s">
        <v>54</v>
      </c>
      <c r="AE4866" t="s">
        <v>564</v>
      </c>
      <c r="AF4866">
        <v>20</v>
      </c>
      <c r="AG4866" s="1">
        <v>44264</v>
      </c>
      <c r="AH4866" s="1">
        <v>44264</v>
      </c>
      <c r="AI4866" s="1">
        <v>44264</v>
      </c>
      <c r="AJ4866" s="1">
        <v>51569</v>
      </c>
      <c r="AK4866" t="s">
        <v>51</v>
      </c>
      <c r="AN4866">
        <v>0</v>
      </c>
      <c r="AO4866" t="s">
        <v>54</v>
      </c>
      <c r="AP4866" t="s">
        <v>53</v>
      </c>
      <c r="AQ4866">
        <v>0</v>
      </c>
      <c r="AR4866" t="s">
        <v>53</v>
      </c>
      <c r="AS4866">
        <v>0</v>
      </c>
      <c r="AT4866">
        <v>0</v>
      </c>
      <c r="CC4866" t="s">
        <v>432</v>
      </c>
      <c r="CD4866">
        <v>85000</v>
      </c>
      <c r="CE4866" s="1">
        <v>44264</v>
      </c>
      <c r="CF4866" s="1">
        <v>44264</v>
      </c>
      <c r="CG4866" s="1">
        <v>44264</v>
      </c>
      <c r="CH4866" s="1">
        <v>51889</v>
      </c>
      <c r="CI4866" t="s">
        <v>51</v>
      </c>
      <c r="CK4866" t="s">
        <v>78</v>
      </c>
      <c r="CM4866" t="s">
        <v>54</v>
      </c>
      <c r="CN4866" t="s">
        <v>174</v>
      </c>
      <c r="CO4866" t="s">
        <v>86</v>
      </c>
      <c r="CR4866">
        <v>24</v>
      </c>
      <c r="CS4866">
        <v>0</v>
      </c>
      <c r="CT4866">
        <v>0</v>
      </c>
      <c r="CU4866">
        <v>0</v>
      </c>
    </row>
    <row r="4867" spans="1:112" x14ac:dyDescent="0.2">
      <c r="A4867" t="s">
        <v>367</v>
      </c>
      <c r="B4867" t="s">
        <v>368</v>
      </c>
      <c r="C4867" t="s">
        <v>369</v>
      </c>
      <c r="D4867" t="s">
        <v>1497</v>
      </c>
      <c r="F4867" t="str">
        <f>"9-3-2021 1"</f>
        <v>9-3-2021 1</v>
      </c>
      <c r="G4867" t="s">
        <v>49</v>
      </c>
      <c r="K4867" t="s">
        <v>51</v>
      </c>
      <c r="L4867" t="s">
        <v>52</v>
      </c>
      <c r="M4867">
        <v>138061.78</v>
      </c>
      <c r="N4867">
        <v>468003.06</v>
      </c>
      <c r="O4867" t="s">
        <v>53</v>
      </c>
      <c r="P4867" t="s">
        <v>54</v>
      </c>
      <c r="Q4867" t="s">
        <v>55</v>
      </c>
      <c r="T4867" t="s">
        <v>1894</v>
      </c>
      <c r="U4867">
        <v>40</v>
      </c>
      <c r="V4867" s="1">
        <v>44264</v>
      </c>
      <c r="W4867" s="1">
        <v>44264</v>
      </c>
      <c r="X4867" s="1">
        <v>44264</v>
      </c>
      <c r="Y4867" s="1">
        <v>58874</v>
      </c>
      <c r="Z4867" t="s">
        <v>51</v>
      </c>
      <c r="AB4867" t="s">
        <v>54</v>
      </c>
      <c r="AE4867" t="s">
        <v>564</v>
      </c>
      <c r="AF4867">
        <v>20</v>
      </c>
      <c r="AG4867" s="1">
        <v>44264</v>
      </c>
      <c r="AH4867" s="1">
        <v>44264</v>
      </c>
      <c r="AI4867" s="1">
        <v>44264</v>
      </c>
      <c r="AJ4867" s="1">
        <v>51569</v>
      </c>
      <c r="AK4867" t="s">
        <v>51</v>
      </c>
      <c r="AN4867">
        <v>0</v>
      </c>
      <c r="AO4867" t="s">
        <v>54</v>
      </c>
      <c r="AP4867" t="s">
        <v>53</v>
      </c>
      <c r="AQ4867">
        <v>0</v>
      </c>
      <c r="AR4867" t="s">
        <v>53</v>
      </c>
      <c r="AS4867">
        <v>0</v>
      </c>
      <c r="AT4867">
        <v>0</v>
      </c>
      <c r="CC4867" t="s">
        <v>432</v>
      </c>
      <c r="CD4867">
        <v>85000</v>
      </c>
      <c r="CE4867" s="1">
        <v>44264</v>
      </c>
      <c r="CF4867" s="1">
        <v>44264</v>
      </c>
      <c r="CG4867" s="1">
        <v>44264</v>
      </c>
      <c r="CH4867" s="1">
        <v>51889</v>
      </c>
      <c r="CI4867" t="s">
        <v>51</v>
      </c>
      <c r="CK4867" t="s">
        <v>78</v>
      </c>
      <c r="CM4867" t="s">
        <v>54</v>
      </c>
      <c r="CN4867" t="s">
        <v>174</v>
      </c>
      <c r="CO4867" t="s">
        <v>86</v>
      </c>
      <c r="CR4867">
        <v>24</v>
      </c>
      <c r="CS4867">
        <v>0</v>
      </c>
      <c r="CT4867">
        <v>0</v>
      </c>
      <c r="CU4867">
        <v>0</v>
      </c>
    </row>
    <row r="4868" spans="1:112" x14ac:dyDescent="0.2">
      <c r="A4868" t="s">
        <v>367</v>
      </c>
      <c r="B4868" t="s">
        <v>368</v>
      </c>
      <c r="C4868" t="s">
        <v>369</v>
      </c>
      <c r="D4868" t="s">
        <v>1497</v>
      </c>
      <c r="F4868" t="str">
        <f>"9-3-2021 2"</f>
        <v>9-3-2021 2</v>
      </c>
      <c r="G4868" t="s">
        <v>49</v>
      </c>
      <c r="K4868" t="s">
        <v>51</v>
      </c>
      <c r="L4868" t="s">
        <v>52</v>
      </c>
      <c r="M4868">
        <v>138040.64000000001</v>
      </c>
      <c r="N4868">
        <v>468015.03</v>
      </c>
      <c r="O4868" t="s">
        <v>53</v>
      </c>
      <c r="P4868" t="s">
        <v>54</v>
      </c>
      <c r="Q4868" t="s">
        <v>55</v>
      </c>
      <c r="T4868" t="s">
        <v>1894</v>
      </c>
      <c r="U4868">
        <v>40</v>
      </c>
      <c r="V4868" s="1">
        <v>44264</v>
      </c>
      <c r="W4868" s="1">
        <v>44264</v>
      </c>
      <c r="X4868" s="1">
        <v>44264</v>
      </c>
      <c r="Y4868" s="1">
        <v>58874</v>
      </c>
      <c r="Z4868" t="s">
        <v>51</v>
      </c>
      <c r="AB4868" t="s">
        <v>54</v>
      </c>
      <c r="AE4868" t="s">
        <v>564</v>
      </c>
      <c r="AF4868">
        <v>20</v>
      </c>
      <c r="AG4868" s="1">
        <v>44264</v>
      </c>
      <c r="AH4868" s="1">
        <v>44264</v>
      </c>
      <c r="AI4868" s="1">
        <v>44264</v>
      </c>
      <c r="AJ4868" s="1">
        <v>51569</v>
      </c>
      <c r="AK4868" t="s">
        <v>51</v>
      </c>
      <c r="AN4868">
        <v>0</v>
      </c>
      <c r="AO4868" t="s">
        <v>54</v>
      </c>
      <c r="AP4868" t="s">
        <v>53</v>
      </c>
      <c r="AQ4868">
        <v>0</v>
      </c>
      <c r="AR4868" t="s">
        <v>53</v>
      </c>
      <c r="AS4868">
        <v>0</v>
      </c>
      <c r="AT4868">
        <v>0</v>
      </c>
      <c r="CC4868" t="s">
        <v>432</v>
      </c>
      <c r="CD4868">
        <v>85000</v>
      </c>
      <c r="CE4868" s="1">
        <v>44264</v>
      </c>
      <c r="CF4868" s="1">
        <v>44264</v>
      </c>
      <c r="CG4868" s="1">
        <v>44264</v>
      </c>
      <c r="CH4868" s="1">
        <v>51889</v>
      </c>
      <c r="CI4868" t="s">
        <v>51</v>
      </c>
      <c r="CK4868" t="s">
        <v>78</v>
      </c>
      <c r="CM4868" t="s">
        <v>54</v>
      </c>
      <c r="CN4868" t="s">
        <v>174</v>
      </c>
      <c r="CO4868" t="s">
        <v>86</v>
      </c>
      <c r="CR4868">
        <v>24</v>
      </c>
      <c r="CS4868">
        <v>0</v>
      </c>
      <c r="CT4868">
        <v>0</v>
      </c>
      <c r="CU4868">
        <v>0</v>
      </c>
    </row>
    <row r="4869" spans="1:112" x14ac:dyDescent="0.2">
      <c r="A4869" t="s">
        <v>367</v>
      </c>
      <c r="B4869" t="s">
        <v>368</v>
      </c>
      <c r="C4869" t="s">
        <v>369</v>
      </c>
      <c r="D4869" t="s">
        <v>1241</v>
      </c>
      <c r="F4869" t="str">
        <f>"10-3-2021 1"</f>
        <v>10-3-2021 1</v>
      </c>
      <c r="G4869" t="s">
        <v>49</v>
      </c>
      <c r="K4869" t="s">
        <v>51</v>
      </c>
      <c r="L4869" t="s">
        <v>52</v>
      </c>
      <c r="M4869">
        <v>138156.87</v>
      </c>
      <c r="N4869">
        <v>468119.41</v>
      </c>
      <c r="O4869" t="s">
        <v>53</v>
      </c>
      <c r="P4869" t="s">
        <v>54</v>
      </c>
      <c r="Q4869" t="s">
        <v>55</v>
      </c>
      <c r="T4869" t="s">
        <v>246</v>
      </c>
      <c r="U4869">
        <v>40</v>
      </c>
      <c r="V4869" s="1">
        <v>44265</v>
      </c>
      <c r="W4869" s="1">
        <v>44265</v>
      </c>
      <c r="X4869" s="1">
        <v>44265</v>
      </c>
      <c r="Y4869" s="1">
        <v>58875</v>
      </c>
      <c r="Z4869" t="s">
        <v>51</v>
      </c>
      <c r="AB4869" t="s">
        <v>54</v>
      </c>
      <c r="AE4869" t="s">
        <v>1065</v>
      </c>
      <c r="AF4869">
        <v>20</v>
      </c>
      <c r="AG4869" s="1">
        <v>44265</v>
      </c>
      <c r="AH4869" s="1">
        <v>44265</v>
      </c>
      <c r="AI4869" s="1">
        <v>44265</v>
      </c>
      <c r="AJ4869" s="1">
        <v>51570</v>
      </c>
      <c r="AK4869" t="s">
        <v>51</v>
      </c>
      <c r="AN4869">
        <v>0</v>
      </c>
      <c r="AO4869" t="s">
        <v>54</v>
      </c>
      <c r="AP4869" t="s">
        <v>53</v>
      </c>
      <c r="AQ4869">
        <v>0</v>
      </c>
      <c r="AR4869" t="s">
        <v>53</v>
      </c>
      <c r="AS4869">
        <v>0</v>
      </c>
      <c r="AT4869">
        <v>0</v>
      </c>
      <c r="AW4869" t="s">
        <v>172</v>
      </c>
      <c r="AX4869">
        <v>15</v>
      </c>
      <c r="AY4869" s="1">
        <v>44265</v>
      </c>
      <c r="AZ4869" s="1">
        <v>44265</v>
      </c>
      <c r="BA4869" s="1">
        <v>44265</v>
      </c>
      <c r="BB4869" s="1">
        <v>49744</v>
      </c>
      <c r="BC4869" t="s">
        <v>51</v>
      </c>
      <c r="BE4869" t="s">
        <v>54</v>
      </c>
      <c r="BF4869">
        <v>40</v>
      </c>
      <c r="BG4869">
        <v>0</v>
      </c>
      <c r="BH4869" t="s">
        <v>145</v>
      </c>
      <c r="CC4869" t="s">
        <v>250</v>
      </c>
      <c r="CD4869">
        <v>100000</v>
      </c>
      <c r="CE4869" s="1">
        <v>44265</v>
      </c>
      <c r="CF4869" s="1">
        <v>44265</v>
      </c>
      <c r="CG4869" s="1">
        <v>44265</v>
      </c>
      <c r="CH4869" s="1">
        <v>53265</v>
      </c>
      <c r="CI4869" t="s">
        <v>51</v>
      </c>
      <c r="CK4869" t="s">
        <v>78</v>
      </c>
      <c r="CM4869" t="s">
        <v>54</v>
      </c>
      <c r="CN4869" t="s">
        <v>174</v>
      </c>
      <c r="CR4869">
        <v>13.2</v>
      </c>
      <c r="CS4869">
        <v>1800</v>
      </c>
      <c r="CT4869">
        <v>0</v>
      </c>
      <c r="CU4869">
        <v>16</v>
      </c>
    </row>
    <row r="4870" spans="1:112" x14ac:dyDescent="0.2">
      <c r="A4870" t="s">
        <v>367</v>
      </c>
      <c r="B4870" t="s">
        <v>368</v>
      </c>
      <c r="C4870" t="s">
        <v>369</v>
      </c>
      <c r="D4870" t="s">
        <v>1241</v>
      </c>
      <c r="F4870" t="str">
        <f>"10-3-2021 2"</f>
        <v>10-3-2021 2</v>
      </c>
      <c r="G4870" t="s">
        <v>49</v>
      </c>
      <c r="K4870" t="s">
        <v>51</v>
      </c>
      <c r="L4870" t="s">
        <v>52</v>
      </c>
      <c r="M4870">
        <v>138163.72</v>
      </c>
      <c r="N4870">
        <v>468112</v>
      </c>
      <c r="O4870" t="s">
        <v>53</v>
      </c>
      <c r="P4870" t="s">
        <v>54</v>
      </c>
      <c r="Q4870" t="s">
        <v>55</v>
      </c>
      <c r="T4870" t="s">
        <v>246</v>
      </c>
      <c r="U4870">
        <v>40</v>
      </c>
      <c r="V4870" s="1">
        <v>44265</v>
      </c>
      <c r="W4870" s="1">
        <v>44265</v>
      </c>
      <c r="X4870" s="1">
        <v>44265</v>
      </c>
      <c r="Y4870" s="1">
        <v>58875</v>
      </c>
      <c r="Z4870" t="s">
        <v>51</v>
      </c>
      <c r="AB4870" t="s">
        <v>54</v>
      </c>
      <c r="AE4870" t="s">
        <v>1065</v>
      </c>
      <c r="AF4870">
        <v>20</v>
      </c>
      <c r="AG4870" s="1">
        <v>44265</v>
      </c>
      <c r="AH4870" s="1">
        <v>44265</v>
      </c>
      <c r="AI4870" s="1">
        <v>44265</v>
      </c>
      <c r="AJ4870" s="1">
        <v>51570</v>
      </c>
      <c r="AK4870" t="s">
        <v>51</v>
      </c>
      <c r="AN4870">
        <v>0</v>
      </c>
      <c r="AO4870" t="s">
        <v>54</v>
      </c>
      <c r="AP4870" t="s">
        <v>53</v>
      </c>
      <c r="AQ4870">
        <v>0</v>
      </c>
      <c r="AR4870" t="s">
        <v>53</v>
      </c>
      <c r="AS4870">
        <v>0</v>
      </c>
      <c r="AT4870">
        <v>0</v>
      </c>
      <c r="AW4870" t="s">
        <v>172</v>
      </c>
      <c r="AX4870">
        <v>15</v>
      </c>
      <c r="AY4870" s="1">
        <v>44265</v>
      </c>
      <c r="AZ4870" s="1">
        <v>44265</v>
      </c>
      <c r="BA4870" s="1">
        <v>44265</v>
      </c>
      <c r="BB4870" s="1">
        <v>49744</v>
      </c>
      <c r="BC4870" t="s">
        <v>51</v>
      </c>
      <c r="BE4870" t="s">
        <v>54</v>
      </c>
      <c r="BF4870">
        <v>40</v>
      </c>
      <c r="BG4870">
        <v>0</v>
      </c>
      <c r="BH4870" t="s">
        <v>145</v>
      </c>
      <c r="CC4870" t="s">
        <v>250</v>
      </c>
      <c r="CD4870">
        <v>100000</v>
      </c>
      <c r="CE4870" s="1">
        <v>44265</v>
      </c>
      <c r="CF4870" s="1">
        <v>44265</v>
      </c>
      <c r="CG4870" s="1">
        <v>44265</v>
      </c>
      <c r="CH4870" s="1">
        <v>53265</v>
      </c>
      <c r="CI4870" t="s">
        <v>51</v>
      </c>
      <c r="CK4870" t="s">
        <v>78</v>
      </c>
      <c r="CM4870" t="s">
        <v>54</v>
      </c>
      <c r="CN4870" t="s">
        <v>174</v>
      </c>
      <c r="CR4870">
        <v>13.2</v>
      </c>
      <c r="CS4870">
        <v>1800</v>
      </c>
      <c r="CT4870">
        <v>0</v>
      </c>
      <c r="CU4870">
        <v>16</v>
      </c>
    </row>
    <row r="4871" spans="1:112" x14ac:dyDescent="0.2">
      <c r="A4871" t="s">
        <v>367</v>
      </c>
      <c r="B4871" t="s">
        <v>368</v>
      </c>
      <c r="C4871" t="s">
        <v>369</v>
      </c>
      <c r="D4871" t="s">
        <v>1241</v>
      </c>
      <c r="F4871" t="str">
        <f>"10-3-2021 4"</f>
        <v>10-3-2021 4</v>
      </c>
      <c r="G4871" t="s">
        <v>49</v>
      </c>
      <c r="K4871" t="s">
        <v>51</v>
      </c>
      <c r="L4871" t="s">
        <v>52</v>
      </c>
      <c r="M4871">
        <v>138156.44</v>
      </c>
      <c r="N4871">
        <v>468133.15</v>
      </c>
      <c r="O4871" t="s">
        <v>53</v>
      </c>
      <c r="P4871" t="s">
        <v>54</v>
      </c>
      <c r="Q4871" t="s">
        <v>55</v>
      </c>
      <c r="T4871" t="s">
        <v>246</v>
      </c>
      <c r="U4871">
        <v>40</v>
      </c>
      <c r="V4871" s="1">
        <v>44265</v>
      </c>
      <c r="W4871" s="1">
        <v>44265</v>
      </c>
      <c r="X4871" s="1">
        <v>44265</v>
      </c>
      <c r="Y4871" s="1">
        <v>58875</v>
      </c>
      <c r="Z4871" t="s">
        <v>51</v>
      </c>
      <c r="AB4871" t="s">
        <v>54</v>
      </c>
      <c r="AE4871" t="s">
        <v>1065</v>
      </c>
      <c r="AF4871">
        <v>20</v>
      </c>
      <c r="AG4871" s="1">
        <v>44265</v>
      </c>
      <c r="AH4871" s="1">
        <v>44265</v>
      </c>
      <c r="AI4871" s="1">
        <v>44265</v>
      </c>
      <c r="AJ4871" s="1">
        <v>51570</v>
      </c>
      <c r="AK4871" t="s">
        <v>51</v>
      </c>
      <c r="AN4871">
        <v>0</v>
      </c>
      <c r="AO4871" t="s">
        <v>54</v>
      </c>
      <c r="AP4871" t="s">
        <v>53</v>
      </c>
      <c r="AQ4871">
        <v>0</v>
      </c>
      <c r="AR4871" t="s">
        <v>53</v>
      </c>
      <c r="AS4871">
        <v>0</v>
      </c>
      <c r="AT4871">
        <v>0</v>
      </c>
      <c r="AW4871" t="s">
        <v>172</v>
      </c>
      <c r="AX4871">
        <v>15</v>
      </c>
      <c r="AY4871" s="1">
        <v>44265</v>
      </c>
      <c r="AZ4871" s="1">
        <v>44265</v>
      </c>
      <c r="BA4871" s="1">
        <v>44265</v>
      </c>
      <c r="BB4871" s="1">
        <v>49744</v>
      </c>
      <c r="BC4871" t="s">
        <v>51</v>
      </c>
      <c r="BE4871" t="s">
        <v>54</v>
      </c>
      <c r="BF4871">
        <v>40</v>
      </c>
      <c r="BG4871">
        <v>0</v>
      </c>
      <c r="BH4871" t="s">
        <v>145</v>
      </c>
      <c r="CC4871" t="s">
        <v>250</v>
      </c>
      <c r="CD4871">
        <v>100000</v>
      </c>
      <c r="CE4871" s="1">
        <v>44265</v>
      </c>
      <c r="CF4871" s="1">
        <v>44265</v>
      </c>
      <c r="CG4871" s="1">
        <v>44265</v>
      </c>
      <c r="CH4871" s="1">
        <v>53265</v>
      </c>
      <c r="CI4871" t="s">
        <v>51</v>
      </c>
      <c r="CK4871" t="s">
        <v>78</v>
      </c>
      <c r="CM4871" t="s">
        <v>54</v>
      </c>
      <c r="CN4871" t="s">
        <v>174</v>
      </c>
      <c r="CR4871">
        <v>13.2</v>
      </c>
      <c r="CS4871">
        <v>1800</v>
      </c>
      <c r="CT4871">
        <v>0</v>
      </c>
      <c r="CU4871">
        <v>16</v>
      </c>
    </row>
    <row r="4872" spans="1:112" x14ac:dyDescent="0.2">
      <c r="A4872" t="s">
        <v>180</v>
      </c>
      <c r="B4872" t="s">
        <v>181</v>
      </c>
      <c r="C4872" t="s">
        <v>182</v>
      </c>
      <c r="D4872" t="s">
        <v>48</v>
      </c>
      <c r="F4872" t="str">
        <f>"253056"</f>
        <v>253056</v>
      </c>
      <c r="G4872" t="s">
        <v>49</v>
      </c>
      <c r="K4872" t="s">
        <v>51</v>
      </c>
      <c r="L4872" t="s">
        <v>52</v>
      </c>
      <c r="M4872">
        <v>136400.85999999999</v>
      </c>
      <c r="N4872">
        <v>473586.15</v>
      </c>
      <c r="O4872" t="s">
        <v>53</v>
      </c>
      <c r="P4872" t="s">
        <v>54</v>
      </c>
      <c r="Q4872" t="s">
        <v>55</v>
      </c>
      <c r="T4872" t="s">
        <v>81</v>
      </c>
      <c r="U4872">
        <v>40</v>
      </c>
      <c r="V4872" s="1">
        <v>44321</v>
      </c>
      <c r="W4872" s="1">
        <v>44321</v>
      </c>
      <c r="X4872" s="1">
        <v>44321</v>
      </c>
      <c r="Y4872" s="1">
        <v>58931</v>
      </c>
      <c r="Z4872" t="s">
        <v>51</v>
      </c>
      <c r="AB4872" t="s">
        <v>54</v>
      </c>
      <c r="AE4872" t="s">
        <v>116</v>
      </c>
      <c r="AF4872">
        <v>20</v>
      </c>
      <c r="AG4872" s="1">
        <v>44321</v>
      </c>
      <c r="AH4872" s="1">
        <v>44321</v>
      </c>
      <c r="AI4872" s="1">
        <v>44321</v>
      </c>
      <c r="AJ4872" s="1">
        <v>51626</v>
      </c>
      <c r="AK4872" t="s">
        <v>51</v>
      </c>
      <c r="AN4872">
        <v>0</v>
      </c>
      <c r="AO4872" t="s">
        <v>54</v>
      </c>
      <c r="AP4872" t="s">
        <v>53</v>
      </c>
      <c r="AQ4872">
        <v>0</v>
      </c>
      <c r="AR4872" t="s">
        <v>53</v>
      </c>
      <c r="AS4872">
        <v>0</v>
      </c>
      <c r="AT4872">
        <v>0</v>
      </c>
      <c r="AW4872" t="s">
        <v>58</v>
      </c>
      <c r="AX4872">
        <v>20</v>
      </c>
      <c r="AY4872" s="1">
        <v>44321</v>
      </c>
      <c r="AZ4872" s="1">
        <v>44321</v>
      </c>
      <c r="BA4872" s="1">
        <v>44321</v>
      </c>
      <c r="BB4872" s="1">
        <v>51626</v>
      </c>
      <c r="BC4872" t="s">
        <v>51</v>
      </c>
      <c r="BE4872" t="s">
        <v>54</v>
      </c>
      <c r="BF4872">
        <v>2</v>
      </c>
      <c r="BG4872">
        <v>0</v>
      </c>
      <c r="BH4872" t="s">
        <v>53</v>
      </c>
      <c r="BK4872" t="s">
        <v>65</v>
      </c>
      <c r="BL4872">
        <v>14000</v>
      </c>
      <c r="BM4872" s="1">
        <v>44321</v>
      </c>
      <c r="BN4872" s="1">
        <v>44321</v>
      </c>
      <c r="BO4872" s="1">
        <v>44321</v>
      </c>
      <c r="BP4872" s="1">
        <v>45543</v>
      </c>
      <c r="BQ4872" t="s">
        <v>51</v>
      </c>
      <c r="BS4872" t="s">
        <v>60</v>
      </c>
      <c r="BT4872" t="s">
        <v>54</v>
      </c>
      <c r="BU4872" t="s">
        <v>61</v>
      </c>
      <c r="BV4872" t="s">
        <v>62</v>
      </c>
      <c r="BX4872">
        <v>36</v>
      </c>
      <c r="BY4872">
        <v>0</v>
      </c>
      <c r="BZ4872">
        <v>0</v>
      </c>
    </row>
    <row r="4873" spans="1:112" x14ac:dyDescent="0.2">
      <c r="A4873" t="s">
        <v>45</v>
      </c>
      <c r="B4873" t="s">
        <v>46</v>
      </c>
      <c r="C4873" t="s">
        <v>47</v>
      </c>
      <c r="D4873" t="s">
        <v>48</v>
      </c>
      <c r="F4873" t="str">
        <f>"253254"</f>
        <v>253254</v>
      </c>
      <c r="G4873" t="s">
        <v>49</v>
      </c>
      <c r="K4873" t="s">
        <v>51</v>
      </c>
      <c r="L4873" t="s">
        <v>52</v>
      </c>
      <c r="M4873">
        <v>135677.25</v>
      </c>
      <c r="N4873">
        <v>473902.95</v>
      </c>
      <c r="O4873" t="s">
        <v>53</v>
      </c>
      <c r="P4873" t="s">
        <v>54</v>
      </c>
      <c r="Q4873" t="s">
        <v>55</v>
      </c>
      <c r="T4873" t="s">
        <v>81</v>
      </c>
      <c r="U4873">
        <v>40</v>
      </c>
      <c r="V4873" s="1">
        <v>44321</v>
      </c>
      <c r="W4873" s="1">
        <v>44321</v>
      </c>
      <c r="X4873" s="1">
        <v>44321</v>
      </c>
      <c r="Y4873" s="1">
        <v>58931</v>
      </c>
      <c r="Z4873" t="s">
        <v>51</v>
      </c>
      <c r="AB4873" t="s">
        <v>54</v>
      </c>
      <c r="AE4873" t="s">
        <v>64</v>
      </c>
      <c r="AF4873">
        <v>20</v>
      </c>
      <c r="AG4873" s="1">
        <v>44321</v>
      </c>
      <c r="AH4873" s="1">
        <v>44321</v>
      </c>
      <c r="AI4873" s="1">
        <v>44321</v>
      </c>
      <c r="AJ4873" s="1">
        <v>51626</v>
      </c>
      <c r="AK4873" t="s">
        <v>51</v>
      </c>
      <c r="AN4873">
        <v>0</v>
      </c>
      <c r="AO4873" t="s">
        <v>54</v>
      </c>
      <c r="AP4873" t="s">
        <v>53</v>
      </c>
      <c r="AQ4873">
        <v>0</v>
      </c>
      <c r="AR4873" t="s">
        <v>53</v>
      </c>
      <c r="AS4873">
        <v>0</v>
      </c>
      <c r="AT4873">
        <v>0</v>
      </c>
      <c r="AW4873" t="s">
        <v>58</v>
      </c>
      <c r="AX4873">
        <v>20</v>
      </c>
      <c r="AY4873" s="1">
        <v>44321</v>
      </c>
      <c r="AZ4873" s="1">
        <v>44321</v>
      </c>
      <c r="BA4873" s="1">
        <v>44321</v>
      </c>
      <c r="BB4873" s="1">
        <v>51626</v>
      </c>
      <c r="BC4873" t="s">
        <v>51</v>
      </c>
      <c r="BE4873" t="s">
        <v>54</v>
      </c>
      <c r="BF4873">
        <v>2</v>
      </c>
      <c r="BG4873">
        <v>0</v>
      </c>
      <c r="BH4873" t="s">
        <v>53</v>
      </c>
      <c r="BK4873" t="s">
        <v>65</v>
      </c>
      <c r="BL4873">
        <v>14000</v>
      </c>
      <c r="BM4873" s="1">
        <v>44321</v>
      </c>
      <c r="BN4873" s="1">
        <v>44321</v>
      </c>
      <c r="BO4873" s="1">
        <v>44321</v>
      </c>
      <c r="BP4873" s="1">
        <v>45543</v>
      </c>
      <c r="BQ4873" t="s">
        <v>51</v>
      </c>
      <c r="BS4873" t="s">
        <v>60</v>
      </c>
      <c r="BT4873" t="s">
        <v>54</v>
      </c>
      <c r="BU4873" t="s">
        <v>61</v>
      </c>
      <c r="BV4873" t="s">
        <v>62</v>
      </c>
      <c r="BX4873">
        <v>36</v>
      </c>
      <c r="BY4873">
        <v>0</v>
      </c>
      <c r="BZ4873">
        <v>0</v>
      </c>
    </row>
    <row r="4874" spans="1:112" x14ac:dyDescent="0.2">
      <c r="A4874" t="s">
        <v>1012</v>
      </c>
      <c r="B4874" t="s">
        <v>1013</v>
      </c>
      <c r="C4874" t="s">
        <v>1025</v>
      </c>
      <c r="D4874" t="s">
        <v>2119</v>
      </c>
      <c r="F4874" t="str">
        <f>"251632"</f>
        <v>251632</v>
      </c>
      <c r="G4874" t="s">
        <v>49</v>
      </c>
      <c r="K4874" t="s">
        <v>51</v>
      </c>
      <c r="L4874" t="s">
        <v>52</v>
      </c>
      <c r="M4874">
        <v>135130.88</v>
      </c>
      <c r="N4874">
        <v>473522.61</v>
      </c>
      <c r="O4874" t="s">
        <v>53</v>
      </c>
      <c r="P4874" t="s">
        <v>54</v>
      </c>
      <c r="Q4874" t="s">
        <v>55</v>
      </c>
      <c r="T4874" t="s">
        <v>81</v>
      </c>
      <c r="U4874">
        <v>40</v>
      </c>
      <c r="V4874" s="1">
        <v>44363</v>
      </c>
      <c r="W4874" s="1">
        <v>44363</v>
      </c>
      <c r="X4874" s="1">
        <v>44363</v>
      </c>
      <c r="Y4874" s="1">
        <v>58973</v>
      </c>
      <c r="Z4874" t="s">
        <v>51</v>
      </c>
      <c r="AB4874" t="s">
        <v>54</v>
      </c>
      <c r="AC4874">
        <v>1</v>
      </c>
      <c r="AE4874" t="s">
        <v>1024</v>
      </c>
      <c r="AF4874">
        <v>20</v>
      </c>
      <c r="AG4874" s="1">
        <v>44363</v>
      </c>
      <c r="AH4874" s="1">
        <v>44363</v>
      </c>
      <c r="AI4874" s="1">
        <v>44363</v>
      </c>
      <c r="AJ4874" s="1">
        <v>51668</v>
      </c>
      <c r="AK4874" t="s">
        <v>51</v>
      </c>
      <c r="AN4874">
        <v>0</v>
      </c>
      <c r="AO4874" t="s">
        <v>54</v>
      </c>
      <c r="AP4874" t="s">
        <v>53</v>
      </c>
      <c r="AQ4874">
        <v>0</v>
      </c>
      <c r="AR4874" t="s">
        <v>145</v>
      </c>
      <c r="AS4874">
        <v>0</v>
      </c>
      <c r="AT4874">
        <v>0</v>
      </c>
      <c r="CC4874" t="s">
        <v>555</v>
      </c>
      <c r="CD4874">
        <v>85000</v>
      </c>
      <c r="CE4874" s="1">
        <v>44363</v>
      </c>
      <c r="CF4874" s="1">
        <v>44363</v>
      </c>
      <c r="CG4874" s="1">
        <v>44363</v>
      </c>
      <c r="CH4874" s="1">
        <v>51955</v>
      </c>
      <c r="CI4874" t="s">
        <v>51</v>
      </c>
      <c r="CK4874" t="s">
        <v>78</v>
      </c>
      <c r="CM4874" t="s">
        <v>54</v>
      </c>
      <c r="CN4874" t="s">
        <v>174</v>
      </c>
      <c r="CO4874" t="s">
        <v>86</v>
      </c>
      <c r="CR4874">
        <v>20</v>
      </c>
      <c r="CS4874">
        <v>0</v>
      </c>
      <c r="CT4874">
        <v>0</v>
      </c>
      <c r="CU4874">
        <v>0</v>
      </c>
    </row>
    <row r="4875" spans="1:112" x14ac:dyDescent="0.2">
      <c r="A4875" t="s">
        <v>112</v>
      </c>
      <c r="B4875" t="s">
        <v>113</v>
      </c>
      <c r="C4875" t="s">
        <v>114</v>
      </c>
      <c r="D4875" t="s">
        <v>2066</v>
      </c>
      <c r="F4875" t="str">
        <f>"251337"</f>
        <v>251337</v>
      </c>
      <c r="G4875" t="s">
        <v>49</v>
      </c>
      <c r="K4875" t="s">
        <v>51</v>
      </c>
      <c r="L4875" t="s">
        <v>52</v>
      </c>
      <c r="M4875">
        <v>136828.62</v>
      </c>
      <c r="N4875">
        <v>473471.31</v>
      </c>
      <c r="O4875" t="s">
        <v>53</v>
      </c>
      <c r="P4875" t="s">
        <v>54</v>
      </c>
      <c r="Q4875" t="s">
        <v>55</v>
      </c>
      <c r="T4875" t="s">
        <v>269</v>
      </c>
      <c r="U4875">
        <v>40</v>
      </c>
      <c r="V4875" s="1">
        <v>44321</v>
      </c>
      <c r="W4875" s="1">
        <v>44321</v>
      </c>
      <c r="X4875" s="1">
        <v>44321</v>
      </c>
      <c r="Y4875" s="1">
        <v>58931</v>
      </c>
      <c r="Z4875" t="s">
        <v>51</v>
      </c>
      <c r="AB4875" t="s">
        <v>54</v>
      </c>
      <c r="AE4875" t="s">
        <v>1952</v>
      </c>
      <c r="AF4875">
        <v>20</v>
      </c>
      <c r="AG4875" s="1">
        <v>44321</v>
      </c>
      <c r="AH4875" s="1">
        <v>44321</v>
      </c>
      <c r="AI4875" s="1">
        <v>44321</v>
      </c>
      <c r="AJ4875" s="1">
        <v>51626</v>
      </c>
      <c r="AK4875" t="s">
        <v>51</v>
      </c>
      <c r="AN4875">
        <v>0</v>
      </c>
      <c r="AO4875" t="s">
        <v>54</v>
      </c>
      <c r="AP4875" t="s">
        <v>53</v>
      </c>
      <c r="AQ4875">
        <v>0</v>
      </c>
      <c r="AR4875" t="s">
        <v>53</v>
      </c>
      <c r="AS4875">
        <v>0</v>
      </c>
      <c r="AT4875">
        <v>0</v>
      </c>
      <c r="AW4875" t="s">
        <v>58</v>
      </c>
      <c r="AX4875">
        <v>20</v>
      </c>
      <c r="AY4875" s="1">
        <v>44321</v>
      </c>
      <c r="AZ4875" s="1">
        <v>44321</v>
      </c>
      <c r="BA4875" s="1">
        <v>44321</v>
      </c>
      <c r="BB4875" s="1">
        <v>51626</v>
      </c>
      <c r="BC4875" t="s">
        <v>51</v>
      </c>
      <c r="BE4875" t="s">
        <v>54</v>
      </c>
      <c r="BF4875">
        <v>2</v>
      </c>
      <c r="BG4875">
        <v>0</v>
      </c>
      <c r="BH4875" t="s">
        <v>53</v>
      </c>
      <c r="BK4875" t="s">
        <v>59</v>
      </c>
      <c r="BL4875">
        <v>14000</v>
      </c>
      <c r="BM4875" s="1">
        <v>44321</v>
      </c>
      <c r="BN4875" s="1">
        <v>44321</v>
      </c>
      <c r="BO4875" s="1">
        <v>44321</v>
      </c>
      <c r="BP4875" s="1">
        <v>45543</v>
      </c>
      <c r="BQ4875" t="s">
        <v>51</v>
      </c>
      <c r="BS4875" t="s">
        <v>60</v>
      </c>
      <c r="BT4875" t="s">
        <v>54</v>
      </c>
      <c r="BU4875" t="s">
        <v>61</v>
      </c>
      <c r="BV4875" t="s">
        <v>62</v>
      </c>
      <c r="BX4875">
        <v>24</v>
      </c>
      <c r="BY4875">
        <v>0</v>
      </c>
      <c r="BZ4875">
        <v>0</v>
      </c>
    </row>
    <row r="4876" spans="1:112" x14ac:dyDescent="0.2">
      <c r="A4876" t="s">
        <v>112</v>
      </c>
      <c r="B4876" t="s">
        <v>113</v>
      </c>
      <c r="C4876" t="s">
        <v>114</v>
      </c>
      <c r="D4876" t="s">
        <v>2066</v>
      </c>
      <c r="F4876" t="str">
        <f>"251339"</f>
        <v>251339</v>
      </c>
      <c r="G4876" t="s">
        <v>49</v>
      </c>
      <c r="K4876" t="s">
        <v>51</v>
      </c>
      <c r="L4876" t="s">
        <v>52</v>
      </c>
      <c r="M4876">
        <v>136826.76999999999</v>
      </c>
      <c r="N4876">
        <v>473510.78</v>
      </c>
      <c r="O4876" t="s">
        <v>53</v>
      </c>
      <c r="P4876" t="s">
        <v>54</v>
      </c>
      <c r="Q4876" t="s">
        <v>55</v>
      </c>
      <c r="T4876" t="s">
        <v>269</v>
      </c>
      <c r="U4876">
        <v>40</v>
      </c>
      <c r="V4876" s="1">
        <v>44321</v>
      </c>
      <c r="W4876" s="1">
        <v>44321</v>
      </c>
      <c r="X4876" s="1">
        <v>44321</v>
      </c>
      <c r="Y4876" s="1">
        <v>58931</v>
      </c>
      <c r="Z4876" t="s">
        <v>51</v>
      </c>
      <c r="AB4876" t="s">
        <v>54</v>
      </c>
      <c r="AE4876" t="s">
        <v>1952</v>
      </c>
      <c r="AF4876">
        <v>20</v>
      </c>
      <c r="AG4876" s="1">
        <v>44321</v>
      </c>
      <c r="AH4876" s="1">
        <v>44321</v>
      </c>
      <c r="AI4876" s="1">
        <v>44321</v>
      </c>
      <c r="AJ4876" s="1">
        <v>51626</v>
      </c>
      <c r="AK4876" t="s">
        <v>51</v>
      </c>
      <c r="AN4876">
        <v>0</v>
      </c>
      <c r="AO4876" t="s">
        <v>54</v>
      </c>
      <c r="AP4876" t="s">
        <v>53</v>
      </c>
      <c r="AQ4876">
        <v>0</v>
      </c>
      <c r="AR4876" t="s">
        <v>53</v>
      </c>
      <c r="AS4876">
        <v>0</v>
      </c>
      <c r="AT4876">
        <v>0</v>
      </c>
      <c r="AW4876" t="s">
        <v>58</v>
      </c>
      <c r="AX4876">
        <v>20</v>
      </c>
      <c r="AY4876" s="1">
        <v>44321</v>
      </c>
      <c r="AZ4876" s="1">
        <v>44321</v>
      </c>
      <c r="BA4876" s="1">
        <v>44321</v>
      </c>
      <c r="BB4876" s="1">
        <v>51626</v>
      </c>
      <c r="BC4876" t="s">
        <v>51</v>
      </c>
      <c r="BE4876" t="s">
        <v>54</v>
      </c>
      <c r="BF4876">
        <v>2</v>
      </c>
      <c r="BG4876">
        <v>0</v>
      </c>
      <c r="BH4876" t="s">
        <v>53</v>
      </c>
      <c r="BK4876" t="s">
        <v>59</v>
      </c>
      <c r="BL4876">
        <v>14000</v>
      </c>
      <c r="BM4876" s="1">
        <v>44321</v>
      </c>
      <c r="BN4876" s="1">
        <v>44321</v>
      </c>
      <c r="BO4876" s="1">
        <v>44321</v>
      </c>
      <c r="BP4876" s="1">
        <v>45543</v>
      </c>
      <c r="BQ4876" t="s">
        <v>51</v>
      </c>
      <c r="BS4876" t="s">
        <v>60</v>
      </c>
      <c r="BT4876" t="s">
        <v>54</v>
      </c>
      <c r="BU4876" t="s">
        <v>61</v>
      </c>
      <c r="BV4876" t="s">
        <v>62</v>
      </c>
      <c r="BX4876">
        <v>24</v>
      </c>
      <c r="BY4876">
        <v>0</v>
      </c>
      <c r="BZ4876">
        <v>0</v>
      </c>
    </row>
    <row r="4877" spans="1:112" x14ac:dyDescent="0.2">
      <c r="A4877" t="s">
        <v>367</v>
      </c>
      <c r="B4877" t="s">
        <v>440</v>
      </c>
      <c r="C4877" t="s">
        <v>441</v>
      </c>
      <c r="D4877" t="s">
        <v>908</v>
      </c>
      <c r="F4877" t="str">
        <f>"76338"</f>
        <v>76338</v>
      </c>
      <c r="G4877" t="s">
        <v>49</v>
      </c>
      <c r="K4877" t="s">
        <v>51</v>
      </c>
      <c r="L4877" t="s">
        <v>52</v>
      </c>
      <c r="M4877">
        <v>136333.59</v>
      </c>
      <c r="N4877">
        <v>469094.43</v>
      </c>
      <c r="O4877" t="s">
        <v>53</v>
      </c>
      <c r="P4877" t="s">
        <v>54</v>
      </c>
      <c r="Q4877" t="s">
        <v>55</v>
      </c>
      <c r="T4877" t="s">
        <v>111</v>
      </c>
      <c r="U4877">
        <v>40</v>
      </c>
      <c r="V4877" s="1">
        <v>40722</v>
      </c>
      <c r="W4877" s="1">
        <v>40723</v>
      </c>
      <c r="X4877" s="1">
        <v>40723</v>
      </c>
      <c r="Y4877" s="1">
        <v>55333</v>
      </c>
      <c r="Z4877" t="s">
        <v>51</v>
      </c>
      <c r="AB4877" t="s">
        <v>54</v>
      </c>
      <c r="AE4877" t="s">
        <v>64</v>
      </c>
      <c r="AF4877">
        <v>20</v>
      </c>
      <c r="AG4877" s="1">
        <v>40722</v>
      </c>
      <c r="AH4877" s="1">
        <v>40723</v>
      </c>
      <c r="AI4877" s="1">
        <v>40723</v>
      </c>
      <c r="AJ4877" s="1">
        <v>48028</v>
      </c>
      <c r="AK4877" t="s">
        <v>51</v>
      </c>
      <c r="AN4877">
        <v>0</v>
      </c>
      <c r="AO4877" t="s">
        <v>54</v>
      </c>
      <c r="AP4877" t="s">
        <v>53</v>
      </c>
      <c r="AQ4877">
        <v>0</v>
      </c>
      <c r="AR4877" t="s">
        <v>53</v>
      </c>
      <c r="AS4877">
        <v>0</v>
      </c>
      <c r="AT4877">
        <v>0</v>
      </c>
      <c r="BK4877" t="s">
        <v>975</v>
      </c>
      <c r="BL4877">
        <v>50000</v>
      </c>
      <c r="BM4877" s="1">
        <v>44375</v>
      </c>
      <c r="BN4877" s="1">
        <v>44375</v>
      </c>
      <c r="BO4877" s="1">
        <v>44375</v>
      </c>
      <c r="BP4877" s="1">
        <v>48590</v>
      </c>
      <c r="BQ4877" t="s">
        <v>51</v>
      </c>
      <c r="BS4877" t="s">
        <v>60</v>
      </c>
      <c r="BT4877" t="s">
        <v>54</v>
      </c>
      <c r="BU4877" t="s">
        <v>61</v>
      </c>
      <c r="BV4877" t="s">
        <v>86</v>
      </c>
      <c r="BX4877">
        <v>18</v>
      </c>
      <c r="BY4877">
        <v>1980</v>
      </c>
      <c r="BZ4877">
        <v>0</v>
      </c>
    </row>
    <row r="4878" spans="1:112" x14ac:dyDescent="0.2">
      <c r="A4878" t="s">
        <v>1012</v>
      </c>
      <c r="B4878" t="s">
        <v>1013</v>
      </c>
      <c r="C4878" t="s">
        <v>1014</v>
      </c>
      <c r="D4878" t="s">
        <v>1108</v>
      </c>
      <c r="F4878" t="str">
        <f>"254490"</f>
        <v>254490</v>
      </c>
      <c r="G4878" t="s">
        <v>49</v>
      </c>
      <c r="K4878" t="s">
        <v>51</v>
      </c>
      <c r="L4878" t="s">
        <v>52</v>
      </c>
      <c r="M4878">
        <v>131674.43</v>
      </c>
      <c r="N4878">
        <v>475294.07</v>
      </c>
      <c r="O4878" t="s">
        <v>53</v>
      </c>
      <c r="P4878" t="s">
        <v>54</v>
      </c>
      <c r="Q4878" t="s">
        <v>55</v>
      </c>
      <c r="T4878" t="s">
        <v>246</v>
      </c>
      <c r="U4878">
        <v>40</v>
      </c>
      <c r="V4878" s="1">
        <v>44441</v>
      </c>
      <c r="W4878" s="1">
        <v>44441</v>
      </c>
      <c r="X4878" s="1">
        <v>44441</v>
      </c>
      <c r="Y4878" s="1">
        <v>59051</v>
      </c>
      <c r="Z4878" t="s">
        <v>51</v>
      </c>
      <c r="AB4878" t="s">
        <v>54</v>
      </c>
      <c r="AC4878">
        <v>1</v>
      </c>
      <c r="AE4878" t="s">
        <v>1065</v>
      </c>
      <c r="AF4878">
        <v>20</v>
      </c>
      <c r="AG4878" s="1">
        <v>44441</v>
      </c>
      <c r="AH4878" s="1">
        <v>44441</v>
      </c>
      <c r="AI4878" s="1">
        <v>44441</v>
      </c>
      <c r="AJ4878" s="1">
        <v>51746</v>
      </c>
      <c r="AK4878" t="s">
        <v>51</v>
      </c>
      <c r="AN4878">
        <v>0</v>
      </c>
      <c r="AO4878" t="s">
        <v>54</v>
      </c>
      <c r="AP4878" t="s">
        <v>53</v>
      </c>
      <c r="AQ4878">
        <v>0</v>
      </c>
      <c r="AR4878" t="s">
        <v>53</v>
      </c>
      <c r="AS4878">
        <v>0</v>
      </c>
      <c r="AT4878">
        <v>0</v>
      </c>
      <c r="AW4878" t="s">
        <v>172</v>
      </c>
      <c r="AX4878">
        <v>15</v>
      </c>
      <c r="AY4878" s="1">
        <v>44441</v>
      </c>
      <c r="AZ4878" s="1">
        <v>44441</v>
      </c>
      <c r="BA4878" s="1">
        <v>44441</v>
      </c>
      <c r="BB4878" s="1">
        <v>49920</v>
      </c>
      <c r="BC4878" t="s">
        <v>51</v>
      </c>
      <c r="BE4878" t="s">
        <v>54</v>
      </c>
      <c r="BF4878">
        <v>40</v>
      </c>
      <c r="BG4878">
        <v>0</v>
      </c>
      <c r="BH4878" t="s">
        <v>145</v>
      </c>
      <c r="CC4878" t="s">
        <v>244</v>
      </c>
      <c r="CD4878">
        <v>100000</v>
      </c>
      <c r="CE4878" s="1">
        <v>44441</v>
      </c>
      <c r="CF4878" s="1">
        <v>44441</v>
      </c>
      <c r="CG4878" s="1">
        <v>44441</v>
      </c>
      <c r="CH4878" s="1">
        <v>52892</v>
      </c>
      <c r="CI4878" t="s">
        <v>51</v>
      </c>
      <c r="CK4878" t="s">
        <v>78</v>
      </c>
      <c r="CM4878" t="s">
        <v>54</v>
      </c>
      <c r="CN4878" t="s">
        <v>174</v>
      </c>
      <c r="CR4878">
        <v>0</v>
      </c>
      <c r="CS4878">
        <v>2150</v>
      </c>
      <c r="CT4878">
        <v>0</v>
      </c>
      <c r="CU4878">
        <v>16</v>
      </c>
      <c r="CX4878" t="s">
        <v>360</v>
      </c>
      <c r="CY4878">
        <v>40</v>
      </c>
      <c r="CZ4878" s="1">
        <v>44441</v>
      </c>
      <c r="DA4878" s="1">
        <v>44441</v>
      </c>
      <c r="DB4878" s="1">
        <v>44441</v>
      </c>
      <c r="DC4878" s="1">
        <v>59051</v>
      </c>
      <c r="DD4878" t="s">
        <v>51</v>
      </c>
      <c r="DF4878" t="s">
        <v>54</v>
      </c>
      <c r="DG4878">
        <v>0</v>
      </c>
      <c r="DH4878">
        <v>0</v>
      </c>
    </row>
    <row r="4879" spans="1:112" x14ac:dyDescent="0.2">
      <c r="A4879" t="s">
        <v>1012</v>
      </c>
      <c r="B4879" t="s">
        <v>1013</v>
      </c>
      <c r="C4879" t="s">
        <v>1014</v>
      </c>
      <c r="D4879" t="s">
        <v>1108</v>
      </c>
      <c r="F4879" t="str">
        <f>"254494"</f>
        <v>254494</v>
      </c>
      <c r="G4879" t="s">
        <v>49</v>
      </c>
      <c r="K4879" t="s">
        <v>51</v>
      </c>
      <c r="L4879" t="s">
        <v>52</v>
      </c>
      <c r="M4879">
        <v>131686.29</v>
      </c>
      <c r="N4879">
        <v>475390.42</v>
      </c>
      <c r="O4879" t="s">
        <v>53</v>
      </c>
      <c r="P4879" t="s">
        <v>54</v>
      </c>
      <c r="Q4879" t="s">
        <v>55</v>
      </c>
      <c r="T4879" t="s">
        <v>246</v>
      </c>
      <c r="U4879">
        <v>40</v>
      </c>
      <c r="V4879" s="1">
        <v>44441</v>
      </c>
      <c r="W4879" s="1">
        <v>44441</v>
      </c>
      <c r="X4879" s="1">
        <v>44441</v>
      </c>
      <c r="Y4879" s="1">
        <v>59051</v>
      </c>
      <c r="Z4879" t="s">
        <v>51</v>
      </c>
      <c r="AB4879" t="s">
        <v>54</v>
      </c>
      <c r="AC4879">
        <v>1</v>
      </c>
      <c r="AE4879" t="s">
        <v>1065</v>
      </c>
      <c r="AF4879">
        <v>20</v>
      </c>
      <c r="AG4879" s="1">
        <v>44441</v>
      </c>
      <c r="AH4879" s="1">
        <v>44441</v>
      </c>
      <c r="AI4879" s="1">
        <v>44441</v>
      </c>
      <c r="AJ4879" s="1">
        <v>51746</v>
      </c>
      <c r="AK4879" t="s">
        <v>51</v>
      </c>
      <c r="AN4879">
        <v>0</v>
      </c>
      <c r="AO4879" t="s">
        <v>54</v>
      </c>
      <c r="AP4879" t="s">
        <v>53</v>
      </c>
      <c r="AQ4879">
        <v>0</v>
      </c>
      <c r="AR4879" t="s">
        <v>53</v>
      </c>
      <c r="AS4879">
        <v>0</v>
      </c>
      <c r="AT4879">
        <v>0</v>
      </c>
      <c r="AW4879" t="s">
        <v>172</v>
      </c>
      <c r="AX4879">
        <v>15</v>
      </c>
      <c r="AY4879" s="1">
        <v>44441</v>
      </c>
      <c r="AZ4879" s="1">
        <v>44441</v>
      </c>
      <c r="BA4879" s="1">
        <v>44441</v>
      </c>
      <c r="BB4879" s="1">
        <v>49920</v>
      </c>
      <c r="BC4879" t="s">
        <v>51</v>
      </c>
      <c r="BE4879" t="s">
        <v>54</v>
      </c>
      <c r="BF4879">
        <v>40</v>
      </c>
      <c r="BG4879">
        <v>0</v>
      </c>
      <c r="BH4879" t="s">
        <v>145</v>
      </c>
      <c r="CC4879" t="s">
        <v>244</v>
      </c>
      <c r="CD4879">
        <v>100000</v>
      </c>
      <c r="CE4879" s="1">
        <v>44441</v>
      </c>
      <c r="CF4879" s="1">
        <v>44441</v>
      </c>
      <c r="CG4879" s="1">
        <v>44441</v>
      </c>
      <c r="CH4879" s="1">
        <v>52892</v>
      </c>
      <c r="CI4879" t="s">
        <v>51</v>
      </c>
      <c r="CK4879" t="s">
        <v>78</v>
      </c>
      <c r="CM4879" t="s">
        <v>54</v>
      </c>
      <c r="CN4879" t="s">
        <v>174</v>
      </c>
      <c r="CR4879">
        <v>0</v>
      </c>
      <c r="CS4879">
        <v>2150</v>
      </c>
      <c r="CT4879">
        <v>0</v>
      </c>
      <c r="CU4879">
        <v>16</v>
      </c>
      <c r="CX4879" t="s">
        <v>360</v>
      </c>
      <c r="CY4879">
        <v>40</v>
      </c>
      <c r="CZ4879" s="1">
        <v>44441</v>
      </c>
      <c r="DA4879" s="1">
        <v>44441</v>
      </c>
      <c r="DB4879" s="1">
        <v>44441</v>
      </c>
      <c r="DC4879" s="1">
        <v>59051</v>
      </c>
      <c r="DD4879" t="s">
        <v>51</v>
      </c>
      <c r="DF4879" t="s">
        <v>54</v>
      </c>
      <c r="DG4879">
        <v>0</v>
      </c>
      <c r="DH4879">
        <v>0</v>
      </c>
    </row>
    <row r="4880" spans="1:112" x14ac:dyDescent="0.2">
      <c r="A4880" t="s">
        <v>112</v>
      </c>
      <c r="B4880" t="s">
        <v>113</v>
      </c>
      <c r="C4880" t="s">
        <v>114</v>
      </c>
      <c r="D4880" t="s">
        <v>2066</v>
      </c>
      <c r="F4880" t="str">
        <f>"253265"</f>
        <v>253265</v>
      </c>
      <c r="G4880" t="s">
        <v>49</v>
      </c>
      <c r="K4880" t="s">
        <v>51</v>
      </c>
      <c r="L4880" t="s">
        <v>52</v>
      </c>
      <c r="M4880">
        <v>136872.48000000001</v>
      </c>
      <c r="N4880">
        <v>472298.78</v>
      </c>
      <c r="O4880" t="s">
        <v>53</v>
      </c>
      <c r="P4880" t="s">
        <v>54</v>
      </c>
      <c r="Q4880" t="s">
        <v>55</v>
      </c>
      <c r="T4880" t="s">
        <v>608</v>
      </c>
      <c r="U4880">
        <v>40</v>
      </c>
      <c r="V4880" s="1">
        <v>31778</v>
      </c>
      <c r="W4880" s="1">
        <v>31778</v>
      </c>
      <c r="X4880" s="1">
        <v>31778</v>
      </c>
      <c r="Y4880" s="1">
        <v>46388</v>
      </c>
      <c r="Z4880" t="s">
        <v>51</v>
      </c>
      <c r="AB4880" t="s">
        <v>54</v>
      </c>
      <c r="AE4880" t="s">
        <v>84</v>
      </c>
      <c r="AF4880">
        <v>20</v>
      </c>
      <c r="AG4880" s="1">
        <v>42736</v>
      </c>
      <c r="AH4880" s="1">
        <v>42736</v>
      </c>
      <c r="AI4880" s="1">
        <v>42736</v>
      </c>
      <c r="AJ4880" s="1">
        <v>50041</v>
      </c>
      <c r="AK4880" t="s">
        <v>51</v>
      </c>
      <c r="AN4880">
        <v>0</v>
      </c>
      <c r="AO4880" t="s">
        <v>54</v>
      </c>
      <c r="AP4880" t="s">
        <v>53</v>
      </c>
      <c r="AQ4880">
        <v>0</v>
      </c>
      <c r="AR4880" t="s">
        <v>53</v>
      </c>
      <c r="AS4880">
        <v>0</v>
      </c>
      <c r="AT4880">
        <v>0</v>
      </c>
      <c r="BK4880" t="s">
        <v>59</v>
      </c>
      <c r="BL4880">
        <v>14000</v>
      </c>
      <c r="BM4880" s="1">
        <v>42736</v>
      </c>
      <c r="BN4880" s="1">
        <v>42736</v>
      </c>
      <c r="BO4880" s="1">
        <v>42736</v>
      </c>
      <c r="BP4880" s="1">
        <v>43900</v>
      </c>
      <c r="BQ4880" t="s">
        <v>51</v>
      </c>
      <c r="BS4880" t="s">
        <v>60</v>
      </c>
      <c r="BT4880" t="s">
        <v>54</v>
      </c>
      <c r="BU4880" t="s">
        <v>61</v>
      </c>
      <c r="BV4880" t="s">
        <v>62</v>
      </c>
      <c r="BX4880">
        <v>24</v>
      </c>
      <c r="BY4880">
        <v>0</v>
      </c>
      <c r="BZ4880">
        <v>0</v>
      </c>
    </row>
    <row r="4881" spans="1:112" x14ac:dyDescent="0.2">
      <c r="A4881" t="s">
        <v>425</v>
      </c>
      <c r="B4881" t="s">
        <v>425</v>
      </c>
      <c r="C4881" t="s">
        <v>425</v>
      </c>
      <c r="D4881" t="s">
        <v>428</v>
      </c>
      <c r="F4881" t="str">
        <f>"254263"</f>
        <v>254263</v>
      </c>
      <c r="G4881" t="s">
        <v>49</v>
      </c>
      <c r="K4881" t="s">
        <v>429</v>
      </c>
      <c r="L4881" t="s">
        <v>52</v>
      </c>
      <c r="M4881">
        <v>137019.56</v>
      </c>
      <c r="N4881">
        <v>470287.22</v>
      </c>
      <c r="O4881" t="s">
        <v>53</v>
      </c>
      <c r="P4881" t="s">
        <v>54</v>
      </c>
      <c r="AP4881" t="s">
        <v>53</v>
      </c>
      <c r="AR4881" t="s">
        <v>53</v>
      </c>
      <c r="BH4881" t="s">
        <v>53</v>
      </c>
    </row>
    <row r="4882" spans="1:112" x14ac:dyDescent="0.2">
      <c r="A4882" t="s">
        <v>425</v>
      </c>
      <c r="B4882" t="s">
        <v>425</v>
      </c>
      <c r="C4882" t="s">
        <v>425</v>
      </c>
      <c r="D4882" t="s">
        <v>428</v>
      </c>
      <c r="F4882" t="str">
        <f>"254264"</f>
        <v>254264</v>
      </c>
      <c r="G4882" t="s">
        <v>49</v>
      </c>
      <c r="K4882" t="s">
        <v>429</v>
      </c>
      <c r="L4882" t="s">
        <v>52</v>
      </c>
      <c r="M4882">
        <v>137007.34</v>
      </c>
      <c r="N4882">
        <v>470307.89</v>
      </c>
      <c r="O4882" t="s">
        <v>53</v>
      </c>
      <c r="P4882" t="s">
        <v>54</v>
      </c>
      <c r="AP4882" t="s">
        <v>53</v>
      </c>
      <c r="AR4882" t="s">
        <v>53</v>
      </c>
      <c r="BH4882" t="s">
        <v>53</v>
      </c>
    </row>
    <row r="4883" spans="1:112" x14ac:dyDescent="0.2">
      <c r="A4883" t="s">
        <v>425</v>
      </c>
      <c r="B4883" t="s">
        <v>425</v>
      </c>
      <c r="C4883" t="s">
        <v>425</v>
      </c>
      <c r="D4883" t="s">
        <v>428</v>
      </c>
      <c r="F4883" t="str">
        <f>"254265"</f>
        <v>254265</v>
      </c>
      <c r="G4883" t="s">
        <v>49</v>
      </c>
      <c r="K4883" t="s">
        <v>429</v>
      </c>
      <c r="L4883" t="s">
        <v>52</v>
      </c>
      <c r="M4883">
        <v>136988.76999999999</v>
      </c>
      <c r="N4883">
        <v>470327.43</v>
      </c>
      <c r="O4883" t="s">
        <v>53</v>
      </c>
      <c r="P4883" t="s">
        <v>54</v>
      </c>
      <c r="AP4883" t="s">
        <v>53</v>
      </c>
      <c r="AR4883" t="s">
        <v>53</v>
      </c>
      <c r="BH4883" t="s">
        <v>53</v>
      </c>
    </row>
    <row r="4884" spans="1:112" x14ac:dyDescent="0.2">
      <c r="A4884" t="s">
        <v>425</v>
      </c>
      <c r="B4884" t="s">
        <v>425</v>
      </c>
      <c r="C4884" t="s">
        <v>425</v>
      </c>
      <c r="D4884" t="s">
        <v>428</v>
      </c>
      <c r="F4884" t="str">
        <f>"254266"</f>
        <v>254266</v>
      </c>
      <c r="G4884" t="s">
        <v>49</v>
      </c>
      <c r="K4884" t="s">
        <v>429</v>
      </c>
      <c r="L4884" t="s">
        <v>52</v>
      </c>
      <c r="M4884">
        <v>136969.60999999999</v>
      </c>
      <c r="N4884">
        <v>470347.69</v>
      </c>
      <c r="O4884" t="s">
        <v>53</v>
      </c>
      <c r="P4884" t="s">
        <v>54</v>
      </c>
      <c r="AP4884" t="s">
        <v>53</v>
      </c>
      <c r="AR4884" t="s">
        <v>53</v>
      </c>
      <c r="BH4884" t="s">
        <v>53</v>
      </c>
    </row>
    <row r="4885" spans="1:112" x14ac:dyDescent="0.2">
      <c r="A4885" t="s">
        <v>112</v>
      </c>
      <c r="B4885" t="s">
        <v>113</v>
      </c>
      <c r="C4885" t="s">
        <v>114</v>
      </c>
      <c r="D4885" t="s">
        <v>428</v>
      </c>
      <c r="F4885" t="str">
        <f>"254267"</f>
        <v>254267</v>
      </c>
      <c r="G4885" t="s">
        <v>49</v>
      </c>
      <c r="K4885" t="s">
        <v>429</v>
      </c>
      <c r="L4885" t="s">
        <v>52</v>
      </c>
      <c r="M4885">
        <v>136949.95000000001</v>
      </c>
      <c r="N4885">
        <v>470367.84</v>
      </c>
      <c r="O4885" t="s">
        <v>53</v>
      </c>
      <c r="P4885" t="s">
        <v>54</v>
      </c>
      <c r="AP4885" t="s">
        <v>53</v>
      </c>
      <c r="AR4885" t="s">
        <v>53</v>
      </c>
      <c r="BH4885" t="s">
        <v>53</v>
      </c>
    </row>
    <row r="4886" spans="1:112" x14ac:dyDescent="0.2">
      <c r="A4886" t="s">
        <v>367</v>
      </c>
      <c r="B4886" t="s">
        <v>368</v>
      </c>
      <c r="C4886" t="s">
        <v>369</v>
      </c>
      <c r="D4886" t="s">
        <v>1187</v>
      </c>
      <c r="F4886" t="str">
        <f>"157979"</f>
        <v>157979</v>
      </c>
      <c r="G4886" t="s">
        <v>49</v>
      </c>
      <c r="H4886" t="s">
        <v>2156</v>
      </c>
      <c r="K4886" t="s">
        <v>51</v>
      </c>
      <c r="L4886" t="s">
        <v>52</v>
      </c>
      <c r="M4886">
        <v>138060.96</v>
      </c>
      <c r="N4886">
        <v>468238</v>
      </c>
      <c r="O4886" t="s">
        <v>53</v>
      </c>
      <c r="P4886" t="s">
        <v>54</v>
      </c>
      <c r="Q4886" t="s">
        <v>55</v>
      </c>
      <c r="T4886" t="s">
        <v>170</v>
      </c>
      <c r="U4886">
        <v>40</v>
      </c>
      <c r="V4886" s="1">
        <v>33493</v>
      </c>
      <c r="W4886" s="1">
        <v>33493</v>
      </c>
      <c r="X4886" s="1">
        <v>33493</v>
      </c>
      <c r="Y4886" s="1">
        <v>48103</v>
      </c>
      <c r="Z4886" t="s">
        <v>51</v>
      </c>
      <c r="AB4886" t="s">
        <v>54</v>
      </c>
      <c r="AE4886" t="s">
        <v>342</v>
      </c>
      <c r="AF4886">
        <v>20</v>
      </c>
      <c r="AG4886" s="1">
        <v>33493</v>
      </c>
      <c r="AH4886" s="1">
        <v>33493</v>
      </c>
      <c r="AI4886" s="1">
        <v>33493</v>
      </c>
      <c r="AJ4886" s="1">
        <v>40798</v>
      </c>
      <c r="AK4886" t="s">
        <v>51</v>
      </c>
      <c r="AN4886">
        <v>0</v>
      </c>
      <c r="AO4886" t="s">
        <v>54</v>
      </c>
      <c r="AP4886" t="s">
        <v>53</v>
      </c>
      <c r="AQ4886">
        <v>0</v>
      </c>
      <c r="AR4886" t="s">
        <v>145</v>
      </c>
      <c r="AS4886">
        <v>19</v>
      </c>
      <c r="AT4886">
        <v>1800</v>
      </c>
      <c r="AW4886" t="s">
        <v>172</v>
      </c>
      <c r="AX4886">
        <v>15</v>
      </c>
      <c r="AY4886" s="1">
        <v>33493</v>
      </c>
      <c r="AZ4886" s="1">
        <v>33493</v>
      </c>
      <c r="BA4886" s="1">
        <v>33493</v>
      </c>
      <c r="BB4886" s="1">
        <v>38972</v>
      </c>
      <c r="BC4886" t="s">
        <v>51</v>
      </c>
      <c r="BE4886" t="s">
        <v>54</v>
      </c>
      <c r="BF4886">
        <v>40</v>
      </c>
      <c r="BG4886">
        <v>0</v>
      </c>
      <c r="BH4886" t="s">
        <v>145</v>
      </c>
      <c r="CC4886" t="s">
        <v>173</v>
      </c>
      <c r="CD4886">
        <v>100000</v>
      </c>
      <c r="CE4886" s="1">
        <v>33493</v>
      </c>
      <c r="CF4886" s="1">
        <v>33493</v>
      </c>
      <c r="CG4886" s="1">
        <v>33493</v>
      </c>
      <c r="CH4886" s="1">
        <v>42409</v>
      </c>
      <c r="CI4886" t="s">
        <v>51</v>
      </c>
      <c r="CK4886" t="s">
        <v>78</v>
      </c>
      <c r="CM4886" t="s">
        <v>54</v>
      </c>
      <c r="CN4886" t="s">
        <v>174</v>
      </c>
      <c r="CO4886" t="s">
        <v>86</v>
      </c>
      <c r="CP4886">
        <v>830</v>
      </c>
      <c r="CR4886">
        <v>19</v>
      </c>
      <c r="CS4886">
        <v>1800</v>
      </c>
      <c r="CT4886">
        <v>0</v>
      </c>
      <c r="CU4886">
        <v>16</v>
      </c>
    </row>
    <row r="4887" spans="1:112" x14ac:dyDescent="0.2">
      <c r="A4887" t="s">
        <v>180</v>
      </c>
      <c r="B4887" t="s">
        <v>181</v>
      </c>
      <c r="C4887" t="s">
        <v>184</v>
      </c>
      <c r="D4887" t="s">
        <v>452</v>
      </c>
      <c r="F4887" t="str">
        <f>"250000"</f>
        <v>250000</v>
      </c>
      <c r="G4887" t="s">
        <v>49</v>
      </c>
      <c r="K4887" t="s">
        <v>51</v>
      </c>
      <c r="L4887" t="s">
        <v>52</v>
      </c>
      <c r="M4887">
        <v>136795.42000000001</v>
      </c>
      <c r="N4887">
        <v>473424.08</v>
      </c>
      <c r="O4887" t="s">
        <v>53</v>
      </c>
      <c r="P4887" t="s">
        <v>54</v>
      </c>
      <c r="Q4887" t="s">
        <v>55</v>
      </c>
      <c r="T4887" t="s">
        <v>466</v>
      </c>
      <c r="U4887">
        <v>40</v>
      </c>
      <c r="V4887" s="1">
        <v>31959</v>
      </c>
      <c r="W4887" s="1">
        <v>31959</v>
      </c>
      <c r="X4887" s="1">
        <v>31959</v>
      </c>
      <c r="Y4887" s="1">
        <v>46569</v>
      </c>
      <c r="Z4887" t="s">
        <v>51</v>
      </c>
      <c r="AB4887" t="s">
        <v>54</v>
      </c>
      <c r="AE4887" t="s">
        <v>84</v>
      </c>
      <c r="AF4887">
        <v>20</v>
      </c>
      <c r="AG4887" s="1">
        <v>31959</v>
      </c>
      <c r="AH4887" s="1">
        <v>31959</v>
      </c>
      <c r="AI4887" s="1">
        <v>31959</v>
      </c>
      <c r="AJ4887" s="1">
        <v>39264</v>
      </c>
      <c r="AK4887" t="s">
        <v>51</v>
      </c>
      <c r="AN4887">
        <v>0</v>
      </c>
      <c r="AO4887" t="s">
        <v>54</v>
      </c>
      <c r="AP4887" t="s">
        <v>53</v>
      </c>
      <c r="AQ4887">
        <v>0</v>
      </c>
      <c r="AR4887" t="s">
        <v>53</v>
      </c>
      <c r="AS4887">
        <v>0</v>
      </c>
      <c r="AT4887">
        <v>0</v>
      </c>
      <c r="BK4887" t="s">
        <v>59</v>
      </c>
      <c r="BL4887">
        <v>14000</v>
      </c>
      <c r="BM4887" s="1">
        <v>31959</v>
      </c>
      <c r="BN4887" s="1">
        <v>31959</v>
      </c>
      <c r="BO4887" s="1">
        <v>31959</v>
      </c>
      <c r="BP4887" s="1">
        <v>33213</v>
      </c>
      <c r="BQ4887" t="s">
        <v>51</v>
      </c>
      <c r="BS4887" t="s">
        <v>78</v>
      </c>
      <c r="BT4887" t="s">
        <v>54</v>
      </c>
      <c r="BU4887" t="s">
        <v>61</v>
      </c>
      <c r="BV4887" t="s">
        <v>62</v>
      </c>
      <c r="BX4887">
        <v>24</v>
      </c>
      <c r="BY4887">
        <v>0</v>
      </c>
      <c r="BZ4887">
        <v>0</v>
      </c>
    </row>
    <row r="4888" spans="1:112" x14ac:dyDescent="0.2">
      <c r="A4888" t="s">
        <v>1012</v>
      </c>
      <c r="B4888" t="s">
        <v>1013</v>
      </c>
      <c r="C4888" t="s">
        <v>1014</v>
      </c>
      <c r="D4888" t="s">
        <v>1125</v>
      </c>
      <c r="F4888" t="str">
        <f>"253997"</f>
        <v>253997</v>
      </c>
      <c r="G4888" t="s">
        <v>49</v>
      </c>
      <c r="K4888" t="s">
        <v>51</v>
      </c>
      <c r="L4888" t="s">
        <v>52</v>
      </c>
      <c r="M4888">
        <v>130762.16</v>
      </c>
      <c r="N4888">
        <v>476077.54</v>
      </c>
      <c r="O4888" t="s">
        <v>53</v>
      </c>
      <c r="P4888" t="s">
        <v>54</v>
      </c>
      <c r="Q4888" t="s">
        <v>55</v>
      </c>
      <c r="T4888" t="s">
        <v>466</v>
      </c>
      <c r="U4888">
        <v>40</v>
      </c>
      <c r="V4888" s="1">
        <v>42552</v>
      </c>
      <c r="W4888" s="1">
        <v>42552</v>
      </c>
      <c r="X4888" s="1">
        <v>42552</v>
      </c>
      <c r="Y4888" s="1">
        <v>57162</v>
      </c>
      <c r="Z4888" t="s">
        <v>51</v>
      </c>
      <c r="AB4888" t="s">
        <v>54</v>
      </c>
      <c r="AE4888" t="s">
        <v>356</v>
      </c>
      <c r="AF4888">
        <v>20</v>
      </c>
      <c r="AG4888" s="1">
        <v>42552</v>
      </c>
      <c r="AH4888" s="1">
        <v>42552</v>
      </c>
      <c r="AI4888" s="1">
        <v>42552</v>
      </c>
      <c r="AJ4888" s="1">
        <v>49857</v>
      </c>
      <c r="AK4888" t="s">
        <v>51</v>
      </c>
      <c r="AN4888">
        <v>0</v>
      </c>
      <c r="AO4888" t="s">
        <v>54</v>
      </c>
      <c r="AP4888" t="s">
        <v>53</v>
      </c>
      <c r="AQ4888">
        <v>0</v>
      </c>
      <c r="AR4888" t="s">
        <v>145</v>
      </c>
      <c r="AS4888">
        <v>0</v>
      </c>
      <c r="AT4888">
        <v>0</v>
      </c>
      <c r="CC4888" t="s">
        <v>529</v>
      </c>
      <c r="CD4888">
        <v>85000</v>
      </c>
      <c r="CE4888" s="1">
        <v>42552</v>
      </c>
      <c r="CF4888" s="1">
        <v>42552</v>
      </c>
      <c r="CG4888" s="1">
        <v>42552</v>
      </c>
      <c r="CH4888" s="1">
        <v>50139</v>
      </c>
      <c r="CI4888" t="s">
        <v>51</v>
      </c>
      <c r="CK4888" t="s">
        <v>78</v>
      </c>
      <c r="CM4888" t="s">
        <v>54</v>
      </c>
      <c r="CN4888" t="s">
        <v>174</v>
      </c>
      <c r="CO4888" t="s">
        <v>86</v>
      </c>
      <c r="CR4888">
        <v>35</v>
      </c>
      <c r="CS4888">
        <v>0</v>
      </c>
      <c r="CT4888">
        <v>0</v>
      </c>
      <c r="CU4888">
        <v>0</v>
      </c>
    </row>
    <row r="4889" spans="1:112" x14ac:dyDescent="0.2">
      <c r="A4889" t="s">
        <v>1012</v>
      </c>
      <c r="B4889" t="s">
        <v>1013</v>
      </c>
      <c r="C4889" t="s">
        <v>1014</v>
      </c>
      <c r="D4889" t="s">
        <v>1125</v>
      </c>
      <c r="F4889" t="str">
        <f>"253984"</f>
        <v>253984</v>
      </c>
      <c r="G4889" t="s">
        <v>49</v>
      </c>
      <c r="H4889" t="s">
        <v>2157</v>
      </c>
      <c r="K4889" t="s">
        <v>51</v>
      </c>
      <c r="L4889" t="s">
        <v>52</v>
      </c>
      <c r="M4889">
        <v>131468.76999999999</v>
      </c>
      <c r="N4889">
        <v>476659.68</v>
      </c>
      <c r="O4889" t="s">
        <v>53</v>
      </c>
      <c r="P4889" t="s">
        <v>54</v>
      </c>
      <c r="Q4889" t="s">
        <v>55</v>
      </c>
      <c r="T4889" t="s">
        <v>170</v>
      </c>
      <c r="U4889">
        <v>40</v>
      </c>
      <c r="V4889" s="1">
        <v>44776</v>
      </c>
      <c r="W4889" s="1">
        <v>44776</v>
      </c>
      <c r="X4889" s="1">
        <v>44776</v>
      </c>
      <c r="Y4889" s="1">
        <v>59386</v>
      </c>
      <c r="Z4889" t="s">
        <v>51</v>
      </c>
      <c r="AB4889" t="s">
        <v>54</v>
      </c>
      <c r="AE4889" t="s">
        <v>79</v>
      </c>
      <c r="AF4889">
        <v>20</v>
      </c>
      <c r="AG4889" s="1">
        <v>44776</v>
      </c>
      <c r="AH4889" s="1">
        <v>44776</v>
      </c>
      <c r="AI4889" s="1">
        <v>44776</v>
      </c>
      <c r="AJ4889" s="1">
        <v>52081</v>
      </c>
      <c r="AK4889" t="s">
        <v>51</v>
      </c>
      <c r="AN4889">
        <v>0</v>
      </c>
      <c r="AO4889" t="s">
        <v>54</v>
      </c>
      <c r="AP4889" t="s">
        <v>53</v>
      </c>
      <c r="AQ4889">
        <v>0</v>
      </c>
      <c r="AR4889" t="s">
        <v>145</v>
      </c>
      <c r="AS4889">
        <v>0</v>
      </c>
      <c r="AT4889">
        <v>0</v>
      </c>
      <c r="CC4889" t="s">
        <v>529</v>
      </c>
      <c r="CD4889">
        <v>85000</v>
      </c>
      <c r="CE4889" s="1">
        <v>44776</v>
      </c>
      <c r="CF4889" s="1">
        <v>44776</v>
      </c>
      <c r="CG4889" s="1">
        <v>44776</v>
      </c>
      <c r="CH4889" s="1">
        <v>52357</v>
      </c>
      <c r="CI4889" t="s">
        <v>51</v>
      </c>
      <c r="CK4889" t="s">
        <v>78</v>
      </c>
      <c r="CM4889" t="s">
        <v>54</v>
      </c>
      <c r="CN4889" t="s">
        <v>174</v>
      </c>
      <c r="CO4889" t="s">
        <v>86</v>
      </c>
      <c r="CR4889">
        <v>35</v>
      </c>
      <c r="CS4889">
        <v>0</v>
      </c>
      <c r="CT4889">
        <v>0</v>
      </c>
      <c r="CU4889">
        <v>0</v>
      </c>
      <c r="CX4889" t="s">
        <v>360</v>
      </c>
      <c r="CY4889">
        <v>40</v>
      </c>
      <c r="CZ4889" s="1">
        <v>44776</v>
      </c>
      <c r="DA4889" s="1">
        <v>44776</v>
      </c>
      <c r="DB4889" s="1">
        <v>44776</v>
      </c>
      <c r="DC4889" s="1">
        <v>59386</v>
      </c>
      <c r="DD4889" t="s">
        <v>51</v>
      </c>
      <c r="DF4889" t="s">
        <v>54</v>
      </c>
      <c r="DG4889">
        <v>0</v>
      </c>
      <c r="DH4889">
        <v>0</v>
      </c>
    </row>
    <row r="4890" spans="1:112" x14ac:dyDescent="0.2">
      <c r="A4890" t="s">
        <v>367</v>
      </c>
      <c r="B4890" t="s">
        <v>368</v>
      </c>
      <c r="C4890" t="s">
        <v>369</v>
      </c>
      <c r="D4890" t="s">
        <v>1261</v>
      </c>
      <c r="F4890" t="str">
        <f>"123456"</f>
        <v>123456</v>
      </c>
      <c r="G4890" t="s">
        <v>49</v>
      </c>
      <c r="H4890" t="s">
        <v>2158</v>
      </c>
      <c r="K4890" t="s">
        <v>51</v>
      </c>
      <c r="L4890" t="s">
        <v>52</v>
      </c>
      <c r="M4890">
        <v>137806.62</v>
      </c>
      <c r="N4890">
        <v>468298.57</v>
      </c>
      <c r="O4890" t="s">
        <v>53</v>
      </c>
      <c r="P4890" t="s">
        <v>54</v>
      </c>
      <c r="Q4890" t="s">
        <v>55</v>
      </c>
      <c r="T4890" t="s">
        <v>841</v>
      </c>
      <c r="U4890">
        <v>40</v>
      </c>
      <c r="V4890" s="1">
        <v>33207</v>
      </c>
      <c r="W4890" s="1">
        <v>33207</v>
      </c>
      <c r="X4890" s="1">
        <v>33207</v>
      </c>
      <c r="Y4890" s="1">
        <v>47817</v>
      </c>
      <c r="Z4890" t="s">
        <v>51</v>
      </c>
      <c r="AB4890" t="s">
        <v>54</v>
      </c>
      <c r="AC4890">
        <v>1</v>
      </c>
      <c r="AE4890" t="s">
        <v>1212</v>
      </c>
      <c r="AF4890">
        <v>20</v>
      </c>
      <c r="AG4890" s="1">
        <v>33207</v>
      </c>
      <c r="AH4890" s="1">
        <v>33207</v>
      </c>
      <c r="AI4890" s="1">
        <v>33207</v>
      </c>
      <c r="AJ4890" s="1">
        <v>40512</v>
      </c>
      <c r="AK4890" t="s">
        <v>51</v>
      </c>
      <c r="AN4890">
        <v>0</v>
      </c>
      <c r="AO4890" t="s">
        <v>54</v>
      </c>
      <c r="AP4890" t="s">
        <v>53</v>
      </c>
      <c r="AQ4890">
        <v>0</v>
      </c>
      <c r="AR4890" t="s">
        <v>53</v>
      </c>
      <c r="AS4890">
        <v>0</v>
      </c>
      <c r="AT4890">
        <v>0</v>
      </c>
      <c r="CC4890" t="s">
        <v>850</v>
      </c>
      <c r="CD4890">
        <v>1</v>
      </c>
      <c r="CE4890" s="1">
        <v>43123</v>
      </c>
      <c r="CF4890" s="1">
        <v>43123</v>
      </c>
      <c r="CG4890" s="1">
        <v>43123</v>
      </c>
      <c r="CI4890" t="s">
        <v>51</v>
      </c>
      <c r="CK4890" t="s">
        <v>78</v>
      </c>
      <c r="CM4890" t="s">
        <v>54</v>
      </c>
      <c r="CN4890" t="s">
        <v>174</v>
      </c>
      <c r="CO4890" t="s">
        <v>86</v>
      </c>
      <c r="CR4890">
        <v>18</v>
      </c>
      <c r="CS4890">
        <v>0</v>
      </c>
      <c r="CT4890">
        <v>0</v>
      </c>
      <c r="CU4890">
        <v>0</v>
      </c>
    </row>
    <row r="4891" spans="1:112" x14ac:dyDescent="0.2">
      <c r="A4891" t="s">
        <v>180</v>
      </c>
      <c r="B4891" t="s">
        <v>181</v>
      </c>
      <c r="C4891" t="s">
        <v>184</v>
      </c>
      <c r="D4891" t="s">
        <v>801</v>
      </c>
      <c r="F4891" t="str">
        <f>"onbekend"</f>
        <v>onbekend</v>
      </c>
      <c r="G4891" t="s">
        <v>49</v>
      </c>
      <c r="K4891" t="s">
        <v>51</v>
      </c>
      <c r="L4891" t="s">
        <v>52</v>
      </c>
      <c r="M4891">
        <v>136617.14000000001</v>
      </c>
      <c r="N4891">
        <v>471924.13</v>
      </c>
      <c r="O4891" t="s">
        <v>53</v>
      </c>
      <c r="P4891" t="s">
        <v>54</v>
      </c>
      <c r="Q4891" t="s">
        <v>55</v>
      </c>
      <c r="T4891" t="s">
        <v>100</v>
      </c>
      <c r="U4891">
        <v>40</v>
      </c>
      <c r="V4891" s="1">
        <v>38353</v>
      </c>
      <c r="W4891" s="1">
        <v>38353</v>
      </c>
      <c r="X4891" s="1">
        <v>38353</v>
      </c>
      <c r="Y4891" s="1">
        <v>52963</v>
      </c>
      <c r="Z4891" t="s">
        <v>51</v>
      </c>
      <c r="AB4891" t="s">
        <v>54</v>
      </c>
      <c r="AE4891" t="s">
        <v>222</v>
      </c>
      <c r="AF4891">
        <v>20</v>
      </c>
      <c r="AG4891" s="1">
        <v>38353</v>
      </c>
      <c r="AH4891" s="1">
        <v>38353</v>
      </c>
      <c r="AI4891" s="1">
        <v>38353</v>
      </c>
      <c r="AJ4891" s="1">
        <v>45658</v>
      </c>
      <c r="AK4891" t="s">
        <v>51</v>
      </c>
      <c r="AN4891">
        <v>0</v>
      </c>
      <c r="AO4891" t="s">
        <v>54</v>
      </c>
      <c r="AP4891" t="s">
        <v>53</v>
      </c>
      <c r="AQ4891">
        <v>0</v>
      </c>
      <c r="AR4891" t="s">
        <v>53</v>
      </c>
      <c r="AS4891">
        <v>0</v>
      </c>
      <c r="AT4891">
        <v>0</v>
      </c>
      <c r="BK4891" t="s">
        <v>59</v>
      </c>
      <c r="BL4891">
        <v>14000</v>
      </c>
      <c r="BM4891" s="1">
        <v>38353</v>
      </c>
      <c r="BN4891" s="1">
        <v>38353</v>
      </c>
      <c r="BO4891" s="1">
        <v>38353</v>
      </c>
      <c r="BP4891" s="1">
        <v>39517</v>
      </c>
      <c r="BQ4891" t="s">
        <v>51</v>
      </c>
      <c r="BS4891" t="s">
        <v>60</v>
      </c>
      <c r="BT4891" t="s">
        <v>54</v>
      </c>
      <c r="BU4891" t="s">
        <v>61</v>
      </c>
      <c r="BV4891" t="s">
        <v>62</v>
      </c>
      <c r="BX4891">
        <v>24</v>
      </c>
      <c r="BY4891">
        <v>0</v>
      </c>
      <c r="BZ4891">
        <v>0</v>
      </c>
    </row>
    <row r="4893" spans="1:112" x14ac:dyDescent="0.2">
      <c r="A4893" t="s">
        <v>2159</v>
      </c>
    </row>
  </sheetData>
  <autoFilter ref="A1:DH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export_095337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Sebastiaan Gieskens</dc:creator>
  <cp:lastModifiedBy>Jean-Marc Pisters @ BURO-33</cp:lastModifiedBy>
  <dcterms:created xsi:type="dcterms:W3CDTF">2023-08-30T07:54:19Z</dcterms:created>
  <dcterms:modified xsi:type="dcterms:W3CDTF">2023-09-28T07:56:01Z</dcterms:modified>
</cp:coreProperties>
</file>